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ywords second round" sheetId="1" r:id="rId4"/>
    <sheet state="visible" name="Keywords list" sheetId="2" r:id="rId5"/>
    <sheet state="visible" name="Thing + places keywords" sheetId="3" r:id="rId6"/>
    <sheet state="visible" name="flatten Thing + places keywords" sheetId="4" r:id="rId7"/>
    <sheet state="visible" name="keywords Dior Sauvage" sheetId="5" r:id="rId8"/>
    <sheet state="visible" name="keywords Media brands and repor" sheetId="6" r:id="rId9"/>
    <sheet state="visible" name="First names" sheetId="7" r:id="rId10"/>
    <sheet state="visible" name="All accounts" sheetId="8" r:id="rId11"/>
    <sheet state="visible" name="accounts media and journilism" sheetId="9" r:id="rId12"/>
    <sheet state="visible" name="accounts first names" sheetId="10" r:id="rId13"/>
    <sheet state="visible" name="Accounts from first 50 keywords" sheetId="11" r:id="rId14"/>
    <sheet state="visible" name="Accounts From the 402 others" sheetId="12" r:id="rId15"/>
    <sheet state="visible" name="Accounts thing + place combo" sheetId="13" r:id="rId16"/>
    <sheet state="visible" name="Dior specific accounts" sheetId="14" r:id="rId17"/>
  </sheets>
  <definedNames/>
  <calcPr/>
</workbook>
</file>

<file path=xl/sharedStrings.xml><?xml version="1.0" encoding="utf-8"?>
<sst xmlns="http://schemas.openxmlformats.org/spreadsheetml/2006/main" count="67830" uniqueCount="34974">
  <si>
    <t>Keyword</t>
  </si>
  <si>
    <t>workout</t>
  </si>
  <si>
    <t>fitness</t>
  </si>
  <si>
    <t>gym</t>
  </si>
  <si>
    <t>bodybuilding</t>
  </si>
  <si>
    <t>crossfit</t>
  </si>
  <si>
    <t>powerlifting</t>
  </si>
  <si>
    <t>strength training</t>
  </si>
  <si>
    <t>HIIT</t>
  </si>
  <si>
    <t>cardio</t>
  </si>
  <si>
    <t>functional training</t>
  </si>
  <si>
    <t>weightlifting</t>
  </si>
  <si>
    <t>personal trainer</t>
  </si>
  <si>
    <t>home workout</t>
  </si>
  <si>
    <t>gym motivation</t>
  </si>
  <si>
    <t>workout routine</t>
  </si>
  <si>
    <t>abs workout</t>
  </si>
  <si>
    <t>leg day</t>
  </si>
  <si>
    <t>push day</t>
  </si>
  <si>
    <t>pull day</t>
  </si>
  <si>
    <t>full body workout</t>
  </si>
  <si>
    <t>dumbbell workout</t>
  </si>
  <si>
    <t>barbell workout</t>
  </si>
  <si>
    <t>kettlebell training</t>
  </si>
  <si>
    <t>calisthenics</t>
  </si>
  <si>
    <t>street workout</t>
  </si>
  <si>
    <t>outdoor workout</t>
  </si>
  <si>
    <t>plyometrics</t>
  </si>
  <si>
    <t>resistance bands</t>
  </si>
  <si>
    <t>core workout</t>
  </si>
  <si>
    <t>bootcamp</t>
  </si>
  <si>
    <t>tabata</t>
  </si>
  <si>
    <t>zumba</t>
  </si>
  <si>
    <t>aerobics</t>
  </si>
  <si>
    <t>pilates</t>
  </si>
  <si>
    <t>yoga</t>
  </si>
  <si>
    <t>stretching</t>
  </si>
  <si>
    <t>mobility</t>
  </si>
  <si>
    <t>warm up</t>
  </si>
  <si>
    <t>cool down</t>
  </si>
  <si>
    <t>progressive overload</t>
  </si>
  <si>
    <t>muscle hypertrophy</t>
  </si>
  <si>
    <t>fat loss workout</t>
  </si>
  <si>
    <t>cutting workout</t>
  </si>
  <si>
    <t>bulking workout</t>
  </si>
  <si>
    <t>endurance training</t>
  </si>
  <si>
    <t>metcon</t>
  </si>
  <si>
    <t>functional fitness</t>
  </si>
  <si>
    <t>conditioning</t>
  </si>
  <si>
    <t>circuit training</t>
  </si>
  <si>
    <t>EMOM</t>
  </si>
  <si>
    <t>AMRAP</t>
  </si>
  <si>
    <t>bench press</t>
  </si>
  <si>
    <t>squat</t>
  </si>
  <si>
    <t>deadlift</t>
  </si>
  <si>
    <t>overhead press</t>
  </si>
  <si>
    <t>pull ups</t>
  </si>
  <si>
    <t>chin ups</t>
  </si>
  <si>
    <t>push ups</t>
  </si>
  <si>
    <t>dips</t>
  </si>
  <si>
    <t>plank</t>
  </si>
  <si>
    <t>burpees</t>
  </si>
  <si>
    <t>mountain climbers</t>
  </si>
  <si>
    <t>jump rope</t>
  </si>
  <si>
    <t>rowing machine</t>
  </si>
  <si>
    <t>treadmill workout</t>
  </si>
  <si>
    <t>elliptical workout</t>
  </si>
  <si>
    <t>spin class</t>
  </si>
  <si>
    <t>boxing workout</t>
  </si>
  <si>
    <t>kickboxing workout</t>
  </si>
  <si>
    <t>mma training</t>
  </si>
  <si>
    <t>martial arts conditioning</t>
  </si>
  <si>
    <t>athlete training</t>
  </si>
  <si>
    <t>football conditioning</t>
  </si>
  <si>
    <t>basketball workout</t>
  </si>
  <si>
    <t>tennis fitness</t>
  </si>
  <si>
    <t>swimming workout</t>
  </si>
  <si>
    <t>track workout</t>
  </si>
  <si>
    <t>sprinting drills</t>
  </si>
  <si>
    <t>agility drills</t>
  </si>
  <si>
    <t>ladder drills</t>
  </si>
  <si>
    <t>stability training</t>
  </si>
  <si>
    <t>balance workout</t>
  </si>
  <si>
    <t>TRX workout</t>
  </si>
  <si>
    <t>core stability</t>
  </si>
  <si>
    <t>injury prevention</t>
  </si>
  <si>
    <t>recovery workout</t>
  </si>
  <si>
    <t>foam rolling</t>
  </si>
  <si>
    <t>active recovery</t>
  </si>
  <si>
    <t>stretch routine</t>
  </si>
  <si>
    <t>dynamic warmup</t>
  </si>
  <si>
    <t>sauna recovery</t>
  </si>
  <si>
    <t>ice bath recovery</t>
  </si>
  <si>
    <t>gymshark</t>
  </si>
  <si>
    <t>nike training</t>
  </si>
  <si>
    <t>adidas training</t>
  </si>
  <si>
    <t>under armour training</t>
  </si>
  <si>
    <t>myprotein workout</t>
  </si>
  <si>
    <t>pre workout</t>
  </si>
  <si>
    <t>post workout</t>
  </si>
  <si>
    <t>workout playlist</t>
  </si>
  <si>
    <t>fitspo</t>
  </si>
  <si>
    <t>fitfam</t>
  </si>
  <si>
    <t>beast mode</t>
  </si>
  <si>
    <t>fitness hacks</t>
  </si>
  <si>
    <t>workout hacks</t>
  </si>
  <si>
    <t>anime</t>
  </si>
  <si>
    <t>manga</t>
  </si>
  <si>
    <t>otaku</t>
  </si>
  <si>
    <t>shonen jump</t>
  </si>
  <si>
    <t>shoujo manga</t>
  </si>
  <si>
    <t>isekai</t>
  </si>
  <si>
    <t>mecha anime</t>
  </si>
  <si>
    <t>slice of life anime</t>
  </si>
  <si>
    <t>anime opening</t>
  </si>
  <si>
    <t>anime ending</t>
  </si>
  <si>
    <t>anime edit</t>
  </si>
  <si>
    <t>anime art</t>
  </si>
  <si>
    <t>manga panel</t>
  </si>
  <si>
    <t>anime cosplay</t>
  </si>
  <si>
    <t>anime con</t>
  </si>
  <si>
    <t>anime expo</t>
  </si>
  <si>
    <t>anime merch</t>
  </si>
  <si>
    <t>anime memes</t>
  </si>
  <si>
    <t>anime girl</t>
  </si>
  <si>
    <t>anime boy</t>
  </si>
  <si>
    <t>anime couple</t>
  </si>
  <si>
    <t>anime wallpaper</t>
  </si>
  <si>
    <t>anime fanart</t>
  </si>
  <si>
    <t>anime drawing</t>
  </si>
  <si>
    <t>anime tattoos</t>
  </si>
  <si>
    <t>anime stickers</t>
  </si>
  <si>
    <t>manga drawing</t>
  </si>
  <si>
    <t>manga sketch</t>
  </si>
  <si>
    <t>manga artist</t>
  </si>
  <si>
    <t>manga cover</t>
  </si>
  <si>
    <t>manga collection</t>
  </si>
  <si>
    <t>naruto</t>
  </si>
  <si>
    <t>naruto shippuden</t>
  </si>
  <si>
    <t>sasuke</t>
  </si>
  <si>
    <t>sakura</t>
  </si>
  <si>
    <t>kakashi</t>
  </si>
  <si>
    <t>one piece</t>
  </si>
  <si>
    <t>luffy</t>
  </si>
  <si>
    <t>zoro</t>
  </si>
  <si>
    <t>nami</t>
  </si>
  <si>
    <t>sanji</t>
  </si>
  <si>
    <t>bleach anime</t>
  </si>
  <si>
    <t>ichigo</t>
  </si>
  <si>
    <t>rukia</t>
  </si>
  <si>
    <t>hunter x hunter</t>
  </si>
  <si>
    <t>gon freecss</t>
  </si>
  <si>
    <t>killua</t>
  </si>
  <si>
    <t>hisoka</t>
  </si>
  <si>
    <t>attack on titan</t>
  </si>
  <si>
    <t>eren yeager</t>
  </si>
  <si>
    <t>mikasa</t>
  </si>
  <si>
    <t>levi ackerman</t>
  </si>
  <si>
    <t>demon slayer</t>
  </si>
  <si>
    <t>tanjiro</t>
  </si>
  <si>
    <t>nezuko</t>
  </si>
  <si>
    <t>inosuke</t>
  </si>
  <si>
    <t>zenitsu</t>
  </si>
  <si>
    <t>chainsaw man</t>
  </si>
  <si>
    <t>denji</t>
  </si>
  <si>
    <t>makima</t>
  </si>
  <si>
    <t>jujutsu kaisen</t>
  </si>
  <si>
    <t>itadori yuji</t>
  </si>
  <si>
    <t>gojo satoru</t>
  </si>
  <si>
    <t>megumi fushiguro</t>
  </si>
  <si>
    <t>sukuna</t>
  </si>
  <si>
    <t>tokyo ghoul</t>
  </si>
  <si>
    <t>kaneki ken</t>
  </si>
  <si>
    <t>death note</t>
  </si>
  <si>
    <t>light yagami</t>
  </si>
  <si>
    <t>l lawliet</t>
  </si>
  <si>
    <t>ryuk</t>
  </si>
  <si>
    <t>fullmetal alchemist</t>
  </si>
  <si>
    <t>edward elric</t>
  </si>
  <si>
    <t>alphonse elric</t>
  </si>
  <si>
    <t>dragon ball</t>
  </si>
  <si>
    <t>goku</t>
  </si>
  <si>
    <t>vegeta</t>
  </si>
  <si>
    <t>trunks</t>
  </si>
  <si>
    <t>frieza</t>
  </si>
  <si>
    <t>sailor moon</t>
  </si>
  <si>
    <t>cardcaptor sakura</t>
  </si>
  <si>
    <t>inuyasha</t>
  </si>
  <si>
    <t>my hero academia</t>
  </si>
  <si>
    <t>deku</t>
  </si>
  <si>
    <t>bakugo</t>
  </si>
  <si>
    <t>todoroki</t>
  </si>
  <si>
    <t>uravity</t>
  </si>
  <si>
    <t>fairy tail</t>
  </si>
  <si>
    <t>natsu dragneel</t>
  </si>
  <si>
    <t>lucy heartfilia</t>
  </si>
  <si>
    <t>gray fullbuster</t>
  </si>
  <si>
    <t>black clover</t>
  </si>
  <si>
    <t>asta</t>
  </si>
  <si>
    <t>yuno</t>
  </si>
  <si>
    <t>blue exorcist</t>
  </si>
  <si>
    <t>noragami</t>
  </si>
  <si>
    <t>code geass</t>
  </si>
  <si>
    <t>neon genesis evangelion</t>
  </si>
  <si>
    <t>studio ghibli</t>
  </si>
  <si>
    <t>hayao miyazaki</t>
  </si>
  <si>
    <t>ghibli movies</t>
  </si>
  <si>
    <t>spirited away</t>
  </si>
  <si>
    <t>howl’s moving castle</t>
  </si>
  <si>
    <t>totoro</t>
  </si>
  <si>
    <t>anime aesthetic</t>
  </si>
  <si>
    <t>netflix</t>
  </si>
  <si>
    <t>netflix series</t>
  </si>
  <si>
    <t>netflix movies</t>
  </si>
  <si>
    <t>netflix originals</t>
  </si>
  <si>
    <t>netflix documentary</t>
  </si>
  <si>
    <t>netflix comedy</t>
  </si>
  <si>
    <t>netflix drama</t>
  </si>
  <si>
    <t>netflix horror</t>
  </si>
  <si>
    <t>netflix thriller</t>
  </si>
  <si>
    <t>netflix action</t>
  </si>
  <si>
    <t>netflix romance</t>
  </si>
  <si>
    <t>netflix sci fi</t>
  </si>
  <si>
    <t>netflix fantasy</t>
  </si>
  <si>
    <t>netflix anime</t>
  </si>
  <si>
    <t>netflix true crime</t>
  </si>
  <si>
    <t>netflix reality</t>
  </si>
  <si>
    <t>netflix shows</t>
  </si>
  <si>
    <t>best netflix shows</t>
  </si>
  <si>
    <t>top netflix movies</t>
  </si>
  <si>
    <t>netflix binge</t>
  </si>
  <si>
    <t>binge watch</t>
  </si>
  <si>
    <t>stranger things</t>
  </si>
  <si>
    <t>eleven stranger things</t>
  </si>
  <si>
    <t>mike stranger things</t>
  </si>
  <si>
    <t>vecna stranger things</t>
  </si>
  <si>
    <t>the witcher</t>
  </si>
  <si>
    <t>geralt of rivia</t>
  </si>
  <si>
    <t>yennefer</t>
  </si>
  <si>
    <t>ciri</t>
  </si>
  <si>
    <t>breaking bad</t>
  </si>
  <si>
    <t>better call saul</t>
  </si>
  <si>
    <t>el camino</t>
  </si>
  <si>
    <t>money heist</t>
  </si>
  <si>
    <t>la casa de papel</t>
  </si>
  <si>
    <t>tokyo money heist</t>
  </si>
  <si>
    <t>professor money heist</t>
  </si>
  <si>
    <t>berlin money heist</t>
  </si>
  <si>
    <t>dark netflix</t>
  </si>
  <si>
    <t>ozark netflix</t>
  </si>
  <si>
    <t>the crown</t>
  </si>
  <si>
    <t>bridgerton</t>
  </si>
  <si>
    <t>queen charlotte</t>
  </si>
  <si>
    <t>emily in paris</t>
  </si>
  <si>
    <t>lucifer netflix</t>
  </si>
  <si>
    <t>sex education</t>
  </si>
  <si>
    <t>big mouth</t>
  </si>
  <si>
    <t>disenchantment</t>
  </si>
  <si>
    <t>bojack horseman</t>
  </si>
  <si>
    <t>narcos netflix</t>
  </si>
  <si>
    <t>narcos mexico</t>
  </si>
  <si>
    <t>queen of the south</t>
  </si>
  <si>
    <t>you netflix</t>
  </si>
  <si>
    <t>joe goldberg</t>
  </si>
  <si>
    <t>love quinn</t>
  </si>
  <si>
    <t>black mirror</t>
  </si>
  <si>
    <t>bandersnatch</t>
  </si>
  <si>
    <t>kaleidoscope netflix</t>
  </si>
  <si>
    <t>all of us are dead</t>
  </si>
  <si>
    <t>squid game</t>
  </si>
  <si>
    <t>gi hun squid game</t>
  </si>
  <si>
    <t>squid game doll</t>
  </si>
  <si>
    <t>alice in borderland</t>
  </si>
  <si>
    <t>kingdom netflix</t>
  </si>
  <si>
    <t>sweet home netflix</t>
  </si>
  <si>
    <t>hellbound netflix</t>
  </si>
  <si>
    <t>the glory netflix</t>
  </si>
  <si>
    <t>bloodhounds netflix</t>
  </si>
  <si>
    <t>outer banks</t>
  </si>
  <si>
    <t>obx netflix</t>
  </si>
  <si>
    <t>cobra kai</t>
  </si>
  <si>
    <t>karate kid netflix</t>
  </si>
  <si>
    <t>manifest netflix</t>
  </si>
  <si>
    <t>the 100 netflix</t>
  </si>
  <si>
    <t>shadow and bone</t>
  </si>
  <si>
    <t>locke and key</t>
  </si>
  <si>
    <t>the sandman netflix</t>
  </si>
  <si>
    <t>umbrella academy</t>
  </si>
  <si>
    <t>klaus umbrella academy</t>
  </si>
  <si>
    <t>the boys (on prime but searched on netflix too)</t>
  </si>
  <si>
    <t>dahmer netflix</t>
  </si>
  <si>
    <t>jeffrey dahmer</t>
  </si>
  <si>
    <t>ted bundy tapes</t>
  </si>
  <si>
    <t>night stalker netflix</t>
  </si>
  <si>
    <t>making a murderer</t>
  </si>
  <si>
    <t>true crime netflix</t>
  </si>
  <si>
    <t>our planet netflix</t>
  </si>
  <si>
    <t>david attenborough netflix</t>
  </si>
  <si>
    <t>down to earth</t>
  </si>
  <si>
    <t>zac efron netflix</t>
  </si>
  <si>
    <t>cheer netflix</t>
  </si>
  <si>
    <t>queer eye</t>
  </si>
  <si>
    <t>selling sunset</t>
  </si>
  <si>
    <t>love is blind</t>
  </si>
  <si>
    <t>too hot to handle</t>
  </si>
  <si>
    <t>dating around</t>
  </si>
  <si>
    <t>netflix stand up</t>
  </si>
  <si>
    <t>dave chapelle netflix</t>
  </si>
  <si>
    <t>kevin hart netflix</t>
  </si>
  <si>
    <t>ali wong netflix</t>
  </si>
  <si>
    <t>netflix recommendations</t>
  </si>
  <si>
    <t>netflix playlist</t>
  </si>
  <si>
    <t>netflix marathon</t>
  </si>
  <si>
    <t>netflix aesthetic</t>
  </si>
  <si>
    <t>disney</t>
  </si>
  <si>
    <t>disney movies</t>
  </si>
  <si>
    <t>disney plus</t>
  </si>
  <si>
    <t>disney channel</t>
  </si>
  <si>
    <t>disney princess</t>
  </si>
  <si>
    <t>disneyland</t>
  </si>
  <si>
    <t>disney world</t>
  </si>
  <si>
    <t>walt disney</t>
  </si>
  <si>
    <t>mickey mouse</t>
  </si>
  <si>
    <t>minnie mouse</t>
  </si>
  <si>
    <t>donald duck</t>
  </si>
  <si>
    <t>goofy</t>
  </si>
  <si>
    <t>pluto disney</t>
  </si>
  <si>
    <t>pixar</t>
  </si>
  <si>
    <t>pixar movies</t>
  </si>
  <si>
    <t>toy story</t>
  </si>
  <si>
    <t>woody toy story</t>
  </si>
  <si>
    <t>buzz lightyear</t>
  </si>
  <si>
    <t>frozen</t>
  </si>
  <si>
    <t>elsa frozen</t>
  </si>
  <si>
    <t>anna frozen</t>
  </si>
  <si>
    <t>olaf frozen</t>
  </si>
  <si>
    <t>tangled</t>
  </si>
  <si>
    <t>rapunzel</t>
  </si>
  <si>
    <t>flynn rider</t>
  </si>
  <si>
    <t>moana</t>
  </si>
  <si>
    <t>maui moana</t>
  </si>
  <si>
    <t>the little mermaid</t>
  </si>
  <si>
    <t>ariel disney</t>
  </si>
  <si>
    <t>prince eric</t>
  </si>
  <si>
    <t>ursula disney</t>
  </si>
  <si>
    <t>beauty and the beast</t>
  </si>
  <si>
    <t>belle disney</t>
  </si>
  <si>
    <t>beast disney</t>
  </si>
  <si>
    <t>gaston disney</t>
  </si>
  <si>
    <t>aladdin</t>
  </si>
  <si>
    <t>jasmine disney</t>
  </si>
  <si>
    <t>genie disney</t>
  </si>
  <si>
    <t>jafar disney</t>
  </si>
  <si>
    <t>lion king</t>
  </si>
  <si>
    <t>simba</t>
  </si>
  <si>
    <t>nala</t>
  </si>
  <si>
    <t>mufasa</t>
  </si>
  <si>
    <t>scar disney</t>
  </si>
  <si>
    <t>hakuna matata</t>
  </si>
  <si>
    <t>pocahontas</t>
  </si>
  <si>
    <t>mulan</t>
  </si>
  <si>
    <t>shang mulan</t>
  </si>
  <si>
    <t>tarzan</t>
  </si>
  <si>
    <t>hercules disney</t>
  </si>
  <si>
    <t>megara disney</t>
  </si>
  <si>
    <t>hades disney</t>
  </si>
  <si>
    <t>hunchback of notre dame</t>
  </si>
  <si>
    <t>esmeralda disney</t>
  </si>
  <si>
    <t>quasimodo</t>
  </si>
  <si>
    <t>lilo and stitch</t>
  </si>
  <si>
    <t>stitch disney</t>
  </si>
  <si>
    <t>lilo disney</t>
  </si>
  <si>
    <t>zootopia</t>
  </si>
  <si>
    <t>judy hopps</t>
  </si>
  <si>
    <t>nick wilde</t>
  </si>
  <si>
    <t>encanto</t>
  </si>
  <si>
    <t>mirabel encanto</t>
  </si>
  <si>
    <t>isabela encanto</t>
  </si>
  <si>
    <t>luisa encanto</t>
  </si>
  <si>
    <t>bruno encanto</t>
  </si>
  <si>
    <t>coco disney</t>
  </si>
  <si>
    <t>miguel coco</t>
  </si>
  <si>
    <t>remember me coco</t>
  </si>
  <si>
    <t>soul disney</t>
  </si>
  <si>
    <t>inside out</t>
  </si>
  <si>
    <t>joy inside out</t>
  </si>
  <si>
    <t>sadness inside out</t>
  </si>
  <si>
    <t>anger inside out</t>
  </si>
  <si>
    <t>finding nemo</t>
  </si>
  <si>
    <t>dory disney</t>
  </si>
  <si>
    <t>finding dory</t>
  </si>
  <si>
    <t>cars pixar</t>
  </si>
  <si>
    <t>lightning mcqueen</t>
  </si>
  <si>
    <t>mater disney</t>
  </si>
  <si>
    <t>incredibles</t>
  </si>
  <si>
    <t>jack jack</t>
  </si>
  <si>
    <t>elastigirl</t>
  </si>
  <si>
    <t>mr incredible</t>
  </si>
  <si>
    <t>violet incredibles</t>
  </si>
  <si>
    <t>dash incredibles</t>
  </si>
  <si>
    <t>ratatouille</t>
  </si>
  <si>
    <t>remy ratatouille</t>
  </si>
  <si>
    <t>up pixar</t>
  </si>
  <si>
    <t>dug up</t>
  </si>
  <si>
    <t>carl fredricksen</t>
  </si>
  <si>
    <t>wall e</t>
  </si>
  <si>
    <t>eve wall e</t>
  </si>
  <si>
    <t>disney villains</t>
  </si>
  <si>
    <t>maleficent</t>
  </si>
  <si>
    <t>cruella de vil</t>
  </si>
  <si>
    <t>disney songs</t>
  </si>
  <si>
    <t>disney soundtrack</t>
  </si>
  <si>
    <t>disney cosplay</t>
  </si>
  <si>
    <t>disney aesthetic</t>
  </si>
  <si>
    <t>disney magic</t>
  </si>
  <si>
    <t>90s kids</t>
  </si>
  <si>
    <t>90s nostalgia</t>
  </si>
  <si>
    <t>90s cartoons</t>
  </si>
  <si>
    <t>nickelodeon</t>
  </si>
  <si>
    <t>nickelodeon shows</t>
  </si>
  <si>
    <t>cartoon network</t>
  </si>
  <si>
    <t>disney channel 90s</t>
  </si>
  <si>
    <t>fox kids</t>
  </si>
  <si>
    <t>mtv 90s</t>
  </si>
  <si>
    <t>power rangers</t>
  </si>
  <si>
    <t>pokemon</t>
  </si>
  <si>
    <t>ash ketchum</t>
  </si>
  <si>
    <t>pikachu</t>
  </si>
  <si>
    <t>digimon</t>
  </si>
  <si>
    <t>dragon ball z</t>
  </si>
  <si>
    <t>yu gi oh</t>
  </si>
  <si>
    <t>beyblade</t>
  </si>
  <si>
    <t>teenage mutant ninja turtles</t>
  </si>
  <si>
    <t>batman animated series</t>
  </si>
  <si>
    <t>spiderman animated series</t>
  </si>
  <si>
    <t>x men animated series</t>
  </si>
  <si>
    <t>goosebumps</t>
  </si>
  <si>
    <t>are you afraid of the dark</t>
  </si>
  <si>
    <t>clarissa explains it all</t>
  </si>
  <si>
    <t>sabrina the teenage witch</t>
  </si>
  <si>
    <t>boy meets world</t>
  </si>
  <si>
    <t>full house</t>
  </si>
  <si>
    <t>family matters</t>
  </si>
  <si>
    <t>step by step</t>
  </si>
  <si>
    <t>friends tv</t>
  </si>
  <si>
    <t>seinfeld</t>
  </si>
  <si>
    <t>fresh prince</t>
  </si>
  <si>
    <t>will smith fresh prince</t>
  </si>
  <si>
    <t>saved by the bell</t>
  </si>
  <si>
    <t>beverly hills 90210</t>
  </si>
  <si>
    <t>dawson’s creek</t>
  </si>
  <si>
    <t>charmed</t>
  </si>
  <si>
    <t>buffy the vampire slayer</t>
  </si>
  <si>
    <t>angel tv show</t>
  </si>
  <si>
    <t>smallville</t>
  </si>
  <si>
    <t>digimon tamers</t>
  </si>
  <si>
    <t>street sharks</t>
  </si>
  <si>
    <t>animaniacs</t>
  </si>
  <si>
    <t>tiny toon adventures</t>
  </si>
  <si>
    <t>looney tunes 90s</t>
  </si>
  <si>
    <t>tom and jerry</t>
  </si>
  <si>
    <t>scooby doo</t>
  </si>
  <si>
    <t>dexter’s laboratory</t>
  </si>
  <si>
    <t>johnny bravo</t>
  </si>
  <si>
    <t>ed edd n eddy</t>
  </si>
  <si>
    <t>courage the cowardly dog</t>
  </si>
  <si>
    <t>cow and chicken</t>
  </si>
  <si>
    <t>rocko’s modern life</t>
  </si>
  <si>
    <t>hey arnold</t>
  </si>
  <si>
    <t>rugrats</t>
  </si>
  <si>
    <t>all grown up rugrats</t>
  </si>
  <si>
    <t>doug cartoon</t>
  </si>
  <si>
    <t>the wild thornberrys</t>
  </si>
  <si>
    <t>catdog</t>
  </si>
  <si>
    <t>angry beavers</t>
  </si>
  <si>
    <t>rocket power</t>
  </si>
  <si>
    <t>recess cartoon</t>
  </si>
  <si>
    <t>pepper ann</t>
  </si>
  <si>
    <t>kim possible</t>
  </si>
  <si>
    <t>lizzie mcguire</t>
  </si>
  <si>
    <t>even stevens</t>
  </si>
  <si>
    <t>that’s so raven</t>
  </si>
  <si>
    <t>hannah montana</t>
  </si>
  <si>
    <t>spice girls</t>
  </si>
  <si>
    <t>backstreet boys</t>
  </si>
  <si>
    <t>nsync</t>
  </si>
  <si>
    <t>britney spears 90s</t>
  </si>
  <si>
    <t>christina aguilera 90s</t>
  </si>
  <si>
    <t>mariah carey 90s</t>
  </si>
  <si>
    <t>destiny’s child</t>
  </si>
  <si>
    <t>eminem 90s</t>
  </si>
  <si>
    <t>tupac</t>
  </si>
  <si>
    <t>biggie smalls</t>
  </si>
  <si>
    <t>nirvana</t>
  </si>
  <si>
    <t>kurt cobain</t>
  </si>
  <si>
    <t>green day 90s</t>
  </si>
  <si>
    <t>blink 182</t>
  </si>
  <si>
    <t>red hot chili peppers</t>
  </si>
  <si>
    <t>linkin park</t>
  </si>
  <si>
    <t>playstation 1</t>
  </si>
  <si>
    <t>nintendo 64</t>
  </si>
  <si>
    <t>game boy color</t>
  </si>
  <si>
    <t>game boy advance</t>
  </si>
  <si>
    <t>pokemon red</t>
  </si>
  <si>
    <t>pokemon blue</t>
  </si>
  <si>
    <t>pokemon yellow</t>
  </si>
  <si>
    <t>super mario 64</t>
  </si>
  <si>
    <t>zelda ocarina of time</t>
  </si>
  <si>
    <t>donkey kong country</t>
  </si>
  <si>
    <t>sonic the hedgehog 90s</t>
  </si>
  <si>
    <t>street fighter ii</t>
  </si>
  <si>
    <t>mortal kombat 90s</t>
  </si>
  <si>
    <t>arcade games 90s</t>
  </si>
  <si>
    <t>90s aesthetic</t>
  </si>
  <si>
    <t>90s fashion</t>
  </si>
  <si>
    <t>football</t>
  </si>
  <si>
    <t>soccer</t>
  </si>
  <si>
    <t>fifa</t>
  </si>
  <si>
    <t>uefa</t>
  </si>
  <si>
    <t>champions league</t>
  </si>
  <si>
    <t>europa league</t>
  </si>
  <si>
    <t>premier league</t>
  </si>
  <si>
    <t>la liga</t>
  </si>
  <si>
    <t>serie a</t>
  </si>
  <si>
    <t>bundesliga</t>
  </si>
  <si>
    <t>ligue 1</t>
  </si>
  <si>
    <t>mls soccer</t>
  </si>
  <si>
    <t>world cup</t>
  </si>
  <si>
    <t>uefa euro</t>
  </si>
  <si>
    <t>copa america</t>
  </si>
  <si>
    <t>africa cup of nations</t>
  </si>
  <si>
    <t>ballon d’or</t>
  </si>
  <si>
    <t>golden boot</t>
  </si>
  <si>
    <t>football highlights</t>
  </si>
  <si>
    <t>football skills</t>
  </si>
  <si>
    <t>football goals</t>
  </si>
  <si>
    <t>football dribbling</t>
  </si>
  <si>
    <t>football tricks</t>
  </si>
  <si>
    <t>football freekick</t>
  </si>
  <si>
    <t>football penalty</t>
  </si>
  <si>
    <t>football save</t>
  </si>
  <si>
    <t>goalkeeper training</t>
  </si>
  <si>
    <t>striker training</t>
  </si>
  <si>
    <t>midfielder drills</t>
  </si>
  <si>
    <t>defender drills</t>
  </si>
  <si>
    <t>football tactics</t>
  </si>
  <si>
    <t>football formation</t>
  </si>
  <si>
    <t>football coach</t>
  </si>
  <si>
    <t>football manager</t>
  </si>
  <si>
    <t>football academy</t>
  </si>
  <si>
    <t>youth football</t>
  </si>
  <si>
    <t>street football</t>
  </si>
  <si>
    <t>indoor football</t>
  </si>
  <si>
    <t>futsal</t>
  </si>
  <si>
    <t>women’s football</t>
  </si>
  <si>
    <t>lionel messi</t>
  </si>
  <si>
    <t>cristiano ronaldo</t>
  </si>
  <si>
    <t>neymar jr</t>
  </si>
  <si>
    <t>kylian mbappé</t>
  </si>
  <si>
    <t>karim benzema</t>
  </si>
  <si>
    <t>vinicius jr</t>
  </si>
  <si>
    <t>rodrygo</t>
  </si>
  <si>
    <t>luka modric</t>
  </si>
  <si>
    <t>pedri</t>
  </si>
  <si>
    <t>gavi</t>
  </si>
  <si>
    <t>frenkie de jong</t>
  </si>
  <si>
    <t>robert lewandowski</t>
  </si>
  <si>
    <t>erling haaland</t>
  </si>
  <si>
    <t>kevin de bruyne</t>
  </si>
  <si>
    <t>mohamed salah</t>
  </si>
  <si>
    <t>sadio mane</t>
  </si>
  <si>
    <t>virgil van dijk</t>
  </si>
  <si>
    <t>trent alexander arnold</t>
  </si>
  <si>
    <t>harry kane</t>
  </si>
  <si>
    <t>son heung min</t>
  </si>
  <si>
    <t>marcus rashford</t>
  </si>
  <si>
    <t>bruno fernandes</t>
  </si>
  <si>
    <t>casemiro</t>
  </si>
  <si>
    <t>jadon sancho</t>
  </si>
  <si>
    <t>bukayo saka</t>
  </si>
  <si>
    <t>odegaard</t>
  </si>
  <si>
    <t>declan rice</t>
  </si>
  <si>
    <t>jack grealish</t>
  </si>
  <si>
    <t>phil foden</t>
  </si>
  <si>
    <t>jude bellingham</t>
  </si>
  <si>
    <t>antoine griezmann</t>
  </si>
  <si>
    <t>ousmane dembele</t>
  </si>
  <si>
    <t>paul pogba</t>
  </si>
  <si>
    <t>zlatan ibrahimovic</t>
  </si>
  <si>
    <t>andrea pirlo</t>
  </si>
  <si>
    <t>francesco totti</t>
  </si>
  <si>
    <t>paolo maldini</t>
  </si>
  <si>
    <t>ronaldinho</t>
  </si>
  <si>
    <t>ronaldo fenomeno</t>
  </si>
  <si>
    <t>thierry henry</t>
  </si>
  <si>
    <t>zinedine zidane</t>
  </si>
  <si>
    <t>david beckham</t>
  </si>
  <si>
    <t>wayne rooney</t>
  </si>
  <si>
    <t>steven gerrard</t>
  </si>
  <si>
    <t>frank lampard</t>
  </si>
  <si>
    <t>didier drogba</t>
  </si>
  <si>
    <t>samuel eto’o</t>
  </si>
  <si>
    <t>george weah</t>
  </si>
  <si>
    <t>pele</t>
  </si>
  <si>
    <t>diego maradona</t>
  </si>
  <si>
    <t>football stadium</t>
  </si>
  <si>
    <t>camp nou</t>
  </si>
  <si>
    <t>santiago bernabéu</t>
  </si>
  <si>
    <t>old trafford</t>
  </si>
  <si>
    <t>anfield</t>
  </si>
  <si>
    <t>wembley stadium</t>
  </si>
  <si>
    <t>allianz arena</t>
  </si>
  <si>
    <t>maracanã stadium</t>
  </si>
  <si>
    <t>football fans</t>
  </si>
  <si>
    <t>ultras football</t>
  </si>
  <si>
    <t>football chants</t>
  </si>
  <si>
    <t>football culture</t>
  </si>
  <si>
    <t>startup</t>
  </si>
  <si>
    <t>startups</t>
  </si>
  <si>
    <t>founder life</t>
  </si>
  <si>
    <t>entrepreneur</t>
  </si>
  <si>
    <t>entrepreneurship</t>
  </si>
  <si>
    <t>entrepreneur mindset</t>
  </si>
  <si>
    <t>entrepreneur life</t>
  </si>
  <si>
    <t>entrepreneur motivation</t>
  </si>
  <si>
    <t>entrepreneur lifestyle</t>
  </si>
  <si>
    <t>tech startup</t>
  </si>
  <si>
    <t>ai startup</t>
  </si>
  <si>
    <t>fintech startup</t>
  </si>
  <si>
    <t>healthtech startup</t>
  </si>
  <si>
    <t>edtech startup</t>
  </si>
  <si>
    <t>greentech startup</t>
  </si>
  <si>
    <t>saas startup</t>
  </si>
  <si>
    <t>marketplace startup</t>
  </si>
  <si>
    <t>d2c startup</t>
  </si>
  <si>
    <t>venture capital</t>
  </si>
  <si>
    <t>vc funding</t>
  </si>
  <si>
    <t>vc life</t>
  </si>
  <si>
    <t>angel investor</t>
  </si>
  <si>
    <t>business angel</t>
  </si>
  <si>
    <t>seed funding</t>
  </si>
  <si>
    <t>series a</t>
  </si>
  <si>
    <t>series b</t>
  </si>
  <si>
    <t>series c</t>
  </si>
  <si>
    <t>bootstrapping</t>
  </si>
  <si>
    <t>accelerator</t>
  </si>
  <si>
    <t>incubator</t>
  </si>
  <si>
    <t>y combinator</t>
  </si>
  <si>
    <t>techstars</t>
  </si>
  <si>
    <t>500 startups</t>
  </si>
  <si>
    <t>startup pitch</t>
  </si>
  <si>
    <t>pitch deck</t>
  </si>
  <si>
    <t>startup fundraising</t>
  </si>
  <si>
    <t>fundraising tips</t>
  </si>
  <si>
    <t>fundraising journey</t>
  </si>
  <si>
    <t>investor meeting</t>
  </si>
  <si>
    <t>demo day</t>
  </si>
  <si>
    <t>product market fit</t>
  </si>
  <si>
    <t>pmf startup</t>
  </si>
  <si>
    <t>lean startup</t>
  </si>
  <si>
    <t>lean canvas</t>
  </si>
  <si>
    <t>minimum viable product</t>
  </si>
  <si>
    <t>mvp startup</t>
  </si>
  <si>
    <t>go to market</t>
  </si>
  <si>
    <t>growth hacking</t>
  </si>
  <si>
    <t>growth marketing</t>
  </si>
  <si>
    <t>user acquisition</t>
  </si>
  <si>
    <t>customer acquisition</t>
  </si>
  <si>
    <t>startup traction</t>
  </si>
  <si>
    <t>startup metrics</t>
  </si>
  <si>
    <t>north star metric</t>
  </si>
  <si>
    <t>runway startup</t>
  </si>
  <si>
    <t>burn rate</t>
  </si>
  <si>
    <t>valuation startup</t>
  </si>
  <si>
    <t>cap table</t>
  </si>
  <si>
    <t>equity split</t>
  </si>
  <si>
    <t>founder equity</t>
  </si>
  <si>
    <t>vesting schedule</t>
  </si>
  <si>
    <t>cliff vesting</t>
  </si>
  <si>
    <t>stock options</t>
  </si>
  <si>
    <t>esop startup</t>
  </si>
  <si>
    <t>safe note</t>
  </si>
  <si>
    <t>convertible note</t>
  </si>
  <si>
    <t>term sheet</t>
  </si>
  <si>
    <t>due diligence</t>
  </si>
  <si>
    <t>startup lawyer</t>
  </si>
  <si>
    <t>startup advisor</t>
  </si>
  <si>
    <t>startup mentor</t>
  </si>
  <si>
    <t>startup accelerator</t>
  </si>
  <si>
    <t>startup incubator</t>
  </si>
  <si>
    <t>startup ecosystem</t>
  </si>
  <si>
    <t>silicon valley startup</t>
  </si>
  <si>
    <t>berlin startup</t>
  </si>
  <si>
    <t>london startup</t>
  </si>
  <si>
    <t>paris startup</t>
  </si>
  <si>
    <t>nyc startup</t>
  </si>
  <si>
    <t>sf startup</t>
  </si>
  <si>
    <t>startup grind</t>
  </si>
  <si>
    <t>techcrunch startup</t>
  </si>
  <si>
    <t>product hunt</t>
  </si>
  <si>
    <t>indie hackers</t>
  </si>
  <si>
    <t>hacker news</t>
  </si>
  <si>
    <t>angel list</t>
  </si>
  <si>
    <t>crunchbase</t>
  </si>
  <si>
    <t>seedrs</t>
  </si>
  <si>
    <t>crowdfunding startup</t>
  </si>
  <si>
    <t>kickstarter</t>
  </si>
  <si>
    <t>indiegogo</t>
  </si>
  <si>
    <t>wefunder</t>
  </si>
  <si>
    <t>equity crowdfunding</t>
  </si>
  <si>
    <t>startup jobs</t>
  </si>
  <si>
    <t>startup career</t>
  </si>
  <si>
    <t>founder stories</t>
  </si>
  <si>
    <t>startup culture</t>
  </si>
  <si>
    <t>hustle culture</t>
  </si>
  <si>
    <t>build in public</t>
  </si>
  <si>
    <t>ship fast</t>
  </si>
  <si>
    <t>fail fast</t>
  </si>
  <si>
    <t>pivot startup</t>
  </si>
  <si>
    <t>disruptive innovation</t>
  </si>
  <si>
    <t>unicorn startup</t>
  </si>
  <si>
    <t>soonicorn</t>
  </si>
  <si>
    <t>decacorn</t>
  </si>
  <si>
    <t>exiting startup</t>
  </si>
  <si>
    <t>ipo startup</t>
  </si>
  <si>
    <t>startup acquisition</t>
  </si>
  <si>
    <t>louis vuitton</t>
  </si>
  <si>
    <t>lv bag</t>
  </si>
  <si>
    <t>lv monogram</t>
  </si>
  <si>
    <t>lv keepall</t>
  </si>
  <si>
    <t>lv speedy</t>
  </si>
  <si>
    <t>lv neverfull</t>
  </si>
  <si>
    <t>lv alma</t>
  </si>
  <si>
    <t>lv onthego</t>
  </si>
  <si>
    <t>lv twist</t>
  </si>
  <si>
    <t>lv dauphine</t>
  </si>
  <si>
    <t>lv pochette</t>
  </si>
  <si>
    <t>lv wallet</t>
  </si>
  <si>
    <t>lv belt</t>
  </si>
  <si>
    <t>lv shoes</t>
  </si>
  <si>
    <t>lv sneakers</t>
  </si>
  <si>
    <t>lv trainers</t>
  </si>
  <si>
    <t>lv sandals</t>
  </si>
  <si>
    <t>lv boots</t>
  </si>
  <si>
    <t>lv jewelry</t>
  </si>
  <si>
    <t>lv earrings</t>
  </si>
  <si>
    <t>lv bracelet</t>
  </si>
  <si>
    <t>lv necklace</t>
  </si>
  <si>
    <t>lv watch</t>
  </si>
  <si>
    <t>lv luggage</t>
  </si>
  <si>
    <t>lv trunks</t>
  </si>
  <si>
    <t>lv travel bag</t>
  </si>
  <si>
    <t>lv horizon</t>
  </si>
  <si>
    <t>lv sunglasses</t>
  </si>
  <si>
    <t>lv scarf</t>
  </si>
  <si>
    <t>lv shawl</t>
  </si>
  <si>
    <t>lv perfume</t>
  </si>
  <si>
    <t>lv fragrance</t>
  </si>
  <si>
    <t>lv candle</t>
  </si>
  <si>
    <t>lv fashion show</t>
  </si>
  <si>
    <t>lv runway</t>
  </si>
  <si>
    <t>lv menswear</t>
  </si>
  <si>
    <t>lv womenswear</t>
  </si>
  <si>
    <t>lv spring summer</t>
  </si>
  <si>
    <t>lv fall winter</t>
  </si>
  <si>
    <t>lv cruise collection</t>
  </si>
  <si>
    <t>lv capsule collection</t>
  </si>
  <si>
    <t>lv collab</t>
  </si>
  <si>
    <t>lv virgil abloh</t>
  </si>
  <si>
    <t>lv pharrell williams</t>
  </si>
  <si>
    <t>lv marc jacobs</t>
  </si>
  <si>
    <t>lv kim jones</t>
  </si>
  <si>
    <t>lv nicolas ghesquiere</t>
  </si>
  <si>
    <t>lv creative director</t>
  </si>
  <si>
    <t>lv maison</t>
  </si>
  <si>
    <t>lv champs elysees</t>
  </si>
  <si>
    <t>lv vendome</t>
  </si>
  <si>
    <t>lv paris</t>
  </si>
  <si>
    <t>lv tokyo</t>
  </si>
  <si>
    <t>lv ginza</t>
  </si>
  <si>
    <t>lv london bond street</t>
  </si>
  <si>
    <t>lv new york fifth avenue</t>
  </si>
  <si>
    <t>lv miami design district</t>
  </si>
  <si>
    <t>lv milan montenapoleone</t>
  </si>
  <si>
    <t>lv dubai mall</t>
  </si>
  <si>
    <t>lv hong kong</t>
  </si>
  <si>
    <t>lv shanghai</t>
  </si>
  <si>
    <t>lv seoul</t>
  </si>
  <si>
    <t>lv singapore</t>
  </si>
  <si>
    <t>lv flagship</t>
  </si>
  <si>
    <t>lv store</t>
  </si>
  <si>
    <t>lv atelier</t>
  </si>
  <si>
    <t>lv heritage</t>
  </si>
  <si>
    <t>lv campaign</t>
  </si>
  <si>
    <t>lv ad</t>
  </si>
  <si>
    <t>lv brand ambassador</t>
  </si>
  <si>
    <t>lv celebrity</t>
  </si>
  <si>
    <t>lv influencer</t>
  </si>
  <si>
    <t>lv fashion week</t>
  </si>
  <si>
    <t>lv couture</t>
  </si>
  <si>
    <t>lv haute couture</t>
  </si>
  <si>
    <t>lv luxury</t>
  </si>
  <si>
    <t>lv lifestyle</t>
  </si>
  <si>
    <t>lv collection</t>
  </si>
  <si>
    <t>lv design</t>
  </si>
  <si>
    <t>lv atelier des rêves</t>
  </si>
  <si>
    <t>lv savoir faire</t>
  </si>
  <si>
    <t>lv artisans</t>
  </si>
  <si>
    <t>lv innovation</t>
  </si>
  <si>
    <t>lv trunk show</t>
  </si>
  <si>
    <t>lv exhibition</t>
  </si>
  <si>
    <t>lv foundation</t>
  </si>
  <si>
    <t>fondation louis vuitton</t>
  </si>
  <si>
    <t>lv museum</t>
  </si>
  <si>
    <t>lv art</t>
  </si>
  <si>
    <t>lv artist collaboration</t>
  </si>
  <si>
    <t>lv supreme</t>
  </si>
  <si>
    <t>lv yayoi kusama</t>
  </si>
  <si>
    <t>lv jeff koons</t>
  </si>
  <si>
    <t>lv murakami</t>
  </si>
  <si>
    <t>lv stephen sprouse</t>
  </si>
  <si>
    <t>lv nft</t>
  </si>
  <si>
    <t>lv metaverse</t>
  </si>
  <si>
    <t>lv horizon light up</t>
  </si>
  <si>
    <t>lv watch tambour</t>
  </si>
  <si>
    <t>lv spirit</t>
  </si>
  <si>
    <t>lv horizon earphones</t>
  </si>
  <si>
    <t>lv virgil legacy</t>
  </si>
  <si>
    <t>lv pharrell debut</t>
  </si>
  <si>
    <t>lv runway paris</t>
  </si>
  <si>
    <t>lv new collection</t>
  </si>
  <si>
    <t>geography</t>
  </si>
  <si>
    <t>human geography</t>
  </si>
  <si>
    <t>physical geography</t>
  </si>
  <si>
    <t>political geography</t>
  </si>
  <si>
    <t>economic geography</t>
  </si>
  <si>
    <t>cultural geography</t>
  </si>
  <si>
    <t>environmental geography</t>
  </si>
  <si>
    <t>world geography</t>
  </si>
  <si>
    <t>geopolitics</t>
  </si>
  <si>
    <t>cartography</t>
  </si>
  <si>
    <t>map making</t>
  </si>
  <si>
    <t>atlas</t>
  </si>
  <si>
    <t>world map</t>
  </si>
  <si>
    <t>satellite map</t>
  </si>
  <si>
    <t>topographic map</t>
  </si>
  <si>
    <t>climate map</t>
  </si>
  <si>
    <t>population map</t>
  </si>
  <si>
    <t>geospatial</t>
  </si>
  <si>
    <t>gis mapping</t>
  </si>
  <si>
    <t>remote sensing</t>
  </si>
  <si>
    <t>earth science</t>
  </si>
  <si>
    <t>landforms</t>
  </si>
  <si>
    <t>mountains</t>
  </si>
  <si>
    <t>valleys</t>
  </si>
  <si>
    <t>plains</t>
  </si>
  <si>
    <t>plateau</t>
  </si>
  <si>
    <t>desert</t>
  </si>
  <si>
    <t>rainforest</t>
  </si>
  <si>
    <t>tundra</t>
  </si>
  <si>
    <t>savanna</t>
  </si>
  <si>
    <t>river system</t>
  </si>
  <si>
    <t>oceans</t>
  </si>
  <si>
    <t>seas</t>
  </si>
  <si>
    <t>lakes</t>
  </si>
  <si>
    <t>volcano</t>
  </si>
  <si>
    <t>earthquake</t>
  </si>
  <si>
    <t>tsunami</t>
  </si>
  <si>
    <t>hurricane</t>
  </si>
  <si>
    <t>tornado</t>
  </si>
  <si>
    <t>climate change</t>
  </si>
  <si>
    <t>global warming</t>
  </si>
  <si>
    <t>weather patterns</t>
  </si>
  <si>
    <t>monsoon</t>
  </si>
  <si>
    <t>tropical storm</t>
  </si>
  <si>
    <t>arctic circle</t>
  </si>
  <si>
    <t>antarctica</t>
  </si>
  <si>
    <t>equator</t>
  </si>
  <si>
    <t>prime meridian</t>
  </si>
  <si>
    <t>hemisphere</t>
  </si>
  <si>
    <t>northern hemisphere</t>
  </si>
  <si>
    <t>southern hemisphere</t>
  </si>
  <si>
    <t>eastern hemisphere</t>
  </si>
  <si>
    <t>western hemisphere</t>
  </si>
  <si>
    <t>time zones</t>
  </si>
  <si>
    <t>daylight saving</t>
  </si>
  <si>
    <t>international date line</t>
  </si>
  <si>
    <t>continents</t>
  </si>
  <si>
    <t>africa</t>
  </si>
  <si>
    <t>asia</t>
  </si>
  <si>
    <t>europe</t>
  </si>
  <si>
    <t>north america</t>
  </si>
  <si>
    <t>south america</t>
  </si>
  <si>
    <t>australia</t>
  </si>
  <si>
    <t>oceania</t>
  </si>
  <si>
    <t>middle east</t>
  </si>
  <si>
    <t>caribbean</t>
  </si>
  <si>
    <t>pacific islands</t>
  </si>
  <si>
    <t>world capitals</t>
  </si>
  <si>
    <t>major cities</t>
  </si>
  <si>
    <t>megacities</t>
  </si>
  <si>
    <t>urban geography</t>
  </si>
  <si>
    <t>rural geography</t>
  </si>
  <si>
    <t>migration patterns</t>
  </si>
  <si>
    <t>population density</t>
  </si>
  <si>
    <t>demographics</t>
  </si>
  <si>
    <t>ethnic groups</t>
  </si>
  <si>
    <t>languages of the world</t>
  </si>
  <si>
    <t>religions of the world</t>
  </si>
  <si>
    <t>natural resources</t>
  </si>
  <si>
    <t>renewable energy</t>
  </si>
  <si>
    <t>oil reserves</t>
  </si>
  <si>
    <t>mineral resources</t>
  </si>
  <si>
    <t>global trade</t>
  </si>
  <si>
    <t>transport networks</t>
  </si>
  <si>
    <t>shipping routes</t>
  </si>
  <si>
    <t>silk road</t>
  </si>
  <si>
    <t>panama canal</t>
  </si>
  <si>
    <t>suez canal</t>
  </si>
  <si>
    <t>mount everest</t>
  </si>
  <si>
    <t>andes mountains</t>
  </si>
  <si>
    <t>himalayas</t>
  </si>
  <si>
    <t>sahara desert</t>
  </si>
  <si>
    <t>gobi desert</t>
  </si>
  <si>
    <t>amazon rainforest</t>
  </si>
  <si>
    <t>great barrier reef</t>
  </si>
  <si>
    <t>grand canyon</t>
  </si>
  <si>
    <t>niagara falls</t>
  </si>
  <si>
    <t>victoria falls</t>
  </si>
  <si>
    <t>nile river</t>
  </si>
  <si>
    <t>amazon river</t>
  </si>
  <si>
    <t>yangtze river</t>
  </si>
  <si>
    <t>mississippi river</t>
  </si>
  <si>
    <t>danube river</t>
  </si>
  <si>
    <t>geography facts</t>
  </si>
  <si>
    <t>geography quiz</t>
  </si>
  <si>
    <t>geography teacher</t>
  </si>
  <si>
    <t>geography student</t>
  </si>
  <si>
    <t>geography aesthetic</t>
  </si>
  <si>
    <t>paris</t>
  </si>
  <si>
    <t>paris city</t>
  </si>
  <si>
    <t>paris france</t>
  </si>
  <si>
    <t>paris travel</t>
  </si>
  <si>
    <t>visit paris</t>
  </si>
  <si>
    <t>paris tourism</t>
  </si>
  <si>
    <t>paris guide</t>
  </si>
  <si>
    <t>paris trip</t>
  </si>
  <si>
    <t>paris vacation</t>
  </si>
  <si>
    <t>things to do in paris</t>
  </si>
  <si>
    <t>paris itinerary</t>
  </si>
  <si>
    <t>paris lifestyle</t>
  </si>
  <si>
    <t>living in paris</t>
  </si>
  <si>
    <t>moving to paris</t>
  </si>
  <si>
    <t>study in paris</t>
  </si>
  <si>
    <t>work in paris</t>
  </si>
  <si>
    <t>paris expat</t>
  </si>
  <si>
    <t>parisian life</t>
  </si>
  <si>
    <t>paris culture</t>
  </si>
  <si>
    <t>paris history</t>
  </si>
  <si>
    <t>paris architecture</t>
  </si>
  <si>
    <t>paris museums</t>
  </si>
  <si>
    <t>louvre museum</t>
  </si>
  <si>
    <t>mona lisa</t>
  </si>
  <si>
    <t>orsay museum</t>
  </si>
  <si>
    <t>centre pompidou</t>
  </si>
  <si>
    <t>rodin museum</t>
  </si>
  <si>
    <t>orangerie museum</t>
  </si>
  <si>
    <t>musée jacquemart andré</t>
  </si>
  <si>
    <t>paris opera</t>
  </si>
  <si>
    <t>palais garnier</t>
  </si>
  <si>
    <t>eiffel tower</t>
  </si>
  <si>
    <t>trocadero</t>
  </si>
  <si>
    <t>champ de mars</t>
  </si>
  <si>
    <t>arc de triomphe</t>
  </si>
  <si>
    <t>champs elysees</t>
  </si>
  <si>
    <t>notre dame paris</t>
  </si>
  <si>
    <t>sainte chapelle</t>
  </si>
  <si>
    <t>pantheon paris</t>
  </si>
  <si>
    <t>sacré coeur</t>
  </si>
  <si>
    <t>montmartre</t>
  </si>
  <si>
    <t>moulin rouge</t>
  </si>
  <si>
    <t>pigalle</t>
  </si>
  <si>
    <t>latin quarter paris</t>
  </si>
  <si>
    <t>ile de la cité</t>
  </si>
  <si>
    <t>seine river</t>
  </si>
  <si>
    <t>seine cruise</t>
  </si>
  <si>
    <t>pont alexandre iii</t>
  </si>
  <si>
    <t>pont neuf</t>
  </si>
  <si>
    <t>luxembourg gardens</t>
  </si>
  <si>
    <t>tuileries garden</t>
  </si>
  <si>
    <t>parc monceau</t>
  </si>
  <si>
    <t>bois de boulogne</t>
  </si>
  <si>
    <t>bois de vincennes</t>
  </si>
  <si>
    <t>versailles palace</t>
  </si>
  <si>
    <t>day trip from paris</t>
  </si>
  <si>
    <t>disneyland paris</t>
  </si>
  <si>
    <t>paris fashion</t>
  </si>
  <si>
    <t>paris fashion week</t>
  </si>
  <si>
    <t>paris shopping</t>
  </si>
  <si>
    <t>galeries lafayette</t>
  </si>
  <si>
    <t>le bon marché</t>
  </si>
  <si>
    <t>printemps paris</t>
  </si>
  <si>
    <t>colette paris</t>
  </si>
  <si>
    <t>avenue montaigne</t>
  </si>
  <si>
    <t>place vendôme</t>
  </si>
  <si>
    <t>saint germain des prés</t>
  </si>
  <si>
    <t>le marais</t>
  </si>
  <si>
    <t>canal saint martin</t>
  </si>
  <si>
    <t>bastille paris</t>
  </si>
  <si>
    <t>place des vosges</t>
  </si>
  <si>
    <t>place de la concorde</t>
  </si>
  <si>
    <t>invalides</t>
  </si>
  <si>
    <t>grands boulevards</t>
  </si>
  <si>
    <t>opera district</t>
  </si>
  <si>
    <t>gare du nord</t>
  </si>
  <si>
    <t>gare de lyon</t>
  </si>
  <si>
    <t>gare saint lazare</t>
  </si>
  <si>
    <t>gare montparnasse</t>
  </si>
  <si>
    <t>charles de gaulle airport</t>
  </si>
  <si>
    <t>ory airport</t>
  </si>
  <si>
    <t>cdg airport</t>
  </si>
  <si>
    <t>paris cafe</t>
  </si>
  <si>
    <t>paris bakery</t>
  </si>
  <si>
    <t>paris brasserie</t>
  </si>
  <si>
    <t>french cuisine</t>
  </si>
  <si>
    <t>paris restaurant</t>
  </si>
  <si>
    <t>michelin star paris</t>
  </si>
  <si>
    <t>paris nightlife</t>
  </si>
  <si>
    <t>paris bars</t>
  </si>
  <si>
    <t>paris clubs</t>
  </si>
  <si>
    <t>paris rooftops</t>
  </si>
  <si>
    <t>paris photography</t>
  </si>
  <si>
    <t>paris art</t>
  </si>
  <si>
    <t>street art paris</t>
  </si>
  <si>
    <t>romantic paris</t>
  </si>
  <si>
    <t>hidden paris</t>
  </si>
  <si>
    <t>paris aesthetic</t>
  </si>
  <si>
    <t>parisian style</t>
  </si>
  <si>
    <t>reality show</t>
  </si>
  <si>
    <t>reality tv</t>
  </si>
  <si>
    <t>reality series</t>
  </si>
  <si>
    <t>reality stars</t>
  </si>
  <si>
    <t>reality show drama</t>
  </si>
  <si>
    <t>reality show couple</t>
  </si>
  <si>
    <t>reality competition</t>
  </si>
  <si>
    <t>reality dating show</t>
  </si>
  <si>
    <t>reality talent show</t>
  </si>
  <si>
    <t>reality makeover</t>
  </si>
  <si>
    <t>reality survival</t>
  </si>
  <si>
    <t>reality fashion</t>
  </si>
  <si>
    <t>reality cooking show</t>
  </si>
  <si>
    <t>reality singing show</t>
  </si>
  <si>
    <t>reality dance show</t>
  </si>
  <si>
    <t>reality travel show</t>
  </si>
  <si>
    <t>reality lifestyle</t>
  </si>
  <si>
    <t>reality house</t>
  </si>
  <si>
    <t>reality confessional</t>
  </si>
  <si>
    <t>keeping up with the kardashians</t>
  </si>
  <si>
    <t>the kardashians</t>
  </si>
  <si>
    <t>kim kardashian</t>
  </si>
  <si>
    <t>kylie jenner</t>
  </si>
  <si>
    <t>khloe kardashian</t>
  </si>
  <si>
    <t>kourtney kardashian</t>
  </si>
  <si>
    <t>kanye west kardashians</t>
  </si>
  <si>
    <t>kardashian family</t>
  </si>
  <si>
    <t>real housewives</t>
  </si>
  <si>
    <t>real housewives of beverly hills</t>
  </si>
  <si>
    <t>real housewives of atlanta</t>
  </si>
  <si>
    <t>real housewives of new york</t>
  </si>
  <si>
    <t>bravo tv</t>
  </si>
  <si>
    <t>vanderpump rules</t>
  </si>
  <si>
    <t>laguna beach</t>
  </si>
  <si>
    <t>the hills</t>
  </si>
  <si>
    <t>jersey shore</t>
  </si>
  <si>
    <t>snooki</t>
  </si>
  <si>
    <t>pauly d</t>
  </si>
  <si>
    <t>mtv reality</t>
  </si>
  <si>
    <t>geordie shore</t>
  </si>
  <si>
    <t>love island</t>
  </si>
  <si>
    <t>love island uk</t>
  </si>
  <si>
    <t>love island usa</t>
  </si>
  <si>
    <t>love island australia</t>
  </si>
  <si>
    <t>perfect match netflix</t>
  </si>
  <si>
    <t>sexy beasts</t>
  </si>
  <si>
    <t>dating naked</t>
  </si>
  <si>
    <t>are you the one</t>
  </si>
  <si>
    <t>ex on the beach</t>
  </si>
  <si>
    <t>fboy island</t>
  </si>
  <si>
    <t>the bachelor</t>
  </si>
  <si>
    <t>the bachelorette</t>
  </si>
  <si>
    <t>bachelor in paradise</t>
  </si>
  <si>
    <t>joe millionaire</t>
  </si>
  <si>
    <t>married at first sight</t>
  </si>
  <si>
    <t>90 day fiancé</t>
  </si>
  <si>
    <t>darcey and stacey</t>
  </si>
  <si>
    <t>sister wives</t>
  </si>
  <si>
    <t>seeking sister wife</t>
  </si>
  <si>
    <t>big brother</t>
  </si>
  <si>
    <t>celebrity big brother</t>
  </si>
  <si>
    <t>survivor</t>
  </si>
  <si>
    <t>the amazing race</t>
  </si>
  <si>
    <t>the mole</t>
  </si>
  <si>
    <t>naked and afraid</t>
  </si>
  <si>
    <t>alone show</t>
  </si>
  <si>
    <t>fear factor</t>
  </si>
  <si>
    <t>shark tank</t>
  </si>
  <si>
    <t>dragon’s den</t>
  </si>
  <si>
    <t>undercover boss</t>
  </si>
  <si>
    <t>the apprentice</t>
  </si>
  <si>
    <t>hell’s kitchen</t>
  </si>
  <si>
    <t>gordon ramsay</t>
  </si>
  <si>
    <t>masterchef</t>
  </si>
  <si>
    <t>masterchef junior</t>
  </si>
  <si>
    <t>top chef</t>
  </si>
  <si>
    <t>project runway</t>
  </si>
  <si>
    <t>rupaul’s drag race</t>
  </si>
  <si>
    <t>rupaul</t>
  </si>
  <si>
    <t>america’s next top model</t>
  </si>
  <si>
    <t>tyra banks</t>
  </si>
  <si>
    <t>makeover show</t>
  </si>
  <si>
    <t>extreme makeover home edition</t>
  </si>
  <si>
    <t>pitbulls and parolees</t>
  </si>
  <si>
    <t>pawn stars</t>
  </si>
  <si>
    <t>storage wars</t>
  </si>
  <si>
    <t>deadliest catch</t>
  </si>
  <si>
    <t>gold rush</t>
  </si>
  <si>
    <t>duck dynasty</t>
  </si>
  <si>
    <t>teen mom</t>
  </si>
  <si>
    <t>catfish mtv</t>
  </si>
  <si>
    <t>my super sweet 16</t>
  </si>
  <si>
    <t>flavor of love</t>
  </si>
  <si>
    <t>rock of love</t>
  </si>
  <si>
    <t>tila tequila show</t>
  </si>
  <si>
    <t>reality tv meme</t>
  </si>
  <si>
    <t>reality tv drama</t>
  </si>
  <si>
    <t>reality tv fights</t>
  </si>
  <si>
    <t>reality tv edits</t>
  </si>
  <si>
    <t>reality tv quotes</t>
  </si>
  <si>
    <t>reality show addict</t>
  </si>
  <si>
    <t>mr beast</t>
  </si>
  <si>
    <t>jimmy donaldson</t>
  </si>
  <si>
    <t>mr beast gaming</t>
  </si>
  <si>
    <t>mr beast reacts</t>
  </si>
  <si>
    <t>beast philanthropy</t>
  </si>
  <si>
    <t>team seas</t>
  </si>
  <si>
    <t>team trees</t>
  </si>
  <si>
    <t>mr beast challenge</t>
  </si>
  <si>
    <t>mr beast stunts</t>
  </si>
  <si>
    <t>mr beast experiments</t>
  </si>
  <si>
    <t>mr beast giveaways</t>
  </si>
  <si>
    <t>mr beast money</t>
  </si>
  <si>
    <t>mr beast island</t>
  </si>
  <si>
    <t>mr beast squid game</t>
  </si>
  <si>
    <t>mr beast chocolate</t>
  </si>
  <si>
    <t>feastables</t>
  </si>
  <si>
    <t>mr beast burger</t>
  </si>
  <si>
    <t>beast burger</t>
  </si>
  <si>
    <t>mr beast merch</t>
  </si>
  <si>
    <t>shop mr beast</t>
  </si>
  <si>
    <t>mr beast crew</t>
  </si>
  <si>
    <t>chris tyson</t>
  </si>
  <si>
    <t>chandler hallow</t>
  </si>
  <si>
    <t>carl jacobs</t>
  </si>
  <si>
    <t>nolan hansen</t>
  </si>
  <si>
    <t>tariq mr beast</t>
  </si>
  <si>
    <t>mr beast fans</t>
  </si>
  <si>
    <t>mr beast fanpage</t>
  </si>
  <si>
    <t>mr beast edits</t>
  </si>
  <si>
    <t>mr beast clips</t>
  </si>
  <si>
    <t>mr beast shorts</t>
  </si>
  <si>
    <t>mr beast videos</t>
  </si>
  <si>
    <t>mr beast vlogs</t>
  </si>
  <si>
    <t>mr beast youtube</t>
  </si>
  <si>
    <t>youtube mr beast</t>
  </si>
  <si>
    <t>mr beast tiktok</t>
  </si>
  <si>
    <t>mr beast instagram</t>
  </si>
  <si>
    <t>mr beast twitter</t>
  </si>
  <si>
    <t>mr beast challenge videos</t>
  </si>
  <si>
    <t>mr beast last to leave</t>
  </si>
  <si>
    <t>mr beast circle challenge</t>
  </si>
  <si>
    <t>mr beast hide and seek</t>
  </si>
  <si>
    <t>mr beast treasure hunt</t>
  </si>
  <si>
    <t>mr beast money challenge</t>
  </si>
  <si>
    <t>mr beast world record</t>
  </si>
  <si>
    <t>mr beast car giveaway</t>
  </si>
  <si>
    <t>mr beast house giveaway</t>
  </si>
  <si>
    <t>mr beast private island</t>
  </si>
  <si>
    <t>mr beast stadium challenge</t>
  </si>
  <si>
    <t>mr beast survival challenge</t>
  </si>
  <si>
    <t>mr beast extreme challenge</t>
  </si>
  <si>
    <t>mr beast squid game set</t>
  </si>
  <si>
    <t>mr beast 100 million</t>
  </si>
  <si>
    <t>mr beast subscribers</t>
  </si>
  <si>
    <t>mr beast views</t>
  </si>
  <si>
    <t>mr beast trending</t>
  </si>
  <si>
    <t>mr beast viral</t>
  </si>
  <si>
    <t>mr beast shorts channel</t>
  </si>
  <si>
    <t>mr beast collab</t>
  </si>
  <si>
    <t>mr beast pewdiepie</t>
  </si>
  <si>
    <t>mr beast dream smp</t>
  </si>
  <si>
    <t>mr beast minecraft</t>
  </si>
  <si>
    <t>mr beast fortnite</t>
  </si>
  <si>
    <t>mr beast roblox</t>
  </si>
  <si>
    <t>mr beast gaming crew</t>
  </si>
  <si>
    <t>mr beast among us</t>
  </si>
  <si>
    <t>mr beast sponsors</t>
  </si>
  <si>
    <t>mr beast brand deals</t>
  </si>
  <si>
    <t>mr beast ad</t>
  </si>
  <si>
    <t>mr beast production</t>
  </si>
  <si>
    <t>mr beast content</t>
  </si>
  <si>
    <t>mr beast challenge ideas</t>
  </si>
  <si>
    <t>mr beast extreme stunts</t>
  </si>
  <si>
    <t>mr beast fan edits</t>
  </si>
  <si>
    <t>mr beast memes</t>
  </si>
  <si>
    <t>mr beast funny moments</t>
  </si>
  <si>
    <t>mr beast bloopers</t>
  </si>
  <si>
    <t>mr beast behind the scenes</t>
  </si>
  <si>
    <t>mr beast stories</t>
  </si>
  <si>
    <t>mr beast lifestyle</t>
  </si>
  <si>
    <t>mr beast rich list</t>
  </si>
  <si>
    <t>mr beast net worth</t>
  </si>
  <si>
    <t>mr beast cars</t>
  </si>
  <si>
    <t>mr beast house</t>
  </si>
  <si>
    <t>mr beast private jet</t>
  </si>
  <si>
    <t>mr beast philanthropy</t>
  </si>
  <si>
    <t>mr beast donations</t>
  </si>
  <si>
    <t>mr beast charity</t>
  </si>
  <si>
    <t>mr beast giving back</t>
  </si>
  <si>
    <t>mr beast inspirational</t>
  </si>
  <si>
    <t>mr beast motivation</t>
  </si>
  <si>
    <t>mr beast entrepreneur</t>
  </si>
  <si>
    <t>mr beast business</t>
  </si>
  <si>
    <t>mr beast company</t>
  </si>
  <si>
    <t>mr beast empire</t>
  </si>
  <si>
    <t>mr beast future projects</t>
  </si>
  <si>
    <t>mr beast community</t>
  </si>
  <si>
    <t>jesus</t>
  </si>
  <si>
    <t>jesus christ</t>
  </si>
  <si>
    <t>jesus of nazareth</t>
  </si>
  <si>
    <t>jesus saves</t>
  </si>
  <si>
    <t>jesus is lord</t>
  </si>
  <si>
    <t>jesus loves you</t>
  </si>
  <si>
    <t>jesus is king</t>
  </si>
  <si>
    <t>jesus is risen</t>
  </si>
  <si>
    <t>jesus is alive</t>
  </si>
  <si>
    <t>jesus second coming</t>
  </si>
  <si>
    <t>jesus crucifixion</t>
  </si>
  <si>
    <t>jesus resurrection</t>
  </si>
  <si>
    <t>jesus gospel</t>
  </si>
  <si>
    <t>jesus christ superstar</t>
  </si>
  <si>
    <t>jesus quotes</t>
  </si>
  <si>
    <t>jesus bible</t>
  </si>
  <si>
    <t>jesus teaching</t>
  </si>
  <si>
    <t>jesus disciples</t>
  </si>
  <si>
    <t>jesus apostles</t>
  </si>
  <si>
    <t>jesus mary</t>
  </si>
  <si>
    <t>jesus joseph</t>
  </si>
  <si>
    <t>jesus nativity</t>
  </si>
  <si>
    <t>baby jesus</t>
  </si>
  <si>
    <t>jesus cross</t>
  </si>
  <si>
    <t>jesus blood</t>
  </si>
  <si>
    <t>jesus sacrifice</t>
  </si>
  <si>
    <t>jesus passion</t>
  </si>
  <si>
    <t>jesus prayer</t>
  </si>
  <si>
    <t>jesus miracles</t>
  </si>
  <si>
    <t>jesus healing</t>
  </si>
  <si>
    <t>jesus walking on water</t>
  </si>
  <si>
    <t>jesus feeding 5000</t>
  </si>
  <si>
    <t>jesus parables</t>
  </si>
  <si>
    <t>jesus good shepherd</t>
  </si>
  <si>
    <t>jesus light of the world</t>
  </si>
  <si>
    <t>jesus son of god</t>
  </si>
  <si>
    <t>jesus messiah</t>
  </si>
  <si>
    <t>jesus savior</t>
  </si>
  <si>
    <t>jesus redeemer</t>
  </si>
  <si>
    <t>jesus christ king</t>
  </si>
  <si>
    <t>jesus christ lord</t>
  </si>
  <si>
    <t>jesus holy spirit</t>
  </si>
  <si>
    <t>jesus christ love</t>
  </si>
  <si>
    <t>jesus peace</t>
  </si>
  <si>
    <t>jesus mercy</t>
  </si>
  <si>
    <t>jesus forgiveness</t>
  </si>
  <si>
    <t>jesus grace</t>
  </si>
  <si>
    <t>jesus faith</t>
  </si>
  <si>
    <t>jesus christ church</t>
  </si>
  <si>
    <t>jesus christian</t>
  </si>
  <si>
    <t>jesus catholic</t>
  </si>
  <si>
    <t>jesus orthodox</t>
  </si>
  <si>
    <t>jesus protestant</t>
  </si>
  <si>
    <t>jesus evangelical</t>
  </si>
  <si>
    <t>jesus pentecostal</t>
  </si>
  <si>
    <t>jesus worship</t>
  </si>
  <si>
    <t>jesus praise</t>
  </si>
  <si>
    <t>jesus song</t>
  </si>
  <si>
    <t>jesus music</t>
  </si>
  <si>
    <t>jesus gospel song</t>
  </si>
  <si>
    <t>jesus worship song</t>
  </si>
  <si>
    <t>jesus christ movie</t>
  </si>
  <si>
    <t>jesus passion movie</t>
  </si>
  <si>
    <t>jesus chosen</t>
  </si>
  <si>
    <t>jesus tv series</t>
  </si>
  <si>
    <t>jesus art</t>
  </si>
  <si>
    <t>jesus painting</t>
  </si>
  <si>
    <t>jesus icon</t>
  </si>
  <si>
    <t>jesus mosaic</t>
  </si>
  <si>
    <t>jesus statue</t>
  </si>
  <si>
    <t>sacred heart jesus</t>
  </si>
  <si>
    <t>jesus sacred heart</t>
  </si>
  <si>
    <t>divine mercy jesus</t>
  </si>
  <si>
    <t>jesus eucharist</t>
  </si>
  <si>
    <t>jesus last supper</t>
  </si>
  <si>
    <t>jesus bread of life</t>
  </si>
  <si>
    <t>jesus lamb of god</t>
  </si>
  <si>
    <t>jesus king of kings</t>
  </si>
  <si>
    <t>jesus lord of lords</t>
  </si>
  <si>
    <t>jesus alpha and omega</t>
  </si>
  <si>
    <t>jesus prayer life</t>
  </si>
  <si>
    <t>jesus christ meditation</t>
  </si>
  <si>
    <t>jesus daily prayer</t>
  </si>
  <si>
    <t>jesus devotion</t>
  </si>
  <si>
    <t>jesus rosary</t>
  </si>
  <si>
    <t>jesus bible verse</t>
  </si>
  <si>
    <t>jesus psalms</t>
  </si>
  <si>
    <t>jesus proverbs</t>
  </si>
  <si>
    <t>jesus parable</t>
  </si>
  <si>
    <t>jesus teaching love</t>
  </si>
  <si>
    <t>jesus sermon on the mount</t>
  </si>
  <si>
    <t>jesus beatitudes</t>
  </si>
  <si>
    <t>jesus christian life</t>
  </si>
  <si>
    <t>jesus born bethlehem</t>
  </si>
  <si>
    <t>jesus galilee</t>
  </si>
  <si>
    <t>jesus jerusalem</t>
  </si>
  <si>
    <t>jesus holy land</t>
  </si>
  <si>
    <t>jesus christ faith</t>
  </si>
  <si>
    <t>jesus christ hope</t>
  </si>
  <si>
    <t>jesus christ joy</t>
  </si>
  <si>
    <t>jesus christ glory</t>
  </si>
  <si>
    <t>ai</t>
  </si>
  <si>
    <t>artificial intelligence</t>
  </si>
  <si>
    <t>machine learning</t>
  </si>
  <si>
    <t>deep learning</t>
  </si>
  <si>
    <t>neural networks</t>
  </si>
  <si>
    <t>natural language processing</t>
  </si>
  <si>
    <t>nlp ai</t>
  </si>
  <si>
    <t>computer vision</t>
  </si>
  <si>
    <t>speech recognition</t>
  </si>
  <si>
    <t>voice ai</t>
  </si>
  <si>
    <t>image recognition</t>
  </si>
  <si>
    <t>chatbot</t>
  </si>
  <si>
    <t>virtual assistant</t>
  </si>
  <si>
    <t>ai assistant</t>
  </si>
  <si>
    <t>ai bot</t>
  </si>
  <si>
    <t>ai tools</t>
  </si>
  <si>
    <t>ai software</t>
  </si>
  <si>
    <t>ai apps</t>
  </si>
  <si>
    <t>ai research</t>
  </si>
  <si>
    <t>ai ethics</t>
  </si>
  <si>
    <t>responsible ai</t>
  </si>
  <si>
    <t>explainable ai</t>
  </si>
  <si>
    <t>generative ai</t>
  </si>
  <si>
    <t>ai art</t>
  </si>
  <si>
    <t>ai music</t>
  </si>
  <si>
    <t>ai video</t>
  </si>
  <si>
    <t>ai content creation</t>
  </si>
  <si>
    <t>ai copywriting</t>
  </si>
  <si>
    <t>ai code generator</t>
  </si>
  <si>
    <t>ai design</t>
  </si>
  <si>
    <t>ai photo editor</t>
  </si>
  <si>
    <t>ai voiceover</t>
  </si>
  <si>
    <t>ai avatar</t>
  </si>
  <si>
    <t>ai clone</t>
  </si>
  <si>
    <t>ai girlfriend</t>
  </si>
  <si>
    <t>ai boyfriend</t>
  </si>
  <si>
    <t>ai meme</t>
  </si>
  <si>
    <t>ai aesthetic</t>
  </si>
  <si>
    <t>ai filter</t>
  </si>
  <si>
    <t>stable diffusion</t>
  </si>
  <si>
    <t>midjourney</t>
  </si>
  <si>
    <t>dall e</t>
  </si>
  <si>
    <t>chatgpt</t>
  </si>
  <si>
    <t>gpt 4</t>
  </si>
  <si>
    <t>gpt 5</t>
  </si>
  <si>
    <t>openai</t>
  </si>
  <si>
    <t>anthropic claude</t>
  </si>
  <si>
    <t>google gemini</t>
  </si>
  <si>
    <t>meta llama</t>
  </si>
  <si>
    <t>mistral ai</t>
  </si>
  <si>
    <t>perplexity ai</t>
  </si>
  <si>
    <t>character ai</t>
  </si>
  <si>
    <t>replika ai</t>
  </si>
  <si>
    <t>runway ml</t>
  </si>
  <si>
    <t>elevenlabs ai</t>
  </si>
  <si>
    <t>suno ai</t>
  </si>
  <si>
    <t>pika labs</t>
  </si>
  <si>
    <t>synthesia ai</t>
  </si>
  <si>
    <t>descript ai</t>
  </si>
  <si>
    <t>notion ai</t>
  </si>
  <si>
    <t>jasper ai</t>
  </si>
  <si>
    <t>copy ai</t>
  </si>
  <si>
    <t>writesonic</t>
  </si>
  <si>
    <t>quillbot ai</t>
  </si>
  <si>
    <t>grammarly ai</t>
  </si>
  <si>
    <t>surfer seo ai</t>
  </si>
  <si>
    <t>framer ai</t>
  </si>
  <si>
    <t>figma ai</t>
  </si>
  <si>
    <t>photoshop ai</t>
  </si>
  <si>
    <t>premiere pro ai</t>
  </si>
  <si>
    <t>after effects ai</t>
  </si>
  <si>
    <t>sound ai</t>
  </si>
  <si>
    <t>ai productivity</t>
  </si>
  <si>
    <t>ai business</t>
  </si>
  <si>
    <t>ai marketing</t>
  </si>
  <si>
    <t>ai sales</t>
  </si>
  <si>
    <t>ai customer support</t>
  </si>
  <si>
    <t>ai education</t>
  </si>
  <si>
    <t>ai healthcare</t>
  </si>
  <si>
    <t>ai finance</t>
  </si>
  <si>
    <t>ai law</t>
  </si>
  <si>
    <t>ai music industry</t>
  </si>
  <si>
    <t>ai movies</t>
  </si>
  <si>
    <t>ai gaming</t>
  </si>
  <si>
    <t>ai esports</t>
  </si>
  <si>
    <t>ai sports analytics</t>
  </si>
  <si>
    <t>ai robotics</t>
  </si>
  <si>
    <t>humanoid robot</t>
  </si>
  <si>
    <t>boston dynamics</t>
  </si>
  <si>
    <t>tesla optimus</t>
  </si>
  <si>
    <t>ai automation</t>
  </si>
  <si>
    <t>ai in manufacturing</t>
  </si>
  <si>
    <t>ai agriculture</t>
  </si>
  <si>
    <t>ai climate</t>
  </si>
  <si>
    <t>ai sustainability</t>
  </si>
  <si>
    <t>ai security</t>
  </si>
  <si>
    <t>cybersecurity ai</t>
  </si>
  <si>
    <t>ai bias</t>
  </si>
  <si>
    <t>ai dangers</t>
  </si>
  <si>
    <t>ai future</t>
  </si>
  <si>
    <t>ai revolution</t>
  </si>
  <si>
    <t>ai vs human</t>
  </si>
  <si>
    <t>superintelligence</t>
  </si>
  <si>
    <t>agi</t>
  </si>
  <si>
    <t>artificial general intelligence</t>
  </si>
  <si>
    <t>singularity ai</t>
  </si>
  <si>
    <t>hustle life</t>
  </si>
  <si>
    <t>hustle hard</t>
  </si>
  <si>
    <t>hustle grind</t>
  </si>
  <si>
    <t>rise and grind</t>
  </si>
  <si>
    <t>grind mode</t>
  </si>
  <si>
    <t>always grinding</t>
  </si>
  <si>
    <t>hustle motivation</t>
  </si>
  <si>
    <t>daily hustle</t>
  </si>
  <si>
    <t>side hustle</t>
  </si>
  <si>
    <t>multiple streams of income</t>
  </si>
  <si>
    <t>passive income hustle</t>
  </si>
  <si>
    <t>hustle goals</t>
  </si>
  <si>
    <t>hustle dream</t>
  </si>
  <si>
    <t>hustle quotes</t>
  </si>
  <si>
    <t>hustle inspiration</t>
  </si>
  <si>
    <t>work hard hustle</t>
  </si>
  <si>
    <t>stay hustling</t>
  </si>
  <si>
    <t>never not hustling</t>
  </si>
  <si>
    <t>hustle mindset</t>
  </si>
  <si>
    <t>entrepreneur hustle</t>
  </si>
  <si>
    <t>startup hustle</t>
  </si>
  <si>
    <t>business hustle</t>
  </si>
  <si>
    <t>money hustle</t>
  </si>
  <si>
    <t>success hustle</t>
  </si>
  <si>
    <t>millionaire mindset</t>
  </si>
  <si>
    <t>billionaire mindset</t>
  </si>
  <si>
    <t>hustle empire</t>
  </si>
  <si>
    <t>hustle 24/7</t>
  </si>
  <si>
    <t>late night hustle</t>
  </si>
  <si>
    <t>early morning grind</t>
  </si>
  <si>
    <t>morning hustle</t>
  </si>
  <si>
    <t>weekend hustle</t>
  </si>
  <si>
    <t>no days off</t>
  </si>
  <si>
    <t>hustle everyday</t>
  </si>
  <si>
    <t>self made hustle</t>
  </si>
  <si>
    <t>grind to shine</t>
  </si>
  <si>
    <t>grind to succeed</t>
  </si>
  <si>
    <t>hustle for success</t>
  </si>
  <si>
    <t>chase the bag</t>
  </si>
  <si>
    <t>securing the bag</t>
  </si>
  <si>
    <t>get the bag</t>
  </si>
  <si>
    <t>money moves</t>
  </si>
  <si>
    <t>grind season</t>
  </si>
  <si>
    <t>grind culture</t>
  </si>
  <si>
    <t>hustle mentality</t>
  </si>
  <si>
    <t>dream chaser</t>
  </si>
  <si>
    <t>goal digger</t>
  </si>
  <si>
    <t>ambition hustle</t>
  </si>
  <si>
    <t>ambitious mindset</t>
  </si>
  <si>
    <t>boss moves</t>
  </si>
  <si>
    <t>boss mindset</t>
  </si>
  <si>
    <t>ceo hustle</t>
  </si>
  <si>
    <t>founder hustle</t>
  </si>
  <si>
    <t>visionary hustle</t>
  </si>
  <si>
    <t>rise hustle grind</t>
  </si>
  <si>
    <t>hustle and flow</t>
  </si>
  <si>
    <t>hustle harder</t>
  </si>
  <si>
    <t>smart hustle</t>
  </si>
  <si>
    <t>digital hustle</t>
  </si>
  <si>
    <t>online hustle</t>
  </si>
  <si>
    <t>creative hustle</t>
  </si>
  <si>
    <t>content hustle</t>
  </si>
  <si>
    <t>social media hustle</t>
  </si>
  <si>
    <t>influencer hustle</t>
  </si>
  <si>
    <t>fitness hustle</t>
  </si>
  <si>
    <t>gym hustle</t>
  </si>
  <si>
    <t>music hustle</t>
  </si>
  <si>
    <t>rap hustle</t>
  </si>
  <si>
    <t>studio grind</t>
  </si>
  <si>
    <t>artist hustle</t>
  </si>
  <si>
    <t>design hustle</t>
  </si>
  <si>
    <t>fashion hustle</t>
  </si>
  <si>
    <t>photography hustle</t>
  </si>
  <si>
    <t>film hustle</t>
  </si>
  <si>
    <t>acting hustle</t>
  </si>
  <si>
    <t>hustle spirit</t>
  </si>
  <si>
    <t>positive hustle</t>
  </si>
  <si>
    <t>hard work pays off</t>
  </si>
  <si>
    <t>dedication hustle</t>
  </si>
  <si>
    <t>commitment hustle</t>
  </si>
  <si>
    <t>persistence hustle</t>
  </si>
  <si>
    <t>consistency hustle</t>
  </si>
  <si>
    <t>unstoppable hustle</t>
  </si>
  <si>
    <t>focused hustle</t>
  </si>
  <si>
    <t>motivated hustle</t>
  </si>
  <si>
    <t>driven hustle</t>
  </si>
  <si>
    <t>grind inspiration</t>
  </si>
  <si>
    <t>keep hustling</t>
  </si>
  <si>
    <t>hustle aesthetic</t>
  </si>
  <si>
    <t>luxury hustle</t>
  </si>
  <si>
    <t>lifestyle hustle</t>
  </si>
  <si>
    <t>travel hustle</t>
  </si>
  <si>
    <t>freedom hustle</t>
  </si>
  <si>
    <t>hustle and success</t>
  </si>
  <si>
    <t>work grind</t>
  </si>
  <si>
    <t>side grind</t>
  </si>
  <si>
    <t>silent hustle</t>
  </si>
  <si>
    <t>grind now shine later</t>
  </si>
  <si>
    <t>sacrifice hustle</t>
  </si>
  <si>
    <t>dubai</t>
  </si>
  <si>
    <t>visit dubai</t>
  </si>
  <si>
    <t>dubai tourism</t>
  </si>
  <si>
    <t>dubai travel</t>
  </si>
  <si>
    <t>dubai trip</t>
  </si>
  <si>
    <t>dubai vacation</t>
  </si>
  <si>
    <t>dubai lifestyle</t>
  </si>
  <si>
    <t>dubai luxury</t>
  </si>
  <si>
    <t>dubai city</t>
  </si>
  <si>
    <t>dubai skyline</t>
  </si>
  <si>
    <t>dubai marina</t>
  </si>
  <si>
    <t>dubai creek</t>
  </si>
  <si>
    <t>dubai desert</t>
  </si>
  <si>
    <t>dubai safari</t>
  </si>
  <si>
    <t>dubai souk</t>
  </si>
  <si>
    <t>dubai gold souk</t>
  </si>
  <si>
    <t>dubai spice souk</t>
  </si>
  <si>
    <t>dubai mall</t>
  </si>
  <si>
    <t>dubai aquarium</t>
  </si>
  <si>
    <t>dubai fountain</t>
  </si>
  <si>
    <t>dubai opera</t>
  </si>
  <si>
    <t>dubai frame</t>
  </si>
  <si>
    <t>dubai eye</t>
  </si>
  <si>
    <t>dubai miracle garden</t>
  </si>
  <si>
    <t>dubai butterfly garden</t>
  </si>
  <si>
    <t>dubai parks</t>
  </si>
  <si>
    <t>dubai beach</t>
  </si>
  <si>
    <t>jumeirah beach</t>
  </si>
  <si>
    <t>jumeirah beach hotel</t>
  </si>
  <si>
    <t>jumeirah mosque</t>
  </si>
  <si>
    <t>jumeirah islands</t>
  </si>
  <si>
    <t>jumeirah palm</t>
  </si>
  <si>
    <t>palm jumeirah</t>
  </si>
  <si>
    <t>burj khalifa</t>
  </si>
  <si>
    <t>burj al arab</t>
  </si>
  <si>
    <t>dubai design district</t>
  </si>
  <si>
    <t>dubai international financial centre</t>
  </si>
  <si>
    <t>dubai expo</t>
  </si>
  <si>
    <t>expo 2020 dubai</t>
  </si>
  <si>
    <t>global village dubai</t>
  </si>
  <si>
    <t>dubai festival city</t>
  </si>
  <si>
    <t>dubai creek harbour</t>
  </si>
  <si>
    <t>dubai museum</t>
  </si>
  <si>
    <t>etihad museum</t>
  </si>
  <si>
    <t>dubai heritage village</t>
  </si>
  <si>
    <t>dubai old town</t>
  </si>
  <si>
    <t>al fahidi district</t>
  </si>
  <si>
    <t>dubai architecture</t>
  </si>
  <si>
    <t>dubai towers</t>
  </si>
  <si>
    <t>dubai skyscrapers</t>
  </si>
  <si>
    <t>dubai luxury hotel</t>
  </si>
  <si>
    <t>dubai resorts</t>
  </si>
  <si>
    <t>dubai nightlife</t>
  </si>
  <si>
    <t>dubai clubs</t>
  </si>
  <si>
    <t>dubai bars</t>
  </si>
  <si>
    <t>dubai restaurants</t>
  </si>
  <si>
    <t>dubai brunch</t>
  </si>
  <si>
    <t>dubai food</t>
  </si>
  <si>
    <t>dubai street food</t>
  </si>
  <si>
    <t>dubai shopping</t>
  </si>
  <si>
    <t>dubai outlet mall</t>
  </si>
  <si>
    <t>dubai souks</t>
  </si>
  <si>
    <t>dubai markets</t>
  </si>
  <si>
    <t>dubai art</t>
  </si>
  <si>
    <t>dubai culture</t>
  </si>
  <si>
    <t>dubai fashion</t>
  </si>
  <si>
    <t>dubai influencers</t>
  </si>
  <si>
    <t>dubai instagram</t>
  </si>
  <si>
    <t>dubai yacht</t>
  </si>
  <si>
    <t>dubai yacht party</t>
  </si>
  <si>
    <t>dubai marina walk</t>
  </si>
  <si>
    <t>dubai water canal</t>
  </si>
  <si>
    <t>dubai skyline view</t>
  </si>
  <si>
    <t>dubai rooftop</t>
  </si>
  <si>
    <t>dubai sunset</t>
  </si>
  <si>
    <t>dubai sunrise</t>
  </si>
  <si>
    <t>dubai desert safari</t>
  </si>
  <si>
    <t>dubai camel ride</t>
  </si>
  <si>
    <t>dubai dune bashing</t>
  </si>
  <si>
    <t>dubai quad bike</t>
  </si>
  <si>
    <t>dubai adventure</t>
  </si>
  <si>
    <t>dubai skydiving</t>
  </si>
  <si>
    <t>dubai jet ski</t>
  </si>
  <si>
    <t>dubai helicopter tour</t>
  </si>
  <si>
    <t>dubai hot air balloon</t>
  </si>
  <si>
    <t>dubai golf</t>
  </si>
  <si>
    <t>dubai tennis</t>
  </si>
  <si>
    <t>dubai f1</t>
  </si>
  <si>
    <t>dubai horse racing</t>
  </si>
  <si>
    <t>dubai polo</t>
  </si>
  <si>
    <t>dubai real estate</t>
  </si>
  <si>
    <t>dubai property</t>
  </si>
  <si>
    <t>dubai apartment</t>
  </si>
  <si>
    <t>dubai penthouse</t>
  </si>
  <si>
    <t>dubai villa</t>
  </si>
  <si>
    <t>dubai business</t>
  </si>
  <si>
    <t>dubai startup</t>
  </si>
  <si>
    <t>dubai tech</t>
  </si>
  <si>
    <t>dubai expo city</t>
  </si>
  <si>
    <t>dubai future</t>
  </si>
  <si>
    <t>dubai smart city</t>
  </si>
  <si>
    <t>dubai airport</t>
  </si>
  <si>
    <t>dubai duty free</t>
  </si>
  <si>
    <t>emirates airline</t>
  </si>
  <si>
    <t>flydubai</t>
  </si>
  <si>
    <t>dubai emirates</t>
  </si>
  <si>
    <t>sheikh zayed road</t>
  </si>
  <si>
    <t>sheikh mohammed</t>
  </si>
  <si>
    <t>uae dubai</t>
  </si>
  <si>
    <t>dubai aesthetic</t>
  </si>
  <si>
    <t>extreme</t>
  </si>
  <si>
    <t>extreme sports</t>
  </si>
  <si>
    <t>extreme adventure</t>
  </si>
  <si>
    <t>extreme lifestyle</t>
  </si>
  <si>
    <t>extreme workout</t>
  </si>
  <si>
    <t>extreme fitness</t>
  </si>
  <si>
    <t>extreme bodybuilding</t>
  </si>
  <si>
    <t>extreme calisthenics</t>
  </si>
  <si>
    <t>extreme weightlifting</t>
  </si>
  <si>
    <t>extreme strength</t>
  </si>
  <si>
    <t>extreme powerlifting</t>
  </si>
  <si>
    <t>extreme endurance</t>
  </si>
  <si>
    <t>extreme running</t>
  </si>
  <si>
    <t>ultramarathon</t>
  </si>
  <si>
    <t>ironman triathlon</t>
  </si>
  <si>
    <t>spartan race</t>
  </si>
  <si>
    <t>tough mudder</t>
  </si>
  <si>
    <t>ninja warrior</t>
  </si>
  <si>
    <t>extreme parkour</t>
  </si>
  <si>
    <t>freerunning</t>
  </si>
  <si>
    <t>base jumping</t>
  </si>
  <si>
    <t>bungee jumping</t>
  </si>
  <si>
    <t>skydiving</t>
  </si>
  <si>
    <t>wingsuit flying</t>
  </si>
  <si>
    <t>paragliding</t>
  </si>
  <si>
    <t>hang gliding</t>
  </si>
  <si>
    <t>extreme surfing</t>
  </si>
  <si>
    <t>big wave surfing</t>
  </si>
  <si>
    <t>kite surfing</t>
  </si>
  <si>
    <t>wind surfing</t>
  </si>
  <si>
    <t>wakeboarding</t>
  </si>
  <si>
    <t>extreme skateboarding</t>
  </si>
  <si>
    <t>vert skateboarding</t>
  </si>
  <si>
    <t>bmx extreme</t>
  </si>
  <si>
    <t>downhill mountain biking</t>
  </si>
  <si>
    <t>freeride mtb</t>
  </si>
  <si>
    <t>extreme skiing</t>
  </si>
  <si>
    <t>freeride skiing</t>
  </si>
  <si>
    <t>freestyle skiing</t>
  </si>
  <si>
    <t>extreme snowboarding</t>
  </si>
  <si>
    <t>snowboard tricks</t>
  </si>
  <si>
    <t>ice climbing</t>
  </si>
  <si>
    <t>rock climbing</t>
  </si>
  <si>
    <t>bouldering</t>
  </si>
  <si>
    <t>mountaineering</t>
  </si>
  <si>
    <t>expedition climbing</t>
  </si>
  <si>
    <t>everest summit</t>
  </si>
  <si>
    <t>k2 climbing</t>
  </si>
  <si>
    <t>extreme hiking</t>
  </si>
  <si>
    <t>ultra hiking</t>
  </si>
  <si>
    <t>desert trekking</t>
  </si>
  <si>
    <t>arctic expedition</t>
  </si>
  <si>
    <t>polar plunge</t>
  </si>
  <si>
    <t>deep sea diving</t>
  </si>
  <si>
    <t>scuba diving</t>
  </si>
  <si>
    <t>cave diving</t>
  </si>
  <si>
    <t>freediving</t>
  </si>
  <si>
    <t>shark diving</t>
  </si>
  <si>
    <t>extreme kayaking</t>
  </si>
  <si>
    <t>whitewater rafting</t>
  </si>
  <si>
    <t>canoe slalom</t>
  </si>
  <si>
    <t>extreme sailing</t>
  </si>
  <si>
    <t>offshore sailing</t>
  </si>
  <si>
    <t>desert rally</t>
  </si>
  <si>
    <t>dakar rally</t>
  </si>
  <si>
    <t>offroad racing</t>
  </si>
  <si>
    <t>extreme motocross</t>
  </si>
  <si>
    <t>freestyle motocross</t>
  </si>
  <si>
    <t>supercross</t>
  </si>
  <si>
    <t>enduro racing</t>
  </si>
  <si>
    <t>extreme car drift</t>
  </si>
  <si>
    <t>drift racing</t>
  </si>
  <si>
    <t>drag racing</t>
  </si>
  <si>
    <t>street racing</t>
  </si>
  <si>
    <t>monster trucks</t>
  </si>
  <si>
    <t>demolition derby</t>
  </si>
  <si>
    <t>extreme stunts</t>
  </si>
  <si>
    <t>daredevil</t>
  </si>
  <si>
    <t>adrenaline rush</t>
  </si>
  <si>
    <t>thrill seeker</t>
  </si>
  <si>
    <t>fearless</t>
  </si>
  <si>
    <t>risk taker</t>
  </si>
  <si>
    <t>go hard or go home</t>
  </si>
  <si>
    <t>no limits</t>
  </si>
  <si>
    <t>push your limits</t>
  </si>
  <si>
    <t>beyond limits</t>
  </si>
  <si>
    <t>extreme performance</t>
  </si>
  <si>
    <t>extreme weather</t>
  </si>
  <si>
    <t>storm chasing</t>
  </si>
  <si>
    <t>tornado hunters</t>
  </si>
  <si>
    <t>hurricane chasers</t>
  </si>
  <si>
    <t>blizzard survival</t>
  </si>
  <si>
    <t>desert survival</t>
  </si>
  <si>
    <t>wilderness survival</t>
  </si>
  <si>
    <t>extreme camping</t>
  </si>
  <si>
    <t>bushcraft survival</t>
  </si>
  <si>
    <t>military training</t>
  </si>
  <si>
    <t>special forces training</t>
  </si>
  <si>
    <t>firefighter training</t>
  </si>
  <si>
    <t>rescue mission</t>
  </si>
  <si>
    <t>search and rescue</t>
  </si>
  <si>
    <t>extreme challenge</t>
  </si>
  <si>
    <t>extreme reality show</t>
  </si>
  <si>
    <t>extreme tv</t>
  </si>
  <si>
    <t>extreme aesthetic</t>
  </si>
  <si>
    <t>tokyo</t>
  </si>
  <si>
    <t>tokyo city</t>
  </si>
  <si>
    <t>tokyo travel</t>
  </si>
  <si>
    <t>tokyo trip</t>
  </si>
  <si>
    <t>tokyo vacation</t>
  </si>
  <si>
    <t>visit tokyo</t>
  </si>
  <si>
    <t>tokyo tourism</t>
  </si>
  <si>
    <t>tokyo guide</t>
  </si>
  <si>
    <t>tokyo itinerary</t>
  </si>
  <si>
    <t>tokyo lifestyle</t>
  </si>
  <si>
    <t>tokyo night</t>
  </si>
  <si>
    <t>tokyo day</t>
  </si>
  <si>
    <t>tokyo streets</t>
  </si>
  <si>
    <t>tokyo vibes</t>
  </si>
  <si>
    <t>tokyo aesthetic</t>
  </si>
  <si>
    <t>tokyo fashion</t>
  </si>
  <si>
    <t>tokyo streetwear</t>
  </si>
  <si>
    <t>harajuku</t>
  </si>
  <si>
    <t>takeshita street</t>
  </si>
  <si>
    <t>shibuya</t>
  </si>
  <si>
    <t>shibuya crossing</t>
  </si>
  <si>
    <t>shibuya sky</t>
  </si>
  <si>
    <t>shinjuku</t>
  </si>
  <si>
    <t>kabukicho</t>
  </si>
  <si>
    <t>golden gai</t>
  </si>
  <si>
    <t>roppongi</t>
  </si>
  <si>
    <t>ginza</t>
  </si>
  <si>
    <t>omotesando</t>
  </si>
  <si>
    <t>daikanyama</t>
  </si>
  <si>
    <t>ebisu</t>
  </si>
  <si>
    <t>nakameguro</t>
  </si>
  <si>
    <t>aoyama</t>
  </si>
  <si>
    <t>akihabara</t>
  </si>
  <si>
    <t>otaku tokyo</t>
  </si>
  <si>
    <t>anime tokyo</t>
  </si>
  <si>
    <t>manga tokyo</t>
  </si>
  <si>
    <t>anime shops tokyo</t>
  </si>
  <si>
    <t>pokemon center tokyo</t>
  </si>
  <si>
    <t>ghibli museum</t>
  </si>
  <si>
    <t>studio ghibli tokyo</t>
  </si>
  <si>
    <t>ikebukuro</t>
  </si>
  <si>
    <t>sunshine city</t>
  </si>
  <si>
    <t>ueno</t>
  </si>
  <si>
    <t>ueno zoo</t>
  </si>
  <si>
    <t>ueno park</t>
  </si>
  <si>
    <t>asakusa</t>
  </si>
  <si>
    <t>sensoji temple</t>
  </si>
  <si>
    <t>tokyo skytree</t>
  </si>
  <si>
    <t>tokyo tower</t>
  </si>
  <si>
    <t>odaiba</t>
  </si>
  <si>
    <t>teamlab planets</t>
  </si>
  <si>
    <t>teamlab borderless</t>
  </si>
  <si>
    <t>odaiba ferris wheel</t>
  </si>
  <si>
    <t>rainbow bridge tokyo</t>
  </si>
  <si>
    <t>tsukiji market</t>
  </si>
  <si>
    <t>toyosu market</t>
  </si>
  <si>
    <t>tokyo sushi</t>
  </si>
  <si>
    <t>tokyo ramen</t>
  </si>
  <si>
    <t>ichiran ramen</t>
  </si>
  <si>
    <t>ipuddo ramen</t>
  </si>
  <si>
    <t>kaiten sushi</t>
  </si>
  <si>
    <t>kaiseki tokyo</t>
  </si>
  <si>
    <t>tokyo food</t>
  </si>
  <si>
    <t>tokyo izakaya</t>
  </si>
  <si>
    <t>tokyo nightlife</t>
  </si>
  <si>
    <t>tokyo karaoke</t>
  </si>
  <si>
    <t>tokyo clubs</t>
  </si>
  <si>
    <t>tokyo bars</t>
  </si>
  <si>
    <t>tokyo rooftops</t>
  </si>
  <si>
    <t>tokyo cafes</t>
  </si>
  <si>
    <t>tokyo coffee</t>
  </si>
  <si>
    <t>tokyo dessert</t>
  </si>
  <si>
    <t>tokyo shopping</t>
  </si>
  <si>
    <t>don quijote tokyo</t>
  </si>
  <si>
    <t>uniqlo tokyo</t>
  </si>
  <si>
    <t>supreme tokyo</t>
  </si>
  <si>
    <t>louis vuitton tokyo</t>
  </si>
  <si>
    <t>gucci tokyo</t>
  </si>
  <si>
    <t>tokyo disney</t>
  </si>
  <si>
    <t>tokyo disneysea</t>
  </si>
  <si>
    <t>tokyo dome</t>
  </si>
  <si>
    <t>tokyo dome city</t>
  </si>
  <si>
    <t>yoyogi park</t>
  </si>
  <si>
    <t>meiji shrine</t>
  </si>
  <si>
    <t>imperial palace tokyo</t>
  </si>
  <si>
    <t>rikugien garden</t>
  </si>
  <si>
    <t>shinjuku gyoen</t>
  </si>
  <si>
    <t>tokyo trains</t>
  </si>
  <si>
    <t>tokyo subway</t>
  </si>
  <si>
    <t>tokyo metro</t>
  </si>
  <si>
    <t>shinkansen tokyo</t>
  </si>
  <si>
    <t>narita airport</t>
  </si>
  <si>
    <t>haneda airport</t>
  </si>
  <si>
    <t>tokyo olympics</t>
  </si>
  <si>
    <t>tokyo marathon</t>
  </si>
  <si>
    <t>tokyo game show</t>
  </si>
  <si>
    <t>tokyo auto salon</t>
  </si>
  <si>
    <t>tokyo culture</t>
  </si>
  <si>
    <t>tokyo art</t>
  </si>
  <si>
    <t>mori art museum</t>
  </si>
  <si>
    <t>teamlab tokyo</t>
  </si>
  <si>
    <t>tokyo photography</t>
  </si>
  <si>
    <t>tokyo skyline</t>
  </si>
  <si>
    <t>tokyo sunset</t>
  </si>
  <si>
    <t>tokyo sunrise</t>
  </si>
  <si>
    <t>silicon valley</t>
  </si>
  <si>
    <t>silicon valley tech</t>
  </si>
  <si>
    <t>silicon valley life</t>
  </si>
  <si>
    <t>silicon valley culture</t>
  </si>
  <si>
    <t>silicon valley innovation</t>
  </si>
  <si>
    <t>silicon valley venture capital</t>
  </si>
  <si>
    <t>silicon valley investors</t>
  </si>
  <si>
    <t>silicon valley entrepreneurs</t>
  </si>
  <si>
    <t>silicon valley founders</t>
  </si>
  <si>
    <t>silicon valley hustle</t>
  </si>
  <si>
    <t>silicon valley grind</t>
  </si>
  <si>
    <t>silicon valley ecosystem</t>
  </si>
  <si>
    <t>silicon valley jobs</t>
  </si>
  <si>
    <t>silicon valley engineers</t>
  </si>
  <si>
    <t>silicon valley coders</t>
  </si>
  <si>
    <t>silicon valley developers</t>
  </si>
  <si>
    <t>silicon valley designers</t>
  </si>
  <si>
    <t>silicon valley product managers</t>
  </si>
  <si>
    <t>silicon valley ceos</t>
  </si>
  <si>
    <t>stanford university</t>
  </si>
  <si>
    <t>stanford innovation</t>
  </si>
  <si>
    <t>stanford entrepreneurs</t>
  </si>
  <si>
    <t>stanford startup</t>
  </si>
  <si>
    <t>stanford gsb</t>
  </si>
  <si>
    <t>palo alto</t>
  </si>
  <si>
    <t>menlo park</t>
  </si>
  <si>
    <t>mountain view</t>
  </si>
  <si>
    <t>cupertino</t>
  </si>
  <si>
    <t>sunnyvale</t>
  </si>
  <si>
    <t>santa clara</t>
  </si>
  <si>
    <t>redwood city</t>
  </si>
  <si>
    <t>san jose tech</t>
  </si>
  <si>
    <t>san francisco tech</t>
  </si>
  <si>
    <t>bay area startup</t>
  </si>
  <si>
    <t>bay area venture capital</t>
  </si>
  <si>
    <t>sand hill road</t>
  </si>
  <si>
    <t>sand hill investors</t>
  </si>
  <si>
    <t>techcrunch</t>
  </si>
  <si>
    <t>yc demo day</t>
  </si>
  <si>
    <t>sequoia capital</t>
  </si>
  <si>
    <t>andreessen horowitz</t>
  </si>
  <si>
    <t>a16z</t>
  </si>
  <si>
    <t>benchmark capital</t>
  </si>
  <si>
    <t>greylock partners</t>
  </si>
  <si>
    <t>kpcb</t>
  </si>
  <si>
    <t>lightspeed venture partners</t>
  </si>
  <si>
    <t>plug and play tech center</t>
  </si>
  <si>
    <t>googleplex</t>
  </si>
  <si>
    <t>facebook campus</t>
  </si>
  <si>
    <t>apple park</t>
  </si>
  <si>
    <t>infinite loop cupertino</t>
  </si>
  <si>
    <t>tesla palo alto</t>
  </si>
  <si>
    <t>spacex california</t>
  </si>
  <si>
    <t>openai san francisco</t>
  </si>
  <si>
    <t>meta menlo park</t>
  </si>
  <si>
    <t>google mountain view</t>
  </si>
  <si>
    <t>apple cupertino</t>
  </si>
  <si>
    <t>intel santa clara</t>
  </si>
  <si>
    <t>nvidia santa clara</t>
  </si>
  <si>
    <t>oracle redwood shores</t>
  </si>
  <si>
    <t>cisco san jose</t>
  </si>
  <si>
    <t>paypal palo alto</t>
  </si>
  <si>
    <t>linkedin sunnyvale</t>
  </si>
  <si>
    <t>dropbox san francisco</t>
  </si>
  <si>
    <t>uber san francisco</t>
  </si>
  <si>
    <t>airbnb san francisco</t>
  </si>
  <si>
    <t>stripe san francisco</t>
  </si>
  <si>
    <t>robinhood menlo park</t>
  </si>
  <si>
    <t>zoom san jose</t>
  </si>
  <si>
    <t>snowflake silicon valley</t>
  </si>
  <si>
    <t>palantir palo alto</t>
  </si>
  <si>
    <t>databricks bay area</t>
  </si>
  <si>
    <t>door dash san francisco</t>
  </si>
  <si>
    <t>lyft bay area</t>
  </si>
  <si>
    <t>instacart bay area</t>
  </si>
  <si>
    <t>venture backed startup</t>
  </si>
  <si>
    <t>seed round silicon valley</t>
  </si>
  <si>
    <t>series a silicon valley</t>
  </si>
  <si>
    <t>tech unicorn</t>
  </si>
  <si>
    <t>decacorn startup</t>
  </si>
  <si>
    <t>tech ipo</t>
  </si>
  <si>
    <t>silicon valley innovation hub</t>
  </si>
  <si>
    <t>tech ecosystem</t>
  </si>
  <si>
    <t>startup grind silicon valley</t>
  </si>
  <si>
    <t>hackathon bay area</t>
  </si>
  <si>
    <t>tech meetup</t>
  </si>
  <si>
    <t>product hunt silicon valley</t>
  </si>
  <si>
    <t>indie hackers bay area</t>
  </si>
  <si>
    <t>sf tech scene</t>
  </si>
  <si>
    <t>bay area founders</t>
  </si>
  <si>
    <t>silicon valley dreams</t>
  </si>
  <si>
    <t>silicon valley success</t>
  </si>
  <si>
    <t>silicon valley failures</t>
  </si>
  <si>
    <t>move to silicon valley</t>
  </si>
  <si>
    <t>living in silicon valley</t>
  </si>
  <si>
    <t>silicon valley aesthetic</t>
  </si>
  <si>
    <t>silicon valley future</t>
  </si>
  <si>
    <t>comedy</t>
  </si>
  <si>
    <t>stand up comedy</t>
  </si>
  <si>
    <t>comedy club</t>
  </si>
  <si>
    <t>comedy show</t>
  </si>
  <si>
    <t>comedy night</t>
  </si>
  <si>
    <t>comedy central</t>
  </si>
  <si>
    <t>comedy skit</t>
  </si>
  <si>
    <t>comedy sketch</t>
  </si>
  <si>
    <t>comedy short</t>
  </si>
  <si>
    <t>comedy scene</t>
  </si>
  <si>
    <t>comedy clip</t>
  </si>
  <si>
    <t>comedy movie</t>
  </si>
  <si>
    <t>comedy series</t>
  </si>
  <si>
    <t>comedy podcast</t>
  </si>
  <si>
    <t>comedy special</t>
  </si>
  <si>
    <t>dark comedy</t>
  </si>
  <si>
    <t>romantic comedy</t>
  </si>
  <si>
    <t>sitcom</t>
  </si>
  <si>
    <t>classic sitcom</t>
  </si>
  <si>
    <t>friends sitcom</t>
  </si>
  <si>
    <t>seinfeld sitcom</t>
  </si>
  <si>
    <t>the office comedy</t>
  </si>
  <si>
    <t>parks and recreation</t>
  </si>
  <si>
    <t>brooklyn 99</t>
  </si>
  <si>
    <t>modern family</t>
  </si>
  <si>
    <t>arrested development</t>
  </si>
  <si>
    <t>how i met your mother</t>
  </si>
  <si>
    <t>big bang theory</t>
  </si>
  <si>
    <t>two and a half men</t>
  </si>
  <si>
    <t>saturday night live</t>
  </si>
  <si>
    <t>snl skit</t>
  </si>
  <si>
    <t>snl comedy</t>
  </si>
  <si>
    <t>key and peele</t>
  </si>
  <si>
    <t>chappelle’s show</t>
  </si>
  <si>
    <t>dave chappelle</t>
  </si>
  <si>
    <t>kevin hart comedy</t>
  </si>
  <si>
    <t>eddie murphy comedy</t>
  </si>
  <si>
    <t>chris rock comedy</t>
  </si>
  <si>
    <t>richard pryor</t>
  </si>
  <si>
    <t>george carlin</t>
  </si>
  <si>
    <t>robin williams comedy</t>
  </si>
  <si>
    <t>bill burr comedy</t>
  </si>
  <si>
    <t>louis ck comedy</t>
  </si>
  <si>
    <t>ali wong comedy</t>
  </si>
  <si>
    <t>hannah gadsby</t>
  </si>
  <si>
    <t>amy schumer comedy</t>
  </si>
  <si>
    <t>tiffany haddish</t>
  </si>
  <si>
    <t>john mulaney</t>
  </si>
  <si>
    <t>trevor noah comedy</t>
  </si>
  <si>
    <t>hasan minhaj</t>
  </si>
  <si>
    <t>jim gaffigan</t>
  </si>
  <si>
    <t>gabriel iglesias fluffy</t>
  </si>
  <si>
    <t>jo koy comedy</t>
  </si>
  <si>
    <t>ricky gervais</t>
  </si>
  <si>
    <t>jerry seinfeld</t>
  </si>
  <si>
    <t>larry david</t>
  </si>
  <si>
    <t>curb your enthusiasm</t>
  </si>
  <si>
    <t>sacha baron cohen</t>
  </si>
  <si>
    <t>borat comedy</t>
  </si>
  <si>
    <t>mr bean comedy</t>
  </si>
  <si>
    <t>rowan atkinson</t>
  </si>
  <si>
    <t>charlie chaplin</t>
  </si>
  <si>
    <t>buster keaton</t>
  </si>
  <si>
    <t>silent comedy</t>
  </si>
  <si>
    <t>improv comedy</t>
  </si>
  <si>
    <t>whose line is it anyway</t>
  </si>
  <si>
    <t>comedy festival</t>
  </si>
  <si>
    <t>edinburgh fringe</t>
  </si>
  <si>
    <t>just for laughs</t>
  </si>
  <si>
    <t>montreal comedy</t>
  </si>
  <si>
    <t>hbo comedy</t>
  </si>
  <si>
    <t>comedy roast</t>
  </si>
  <si>
    <t>comedy memes</t>
  </si>
  <si>
    <t>comedy edits</t>
  </si>
  <si>
    <t>comedy quotes</t>
  </si>
  <si>
    <t>funny videos</t>
  </si>
  <si>
    <t>funny fails</t>
  </si>
  <si>
    <t>funny animals</t>
  </si>
  <si>
    <t>funny cats</t>
  </si>
  <si>
    <t>funny dogs</t>
  </si>
  <si>
    <t>funny couple</t>
  </si>
  <si>
    <t>funny prank</t>
  </si>
  <si>
    <t>prank video</t>
  </si>
  <si>
    <t>parody</t>
  </si>
  <si>
    <t>spoof</t>
  </si>
  <si>
    <t>satire</t>
  </si>
  <si>
    <t>sarcasm</t>
  </si>
  <si>
    <t>irony humor</t>
  </si>
  <si>
    <t>observational comedy</t>
  </si>
  <si>
    <t>self deprecating comedy</t>
  </si>
  <si>
    <t>slapstick comedy</t>
  </si>
  <si>
    <t>sketch comedy</t>
  </si>
  <si>
    <t>stand up clips</t>
  </si>
  <si>
    <t>comedy reels</t>
  </si>
  <si>
    <t>viral comedy</t>
  </si>
  <si>
    <t>comedy influencer</t>
  </si>
  <si>
    <t>comedy tiktok</t>
  </si>
  <si>
    <t>comedy youtube</t>
  </si>
  <si>
    <t>comedy actor</t>
  </si>
  <si>
    <t>comedy actress</t>
  </si>
  <si>
    <t>comedy legends</t>
  </si>
  <si>
    <t>comedy kings</t>
  </si>
  <si>
    <t>comedy queens</t>
  </si>
  <si>
    <t>best of</t>
  </si>
  <si>
    <t>best of 2024</t>
  </si>
  <si>
    <t>best of 2023</t>
  </si>
  <si>
    <t>best of 2022</t>
  </si>
  <si>
    <t>best of the year</t>
  </si>
  <si>
    <t>best of the decade</t>
  </si>
  <si>
    <t>best of the century</t>
  </si>
  <si>
    <t>best of all time</t>
  </si>
  <si>
    <t>best of youtube</t>
  </si>
  <si>
    <t>best of tiktok</t>
  </si>
  <si>
    <t>best of instagram</t>
  </si>
  <si>
    <t>best of reels</t>
  </si>
  <si>
    <t>best of shorts</t>
  </si>
  <si>
    <t>best of memes</t>
  </si>
  <si>
    <t>best of comedy</t>
  </si>
  <si>
    <t>best of stand up</t>
  </si>
  <si>
    <t>best of netflix</t>
  </si>
  <si>
    <t>best of hbo</t>
  </si>
  <si>
    <t>best of disney</t>
  </si>
  <si>
    <t>best of marvel</t>
  </si>
  <si>
    <t>best of dc</t>
  </si>
  <si>
    <t>best of pixar</t>
  </si>
  <si>
    <t>best of anime</t>
  </si>
  <si>
    <t>best of manga</t>
  </si>
  <si>
    <t>best of kdrama</t>
  </si>
  <si>
    <t>best of bollywood</t>
  </si>
  <si>
    <t>best of hollywood</t>
  </si>
  <si>
    <t>best of tv</t>
  </si>
  <si>
    <t>best of movies</t>
  </si>
  <si>
    <t>best of film</t>
  </si>
  <si>
    <t>best of music</t>
  </si>
  <si>
    <t>best of pop</t>
  </si>
  <si>
    <t>best of rock</t>
  </si>
  <si>
    <t>best of rap</t>
  </si>
  <si>
    <t>best of hip hop</t>
  </si>
  <si>
    <t>best of r&amp;b</t>
  </si>
  <si>
    <t>best of edm</t>
  </si>
  <si>
    <t>best of techno</t>
  </si>
  <si>
    <t>best of house</t>
  </si>
  <si>
    <t>best of jazz</t>
  </si>
  <si>
    <t>best of blues</t>
  </si>
  <si>
    <t>best of country</t>
  </si>
  <si>
    <t>best of folk</t>
  </si>
  <si>
    <t>best of reggae</t>
  </si>
  <si>
    <t>best of afrobeat</t>
  </si>
  <si>
    <t>best of latin music</t>
  </si>
  <si>
    <t>best of kpop</t>
  </si>
  <si>
    <t>best of bts</t>
  </si>
  <si>
    <t>best of blackpink</t>
  </si>
  <si>
    <t>best of twice</t>
  </si>
  <si>
    <t>best of stray kids</t>
  </si>
  <si>
    <t>best of ateez</t>
  </si>
  <si>
    <t>best of new jeans</t>
  </si>
  <si>
    <t>best of football</t>
  </si>
  <si>
    <t>best of soccer</t>
  </si>
  <si>
    <t>best of nba</t>
  </si>
  <si>
    <t>best of nfl</t>
  </si>
  <si>
    <t>best of mlb</t>
  </si>
  <si>
    <t>best of nhl</t>
  </si>
  <si>
    <t>best of tennis</t>
  </si>
  <si>
    <t>best of wimbledon</t>
  </si>
  <si>
    <t>best of olympics</t>
  </si>
  <si>
    <t>best of fifa</t>
  </si>
  <si>
    <t>best of champions league</t>
  </si>
  <si>
    <t>best of world cup</t>
  </si>
  <si>
    <t>best of ufc</t>
  </si>
  <si>
    <t>best of boxing</t>
  </si>
  <si>
    <t>best of wrestling</t>
  </si>
  <si>
    <t>best of gaming</t>
  </si>
  <si>
    <t>best of fortnite</t>
  </si>
  <si>
    <t>best of minecraft</t>
  </si>
  <si>
    <t>best of roblox</t>
  </si>
  <si>
    <t>best of gta</t>
  </si>
  <si>
    <t>best of fifa game</t>
  </si>
  <si>
    <t>best of call of duty</t>
  </si>
  <si>
    <t>best of valorant</t>
  </si>
  <si>
    <t>best of csgo</t>
  </si>
  <si>
    <t>best of league of legends</t>
  </si>
  <si>
    <t>best of dota</t>
  </si>
  <si>
    <t>best of overwatch</t>
  </si>
  <si>
    <t>best of streaming</t>
  </si>
  <si>
    <t>best of twitch</t>
  </si>
  <si>
    <t>best of youtube gaming</t>
  </si>
  <si>
    <t>best of podcasts</t>
  </si>
  <si>
    <t>best of joe rogan</t>
  </si>
  <si>
    <t>best of ted talks</t>
  </si>
  <si>
    <t>best of quotes</t>
  </si>
  <si>
    <t>best of motivation</t>
  </si>
  <si>
    <t>best of inspiration</t>
  </si>
  <si>
    <t>best of business</t>
  </si>
  <si>
    <t>best of startup</t>
  </si>
  <si>
    <t>best of ai</t>
  </si>
  <si>
    <t>best of technology</t>
  </si>
  <si>
    <t>best of innovation</t>
  </si>
  <si>
    <t>best of science</t>
  </si>
  <si>
    <t>best of nature</t>
  </si>
  <si>
    <t>best of travel</t>
  </si>
  <si>
    <t>best of food</t>
  </si>
  <si>
    <t>best of restaurants</t>
  </si>
  <si>
    <t>best of fashion</t>
  </si>
  <si>
    <t>best of luxury</t>
  </si>
  <si>
    <t>best of lifestyle</t>
  </si>
  <si>
    <t>best of 90s</t>
  </si>
  <si>
    <t>best of 2000s</t>
  </si>
  <si>
    <t>best of 2010s</t>
  </si>
  <si>
    <t>parenthood</t>
  </si>
  <si>
    <t>parenting</t>
  </si>
  <si>
    <t>parent life</t>
  </si>
  <si>
    <t>parent goals</t>
  </si>
  <si>
    <t>parent hacks</t>
  </si>
  <si>
    <t>new parents</t>
  </si>
  <si>
    <t>first time parents</t>
  </si>
  <si>
    <t>young parents</t>
  </si>
  <si>
    <t>parenting tips</t>
  </si>
  <si>
    <t>parenting advice</t>
  </si>
  <si>
    <t>parenting quotes</t>
  </si>
  <si>
    <t>parenting humor</t>
  </si>
  <si>
    <t>parenting memes</t>
  </si>
  <si>
    <t>parenting fails</t>
  </si>
  <si>
    <t>parenting wins</t>
  </si>
  <si>
    <t>parenting struggles</t>
  </si>
  <si>
    <t>parenting journey</t>
  </si>
  <si>
    <t>parenting hacks</t>
  </si>
  <si>
    <t>gentle parenting</t>
  </si>
  <si>
    <t>positive parenting</t>
  </si>
  <si>
    <t>conscious parenting</t>
  </si>
  <si>
    <t>modern parenting</t>
  </si>
  <si>
    <t>single parenting</t>
  </si>
  <si>
    <t>twin parenting</t>
  </si>
  <si>
    <t>mom life</t>
  </si>
  <si>
    <t>mom goals</t>
  </si>
  <si>
    <t>mom hacks</t>
  </si>
  <si>
    <t>mom humor</t>
  </si>
  <si>
    <t>mom struggles</t>
  </si>
  <si>
    <t>stay at home mom</t>
  </si>
  <si>
    <t>working mom</t>
  </si>
  <si>
    <t>fit mom</t>
  </si>
  <si>
    <t>new mom</t>
  </si>
  <si>
    <t>first time mom</t>
  </si>
  <si>
    <t>mom blog</t>
  </si>
  <si>
    <t>mom influencer</t>
  </si>
  <si>
    <t>dad life</t>
  </si>
  <si>
    <t>dad goals</t>
  </si>
  <si>
    <t>dad hacks</t>
  </si>
  <si>
    <t>dad humor</t>
  </si>
  <si>
    <t>dad jokes</t>
  </si>
  <si>
    <t>cool dad</t>
  </si>
  <si>
    <t>new dad</t>
  </si>
  <si>
    <t>first time dad</t>
  </si>
  <si>
    <t>working dad</t>
  </si>
  <si>
    <t>single dad</t>
  </si>
  <si>
    <t>fit dad</t>
  </si>
  <si>
    <t>parenthood journey</t>
  </si>
  <si>
    <t>raising kids</t>
  </si>
  <si>
    <t>raising toddlers</t>
  </si>
  <si>
    <t>raising teens</t>
  </si>
  <si>
    <t>raising boys</t>
  </si>
  <si>
    <t>raising girls</t>
  </si>
  <si>
    <t>raising daughters</t>
  </si>
  <si>
    <t>raising sons</t>
  </si>
  <si>
    <t>baby life</t>
  </si>
  <si>
    <t>newborn life</t>
  </si>
  <si>
    <t>baby hacks</t>
  </si>
  <si>
    <t>baby tips</t>
  </si>
  <si>
    <t>baby development</t>
  </si>
  <si>
    <t>toddler life</t>
  </si>
  <si>
    <t>toddler tantrums</t>
  </si>
  <si>
    <t>toddler activities</t>
  </si>
  <si>
    <t>school run</t>
  </si>
  <si>
    <t>parent teacher conference</t>
  </si>
  <si>
    <t>family time</t>
  </si>
  <si>
    <t>family love</t>
  </si>
  <si>
    <t>family goals</t>
  </si>
  <si>
    <t>family bonding</t>
  </si>
  <si>
    <t>family travel</t>
  </si>
  <si>
    <t>family vlog</t>
  </si>
  <si>
    <t>family fun</t>
  </si>
  <si>
    <t>family adventures</t>
  </si>
  <si>
    <t>family traditions</t>
  </si>
  <si>
    <t>family dinner</t>
  </si>
  <si>
    <t>family activities</t>
  </si>
  <si>
    <t>siblings love</t>
  </si>
  <si>
    <t>brother and sister</t>
  </si>
  <si>
    <t>sisterhood</t>
  </si>
  <si>
    <t>brotherhood</t>
  </si>
  <si>
    <t>grandparents love</t>
  </si>
  <si>
    <t>mom and dad</t>
  </si>
  <si>
    <t>parents night out</t>
  </si>
  <si>
    <t>date night parents</t>
  </si>
  <si>
    <t>parent support</t>
  </si>
  <si>
    <t>parent community</t>
  </si>
  <si>
    <t>parent group</t>
  </si>
  <si>
    <t>parent club</t>
  </si>
  <si>
    <t>parent struggles</t>
  </si>
  <si>
    <t>parent wins</t>
  </si>
  <si>
    <t>parent quotes</t>
  </si>
  <si>
    <t>proud parent</t>
  </si>
  <si>
    <t>blessed parent</t>
  </si>
  <si>
    <t>happy parent</t>
  </si>
  <si>
    <t>loving parent</t>
  </si>
  <si>
    <t>supportive parent</t>
  </si>
  <si>
    <t>parenting challenges</t>
  </si>
  <si>
    <t>parenthood aesthetic</t>
  </si>
  <si>
    <t>parenthood reality</t>
  </si>
  <si>
    <t>parenthood humor</t>
  </si>
  <si>
    <t>parenthood love</t>
  </si>
  <si>
    <t>parenthood inspiration</t>
  </si>
  <si>
    <t>parenthood stories</t>
  </si>
  <si>
    <t>parenthood memories</t>
  </si>
  <si>
    <t>rnb</t>
  </si>
  <si>
    <t>r&amp;b music</t>
  </si>
  <si>
    <t>90s rnb</t>
  </si>
  <si>
    <t>2000s rnb</t>
  </si>
  <si>
    <t>modern rnb</t>
  </si>
  <si>
    <t>classic rnb</t>
  </si>
  <si>
    <t>neo soul</t>
  </si>
  <si>
    <t>rnb soul</t>
  </si>
  <si>
    <t>rnb vibes</t>
  </si>
  <si>
    <t>rnb playlist</t>
  </si>
  <si>
    <t>rnb mix</t>
  </si>
  <si>
    <t>slow jams</t>
  </si>
  <si>
    <t>love songs</t>
  </si>
  <si>
    <t>baby making music</t>
  </si>
  <si>
    <t>bedroom rnb</t>
  </si>
  <si>
    <t>chill rnb</t>
  </si>
  <si>
    <t>smooth rnb</t>
  </si>
  <si>
    <t>soulful rnb</t>
  </si>
  <si>
    <t>rnb legends</t>
  </si>
  <si>
    <t>rnb icons</t>
  </si>
  <si>
    <t>rnb queens</t>
  </si>
  <si>
    <t>rnb kings</t>
  </si>
  <si>
    <t>rnb divas</t>
  </si>
  <si>
    <t>boyz ii men</t>
  </si>
  <si>
    <t>jodeci</t>
  </si>
  <si>
    <t>new edition</t>
  </si>
  <si>
    <t>blackstreet</t>
  </si>
  <si>
    <t>dru hill</t>
  </si>
  <si>
    <t>112 rnb</t>
  </si>
  <si>
    <t>jagged edge</t>
  </si>
  <si>
    <t>beyoncé rnb</t>
  </si>
  <si>
    <t>kelly rowland</t>
  </si>
  <si>
    <t>michelle williams</t>
  </si>
  <si>
    <t>alicia keys</t>
  </si>
  <si>
    <t>mary j blige</t>
  </si>
  <si>
    <t>brandy</t>
  </si>
  <si>
    <t>monica</t>
  </si>
  <si>
    <t>toni braxton</t>
  </si>
  <si>
    <t>mariah carey rnb</t>
  </si>
  <si>
    <t>janet jackson rnb</t>
  </si>
  <si>
    <t>usher</t>
  </si>
  <si>
    <t>chris brown</t>
  </si>
  <si>
    <t>ne yo</t>
  </si>
  <si>
    <t>trey songz</t>
  </si>
  <si>
    <t>omarion</t>
  </si>
  <si>
    <t>lloyd rnb</t>
  </si>
  <si>
    <t>miguel rnb</t>
  </si>
  <si>
    <t>frank ocean</t>
  </si>
  <si>
    <t>the weeknd</t>
  </si>
  <si>
    <t>giveon</t>
  </si>
  <si>
    <t>brent faiyaz</t>
  </si>
  <si>
    <t>daniel caesar</t>
  </si>
  <si>
    <t>her rnb</t>
  </si>
  <si>
    <t>sza</t>
  </si>
  <si>
    <t>summer walker</t>
  </si>
  <si>
    <t>jhene aiko</t>
  </si>
  <si>
    <t>kehlani</t>
  </si>
  <si>
    <t>ella mai</t>
  </si>
  <si>
    <t>victoria monét</t>
  </si>
  <si>
    <t>tyrese</t>
  </si>
  <si>
    <t>tank rnb</t>
  </si>
  <si>
    <t>jamie foxx rnb</t>
  </si>
  <si>
    <t>t pain rnb</t>
  </si>
  <si>
    <t>r kelly classics</t>
  </si>
  <si>
    <t>genuine rnb</t>
  </si>
  <si>
    <t>maxwell rnb</t>
  </si>
  <si>
    <t>d’angelo</t>
  </si>
  <si>
    <t>erykah badu</t>
  </si>
  <si>
    <t>lauryn hill rnb</t>
  </si>
  <si>
    <t>faith evans</t>
  </si>
  <si>
    <t>angie stone</t>
  </si>
  <si>
    <t>india arie</t>
  </si>
  <si>
    <t>music soulchild</t>
  </si>
  <si>
    <t>joe rnb</t>
  </si>
  <si>
    <t>avant rnb</t>
  </si>
  <si>
    <t>ashanti rnb</t>
  </si>
  <si>
    <t>ciara rnb</t>
  </si>
  <si>
    <t>kelis rnb</t>
  </si>
  <si>
    <t>cassie rnb</t>
  </si>
  <si>
    <t>amerie rnb</t>
  </si>
  <si>
    <t>mya rnb</t>
  </si>
  <si>
    <t>tamia rnb</t>
  </si>
  <si>
    <t>jazmine sullivan</t>
  </si>
  <si>
    <t>floetry</t>
  </si>
  <si>
    <t>sean kingston rnb</t>
  </si>
  <si>
    <t>akon rnb</t>
  </si>
  <si>
    <t>akon love songs</t>
  </si>
  <si>
    <t>akon classics</t>
  </si>
  <si>
    <t>akon playlist</t>
  </si>
  <si>
    <t>rnb duets</t>
  </si>
  <si>
    <t>rnb collabs</t>
  </si>
  <si>
    <t>hip hop rnb</t>
  </si>
  <si>
    <t>rap rnb</t>
  </si>
  <si>
    <t>trap soul</t>
  </si>
  <si>
    <t>alt rnb</t>
  </si>
  <si>
    <t>future rnb</t>
  </si>
  <si>
    <t>underground rnb</t>
  </si>
  <si>
    <t>rnb edits</t>
  </si>
  <si>
    <t>rnb aesthetic</t>
  </si>
  <si>
    <t>rnb vibes only</t>
  </si>
  <si>
    <t>late night rnb</t>
  </si>
  <si>
    <t>midnight rnb</t>
  </si>
  <si>
    <t>old school rnb</t>
  </si>
  <si>
    <t>new school rnb</t>
  </si>
  <si>
    <t>best rnb songs</t>
  </si>
  <si>
    <t>remix</t>
  </si>
  <si>
    <t>song remix</t>
  </si>
  <si>
    <t>club remix</t>
  </si>
  <si>
    <t>dance remix</t>
  </si>
  <si>
    <t>dj remix</t>
  </si>
  <si>
    <t>house remix</t>
  </si>
  <si>
    <t>techno remix</t>
  </si>
  <si>
    <t>edm remix</t>
  </si>
  <si>
    <t>trap remix</t>
  </si>
  <si>
    <t>dubstep remix</t>
  </si>
  <si>
    <t>hip hop remix</t>
  </si>
  <si>
    <t>rap remix</t>
  </si>
  <si>
    <t>rnb remix</t>
  </si>
  <si>
    <t>pop remix</t>
  </si>
  <si>
    <t>rock remix</t>
  </si>
  <si>
    <t>indie remix</t>
  </si>
  <si>
    <t>lofi remix</t>
  </si>
  <si>
    <t>chill remix</t>
  </si>
  <si>
    <t>remix edit</t>
  </si>
  <si>
    <t>remix version</t>
  </si>
  <si>
    <t>extended remix</t>
  </si>
  <si>
    <t>radio remix</t>
  </si>
  <si>
    <t>bootleg remix</t>
  </si>
  <si>
    <t>mashup remix</t>
  </si>
  <si>
    <t>cover remix</t>
  </si>
  <si>
    <t>unplugged remix</t>
  </si>
  <si>
    <t>festival remix</t>
  </si>
  <si>
    <t>remix drop</t>
  </si>
  <si>
    <t>bass remix</t>
  </si>
  <si>
    <t>drum and bass remix</t>
  </si>
  <si>
    <t>jungle remix</t>
  </si>
  <si>
    <t>hardstyle remix</t>
  </si>
  <si>
    <t>trance remix</t>
  </si>
  <si>
    <t>psytrance remix</t>
  </si>
  <si>
    <t>progressive remix</t>
  </si>
  <si>
    <t>electro remix</t>
  </si>
  <si>
    <t>deep house remix</t>
  </si>
  <si>
    <t>tropical house remix</t>
  </si>
  <si>
    <t>future house remix</t>
  </si>
  <si>
    <t>future bass remix</t>
  </si>
  <si>
    <t>moombahton remix</t>
  </si>
  <si>
    <t>reggaeton remix</t>
  </si>
  <si>
    <t>latin remix</t>
  </si>
  <si>
    <t>afrobeat remix</t>
  </si>
  <si>
    <t>afro house remix</t>
  </si>
  <si>
    <t>dancehall remix</t>
  </si>
  <si>
    <t>kpop remix</t>
  </si>
  <si>
    <t>jpop remix</t>
  </si>
  <si>
    <t>anime remix</t>
  </si>
  <si>
    <t>gaming remix</t>
  </si>
  <si>
    <t>8bit remix</t>
  </si>
  <si>
    <t>retro remix</t>
  </si>
  <si>
    <t>classic remix</t>
  </si>
  <si>
    <t>vintage remix</t>
  </si>
  <si>
    <t>disco remix</t>
  </si>
  <si>
    <t>funk remix</t>
  </si>
  <si>
    <t>soul remix</t>
  </si>
  <si>
    <t>jazz remix</t>
  </si>
  <si>
    <t>acoustic remix</t>
  </si>
  <si>
    <t>piano remix</t>
  </si>
  <si>
    <t>guitar remix</t>
  </si>
  <si>
    <t>violin remix</t>
  </si>
  <si>
    <t>orchestra remix</t>
  </si>
  <si>
    <t>cinematic remix</t>
  </si>
  <si>
    <t>epic remix</t>
  </si>
  <si>
    <t>anthem remix</t>
  </si>
  <si>
    <t>underground remix</t>
  </si>
  <si>
    <t>club edit remix</t>
  </si>
  <si>
    <t>festival edit remix</t>
  </si>
  <si>
    <t>radio edit remix</t>
  </si>
  <si>
    <t>viral remix</t>
  </si>
  <si>
    <t>tiktok remix</t>
  </si>
  <si>
    <t>instagram remix</t>
  </si>
  <si>
    <t>youtube remix</t>
  </si>
  <si>
    <t>soundcloud remix</t>
  </si>
  <si>
    <t>spotify remix</t>
  </si>
  <si>
    <t>remix playlist</t>
  </si>
  <si>
    <t>dj set remix</t>
  </si>
  <si>
    <t>remix session</t>
  </si>
  <si>
    <t>party remix</t>
  </si>
  <si>
    <t>dancefloor remix</t>
  </si>
  <si>
    <t>workout remix</t>
  </si>
  <si>
    <t>running remix</t>
  </si>
  <si>
    <t>car remix playlist</t>
  </si>
  <si>
    <t>summer remix</t>
  </si>
  <si>
    <t>winter remix</t>
  </si>
  <si>
    <t>midnight remix</t>
  </si>
  <si>
    <t>after hours remix</t>
  </si>
  <si>
    <t>sunset remix</t>
  </si>
  <si>
    <t>sunrise remix</t>
  </si>
  <si>
    <t>remix vibes</t>
  </si>
  <si>
    <t>remix aesthetic</t>
  </si>
  <si>
    <t>new remix</t>
  </si>
  <si>
    <t>best remix</t>
  </si>
  <si>
    <t>top remix</t>
  </si>
  <si>
    <t>hit remix</t>
  </si>
  <si>
    <t>international remix</t>
  </si>
  <si>
    <t>exclusive remix</t>
  </si>
  <si>
    <t>official remix</t>
  </si>
  <si>
    <t>unreleased remix</t>
  </si>
  <si>
    <t>fanmade remix</t>
  </si>
  <si>
    <t>africa travel</t>
  </si>
  <si>
    <t>visit africa</t>
  </si>
  <si>
    <t>explore africa</t>
  </si>
  <si>
    <t>africa tourism</t>
  </si>
  <si>
    <t>africa trip</t>
  </si>
  <si>
    <t>africa adventure</t>
  </si>
  <si>
    <t>africa safari</t>
  </si>
  <si>
    <t>africa wildlife</t>
  </si>
  <si>
    <t>africa animals</t>
  </si>
  <si>
    <t>africa big five</t>
  </si>
  <si>
    <t>serengeti</t>
  </si>
  <si>
    <t>maasai mara</t>
  </si>
  <si>
    <t>kruger national park</t>
  </si>
  <si>
    <t>okavango delta</t>
  </si>
  <si>
    <t>mount kilimanjaro</t>
  </si>
  <si>
    <t>namib desert</t>
  </si>
  <si>
    <t>table mountain</t>
  </si>
  <si>
    <t>cape town</t>
  </si>
  <si>
    <t>johannesburg</t>
  </si>
  <si>
    <t>nairobi</t>
  </si>
  <si>
    <t>mombasa</t>
  </si>
  <si>
    <t>arusha</t>
  </si>
  <si>
    <t>zanzibar</t>
  </si>
  <si>
    <t>lagos nigeria</t>
  </si>
  <si>
    <t>abuja nigeria</t>
  </si>
  <si>
    <t>accra ghana</t>
  </si>
  <si>
    <t>kumasi ghana</t>
  </si>
  <si>
    <t>dakar senegal</t>
  </si>
  <si>
    <t>marrakech</t>
  </si>
  <si>
    <t>casablanca</t>
  </si>
  <si>
    <t>fes morocco</t>
  </si>
  <si>
    <t>cairo egypt</t>
  </si>
  <si>
    <t>giza pyramids</t>
  </si>
  <si>
    <t>luxor egypt</t>
  </si>
  <si>
    <t>aswan egypt</t>
  </si>
  <si>
    <t>tunisia travel</t>
  </si>
  <si>
    <t>algeria travel</t>
  </si>
  <si>
    <t>ethiopia travel</t>
  </si>
  <si>
    <t>addis ababa</t>
  </si>
  <si>
    <t>lalibela</t>
  </si>
  <si>
    <t>uganda travel</t>
  </si>
  <si>
    <t>rwanda travel</t>
  </si>
  <si>
    <t>kigali rwanda</t>
  </si>
  <si>
    <t>volcanoes national park</t>
  </si>
  <si>
    <t>gorilla trekking</t>
  </si>
  <si>
    <t>tanzania travel</t>
  </si>
  <si>
    <t>seychelles</t>
  </si>
  <si>
    <t>mauritius</t>
  </si>
  <si>
    <t>madagascar</t>
  </si>
  <si>
    <t>africa islands</t>
  </si>
  <si>
    <t>africa beaches</t>
  </si>
  <si>
    <t>africa mountains</t>
  </si>
  <si>
    <t>africa culture</t>
  </si>
  <si>
    <t>africa music</t>
  </si>
  <si>
    <t>afrobeats</t>
  </si>
  <si>
    <t>african dance</t>
  </si>
  <si>
    <t>african drums</t>
  </si>
  <si>
    <t>african fashion</t>
  </si>
  <si>
    <t>african art</t>
  </si>
  <si>
    <t>african design</t>
  </si>
  <si>
    <t>african food</t>
  </si>
  <si>
    <t>african cuisine</t>
  </si>
  <si>
    <t>jollof rice</t>
  </si>
  <si>
    <t>injera ethiopia</t>
  </si>
  <si>
    <t>tagine morocco</t>
  </si>
  <si>
    <t>bunny chow</t>
  </si>
  <si>
    <t>braai south africa</t>
  </si>
  <si>
    <t>africa history</t>
  </si>
  <si>
    <t>ancient egypt</t>
  </si>
  <si>
    <t>pharaohs</t>
  </si>
  <si>
    <t>cleopatra</t>
  </si>
  <si>
    <t>mandela</t>
  </si>
  <si>
    <t>nelson mandela</t>
  </si>
  <si>
    <t>kwame nkrumah</t>
  </si>
  <si>
    <t>haile selassie</t>
  </si>
  <si>
    <t>africa independence</t>
  </si>
  <si>
    <t>africa politics</t>
  </si>
  <si>
    <t>africa economy</t>
  </si>
  <si>
    <t>africa startup</t>
  </si>
  <si>
    <t>africa tech</t>
  </si>
  <si>
    <t>africa fintech</t>
  </si>
  <si>
    <t>africa innovation</t>
  </si>
  <si>
    <t>africa youth</t>
  </si>
  <si>
    <t>africa diaspora</t>
  </si>
  <si>
    <t>africa pride</t>
  </si>
  <si>
    <t>africa rising</t>
  </si>
  <si>
    <t>africa future</t>
  </si>
  <si>
    <t>africa today</t>
  </si>
  <si>
    <t>discover africa</t>
  </si>
  <si>
    <t>beautiful africa</t>
  </si>
  <si>
    <t>real africa</t>
  </si>
  <si>
    <t>africa photography</t>
  </si>
  <si>
    <t>africa nature</t>
  </si>
  <si>
    <t>africa landscapes</t>
  </si>
  <si>
    <t>africa sunrise</t>
  </si>
  <si>
    <t>africa sunset</t>
  </si>
  <si>
    <t>africa aesthetic</t>
  </si>
  <si>
    <t>elon musk</t>
  </si>
  <si>
    <t>elon musk life</t>
  </si>
  <si>
    <t>elon musk quotes</t>
  </si>
  <si>
    <t>elon musk tweets</t>
  </si>
  <si>
    <t>elon musk news</t>
  </si>
  <si>
    <t>elon musk interview</t>
  </si>
  <si>
    <t>elon musk biography</t>
  </si>
  <si>
    <t>elon musk net worth</t>
  </si>
  <si>
    <t>elon musk lifestyle</t>
  </si>
  <si>
    <t>elon musk family</t>
  </si>
  <si>
    <t>elon musk young</t>
  </si>
  <si>
    <t>elon musk education</t>
  </si>
  <si>
    <t>elon musk university</t>
  </si>
  <si>
    <t>elon musk book</t>
  </si>
  <si>
    <t>elon musk biography book</t>
  </si>
  <si>
    <t>elon musk children</t>
  </si>
  <si>
    <t>elon musk son</t>
  </si>
  <si>
    <t>elon musk daughter</t>
  </si>
  <si>
    <t>elon musk wives</t>
  </si>
  <si>
    <t>elon musk amber heard</t>
  </si>
  <si>
    <t>elon musk grimes</t>
  </si>
  <si>
    <t>elon musk spacex</t>
  </si>
  <si>
    <t>spacex</t>
  </si>
  <si>
    <t>spacex falcon</t>
  </si>
  <si>
    <t>falcon 9</t>
  </si>
  <si>
    <t>falcon heavy</t>
  </si>
  <si>
    <t>starship spacex</t>
  </si>
  <si>
    <t>spacex launch</t>
  </si>
  <si>
    <t>spacex mars</t>
  </si>
  <si>
    <t>spacex dragon</t>
  </si>
  <si>
    <t>spacex crew</t>
  </si>
  <si>
    <t>spacex nasa</t>
  </si>
  <si>
    <t>mars mission</t>
  </si>
  <si>
    <t>mars colonization</t>
  </si>
  <si>
    <t>mars spacex</t>
  </si>
  <si>
    <t>spacex starlink</t>
  </si>
  <si>
    <t>starlink internet</t>
  </si>
  <si>
    <t>starlink satellite</t>
  </si>
  <si>
    <t>tesla</t>
  </si>
  <si>
    <t>tesla cars</t>
  </si>
  <si>
    <t>tesla model s</t>
  </si>
  <si>
    <t>tesla model x</t>
  </si>
  <si>
    <t>tesla model 3</t>
  </si>
  <si>
    <t>tesla model y</t>
  </si>
  <si>
    <t>tesla roadster</t>
  </si>
  <si>
    <t>tesla cybertruck</t>
  </si>
  <si>
    <t>tesla semi</t>
  </si>
  <si>
    <t>tesla energy</t>
  </si>
  <si>
    <t>tesla solar</t>
  </si>
  <si>
    <t>tesla autopilot</t>
  </si>
  <si>
    <t>tesla ai</t>
  </si>
  <si>
    <t>tesla bot</t>
  </si>
  <si>
    <t>optimus robot</t>
  </si>
  <si>
    <t>boring company</t>
  </si>
  <si>
    <t>elon musk boring company</t>
  </si>
  <si>
    <t>elon musk tunnels</t>
  </si>
  <si>
    <t>neuralink</t>
  </si>
  <si>
    <t>elon musk neuralink</t>
  </si>
  <si>
    <t>brain chip</t>
  </si>
  <si>
    <t>ai elon musk</t>
  </si>
  <si>
    <t>x ai</t>
  </si>
  <si>
    <t>openai elon musk</t>
  </si>
  <si>
    <t>twitter elon musk</t>
  </si>
  <si>
    <t>x app elon musk</t>
  </si>
  <si>
    <t>dogecoin elon musk</t>
  </si>
  <si>
    <t>crypto elon musk</t>
  </si>
  <si>
    <t>elon musk bitcoin</t>
  </si>
  <si>
    <t>elon musk meme</t>
  </si>
  <si>
    <t>elon musk funny</t>
  </si>
  <si>
    <t>elon musk edits</t>
  </si>
  <si>
    <t>elon musk reels</t>
  </si>
  <si>
    <t>elon musk fanpage</t>
  </si>
  <si>
    <t>elon musk podcast</t>
  </si>
  <si>
    <t>elon musk joe rogan</t>
  </si>
  <si>
    <t>elon musk ted talk</t>
  </si>
  <si>
    <t>elon musk speech</t>
  </si>
  <si>
    <t>elon musk motivation</t>
  </si>
  <si>
    <t>elon musk inspiration</t>
  </si>
  <si>
    <t>elon musk entrepreneur</t>
  </si>
  <si>
    <t>elon musk inventor</t>
  </si>
  <si>
    <t>elon musk ceo</t>
  </si>
  <si>
    <t>elon musk billionaire</t>
  </si>
  <si>
    <t>elon musk richest man</t>
  </si>
  <si>
    <t>elon musk genius</t>
  </si>
  <si>
    <t>elon musk vision</t>
  </si>
  <si>
    <t>elon musk future</t>
  </si>
  <si>
    <t>elon musk success</t>
  </si>
  <si>
    <t>elon musk mindset</t>
  </si>
  <si>
    <t>elon musk work ethic</t>
  </si>
  <si>
    <t>elon musk quotes success</t>
  </si>
  <si>
    <t>elon musk goals</t>
  </si>
  <si>
    <t>elon musk achievements</t>
  </si>
  <si>
    <t>elon musk innovation</t>
  </si>
  <si>
    <t>elon musk technology</t>
  </si>
  <si>
    <t>elon musk projects</t>
  </si>
  <si>
    <t>elon musk empire</t>
  </si>
  <si>
    <t>elon musk biography documentary</t>
  </si>
  <si>
    <t>elon musk documentary</t>
  </si>
  <si>
    <t>elon musk netflix</t>
  </si>
  <si>
    <t>elon musk hbo</t>
  </si>
  <si>
    <t>elon musk series</t>
  </si>
  <si>
    <t>elon musk biography movie</t>
  </si>
  <si>
    <t>elon musk aesthetic</t>
  </si>
  <si>
    <t>elon musk edits tiktok</t>
  </si>
  <si>
    <t>elon musk fan edits</t>
  </si>
  <si>
    <t>donald trump</t>
  </si>
  <si>
    <t>donald trump news</t>
  </si>
  <si>
    <t>donald trump speech</t>
  </si>
  <si>
    <t>donald trump rally</t>
  </si>
  <si>
    <t>donald trump quotes</t>
  </si>
  <si>
    <t>donald trump interview</t>
  </si>
  <si>
    <t>donald trump debate</t>
  </si>
  <si>
    <t>donald trump president</t>
  </si>
  <si>
    <t>donald trump 2024</t>
  </si>
  <si>
    <t>donald trump campaign</t>
  </si>
  <si>
    <t>donald trump election</t>
  </si>
  <si>
    <t>donald trump vote</t>
  </si>
  <si>
    <t>donald trump supporters</t>
  </si>
  <si>
    <t>donald trump maga</t>
  </si>
  <si>
    <t>donald trump republican</t>
  </si>
  <si>
    <t>donald trump conservative</t>
  </si>
  <si>
    <t>donald trump gop</t>
  </si>
  <si>
    <t>donald trump democrat</t>
  </si>
  <si>
    <t>donald trump indictment</t>
  </si>
  <si>
    <t>donald trump trial</t>
  </si>
  <si>
    <t>donald trump court</t>
  </si>
  <si>
    <t>donald trump lawyer</t>
  </si>
  <si>
    <t>donald trump case</t>
  </si>
  <si>
    <t>donald trump arrest</t>
  </si>
  <si>
    <t>donald trump mugshot</t>
  </si>
  <si>
    <t>donald trump scandal</t>
  </si>
  <si>
    <t>donald trump controversy</t>
  </si>
  <si>
    <t>donald trump taxes</t>
  </si>
  <si>
    <t>donald trump impeachment</t>
  </si>
  <si>
    <t>donald trump january 6</t>
  </si>
  <si>
    <t>donald trump capitol</t>
  </si>
  <si>
    <t>donald trump tweets</t>
  </si>
  <si>
    <t>donald trump twitter</t>
  </si>
  <si>
    <t>donald trump truth social</t>
  </si>
  <si>
    <t>donald trump media</t>
  </si>
  <si>
    <t>donald trump fox news</t>
  </si>
  <si>
    <t>donald trump cnn</t>
  </si>
  <si>
    <t>donald trump msnbc</t>
  </si>
  <si>
    <t>donald trump interview fox</t>
  </si>
  <si>
    <t>donald trump interview cnn</t>
  </si>
  <si>
    <t>donald trump live</t>
  </si>
  <si>
    <t>donald trump now</t>
  </si>
  <si>
    <t>donald trump today</t>
  </si>
  <si>
    <t>donald trump breaking news</t>
  </si>
  <si>
    <t>donald trump family</t>
  </si>
  <si>
    <t>donald trump wife</t>
  </si>
  <si>
    <t>melania trump</t>
  </si>
  <si>
    <t>donald trump children</t>
  </si>
  <si>
    <t>ivanka trump</t>
  </si>
  <si>
    <t>jared kushner</t>
  </si>
  <si>
    <t>donald trump jr</t>
  </si>
  <si>
    <t>eric trump</t>
  </si>
  <si>
    <t>tiffany trump</t>
  </si>
  <si>
    <t>barron trump</t>
  </si>
  <si>
    <t>donald trump tower</t>
  </si>
  <si>
    <t>trump tower</t>
  </si>
  <si>
    <t>trump hotels</t>
  </si>
  <si>
    <t>trump organization</t>
  </si>
  <si>
    <t>trump golf</t>
  </si>
  <si>
    <t>trump business</t>
  </si>
  <si>
    <t>trump brand</t>
  </si>
  <si>
    <t>trump university</t>
  </si>
  <si>
    <t>the apprentice trump</t>
  </si>
  <si>
    <t>celebrity apprentice</t>
  </si>
  <si>
    <t>donald trump book</t>
  </si>
  <si>
    <t>art of the deal</t>
  </si>
  <si>
    <t>donald trump biography</t>
  </si>
  <si>
    <t>donald trump life</t>
  </si>
  <si>
    <t>donald trump young</t>
  </si>
  <si>
    <t>donald trump old</t>
  </si>
  <si>
    <t>donald trump rich</t>
  </si>
  <si>
    <t>donald trump billionaire</t>
  </si>
  <si>
    <t>donald trump net worth</t>
  </si>
  <si>
    <t>donald trump lifestyle</t>
  </si>
  <si>
    <t>donald trump plane</t>
  </si>
  <si>
    <t>trump force one</t>
  </si>
  <si>
    <t>donald trump house</t>
  </si>
  <si>
    <t>donald trump mar a lago</t>
  </si>
  <si>
    <t>donald trump florida</t>
  </si>
  <si>
    <t>donald trump new york</t>
  </si>
  <si>
    <t>donald trump washington</t>
  </si>
  <si>
    <t>donald trump white house</t>
  </si>
  <si>
    <t>donald trump president years</t>
  </si>
  <si>
    <t>donald trump legacy</t>
  </si>
  <si>
    <t>donald trump supporters rally</t>
  </si>
  <si>
    <t>donald trump maga hat</t>
  </si>
  <si>
    <t>donald trump edits</t>
  </si>
  <si>
    <t>donald trump reels</t>
  </si>
  <si>
    <t>donald trump tiktok</t>
  </si>
  <si>
    <t>donald trump fanpage</t>
  </si>
  <si>
    <t>donald trump parody</t>
  </si>
  <si>
    <t>donald trump memes</t>
  </si>
  <si>
    <t>donald trump funny moments</t>
  </si>
  <si>
    <t>donald trump impressions</t>
  </si>
  <si>
    <t>donald trump saturday night live</t>
  </si>
  <si>
    <t>donald trump snl</t>
  </si>
  <si>
    <t>donald trump aesthetic</t>
  </si>
  <si>
    <t>donald trump history</t>
  </si>
  <si>
    <t>recipes</t>
  </si>
  <si>
    <t>easy recipes</t>
  </si>
  <si>
    <t>quick recipes</t>
  </si>
  <si>
    <t>healthy recipes</t>
  </si>
  <si>
    <t>simple recipes</t>
  </si>
  <si>
    <t>homemade recipes</t>
  </si>
  <si>
    <t>family recipes</t>
  </si>
  <si>
    <t>grandma’s recipes</t>
  </si>
  <si>
    <t>traditional recipes</t>
  </si>
  <si>
    <t>classic recipes</t>
  </si>
  <si>
    <t>comfort food recipes</t>
  </si>
  <si>
    <t>cheap recipes</t>
  </si>
  <si>
    <t>budget recipes</t>
  </si>
  <si>
    <t>meal prep recipes</t>
  </si>
  <si>
    <t>one pot recipes</t>
  </si>
  <si>
    <t>sheet pan recipes</t>
  </si>
  <si>
    <t>slow cooker recipes</t>
  </si>
  <si>
    <t>instant pot recipes</t>
  </si>
  <si>
    <t>air fryer recipes</t>
  </si>
  <si>
    <t>microwave recipes</t>
  </si>
  <si>
    <t>no bake recipes</t>
  </si>
  <si>
    <t>vegetarian recipes</t>
  </si>
  <si>
    <t>vegan recipes</t>
  </si>
  <si>
    <t>plant based recipes</t>
  </si>
  <si>
    <t>gluten free recipes</t>
  </si>
  <si>
    <t>dairy free recipes</t>
  </si>
  <si>
    <t>keto recipes</t>
  </si>
  <si>
    <t>paleo recipes</t>
  </si>
  <si>
    <t>low carb recipes</t>
  </si>
  <si>
    <t>high protein recipes</t>
  </si>
  <si>
    <t>whole30 recipes</t>
  </si>
  <si>
    <t>mediterranean recipes</t>
  </si>
  <si>
    <t>asian recipes</t>
  </si>
  <si>
    <t>indian recipes</t>
  </si>
  <si>
    <t>italian recipes</t>
  </si>
  <si>
    <t>french recipes</t>
  </si>
  <si>
    <t>spanish recipes</t>
  </si>
  <si>
    <t>mexican recipes</t>
  </si>
  <si>
    <t>greek recipes</t>
  </si>
  <si>
    <t>thai recipes</t>
  </si>
  <si>
    <t>japanese recipes</t>
  </si>
  <si>
    <t>korean recipes</t>
  </si>
  <si>
    <t>chinese recipes</t>
  </si>
  <si>
    <t>vietnamese recipes</t>
  </si>
  <si>
    <t>middle eastern recipes</t>
  </si>
  <si>
    <t>moroccan recipes</t>
  </si>
  <si>
    <t>african recipes</t>
  </si>
  <si>
    <t>caribbean recipes</t>
  </si>
  <si>
    <t>brazilian recipes</t>
  </si>
  <si>
    <t>american recipes</t>
  </si>
  <si>
    <t>fusion recipes</t>
  </si>
  <si>
    <t>holiday recipes</t>
  </si>
  <si>
    <t>christmas recipes</t>
  </si>
  <si>
    <t>thanksgiving recipes</t>
  </si>
  <si>
    <t>easter recipes</t>
  </si>
  <si>
    <t>halloween recipes</t>
  </si>
  <si>
    <t>valentine’s recipes</t>
  </si>
  <si>
    <t>birthday recipes</t>
  </si>
  <si>
    <t>party recipes</t>
  </si>
  <si>
    <t>snack recipes</t>
  </si>
  <si>
    <t>appetizer recipes</t>
  </si>
  <si>
    <t>breakfast recipes</t>
  </si>
  <si>
    <t>brunch recipes</t>
  </si>
  <si>
    <t>lunch recipes</t>
  </si>
  <si>
    <t>dinner recipes</t>
  </si>
  <si>
    <t>dessert recipes</t>
  </si>
  <si>
    <t>cake recipes</t>
  </si>
  <si>
    <t>cookie recipes</t>
  </si>
  <si>
    <t>brownie recipes</t>
  </si>
  <si>
    <t>pie recipes</t>
  </si>
  <si>
    <t>bread recipes</t>
  </si>
  <si>
    <t>pasta recipes</t>
  </si>
  <si>
    <t>pizza recipes</t>
  </si>
  <si>
    <t>burger recipes</t>
  </si>
  <si>
    <t>sandwich recipes</t>
  </si>
  <si>
    <t>salad recipes</t>
  </si>
  <si>
    <t>soup recipes</t>
  </si>
  <si>
    <t>stew recipes</t>
  </si>
  <si>
    <t>curry recipes</t>
  </si>
  <si>
    <t>rice recipes</t>
  </si>
  <si>
    <t>noodle recipes</t>
  </si>
  <si>
    <t>seafood recipes</t>
  </si>
  <si>
    <t>fish recipes</t>
  </si>
  <si>
    <t>chicken recipes</t>
  </si>
  <si>
    <t>beef recipes</t>
  </si>
  <si>
    <t>pork recipes</t>
  </si>
  <si>
    <t>lamb recipes</t>
  </si>
  <si>
    <t>tofu recipes</t>
  </si>
  <si>
    <t>egg recipes</t>
  </si>
  <si>
    <t>cheese recipes</t>
  </si>
  <si>
    <t>potato recipes</t>
  </si>
  <si>
    <t>vegetable recipes</t>
  </si>
  <si>
    <t>fruit recipes</t>
  </si>
  <si>
    <t>smoothie recipes</t>
  </si>
  <si>
    <t>juice recipes</t>
  </si>
  <si>
    <t>cocktail recipes</t>
  </si>
  <si>
    <t>mocktail recipes</t>
  </si>
  <si>
    <t>sauce recipes</t>
  </si>
  <si>
    <t>dip recipes</t>
  </si>
  <si>
    <t>marinade recipes</t>
  </si>
  <si>
    <t>baking recipes</t>
  </si>
  <si>
    <t>grilling recipes</t>
  </si>
  <si>
    <t>bbq recipes</t>
  </si>
  <si>
    <t>gourmet recipes</t>
  </si>
  <si>
    <t>fancy recipes</t>
  </si>
  <si>
    <t>easy kids recipes</t>
  </si>
  <si>
    <t>healthy kids recipes</t>
  </si>
  <si>
    <t>5 ingredient recipes</t>
  </si>
  <si>
    <t>mixology</t>
  </si>
  <si>
    <t>cocktails</t>
  </si>
  <si>
    <t>craft cocktails</t>
  </si>
  <si>
    <t>classic cocktails</t>
  </si>
  <si>
    <t>signature cocktails</t>
  </si>
  <si>
    <t>cocktail art</t>
  </si>
  <si>
    <t>cocktail culture</t>
  </si>
  <si>
    <t>cocktail hour</t>
  </si>
  <si>
    <t>cocktail bar</t>
  </si>
  <si>
    <t>cocktail lounge</t>
  </si>
  <si>
    <t>cocktail party</t>
  </si>
  <si>
    <t>cocktail inspiration</t>
  </si>
  <si>
    <t>cocktail mix</t>
  </si>
  <si>
    <t>cocktail vibes</t>
  </si>
  <si>
    <t>cocktail lovers</t>
  </si>
  <si>
    <t>cocktail edit</t>
  </si>
  <si>
    <t>cocktail reel</t>
  </si>
  <si>
    <t>cocktail tiktok</t>
  </si>
  <si>
    <t>cocktail instagram</t>
  </si>
  <si>
    <t>mixology recipes</t>
  </si>
  <si>
    <t>mixology drinks</t>
  </si>
  <si>
    <t>mixology bartender</t>
  </si>
  <si>
    <t>mixology aesthetic</t>
  </si>
  <si>
    <t>mixology edits</t>
  </si>
  <si>
    <t>bartender life</t>
  </si>
  <si>
    <t>bartender skills</t>
  </si>
  <si>
    <t>bartender tricks</t>
  </si>
  <si>
    <t>bartender flair</t>
  </si>
  <si>
    <t>flair bartending</t>
  </si>
  <si>
    <t>bar tools</t>
  </si>
  <si>
    <t>shaker cocktails</t>
  </si>
  <si>
    <t>muddler</t>
  </si>
  <si>
    <t>strainer</t>
  </si>
  <si>
    <t>jigger</t>
  </si>
  <si>
    <t>cocktail glassware</t>
  </si>
  <si>
    <t>martini glass</t>
  </si>
  <si>
    <t>coupe glass</t>
  </si>
  <si>
    <t>rocks glass</t>
  </si>
  <si>
    <t>highball glass</t>
  </si>
  <si>
    <t>tiki glass</t>
  </si>
  <si>
    <t>wine glass</t>
  </si>
  <si>
    <t>champagne flute</t>
  </si>
  <si>
    <t>beer cocktail</t>
  </si>
  <si>
    <t>martini cocktail</t>
  </si>
  <si>
    <t>espresso martini</t>
  </si>
  <si>
    <t>dry martini</t>
  </si>
  <si>
    <t>vodka martini</t>
  </si>
  <si>
    <t>mojito</t>
  </si>
  <si>
    <t>daiquiri</t>
  </si>
  <si>
    <t>piña colada</t>
  </si>
  <si>
    <t>margarita</t>
  </si>
  <si>
    <t>frozen margarita</t>
  </si>
  <si>
    <t>paloma</t>
  </si>
  <si>
    <t>caipirinha</t>
  </si>
  <si>
    <t>bloody mary</t>
  </si>
  <si>
    <t>negroni</t>
  </si>
  <si>
    <t>americano cocktail</t>
  </si>
  <si>
    <t>aperol spritz</t>
  </si>
  <si>
    <t>campari spritz</t>
  </si>
  <si>
    <t>gin tonic</t>
  </si>
  <si>
    <t>tom collins</t>
  </si>
  <si>
    <t>french 75</t>
  </si>
  <si>
    <t>sidecar cocktail</t>
  </si>
  <si>
    <t>old fashioned</t>
  </si>
  <si>
    <t>whiskey sour</t>
  </si>
  <si>
    <t>manhattan cocktail</t>
  </si>
  <si>
    <t>mint julep</t>
  </si>
  <si>
    <t>boulevardier</t>
  </si>
  <si>
    <t>vodka sour</t>
  </si>
  <si>
    <t>cosmopolitan cocktail</t>
  </si>
  <si>
    <t>mai tai</t>
  </si>
  <si>
    <t>zombie cocktail</t>
  </si>
  <si>
    <t>rum punch</t>
  </si>
  <si>
    <t>hurricane cocktail</t>
  </si>
  <si>
    <t>blue lagoon</t>
  </si>
  <si>
    <t>tequila sunrise</t>
  </si>
  <si>
    <t>long island iced tea</t>
  </si>
  <si>
    <t>singapore sling</t>
  </si>
  <si>
    <t>sex on the beach</t>
  </si>
  <si>
    <t>bellini</t>
  </si>
  <si>
    <t>kir royale</t>
  </si>
  <si>
    <t>irish coffee</t>
  </si>
  <si>
    <t>baileys cocktails</t>
  </si>
  <si>
    <t>eggnog cocktail</t>
  </si>
  <si>
    <t>hot toddy</t>
  </si>
  <si>
    <t>sazerac</t>
  </si>
  <si>
    <t>absinthe cocktail</t>
  </si>
  <si>
    <t>mezcal cocktail</t>
  </si>
  <si>
    <t>pisco sour</t>
  </si>
  <si>
    <t>aperitivo</t>
  </si>
  <si>
    <t>digestif</t>
  </si>
  <si>
    <t>mocktails</t>
  </si>
  <si>
    <t>zero proof cocktails</t>
  </si>
  <si>
    <t>non alcoholic cocktails</t>
  </si>
  <si>
    <t>herbal cocktails</t>
  </si>
  <si>
    <t>smoked cocktails</t>
  </si>
  <si>
    <t>seasonal cocktails</t>
  </si>
  <si>
    <t>tiki cocktails</t>
  </si>
  <si>
    <t>summer cocktails</t>
  </si>
  <si>
    <t>winter cocktails</t>
  </si>
  <si>
    <t>holiday cocktails</t>
  </si>
  <si>
    <t>fancy cocktails</t>
  </si>
  <si>
    <t>molecular mixology</t>
  </si>
  <si>
    <t>ice carving cocktails</t>
  </si>
  <si>
    <t>garnish ideas</t>
  </si>
  <si>
    <t>edible flowers cocktail</t>
  </si>
  <si>
    <t>cocktail syrups</t>
  </si>
  <si>
    <t>homemade bitters</t>
  </si>
  <si>
    <t>infused spirits</t>
  </si>
  <si>
    <t>bar cart aesthetic</t>
  </si>
  <si>
    <t>hennessy</t>
  </si>
  <si>
    <t>hennessy cognac</t>
  </si>
  <si>
    <t>hennessy vs</t>
  </si>
  <si>
    <t>hennessy vsop</t>
  </si>
  <si>
    <t>hennessy xo</t>
  </si>
  <si>
    <t>hennessy paradis</t>
  </si>
  <si>
    <t>hennessy black</t>
  </si>
  <si>
    <t>hennessy pure white</t>
  </si>
  <si>
    <t>hennessy master blender</t>
  </si>
  <si>
    <t>hennessy edition</t>
  </si>
  <si>
    <t>hennessy limited edition</t>
  </si>
  <si>
    <t>hennessy rare</t>
  </si>
  <si>
    <t>hennessy extra</t>
  </si>
  <si>
    <t>hennessy bottle</t>
  </si>
  <si>
    <t>hennessy collection</t>
  </si>
  <si>
    <t>hennessy tasting</t>
  </si>
  <si>
    <t>hennessy cocktails</t>
  </si>
  <si>
    <t>hennessy mix</t>
  </si>
  <si>
    <t>hennessy drink</t>
  </si>
  <si>
    <t>hennessy recipes</t>
  </si>
  <si>
    <t>hennessy with coke</t>
  </si>
  <si>
    <t>hennessy margarita</t>
  </si>
  <si>
    <t>hennessy mojito</t>
  </si>
  <si>
    <t>hennessy daiquiri</t>
  </si>
  <si>
    <t>hennessy sour</t>
  </si>
  <si>
    <t>hennessy sidecar</t>
  </si>
  <si>
    <t>hennessy old fashioned</t>
  </si>
  <si>
    <t>hennessy manhattan</t>
  </si>
  <si>
    <t>hennessy negroni</t>
  </si>
  <si>
    <t>hennessy espresso martini</t>
  </si>
  <si>
    <t>hennessy tonic</t>
  </si>
  <si>
    <t>hennessy lemonade</t>
  </si>
  <si>
    <t>hennessy ginger</t>
  </si>
  <si>
    <t>hennessy apple</t>
  </si>
  <si>
    <t>hennessy pineapple</t>
  </si>
  <si>
    <t>hennessy orange juice</t>
  </si>
  <si>
    <t>hennessy cranberry</t>
  </si>
  <si>
    <t>hennessy iced tea</t>
  </si>
  <si>
    <t>hennessy punch</t>
  </si>
  <si>
    <t>hennessy sangria</t>
  </si>
  <si>
    <t>hennessy slush</t>
  </si>
  <si>
    <t>hennessy shots</t>
  </si>
  <si>
    <t>hennessy straight</t>
  </si>
  <si>
    <t>hennessy neat</t>
  </si>
  <si>
    <t>hennessy on the rocks</t>
  </si>
  <si>
    <t>hennessy and cigars</t>
  </si>
  <si>
    <t>hennessy luxury</t>
  </si>
  <si>
    <t>hennessy lifestyle</t>
  </si>
  <si>
    <t>hennessy vibes</t>
  </si>
  <si>
    <t>hennessy party</t>
  </si>
  <si>
    <t>hennessy celebration</t>
  </si>
  <si>
    <t>hennessy club</t>
  </si>
  <si>
    <t>hennessy bar</t>
  </si>
  <si>
    <t>hennessy lounge</t>
  </si>
  <si>
    <t>hennessy aesthetic</t>
  </si>
  <si>
    <t>hennessy edits</t>
  </si>
  <si>
    <t>hennessy tiktok</t>
  </si>
  <si>
    <t>hennessy reels</t>
  </si>
  <si>
    <t>hennessy music video</t>
  </si>
  <si>
    <t>hennessy rap</t>
  </si>
  <si>
    <t>hennessy hip hop</t>
  </si>
  <si>
    <t>hennessy lyrics</t>
  </si>
  <si>
    <t>hennessy shoutout</t>
  </si>
  <si>
    <t>hennessy culture</t>
  </si>
  <si>
    <t>hennessy france</t>
  </si>
  <si>
    <t>hennessy cognac france</t>
  </si>
  <si>
    <t>hennessy maison</t>
  </si>
  <si>
    <t>hennessy distillery</t>
  </si>
  <si>
    <t>hennessy heritage</t>
  </si>
  <si>
    <t>hennessy tradition</t>
  </si>
  <si>
    <t>hennessy brand</t>
  </si>
  <si>
    <t>hennessy campaign</t>
  </si>
  <si>
    <t>hennessy ad</t>
  </si>
  <si>
    <t>hennessy commercial</t>
  </si>
  <si>
    <t>hennessy ambassador</t>
  </si>
  <si>
    <t>hennessy celebrity</t>
  </si>
  <si>
    <t>hennessy collaboration</t>
  </si>
  <si>
    <t>hennessy x nba</t>
  </si>
  <si>
    <t>hennessy nba</t>
  </si>
  <si>
    <t>hennessy basketball</t>
  </si>
  <si>
    <t>hennessy fashion</t>
  </si>
  <si>
    <t>hennessy art</t>
  </si>
  <si>
    <t>hennessy streetwear</t>
  </si>
  <si>
    <t>hennessy merch</t>
  </si>
  <si>
    <t>hennessy collector</t>
  </si>
  <si>
    <t>hennessy rare bottle</t>
  </si>
  <si>
    <t>hennessy vs edition</t>
  </si>
  <si>
    <t>hennessy vsop edition</t>
  </si>
  <si>
    <t>hennessy xo edition</t>
  </si>
  <si>
    <t>hennessy high end</t>
  </si>
  <si>
    <t>hennessy luxury lifestyle</t>
  </si>
  <si>
    <t>hennessy dinner</t>
  </si>
  <si>
    <t>hennessy tasting menu</t>
  </si>
  <si>
    <t>hennessy pairings</t>
  </si>
  <si>
    <t>hennessy gourmet</t>
  </si>
  <si>
    <t>hennessy dessert</t>
  </si>
  <si>
    <t>hennessy chocolate</t>
  </si>
  <si>
    <t>hennessy coffee</t>
  </si>
  <si>
    <t>hennessy espresso</t>
  </si>
  <si>
    <t>hennessy night</t>
  </si>
  <si>
    <t>hennessy weekend</t>
  </si>
  <si>
    <t>hennessy goals</t>
  </si>
  <si>
    <t>team hennessy</t>
  </si>
  <si>
    <t>chanel</t>
  </si>
  <si>
    <t>chanel paris</t>
  </si>
  <si>
    <t>coco chanel</t>
  </si>
  <si>
    <t>gabrielle chanel</t>
  </si>
  <si>
    <t>chanel maison</t>
  </si>
  <si>
    <t>chanel haute couture</t>
  </si>
  <si>
    <t>chanel fashion show</t>
  </si>
  <si>
    <t>chanel runway</t>
  </si>
  <si>
    <t>chanel couture</t>
  </si>
  <si>
    <t>chanel fw</t>
  </si>
  <si>
    <t>chanel ss</t>
  </si>
  <si>
    <t>chanel collection</t>
  </si>
  <si>
    <t>chanel campaign</t>
  </si>
  <si>
    <t>chanel ad</t>
  </si>
  <si>
    <t>chanel ambassador</t>
  </si>
  <si>
    <t>chanel celebrity</t>
  </si>
  <si>
    <t>chanel red carpet</t>
  </si>
  <si>
    <t>chanel style</t>
  </si>
  <si>
    <t>chanel look</t>
  </si>
  <si>
    <t>chanel outfit</t>
  </si>
  <si>
    <t>chanel aesthetic</t>
  </si>
  <si>
    <t>chanel vibes</t>
  </si>
  <si>
    <t>chanel muse</t>
  </si>
  <si>
    <t>chanel model</t>
  </si>
  <si>
    <t>chanel atelier</t>
  </si>
  <si>
    <t>chanel craftsmanship</t>
  </si>
  <si>
    <t>chanel savoir faire</t>
  </si>
  <si>
    <t>chanel tweed</t>
  </si>
  <si>
    <t>chanel jacket</t>
  </si>
  <si>
    <t>chanel suit</t>
  </si>
  <si>
    <t>chanel bag</t>
  </si>
  <si>
    <t>chanel classic flap</t>
  </si>
  <si>
    <t>chanel 2.55</t>
  </si>
  <si>
    <t>chanel boy bag</t>
  </si>
  <si>
    <t>chanel gabrielle bag</t>
  </si>
  <si>
    <t>chanel 19 bag</t>
  </si>
  <si>
    <t>chanel wallet</t>
  </si>
  <si>
    <t>chanel belt bag</t>
  </si>
  <si>
    <t>chanel clutch</t>
  </si>
  <si>
    <t>chanel vanity case</t>
  </si>
  <si>
    <t>chanel shoes</t>
  </si>
  <si>
    <t>chanel boots</t>
  </si>
  <si>
    <t>chanel sandals</t>
  </si>
  <si>
    <t>chanel sneakers</t>
  </si>
  <si>
    <t>chanel jewelry</t>
  </si>
  <si>
    <t>chanel earrings</t>
  </si>
  <si>
    <t>chanel necklace</t>
  </si>
  <si>
    <t>chanel bracelet</t>
  </si>
  <si>
    <t>chanel brooch</t>
  </si>
  <si>
    <t>chanel watch</t>
  </si>
  <si>
    <t>chanel j12</t>
  </si>
  <si>
    <t>chanel haute horlogerie</t>
  </si>
  <si>
    <t>chanel perfume</t>
  </si>
  <si>
    <t>chanel no 5</t>
  </si>
  <si>
    <t>chanel gabrielle perfume</t>
  </si>
  <si>
    <t>chanel chance</t>
  </si>
  <si>
    <t>chanel coco mademoiselle</t>
  </si>
  <si>
    <t>chanel allure</t>
  </si>
  <si>
    <t>chanel bleu</t>
  </si>
  <si>
    <t>chanel beauty</t>
  </si>
  <si>
    <t>chanel skincare</t>
  </si>
  <si>
    <t>chanel makeup</t>
  </si>
  <si>
    <t>chanel lipstick</t>
  </si>
  <si>
    <t>chanel foundation</t>
  </si>
  <si>
    <t>chanel mascara</t>
  </si>
  <si>
    <t>chanel nail polish</t>
  </si>
  <si>
    <t>chanel boutique</t>
  </si>
  <si>
    <t>chanel store</t>
  </si>
  <si>
    <t>chanel flagship</t>
  </si>
  <si>
    <t>chanel rue cambon</t>
  </si>
  <si>
    <t>chanel vendôme</t>
  </si>
  <si>
    <t>chanel ginza</t>
  </si>
  <si>
    <t>chanel new york</t>
  </si>
  <si>
    <t>chanel london</t>
  </si>
  <si>
    <t>chanel milan</t>
  </si>
  <si>
    <t>chanel dubai</t>
  </si>
  <si>
    <t>chanel tokyo</t>
  </si>
  <si>
    <t>chanel hong kong</t>
  </si>
  <si>
    <t>chanel shanghai</t>
  </si>
  <si>
    <t>chanel seoul</t>
  </si>
  <si>
    <t>chanel singapore</t>
  </si>
  <si>
    <t>chanel art</t>
  </si>
  <si>
    <t>chanel exhibition</t>
  </si>
  <si>
    <t>chanel museum</t>
  </si>
  <si>
    <t>mademoiselle privé</t>
  </si>
  <si>
    <t>chanel heritage</t>
  </si>
  <si>
    <t>chanel legacy</t>
  </si>
  <si>
    <t>chanel archive</t>
  </si>
  <si>
    <t>chanel documentary</t>
  </si>
  <si>
    <t>chanel film</t>
  </si>
  <si>
    <t>inside chanel</t>
  </si>
  <si>
    <t>chanel commercial</t>
  </si>
  <si>
    <t>chanel fashion film</t>
  </si>
  <si>
    <t>chanel edits</t>
  </si>
  <si>
    <t>chanel reels</t>
  </si>
  <si>
    <t>chanel tiktok</t>
  </si>
  <si>
    <t>chanel instagram</t>
  </si>
  <si>
    <t>chanel photography</t>
  </si>
  <si>
    <t>chanel couture week</t>
  </si>
  <si>
    <t>apple</t>
  </si>
  <si>
    <t>apple inc</t>
  </si>
  <si>
    <t>apple company</t>
  </si>
  <si>
    <t>apple logo</t>
  </si>
  <si>
    <t>apple brand</t>
  </si>
  <si>
    <t>apple lifestyle</t>
  </si>
  <si>
    <t>apple design</t>
  </si>
  <si>
    <t>apple innovation</t>
  </si>
  <si>
    <t>apple keynote</t>
  </si>
  <si>
    <t>apple event</t>
  </si>
  <si>
    <t>apple launch</t>
  </si>
  <si>
    <t>apple products</t>
  </si>
  <si>
    <t>apple devices</t>
  </si>
  <si>
    <t>apple store</t>
  </si>
  <si>
    <t>apple online store</t>
  </si>
  <si>
    <t>apple flagship</t>
  </si>
  <si>
    <t>apple paris</t>
  </si>
  <si>
    <t>apple london</t>
  </si>
  <si>
    <t>apple new york</t>
  </si>
  <si>
    <t>apple campus</t>
  </si>
  <si>
    <t>apple hq</t>
  </si>
  <si>
    <t>apple iphone</t>
  </si>
  <si>
    <t>iphone 15</t>
  </si>
  <si>
    <t>iphone 14</t>
  </si>
  <si>
    <t>iphone 13</t>
  </si>
  <si>
    <t>iphone pro</t>
  </si>
  <si>
    <t>iphone pro max</t>
  </si>
  <si>
    <t>iphone mini</t>
  </si>
  <si>
    <t>iphone plus</t>
  </si>
  <si>
    <t>iphone camera</t>
  </si>
  <si>
    <t>iphone photography</t>
  </si>
  <si>
    <t>iphone cinematic</t>
  </si>
  <si>
    <t>iphone apps</t>
  </si>
  <si>
    <t>iphone ios</t>
  </si>
  <si>
    <t>ios update</t>
  </si>
  <si>
    <t>apple watch</t>
  </si>
  <si>
    <t>apple watch ultra</t>
  </si>
  <si>
    <t>apple watch series</t>
  </si>
  <si>
    <t>apple watch se</t>
  </si>
  <si>
    <t>apple fitness</t>
  </si>
  <si>
    <t>apple health</t>
  </si>
  <si>
    <t>apple airpods</t>
  </si>
  <si>
    <t>airpods pro</t>
  </si>
  <si>
    <t>airpods max</t>
  </si>
  <si>
    <t>airpods 3</t>
  </si>
  <si>
    <t>apple macbook</t>
  </si>
  <si>
    <t>macbook air</t>
  </si>
  <si>
    <t>macbook pro</t>
  </si>
  <si>
    <t>macbook m1</t>
  </si>
  <si>
    <t>macbook m2</t>
  </si>
  <si>
    <t>macbook m3</t>
  </si>
  <si>
    <t>apple imac</t>
  </si>
  <si>
    <t>imac m1</t>
  </si>
  <si>
    <t>imac m3</t>
  </si>
  <si>
    <t>apple mac pro</t>
  </si>
  <si>
    <t>apple mac studio</t>
  </si>
  <si>
    <t>apple display</t>
  </si>
  <si>
    <t>apple vision pro</t>
  </si>
  <si>
    <t>vision pro headset</t>
  </si>
  <si>
    <t>apple vr</t>
  </si>
  <si>
    <t>apple ar</t>
  </si>
  <si>
    <t>apple reality pro</t>
  </si>
  <si>
    <t>apple ipad</t>
  </si>
  <si>
    <t>ipad pro</t>
  </si>
  <si>
    <t>ipad air</t>
  </si>
  <si>
    <t>ipad mini</t>
  </si>
  <si>
    <t>ipad 10</t>
  </si>
  <si>
    <t>apple pencil</t>
  </si>
  <si>
    <t>apple music</t>
  </si>
  <si>
    <t>apple tv</t>
  </si>
  <si>
    <t>apple tv plus</t>
  </si>
  <si>
    <t>apple arcade</t>
  </si>
  <si>
    <t>apple fitness plus</t>
  </si>
  <si>
    <t>apple news</t>
  </si>
  <si>
    <t>apple news plus</t>
  </si>
  <si>
    <t>apple pay</t>
  </si>
  <si>
    <t>apple wallet</t>
  </si>
  <si>
    <t>apple card</t>
  </si>
  <si>
    <t>apple one</t>
  </si>
  <si>
    <t>apple icloud</t>
  </si>
  <si>
    <t>icloud storage</t>
  </si>
  <si>
    <t>apple developer</t>
  </si>
  <si>
    <t>apple coding</t>
  </si>
  <si>
    <t>swift programming</t>
  </si>
  <si>
    <t>swiftui</t>
  </si>
  <si>
    <t>xcode</t>
  </si>
  <si>
    <t>app store</t>
  </si>
  <si>
    <t>apple ecosystem</t>
  </si>
  <si>
    <t>apple support</t>
  </si>
  <si>
    <t>apple genius bar</t>
  </si>
  <si>
    <t>applecare</t>
  </si>
  <si>
    <t>steve jobs</t>
  </si>
  <si>
    <t>tim cook</t>
  </si>
  <si>
    <t>jonathan ive</t>
  </si>
  <si>
    <t>apple history</t>
  </si>
  <si>
    <t>apple future</t>
  </si>
  <si>
    <t>apple stock</t>
  </si>
  <si>
    <t>apple shares</t>
  </si>
  <si>
    <t>apple investor</t>
  </si>
  <si>
    <t>apple aesthetic</t>
  </si>
  <si>
    <t>apple minimalism</t>
  </si>
  <si>
    <t>apple edits</t>
  </si>
  <si>
    <t>apple tiktok</t>
  </si>
  <si>
    <t>apple instagram</t>
  </si>
  <si>
    <t>apple photography</t>
  </si>
  <si>
    <t>apple unboxing</t>
  </si>
  <si>
    <t>google</t>
  </si>
  <si>
    <t>google search</t>
  </si>
  <si>
    <t>google trends</t>
  </si>
  <si>
    <t>google news</t>
  </si>
  <si>
    <t>google maps</t>
  </si>
  <si>
    <t>google earth</t>
  </si>
  <si>
    <t>google street view</t>
  </si>
  <si>
    <t>google translate</t>
  </si>
  <si>
    <t>google docs</t>
  </si>
  <si>
    <t>google sheets</t>
  </si>
  <si>
    <t>google slides</t>
  </si>
  <si>
    <t>google drive</t>
  </si>
  <si>
    <t>google forms</t>
  </si>
  <si>
    <t>google calendar</t>
  </si>
  <si>
    <t>google meet</t>
  </si>
  <si>
    <t>google classroom</t>
  </si>
  <si>
    <t>google sites</t>
  </si>
  <si>
    <t>google groups</t>
  </si>
  <si>
    <t>google keep</t>
  </si>
  <si>
    <t>google photos</t>
  </si>
  <si>
    <t>google contacts</t>
  </si>
  <si>
    <t>gmail</t>
  </si>
  <si>
    <t>gmail app</t>
  </si>
  <si>
    <t>google workspace</t>
  </si>
  <si>
    <t>google business</t>
  </si>
  <si>
    <t>google ads</t>
  </si>
  <si>
    <t>google analytics</t>
  </si>
  <si>
    <t>google tag manager</t>
  </si>
  <si>
    <t>google optimize</t>
  </si>
  <si>
    <t>google merchant center</t>
  </si>
  <si>
    <t>google shopping</t>
  </si>
  <si>
    <t>google play</t>
  </si>
  <si>
    <t>google play store</t>
  </si>
  <si>
    <t>google play music</t>
  </si>
  <si>
    <t>google play games</t>
  </si>
  <si>
    <t>google play movies</t>
  </si>
  <si>
    <t>google one</t>
  </si>
  <si>
    <t>google pay</t>
  </si>
  <si>
    <t>google wallet</t>
  </si>
  <si>
    <t>google cloud</t>
  </si>
  <si>
    <t>google cloud platform</t>
  </si>
  <si>
    <t>google cloud storage</t>
  </si>
  <si>
    <t>google firebase</t>
  </si>
  <si>
    <t>google bigquery</t>
  </si>
  <si>
    <t>google ai</t>
  </si>
  <si>
    <t>google bard</t>
  </si>
  <si>
    <t>google deepmind</t>
  </si>
  <si>
    <t>google brain</t>
  </si>
  <si>
    <t>google research</t>
  </si>
  <si>
    <t>google developers</t>
  </si>
  <si>
    <t>google io</t>
  </si>
  <si>
    <t>google api</t>
  </si>
  <si>
    <t>google chrome</t>
  </si>
  <si>
    <t>google chrome extensions</t>
  </si>
  <si>
    <t>google chrome os</t>
  </si>
  <si>
    <t>chromebook</t>
  </si>
  <si>
    <t>google pixel</t>
  </si>
  <si>
    <t>pixel phone</t>
  </si>
  <si>
    <t>pixel pro</t>
  </si>
  <si>
    <t>pixel fold</t>
  </si>
  <si>
    <t>pixel buds</t>
  </si>
  <si>
    <t>pixel watch</t>
  </si>
  <si>
    <t>nest google</t>
  </si>
  <si>
    <t>google home</t>
  </si>
  <si>
    <t>google home mini</t>
  </si>
  <si>
    <t>google nest hub</t>
  </si>
  <si>
    <t>google nest audio</t>
  </si>
  <si>
    <t>google assistant</t>
  </si>
  <si>
    <t>ok google</t>
  </si>
  <si>
    <t>google tv</t>
  </si>
  <si>
    <t>chromecast</t>
  </si>
  <si>
    <t>google stadia</t>
  </si>
  <si>
    <t>google fit</t>
  </si>
  <si>
    <t>google health</t>
  </si>
  <si>
    <t>google automotive</t>
  </si>
  <si>
    <t>google carplay</t>
  </si>
  <si>
    <t>android auto</t>
  </si>
  <si>
    <t>self driving car google</t>
  </si>
  <si>
    <t>waymo google</t>
  </si>
  <si>
    <t>google ventures</t>
  </si>
  <si>
    <t>gv google</t>
  </si>
  <si>
    <t>alphabet inc</t>
  </si>
  <si>
    <t>alphabet stock</t>
  </si>
  <si>
    <t>larry page</t>
  </si>
  <si>
    <t>sergey brin</t>
  </si>
  <si>
    <t>sundar pichai</t>
  </si>
  <si>
    <t>google headquarters</t>
  </si>
  <si>
    <t>google campus</t>
  </si>
  <si>
    <t>google office</t>
  </si>
  <si>
    <t>google careers</t>
  </si>
  <si>
    <t>google jobs</t>
  </si>
  <si>
    <t>life at google</t>
  </si>
  <si>
    <t>google culture</t>
  </si>
  <si>
    <t>google design</t>
  </si>
  <si>
    <t>google aesthetic</t>
  </si>
  <si>
    <t>google edits</t>
  </si>
  <si>
    <t>google memes</t>
  </si>
  <si>
    <t>google tiktok</t>
  </si>
  <si>
    <t>google instagram</t>
  </si>
  <si>
    <t>google reels</t>
  </si>
  <si>
    <t>google photography</t>
  </si>
  <si>
    <t>google unboxing</t>
  </si>
  <si>
    <t>hollywood</t>
  </si>
  <si>
    <t>hollywood movies</t>
  </si>
  <si>
    <t>hollywood films</t>
  </si>
  <si>
    <t>hollywood cinema</t>
  </si>
  <si>
    <t>hollywood stars</t>
  </si>
  <si>
    <t>hollywood actors</t>
  </si>
  <si>
    <t>hollywood actresses</t>
  </si>
  <si>
    <t>hollywood directors</t>
  </si>
  <si>
    <t>hollywood producers</t>
  </si>
  <si>
    <t>hollywood studios</t>
  </si>
  <si>
    <t>hollywood writers</t>
  </si>
  <si>
    <t>hollywood screenwriters</t>
  </si>
  <si>
    <t>hollywood screenplays</t>
  </si>
  <si>
    <t>hollywood auditions</t>
  </si>
  <si>
    <t>hollywood casting</t>
  </si>
  <si>
    <t>hollywood sets</t>
  </si>
  <si>
    <t>hollywood red carpet</t>
  </si>
  <si>
    <t>hollywood walk of fame</t>
  </si>
  <si>
    <t>hollywood boulevard</t>
  </si>
  <si>
    <t>hollywood sign</t>
  </si>
  <si>
    <t>classic hollywood</t>
  </si>
  <si>
    <t>golden age hollywood</t>
  </si>
  <si>
    <t>old hollywood</t>
  </si>
  <si>
    <t>vintage hollywood</t>
  </si>
  <si>
    <t>silent hollywood</t>
  </si>
  <si>
    <t>hollywood musicals</t>
  </si>
  <si>
    <t>hollywood comedies</t>
  </si>
  <si>
    <t>hollywood dramas</t>
  </si>
  <si>
    <t>hollywood thrillers</t>
  </si>
  <si>
    <t>hollywood horror</t>
  </si>
  <si>
    <t>hollywood romance</t>
  </si>
  <si>
    <t>hollywood action</t>
  </si>
  <si>
    <t>hollywood sci fi</t>
  </si>
  <si>
    <t>hollywood fantasy</t>
  </si>
  <si>
    <t>blockbuster hollywood</t>
  </si>
  <si>
    <t>summer blockbusters</t>
  </si>
  <si>
    <t>oscars</t>
  </si>
  <si>
    <t>academy awards</t>
  </si>
  <si>
    <t>golden globes</t>
  </si>
  <si>
    <t>sag awards</t>
  </si>
  <si>
    <t>emmys hollywood</t>
  </si>
  <si>
    <t>hollywood premieres</t>
  </si>
  <si>
    <t>movie premiere</t>
  </si>
  <si>
    <t>film festival hollywood</t>
  </si>
  <si>
    <t>cannes vs hollywood</t>
  </si>
  <si>
    <t>sundance hollywood</t>
  </si>
  <si>
    <t>tribeca hollywood</t>
  </si>
  <si>
    <t>hollywood netflix</t>
  </si>
  <si>
    <t>hollywood hbo</t>
  </si>
  <si>
    <t>hollywood disney</t>
  </si>
  <si>
    <t>hollywood universal</t>
  </si>
  <si>
    <t>warner bros hollywood</t>
  </si>
  <si>
    <t>paramount pictures</t>
  </si>
  <si>
    <t>sony pictures</t>
  </si>
  <si>
    <t>20th century studios</t>
  </si>
  <si>
    <t>a24 films</t>
  </si>
  <si>
    <t>hollywood celebrities</t>
  </si>
  <si>
    <t>celebrity news hollywood</t>
  </si>
  <si>
    <t>celebrity gossip hollywood</t>
  </si>
  <si>
    <t>paparazzi hollywood</t>
  </si>
  <si>
    <t>hollywood parties</t>
  </si>
  <si>
    <t>hollywood lifestyle</t>
  </si>
  <si>
    <t>hollywood mansions</t>
  </si>
  <si>
    <t>hollywood hills</t>
  </si>
  <si>
    <t>beverly hills</t>
  </si>
  <si>
    <t>bel air</t>
  </si>
  <si>
    <t>celebrity homes</t>
  </si>
  <si>
    <t>celebrity tours</t>
  </si>
  <si>
    <t>hollywood fitness</t>
  </si>
  <si>
    <t>celebrity workouts</t>
  </si>
  <si>
    <t>celebrity diets</t>
  </si>
  <si>
    <t>hollywood beauty</t>
  </si>
  <si>
    <t>celebrity makeup</t>
  </si>
  <si>
    <t>celebrity fashion</t>
  </si>
  <si>
    <t>celebrity red carpet looks</t>
  </si>
  <si>
    <t>celebrity stylists</t>
  </si>
  <si>
    <t>hollywood influencers</t>
  </si>
  <si>
    <t>hollywood instagram</t>
  </si>
  <si>
    <t>hollywood reels</t>
  </si>
  <si>
    <t>hollywood edits</t>
  </si>
  <si>
    <t>hollywood tiktok</t>
  </si>
  <si>
    <t>hollywood music</t>
  </si>
  <si>
    <t>hollywood soundtrack</t>
  </si>
  <si>
    <t>movie soundtrack</t>
  </si>
  <si>
    <t>hollywood composer</t>
  </si>
  <si>
    <t>hollywood orchestra</t>
  </si>
  <si>
    <t>hollywood production</t>
  </si>
  <si>
    <t>hollywood cinematography</t>
  </si>
  <si>
    <t>hollywood vfx</t>
  </si>
  <si>
    <t>hollywood stunts</t>
  </si>
  <si>
    <t>hollywood action scenes</t>
  </si>
  <si>
    <t>hollywood memes</t>
  </si>
  <si>
    <t>hollywood quotes</t>
  </si>
  <si>
    <t>hollywood love stories</t>
  </si>
  <si>
    <t>hollywood scandals</t>
  </si>
  <si>
    <t>hollywood controversy</t>
  </si>
  <si>
    <t>hollywood drama</t>
  </si>
  <si>
    <t>hollywood history</t>
  </si>
  <si>
    <t>hollywood future</t>
  </si>
  <si>
    <t>hollywood dreams</t>
  </si>
  <si>
    <t>hollywood aesthetic</t>
  </si>
  <si>
    <t>star wars</t>
  </si>
  <si>
    <t>star wars saga</t>
  </si>
  <si>
    <t>star wars movies</t>
  </si>
  <si>
    <t>star wars series</t>
  </si>
  <si>
    <t>star wars disney</t>
  </si>
  <si>
    <t>star wars lucasfilm</t>
  </si>
  <si>
    <t>star wars fandom</t>
  </si>
  <si>
    <t>star wars fans</t>
  </si>
  <si>
    <t>star wars cosplay</t>
  </si>
  <si>
    <t>star wars edits</t>
  </si>
  <si>
    <t>star wars memes</t>
  </si>
  <si>
    <t>star wars quotes</t>
  </si>
  <si>
    <t>star wars art</t>
  </si>
  <si>
    <t>star wars collectibles</t>
  </si>
  <si>
    <t>star wars toys</t>
  </si>
  <si>
    <t>star wars merch</t>
  </si>
  <si>
    <t>star wars lego</t>
  </si>
  <si>
    <t>star wars video games</t>
  </si>
  <si>
    <t>star wars comics</t>
  </si>
  <si>
    <t>star wars books</t>
  </si>
  <si>
    <t>star wars novels</t>
  </si>
  <si>
    <t>star wars posters</t>
  </si>
  <si>
    <t>star wars wallpaper</t>
  </si>
  <si>
    <t>star wars music</t>
  </si>
  <si>
    <t>john williams star wars</t>
  </si>
  <si>
    <t>the force</t>
  </si>
  <si>
    <t>the dark side</t>
  </si>
  <si>
    <t>the light side</t>
  </si>
  <si>
    <t>the jedi</t>
  </si>
  <si>
    <t>the sith</t>
  </si>
  <si>
    <t>lightsaber</t>
  </si>
  <si>
    <t>duel of the fates</t>
  </si>
  <si>
    <t>darth vader</t>
  </si>
  <si>
    <t>anakin skywalker</t>
  </si>
  <si>
    <t>padmé amidala</t>
  </si>
  <si>
    <t>obi wan kenobi</t>
  </si>
  <si>
    <t>qui gon jinn</t>
  </si>
  <si>
    <t>yoda</t>
  </si>
  <si>
    <t>mace windu</t>
  </si>
  <si>
    <t>palpatine</t>
  </si>
  <si>
    <t>darth sidious</t>
  </si>
  <si>
    <t>darth maul</t>
  </si>
  <si>
    <t>count dooku</t>
  </si>
  <si>
    <t>ahsoka tano</t>
  </si>
  <si>
    <t>clone wars</t>
  </si>
  <si>
    <t>order 66</t>
  </si>
  <si>
    <t>stormtrooper</t>
  </si>
  <si>
    <t>clone trooper</t>
  </si>
  <si>
    <t>boba fett</t>
  </si>
  <si>
    <t>jango fett</t>
  </si>
  <si>
    <t>mandalorian</t>
  </si>
  <si>
    <t>grogu</t>
  </si>
  <si>
    <t>baby yoda</t>
  </si>
  <si>
    <t>din djarin</t>
  </si>
  <si>
    <t>cara dune</t>
  </si>
  <si>
    <t>bo katan</t>
  </si>
  <si>
    <t>sabine wren</t>
  </si>
  <si>
    <t>ezra bridger</t>
  </si>
  <si>
    <t>grand admiral thrawn</t>
  </si>
  <si>
    <t>rebels star wars</t>
  </si>
  <si>
    <t>rogue one</t>
  </si>
  <si>
    <t>cassian andor</t>
  </si>
  <si>
    <t>jyn erso</t>
  </si>
  <si>
    <t>andor series</t>
  </si>
  <si>
    <t>han solo</t>
  </si>
  <si>
    <t>chewbacca</t>
  </si>
  <si>
    <t>princess leia</t>
  </si>
  <si>
    <t>luke skywalker</t>
  </si>
  <si>
    <t>lando calrissian</t>
  </si>
  <si>
    <t>c 3po</t>
  </si>
  <si>
    <t>r2 d2</t>
  </si>
  <si>
    <t>bb 8</t>
  </si>
  <si>
    <t>kylo ren</t>
  </si>
  <si>
    <t>rey skywalker</t>
  </si>
  <si>
    <t>finn star wars</t>
  </si>
  <si>
    <t>poe dameron</t>
  </si>
  <si>
    <t>supreme leader snoke</t>
  </si>
  <si>
    <t>first order</t>
  </si>
  <si>
    <t>resistance star wars</t>
  </si>
  <si>
    <t>the empire</t>
  </si>
  <si>
    <t>the rebellion</t>
  </si>
  <si>
    <t>death star</t>
  </si>
  <si>
    <t>star destroyer</t>
  </si>
  <si>
    <t>millennium falcon</t>
  </si>
  <si>
    <t>x wing</t>
  </si>
  <si>
    <t>tie fighter</t>
  </si>
  <si>
    <t>star wars galaxy</t>
  </si>
  <si>
    <t>star wars planets</t>
  </si>
  <si>
    <t>tattooine</t>
  </si>
  <si>
    <t>naboo</t>
  </si>
  <si>
    <t>coruscant</t>
  </si>
  <si>
    <t>mustafar</t>
  </si>
  <si>
    <t>dagobah</t>
  </si>
  <si>
    <t>endor</t>
  </si>
  <si>
    <t>hoth</t>
  </si>
  <si>
    <t>jakku</t>
  </si>
  <si>
    <t>kashyyyk</t>
  </si>
  <si>
    <t>star wars celebration</t>
  </si>
  <si>
    <t>star wars fan art</t>
  </si>
  <si>
    <t>star wars aesthetic</t>
  </si>
  <si>
    <t>star wars universe</t>
  </si>
  <si>
    <t>may the force be with you</t>
  </si>
  <si>
    <t>memes</t>
  </si>
  <si>
    <t>funny memes</t>
  </si>
  <si>
    <t>dank memes</t>
  </si>
  <si>
    <t>meme edits</t>
  </si>
  <si>
    <t>meme page</t>
  </si>
  <si>
    <t>meme culture</t>
  </si>
  <si>
    <t>viral memes</t>
  </si>
  <si>
    <t>internet memes</t>
  </si>
  <si>
    <t>classic memes</t>
  </si>
  <si>
    <t>old memes</t>
  </si>
  <si>
    <t>new memes</t>
  </si>
  <si>
    <t>wholesome memes</t>
  </si>
  <si>
    <t>relatable memes</t>
  </si>
  <si>
    <t>dark memes</t>
  </si>
  <si>
    <t>spicy memes</t>
  </si>
  <si>
    <t>savage memes</t>
  </si>
  <si>
    <t>edgy memes</t>
  </si>
  <si>
    <t>offensive memes</t>
  </si>
  <si>
    <t>toxic memes</t>
  </si>
  <si>
    <t>cringe memes</t>
  </si>
  <si>
    <t>awkward memes</t>
  </si>
  <si>
    <t>weird memes</t>
  </si>
  <si>
    <t>random memes</t>
  </si>
  <si>
    <t>absurd memes</t>
  </si>
  <si>
    <t>surreal memes</t>
  </si>
  <si>
    <t>deep fried memes</t>
  </si>
  <si>
    <t>ironic memes</t>
  </si>
  <si>
    <t>meta memes</t>
  </si>
  <si>
    <t>niche memes</t>
  </si>
  <si>
    <t>aesthetic memes</t>
  </si>
  <si>
    <t>reaction memes</t>
  </si>
  <si>
    <t>gif memes</t>
  </si>
  <si>
    <t>meme compilation</t>
  </si>
  <si>
    <t>meme template</t>
  </si>
  <si>
    <t>meme format</t>
  </si>
  <si>
    <t>meme sounds</t>
  </si>
  <si>
    <t>meme songs</t>
  </si>
  <si>
    <t>meme music</t>
  </si>
  <si>
    <t>meme remix</t>
  </si>
  <si>
    <t>meme video</t>
  </si>
  <si>
    <t>meme tiktok</t>
  </si>
  <si>
    <t>meme instagram</t>
  </si>
  <si>
    <t>meme reels</t>
  </si>
  <si>
    <t>meme shorts</t>
  </si>
  <si>
    <t>meme youtube</t>
  </si>
  <si>
    <t>meme edit account</t>
  </si>
  <si>
    <t>meme fanpage</t>
  </si>
  <si>
    <t>gaming memes</t>
  </si>
  <si>
    <t>marvel memes</t>
  </si>
  <si>
    <t>dc memes</t>
  </si>
  <si>
    <t>harry potter memes</t>
  </si>
  <si>
    <t>lotr memes</t>
  </si>
  <si>
    <t>disney memes</t>
  </si>
  <si>
    <t>pixar memes</t>
  </si>
  <si>
    <t>netflix memes</t>
  </si>
  <si>
    <t>office memes</t>
  </si>
  <si>
    <t>friends memes</t>
  </si>
  <si>
    <t>seinfeld memes</t>
  </si>
  <si>
    <t>simpsons memes</t>
  </si>
  <si>
    <t>family guy memes</t>
  </si>
  <si>
    <t>south park memes</t>
  </si>
  <si>
    <t>rick and morty memes</t>
  </si>
  <si>
    <t>spongebob memes</t>
  </si>
  <si>
    <t>patrick memes</t>
  </si>
  <si>
    <t>shrek memes</t>
  </si>
  <si>
    <t>minion memes</t>
  </si>
  <si>
    <t>pepe memes</t>
  </si>
  <si>
    <t>doge memes</t>
  </si>
  <si>
    <t>cheems memes</t>
  </si>
  <si>
    <t>cat memes</t>
  </si>
  <si>
    <t>grumpy cat memes</t>
  </si>
  <si>
    <t>nyan cat memes</t>
  </si>
  <si>
    <t>keyboard cat memes</t>
  </si>
  <si>
    <t>trollface</t>
  </si>
  <si>
    <t>rage comics</t>
  </si>
  <si>
    <t>forever alone</t>
  </si>
  <si>
    <t>y u no meme</t>
  </si>
  <si>
    <t>success kid</t>
  </si>
  <si>
    <t>bad luck brian</t>
  </si>
  <si>
    <t>distracted boyfriend</t>
  </si>
  <si>
    <t>expanding brain meme</t>
  </si>
  <si>
    <t>drake meme</t>
  </si>
  <si>
    <t>yes chad meme</t>
  </si>
  <si>
    <t>sigma memes</t>
  </si>
  <si>
    <t>beta memes</t>
  </si>
  <si>
    <t>alpha memes</t>
  </si>
  <si>
    <t>npc memes</t>
  </si>
  <si>
    <t>skibidi memes</t>
  </si>
  <si>
    <t>ohio memes</t>
  </si>
  <si>
    <t>rizz memes</t>
  </si>
  <si>
    <t>gyatt memes</t>
  </si>
  <si>
    <t>fanum tax meme</t>
  </si>
  <si>
    <t>mewing meme</t>
  </si>
  <si>
    <t>oh lawd he comin</t>
  </si>
  <si>
    <t>he protec he attac</t>
  </si>
  <si>
    <t>cash me outside</t>
  </si>
  <si>
    <t>ok boomer meme</t>
  </si>
  <si>
    <t>sus meme</t>
  </si>
  <si>
    <t>sussy baka</t>
  </si>
  <si>
    <t>among us memes</t>
  </si>
  <si>
    <t>fortnite memes</t>
  </si>
  <si>
    <t>minecraft memes</t>
  </si>
  <si>
    <t>roblox memes</t>
  </si>
  <si>
    <t>fifa memes</t>
  </si>
  <si>
    <t>nba memes</t>
  </si>
  <si>
    <t>video games</t>
  </si>
  <si>
    <t>gaming</t>
  </si>
  <si>
    <t>gamer life</t>
  </si>
  <si>
    <t>gaming setup</t>
  </si>
  <si>
    <t>gaming community</t>
  </si>
  <si>
    <t>gaming culture</t>
  </si>
  <si>
    <t>gaming clips</t>
  </si>
  <si>
    <t>gaming edits</t>
  </si>
  <si>
    <t>gaming reels</t>
  </si>
  <si>
    <t>gaming tiktok</t>
  </si>
  <si>
    <t>gaming youtube</t>
  </si>
  <si>
    <t>pc gaming</t>
  </si>
  <si>
    <t>console gaming</t>
  </si>
  <si>
    <t>mobile gaming</t>
  </si>
  <si>
    <t>retro gaming</t>
  </si>
  <si>
    <t>classic games</t>
  </si>
  <si>
    <t>arcade games</t>
  </si>
  <si>
    <t>indie games</t>
  </si>
  <si>
    <t>triple a games</t>
  </si>
  <si>
    <t>multiplayer games</t>
  </si>
  <si>
    <t>single player games</t>
  </si>
  <si>
    <t>online gaming</t>
  </si>
  <si>
    <t>offline gaming</t>
  </si>
  <si>
    <t>cloud gaming</t>
  </si>
  <si>
    <t>esports</t>
  </si>
  <si>
    <t>competitive gaming</t>
  </si>
  <si>
    <t>speedrun</t>
  </si>
  <si>
    <t>speedrunning</t>
  </si>
  <si>
    <t>let’s play</t>
  </si>
  <si>
    <t>gaming livestream</t>
  </si>
  <si>
    <t>twitch gaming</t>
  </si>
  <si>
    <t>youtube gaming</t>
  </si>
  <si>
    <t>xbox</t>
  </si>
  <si>
    <t>xbox series x</t>
  </si>
  <si>
    <t>xbox series s</t>
  </si>
  <si>
    <t>xbox one</t>
  </si>
  <si>
    <t>playstation</t>
  </si>
  <si>
    <t>ps5</t>
  </si>
  <si>
    <t>ps4</t>
  </si>
  <si>
    <t>ps3 nostalgia</t>
  </si>
  <si>
    <t>nintendo</t>
  </si>
  <si>
    <t>nintendo switch</t>
  </si>
  <si>
    <t>nintendo wii</t>
  </si>
  <si>
    <t>nintendo ds</t>
  </si>
  <si>
    <t>game boy</t>
  </si>
  <si>
    <t>gamecube</t>
  </si>
  <si>
    <t>sega</t>
  </si>
  <si>
    <t>steam</t>
  </si>
  <si>
    <t>epic games</t>
  </si>
  <si>
    <t>epic games store</t>
  </si>
  <si>
    <t>battle net</t>
  </si>
  <si>
    <t>origin games</t>
  </si>
  <si>
    <t>riot games</t>
  </si>
  <si>
    <t>valorant</t>
  </si>
  <si>
    <t>league of legends</t>
  </si>
  <si>
    <t>dota 2</t>
  </si>
  <si>
    <t>counter strike</t>
  </si>
  <si>
    <t>csgo</t>
  </si>
  <si>
    <t>cs2</t>
  </si>
  <si>
    <t>call of duty</t>
  </si>
  <si>
    <t>warzone</t>
  </si>
  <si>
    <t>modern warfare</t>
  </si>
  <si>
    <t>black ops</t>
  </si>
  <si>
    <t>apex legends</t>
  </si>
  <si>
    <t>fortnite</t>
  </si>
  <si>
    <t>pubg</t>
  </si>
  <si>
    <t>rainbow six siege</t>
  </si>
  <si>
    <t>overwatch</t>
  </si>
  <si>
    <t>overwatch 2</t>
  </si>
  <si>
    <t>team fortress 2</t>
  </si>
  <si>
    <t>halo</t>
  </si>
  <si>
    <t>gears of war</t>
  </si>
  <si>
    <t>minecraft</t>
  </si>
  <si>
    <t>roblox</t>
  </si>
  <si>
    <t>terraria</t>
  </si>
  <si>
    <t>stardew valley</t>
  </si>
  <si>
    <t>animal crossing</t>
  </si>
  <si>
    <t>genshin impact</t>
  </si>
  <si>
    <t>honkai star rail</t>
  </si>
  <si>
    <t>pokemon games</t>
  </si>
  <si>
    <t>zelda games</t>
  </si>
  <si>
    <t>breath of the wild</t>
  </si>
  <si>
    <t>tears of the kingdom</t>
  </si>
  <si>
    <t>mario games</t>
  </si>
  <si>
    <t>super smash bros</t>
  </si>
  <si>
    <t>kart racing</t>
  </si>
  <si>
    <t>sonic games</t>
  </si>
  <si>
    <t>resident evil</t>
  </si>
  <si>
    <t>silent hill</t>
  </si>
  <si>
    <t>the last of us</t>
  </si>
  <si>
    <t>uncharted</t>
  </si>
  <si>
    <t>god of war</t>
  </si>
  <si>
    <t>spider man ps5</t>
  </si>
  <si>
    <t>elden ring</t>
  </si>
  <si>
    <t>dark souls</t>
  </si>
  <si>
    <t>bloodborne</t>
  </si>
  <si>
    <t>sekiro</t>
  </si>
  <si>
    <t>armored core</t>
  </si>
  <si>
    <t>cyberpunk 2077</t>
  </si>
  <si>
    <t>witcher 3</t>
  </si>
  <si>
    <t>skyrim</t>
  </si>
  <si>
    <t>fallout</t>
  </si>
  <si>
    <t>doom</t>
  </si>
  <si>
    <t>diablo</t>
  </si>
  <si>
    <t>mass effect</t>
  </si>
  <si>
    <t>dragon age</t>
  </si>
  <si>
    <t>horizon zero dawn</t>
  </si>
  <si>
    <t>horizon forbidden west</t>
  </si>
  <si>
    <t>ghost of tsushima</t>
  </si>
  <si>
    <t>red dead redemption</t>
  </si>
  <si>
    <t>gta 5</t>
  </si>
  <si>
    <t>gta online</t>
  </si>
  <si>
    <t>bully rockstar</t>
  </si>
  <si>
    <t>detroit become human</t>
  </si>
  <si>
    <t>heavy rain</t>
  </si>
  <si>
    <t>video game memes</t>
  </si>
  <si>
    <t>video game edits</t>
  </si>
  <si>
    <t>video game art</t>
  </si>
  <si>
    <t>gaming aesthetic</t>
  </si>
  <si>
    <t>nba</t>
  </si>
  <si>
    <t>nba basketball</t>
  </si>
  <si>
    <t>nba highlights</t>
  </si>
  <si>
    <t>nba edits</t>
  </si>
  <si>
    <t>nba reels</t>
  </si>
  <si>
    <t>nba tiktok</t>
  </si>
  <si>
    <t>nba youtube</t>
  </si>
  <si>
    <t>nba news</t>
  </si>
  <si>
    <t>nba scores</t>
  </si>
  <si>
    <t>nba finals</t>
  </si>
  <si>
    <t>nba playoffs</t>
  </si>
  <si>
    <t>nba all star</t>
  </si>
  <si>
    <t>nba draft</t>
  </si>
  <si>
    <t>nba trades</t>
  </si>
  <si>
    <t>nba rumors</t>
  </si>
  <si>
    <t>nba free agency</t>
  </si>
  <si>
    <t>nba summer league</t>
  </si>
  <si>
    <t>nba preseason</t>
  </si>
  <si>
    <t>nba legends</t>
  </si>
  <si>
    <t>nba hall of fame</t>
  </si>
  <si>
    <t>nba rookies</t>
  </si>
  <si>
    <t>nba mvp</t>
  </si>
  <si>
    <t>nba defensive player</t>
  </si>
  <si>
    <t>nba scoring champ</t>
  </si>
  <si>
    <t>nba slam dunk contest</t>
  </si>
  <si>
    <t>nba three point contest</t>
  </si>
  <si>
    <t>team usa basketball</t>
  </si>
  <si>
    <t>dream team</t>
  </si>
  <si>
    <t>redeem team</t>
  </si>
  <si>
    <t>los angeles lakers</t>
  </si>
  <si>
    <t>boston celtics</t>
  </si>
  <si>
    <t>chicago bulls</t>
  </si>
  <si>
    <t>miami heat</t>
  </si>
  <si>
    <t>golden state warriors</t>
  </si>
  <si>
    <t>san antonio spurs</t>
  </si>
  <si>
    <t>houston rockets</t>
  </si>
  <si>
    <t>oklahoma city thunder</t>
  </si>
  <si>
    <t>dallas mavericks</t>
  </si>
  <si>
    <t>phoenix suns</t>
  </si>
  <si>
    <t>denver nuggets</t>
  </si>
  <si>
    <t>utah jazz</t>
  </si>
  <si>
    <t>portland trail blazers</t>
  </si>
  <si>
    <t>sacramento kings</t>
  </si>
  <si>
    <t>memphis grizzlies</t>
  </si>
  <si>
    <t>new orleans pelicans</t>
  </si>
  <si>
    <t>minnesota timberwolves</t>
  </si>
  <si>
    <t>milwaukee bucks</t>
  </si>
  <si>
    <t>cleveland cavaliers</t>
  </si>
  <si>
    <t>detroit pistons</t>
  </si>
  <si>
    <t>indiana pacers</t>
  </si>
  <si>
    <t>atlanta hawks</t>
  </si>
  <si>
    <t>orlando magic</t>
  </si>
  <si>
    <t>charlotte hornets</t>
  </si>
  <si>
    <t>brooklyn nets</t>
  </si>
  <si>
    <t>new york knicks</t>
  </si>
  <si>
    <t>philadelphia 76ers</t>
  </si>
  <si>
    <t>toronto raptors</t>
  </si>
  <si>
    <t>michael jordan</t>
  </si>
  <si>
    <t>scottie pippen</t>
  </si>
  <si>
    <t>dennis rodman</t>
  </si>
  <si>
    <t>magic johnson</t>
  </si>
  <si>
    <t>kareem abdul jabbar</t>
  </si>
  <si>
    <t>shaquille o’neal</t>
  </si>
  <si>
    <t>kobe bryant</t>
  </si>
  <si>
    <t>pau gasol</t>
  </si>
  <si>
    <t>lebron james</t>
  </si>
  <si>
    <t>dwyane wade</t>
  </si>
  <si>
    <t>chris bosh</t>
  </si>
  <si>
    <t>stephen curry</t>
  </si>
  <si>
    <t>klay thompson</t>
  </si>
  <si>
    <t>draymond green</t>
  </si>
  <si>
    <t>kevin durant</t>
  </si>
  <si>
    <t>russell westbrook</t>
  </si>
  <si>
    <t>james harden</t>
  </si>
  <si>
    <t>chris paul</t>
  </si>
  <si>
    <t>kyrie irving</t>
  </si>
  <si>
    <t>giannis antetokounmpo</t>
  </si>
  <si>
    <t>nikola jokic</t>
  </si>
  <si>
    <t>joel embiid</t>
  </si>
  <si>
    <t>jimmy butler</t>
  </si>
  <si>
    <t>ja morant</t>
  </si>
  <si>
    <t>zion williamson</t>
  </si>
  <si>
    <t>anthony edwards</t>
  </si>
  <si>
    <t>jayson tatum</t>
  </si>
  <si>
    <t>jaylen brown</t>
  </si>
  <si>
    <t>damian lillard</t>
  </si>
  <si>
    <t>devin booker</t>
  </si>
  <si>
    <t>luka doncic</t>
  </si>
  <si>
    <t>shai gilgeous alexander</t>
  </si>
  <si>
    <t>victor wembanyama</t>
  </si>
  <si>
    <t>nba culture</t>
  </si>
  <si>
    <t>nba fashion</t>
  </si>
  <si>
    <t>tunnel fit</t>
  </si>
  <si>
    <t>nba kicks</t>
  </si>
  <si>
    <t>nba sneakers</t>
  </si>
  <si>
    <t>slam magazine</t>
  </si>
  <si>
    <t>nba 2k</t>
  </si>
  <si>
    <t>nba live</t>
  </si>
  <si>
    <t>basketball edits</t>
  </si>
  <si>
    <t>basketball memes</t>
  </si>
  <si>
    <t>street basketball</t>
  </si>
  <si>
    <t>fiba basketball</t>
  </si>
  <si>
    <t>mma</t>
  </si>
  <si>
    <t>mixed martial arts</t>
  </si>
  <si>
    <t>mma fight</t>
  </si>
  <si>
    <t>mma workout</t>
  </si>
  <si>
    <t>mma gym</t>
  </si>
  <si>
    <t>mma sparring</t>
  </si>
  <si>
    <t>mma techniques</t>
  </si>
  <si>
    <t>mma highlights</t>
  </si>
  <si>
    <t>mma edits</t>
  </si>
  <si>
    <t>mma reels</t>
  </si>
  <si>
    <t>mma tiktok</t>
  </si>
  <si>
    <t>mma youtube</t>
  </si>
  <si>
    <t>mma podcast</t>
  </si>
  <si>
    <t>mma fighter</t>
  </si>
  <si>
    <t>mma fans</t>
  </si>
  <si>
    <t>mma lifestyle</t>
  </si>
  <si>
    <t>mma motivation</t>
  </si>
  <si>
    <t>mma mindset</t>
  </si>
  <si>
    <t>mma inspiration</t>
  </si>
  <si>
    <t>mma conditioning</t>
  </si>
  <si>
    <t>mma grappling</t>
  </si>
  <si>
    <t>mma striking</t>
  </si>
  <si>
    <t>mma submissions</t>
  </si>
  <si>
    <t>mma ground game</t>
  </si>
  <si>
    <t>mma clinch</t>
  </si>
  <si>
    <t>mma knockout</t>
  </si>
  <si>
    <t>mma tko</t>
  </si>
  <si>
    <t>mma tapout</t>
  </si>
  <si>
    <t>mma octagon</t>
  </si>
  <si>
    <t>ufc</t>
  </si>
  <si>
    <t>ufc fight night</t>
  </si>
  <si>
    <t>ufc highlights</t>
  </si>
  <si>
    <t>ufc edits</t>
  </si>
  <si>
    <t>ufc reels</t>
  </si>
  <si>
    <t>ufc 300</t>
  </si>
  <si>
    <t>ufc vegas</t>
  </si>
  <si>
    <t>ufc apex</t>
  </si>
  <si>
    <t>ufc weigh ins</t>
  </si>
  <si>
    <t>ufc press conference</t>
  </si>
  <si>
    <t>ufc belt</t>
  </si>
  <si>
    <t>ufc champion</t>
  </si>
  <si>
    <t>ufc rankings</t>
  </si>
  <si>
    <t>ufc lightweight</t>
  </si>
  <si>
    <t>ufc welterweight</t>
  </si>
  <si>
    <t>ufc middleweight</t>
  </si>
  <si>
    <t>ufc heavyweight</t>
  </si>
  <si>
    <t>ufc featherweight</t>
  </si>
  <si>
    <t>ufc bantamweight</t>
  </si>
  <si>
    <t>ufc flyweight</t>
  </si>
  <si>
    <t>ufc strawweight</t>
  </si>
  <si>
    <t>dana white</t>
  </si>
  <si>
    <t>conor mcgregor</t>
  </si>
  <si>
    <t>khabib nurmagomedov</t>
  </si>
  <si>
    <t>jon jones</t>
  </si>
  <si>
    <t>israel adesanya</t>
  </si>
  <si>
    <t>anderson silva</t>
  </si>
  <si>
    <t>georges st pierre</t>
  </si>
  <si>
    <t>daniel cormier</t>
  </si>
  <si>
    <t>stipe miocic</t>
  </si>
  <si>
    <t>francis ngannou</t>
  </si>
  <si>
    <t>cain velasquez</t>
  </si>
  <si>
    <t>brock lesnar</t>
  </si>
  <si>
    <t>aljamain sterling</t>
  </si>
  <si>
    <t>sean o’malley</t>
  </si>
  <si>
    <t>alexander volkanovski</t>
  </si>
  <si>
    <t>max holloway</t>
  </si>
  <si>
    <t>charles oliveira</t>
  </si>
  <si>
    <t>dustin poirier</t>
  </si>
  <si>
    <t>justin gaethje</t>
  </si>
  <si>
    <t>tony ferguson</t>
  </si>
  <si>
    <t>nate diaz</t>
  </si>
  <si>
    <t>nick diaz</t>
  </si>
  <si>
    <t>jorge masvidal</t>
  </si>
  <si>
    <t>colby covington</t>
  </si>
  <si>
    <t>kamaru usman</t>
  </si>
  <si>
    <t>leon edwards</t>
  </si>
  <si>
    <t>belal muhammad</t>
  </si>
  <si>
    <t>henry cejudo</t>
  </si>
  <si>
    <t>jose aldo</t>
  </si>
  <si>
    <t>petr yan</t>
  </si>
  <si>
    <t>jiří procházka</t>
  </si>
  <si>
    <t>alex pereira</t>
  </si>
  <si>
    <t>glover teixeira</t>
  </si>
  <si>
    <t>jan blachowicz</t>
  </si>
  <si>
    <t>valentina shevchenko</t>
  </si>
  <si>
    <t>amanda nunes</t>
  </si>
  <si>
    <t>ronda rousey</t>
  </si>
  <si>
    <t>holly holm</t>
  </si>
  <si>
    <t>cris cyborg</t>
  </si>
  <si>
    <t>zhang weili</t>
  </si>
  <si>
    <t>rose namajunas</t>
  </si>
  <si>
    <t>joanna jedrzejczyk</t>
  </si>
  <si>
    <t>tatiana suarez</t>
  </si>
  <si>
    <t>bellator mma</t>
  </si>
  <si>
    <t>pfl mma</t>
  </si>
  <si>
    <t>one championship</t>
  </si>
  <si>
    <t>mma belt</t>
  </si>
  <si>
    <t>mma gloves</t>
  </si>
  <si>
    <t>mma shorts</t>
  </si>
  <si>
    <t>mma walkout</t>
  </si>
  <si>
    <t>mma entrance</t>
  </si>
  <si>
    <t>mma crowd</t>
  </si>
  <si>
    <t>mma memes</t>
  </si>
  <si>
    <t>mma aesthetic</t>
  </si>
  <si>
    <t>beauty products</t>
  </si>
  <si>
    <t>makeup products</t>
  </si>
  <si>
    <t>skincare products</t>
  </si>
  <si>
    <t>haircare products</t>
  </si>
  <si>
    <t>body care products</t>
  </si>
  <si>
    <t>luxury beauty products</t>
  </si>
  <si>
    <t>drugstore beauty products</t>
  </si>
  <si>
    <t>korean beauty products</t>
  </si>
  <si>
    <t>japanese beauty products</t>
  </si>
  <si>
    <t>french beauty products</t>
  </si>
  <si>
    <t>clean beauty products</t>
  </si>
  <si>
    <t>vegan beauty products</t>
  </si>
  <si>
    <t>organic beauty products</t>
  </si>
  <si>
    <t>cruelty free beauty products</t>
  </si>
  <si>
    <t>natural beauty products</t>
  </si>
  <si>
    <t>eco friendly beauty products</t>
  </si>
  <si>
    <t>sustainable beauty products</t>
  </si>
  <si>
    <t>beauty routine</t>
  </si>
  <si>
    <t>beauty haul</t>
  </si>
  <si>
    <t>beauty shelf</t>
  </si>
  <si>
    <t>beauty must haves</t>
  </si>
  <si>
    <t>beauty essentials</t>
  </si>
  <si>
    <t>beauty flatlay</t>
  </si>
  <si>
    <t>beauty aesthetic</t>
  </si>
  <si>
    <t>beauty edits</t>
  </si>
  <si>
    <t>beauty tiktok</t>
  </si>
  <si>
    <t>beauty reels</t>
  </si>
  <si>
    <t>beauty instagram</t>
  </si>
  <si>
    <t>beauty youtube</t>
  </si>
  <si>
    <t>beauty blogger</t>
  </si>
  <si>
    <t>beauty influencer</t>
  </si>
  <si>
    <t>beauty vlogger</t>
  </si>
  <si>
    <t>makeup kit</t>
  </si>
  <si>
    <t>makeup haul</t>
  </si>
  <si>
    <t>foundation makeup</t>
  </si>
  <si>
    <t>concealer makeup</t>
  </si>
  <si>
    <t>powder makeup</t>
  </si>
  <si>
    <t>blush makeup</t>
  </si>
  <si>
    <t>bronzer makeup</t>
  </si>
  <si>
    <t>highlighter makeup</t>
  </si>
  <si>
    <t>contour makeup</t>
  </si>
  <si>
    <t>eyeshadow palette</t>
  </si>
  <si>
    <t>eyeliner makeup</t>
  </si>
  <si>
    <t>mascara makeup</t>
  </si>
  <si>
    <t>lipstick collection</t>
  </si>
  <si>
    <t>lip gloss</t>
  </si>
  <si>
    <t>lip balm</t>
  </si>
  <si>
    <t>lip liner</t>
  </si>
  <si>
    <t>setting spray</t>
  </si>
  <si>
    <t>primer makeup</t>
  </si>
  <si>
    <t>makeup brushes</t>
  </si>
  <si>
    <t>beauty blender</t>
  </si>
  <si>
    <t>skincare routine</t>
  </si>
  <si>
    <t>morning skincare</t>
  </si>
  <si>
    <t>night skincare</t>
  </si>
  <si>
    <t>serum skincare</t>
  </si>
  <si>
    <t>face oil</t>
  </si>
  <si>
    <t>face cream</t>
  </si>
  <si>
    <t>moisturizer</t>
  </si>
  <si>
    <t>eye cream</t>
  </si>
  <si>
    <t>sunscreen skincare</t>
  </si>
  <si>
    <t>face mask</t>
  </si>
  <si>
    <t>sheet mask</t>
  </si>
  <si>
    <t>clay mask</t>
  </si>
  <si>
    <t>peel off mask</t>
  </si>
  <si>
    <t>cleanser skincare</t>
  </si>
  <si>
    <t>face wash</t>
  </si>
  <si>
    <t>micellar water</t>
  </si>
  <si>
    <t>toner skincare</t>
  </si>
  <si>
    <t>exfoliator skincare</t>
  </si>
  <si>
    <t>retinol serum</t>
  </si>
  <si>
    <t>hyaluronic acid</t>
  </si>
  <si>
    <t>niacinamide</t>
  </si>
  <si>
    <t>vitamin c serum</t>
  </si>
  <si>
    <t>chemical peel</t>
  </si>
  <si>
    <t>facial roller</t>
  </si>
  <si>
    <t>gua sha</t>
  </si>
  <si>
    <t>jade roller</t>
  </si>
  <si>
    <t>hair products</t>
  </si>
  <si>
    <t>shampoo</t>
  </si>
  <si>
    <t>conditioner</t>
  </si>
  <si>
    <t>hair mask</t>
  </si>
  <si>
    <t>hair serum</t>
  </si>
  <si>
    <t>hair oil</t>
  </si>
  <si>
    <t>heat protectant</t>
  </si>
  <si>
    <t>dry shampoo</t>
  </si>
  <si>
    <t>hair mousse</t>
  </si>
  <si>
    <t>hair gel</t>
  </si>
  <si>
    <t>hair spray</t>
  </si>
  <si>
    <t>body products</t>
  </si>
  <si>
    <t>body lotion</t>
  </si>
  <si>
    <t>body butter</t>
  </si>
  <si>
    <t>body oil</t>
  </si>
  <si>
    <t>body scrub</t>
  </si>
  <si>
    <t>hand cream</t>
  </si>
  <si>
    <t>foot cream</t>
  </si>
  <si>
    <t>perfume</t>
  </si>
  <si>
    <t>fragrance mist</t>
  </si>
  <si>
    <t>nail polish</t>
  </si>
  <si>
    <t>nail care</t>
  </si>
  <si>
    <t>cuticle oil</t>
  </si>
  <si>
    <t>beauty box</t>
  </si>
  <si>
    <t>sephora beauty</t>
  </si>
  <si>
    <t>ulta beauty</t>
  </si>
  <si>
    <t>glossier beauty</t>
  </si>
  <si>
    <t>rare beauty</t>
  </si>
  <si>
    <t>fenty beauty</t>
  </si>
  <si>
    <t>dior beauty</t>
  </si>
  <si>
    <t>ysl beauty</t>
  </si>
  <si>
    <t>l’oréal beauty</t>
  </si>
  <si>
    <t>maybelline beauty</t>
  </si>
  <si>
    <t>creator tips</t>
  </si>
  <si>
    <t>content creator tips</t>
  </si>
  <si>
    <t>digital creator tips</t>
  </si>
  <si>
    <t>creator hacks</t>
  </si>
  <si>
    <t>creator advice</t>
  </si>
  <si>
    <t>creator mindset</t>
  </si>
  <si>
    <t>creator lifestyle</t>
  </si>
  <si>
    <t>creator motivation</t>
  </si>
  <si>
    <t>creator inspiration</t>
  </si>
  <si>
    <t>creator growth</t>
  </si>
  <si>
    <t>creator journey</t>
  </si>
  <si>
    <t>creator goals</t>
  </si>
  <si>
    <t>creator grind</t>
  </si>
  <si>
    <t>creator hustle</t>
  </si>
  <si>
    <t>creator hacks tiktok</t>
  </si>
  <si>
    <t>creator hacks reels</t>
  </si>
  <si>
    <t>creator hacks youtube</t>
  </si>
  <si>
    <t>creator tools</t>
  </si>
  <si>
    <t>creator gear</t>
  </si>
  <si>
    <t>creator setup</t>
  </si>
  <si>
    <t>creator studio</t>
  </si>
  <si>
    <t>creator strategy</t>
  </si>
  <si>
    <t>creator workflow</t>
  </si>
  <si>
    <t>creator productivity</t>
  </si>
  <si>
    <t>creator monetization</t>
  </si>
  <si>
    <t>creator income</t>
  </si>
  <si>
    <t>creator brand deals</t>
  </si>
  <si>
    <t>creator sponsorships</t>
  </si>
  <si>
    <t>creator collab</t>
  </si>
  <si>
    <t>creator networking</t>
  </si>
  <si>
    <t>creator partnerships</t>
  </si>
  <si>
    <t>creator community</t>
  </si>
  <si>
    <t>creator audience</t>
  </si>
  <si>
    <t>creator engagement</t>
  </si>
  <si>
    <t>creator retention</t>
  </si>
  <si>
    <t>creator analytics</t>
  </si>
  <si>
    <t>creator insights</t>
  </si>
  <si>
    <t>creator metrics</t>
  </si>
  <si>
    <t>creator niche</t>
  </si>
  <si>
    <t>creator storytelling</t>
  </si>
  <si>
    <t>creator creativity</t>
  </si>
  <si>
    <t>creator ideas</t>
  </si>
  <si>
    <t>creator brainstorming</t>
  </si>
  <si>
    <t>creator trends</t>
  </si>
  <si>
    <t>creator edits</t>
  </si>
  <si>
    <t>creator reels</t>
  </si>
  <si>
    <t>creator shorts</t>
  </si>
  <si>
    <t>creator tiktok</t>
  </si>
  <si>
    <t>creator instagram</t>
  </si>
  <si>
    <t>creator youtube</t>
  </si>
  <si>
    <t>creator twitch</t>
  </si>
  <si>
    <t>creator livestream</t>
  </si>
  <si>
    <t>creator podcast</t>
  </si>
  <si>
    <t>creator blog</t>
  </si>
  <si>
    <t>creator newsletter</t>
  </si>
  <si>
    <t>creator website</t>
  </si>
  <si>
    <t>creator portfolio</t>
  </si>
  <si>
    <t>creator branding</t>
  </si>
  <si>
    <t>creator personal brand</t>
  </si>
  <si>
    <t>creator design</t>
  </si>
  <si>
    <t>creator aesthetic</t>
  </si>
  <si>
    <t>creator thumbnails</t>
  </si>
  <si>
    <t>creator captions</t>
  </si>
  <si>
    <t>creator hashtags</t>
  </si>
  <si>
    <t>creator seo</t>
  </si>
  <si>
    <t>creator algorithm</t>
  </si>
  <si>
    <t>creator reach</t>
  </si>
  <si>
    <t>creator discoverability</t>
  </si>
  <si>
    <t>creator consistency</t>
  </si>
  <si>
    <t>creator schedule</t>
  </si>
  <si>
    <t>creator batching</t>
  </si>
  <si>
    <t>creator filming</t>
  </si>
  <si>
    <t>creator editing</t>
  </si>
  <si>
    <t>creator post production</t>
  </si>
  <si>
    <t>creator camera</t>
  </si>
  <si>
    <t>creator lighting</t>
  </si>
  <si>
    <t>creator audio</t>
  </si>
  <si>
    <t>creator mic</t>
  </si>
  <si>
    <t>creator tripod</t>
  </si>
  <si>
    <t>creator ring light</t>
  </si>
  <si>
    <t>creator backdrop</t>
  </si>
  <si>
    <t>creator set design</t>
  </si>
  <si>
    <t>creator b roll</t>
  </si>
  <si>
    <t>creator transitions</t>
  </si>
  <si>
    <t>creator effects</t>
  </si>
  <si>
    <t>creator software</t>
  </si>
  <si>
    <t>creator apps</t>
  </si>
  <si>
    <t>creator mobile tools</t>
  </si>
  <si>
    <t>creator ai tools</t>
  </si>
  <si>
    <t>creator inspiration board</t>
  </si>
  <si>
    <t>creator moodboard</t>
  </si>
  <si>
    <t>creator quotes</t>
  </si>
  <si>
    <t>creator mindset shift</t>
  </si>
  <si>
    <t>creator success</t>
  </si>
  <si>
    <t>creator lessons</t>
  </si>
  <si>
    <t>creator fails</t>
  </si>
  <si>
    <t>creator wins</t>
  </si>
  <si>
    <t>creator journey sharing</t>
  </si>
  <si>
    <t>creator behind the scenes</t>
  </si>
  <si>
    <t>creator authenticity</t>
  </si>
  <si>
    <t>creator vulnerability</t>
  </si>
  <si>
    <t>creator connection</t>
  </si>
  <si>
    <t>creator trust</t>
  </si>
  <si>
    <t>creator growth hacks</t>
  </si>
  <si>
    <t>creator next level</t>
  </si>
  <si>
    <t>creator evolution</t>
  </si>
  <si>
    <t>design art direction</t>
  </si>
  <si>
    <t>creative direction</t>
  </si>
  <si>
    <t>art director</t>
  </si>
  <si>
    <t>design director</t>
  </si>
  <si>
    <t>visual direction</t>
  </si>
  <si>
    <t>creative concept</t>
  </si>
  <si>
    <t>design concept</t>
  </si>
  <si>
    <t>art concept</t>
  </si>
  <si>
    <t>design vision</t>
  </si>
  <si>
    <t>creative vision</t>
  </si>
  <si>
    <t>art vision</t>
  </si>
  <si>
    <t>design thinking</t>
  </si>
  <si>
    <t>creative thinking</t>
  </si>
  <si>
    <t>design process</t>
  </si>
  <si>
    <t>creative process</t>
  </si>
  <si>
    <t>art process</t>
  </si>
  <si>
    <t>design inspiration</t>
  </si>
  <si>
    <t>art inspiration</t>
  </si>
  <si>
    <t>creative inspiration</t>
  </si>
  <si>
    <t>moodboard</t>
  </si>
  <si>
    <t>styleboard</t>
  </si>
  <si>
    <t>lookbook</t>
  </si>
  <si>
    <t>color palette</t>
  </si>
  <si>
    <t>typography design</t>
  </si>
  <si>
    <t>layout design</t>
  </si>
  <si>
    <t>composition design</t>
  </si>
  <si>
    <t>visual storytelling</t>
  </si>
  <si>
    <t>narrative design</t>
  </si>
  <si>
    <t>branding design</t>
  </si>
  <si>
    <t>brand identity</t>
  </si>
  <si>
    <t>brand direction</t>
  </si>
  <si>
    <t>brand guidelines</t>
  </si>
  <si>
    <t>brand book</t>
  </si>
  <si>
    <t>graphic design</t>
  </si>
  <si>
    <t>motion design</t>
  </si>
  <si>
    <t>product design</t>
  </si>
  <si>
    <t>industrial design</t>
  </si>
  <si>
    <t>interior design direction</t>
  </si>
  <si>
    <t>fashion design direction</t>
  </si>
  <si>
    <t>editorial design</t>
  </si>
  <si>
    <t>magazine art direction</t>
  </si>
  <si>
    <t>print design</t>
  </si>
  <si>
    <t>packaging design</t>
  </si>
  <si>
    <t>advertising design</t>
  </si>
  <si>
    <t>campaign direction</t>
  </si>
  <si>
    <t>visual identity</t>
  </si>
  <si>
    <t>creative identity</t>
  </si>
  <si>
    <t>logo design direction</t>
  </si>
  <si>
    <t>illustration direction</t>
  </si>
  <si>
    <t>digital art direction</t>
  </si>
  <si>
    <t>web design direction</t>
  </si>
  <si>
    <t>ui ux design</t>
  </si>
  <si>
    <t>ui direction</t>
  </si>
  <si>
    <t>ux direction</t>
  </si>
  <si>
    <t>creative coding</t>
  </si>
  <si>
    <t>generative design</t>
  </si>
  <si>
    <t>interaction design</t>
  </si>
  <si>
    <t>experience design</t>
  </si>
  <si>
    <t>spatial design</t>
  </si>
  <si>
    <t>set design direction</t>
  </si>
  <si>
    <t>stage design</t>
  </si>
  <si>
    <t>exhibition design</t>
  </si>
  <si>
    <t>museum design</t>
  </si>
  <si>
    <t>installation art direction</t>
  </si>
  <si>
    <t>photography art direction</t>
  </si>
  <si>
    <t>photo shoot direction</t>
  </si>
  <si>
    <t>film art direction</t>
  </si>
  <si>
    <t>cinematography art direction</t>
  </si>
  <si>
    <t>video art direction</t>
  </si>
  <si>
    <t>commercial art direction</t>
  </si>
  <si>
    <t>advertising art direction</t>
  </si>
  <si>
    <t>luxury design direction</t>
  </si>
  <si>
    <t>minimalist design direction</t>
  </si>
  <si>
    <t>modern design direction</t>
  </si>
  <si>
    <t>contemporary design direction</t>
  </si>
  <si>
    <t>avant garde design</t>
  </si>
  <si>
    <t>experimental design</t>
  </si>
  <si>
    <t>postmodern design</t>
  </si>
  <si>
    <t>retro design</t>
  </si>
  <si>
    <t>vintage design direction</t>
  </si>
  <si>
    <t>futuristic design</t>
  </si>
  <si>
    <t>speculative design</t>
  </si>
  <si>
    <t>conceptual design</t>
  </si>
  <si>
    <t>aesthetic direction</t>
  </si>
  <si>
    <t>visual aesthetic</t>
  </si>
  <si>
    <t>art aesthetic</t>
  </si>
  <si>
    <t>design edits</t>
  </si>
  <si>
    <t>design reels</t>
  </si>
  <si>
    <t>design tiktok</t>
  </si>
  <si>
    <t>art direction instagram</t>
  </si>
  <si>
    <t>art direction photography</t>
  </si>
  <si>
    <t>art direction fashion</t>
  </si>
  <si>
    <t>art direction film</t>
  </si>
  <si>
    <t>art direction music video</t>
  </si>
  <si>
    <t>art direction commercial</t>
  </si>
  <si>
    <t>art direction branding</t>
  </si>
  <si>
    <t>art direction magazine</t>
  </si>
  <si>
    <t>art direction portfolio</t>
  </si>
  <si>
    <t>art direction projects</t>
  </si>
  <si>
    <t>art direction ideas</t>
  </si>
  <si>
    <t>art direction inspiration</t>
  </si>
  <si>
    <t>art direction aesthetic</t>
  </si>
  <si>
    <t>art direction culture</t>
  </si>
  <si>
    <t>art direction studio</t>
  </si>
  <si>
    <t>art direction lifestyle</t>
  </si>
  <si>
    <t>art direction creative</t>
  </si>
  <si>
    <t>keyword</t>
  </si>
  <si>
    <t>category</t>
  </si>
  <si>
    <t>language</t>
  </si>
  <si>
    <t>Fitness</t>
  </si>
  <si>
    <t>English</t>
  </si>
  <si>
    <t>Food</t>
  </si>
  <si>
    <t>vegan</t>
  </si>
  <si>
    <t>street food</t>
  </si>
  <si>
    <t>brunch</t>
  </si>
  <si>
    <t>travel vlog</t>
  </si>
  <si>
    <t>Travel</t>
  </si>
  <si>
    <t>wanderlust</t>
  </si>
  <si>
    <t>French</t>
  </si>
  <si>
    <t>barcelona</t>
  </si>
  <si>
    <t>Spanish</t>
  </si>
  <si>
    <t>ootd</t>
  </si>
  <si>
    <t>Fashion</t>
  </si>
  <si>
    <t>street style</t>
  </si>
  <si>
    <t>vintage</t>
  </si>
  <si>
    <t>skincare</t>
  </si>
  <si>
    <t>Beauty</t>
  </si>
  <si>
    <t>makeup</t>
  </si>
  <si>
    <t>nails</t>
  </si>
  <si>
    <t>curly hair</t>
  </si>
  <si>
    <t>singing</t>
  </si>
  <si>
    <t>Music</t>
  </si>
  <si>
    <t>guitar</t>
  </si>
  <si>
    <t>rap</t>
  </si>
  <si>
    <t>k-pop</t>
  </si>
  <si>
    <t>Korean</t>
  </si>
  <si>
    <t>coding</t>
  </si>
  <si>
    <t>Tech</t>
  </si>
  <si>
    <t>gadgets</t>
  </si>
  <si>
    <t>Business</t>
  </si>
  <si>
    <t>e-commerce</t>
  </si>
  <si>
    <t>investing</t>
  </si>
  <si>
    <t>Sports</t>
  </si>
  <si>
    <t>basketball</t>
  </si>
  <si>
    <t>tennis</t>
  </si>
  <si>
    <t>running</t>
  </si>
  <si>
    <t>standup</t>
  </si>
  <si>
    <t>Comedy</t>
  </si>
  <si>
    <t>painting</t>
  </si>
  <si>
    <t>Art</t>
  </si>
  <si>
    <t>illustration</t>
  </si>
  <si>
    <t>street art</t>
  </si>
  <si>
    <t>Family</t>
  </si>
  <si>
    <t>baby</t>
  </si>
  <si>
    <t>toddlers</t>
  </si>
  <si>
    <t>Gaming</t>
  </si>
  <si>
    <t>pets</t>
  </si>
  <si>
    <t>Animals</t>
  </si>
  <si>
    <t>cats</t>
  </si>
  <si>
    <t>dogs</t>
  </si>
  <si>
    <t>wildlife</t>
  </si>
  <si>
    <t>fitness goals</t>
  </si>
  <si>
    <t>hiit</t>
  </si>
  <si>
    <t>cycling</t>
  </si>
  <si>
    <t>marathon</t>
  </si>
  <si>
    <t>body building</t>
  </si>
  <si>
    <t>dance workout</t>
  </si>
  <si>
    <t>meditation</t>
  </si>
  <si>
    <t>wellness</t>
  </si>
  <si>
    <t>escalade</t>
  </si>
  <si>
    <t>swimming</t>
  </si>
  <si>
    <t>surfing</t>
  </si>
  <si>
    <t>skiing</t>
  </si>
  <si>
    <t>snowboarding</t>
  </si>
  <si>
    <t>golf</t>
  </si>
  <si>
    <t>boxing</t>
  </si>
  <si>
    <t>volleyball</t>
  </si>
  <si>
    <t>rugby</t>
  </si>
  <si>
    <t>baseball</t>
  </si>
  <si>
    <t>hockey</t>
  </si>
  <si>
    <t>badminton</t>
  </si>
  <si>
    <t>table tennis</t>
  </si>
  <si>
    <t>karate</t>
  </si>
  <si>
    <t>jiu jitsu</t>
  </si>
  <si>
    <t>parkour</t>
  </si>
  <si>
    <t>cooking</t>
  </si>
  <si>
    <t>baking</t>
  </si>
  <si>
    <t>vegetarian</t>
  </si>
  <si>
    <t>keto</t>
  </si>
  <si>
    <t>paleo</t>
  </si>
  <si>
    <t>italian food</t>
  </si>
  <si>
    <t>spanish food</t>
  </si>
  <si>
    <t>japanese food</t>
  </si>
  <si>
    <t>Japanese</t>
  </si>
  <si>
    <t>korean food</t>
  </si>
  <si>
    <t>indianfood</t>
  </si>
  <si>
    <t>mexican food</t>
  </si>
  <si>
    <t>barbecue</t>
  </si>
  <si>
    <t>desserts</t>
  </si>
  <si>
    <t>chocolate</t>
  </si>
  <si>
    <t>coffee</t>
  </si>
  <si>
    <t>bubble tea</t>
  </si>
  <si>
    <t>smoothies</t>
  </si>
  <si>
    <t>thrift</t>
  </si>
  <si>
    <t>streetwear</t>
  </si>
  <si>
    <t>luxury</t>
  </si>
  <si>
    <t>handbags</t>
  </si>
  <si>
    <t>sneakers</t>
  </si>
  <si>
    <t>high heels</t>
  </si>
  <si>
    <t>haute-couture</t>
  </si>
  <si>
    <t>diyfashion</t>
  </si>
  <si>
    <t>accessories</t>
  </si>
  <si>
    <t>menswear</t>
  </si>
  <si>
    <t>womenswear</t>
  </si>
  <si>
    <t>moda</t>
  </si>
  <si>
    <t>hairstyle</t>
  </si>
  <si>
    <t>barber</t>
  </si>
  <si>
    <t>cosmetiques</t>
  </si>
  <si>
    <t>natural beauty</t>
  </si>
  <si>
    <t>organic beauty</t>
  </si>
  <si>
    <t>hip hop</t>
  </si>
  <si>
    <t>edm</t>
  </si>
  <si>
    <t>dj</t>
  </si>
  <si>
    <t>j-pop</t>
  </si>
  <si>
    <t>rock music</t>
  </si>
  <si>
    <t>indie</t>
  </si>
  <si>
    <t>classical</t>
  </si>
  <si>
    <t>piano</t>
  </si>
  <si>
    <t>violin</t>
  </si>
  <si>
    <t>drums</t>
  </si>
  <si>
    <t>concert</t>
  </si>
  <si>
    <t>festival</t>
  </si>
  <si>
    <t>busking</t>
  </si>
  <si>
    <t>songwriting</t>
  </si>
  <si>
    <t>cover</t>
  </si>
  <si>
    <t>data science</t>
  </si>
  <si>
    <t>programming</t>
  </si>
  <si>
    <t>python</t>
  </si>
  <si>
    <t>javascript</t>
  </si>
  <si>
    <t>open source</t>
  </si>
  <si>
    <t>dropshipping</t>
  </si>
  <si>
    <t>finance</t>
  </si>
  <si>
    <t>trading</t>
  </si>
  <si>
    <t>marketing</t>
  </si>
  <si>
    <t>branding</t>
  </si>
  <si>
    <t>crypto</t>
  </si>
  <si>
    <t>nft</t>
  </si>
  <si>
    <t>real estate</t>
  </si>
  <si>
    <t>productivity</t>
  </si>
  <si>
    <t>design</t>
  </si>
  <si>
    <t>sketching</t>
  </si>
  <si>
    <t>graffiti</t>
  </si>
  <si>
    <t>photography</t>
  </si>
  <si>
    <t>video</t>
  </si>
  <si>
    <t>film</t>
  </si>
  <si>
    <t>animation</t>
  </si>
  <si>
    <t>3d</t>
  </si>
  <si>
    <t>calligraphy</t>
  </si>
  <si>
    <t>tattoos</t>
  </si>
  <si>
    <t>digital art</t>
  </si>
  <si>
    <t>pregnancy</t>
  </si>
  <si>
    <t>kids activities</t>
  </si>
  <si>
    <t>siblings</t>
  </si>
  <si>
    <t>streaming</t>
  </si>
  <si>
    <t>twitch</t>
  </si>
  <si>
    <t>console</t>
  </si>
  <si>
    <t>puppies</t>
  </si>
  <si>
    <t>kittens</t>
  </si>
  <si>
    <t>zoo</t>
  </si>
  <si>
    <t>birds</t>
  </si>
  <si>
    <t>horses</t>
  </si>
  <si>
    <t>farmanimals</t>
  </si>
  <si>
    <t>nature</t>
  </si>
  <si>
    <t>Nature</t>
  </si>
  <si>
    <t>landscape</t>
  </si>
  <si>
    <t>beach</t>
  </si>
  <si>
    <t>sunset</t>
  </si>
  <si>
    <t>sunrise</t>
  </si>
  <si>
    <t>ocean</t>
  </si>
  <si>
    <t>forest</t>
  </si>
  <si>
    <t>flowers</t>
  </si>
  <si>
    <t>gardening</t>
  </si>
  <si>
    <t>travel</t>
  </si>
  <si>
    <t>backpacking</t>
  </si>
  <si>
    <t>road trip</t>
  </si>
  <si>
    <t>vacation</t>
  </si>
  <si>
    <t>holiday</t>
  </si>
  <si>
    <t>adventure</t>
  </si>
  <si>
    <t>exploring</t>
  </si>
  <si>
    <t>seoul</t>
  </si>
  <si>
    <t>new york</t>
  </si>
  <si>
    <t>los angeles</t>
  </si>
  <si>
    <t>bali</t>
  </si>
  <si>
    <t>maldives</t>
  </si>
  <si>
    <t>london</t>
  </si>
  <si>
    <t>rome</t>
  </si>
  <si>
    <t>istanbul</t>
  </si>
  <si>
    <t>cairo</t>
  </si>
  <si>
    <t>sydney</t>
  </si>
  <si>
    <t>funny</t>
  </si>
  <si>
    <t>sketch</t>
  </si>
  <si>
    <t>prank</t>
  </si>
  <si>
    <t>laugh</t>
  </si>
  <si>
    <t>humor</t>
  </si>
  <si>
    <t>influencer</t>
  </si>
  <si>
    <t>Lifestyle</t>
  </si>
  <si>
    <t>vlogger</t>
  </si>
  <si>
    <t>minimalism</t>
  </si>
  <si>
    <t>productivity tips</t>
  </si>
  <si>
    <t>self care</t>
  </si>
  <si>
    <t>journaling</t>
  </si>
  <si>
    <t>book tok</t>
  </si>
  <si>
    <t>reading</t>
  </si>
  <si>
    <t>study with me</t>
  </si>
  <si>
    <t>motivation</t>
  </si>
  <si>
    <t>inspiration</t>
  </si>
  <si>
    <t>quotes</t>
  </si>
  <si>
    <t>mindset</t>
  </si>
  <si>
    <t>success</t>
  </si>
  <si>
    <t>entrevista</t>
  </si>
  <si>
    <t>bien-être</t>
  </si>
  <si>
    <t>slime</t>
  </si>
  <si>
    <t>Trends</t>
  </si>
  <si>
    <t>asmr</t>
  </si>
  <si>
    <t>satisfying</t>
  </si>
  <si>
    <t>diy</t>
  </si>
  <si>
    <t>crafts</t>
  </si>
  <si>
    <t>life hacks</t>
  </si>
  <si>
    <t>unboxing</t>
  </si>
  <si>
    <t>reviews</t>
  </si>
  <si>
    <t>haul</t>
  </si>
  <si>
    <t>shopping</t>
  </si>
  <si>
    <t>mealprep</t>
  </si>
  <si>
    <t>health yeating</t>
  </si>
  <si>
    <t>food hacks</t>
  </si>
  <si>
    <t>quick meals</t>
  </si>
  <si>
    <t>bento</t>
  </si>
  <si>
    <t>travel tips</t>
  </si>
  <si>
    <t>travel hacks</t>
  </si>
  <si>
    <t>budget travel</t>
  </si>
  <si>
    <t>luxury travel</t>
  </si>
  <si>
    <t>solo travel</t>
  </si>
  <si>
    <t>sustainable fashion</t>
  </si>
  <si>
    <t>fashion hacks</t>
  </si>
  <si>
    <t>capsule wardrobe</t>
  </si>
  <si>
    <t>fashion trends</t>
  </si>
  <si>
    <t>minimalist fashion</t>
  </si>
  <si>
    <t>grwm</t>
  </si>
  <si>
    <t>beauty hacks</t>
  </si>
  <si>
    <t>hair routines</t>
  </si>
  <si>
    <t>empties</t>
  </si>
  <si>
    <t>product reviews</t>
  </si>
  <si>
    <t>song covers</t>
  </si>
  <si>
    <t>music production</t>
  </si>
  <si>
    <t>musical instruments</t>
  </si>
  <si>
    <t>new music</t>
  </si>
  <si>
    <t>behind the scenes</t>
  </si>
  <si>
    <t>web development</t>
  </si>
  <si>
    <t>cybersecurity</t>
  </si>
  <si>
    <t>smart tech</t>
  </si>
  <si>
    <t>future tech</t>
  </si>
  <si>
    <t>tech reviews</t>
  </si>
  <si>
    <t>personal finance</t>
  </si>
  <si>
    <t>small business</t>
  </si>
  <si>
    <t>stock market</t>
  </si>
  <si>
    <t>career advice</t>
  </si>
  <si>
    <t>leadership</t>
  </si>
  <si>
    <t>workout routines</t>
  </si>
  <si>
    <t>fitness challenges</t>
  </si>
  <si>
    <t>home fitness</t>
  </si>
  <si>
    <t>sports training</t>
  </si>
  <si>
    <t>sports news</t>
  </si>
  <si>
    <t>e-sports</t>
  </si>
  <si>
    <t>game plays</t>
  </si>
  <si>
    <t>game hacks</t>
  </si>
  <si>
    <t>pet care</t>
  </si>
  <si>
    <t>animal rescue</t>
  </si>
  <si>
    <t>wild animals</t>
  </si>
  <si>
    <t>nature photography</t>
  </si>
  <si>
    <t>outdoors</t>
  </si>
  <si>
    <t>hiking</t>
  </si>
  <si>
    <t>camping</t>
  </si>
  <si>
    <t>plant care</t>
  </si>
  <si>
    <t>home garden</t>
  </si>
  <si>
    <t>daily vlog</t>
  </si>
  <si>
    <t>morning routine</t>
  </si>
  <si>
    <t>evening routine</t>
  </si>
  <si>
    <t>minimalism tips</t>
  </si>
  <si>
    <t>organization</t>
  </si>
  <si>
    <t>home organization</t>
  </si>
  <si>
    <t>diy projects</t>
  </si>
  <si>
    <t>craft ideas</t>
  </si>
  <si>
    <t>food challenges</t>
  </si>
  <si>
    <t>relatable</t>
  </si>
  <si>
    <t>kid friendly</t>
  </si>
  <si>
    <t>art lessons</t>
  </si>
  <si>
    <t>dance</t>
  </si>
  <si>
    <t>stretching routine</t>
  </si>
  <si>
    <t>plant based</t>
  </si>
  <si>
    <t>comfort food</t>
  </si>
  <si>
    <t>food tour</t>
  </si>
  <si>
    <t>travel guide</t>
  </si>
  <si>
    <t>fashion tips</t>
  </si>
  <si>
    <t>clothes haul</t>
  </si>
  <si>
    <t>fashion reviews</t>
  </si>
  <si>
    <t>fashion challenge</t>
  </si>
  <si>
    <t xml:space="preserve">beauty reviews </t>
  </si>
  <si>
    <t>make-up artist</t>
  </si>
  <si>
    <t>skincare journey</t>
  </si>
  <si>
    <t>hair tutorial</t>
  </si>
  <si>
    <t>barbershop</t>
  </si>
  <si>
    <t>new artist</t>
  </si>
  <si>
    <t>music lessons</t>
  </si>
  <si>
    <t>concert vlog</t>
  </si>
  <si>
    <t>sound design</t>
  </si>
  <si>
    <t>studio</t>
  </si>
  <si>
    <t>programming tips</t>
  </si>
  <si>
    <t>coding life</t>
  </si>
  <si>
    <t>gadget unboxing</t>
  </si>
  <si>
    <t>future of ai</t>
  </si>
  <si>
    <t>smarthome</t>
  </si>
  <si>
    <t>business growth</t>
  </si>
  <si>
    <t>marketing strategy</t>
  </si>
  <si>
    <t>financial freedom</t>
  </si>
  <si>
    <t>passive income</t>
  </si>
  <si>
    <t>business hacks</t>
  </si>
  <si>
    <t>investment tips</t>
  </si>
  <si>
    <t>cryptocurrency</t>
  </si>
  <si>
    <t>realestate tips</t>
  </si>
  <si>
    <t>productivity hacks</t>
  </si>
  <si>
    <t>goal setting</t>
  </si>
  <si>
    <t>self improvement</t>
  </si>
  <si>
    <t>mindful moments</t>
  </si>
  <si>
    <t>healthy lifestyle</t>
  </si>
  <si>
    <t>mindset matters</t>
  </si>
  <si>
    <t>daily inspiration</t>
  </si>
  <si>
    <t>positive vibes</t>
  </si>
  <si>
    <t>book recommendations</t>
  </si>
  <si>
    <t>study tips</t>
  </si>
  <si>
    <t>digital nomad</t>
  </si>
  <si>
    <t>travel photography</t>
  </si>
  <si>
    <t>hidden gems</t>
  </si>
  <si>
    <t>packing hacks</t>
  </si>
  <si>
    <t>local food</t>
  </si>
  <si>
    <t>coffee recipes</t>
  </si>
  <si>
    <t>home baking</t>
  </si>
  <si>
    <t>kids cooking</t>
  </si>
  <si>
    <t>food art</t>
  </si>
  <si>
    <t>home decor</t>
  </si>
  <si>
    <t>diy home</t>
  </si>
  <si>
    <t>cleaning hacks</t>
  </si>
  <si>
    <t>organizing tips</t>
  </si>
  <si>
    <t>minimalist living</t>
  </si>
  <si>
    <t>productivity tools</t>
  </si>
  <si>
    <t>virtual reality</t>
  </si>
  <si>
    <t>augmented reality</t>
  </si>
  <si>
    <t>game dev</t>
  </si>
  <si>
    <t>indie game</t>
  </si>
  <si>
    <t>streaming tips</t>
  </si>
  <si>
    <t>pet training</t>
  </si>
  <si>
    <t>cats of instagram</t>
  </si>
  <si>
    <t>dogs of instagram</t>
  </si>
  <si>
    <t>animal facts</t>
  </si>
  <si>
    <t>wildlife lover</t>
  </si>
  <si>
    <t>conservation</t>
  </si>
  <si>
    <t>nature walk</t>
  </si>
  <si>
    <t>garden life</t>
  </si>
  <si>
    <t>plant lover</t>
  </si>
  <si>
    <t>urban farming</t>
  </si>
  <si>
    <t>art challenge</t>
  </si>
  <si>
    <t>drawing tutorial</t>
  </si>
  <si>
    <t>digital painting</t>
  </si>
  <si>
    <t>sculpure</t>
  </si>
  <si>
    <t>photography hacks</t>
  </si>
  <si>
    <t>video production</t>
  </si>
  <si>
    <t>animation studio</t>
  </si>
  <si>
    <t>tattoo art</t>
  </si>
  <si>
    <t>mom tips</t>
  </si>
  <si>
    <t>dad tips</t>
  </si>
  <si>
    <t>pregnant life</t>
  </si>
  <si>
    <t>kids crafts</t>
  </si>
  <si>
    <t>funny kids</t>
  </si>
  <si>
    <t>prank wars</t>
  </si>
  <si>
    <t>urban exploration</t>
  </si>
  <si>
    <t>world cuisine</t>
  </si>
  <si>
    <t>vegetarian cooking</t>
  </si>
  <si>
    <t>baking tips</t>
  </si>
  <si>
    <t>sustainable living</t>
  </si>
  <si>
    <t>mindful meditation</t>
  </si>
  <si>
    <t>digital art tutorial</t>
  </si>
  <si>
    <t>pottery</t>
  </si>
  <si>
    <t>street photography</t>
  </si>
  <si>
    <t>home brewing</t>
  </si>
  <si>
    <t>plant based meals</t>
  </si>
  <si>
    <t>zero-waste</t>
  </si>
  <si>
    <t>eco-friendly</t>
  </si>
  <si>
    <t>upcycling</t>
  </si>
  <si>
    <t>product testing</t>
  </si>
  <si>
    <t>daily outfit</t>
  </si>
  <si>
    <t>styling tips</t>
  </si>
  <si>
    <t>vintage finds</t>
  </si>
  <si>
    <t>musical theory</t>
  </si>
  <si>
    <t>lyric writing</t>
  </si>
  <si>
    <t>tech gadgets</t>
  </si>
  <si>
    <t>smart devices</t>
  </si>
  <si>
    <t>app reviews</t>
  </si>
  <si>
    <t>stock trading</t>
  </si>
  <si>
    <t>financial planning</t>
  </si>
  <si>
    <t>career development</t>
  </si>
  <si>
    <t>mental health</t>
  </si>
  <si>
    <t>selfcare journey</t>
  </si>
  <si>
    <t>positive affirmations</t>
  </si>
  <si>
    <t>fitness journey</t>
  </si>
  <si>
    <t>sports drills</t>
  </si>
  <si>
    <t>gaming news</t>
  </si>
  <si>
    <t>board games</t>
  </si>
  <si>
    <t>pet grooming</t>
  </si>
  <si>
    <t>exotic pets</t>
  </si>
  <si>
    <t>nature facts</t>
  </si>
  <si>
    <t>urban farming tips</t>
  </si>
  <si>
    <t>comedy bits</t>
  </si>
  <si>
    <t>"ootd</t>
  </si>
  <si>
    <t>"street style</t>
  </si>
  <si>
    <t>"skincare</t>
  </si>
  <si>
    <t>"makeup</t>
  </si>
  <si>
    <t>"nails</t>
  </si>
  <si>
    <t>"curly hair</t>
  </si>
  <si>
    <t>"thrift</t>
  </si>
  <si>
    <t>"streetwear</t>
  </si>
  <si>
    <t>"luxury</t>
  </si>
  <si>
    <t>"handbags</t>
  </si>
  <si>
    <t>"sneakers</t>
  </si>
  <si>
    <t>"high heels</t>
  </si>
  <si>
    <t>"haute-couture</t>
  </si>
  <si>
    <t>"diyfashion</t>
  </si>
  <si>
    <t>"accessories</t>
  </si>
  <si>
    <t>"menswear</t>
  </si>
  <si>
    <t>"womenswear</t>
  </si>
  <si>
    <t>"moda</t>
  </si>
  <si>
    <t>"hairstyle</t>
  </si>
  <si>
    <t>"perfume</t>
  </si>
  <si>
    <t>"cosmetiques</t>
  </si>
  <si>
    <t>"beauty routine</t>
  </si>
  <si>
    <t>"natural beauty</t>
  </si>
  <si>
    <t>"organic beauty</t>
  </si>
  <si>
    <t>"sustainable fashion</t>
  </si>
  <si>
    <t>"fashion hacks</t>
  </si>
  <si>
    <t>"capsule wardrobe</t>
  </si>
  <si>
    <t>"fashion trends</t>
  </si>
  <si>
    <t>"minimalist fashion</t>
  </si>
  <si>
    <t>"beauty hacks</t>
  </si>
  <si>
    <t>"hair routines</t>
  </si>
  <si>
    <t>"empties</t>
  </si>
  <si>
    <t>"product reviews</t>
  </si>
  <si>
    <t xml:space="preserve">"beauty reviews </t>
  </si>
  <si>
    <t>"make-up artist</t>
  </si>
  <si>
    <t>"skincare journey</t>
  </si>
  <si>
    <t>"hair tutorial</t>
  </si>
  <si>
    <t>"barbershop</t>
  </si>
  <si>
    <t>New York",</t>
  </si>
  <si>
    <t>Los Angeles",</t>
  </si>
  <si>
    <t>San Francisco",</t>
  </si>
  <si>
    <t>Miami",</t>
  </si>
  <si>
    <t>Chicago",</t>
  </si>
  <si>
    <t>Toronto",</t>
  </si>
  <si>
    <t>Mexico City",</t>
  </si>
  <si>
    <t>Sao Paulo",</t>
  </si>
  <si>
    <t>Rio de Janeiro",</t>
  </si>
  <si>
    <t>Buenos Aires",</t>
  </si>
  <si>
    <t>Bogota",</t>
  </si>
  <si>
    <t>Santiago",</t>
  </si>
  <si>
    <t>London",</t>
  </si>
  <si>
    <t>Paris",</t>
  </si>
  <si>
    <t>Berlin",</t>
  </si>
  <si>
    <t>Munich",</t>
  </si>
  <si>
    <t>Amsterdam",</t>
  </si>
  <si>
    <t>Copenhagen",</t>
  </si>
  <si>
    <t>Stockholm",</t>
  </si>
  <si>
    <t>Barcelona",</t>
  </si>
  <si>
    <t>Madrid",</t>
  </si>
  <si>
    <t>Lisbon",</t>
  </si>
  <si>
    <t>Milan",</t>
  </si>
  <si>
    <t>Rome",</t>
  </si>
  <si>
    <t>Florence",</t>
  </si>
  <si>
    <t>Venice",</t>
  </si>
  <si>
    <t>Vienna",</t>
  </si>
  <si>
    <t>Prague",</t>
  </si>
  <si>
    <t>Budapest",</t>
  </si>
  <si>
    <t>Zurich",</t>
  </si>
  <si>
    <t>Athens",</t>
  </si>
  <si>
    <t>Monaco",</t>
  </si>
  <si>
    <t>Cannes",</t>
  </si>
  <si>
    <t>Saint-Tropez",</t>
  </si>
  <si>
    <t>Istanbul",</t>
  </si>
  <si>
    <t>Tel Aviv",</t>
  </si>
  <si>
    <t>Beirut",</t>
  </si>
  <si>
    <t>Dubai",</t>
  </si>
  <si>
    <t>Doha",</t>
  </si>
  <si>
    <t>Cairo",</t>
  </si>
  <si>
    <t>Cape Town",</t>
  </si>
  <si>
    <t>Johannesburg",</t>
  </si>
  <si>
    <t>Lagos",</t>
  </si>
  <si>
    <t>Accra",</t>
  </si>
  <si>
    <t>Nairobi",</t>
  </si>
  <si>
    <t>Tokyo",</t>
  </si>
  <si>
    <t>Osaka",</t>
  </si>
  <si>
    <t>Seoul",</t>
  </si>
  <si>
    <t>Shanghai",</t>
  </si>
  <si>
    <t>Beijing",</t>
  </si>
  <si>
    <t>Hong Kong",</t>
  </si>
  <si>
    <t>Singapore",</t>
  </si>
  <si>
    <t>Bangkok",</t>
  </si>
  <si>
    <t>Jakarta",</t>
  </si>
  <si>
    <t>Manila",</t>
  </si>
  <si>
    <t>Mumbai",</t>
  </si>
  <si>
    <t>Delhi",</t>
  </si>
  <si>
    <t>Bangalore",</t>
  </si>
  <si>
    <t>Sydney",</t>
  </si>
  <si>
    <t>Melbourne",</t>
  </si>
  <si>
    <t>Bali",</t>
  </si>
  <si>
    <t>Ibiza",</t>
  </si>
  <si>
    <t>Mallorca",</t>
  </si>
  <si>
    <t>Mykonos",</t>
  </si>
  <si>
    <t>Santorini",</t>
  </si>
  <si>
    <t>Capri",</t>
  </si>
  <si>
    <t>Sicily",</t>
  </si>
  <si>
    <t>Sardinia",</t>
  </si>
  <si>
    <t>Hvar",</t>
  </si>
  <si>
    <t>Corsica",</t>
  </si>
  <si>
    <t>Reunion",</t>
  </si>
  <si>
    <t>Mauritius",</t>
  </si>
  <si>
    <t>Maldives",</t>
  </si>
  <si>
    <t>Seychelles",</t>
  </si>
  <si>
    <t>Zanzibar",</t>
  </si>
  <si>
    <t>Oahu",</t>
  </si>
  <si>
    <t>Washington",</t>
  </si>
  <si>
    <t>Boston",</t>
  </si>
  <si>
    <t>Philadelphia",</t>
  </si>
  <si>
    <t>Atlanta",</t>
  </si>
  <si>
    <t>Houston",</t>
  </si>
  <si>
    <t>Dallas",</t>
  </si>
  <si>
    <t>Seattle",</t>
  </si>
  <si>
    <t>Las Vegas",</t>
  </si>
  <si>
    <t>San Diego",</t>
  </si>
  <si>
    <t>Montreal",</t>
  </si>
  <si>
    <t>Vancouver",</t>
  </si>
  <si>
    <t>Brussels",</t>
  </si>
  <si>
    <t>Geneva",</t>
  </si>
  <si>
    <t>Warsaw",</t>
  </si>
  <si>
    <t>Moscow",</t>
  </si>
  <si>
    <t>St. Petersburg",</t>
  </si>
  <si>
    <t>Dublin",</t>
  </si>
  <si>
    <t>Edinburgh",</t>
  </si>
  <si>
    <t>Oslo",</t>
  </si>
  <si>
    <t>Helsinki",</t>
  </si>
  <si>
    <t>Valencia",</t>
  </si>
  <si>
    <t>Marseille",</t>
  </si>
  <si>
    <t>Lyon",</t>
  </si>
  <si>
    <t>Niseko",</t>
  </si>
  <si>
    <t>Perfume</t>
  </si>
  <si>
    <t>Fragrance</t>
  </si>
  <si>
    <t>Scent</t>
  </si>
  <si>
    <t>Aroma</t>
  </si>
  <si>
    <t>Odor</t>
  </si>
  <si>
    <t>Essence</t>
  </si>
  <si>
    <t>Elixir</t>
  </si>
  <si>
    <t>Bouquet</t>
  </si>
  <si>
    <t>Notes</t>
  </si>
  <si>
    <t>Accord</t>
  </si>
  <si>
    <t>Top notes</t>
  </si>
  <si>
    <t>Heart notes</t>
  </si>
  <si>
    <t>Base notes</t>
  </si>
  <si>
    <t>Eau de parfum</t>
  </si>
  <si>
    <t>Eau de toilette</t>
  </si>
  <si>
    <t>Cologne</t>
  </si>
  <si>
    <t>Parfum</t>
  </si>
  <si>
    <t>Concentration</t>
  </si>
  <si>
    <t>Atomizer</t>
  </si>
  <si>
    <t>Spray</t>
  </si>
  <si>
    <t>Diffuse</t>
  </si>
  <si>
    <t>Lingering</t>
  </si>
  <si>
    <t>Trail</t>
  </si>
  <si>
    <t>Sillage</t>
  </si>
  <si>
    <t>Projection</t>
  </si>
  <si>
    <t>Blend</t>
  </si>
  <si>
    <t>Composition</t>
  </si>
  <si>
    <t>Infusion</t>
  </si>
  <si>
    <t>Distillation</t>
  </si>
  <si>
    <t>Extraction</t>
  </si>
  <si>
    <t>Absolute</t>
  </si>
  <si>
    <t>Resin</t>
  </si>
  <si>
    <t>Oil</t>
  </si>
  <si>
    <t>Essentials</t>
  </si>
  <si>
    <t>Tincture</t>
  </si>
  <si>
    <t>Fixative</t>
  </si>
  <si>
    <t>Concoction</t>
  </si>
  <si>
    <t>Mixture</t>
  </si>
  <si>
    <t>Creation</t>
  </si>
  <si>
    <t>Formula</t>
  </si>
  <si>
    <t>Signature scent</t>
  </si>
  <si>
    <t>Skin chemistry</t>
  </si>
  <si>
    <t>Longevity</t>
  </si>
  <si>
    <t>Dry-down</t>
  </si>
  <si>
    <t>Wear</t>
  </si>
  <si>
    <t>Layering</t>
  </si>
  <si>
    <t>Intense</t>
  </si>
  <si>
    <t>Delicate</t>
  </si>
  <si>
    <t>Subtle</t>
  </si>
  <si>
    <t>Powerful</t>
  </si>
  <si>
    <t>Timeless</t>
  </si>
  <si>
    <t>Dior</t>
  </si>
  <si>
    <t>Christian Dior</t>
  </si>
  <si>
    <t>Maison</t>
  </si>
  <si>
    <t>Haute couture</t>
  </si>
  <si>
    <t>Luxury</t>
  </si>
  <si>
    <t>Elegance</t>
  </si>
  <si>
    <t>Prestige</t>
  </si>
  <si>
    <t>Iconic</t>
  </si>
  <si>
    <t>Heritage</t>
  </si>
  <si>
    <t>Parisian</t>
  </si>
  <si>
    <t>Runway</t>
  </si>
  <si>
    <t>Atelier</t>
  </si>
  <si>
    <t>Craftsmanship</t>
  </si>
  <si>
    <t>Tailoring</t>
  </si>
  <si>
    <t>Innovation</t>
  </si>
  <si>
    <t>Visionary</t>
  </si>
  <si>
    <t>Classic</t>
  </si>
  <si>
    <t>Modern</t>
  </si>
  <si>
    <t>Avant-garde</t>
  </si>
  <si>
    <t>Artistic</t>
  </si>
  <si>
    <t>Creative</t>
  </si>
  <si>
    <t>Design</t>
  </si>
  <si>
    <t>Aesthetic</t>
  </si>
  <si>
    <t>Style</t>
  </si>
  <si>
    <t>Sophistication</t>
  </si>
  <si>
    <t>Refinement</t>
  </si>
  <si>
    <t>Exclusivity</t>
  </si>
  <si>
    <t>Prestigious</t>
  </si>
  <si>
    <t>Symbol</t>
  </si>
  <si>
    <t>Influence</t>
  </si>
  <si>
    <t>Trendsetter</t>
  </si>
  <si>
    <t>Brand</t>
  </si>
  <si>
    <t>Legacy</t>
  </si>
  <si>
    <t>Fame</t>
  </si>
  <si>
    <t>Reputation</t>
  </si>
  <si>
    <t>Prestige house</t>
  </si>
  <si>
    <t>Campaign</t>
  </si>
  <si>
    <t>Advertising</t>
  </si>
  <si>
    <t>Commercial</t>
  </si>
  <si>
    <t>Spotlight</t>
  </si>
  <si>
    <t>Ambassador</t>
  </si>
  <si>
    <t>Face</t>
  </si>
  <si>
    <t>Collaboration</t>
  </si>
  <si>
    <t>Makeup</t>
  </si>
  <si>
    <t>Fragrance line</t>
  </si>
  <si>
    <t>Luxury house</t>
  </si>
  <si>
    <t>Global brand</t>
  </si>
  <si>
    <t>Johnny Depp</t>
  </si>
  <si>
    <t>Johnny Depp actor</t>
  </si>
  <si>
    <t>Johnny Depp movies</t>
  </si>
  <si>
    <t>Johnny Depp films</t>
  </si>
  <si>
    <t>Johnny Depp fanpage</t>
  </si>
  <si>
    <t>Johnny Depp fans</t>
  </si>
  <si>
    <t>Johnny Depp edits</t>
  </si>
  <si>
    <t>Johnny Depp 2023</t>
  </si>
  <si>
    <t>Johnny Depp 2024</t>
  </si>
  <si>
    <t>Johnny Depp Dior</t>
  </si>
  <si>
    <t>Johnny Depp Sauvage</t>
  </si>
  <si>
    <t>Johnny Depp commercial</t>
  </si>
  <si>
    <t>Johnny Depp perfume</t>
  </si>
  <si>
    <t>Johnny Depp cologne</t>
  </si>
  <si>
    <t>Johnny Depp fragrance</t>
  </si>
  <si>
    <t>Johnny Depp fashion</t>
  </si>
  <si>
    <t>Johnny Depp style</t>
  </si>
  <si>
    <t>Johnny Depp photoshoot</t>
  </si>
  <si>
    <t>Johnny Depp interview</t>
  </si>
  <si>
    <t>Johnny Depp quotes</t>
  </si>
  <si>
    <t>Johnny Depp young</t>
  </si>
  <si>
    <t>Johnny Depp 90s</t>
  </si>
  <si>
    <t>Johnny Depp 80s</t>
  </si>
  <si>
    <t>Johnny Depp 2000s</t>
  </si>
  <si>
    <t>Johnny Depp Hollywood</t>
  </si>
  <si>
    <t>Johnny Depp celebrity</t>
  </si>
  <si>
    <t>Johnny Depp music</t>
  </si>
  <si>
    <t>Johnny Depp guitar</t>
  </si>
  <si>
    <t>Johnny Depp band</t>
  </si>
  <si>
    <t>Johnny Depp rock</t>
  </si>
  <si>
    <t>Johnny Depp musician</t>
  </si>
  <si>
    <t>Johnny Depp painter</t>
  </si>
  <si>
    <t>Johnny Depp art</t>
  </si>
  <si>
    <t>Johnny Depp artist</t>
  </si>
  <si>
    <t>Johnny Depp festival</t>
  </si>
  <si>
    <t>Johnny Depp Cannes</t>
  </si>
  <si>
    <t>Johnny Depp Venice</t>
  </si>
  <si>
    <t>Johnny Depp red carpet</t>
  </si>
  <si>
    <t>Johnny Depp outfits</t>
  </si>
  <si>
    <t>Johnny Depp tattoos</t>
  </si>
  <si>
    <t>Johnny Depp court</t>
  </si>
  <si>
    <t>Johnny Depp trial</t>
  </si>
  <si>
    <t>Johnny Depp news</t>
  </si>
  <si>
    <t>Johnny Depp updates</t>
  </si>
  <si>
    <t>Johnny Depp rare pics</t>
  </si>
  <si>
    <t>Johnny Depp aesthetic</t>
  </si>
  <si>
    <t>Johnny Depp wallpaper</t>
  </si>
  <si>
    <t>Johnny Depp edits video</t>
  </si>
  <si>
    <t>Johnny Depp fanart</t>
  </si>
  <si>
    <t>Johnny Depp community</t>
  </si>
  <si>
    <t>Johnny Depp supporters</t>
  </si>
  <si>
    <t>Dior Paris</t>
  </si>
  <si>
    <t>Dior fashion</t>
  </si>
  <si>
    <t>Dior couture</t>
  </si>
  <si>
    <t>Dior haute couture</t>
  </si>
  <si>
    <t>Dior runway</t>
  </si>
  <si>
    <t>Dior show</t>
  </si>
  <si>
    <t>Dior campaign</t>
  </si>
  <si>
    <t>Dior commercial</t>
  </si>
  <si>
    <t>Dior ad</t>
  </si>
  <si>
    <t>Dior fragrance</t>
  </si>
  <si>
    <t>Dior perfume</t>
  </si>
  <si>
    <t>Dior Sauvage</t>
  </si>
  <si>
    <t>Dior cologne</t>
  </si>
  <si>
    <t>Dior beauty</t>
  </si>
  <si>
    <t>Dior makeup</t>
  </si>
  <si>
    <t>Dior cosmetics</t>
  </si>
  <si>
    <t>Dior backstage</t>
  </si>
  <si>
    <t>Dior atelier</t>
  </si>
  <si>
    <t>Dior collection</t>
  </si>
  <si>
    <t>Dior menswear</t>
  </si>
  <si>
    <t>Dior womenswear</t>
  </si>
  <si>
    <t>Dior dress</t>
  </si>
  <si>
    <t>Dior bag</t>
  </si>
  <si>
    <t>Dior handbags</t>
  </si>
  <si>
    <t>Dior accessories</t>
  </si>
  <si>
    <t>Dior jewelry</t>
  </si>
  <si>
    <t>Dior shoes</t>
  </si>
  <si>
    <t>Dior sneakers</t>
  </si>
  <si>
    <t>Dior sunglasses</t>
  </si>
  <si>
    <t>Dior style</t>
  </si>
  <si>
    <t>Dior outfit</t>
  </si>
  <si>
    <t>Dior look</t>
  </si>
  <si>
    <t>Dior fashion week</t>
  </si>
  <si>
    <t>Dior Paris fashion week</t>
  </si>
  <si>
    <t>Dior event</t>
  </si>
  <si>
    <t>Dior celebrity</t>
  </si>
  <si>
    <t>Dior ambassador</t>
  </si>
  <si>
    <t>Dior muse</t>
  </si>
  <si>
    <t>Dior photoshoot</t>
  </si>
  <si>
    <t>Dior campaign 2023</t>
  </si>
  <si>
    <t>Dior campaign 2024</t>
  </si>
  <si>
    <t>Dior boutique</t>
  </si>
  <si>
    <t>Dior store</t>
  </si>
  <si>
    <t>Dior luxury</t>
  </si>
  <si>
    <t>Dior brand</t>
  </si>
  <si>
    <t>Dior iconic</t>
  </si>
  <si>
    <t>Dior house</t>
  </si>
  <si>
    <t>Maison Dior</t>
  </si>
  <si>
    <t>Perfume commercial</t>
  </si>
  <si>
    <t>Perfume ad</t>
  </si>
  <si>
    <t>Perfume campaign</t>
  </si>
  <si>
    <t>Perfume spot</t>
  </si>
  <si>
    <t>Perfume edit</t>
  </si>
  <si>
    <t>Perfume aesthetic</t>
  </si>
  <si>
    <t>Perfume photography</t>
  </si>
  <si>
    <t>Perfume videography</t>
  </si>
  <si>
    <t>Perfume model</t>
  </si>
  <si>
    <t>Perfume ambassador</t>
  </si>
  <si>
    <t>Perfume celebrity</t>
  </si>
  <si>
    <t>Perfume endorsement</t>
  </si>
  <si>
    <t>Luxury perfume ad</t>
  </si>
  <si>
    <t>Fragrance commercial</t>
  </si>
  <si>
    <t>Fragrance ad</t>
  </si>
  <si>
    <t>Fragrance campaign</t>
  </si>
  <si>
    <t>Fragrance ambassador</t>
  </si>
  <si>
    <t>Cologne commercial</t>
  </si>
  <si>
    <t>Cologne ad</t>
  </si>
  <si>
    <t>Beauty commercial</t>
  </si>
  <si>
    <t>Beauty ad</t>
  </si>
  <si>
    <t>Beauty campaign</t>
  </si>
  <si>
    <t>Beauty spot</t>
  </si>
  <si>
    <t>Cosmetics commercial</t>
  </si>
  <si>
    <t>Makeup commercial</t>
  </si>
  <si>
    <t>Luxury commercial</t>
  </si>
  <si>
    <t>High fashion ad</t>
  </si>
  <si>
    <t>Designer commercial</t>
  </si>
  <si>
    <t>Fashion commercial</t>
  </si>
  <si>
    <t>Runway campaign</t>
  </si>
  <si>
    <t>Editorial campaign</t>
  </si>
  <si>
    <t>TV commercial perfume</t>
  </si>
  <si>
    <t>Iconic perfume ad</t>
  </si>
  <si>
    <t>Perfume TV spot</t>
  </si>
  <si>
    <t>Perfume print ad</t>
  </si>
  <si>
    <t>Perfume poster</t>
  </si>
  <si>
    <t>Perfume billboard</t>
  </si>
  <si>
    <t>Perfume photoshoot</t>
  </si>
  <si>
    <t>Perfume visuals</t>
  </si>
  <si>
    <t>Perfume edits</t>
  </si>
  <si>
    <t>Perfume inspiration</t>
  </si>
  <si>
    <t>Fragrance inspiration</t>
  </si>
  <si>
    <t>Perfume influencer</t>
  </si>
  <si>
    <t>Perfume reviews</t>
  </si>
  <si>
    <t>Perfume vlogger</t>
  </si>
  <si>
    <t>Perfume tiktoks</t>
  </si>
  <si>
    <t>Perfume reels</t>
  </si>
  <si>
    <t>Perfume accounts</t>
  </si>
  <si>
    <t>Beauty influencer</t>
  </si>
  <si>
    <t>Beauty ambassador</t>
  </si>
  <si>
    <t>Beauty muse</t>
  </si>
  <si>
    <t>Luxury beauty campaign</t>
  </si>
  <si>
    <t>Sauvage Dior</t>
  </si>
  <si>
    <t>Dior Sauvage perfume</t>
  </si>
  <si>
    <t>Dior Sauvage fragrance</t>
  </si>
  <si>
    <t>Dior Sauvage cologne</t>
  </si>
  <si>
    <t>Dior Sauvage eau de parfum</t>
  </si>
  <si>
    <t>Dior Sauvage eau de toilette</t>
  </si>
  <si>
    <t>Dior Sauvage parfum</t>
  </si>
  <si>
    <t>Dior Sauvage elixir</t>
  </si>
  <si>
    <t>Dior Sauvage intense</t>
  </si>
  <si>
    <t>Dior Sauvage commercial</t>
  </si>
  <si>
    <t>Dior Sauvage ad</t>
  </si>
  <si>
    <t>Dior Sauvage campaign</t>
  </si>
  <si>
    <t>Dior Sauvage movie</t>
  </si>
  <si>
    <t>Dior Sauvage edit</t>
  </si>
  <si>
    <t>Dior Sauvage aesthetic</t>
  </si>
  <si>
    <t>Dior Sauvage photoshoot</t>
  </si>
  <si>
    <t>Dior Sauvage model</t>
  </si>
  <si>
    <t>Dior Sauvage ambassador</t>
  </si>
  <si>
    <t>Dior Sauvage Johnny Depp</t>
  </si>
  <si>
    <t>Sauvage perfume</t>
  </si>
  <si>
    <t>Sauvage fragrance</t>
  </si>
  <si>
    <t>Sauvage cologne</t>
  </si>
  <si>
    <t>Sauvage elixir</t>
  </si>
  <si>
    <t>Sauvage eau de parfum</t>
  </si>
  <si>
    <t>Sauvage eau de toilette</t>
  </si>
  <si>
    <t>Sauvage Dior perfume ad</t>
  </si>
  <si>
    <t>Sauvage Dior commercial</t>
  </si>
  <si>
    <t>Sauvage Dior campaign</t>
  </si>
  <si>
    <t>Sauvage Dior edit</t>
  </si>
  <si>
    <t>Sauvage Dior video</t>
  </si>
  <si>
    <t>Sauvage Dior aesthetic</t>
  </si>
  <si>
    <t>Sauvage Dior photos</t>
  </si>
  <si>
    <t>Sauvage Dior 2023</t>
  </si>
  <si>
    <t>Sauvage Dior 2024</t>
  </si>
  <si>
    <t>Sauvage Dior review</t>
  </si>
  <si>
    <t>Sauvage Dior unboxing</t>
  </si>
  <si>
    <t>Sauvage Dior reels</t>
  </si>
  <si>
    <t>Sauvage Dior TikTok</t>
  </si>
  <si>
    <t>Sauvage Dior influencer</t>
  </si>
  <si>
    <t>Best men’s fragrance Dior Sauvage</t>
  </si>
  <si>
    <t>Top men’s cologne Dior Sauvage</t>
  </si>
  <si>
    <t>Luxury cologne Sauvage Dior</t>
  </si>
  <si>
    <t>Sauvage Dior iconic</t>
  </si>
  <si>
    <t>Sauvage Dior bestseller</t>
  </si>
  <si>
    <t>Sauvage Dior vibe</t>
  </si>
  <si>
    <t>Sauvage Dior desert ad</t>
  </si>
  <si>
    <t>Sauvage Dior inspiration</t>
  </si>
  <si>
    <t>Sauvage Dior official</t>
  </si>
  <si>
    <t>Travel retail</t>
  </si>
  <si>
    <t>Luxury travel retail</t>
  </si>
  <si>
    <t>Travel retail beauty</t>
  </si>
  <si>
    <t>Travel retail perfume</t>
  </si>
  <si>
    <t>Travel retail fragrance</t>
  </si>
  <si>
    <t>Travel retail cologne</t>
  </si>
  <si>
    <t>Travel retail cosmetics</t>
  </si>
  <si>
    <t>Travel retail makeup</t>
  </si>
  <si>
    <t>Travel retail skincare</t>
  </si>
  <si>
    <t>Travel retail Dior</t>
  </si>
  <si>
    <t>Travel retail Chanel</t>
  </si>
  <si>
    <t>Travel retail luxury brands</t>
  </si>
  <si>
    <t>Travel retail shopping</t>
  </si>
  <si>
    <t>Travel retail trends</t>
  </si>
  <si>
    <t>Travel retail sales</t>
  </si>
  <si>
    <t>Travel retail exclusive</t>
  </si>
  <si>
    <t>Travel retail limited edition</t>
  </si>
  <si>
    <t>Duty free</t>
  </si>
  <si>
    <t>Duty free shopping</t>
  </si>
  <si>
    <t>Duty free perfume</t>
  </si>
  <si>
    <t>Duty free fragrance</t>
  </si>
  <si>
    <t>Duty free cologne</t>
  </si>
  <si>
    <t>Duty free beauty</t>
  </si>
  <si>
    <t>Duty free cosmetics</t>
  </si>
  <si>
    <t>Duty free makeup</t>
  </si>
  <si>
    <t>Duty free skincare</t>
  </si>
  <si>
    <t>Duty free luxury</t>
  </si>
  <si>
    <t>Airport shopping</t>
  </si>
  <si>
    <t>Airport duty free</t>
  </si>
  <si>
    <t>Airport perfume shopping</t>
  </si>
  <si>
    <t>Airport fragrance shopping</t>
  </si>
  <si>
    <t>Airport beauty shopping</t>
  </si>
  <si>
    <t>Airport retail</t>
  </si>
  <si>
    <t>Airport exclusive</t>
  </si>
  <si>
    <t>In-flight shopping</t>
  </si>
  <si>
    <t>Onboard shopping</t>
  </si>
  <si>
    <t>Travel retail market</t>
  </si>
  <si>
    <t>Travel retail business</t>
  </si>
  <si>
    <t>Travel retail innovation</t>
  </si>
  <si>
    <t>Travel retail campaign</t>
  </si>
  <si>
    <t>Travel retail activation</t>
  </si>
  <si>
    <t>Travel retail pop up</t>
  </si>
  <si>
    <t>Travel retail event</t>
  </si>
  <si>
    <t>Travel retail influencer</t>
  </si>
  <si>
    <t>Travel retail promotion</t>
  </si>
  <si>
    <t>Travel retail edition</t>
  </si>
  <si>
    <t>Global travel retail</t>
  </si>
  <si>
    <t>International travel retail</t>
  </si>
  <si>
    <t>Luxury duty free</t>
  </si>
  <si>
    <t>Duty free haul</t>
  </si>
  <si>
    <t>Duty free experience</t>
  </si>
  <si>
    <t>Travel retail lifestyle</t>
  </si>
  <si>
    <t>Vogue</t>
  </si>
  <si>
    <t>Vanity Fair</t>
  </si>
  <si>
    <t>Bloomberg</t>
  </si>
  <si>
    <t>Forbes</t>
  </si>
  <si>
    <t>Financial Times</t>
  </si>
  <si>
    <t>The Wall Street Journal</t>
  </si>
  <si>
    <t>The New York Times</t>
  </si>
  <si>
    <t>The Washington Post</t>
  </si>
  <si>
    <t>The Guardian</t>
  </si>
  <si>
    <t>The Times</t>
  </si>
  <si>
    <t>The Telegraph</t>
  </si>
  <si>
    <t>Le Monde</t>
  </si>
  <si>
    <t>Le Figaro</t>
  </si>
  <si>
    <t>El País</t>
  </si>
  <si>
    <t>Corriere della Sera</t>
  </si>
  <si>
    <t>La Repubblica</t>
  </si>
  <si>
    <t>Die Zeit</t>
  </si>
  <si>
    <t>Frankfurter Allgemeine Zeitung</t>
  </si>
  <si>
    <t>Der Spiegel</t>
  </si>
  <si>
    <t>Handelsblatt</t>
  </si>
  <si>
    <t>Politico</t>
  </si>
  <si>
    <t>Axios</t>
  </si>
  <si>
    <t>Reuters</t>
  </si>
  <si>
    <t>Associated Press</t>
  </si>
  <si>
    <t>CNN</t>
  </si>
  <si>
    <t>BBC</t>
  </si>
  <si>
    <t>MSNBC</t>
  </si>
  <si>
    <t>Fox News</t>
  </si>
  <si>
    <t>NBC News</t>
  </si>
  <si>
    <t>ABC News</t>
  </si>
  <si>
    <t>CBS News</t>
  </si>
  <si>
    <t>Sky News</t>
  </si>
  <si>
    <t>Al Jazeera</t>
  </si>
  <si>
    <t>Euronews</t>
  </si>
  <si>
    <t>France 24</t>
  </si>
  <si>
    <t>NPR</t>
  </si>
  <si>
    <t>PBS</t>
  </si>
  <si>
    <t>The Economist</t>
  </si>
  <si>
    <t>Harvard Business Review</t>
  </si>
  <si>
    <t>Business Insider</t>
  </si>
  <si>
    <t>Fast Company</t>
  </si>
  <si>
    <t>TechCrunch</t>
  </si>
  <si>
    <t>Wired</t>
  </si>
  <si>
    <t>The Verge</t>
  </si>
  <si>
    <t>Mashable</t>
  </si>
  <si>
    <t>Quartz</t>
  </si>
  <si>
    <t>Ars Technica</t>
  </si>
  <si>
    <t>MIT Technology Review</t>
  </si>
  <si>
    <t>Rolling Stone</t>
  </si>
  <si>
    <t>Billboard</t>
  </si>
  <si>
    <t>Pitchfork</t>
  </si>
  <si>
    <t>NME</t>
  </si>
  <si>
    <t>Spin</t>
  </si>
  <si>
    <t>Complex</t>
  </si>
  <si>
    <t>Highsnobiety</t>
  </si>
  <si>
    <t>Hypebeast</t>
  </si>
  <si>
    <t>The Fader</t>
  </si>
  <si>
    <t>GQ</t>
  </si>
  <si>
    <t>Esquire</t>
  </si>
  <si>
    <t>Men’s Health</t>
  </si>
  <si>
    <t>Women’s Health</t>
  </si>
  <si>
    <t>Elle</t>
  </si>
  <si>
    <t>Harper’s Bazaar</t>
  </si>
  <si>
    <t>Cosmopolitan</t>
  </si>
  <si>
    <t>Glamour</t>
  </si>
  <si>
    <t>Marie Claire</t>
  </si>
  <si>
    <t>Allure</t>
  </si>
  <si>
    <t>InStyle</t>
  </si>
  <si>
    <t>Teen Vogue</t>
  </si>
  <si>
    <t>Seventeen</t>
  </si>
  <si>
    <t>W Magazine</t>
  </si>
  <si>
    <t>Dazed</t>
  </si>
  <si>
    <t>i-D</t>
  </si>
  <si>
    <t>Paper Magazine</t>
  </si>
  <si>
    <t>The Face</t>
  </si>
  <si>
    <t>Numéro</t>
  </si>
  <si>
    <t>L’Officiel</t>
  </si>
  <si>
    <t>Business of Fashion</t>
  </si>
  <si>
    <t>WWD (Women’s Wear Daily)</t>
  </si>
  <si>
    <t>Fashionista</t>
  </si>
  <si>
    <t>Adweek</t>
  </si>
  <si>
    <t>The Drum</t>
  </si>
  <si>
    <t>PRWeek</t>
  </si>
  <si>
    <t>Variety</t>
  </si>
  <si>
    <t>The Hollywood Reporter</t>
  </si>
  <si>
    <t>Deadline</t>
  </si>
  <si>
    <t>IndieWire</t>
  </si>
  <si>
    <t>Screen Daily</t>
  </si>
  <si>
    <t>Film Comment</t>
  </si>
  <si>
    <t>Sight &amp; Sound</t>
  </si>
  <si>
    <t>People</t>
  </si>
  <si>
    <t>Us Weekly</t>
  </si>
  <si>
    <t>OK! Magazine</t>
  </si>
  <si>
    <t>Hello!</t>
  </si>
  <si>
    <t>Tatler</t>
  </si>
  <si>
    <t>Town &amp; Country</t>
  </si>
  <si>
    <t>New Yorker</t>
  </si>
  <si>
    <t>Time</t>
  </si>
  <si>
    <t>Newsweek</t>
  </si>
  <si>
    <t>The Atlantic</t>
  </si>
  <si>
    <t>Foreign Affairs</t>
  </si>
  <si>
    <t>Foreign Policy</t>
  </si>
  <si>
    <t>National Geographic</t>
  </si>
  <si>
    <t>Scientific American</t>
  </si>
  <si>
    <t>New Scientist</t>
  </si>
  <si>
    <t>BuzzFeed</t>
  </si>
  <si>
    <t>Vice</t>
  </si>
  <si>
    <t>Refinery29</t>
  </si>
  <si>
    <t>Mic</t>
  </si>
  <si>
    <t>Mashable India</t>
  </si>
  <si>
    <t>NowThis</t>
  </si>
  <si>
    <t>Upworthy</t>
  </si>
  <si>
    <t>HuffPost</t>
  </si>
  <si>
    <t>Daily Beast</t>
  </si>
  <si>
    <t>Slate</t>
  </si>
  <si>
    <t>Salon</t>
  </si>
  <si>
    <t>The Cut</t>
  </si>
  <si>
    <t>The Skimm</t>
  </si>
  <si>
    <t>BusinessWeek</t>
  </si>
  <si>
    <t>MarketWatch</t>
  </si>
  <si>
    <t>Investopedia</t>
  </si>
  <si>
    <t>Morning Brew</t>
  </si>
  <si>
    <t>Seeking Alpha</t>
  </si>
  <si>
    <t>Motley Fool</t>
  </si>
  <si>
    <t>Barron’s</t>
  </si>
  <si>
    <t>Kiplinger</t>
  </si>
  <si>
    <t>Fortune</t>
  </si>
  <si>
    <t>Inc.</t>
  </si>
  <si>
    <t>Entrepreneur</t>
  </si>
  <si>
    <t>Digiday</t>
  </si>
  <si>
    <t>MediaPost</t>
  </si>
  <si>
    <t>Techmeme</t>
  </si>
  <si>
    <t>Product Hunt</t>
  </si>
  <si>
    <t>Engadget</t>
  </si>
  <si>
    <t>Digital Trends</t>
  </si>
  <si>
    <t>CNET</t>
  </si>
  <si>
    <t>ZDNet</t>
  </si>
  <si>
    <t>PCMag</t>
  </si>
  <si>
    <t>Tom’s Hardware</t>
  </si>
  <si>
    <t>Android Authority</t>
  </si>
  <si>
    <t>iMore</t>
  </si>
  <si>
    <t>9to5Mac</t>
  </si>
  <si>
    <t>MacRumors</t>
  </si>
  <si>
    <t>GameSpot</t>
  </si>
  <si>
    <t>IGN</t>
  </si>
  <si>
    <t>Kotaku</t>
  </si>
  <si>
    <t>Polygon</t>
  </si>
  <si>
    <t>Eurogamer</t>
  </si>
  <si>
    <t>Game Informer</t>
  </si>
  <si>
    <t>Rock Paper Shotgun</t>
  </si>
  <si>
    <t>Metacritic</t>
  </si>
  <si>
    <t>Rotten Tomatoes</t>
  </si>
  <si>
    <t>Box Office Mojo</t>
  </si>
  <si>
    <t>CinemaBlend</t>
  </si>
  <si>
    <t>Collider</t>
  </si>
  <si>
    <t>Screen Rant</t>
  </si>
  <si>
    <t>ComicBook.com</t>
  </si>
  <si>
    <t>Den of Geek</t>
  </si>
  <si>
    <t>Bleacher Report</t>
  </si>
  <si>
    <t>SB Nation</t>
  </si>
  <si>
    <t>The Athletic</t>
  </si>
  <si>
    <t>ESPN</t>
  </si>
  <si>
    <t>Sports Illustrated</t>
  </si>
  <si>
    <t>Marca</t>
  </si>
  <si>
    <t>L’Équipe</t>
  </si>
  <si>
    <t>Goal.com</t>
  </si>
  <si>
    <t>Yahoo Sports</t>
  </si>
  <si>
    <t>Deadspin</t>
  </si>
  <si>
    <t>Ringer</t>
  </si>
  <si>
    <t>Complex Sports</t>
  </si>
  <si>
    <t>Overtime</t>
  </si>
  <si>
    <t>House Beautiful</t>
  </si>
  <si>
    <t>Architectural Digest</t>
  </si>
  <si>
    <t>Dezeen</t>
  </si>
  <si>
    <t>Designboom</t>
  </si>
  <si>
    <t>Wallpaper*</t>
  </si>
  <si>
    <t>Domus</t>
  </si>
  <si>
    <t>Elle Decor</t>
  </si>
  <si>
    <t>Better Homes &amp; Gardens</t>
  </si>
  <si>
    <t>Good Housekeeping</t>
  </si>
  <si>
    <t>Martha Stewart Living</t>
  </si>
  <si>
    <t>Food Network</t>
  </si>
  <si>
    <t>Bon Appétit</t>
  </si>
  <si>
    <t>Eater</t>
  </si>
  <si>
    <t>Serious Eats</t>
  </si>
  <si>
    <t>Epicurious</t>
  </si>
  <si>
    <t>Delish</t>
  </si>
  <si>
    <t>Saveur</t>
  </si>
  <si>
    <t>Tasting Table</t>
  </si>
  <si>
    <t>Grub Street</t>
  </si>
  <si>
    <t>Travel + Leisure</t>
  </si>
  <si>
    <t>Condé Nast Traveler</t>
  </si>
  <si>
    <t>Lonely Planet</t>
  </si>
  <si>
    <t>Culture Trip</t>
  </si>
  <si>
    <t>Afar</t>
  </si>
  <si>
    <t>CNBC</t>
  </si>
  <si>
    <t>Bloomberg TV</t>
  </si>
  <si>
    <t>Cheddar</t>
  </si>
  <si>
    <t>Yahoo Finance</t>
  </si>
  <si>
    <t>Ozy</t>
  </si>
  <si>
    <t>Daily Mail</t>
  </si>
  <si>
    <t>Mirror</t>
  </si>
  <si>
    <t>Sun</t>
  </si>
  <si>
    <t>USA Today</t>
  </si>
  <si>
    <t>Los Angeles Times</t>
  </si>
  <si>
    <t>Chicago Tribune</t>
  </si>
  <si>
    <t>Houston Chronicle</t>
  </si>
  <si>
    <t>Dallas Morning News</t>
  </si>
  <si>
    <t>Toronto Star</t>
  </si>
  <si>
    <t>Globe and Mail</t>
  </si>
  <si>
    <t>South China Morning Post</t>
  </si>
  <si>
    <t>Japan Times</t>
  </si>
  <si>
    <t>Straits Times</t>
  </si>
  <si>
    <t>India Today</t>
  </si>
  <si>
    <t>Hindustan Times</t>
  </si>
  <si>
    <t>Times of India</t>
  </si>
  <si>
    <t>The Hindu</t>
  </si>
  <si>
    <t>Media</t>
  </si>
  <si>
    <t>News</t>
  </si>
  <si>
    <t>Press</t>
  </si>
  <si>
    <t>Reporter</t>
  </si>
  <si>
    <t>Journalist</t>
  </si>
  <si>
    <t>Editor</t>
  </si>
  <si>
    <t>Anchor</t>
  </si>
  <si>
    <t>Correspondent</t>
  </si>
  <si>
    <t>Broadcaster</t>
  </si>
  <si>
    <t>Publisher</t>
  </si>
  <si>
    <t>Columnist</t>
  </si>
  <si>
    <t>Writer</t>
  </si>
  <si>
    <t>Blogger</t>
  </si>
  <si>
    <t>Vlogger</t>
  </si>
  <si>
    <t>Podcaster</t>
  </si>
  <si>
    <t>Host</t>
  </si>
  <si>
    <t>Presenter</t>
  </si>
  <si>
    <t>Commentator</t>
  </si>
  <si>
    <t>Analyst</t>
  </si>
  <si>
    <t>Critic</t>
  </si>
  <si>
    <t>Contributor</t>
  </si>
  <si>
    <t>Freelancer</t>
  </si>
  <si>
    <t>Staff writer</t>
  </si>
  <si>
    <t>Newsroom</t>
  </si>
  <si>
    <t>Editorial</t>
  </si>
  <si>
    <t>Headline</t>
  </si>
  <si>
    <t>Byline</t>
  </si>
  <si>
    <t>Article</t>
  </si>
  <si>
    <t>Story</t>
  </si>
  <si>
    <t>Feature</t>
  </si>
  <si>
    <t>Coverage</t>
  </si>
  <si>
    <t>Breaking news</t>
  </si>
  <si>
    <t>Investigative journalism</t>
  </si>
  <si>
    <t>Photojournalism</t>
  </si>
  <si>
    <t>Broadcast</t>
  </si>
  <si>
    <t>Television</t>
  </si>
  <si>
    <t>Radio</t>
  </si>
  <si>
    <t>Newspaper</t>
  </si>
  <si>
    <t>Magazine</t>
  </si>
  <si>
    <t>Tabloid</t>
  </si>
  <si>
    <t>Periodical</t>
  </si>
  <si>
    <t>Publication</t>
  </si>
  <si>
    <t>Outlet</t>
  </si>
  <si>
    <t>Network</t>
  </si>
  <si>
    <t>Channel</t>
  </si>
  <si>
    <t>Station</t>
  </si>
  <si>
    <t>Wire service</t>
  </si>
  <si>
    <t>Newswire</t>
  </si>
  <si>
    <t>Syndication</t>
  </si>
  <si>
    <t>Distribution</t>
  </si>
  <si>
    <t>Press release</t>
  </si>
  <si>
    <t>Press conference</t>
  </si>
  <si>
    <t>Interview</t>
  </si>
  <si>
    <t>Op-ed</t>
  </si>
  <si>
    <t>Opinion</t>
  </si>
  <si>
    <t>Editorial board</t>
  </si>
  <si>
    <t>Fact-check</t>
  </si>
  <si>
    <t>Verification</t>
  </si>
  <si>
    <t>Source</t>
  </si>
  <si>
    <t>Attribution</t>
  </si>
  <si>
    <t>Citation</t>
  </si>
  <si>
    <t>Quote</t>
  </si>
  <si>
    <t>Statement</t>
  </si>
  <si>
    <t>Transcript</t>
  </si>
  <si>
    <t>Footage</t>
  </si>
  <si>
    <t>Clip</t>
  </si>
  <si>
    <t>Segment</t>
  </si>
  <si>
    <t>Program</t>
  </si>
  <si>
    <t>Show</t>
  </si>
  <si>
    <t>Series</t>
  </si>
  <si>
    <t>Documentary</t>
  </si>
  <si>
    <t>Podcast</t>
  </si>
  <si>
    <t>Livestream</t>
  </si>
  <si>
    <t>Streaming</t>
  </si>
  <si>
    <t>Platform</t>
  </si>
  <si>
    <t>Portal</t>
  </si>
  <si>
    <t>Website</t>
  </si>
  <si>
    <t>Blog</t>
  </si>
  <si>
    <t>Newsletter</t>
  </si>
  <si>
    <t>Substack</t>
  </si>
  <si>
    <t>Forum</t>
  </si>
  <si>
    <t>Community</t>
  </si>
  <si>
    <t>Social media</t>
  </si>
  <si>
    <t>Influencer</t>
  </si>
  <si>
    <t>Creator</t>
  </si>
  <si>
    <t>Content</t>
  </si>
  <si>
    <t>Post</t>
  </si>
  <si>
    <t>Reel</t>
  </si>
  <si>
    <t>TikTok</t>
  </si>
  <si>
    <t>YouTube</t>
  </si>
  <si>
    <t>Algorithm</t>
  </si>
  <si>
    <t>Engagement</t>
  </si>
  <si>
    <t>Audience</t>
  </si>
  <si>
    <t>Viewership</t>
  </si>
  <si>
    <t>Readership</t>
  </si>
  <si>
    <t>Circulation</t>
  </si>
  <si>
    <t>Reach</t>
  </si>
  <si>
    <t>Virality</t>
  </si>
  <si>
    <t>Trending</t>
  </si>
  <si>
    <t>Hashtag</t>
  </si>
  <si>
    <t>Breaking</t>
  </si>
  <si>
    <t>Exclusive</t>
  </si>
  <si>
    <t>Headline maker</t>
  </si>
  <si>
    <t>Clickbait</t>
  </si>
  <si>
    <t>Coverage area</t>
  </si>
  <si>
    <t>Mass media</t>
  </si>
  <si>
    <t>Mainstream media</t>
  </si>
  <si>
    <t>Alternative media</t>
  </si>
  <si>
    <t>Independent media</t>
  </si>
  <si>
    <t>Citizen journalism</t>
  </si>
  <si>
    <t>Michael</t>
  </si>
  <si>
    <t>Christopher</t>
  </si>
  <si>
    <t>Matthew</t>
  </si>
  <si>
    <t>Joshua</t>
  </si>
  <si>
    <t>Jacob</t>
  </si>
  <si>
    <t>Nicholas</t>
  </si>
  <si>
    <t>Andrew</t>
  </si>
  <si>
    <t>Daniel</t>
  </si>
  <si>
    <t>Tyler</t>
  </si>
  <si>
    <t>Joseph</t>
  </si>
  <si>
    <t>Brandon</t>
  </si>
  <si>
    <t>Justin</t>
  </si>
  <si>
    <t>Ryan</t>
  </si>
  <si>
    <t>Zachary</t>
  </si>
  <si>
    <t>Austin</t>
  </si>
  <si>
    <t>Anthony</t>
  </si>
  <si>
    <t>Kevin</t>
  </si>
  <si>
    <t>Kyle</t>
  </si>
  <si>
    <t>Eric</t>
  </si>
  <si>
    <t>Thomas</t>
  </si>
  <si>
    <t>Alexander</t>
  </si>
  <si>
    <t>David</t>
  </si>
  <si>
    <t>James</t>
  </si>
  <si>
    <t>John</t>
  </si>
  <si>
    <t>William</t>
  </si>
  <si>
    <t>Jonathan</t>
  </si>
  <si>
    <t>Robert</t>
  </si>
  <si>
    <t>Benjamin</t>
  </si>
  <si>
    <t>Samuel</t>
  </si>
  <si>
    <t>Nathan</t>
  </si>
  <si>
    <t>Christian</t>
  </si>
  <si>
    <t>Dylan</t>
  </si>
  <si>
    <t>Logan</t>
  </si>
  <si>
    <t>Jason</t>
  </si>
  <si>
    <t>Cameron</t>
  </si>
  <si>
    <t>Aaron</t>
  </si>
  <si>
    <t>Jordan</t>
  </si>
  <si>
    <t>Adam</t>
  </si>
  <si>
    <t>Patrick</t>
  </si>
  <si>
    <t>Sean</t>
  </si>
  <si>
    <t>Connor</t>
  </si>
  <si>
    <t>Ethan</t>
  </si>
  <si>
    <t>Noah</t>
  </si>
  <si>
    <t>Gabriel</t>
  </si>
  <si>
    <t>Hunter</t>
  </si>
  <si>
    <t>Luis</t>
  </si>
  <si>
    <t>Carlos</t>
  </si>
  <si>
    <t>Jose</t>
  </si>
  <si>
    <t>Juan</t>
  </si>
  <si>
    <t>Alejandro</t>
  </si>
  <si>
    <t>Omar</t>
  </si>
  <si>
    <t>Hannah</t>
  </si>
  <si>
    <t>Jessica</t>
  </si>
  <si>
    <t>Ashley</t>
  </si>
  <si>
    <t>Emily</t>
  </si>
  <si>
    <t>Sarah</t>
  </si>
  <si>
    <t>Samantha</t>
  </si>
  <si>
    <t>Amanda</t>
  </si>
  <si>
    <t>Brittany</t>
  </si>
  <si>
    <t>Taylor</t>
  </si>
  <si>
    <t>Megan</t>
  </si>
  <si>
    <t>Lauren</t>
  </si>
  <si>
    <t>Kayla</t>
  </si>
  <si>
    <t>Rachel</t>
  </si>
  <si>
    <t>Nicole</t>
  </si>
  <si>
    <t>Amber</t>
  </si>
  <si>
    <t>Courtney</t>
  </si>
  <si>
    <t>Victoria</t>
  </si>
  <si>
    <t>Natalie</t>
  </si>
  <si>
    <t>Olivia</t>
  </si>
  <si>
    <t>Sophia</t>
  </si>
  <si>
    <t>Isabella</t>
  </si>
  <si>
    <t>Alexis</t>
  </si>
  <si>
    <t>Alyssa</t>
  </si>
  <si>
    <t>Danielle</t>
  </si>
  <si>
    <t>Brianna</t>
  </si>
  <si>
    <t>Jasmine</t>
  </si>
  <si>
    <t>Katherine</t>
  </si>
  <si>
    <t>Morgan</t>
  </si>
  <si>
    <t>Erin</t>
  </si>
  <si>
    <t>Brooke</t>
  </si>
  <si>
    <t>Haley</t>
  </si>
  <si>
    <t>Madison</t>
  </si>
  <si>
    <t>Abigail</t>
  </si>
  <si>
    <t>Chloe</t>
  </si>
  <si>
    <t>Destiny</t>
  </si>
  <si>
    <t>Gabriella</t>
  </si>
  <si>
    <t>Maria</t>
  </si>
  <si>
    <t>Stephanie</t>
  </si>
  <si>
    <t>Christina</t>
  </si>
  <si>
    <t>Melissa</t>
  </si>
  <si>
    <t>Michelle</t>
  </si>
  <si>
    <t>Allison</t>
  </si>
  <si>
    <t>Kimberly</t>
  </si>
  <si>
    <t>Rebecca</t>
  </si>
  <si>
    <t>Kaitlyn</t>
  </si>
  <si>
    <t>Savannah</t>
  </si>
  <si>
    <t>Sierra</t>
  </si>
  <si>
    <t>Sydney</t>
  </si>
  <si>
    <t>Vanessa</t>
  </si>
  <si>
    <t>Brendan</t>
  </si>
  <si>
    <t>Shawn</t>
  </si>
  <si>
    <t>Colin</t>
  </si>
  <si>
    <t>Trevor</t>
  </si>
  <si>
    <t>Cody</t>
  </si>
  <si>
    <t>Derek</t>
  </si>
  <si>
    <t>Jared</t>
  </si>
  <si>
    <t>Ian</t>
  </si>
  <si>
    <t>Shane</t>
  </si>
  <si>
    <t>Bryan</t>
  </si>
  <si>
    <t>Jeffrey</t>
  </si>
  <si>
    <t>Mark</t>
  </si>
  <si>
    <t>Steven</t>
  </si>
  <si>
    <t>Casey</t>
  </si>
  <si>
    <t>Corey</t>
  </si>
  <si>
    <t>Bradley</t>
  </si>
  <si>
    <t>Grant</t>
  </si>
  <si>
    <t>Blake</t>
  </si>
  <si>
    <t>Spencer</t>
  </si>
  <si>
    <t>Evan</t>
  </si>
  <si>
    <t>Jesse</t>
  </si>
  <si>
    <t>Mitchell</t>
  </si>
  <si>
    <t>Chad</t>
  </si>
  <si>
    <t>Lucas</t>
  </si>
  <si>
    <t>Cole</t>
  </si>
  <si>
    <t>Garrett</t>
  </si>
  <si>
    <t>Brett</t>
  </si>
  <si>
    <t>Devon</t>
  </si>
  <si>
    <t>Troy</t>
  </si>
  <si>
    <t>Phillip</t>
  </si>
  <si>
    <t>George</t>
  </si>
  <si>
    <t>Edward</t>
  </si>
  <si>
    <t>Oscar</t>
  </si>
  <si>
    <t>Victor</t>
  </si>
  <si>
    <t>Francisco</t>
  </si>
  <si>
    <t>Marco</t>
  </si>
  <si>
    <t>Ricardo</t>
  </si>
  <si>
    <t>Eduardo</t>
  </si>
  <si>
    <t>Miguel</t>
  </si>
  <si>
    <t>Antonio</t>
  </si>
  <si>
    <t>Manuel</t>
  </si>
  <si>
    <t>Andres</t>
  </si>
  <si>
    <t>Diego</t>
  </si>
  <si>
    <t>Armando</t>
  </si>
  <si>
    <t>Adrian</t>
  </si>
  <si>
    <t>Elijah</t>
  </si>
  <si>
    <t>Isaiah</t>
  </si>
  <si>
    <t>Jeremiah</t>
  </si>
  <si>
    <t>Caleb</t>
  </si>
  <si>
    <t>Seth</t>
  </si>
  <si>
    <t>Travis</t>
  </si>
  <si>
    <t>Jack</t>
  </si>
  <si>
    <t>Henry</t>
  </si>
  <si>
    <t>Peter</t>
  </si>
  <si>
    <t>Martin</t>
  </si>
  <si>
    <t>Maxwell</t>
  </si>
  <si>
    <t>Owen</t>
  </si>
  <si>
    <t>Aiden</t>
  </si>
  <si>
    <t>Bryce</t>
  </si>
  <si>
    <t>Clinton</t>
  </si>
  <si>
    <t>Douglas</t>
  </si>
  <si>
    <t>Craig</t>
  </si>
  <si>
    <t>Lawrence</t>
  </si>
  <si>
    <t>Russell</t>
  </si>
  <si>
    <t>Jerome</t>
  </si>
  <si>
    <t>Julian</t>
  </si>
  <si>
    <t>Vincent</t>
  </si>
  <si>
    <t>Joel</t>
  </si>
  <si>
    <t>Allen</t>
  </si>
  <si>
    <t>Leonard</t>
  </si>
  <si>
    <t>Dominic</t>
  </si>
  <si>
    <t>Raymond</t>
  </si>
  <si>
    <t>Louis</t>
  </si>
  <si>
    <t>Albert</t>
  </si>
  <si>
    <t>Harold</t>
  </si>
  <si>
    <t>Bruce</t>
  </si>
  <si>
    <t>Roger</t>
  </si>
  <si>
    <t>Walter</t>
  </si>
  <si>
    <t>Glenn</t>
  </si>
  <si>
    <t>Arthur</t>
  </si>
  <si>
    <t>Wayne</t>
  </si>
  <si>
    <t>Ronald</t>
  </si>
  <si>
    <t>Diana</t>
  </si>
  <si>
    <t>Monica</t>
  </si>
  <si>
    <t>Teresa</t>
  </si>
  <si>
    <t>Shannon</t>
  </si>
  <si>
    <t>Heidi</t>
  </si>
  <si>
    <t>Cassandra</t>
  </si>
  <si>
    <t>Kristen</t>
  </si>
  <si>
    <t>Whitney</t>
  </si>
  <si>
    <t>Tiffany</t>
  </si>
  <si>
    <t>Dana</t>
  </si>
  <si>
    <t>Stacy</t>
  </si>
  <si>
    <t>Heaven</t>
  </si>
  <si>
    <t>Paige</t>
  </si>
  <si>
    <t>Jenna</t>
  </si>
  <si>
    <t>Holly</t>
  </si>
  <si>
    <t>Molly</t>
  </si>
  <si>
    <t>Kathleen</t>
  </si>
  <si>
    <t>Angela</t>
  </si>
  <si>
    <t>Heavenly</t>
  </si>
  <si>
    <t>Autumn</t>
  </si>
  <si>
    <t>Abel</t>
  </si>
  <si>
    <t>Alberto</t>
  </si>
  <si>
    <t>Alejandra</t>
  </si>
  <si>
    <t>Alfonso</t>
  </si>
  <si>
    <t>Alicia</t>
  </si>
  <si>
    <t>Allan</t>
  </si>
  <si>
    <t>Amelia</t>
  </si>
  <si>
    <t>Ana</t>
  </si>
  <si>
    <t>André</t>
  </si>
  <si>
    <t>Angel</t>
  </si>
  <si>
    <t>Anita</t>
  </si>
  <si>
    <t>Ann</t>
  </si>
  <si>
    <t>Anna</t>
  </si>
  <si>
    <t>Anne</t>
  </si>
  <si>
    <t>Ariana</t>
  </si>
  <si>
    <t>Ariel</t>
  </si>
  <si>
    <t>Barbara</t>
  </si>
  <si>
    <t>Beatrice</t>
  </si>
  <si>
    <t>Belinda</t>
  </si>
  <si>
    <t>Bernard</t>
  </si>
  <si>
    <t>Bethany</t>
  </si>
  <si>
    <t>Bianca</t>
  </si>
  <si>
    <t>Brandy</t>
  </si>
  <si>
    <t>Brenda</t>
  </si>
  <si>
    <t>Brianne</t>
  </si>
  <si>
    <t>Candice</t>
  </si>
  <si>
    <t>Carla</t>
  </si>
  <si>
    <t>Carmen</t>
  </si>
  <si>
    <t>Caroline</t>
  </si>
  <si>
    <t>Catherine</t>
  </si>
  <si>
    <t>Cecilia</t>
  </si>
  <si>
    <t>Charlene</t>
  </si>
  <si>
    <t>Charlotte</t>
  </si>
  <si>
    <t>Chelsea</t>
  </si>
  <si>
    <t>Christy</t>
  </si>
  <si>
    <t>Clara</t>
  </si>
  <si>
    <t>Clarissa</t>
  </si>
  <si>
    <t>Claudia</t>
  </si>
  <si>
    <t>Colleen</t>
  </si>
  <si>
    <t>Cristina</t>
  </si>
  <si>
    <t>Cynthia</t>
  </si>
  <si>
    <t>Daisy</t>
  </si>
  <si>
    <t>Deborah</t>
  </si>
  <si>
    <t>Delilah</t>
  </si>
  <si>
    <t>Denise</t>
  </si>
  <si>
    <t>Desiree</t>
  </si>
  <si>
    <t>Dominique</t>
  </si>
  <si>
    <t>Edgar</t>
  </si>
  <si>
    <t>Elena</t>
  </si>
  <si>
    <t>Elisa</t>
  </si>
  <si>
    <t>Elise</t>
  </si>
  <si>
    <t>Eliza</t>
  </si>
  <si>
    <t>Elizabeth</t>
  </si>
  <si>
    <t>Ella</t>
  </si>
  <si>
    <t>Ellen</t>
  </si>
  <si>
    <t>Elsa</t>
  </si>
  <si>
    <t>Emmanuel</t>
  </si>
  <si>
    <t>Erica</t>
  </si>
  <si>
    <t>Esmeralda</t>
  </si>
  <si>
    <t>Esteban</t>
  </si>
  <si>
    <t>Esther</t>
  </si>
  <si>
    <t>Evelyn</t>
  </si>
  <si>
    <t>Felipe</t>
  </si>
  <si>
    <t>Fernando</t>
  </si>
  <si>
    <t>Frances</t>
  </si>
  <si>
    <t>Francesca</t>
  </si>
  <si>
    <t>Frederick</t>
  </si>
  <si>
    <t>Gloria</t>
  </si>
  <si>
    <t>Guillermo</t>
  </si>
  <si>
    <t>Hailey</t>
  </si>
  <si>
    <t>Helena</t>
  </si>
  <si>
    <t>Irene</t>
  </si>
  <si>
    <t>Isabel</t>
  </si>
  <si>
    <t>Jacqueline</t>
  </si>
  <si>
    <t>Jade</t>
  </si>
  <si>
    <t>Janet</t>
  </si>
  <si>
    <t>Janice</t>
  </si>
  <si>
    <t>Jean</t>
  </si>
  <si>
    <t>Jillian</t>
  </si>
  <si>
    <t>Joanna</t>
  </si>
  <si>
    <t>Joanne</t>
  </si>
  <si>
    <t>Jocelyn</t>
  </si>
  <si>
    <t>Joyce</t>
  </si>
  <si>
    <t>Judith</t>
  </si>
  <si>
    <t>Julia</t>
  </si>
  <si>
    <t>Karen</t>
  </si>
  <si>
    <t>Karina</t>
  </si>
  <si>
    <t>Karla</t>
  </si>
  <si>
    <t>Kathryn</t>
  </si>
  <si>
    <t>Kristina</t>
  </si>
  <si>
    <t>Lara</t>
  </si>
  <si>
    <t>Laura</t>
  </si>
  <si>
    <t>Laurenzo</t>
  </si>
  <si>
    <t>Leah</t>
  </si>
  <si>
    <t>Leslie</t>
  </si>
  <si>
    <t>Liliana</t>
  </si>
  <si>
    <t>Lorena</t>
  </si>
  <si>
    <t>Lorraine</t>
  </si>
  <si>
    <t>Lucia</t>
  </si>
  <si>
    <t>Luisana</t>
  </si>
  <si>
    <t>Account</t>
  </si>
  <si>
    <t>Username</t>
  </si>
  <si>
    <t>User ID</t>
  </si>
  <si>
    <t>Full Name</t>
  </si>
  <si>
    <t>Follower Count</t>
  </si>
  <si>
    <t>Following Count</t>
  </si>
  <si>
    <t>Media Count</t>
  </si>
  <si>
    <t>Is Verified</t>
  </si>
  <si>
    <t>Is Business</t>
  </si>
  <si>
    <t>Category</t>
  </si>
  <si>
    <t>Biography</t>
  </si>
  <si>
    <t>External URL</t>
  </si>
  <si>
    <t>9to5mac</t>
  </si>
  <si>
    <t>No</t>
  </si>
  <si>
    <t>Yes</t>
  </si>
  <si>
    <t>News &amp; media website</t>
  </si>
  <si>
    <t>We break Apple news on all things iPhone, Mac, iPad, Apple Watch, more 🍎</t>
  </si>
  <si>
    <t>http://9to5mac.com</t>
  </si>
  <si>
    <t>abcnews</t>
  </si>
  <si>
    <t>Media/news company</t>
  </si>
  <si>
    <t>All the news and information you need to see. 
ABC News streaming now on Disney+.</t>
  </si>
  <si>
    <t>https://abcnews.go.com/social/abcnews</t>
  </si>
  <si>
    <t>abcnews4</t>
  </si>
  <si>
    <t>ABC News 4 | WCIV</t>
  </si>
  <si>
    <t>News, weather, sports and events coverage from the Charleston, South Carolina area, shared via photos and videos.</t>
  </si>
  <si>
    <t>http://sprout.link/abcnews4</t>
  </si>
  <si>
    <t>abcnewsal</t>
  </si>
  <si>
    <t>ABC News Albania</t>
  </si>
  <si>
    <t>TV channel</t>
  </si>
  <si>
    <t>📽 Kanali kryesor i lajmeve në Shqipëri
Per lajmet klikoni ne abcnews.al 
Per video dhe programe shkoni ne youtube: www.youtube.com/@abcalbanian</t>
  </si>
  <si>
    <t>https://abcnews.al/</t>
  </si>
  <si>
    <t>abcnews_au</t>
  </si>
  <si>
    <t>News that you actually want to have in your feed 
📰 Read more 
📲 Download our app 
👇🏻 Sign up to our newsletter</t>
  </si>
  <si>
    <t>https://linkvia.bio/abcnews_au</t>
  </si>
  <si>
    <t>abcnewskarnataka</t>
  </si>
  <si>
    <t>Abc news karnataka</t>
  </si>
  <si>
    <t>Reel creator</t>
  </si>
  <si>
    <t>ಕನ್ನಡಿಗನಿಂದ ❤️❤️ ಕನ್ನಡಿಗರಿಗೆ</t>
  </si>
  <si>
    <t>abcnewslive</t>
  </si>
  <si>
    <t>ABC News Live</t>
  </si>
  <si>
    <t>Breaking news, context and analysis from @abcnews</t>
  </si>
  <si>
    <t>https://likeshop.me/abcnewslive</t>
  </si>
  <si>
    <t>abcnewsmedia</t>
  </si>
  <si>
    <t>ABC News 24 x 7</t>
  </si>
  <si>
    <t>TV network</t>
  </si>
  <si>
    <t>भारत का तेज़ी से बढ़ता Viral न्यूज़ अड्डा, क्योंकि ABC News हैं वहाँ Trending  ख़बर हैं जहाँ 🚨
For promotions/ ads contact us on DM 📩</t>
  </si>
  <si>
    <t>http://www.abcnews.media/</t>
  </si>
  <si>
    <t>abcnewspr</t>
  </si>
  <si>
    <t>ABC News PR</t>
  </si>
  <si>
    <t>Sharing the stories and behind-the-scenes content of @abcnews.</t>
  </si>
  <si>
    <t>abcnewsstudios</t>
  </si>
  <si>
    <t>ABC News Studios</t>
  </si>
  <si>
    <t>ABC News Studios produces and commissions best-in-class narrative non-fiction originals that entertain, inform, and inspire. Stream on @hulu.</t>
  </si>
  <si>
    <t>https://likeshop.me/abcnewsstudios</t>
  </si>
  <si>
    <t>adweek</t>
  </si>
  <si>
    <t>ADWEEK</t>
  </si>
  <si>
    <t>Advertising/Marketing</t>
  </si>
  <si>
    <t>All the news, insights and inspiration you need to know in advertising, marketing and media.</t>
  </si>
  <si>
    <t>https://linkin.bio/adweek</t>
  </si>
  <si>
    <t>afarinkidstv</t>
  </si>
  <si>
    <t>Afarin Kids ئافەرینی منداڵان</t>
  </si>
  <si>
    <t>Official account of Afarin Kids TV</t>
  </si>
  <si>
    <t>afarmedia</t>
  </si>
  <si>
    <t>Travel as a force for good, in print and online. Share with us using #afarmag for a chance to be featured.</t>
  </si>
  <si>
    <t>https://smartlink.bio/afarmedia</t>
  </si>
  <si>
    <t>afaroficiall</t>
  </si>
  <si>
    <t>🇨🇴♛ A͓̽F͓̽A͓̽R͓̽ ♛🇨🇴</t>
  </si>
  <si>
    <t>Digital creator</t>
  </si>
  <si>
    <t>📢Bienvenidos💎🔥
✍🏼Frases De Toda Clase📜🗞️
🔔Activa Las Notificaciones Y Disfruta Del Contenido🔥👽🍁🔞</t>
  </si>
  <si>
    <t>afarvintage</t>
  </si>
  <si>
    <t>Afar Vintage</t>
  </si>
  <si>
    <t>Shopping &amp; retail</t>
  </si>
  <si>
    <t>🛍️Curated shop for authentic pre-loved luxury vintage handbags and accessories.
🗾Tokyo, Japan
🚚Free worldwide shipping</t>
  </si>
  <si>
    <t>https://afarvintage.com/en-us</t>
  </si>
  <si>
    <t>letters.from.afar</t>
  </si>
  <si>
    <t>Letters From Afar</t>
  </si>
  <si>
    <t>Education</t>
  </si>
  <si>
    <t>Snail mail adventures! 💌 
Monthly letters sent from an explorer as she travels the globe🌎 Join the journey</t>
  </si>
  <si>
    <t>http://www.lettersafar.com</t>
  </si>
  <si>
    <t>algorithmcleaning</t>
  </si>
  <si>
    <t>Algorithm Cleaner 🫡</t>
  </si>
  <si>
    <t>Certified algorithm cleaner 
Follow me to keep your algorithm clean
Escape from the devil’s tricks</t>
  </si>
  <si>
    <t>https://gofund.me/811a7f58</t>
  </si>
  <si>
    <t>algorithmofwealth</t>
  </si>
  <si>
    <t>Algorithm of Wealth</t>
  </si>
  <si>
    <t>For thinkers who build, and brands that grow — Algorithm of Wealth curates wisdom to create lasting prosperity.
Owner: @sultanshahjahansheikh</t>
  </si>
  <si>
    <t>https://x.com/sheikhindustry?t=A9n81hxteRa4EZfb1URBdw&amp;s=09</t>
  </si>
  <si>
    <t>algorithms_unlocked</t>
  </si>
  <si>
    <t>Shivaay Singh | Cyber Security &amp; Ethical Hacking</t>
  </si>
  <si>
    <t>Get Daily Post's 👇
🤖 • Ethical Hacker | Cyber Security Expert 
🐧• Hacking Update | Hacking Tip &amp; Tricks
📥 • DM for Collab</t>
  </si>
  <si>
    <t>https://yt.openinapp.co/uxkbj</t>
  </si>
  <si>
    <t>algorithmswithpeter</t>
  </si>
  <si>
    <t>Peter Griffin (Coding Expert)</t>
  </si>
  <si>
    <t>Where's my beer, Lois??
📨Business inquiries/Promotion? Hit me up: 
algorithmswithpeter@gmail.com
backup: @randomusefulwebsites
QWQTLP</t>
  </si>
  <si>
    <t>https://workwith.headai.io/3HMA4GW</t>
  </si>
  <si>
    <t>fuckyralgorithm</t>
  </si>
  <si>
    <t>Fuck Yr Algorithm</t>
  </si>
  <si>
    <t>Mick + Long Beach, CA
⚡️
The summer 2025 edition of FUCK YR. ALGORITHM (FYA 011) will be available in August.</t>
  </si>
  <si>
    <t>https://linktr.ee/fuckyralgorithm</t>
  </si>
  <si>
    <t>lawsonvladimirr</t>
  </si>
  <si>
    <t>Algorithm 💿💿</t>
  </si>
  <si>
    <t>Artist</t>
  </si>
  <si>
    <t>MGMT @hafree__</t>
  </si>
  <si>
    <t>https://music.apple.com/us/artist/lawson-vladimir/1550629574</t>
  </si>
  <si>
    <t>aljazeera</t>
  </si>
  <si>
    <t>الجزيرة</t>
  </si>
  <si>
    <t>تابعوا البث الحي لقناة الجزيرة.. اضغط على الرابط👇</t>
  </si>
  <si>
    <t>https://www.youtube.com/c/aljazeera/live</t>
  </si>
  <si>
    <t>aljazeerachinese</t>
  </si>
  <si>
    <t>Al Jazeera Chinese</t>
  </si>
  <si>
    <t>Product/service</t>
  </si>
  <si>
    <t>(our mission is to ensure nobody can say: I didn't know !) 半岛电视台推出中文网站，旨在让中国人关注阿拉伯世界，其目标不在盈利或卷入与其他本土、国际网站的竞争之中，半岛电视台将强调其媒体使命，坚持原则，坚持其在新闻报道中的专业性。</t>
  </si>
  <si>
    <t>http://chinese.aljazeera.net/</t>
  </si>
  <si>
    <t>aljazeeraenglish</t>
  </si>
  <si>
    <t>Al Jazeera English</t>
  </si>
  <si>
    <t>Your Voice. Your Story. Your Platform.</t>
  </si>
  <si>
    <t>https://linkin.bio/aljazeeraenglish</t>
  </si>
  <si>
    <t>_aljazeeraworld</t>
  </si>
  <si>
    <t>Al Jazeera World</t>
  </si>
  <si>
    <t>A showcase of documentary films from across Al Jazeera
👇 🎬 Watch the latest AJW documentary</t>
  </si>
  <si>
    <t>http://linktr.ee/aljazeeraworld/</t>
  </si>
  <si>
    <t>jazeeratelecom</t>
  </si>
  <si>
    <t>Al-Jazeera Telecom - الجزيرة للاتصالات</t>
  </si>
  <si>
    <t>الصفحة الرسمية لشركة الجزيرة للاتصالات والانترنت</t>
  </si>
  <si>
    <t>http://www.jt.iq/</t>
  </si>
  <si>
    <t>allure</t>
  </si>
  <si>
    <t>Allure Magazine</t>
  </si>
  <si>
    <t>The Beauty Expert 💄
Get our favorite products delivered monthly: @allurebeautybox</t>
  </si>
  <si>
    <t>https://likeshop.me/allure</t>
  </si>
  <si>
    <t>allure.and.more</t>
  </si>
  <si>
    <t>ALLURE</t>
  </si>
  <si>
    <t>Women's clothing store</t>
  </si>
  <si>
    <t>ارتدي قطع مُميزة لا تنسى •
• Online shop
• Limited pieces 
• Based in Baghdad
يوجد توصيل الى جميع انحاء العراق •</t>
  </si>
  <si>
    <t>allurebarhtx</t>
  </si>
  <si>
    <t>North Houston Lounge | Happy Hour | Sunday Brunch</t>
  </si>
  <si>
    <t>Restaurant</t>
  </si>
  <si>
    <t>•Neighborhood Luxury Redefined
▫️Th:Steak &amp; Karaoke 4-12a
▫️F:Ladies &amp; Lemon Drops 4-2a
▫️S:Select Sat 4-2a | Sun Brunch 12-12a 
⬇️RSVP &amp; Sections⬇️</t>
  </si>
  <si>
    <t>https://allurehtx.com/</t>
  </si>
  <si>
    <t>allure.by.ana</t>
  </si>
  <si>
    <t>Adriana Snyder</t>
  </si>
  <si>
    <t>Just for fun</t>
  </si>
  <si>
    <t>💯 Y O U  A G A I N S T  Y O U
☀️ Happiest Outside 
👩🏻‍💼 @allure.the.brand
👙 @alluring_swim 
🐶 @allure.pups 
⤵️ LINKS</t>
  </si>
  <si>
    <t>https://hoo.be/allure.by.ana</t>
  </si>
  <si>
    <t>allurecounty</t>
  </si>
  <si>
    <t>ALLURE COUNTY</t>
  </si>
  <si>
    <t>Email: info@allurecounty.com</t>
  </si>
  <si>
    <t>http://allurecounty.com</t>
  </si>
  <si>
    <t>allureland33</t>
  </si>
  <si>
    <t>Allure Land</t>
  </si>
  <si>
    <t>💌DM for (Collabs/PR/Invite)
Drink for cystic acne 👇🏼</t>
  </si>
  <si>
    <t>https://amzn.to/4nNwv3C</t>
  </si>
  <si>
    <t>allure.the.brand</t>
  </si>
  <si>
    <t>ALLURE THE BRAND</t>
  </si>
  <si>
    <t>🌎 WORLDWIDE SHIPPING 🌍 
Questions ? 📧Support@allurethebrand.com
🫵 YOU AGAINST YOU 🫵
📸 Tag us for a chance to be featured
 ORDER NOW ⤵️</t>
  </si>
  <si>
    <t>https://linktr.ee/allurethebrand</t>
  </si>
  <si>
    <t>tdi.allure</t>
  </si>
  <si>
    <t>Total Drama Island Allure</t>
  </si>
  <si>
    <t>🔥 Exploding with Total Drama Island’s goddesses! 
💋 Heather, Gwen, Courtney &amp; more in ultra-steamy moments! 🔥
📌 Check exclusive content at 👇</t>
  </si>
  <si>
    <t>http://patreon.com/tdi_allure</t>
  </si>
  <si>
    <t>alternative_news_media</t>
  </si>
  <si>
    <t>Alternative News Media</t>
  </si>
  <si>
    <t>Can you handle the truth?
Take a look behind the curtain
Real information for free thinkers🙇🙇‍♀️
Truth seeking🔎
Suppressed articles
Suppressed videos</t>
  </si>
  <si>
    <t>http://illegalaliencrimereport.com/</t>
  </si>
  <si>
    <t>analyst_jojoo</t>
  </si>
  <si>
    <t>Analyst Jojo</t>
  </si>
  <si>
    <t>أشهد إن عليا ولي الله 
موظف حكومي لدى وزارة الصحه العراقيه 🌹 محلله مختبرية 
B.D1/7عزباء</t>
  </si>
  <si>
    <t>analystnews_</t>
  </si>
  <si>
    <t>Analyst News</t>
  </si>
  <si>
    <t>Global reporting with one goal: absolute justice. Get our newsletter: AnalystNews.org/subscribe</t>
  </si>
  <si>
    <t>http://linkin.bio/analystnews</t>
  </si>
  <si>
    <t>analystshivam</t>
  </si>
  <si>
    <t>Shivam Giri</t>
  </si>
  <si>
    <t>📱 Gadget Reviews | Tech Reels
⚙️ Smart Tech Tips &amp; Tricks
🎁 Collabs : dm.shivamgiri@gmail.com
📌 Founder of @thecyberyodha</t>
  </si>
  <si>
    <t>https://yt.openinapp.co/1i0ev</t>
  </si>
  <si>
    <t>fantasy.football.analyst</t>
  </si>
  <si>
    <t>Fantasy Analyst</t>
  </si>
  <si>
    <t>Sports league</t>
  </si>
  <si>
    <t>Ran by Joe &amp; Luke 👥
🏆 Helping You Win Leagues Since 2017
🔥 Currently Playing in 16 Leagues
🏈 Expert Ranker @fantasypros 
🚫 No Intention on Copyright</t>
  </si>
  <si>
    <t>https://linktr.ee/theffanalyst</t>
  </si>
  <si>
    <t>inspiredanalyst</t>
  </si>
  <si>
    <t>Adnan Hashmi</t>
  </si>
  <si>
    <t>Finance</t>
  </si>
  <si>
    <t>Biz Inquiries 👉 adnan@inspired-analyst.com 
💪 I believe in Multiple Side hustles
🗒️ Disclaimer:Educational only, No Financial Advice</t>
  </si>
  <si>
    <t>https://fellou.ai/download</t>
  </si>
  <si>
    <t>thefhockeyanalyst</t>
  </si>
  <si>
    <t>The Field Hockey Analyst</t>
  </si>
  <si>
    <t>All things hockey in the USA!
For inquiries: info@thefhockeyanalyst.com</t>
  </si>
  <si>
    <t>https://linktr.ee/thefhanalyst</t>
  </si>
  <si>
    <t>the.football_analyst</t>
  </si>
  <si>
    <t>The Football Analyst</t>
  </si>
  <si>
    <t>Recreation &amp; sports website</t>
  </si>
  <si>
    <t>⚽️ Football analysis &amp; coaching
📞 the.fa@the-footballanalyst.com
🔗 1mo free + 10% off Once Sport – code TFA10
📲 Visit our website for more content👇</t>
  </si>
  <si>
    <t>https://the-footballanalyst.com</t>
  </si>
  <si>
    <t>uschooler</t>
  </si>
  <si>
    <t>Haseeb Ibrahim | Screen Time Management | Kids TV Analyst</t>
  </si>
  <si>
    <t>Father of 3 helping families prevent overstimulation and strengthen attachments through smarter screen time habits.
⬇️The stimulation index ⬇️</t>
  </si>
  <si>
    <t>http://tvtantrum.com</t>
  </si>
  <si>
    <t>vrednayamoda</t>
  </si>
  <si>
    <t>Viktoriia Biserova • stylist • fashion analyst</t>
  </si>
  <si>
    <t>⁣⁣📍Москва ⁣⁣⠀
Узнаю про модные тренды раньше всех и делюсь с вами. А еще веду самый популярный tg-канал про моду.
Ссылка ⬇️</t>
  </si>
  <si>
    <t>https://t.me/vrednayamoda</t>
  </si>
  <si>
    <t>xflanalyst</t>
  </si>
  <si>
    <t>Michael Del Negro - UFL Analyst</t>
  </si>
  <si>
    <t>🔥| The Best Source for UFL News 🏈
👨‍💻| Ran by @m_delnegro12
⏰| EST 9/20/18
‼️| Not Affiliated @ufl</t>
  </si>
  <si>
    <t>http://sites.google.com/view/xflanalyst</t>
  </si>
  <si>
    <t>airandanchor</t>
  </si>
  <si>
    <t>Air &amp; Anchor | Jewelry + Goods</t>
  </si>
  <si>
    <t>Made by us, designed by you. 
—
Cranston, RI: factory + shop
Melbourne, FL: OPEN 🌊🌴
Family owned + American Made</t>
  </si>
  <si>
    <t>http://linktr.ee/AirandAnchor</t>
  </si>
  <si>
    <t>anchorandveil</t>
  </si>
  <si>
    <t>Anchor &amp; Veil Photography</t>
  </si>
  <si>
    <t>Wedding photos and films you can feel
📍Teams in Charlotte &amp; Charleston
🎀 Ladies only 👉 @unveiled_boudoir
⬇️ Booking + all info</t>
  </si>
  <si>
    <t>http://links.anchorandveilphotography.com/</t>
  </si>
  <si>
    <t>anchorball</t>
  </si>
  <si>
    <t>Ken Kelleher</t>
  </si>
  <si>
    <t>Play loud. Dream big. 
Monumental Sculptor / Artist / Kenkelleher.com
Links below ↓ and Anchorball.shop
All rights reserved.  © Ken Kelleher</t>
  </si>
  <si>
    <t>https://linktr.ee/anchorball</t>
  </si>
  <si>
    <t>anchorcrafting</t>
  </si>
  <si>
    <t>Anchor Crafts</t>
  </si>
  <si>
    <t>Arts &amp; entertainment</t>
  </si>
  <si>
    <t>🇪🇺 Anchor Europe 🇪🇺 Premium quality, fashion-driven crafts brand that inspires people. #anchorthreads #anchorcrafting #anchorembroidery</t>
  </si>
  <si>
    <t>https://linkin.bio/ig-anchorcrafting</t>
  </si>
  <si>
    <t>anchorjasnoordhawan</t>
  </si>
  <si>
    <t>Anchor Jasnoor Dhawan</t>
  </si>
  <si>
    <t>Artist । Emcee | Events , Social Media &amp; PR 
Making your special occasions even more better 💕</t>
  </si>
  <si>
    <t>https://youtu.be/AOVpZdZkAco</t>
  </si>
  <si>
    <t>anchor_shravan_kumar</t>
  </si>
  <si>
    <t>Shravan Gupta</t>
  </si>
  <si>
    <t>Actor ! Anchor &amp; Entertainer 🎤
Event:- @sk_events_entertainment 
Fitness model :- @shravan_kumars_fitness</t>
  </si>
  <si>
    <t>https://youtube.com/@anchorshravankumar</t>
  </si>
  <si>
    <t>theanchorofficial</t>
  </si>
  <si>
    <t>| The Anchor |</t>
  </si>
  <si>
    <t>Musician/band</t>
  </si>
  <si>
    <t>🏔️ Denver, CO Metalcore with some pep!
🎤 @linzey_rae  🎸@sham.actual 
🥁 @adamjohnsondrums 🎸@theanchorryan
⏬Click below for more⏬</t>
  </si>
  <si>
    <t>https://linktr.ee/theanchorband</t>
  </si>
  <si>
    <t>androidauthority</t>
  </si>
  <si>
    <t>The official account of AndroidAuthority.com 📱 -  #android #technology #technews #smartphone #google #smarthome #fitbit #tech #gadgets #iphones</t>
  </si>
  <si>
    <t>https://www.androidauthority.com</t>
  </si>
  <si>
    <t>ad_germany</t>
  </si>
  <si>
    <t>Architectural Digest Germany</t>
  </si>
  <si>
    <t>The International Design Authority
@cn.impressum.datenschutz</t>
  </si>
  <si>
    <t>http://likeshop.me/ad_germany</t>
  </si>
  <si>
    <t>ad_magazine</t>
  </si>
  <si>
    <t>Architectural Digest France</t>
  </si>
  <si>
    <t>Les plus belles maisons du monde. 
Join our community for design inspiration, interiors, art and architecture.</t>
  </si>
  <si>
    <t>https://likeshop.me/ad_magazine</t>
  </si>
  <si>
    <t>admexico</t>
  </si>
  <si>
    <t>Architectural Digest México</t>
  </si>
  <si>
    <t>La autoridad en diseño, interiorismo y arquitectura en México, Latinoamérica y el mundo.</t>
  </si>
  <si>
    <t>https://likeshop.me/admexico</t>
  </si>
  <si>
    <t>adrussia</t>
  </si>
  <si>
    <t>Architectural Digest Russia</t>
  </si>
  <si>
    <t>❤️</t>
  </si>
  <si>
    <t>https://www.admagazine.ru/</t>
  </si>
  <si>
    <t>ad_spain</t>
  </si>
  <si>
    <t>Architectural Digest España</t>
  </si>
  <si>
    <t>Las mejores casas del mundo. 
Únete a nuestra comunidad en España para encontrar inspiración sobre Interiorismo, Diseño y Arquitectura.</t>
  </si>
  <si>
    <t>https://likeshop.me/ad_spain</t>
  </si>
  <si>
    <t>archdigest</t>
  </si>
  <si>
    <t>The International Design Authority.
Tap the link below to read more about any photo.</t>
  </si>
  <si>
    <t>https://likeshop.me/archdigest</t>
  </si>
  <si>
    <t>archdigestindia</t>
  </si>
  <si>
    <t>Architectural Digest India</t>
  </si>
  <si>
    <t>The International Design Authority. Join our community in India for design inspiration, interiors, art, and architecture.</t>
  </si>
  <si>
    <t>https://likeshop.me/archdigestindia</t>
  </si>
  <si>
    <t>arstechnica</t>
  </si>
  <si>
    <t>Original news, reviews, and analysis on the most fundamental aspects of tech.</t>
  </si>
  <si>
    <t>https://likeshop.me/arstechnica</t>
  </si>
  <si>
    <t>article</t>
  </si>
  <si>
    <t>Home decor</t>
  </si>
  <si>
    <t>Delightful design for every home.
Tag #OurArticle to be featured.
↓ Shop the feed ↓</t>
  </si>
  <si>
    <t>https://likeshop.me/article</t>
  </si>
  <si>
    <t>article_blazers</t>
  </si>
  <si>
    <t>ARTICLE</t>
  </si>
  <si>
    <t>Clothing (Brand)</t>
  </si>
  <si>
    <t>Blazer is all you need 
Kyiv shop| Monday to Sunday| 11:00-19:00
Tel.: +38 (068) 470 96 33
Worldwide shipping</t>
  </si>
  <si>
    <t>http://www.article-blazers.com</t>
  </si>
  <si>
    <t>articlejuthur</t>
  </si>
  <si>
    <t>Dasy, don't follow 🥹💙</t>
  </si>
  <si>
    <t>Fan page</t>
  </si>
  <si>
    <t>• JP/PB 📍
sempre será eu &amp; vocês “ ❤️‍🩹
• fanpage for, ( Juthur ) 🔐.
─ showing my love 🫶🏼
@arthur1_ofc &amp; @julinha2_ofc</t>
  </si>
  <si>
    <t>article_london</t>
  </si>
  <si>
    <t>Article.</t>
  </si>
  <si>
    <t>Premium Menswear / Lifestyle / Homeware / Cycling
📍Bricks &amp; Mortar — Islington</t>
  </si>
  <si>
    <t>https://www.article-london.com/collections/latest</t>
  </si>
  <si>
    <t>articlesofstyle</t>
  </si>
  <si>
    <t>Articles of Style</t>
  </si>
  <si>
    <t>Teaching men how to give - and earn - respect, starting with their wardrobes.
For the best tips download my book👇</t>
  </si>
  <si>
    <t>https://articlesofstyle.com/products/how-to-buy-menswear-e-book-by-dan-trepanier</t>
  </si>
  <si>
    <t>apnews</t>
  </si>
  <si>
    <t>The Associated Press (AP)</t>
  </si>
  <si>
    <t>Advancing the power of facts, globally 🌎</t>
  </si>
  <si>
    <t>https://smartlink.bio/apnews</t>
  </si>
  <si>
    <t>apstylebook</t>
  </si>
  <si>
    <t>The Associated Press Stylebook</t>
  </si>
  <si>
    <t>The spiral-bound AP Stylebook, 57th Edition, is available now.
If you want immediate access to our newest guidance, subscribe to Stylebook Online.</t>
  </si>
  <si>
    <t>https://linktr.ee/APStylebook</t>
  </si>
  <si>
    <t>audience615</t>
  </si>
  <si>
    <t>Audience615</t>
  </si>
  <si>
    <t>The Audience Production Company for the Hottest Events Around Nashville 
Grab Your Seat @ AUD615.com</t>
  </si>
  <si>
    <t>https://linktr.ee/Audience615</t>
  </si>
  <si>
    <t>audiencehifi</t>
  </si>
  <si>
    <t>Audience HiFi Bath</t>
  </si>
  <si>
    <t>Music on the eyes'
Find us in Bath, Somerset.</t>
  </si>
  <si>
    <t>https://audience.org.uk/</t>
  </si>
  <si>
    <t>audiencetix</t>
  </si>
  <si>
    <t>Karamo Audience</t>
  </si>
  <si>
    <t>TV show</t>
  </si>
  <si>
    <t>@karamoshow tapes Thursdays &amp; Fridays in Stamford, CT (45 mins from NYC) Click on the link for FREE tickets to hang with @karamo</t>
  </si>
  <si>
    <t>http://karamoshow.com/tickets</t>
  </si>
  <si>
    <t>axios</t>
  </si>
  <si>
    <t>🗞 Getting you smarter, faster with news &amp; information that matters.</t>
  </si>
  <si>
    <t>http://linkin.bio/axios</t>
  </si>
  <si>
    <t>axioscharlotte</t>
  </si>
  <si>
    <t>Axios Charlotte</t>
  </si>
  <si>
    <t>🏙️ Your go-to source for Charlotte’s latest news, things to do and new business openings.
📧 CONTACT US: charlotte@axios.com</t>
  </si>
  <si>
    <t>https://linkin.bio/axioscharlotte</t>
  </si>
  <si>
    <t>axiosraleigh</t>
  </si>
  <si>
    <t>Axios Raleigh</t>
  </si>
  <si>
    <t>🌆 The latest news, restaurants and developments in The Triangle area.
📧 Story ideas: raleigh@axios.com</t>
  </si>
  <si>
    <t>https://linkin.bio/axiosraleigh</t>
  </si>
  <si>
    <t>axiostwincities</t>
  </si>
  <si>
    <t>Axios Twin Cities</t>
  </si>
  <si>
    <t>Getting you smarter, faster on all things Twin Cities. 
Tips/news? twincities@axios.com
📬 Sign up for our free daily newsletter:</t>
  </si>
  <si>
    <t>https://linkin.bio/axiostwincities</t>
  </si>
  <si>
    <t>barrons</t>
  </si>
  <si>
    <t>The world’s premier investing publication.</t>
  </si>
  <si>
    <t>https://linkin.bio/barrons</t>
  </si>
  <si>
    <t>barronscbd</t>
  </si>
  <si>
    <t>Barron’s CBD</t>
  </si>
  <si>
    <t>By @hannahbarron96 and @jeffbarron70</t>
  </si>
  <si>
    <t>http://barronscbd.com</t>
  </si>
  <si>
    <t>barronsuitcase</t>
  </si>
  <si>
    <t>Barron’s Suitcase</t>
  </si>
  <si>
    <t>America 1st 🇺🇸
#1 Conservative page on Instagram!!! 🏆
- DM for credit or removals 
- Fan account</t>
  </si>
  <si>
    <t>https://endthewokeness.com/?ref=barron</t>
  </si>
  <si>
    <t>_.barrontrump._</t>
  </si>
  <si>
    <t>Barron’s Fan 💖</t>
  </si>
  <si>
    <t>Click the link below ⬇️</t>
  </si>
  <si>
    <t>https://tinyurl.com/Young-Einstein-Reveal-Secret</t>
  </si>
  <si>
    <t>bbc</t>
  </si>
  <si>
    <t>The BBC is the world’s leading public service broadcaster</t>
  </si>
  <si>
    <t>https://bbc.in/m/BBC</t>
  </si>
  <si>
    <t>bbc6music</t>
  </si>
  <si>
    <t>BBC Radio 6 Music</t>
  </si>
  <si>
    <t>Radio station</t>
  </si>
  <si>
    <t>💚 Music beyond the mainstream.
▶️ Listen live and rewind 30 days on @bbcsounds.
💬 Ask your smartspeaker to "Play 6 Music"</t>
  </si>
  <si>
    <t>https://empli.fi/bbc6music/</t>
  </si>
  <si>
    <t>bbcarabic</t>
  </si>
  <si>
    <t>BBC News عربي</t>
  </si>
  <si>
    <t>الحساب الرسمي لبي بي سي عربي - المزيد من بي بي سي عربي</t>
  </si>
  <si>
    <t>https://www.bbc.com/arabic</t>
  </si>
  <si>
    <t>bbcbrasil</t>
  </si>
  <si>
    <t>BBC News | Brasil</t>
  </si>
  <si>
    <t>Aqui você encontra fotos e vídeos da equipe da #BBCBrasil e as suas contribuições.
👇LINK PARA REPORTAGENS👇</t>
  </si>
  <si>
    <t>https://linkin.bio/bbcbrasil</t>
  </si>
  <si>
    <t>bbc_culture</t>
  </si>
  <si>
    <t>BBC Culture</t>
  </si>
  <si>
    <t>A global view of film, fashion, art, music and literature from the BBC.</t>
  </si>
  <si>
    <t>https://linkmy.photos/bbc_culture</t>
  </si>
  <si>
    <t>bbcearth</t>
  </si>
  <si>
    <t>BBC Earth</t>
  </si>
  <si>
    <t>A window to our world 🌎
This is a commercial channel from BBC Studios.</t>
  </si>
  <si>
    <t>https://www.bbcearth.com/instagram</t>
  </si>
  <si>
    <t>bbcfood</t>
  </si>
  <si>
    <t>BBC Food</t>
  </si>
  <si>
    <t>Recipes &amp; inspiration from your favourite BBC chefs &amp; programmes.  Find recipes via link in bio and tapping relevant photo! ⬇️</t>
  </si>
  <si>
    <t>https://piano.trib.al/bbcfood</t>
  </si>
  <si>
    <t>bbcmundo</t>
  </si>
  <si>
    <t>BBC News Mundo</t>
  </si>
  <si>
    <t>Aquí puedes leer nuestras historias👇</t>
  </si>
  <si>
    <t>https://bbc.in/3hSv7d9</t>
  </si>
  <si>
    <t>bbcnews</t>
  </si>
  <si>
    <t>BBC News</t>
  </si>
  <si>
    <t>For the stories that matter to you - 
tap this link 👇</t>
  </si>
  <si>
    <t>https://bbc.in/news</t>
  </si>
  <si>
    <t>bbcnewspidgin</t>
  </si>
  <si>
    <t>BBC News Pidgin</t>
  </si>
  <si>
    <t>Dis na di official page of BBC News Pidgin</t>
  </si>
  <si>
    <t>https://empli.fi/bbcnewspidgin/</t>
  </si>
  <si>
    <t>bbcpersian</t>
  </si>
  <si>
    <t>BBC NEWS فارسی</t>
  </si>
  <si>
    <t>پیامگیر واتس‌اپ و آی‌مسج: 447342032113+
تلگرام: t.me/bbcshoma
کانال واتس‌اپ: https://bbc.in/3YdoPMN</t>
  </si>
  <si>
    <t>https://bbc.in/3PkPm68</t>
  </si>
  <si>
    <t>bbcradio1</t>
  </si>
  <si>
    <t>BBC Radio 1</t>
  </si>
  <si>
    <t>your fave bri’ish radio station 🫶 listen on @bbcsounds</t>
  </si>
  <si>
    <t>https://empli.fi/bbcradio1/</t>
  </si>
  <si>
    <t>bbcradio4</t>
  </si>
  <si>
    <t>BBC Radio 4</t>
  </si>
  <si>
    <t>Your audio friend. The best podcasts, radio and more from BBC Radio 4. 
The more you listen, the more you see. 
(DMs not monitored)</t>
  </si>
  <si>
    <t>http://bbc.co.uk/radio4</t>
  </si>
  <si>
    <t>bbcrussian</t>
  </si>
  <si>
    <t>BBC News l Русская служба</t>
  </si>
  <si>
    <t>Истории, которые важно рассказать ↴</t>
  </si>
  <si>
    <t>http://linkin.bio/bbcrussian/</t>
  </si>
  <si>
    <t>bbcsport</t>
  </si>
  <si>
    <t>BBC SPORT</t>
  </si>
  <si>
    <t>Broadcasting &amp; media production company</t>
  </si>
  <si>
    <t>The home of BBC Sport on Instagram. #BBCSport 
Football = @BBCFootball (UK)
Cricket = @BBCCricket</t>
  </si>
  <si>
    <t>http://bbc.in/whatsappsport</t>
  </si>
  <si>
    <t>bbcvl</t>
  </si>
  <si>
    <t>Bérénice 🌞</t>
  </si>
  <si>
    <t>biarritz et paris 🧚🏻
fashion, travel and lifestyle 
bbcvl.pro@gmail.com
shop mes outfits :</t>
  </si>
  <si>
    <t>https://www.shopltk.com/explore/bbcvl</t>
  </si>
  <si>
    <t>bbcwest</t>
  </si>
  <si>
    <t>BBC Bristol</t>
  </si>
  <si>
    <t>Celebrating people and stories from the amazing place we call home.
🔗 For more Bristol news
🎧 Listen to Radio Bristol on @bbcsounds
📸 Tag #BBCBristol</t>
  </si>
  <si>
    <t>https://bbc.in/bristol</t>
  </si>
  <si>
    <t>betterhomesandgardens</t>
  </si>
  <si>
    <t>Powering your passion to live a better, more beautiful, and colorful life.🏡🌸🍰
Link in bio 👇</t>
  </si>
  <si>
    <t>https://likeshop.me/betterhomesandgardens</t>
  </si>
  <si>
    <t>billboard</t>
  </si>
  <si>
    <t>@billboardcharts @billboardlatin @billboardhiphop @billboardcountry @billboarddance @shopbillboard @billboardfamily 
link👇</t>
  </si>
  <si>
    <t>http://linkin.bio/billboard</t>
  </si>
  <si>
    <t>billboardar</t>
  </si>
  <si>
    <t>Billboard AR</t>
  </si>
  <si>
    <t>Lo mejor de la música 🎶  
@billboard.colombia @billboard.bo @billboard @billboardlatin
🏟️ Estadio de la Costa
👇Entradas a la venta👇</t>
  </si>
  <si>
    <t>https://tr.ee/billboard</t>
  </si>
  <si>
    <t>billboardbr</t>
  </si>
  <si>
    <t>Billboard Brasil</t>
  </si>
  <si>
    <t>A Billboard Brasil é a maior plataforma de música do país. Notícias quentes, entrevistas exclusivas e tudo o que tá bombando no mundo da música.</t>
  </si>
  <si>
    <t>https://linkin.bio/billboardbr/</t>
  </si>
  <si>
    <t>billboardca</t>
  </si>
  <si>
    <t>Billboard Canada</t>
  </si>
  <si>
    <t>music • charts • news
musique • classements • actualités</t>
  </si>
  <si>
    <t>http://ca.billboard.com</t>
  </si>
  <si>
    <t>billboardcharts</t>
  </si>
  <si>
    <t>Billboard Charts</t>
  </si>
  <si>
    <t>Music Chart</t>
  </si>
  <si>
    <t>@billboard 📈 #Hot100 #Billboard200 &amp; more.
Link in bio ⬇️</t>
  </si>
  <si>
    <t>https://linkin.bio/billboardcharts</t>
  </si>
  <si>
    <t>billboard.colombia</t>
  </si>
  <si>
    <t>Billboard Colombia</t>
  </si>
  <si>
    <t>Conectados por la música🎶
@billboard @billboardlatin @billboardar</t>
  </si>
  <si>
    <t>http://billboard.com.co</t>
  </si>
  <si>
    <t>billboarddance</t>
  </si>
  <si>
    <t>Billboard Dance</t>
  </si>
  <si>
    <t>@billboard's dance/electronic music channel
news👇</t>
  </si>
  <si>
    <t>http://linkin.bio/billboarddance</t>
  </si>
  <si>
    <t>billboardfr</t>
  </si>
  <si>
    <t>Billboard France</t>
  </si>
  <si>
    <t>Édition française du premier média musical au monde. Business : @billboardfrpro</t>
  </si>
  <si>
    <t>http://fr.billboard.com</t>
  </si>
  <si>
    <t>billboardhiphop</t>
  </si>
  <si>
    <t>Billboard Hip-Hop/R&amp;B</t>
  </si>
  <si>
    <t>@billboard's Hip-Hop/R&amp;B Channel
 Latest News 📰⬇️</t>
  </si>
  <si>
    <t>http://linkin.bio/billboardhiphop</t>
  </si>
  <si>
    <t>billboard_korea</t>
  </si>
  <si>
    <t>Billboard Korea</t>
  </si>
  <si>
    <t>빌보드코리아</t>
  </si>
  <si>
    <t>https://youtu.be/l_ieYvpdMuU?si=D_G1jCcx8t8QY2wn</t>
  </si>
  <si>
    <t>billboardlatin</t>
  </si>
  <si>
    <t>Billboard Latin</t>
  </si>
  <si>
    <t>Este año #BillboardLatinWeek regresa a Miami del 20 al 24 de octubre. 🌴😎 ¡Compra tus boletos en el enlace de la bio!</t>
  </si>
  <si>
    <t>https://linkin.bio/billboardlatin</t>
  </si>
  <si>
    <t>billboardphofficial</t>
  </si>
  <si>
    <t>Billboard PH</t>
  </si>
  <si>
    <t>Your exclusive access to the latest and freshest in music! We bring you the hottest local and global music charts, videos, news, and insights.</t>
  </si>
  <si>
    <t>http://billboardphilippines.com</t>
  </si>
  <si>
    <t>billboardsong</t>
  </si>
  <si>
    <t>송창하</t>
  </si>
  <si>
    <t>Model</t>
  </si>
  <si>
    <t>Contact D͎M͎ / billboardsong@naver.com</t>
  </si>
  <si>
    <t>bleacherreport</t>
  </si>
  <si>
    <t>NFL POWER RANKINGS ARE HERE 🚨⬇️</t>
  </si>
  <si>
    <t>https://bitly.cx/bJsq</t>
  </si>
  <si>
    <t>brfootball</t>
  </si>
  <si>
    <t>Bleacher Report Football</t>
  </si>
  <si>
    <t>Ranking Every PL Striker Transfer ⬇️</t>
  </si>
  <si>
    <t>http://bit.ly/3UWyHbS</t>
  </si>
  <si>
    <t>br_hoops</t>
  </si>
  <si>
    <t>Bleacher Report Hoops</t>
  </si>
  <si>
    <t>2026 NBA Mock Draft
⬇️⬇️</t>
  </si>
  <si>
    <t>https://bleacherreport.com/articles/25240335-2026-nba-mock-draft-college-basketball-returns</t>
  </si>
  <si>
    <t>brkicks</t>
  </si>
  <si>
    <t>Bleacher Report Kicks</t>
  </si>
  <si>
    <t>Watch unboxing interviews by Steph Curry, Paige Bueckers, De’Aaron Fox, A’ja Wilson and others 👇</t>
  </si>
  <si>
    <t>https://youtu.be/od1PMZJ8bRk?si=mTalljGsubRREgtn</t>
  </si>
  <si>
    <t>gridiron_heights</t>
  </si>
  <si>
    <t>BleacherReport</t>
  </si>
  <si>
    <t>The number one place to exclusively view gridiron heights videos
@bleacherreport</t>
  </si>
  <si>
    <t>bilboabokados</t>
  </si>
  <si>
    <t>Bilbao Abokados • Blog gastronómico</t>
  </si>
  <si>
    <t>Recomendaciones y rutas gastronómicas
⛰️ Planes y mucha comida
📍 Bilbao, Bizkaia y alrededores
🥑¡CÓMETE LA VIDA ABOKADOS!🥑
💁‍♀️ @itxaasito_</t>
  </si>
  <si>
    <t>blogcotia</t>
  </si>
  <si>
    <t>Blog Cotia e Região</t>
  </si>
  <si>
    <t>🟢| O MAIOR BLOG DA CIDADE DE COTIA🥇
📢| Aqui não é só notícia, é a nossa voz.
📲| NOVO INSTA ⬇️ 👇 SIGAM
@raposotavaresdocaos</t>
  </si>
  <si>
    <t>blogicomics</t>
  </si>
  <si>
    <t>Comic for the girl who loves working out as much as she loves eating. 
Created by @blogilates 
Drawn by @danielkordek
Check out Tik Tok 🎵</t>
  </si>
  <si>
    <t>https://www.tiktok.com/t/ZTRNvQuW1/</t>
  </si>
  <si>
    <t>blogilates</t>
  </si>
  <si>
    <t>Cassey Ho</t>
  </si>
  <si>
    <t>Founder/CEO, Head Designer and Inventor.  
My brands: @popflex_active, and Blogilates exclusively at Target 🎯</t>
  </si>
  <si>
    <t>https://www.popflexactive.com/products/pirouette-skort-with-pockets-digital-lavender</t>
  </si>
  <si>
    <t>blogueirinha</t>
  </si>
  <si>
    <t>Blogueirinha</t>
  </si>
  <si>
    <t>📺 Apresentadora</t>
  </si>
  <si>
    <t>https://youtube.com/@blogueirinha</t>
  </si>
  <si>
    <t>blogyazid</t>
  </si>
  <si>
    <t>Yazid Rizki Ramadhan</t>
  </si>
  <si>
    <t>Personal blog</t>
  </si>
  <si>
    <t>Diy decor | Makeover 🏡🐈
25 🙋🏻‍♂️🇮🇩
For Bussines Inquiries : 085158416556 Ema
Detail barang 👇🏼</t>
  </si>
  <si>
    <t>https://msha.ke/yazidrizkiramadhan</t>
  </si>
  <si>
    <t>iqblog</t>
  </si>
  <si>
    <t>IQ - Интеллектуальный Журнал</t>
  </si>
  <si>
    <t>💭Расширяем сознание!💭
💡Для тех, кто хочет развиваться📚
⬇️Мужской журнал⬇️</t>
  </si>
  <si>
    <t>http://instagram.com/menslux_journal</t>
  </si>
  <si>
    <t>probandobilbao</t>
  </si>
  <si>
    <t>Probandobilbao • Blog Gastronómico</t>
  </si>
  <si>
    <t>🌍Gastronomía y ocio
📱TikTok : probandobilbao
CDGO MATCHAFLIX : PROBANDOBILBAO
⬇️Colaboraciones MD
✉️ probandobilbao@gmail.com</t>
  </si>
  <si>
    <t>https://linktr.ee/Probandobilbao</t>
  </si>
  <si>
    <t>qristin__blog__yerevan</t>
  </si>
  <si>
    <t>Kristine Margaryan</t>
  </si>
  <si>
    <t>Bloger 🇦🇲 
Momedy Show 🤣
PrankQueen &amp; Mom 👩 
📍 Yerevan Armenia 🇦🇲</t>
  </si>
  <si>
    <t>https://youtube.com/@mama_blog1966?si=-h-QPdg56JJL5QIu</t>
  </si>
  <si>
    <t>raghad.adra.blog</t>
  </si>
  <si>
    <t>⚜️ Dr.Raghad Adra ⚜️</t>
  </si>
  <si>
    <t>Doctor</t>
  </si>
  <si>
    <t>Pharmacist 🩺 🧚WhatsApp for business 📥: 0931738288
Owner: @etlobha.delivery @hermosa_beautylounge @hermosa.rcloset  @be_hermosa_cos</t>
  </si>
  <si>
    <t>sainablogdaily</t>
  </si>
  <si>
    <t>Sorayya Vahdatinia</t>
  </si>
  <si>
    <t>Public figure</t>
  </si>
  <si>
    <t>Founder of @sainabrand 
Entrepreneur
📍California 🇺🇸
همکاری @saina.ads
📧 saina8358@gmail.com</t>
  </si>
  <si>
    <t>steysha_blog</t>
  </si>
  <si>
    <t>Уход за собой | ЖИЗА и БЬЮТИ | блог с 0</t>
  </si>
  <si>
    <t>Твоя бьюти подружка💞Подписывайся 
🫧Амбассадор бренда 
Тут жиза и все, что ты [не знала об уходе ]
YouTube ~ 125к</t>
  </si>
  <si>
    <t>https://www.tiktok.com/@stay_beauty_?_t=ZN-8uAFtSCwLji&amp;_r=1</t>
  </si>
  <si>
    <t>worshipblog</t>
  </si>
  <si>
    <t>Worship Blog</t>
  </si>
  <si>
    <t>https://www.tiktok.com/@worship_blog</t>
  </si>
  <si>
    <t>anet_styles</t>
  </si>
  <si>
    <t>אנט סטיילס💗FASHION BLOGGER</t>
  </si>
  <si>
    <t>Beauty | Fashion | Travel | Lifestyle | Sale 💕 קודי קופון:
@anetstyles_close 
פיקס: anetfix
פלטין:anet10 
ועוד בהיילייטס🦋👼🏼</t>
  </si>
  <si>
    <t>blogger</t>
  </si>
  <si>
    <t>Travel/Fashion/Life Blogger</t>
  </si>
  <si>
    <t>Curating a Life of Style, Travel &amp; Coffee
Elevated living through digital innovation &amp; refined experiences</t>
  </si>
  <si>
    <t>daniela_livinglite</t>
  </si>
  <si>
    <t>Daniela Makmil Halutz – Home Decor Blogger</t>
  </si>
  <si>
    <t>✨🎥מעצבת בתים  ויוצרת תוכן 
ליצירת קשר עבור קבלת מידע על מסלולי עיצוב ויצירת תוכן לחצו כאן 👇🏼</t>
  </si>
  <si>
    <t>https://api.whatsapp.com/send/?phone=9720524697808</t>
  </si>
  <si>
    <t>foodbymaria</t>
  </si>
  <si>
    <t>Maria Koutsogiannis 🇬🇷 Greek Food Blogger</t>
  </si>
  <si>
    <t>delicious food for everyone
your first generation 🇬🇷 recipe bestie
#GGG @foodnetwork Champ
MY OLIVE OIL IS NOW FOR SALE 🫒 
📧 hello@foodbymaria.com</t>
  </si>
  <si>
    <t>https://lnk.bio/foodbymaria</t>
  </si>
  <si>
    <t>gal_hahamov</t>
  </si>
  <si>
    <t>Travel blogger | גל חכמוב - בלוגר מסעדות וטיולים</t>
  </si>
  <si>
    <t>💌 Content creator | flight attendant @elalisrael 
 ממליץ לכם על המקומות הכי שווים🌴
📲TikTok 39k+
לשת״פים עסקיים פנו אליי בפרטי</t>
  </si>
  <si>
    <t>https://www.tiktok.com/@galhahamov?_t=8XiRWENX0eg&amp;_r=1</t>
  </si>
  <si>
    <t>iamlonni</t>
  </si>
  <si>
    <t>Lonni Smith | Houston Lifestyle Blogger</t>
  </si>
  <si>
    <t>Welcome Sis! We Love Sharing 🔗’s for Fashion | Home | Beauty on this side of IG🫶🏽
📍Houston,Tx
💌 lonni@creatorsociety.com
👇🏼AMAZON &amp; LTK LINKS</t>
  </si>
  <si>
    <t>https://bio.site/iamlonni</t>
  </si>
  <si>
    <t>moneysavvymumuk</t>
  </si>
  <si>
    <t>Ambrina Ruth Taylor | Money Blogger</t>
  </si>
  <si>
    <t>💳 21k debt-free in 8 months 
💸Lifestyle &amp; Money 
🗞️ Ft. BBC News
📍Live well &amp; spend smarter 
📧 fran@creativegooseagency.com
🔗 Useful resources 👇</t>
  </si>
  <si>
    <t>https://stan.store/MoneySavvymum</t>
  </si>
  <si>
    <t>shirchip</t>
  </si>
  <si>
    <t>Food Blogger | שיר צ׳יפ אשכנזי</t>
  </si>
  <si>
    <t>מטיילים מסביב לעולם 💍🌏 @danielchip 
עם אריאל 👶🏻 בן השנה
📍now in Thailand 🇹🇭 
להדרכה הדיגיטלית שלי איך לבשל לשבת למלכה לחצו👇</t>
  </si>
  <si>
    <t>https://study.joydigital.co.il/shir/</t>
  </si>
  <si>
    <t>thebeninblogger</t>
  </si>
  <si>
    <t>The Benin Blogger</t>
  </si>
  <si>
    <t>Mirror mirror on the wall, how fair is the land? 
DM for Advert or Email 👇🏽
✉️: thebeninblogger@yahoo.com</t>
  </si>
  <si>
    <t>https://linktr.ee/thebeninblogger</t>
  </si>
  <si>
    <t>thriftylondoner</t>
  </si>
  <si>
    <t>Laura Turner | Money Blogger</t>
  </si>
  <si>
    <t>🙌 Making money feel easy   
💰Saving, investing, work and mindset 
✏️ Ft. FT, BBC, Stylist, Metro
💻 Check out the website below ⬇️</t>
  </si>
  <si>
    <t>https://thriftylondoner.com/instagram</t>
  </si>
  <si>
    <t>truenorthjewelry</t>
  </si>
  <si>
    <t>Jewelry blogger</t>
  </si>
  <si>
    <t>Bringing you jewelry inspiration since 2014
▫️ Celebrating talent &amp; designs from around the world
▫️ 📸 Credits to creators
▫️ DM for feature</t>
  </si>
  <si>
    <t>wheretogo_by_hiba</t>
  </si>
  <si>
    <t>Wheretogobyhiba | tourism in Lebanon| blogger</t>
  </si>
  <si>
    <t>Your guide to the best destinations in🇱🇧&amp;the🌎
1st Lebanese blogger in Jordan 🇯🇴
Travel| Food|Life blogger🌍25 countries✈
#مشو_معي follow for more👇</t>
  </si>
  <si>
    <t>https://linktr.ee/Wheretogo_by_hiba</t>
  </si>
  <si>
    <t>bloomberg</t>
  </si>
  <si>
    <t>Connecting decision makers to a dynamic network of information, people and ideas.</t>
  </si>
  <si>
    <t>bloombergarcade</t>
  </si>
  <si>
    <t>Bloomberg Arcade</t>
  </si>
  <si>
    <t>Food &amp; beverage</t>
  </si>
  <si>
    <t>#BloombergArcade a culinary and cultural destination in the heart of the City of London.
Click below for Bookings and Deliveries from our Restaurants</t>
  </si>
  <si>
    <t>https://linktr.ee/BloombergArcade</t>
  </si>
  <si>
    <t>bloombergbusiness</t>
  </si>
  <si>
    <t>Bloomberg Business</t>
  </si>
  <si>
    <t>The first word in business news.</t>
  </si>
  <si>
    <t>https://smartlink.bio/bloombergbusiness</t>
  </si>
  <si>
    <t>bloombergdotorg</t>
  </si>
  <si>
    <t>Bloomberg Philanthropies</t>
  </si>
  <si>
    <t>Ensuring better, longer lives for the greatest number of people.</t>
  </si>
  <si>
    <t>https://linkin.bio/bloombergdotorg</t>
  </si>
  <si>
    <t>bloomberggreen</t>
  </si>
  <si>
    <t>Bloomberg Green</t>
  </si>
  <si>
    <t>We're reinventing climate news and clean-energy journalism. Get the latest on politics, ESG, tech, finance, EVs &amp; more. bloomberg.com/newsletters</t>
  </si>
  <si>
    <t>https://smartlink.bio/bloomberggreen</t>
  </si>
  <si>
    <t>bloomberglaw</t>
  </si>
  <si>
    <t>Bloomberg Law</t>
  </si>
  <si>
    <t>Discover innovative, actionable legal intelligence through market data, next-gen analytics, &amp; up-to-the-minute reporting.</t>
  </si>
  <si>
    <t>https://smartlink.bio/bloomberglaw</t>
  </si>
  <si>
    <t>bloomberglinea</t>
  </si>
  <si>
    <t>Bloomberg Línea</t>
  </si>
  <si>
    <t>Información independiente que une a América Latina.</t>
  </si>
  <si>
    <t>https://sprout.link/bloomberglinea</t>
  </si>
  <si>
    <t>bloombergopinion</t>
  </si>
  <si>
    <t>Bloomberg Opinion</t>
  </si>
  <si>
    <t>Opinions on business, economics, politics, technology and more. Link in bio ⬇️</t>
  </si>
  <si>
    <t>https://smartlink.bio/bloombergopinion</t>
  </si>
  <si>
    <t>bloombergoriginals</t>
  </si>
  <si>
    <t>Bloomberg Originals</t>
  </si>
  <si>
    <t>Bloomberg Originals offers cinematic documentary-style explorations and feature shows at the intersection of business, climate, technology and beyond</t>
  </si>
  <si>
    <t>https://smartlink.bio/bloombergoriginals</t>
  </si>
  <si>
    <t>bloombergpantry</t>
  </si>
  <si>
    <t>Bloomberg Pantry</t>
  </si>
  <si>
    <t>The Bloomberg Pantry: Where our purpose &amp; our people meet. Follow along to meet our teams, see our spaces, &amp; learn about our open, inclusive culture.</t>
  </si>
  <si>
    <t>bloombergpolitics</t>
  </si>
  <si>
    <t>Bloomberg Politics</t>
  </si>
  <si>
    <t>Bloomberg Politics is the spot for smart, non-partisan political coverage from around the world.</t>
  </si>
  <si>
    <t>http://bloom.bg/politicsinstagram</t>
  </si>
  <si>
    <t>bloombergpursuits</t>
  </si>
  <si>
    <t>Bloomberg Pursuits</t>
  </si>
  <si>
    <t>Your global source for the best in cars, food, drinks, travel, watches, gadgets, fashion, and real estate. Pursuits are what make life worth living.</t>
  </si>
  <si>
    <t>https://smartlink.bio/bloombergpursuits</t>
  </si>
  <si>
    <t>bloombergtv</t>
  </si>
  <si>
    <t>Bloomberg Television</t>
  </si>
  <si>
    <t>The people, the stories &amp; the numbers behind the biggest news in business, powered by our global reporting network.</t>
  </si>
  <si>
    <t>https://smartlink.bio/bloombergtv</t>
  </si>
  <si>
    <t>businessweek</t>
  </si>
  <si>
    <t>Bloomberg Businessweek</t>
  </si>
  <si>
    <t>Covering the business world like no one else.</t>
  </si>
  <si>
    <t>https://smartlink.bio/businessweek</t>
  </si>
  <si>
    <t>bloomberghttv</t>
  </si>
  <si>
    <t>BloombergHT</t>
  </si>
  <si>
    <t>Bloomberg HT resmi Instagram hesabı</t>
  </si>
  <si>
    <t>http://www.bloomberght.com/</t>
  </si>
  <si>
    <t>bloombergtvm</t>
  </si>
  <si>
    <t>Bloomberg TV Mongolia</t>
  </si>
  <si>
    <t>Шийдвэр гаргахад шаардлагатай мэдээлэл</t>
  </si>
  <si>
    <t>http://linktr.ee/bloombergtvm</t>
  </si>
  <si>
    <t>bonappetiteyourmajestykdrama</t>
  </si>
  <si>
    <t>Bon Appétite Your Majesty 폭군의 셰프</t>
  </si>
  <si>
    <t>Yoona 윤아 &amp; Lee Chae Min 이채민
⏰ Sat &amp; Sun 21:20 | TvN
✉️ DM for promo/credit | 👩🏾‍💼@chychyx
🛍️Shop Here ↓</t>
  </si>
  <si>
    <t>https://beacons.ai/chychyx</t>
  </si>
  <si>
    <t>bonappetitmag</t>
  </si>
  <si>
    <t>Recipes. Restaurants. Food. Culture.</t>
  </si>
  <si>
    <t>https://likeshop.me/bonappetitmag</t>
  </si>
  <si>
    <t>bonappetit.tj</t>
  </si>
  <si>
    <t>Bon Appétit Dushanbe</t>
  </si>
  <si>
    <t>Cafe</t>
  </si>
  <si>
    <t>• кофе, выпечка, десерты🥐
• завтраки весь день🥞
• торты на заказ🎂
+992 003336688 📞</t>
  </si>
  <si>
    <t>breakingbad</t>
  </si>
  <si>
    <t>Breaking Bad</t>
  </si>
  <si>
    <t>The official Instagram account for #BreakingBad and #ElCamino: A Breaking Bad Movie. Now streaming on Netflix.</t>
  </si>
  <si>
    <t>http://bit.ly/445bhTB</t>
  </si>
  <si>
    <t>breakingbadzone</t>
  </si>
  <si>
    <t>Breaking Bad Zone</t>
  </si>
  <si>
    <t>Breaking Bad fan account 🧪 by @forucinema 
Free worldwide shipping 🚚📦
👇 GET YOUR BREAKING BAD MERCH 🔥</t>
  </si>
  <si>
    <t>https://forucinema.com/collections/breaking-bad</t>
  </si>
  <si>
    <t>breaking_barriers_united</t>
  </si>
  <si>
    <t>Ryan Tillman, Founder</t>
  </si>
  <si>
    <t>Jesus is Lord 
CA Governor Candidate 
@tillmanforgovernor 
Author Happy Eyes 
Expert: Bridging Divides 
Podcast Host: #ITSNEEDED/The Ryan Tillman Show</t>
  </si>
  <si>
    <t>https://www.breakingbarriersunited.com/social</t>
  </si>
  <si>
    <t>breakingbenjamin</t>
  </si>
  <si>
    <t>Breaking Benjamin</t>
  </si>
  <si>
    <t>‘25 tour:
8/29-10/12 w 3DG &amp; Return to Dust</t>
  </si>
  <si>
    <t>https://breakingbenjamin.com</t>
  </si>
  <si>
    <t>breakingbordersfest</t>
  </si>
  <si>
    <t>Breaking Borders Festival 🌏</t>
  </si>
  <si>
    <t>Festival</t>
  </si>
  <si>
    <t>Europe’s biggest Desi Festival 🌏 
4-7 September 2025 | Malta 🇲🇹</t>
  </si>
  <si>
    <t>http://whatsapp.com/channel/0029Vb6GAFsJpe8aVMp2BA0U</t>
  </si>
  <si>
    <t>breakingbreadwithbeardoh</t>
  </si>
  <si>
    <t>BBWB</t>
  </si>
  <si>
    <t>Season 1, Episode 2 of Breaking Bread With BeardOh ft. Royal Blood out now! Check it out on our YouTube channel 👀</t>
  </si>
  <si>
    <t>http://www.youtube.com/@breakingbreadwithbeardoh</t>
  </si>
  <si>
    <t>breakingbzenews</t>
  </si>
  <si>
    <t>BBN</t>
  </si>
  <si>
    <t>Breakingbelizenews.com is the leading online news source of Belize 🌎 🗞</t>
  </si>
  <si>
    <t>http://www.breakingbelizenews.com/</t>
  </si>
  <si>
    <t>breaking.dank</t>
  </si>
  <si>
    <t>breaking dank</t>
  </si>
  <si>
    <t>🤠</t>
  </si>
  <si>
    <t>breakingnews</t>
  </si>
  <si>
    <t>Breaking News</t>
  </si>
  <si>
    <t>Info, photos and videos from breaking stories around the world via the global resources of @nbcnews.</t>
  </si>
  <si>
    <t>http://nbcnews.com/</t>
  </si>
  <si>
    <t>breakingthepage</t>
  </si>
  <si>
    <t>Breaking the Page</t>
  </si>
  <si>
    <t>Welcome to my art pile! 
 💙 🎨 ✨ 😆 ✏️
  •MIRACULOUS WEBTOON: Miraculous Ladybug: A Fan Rewrite</t>
  </si>
  <si>
    <t>https://linktr.ee/breakingthepage</t>
  </si>
  <si>
    <t>breqkingbad</t>
  </si>
  <si>
    <t>Literary Editor</t>
  </si>
  <si>
    <t>dm for paid promotion</t>
  </si>
  <si>
    <t>mash_breaking</t>
  </si>
  <si>
    <t>Mash/Мэш</t>
  </si>
  <si>
    <t>Самые актуальные новости в нашем тг-канале🔽</t>
  </si>
  <si>
    <t>https://t.me/breakingmash</t>
  </si>
  <si>
    <t>big_breaking_news_mp</t>
  </si>
  <si>
    <t>MP NEWS / POLITICAL &amp; CRIMINAL NEWS UPDATES FOLLOW ME 
•DM FOR PAID PROMOTION &amp; COLLABORATION- @navneet_parsai01</t>
  </si>
  <si>
    <t>breaking.news.1</t>
  </si>
  <si>
    <t>أخبار عمان العاجلة</t>
  </si>
  <si>
    <t>News personality</t>
  </si>
  <si>
    <t>شبكة اخبارية بأدق التفاصيل
نهتم بألشان المحلي والعالمي 
حساب تحت إدارة التقني
امين السرحاني 
@y8d8</t>
  </si>
  <si>
    <t>breaking.news.br</t>
  </si>
  <si>
    <t>Breaking News Br</t>
  </si>
  <si>
    <t>📰 Melhor portal de notícias!
🗞 Fique por dentro de tudo</t>
  </si>
  <si>
    <t>breaking_news_ckp_</t>
  </si>
  <si>
    <t>Breaking News CKP</t>
  </si>
  <si>
    <t>Contact or DM for Brand Collaboration and Promotion
( Words matter! Facts matter! Truths matter)</t>
  </si>
  <si>
    <t>https://www.facebook.com/breakingnewschakradharpur?mibextid=ZbWKwL</t>
  </si>
  <si>
    <t>breaking_news_editor</t>
  </si>
  <si>
    <t>Breaking News Editor</t>
  </si>
  <si>
    <t>ગુજરાત અને આખા ભારત ના તાજા સમાચાર જાણવા માટે અમારી ચેનલને ફોલો કરો.
गुजरात और सारे देश के फ्रेश न्यूज़ सुनने के लिए हमारे चैनल को फॉलो कीजिए।</t>
  </si>
  <si>
    <t>https://www.facebook.com/share/1BEi2qbEN5/</t>
  </si>
  <si>
    <t>breaking.news.saarland</t>
  </si>
  <si>
    <t>Breaking News Saarland</t>
  </si>
  <si>
    <t>🏞️ News und eure schönsten Fotos aus dem Saarland
❤️ Schenkt euren Lieblingsbildern ein Herzchen
📰 Auch auf Facebook, Twitter, per App und im Netz</t>
  </si>
  <si>
    <t>https://breaking-news-saarland.de/impressum</t>
  </si>
  <si>
    <t>breakingnewsturkey</t>
  </si>
  <si>
    <t>BREAKİNG NEWS TÜRKİYE</t>
  </si>
  <si>
    <t>🚨 BREAKING NEWS
🌍 Dünyanın dört bir yanından anlık haberler
✉️ haber@breakingnews.com.tr
📞 İhbar: +90 536 735 34 34</t>
  </si>
  <si>
    <t>http://www.breakingnews.com.tr/</t>
  </si>
  <si>
    <t>cp24breakingnews</t>
  </si>
  <si>
    <t>CP24 Toronto's Breaking News</t>
  </si>
  <si>
    <t>Toronto's #1 source for breaking news
🚨Follow us on TikTok too!</t>
  </si>
  <si>
    <t>https://smartlink.bio/cp24breakingnews</t>
  </si>
  <si>
    <t>mpbreakingnews.in</t>
  </si>
  <si>
    <t>Mp Breaking News</t>
  </si>
  <si>
    <t>MP Breaking news is new hindi news website which provides the current and latest updates on all the National &amp; International events and happenings.</t>
  </si>
  <si>
    <t>http://mpbreakingnews.in/</t>
  </si>
  <si>
    <t>behindthebroadcast</t>
  </si>
  <si>
    <t>Behind The Broadcast</t>
  </si>
  <si>
    <t>Professional Networking</t>
  </si>
  <si>
    <t>BROADCAST COMMUNITY 🎥 📺 
Highlight 💡 / Educate  ✍️           
Network 🌎  / Share 🔄 
Shop 🛒</t>
  </si>
  <si>
    <t>http://hoo.be/behindthebroadcast/</t>
  </si>
  <si>
    <t>bmi</t>
  </si>
  <si>
    <t>Broadcast Music, Inc.</t>
  </si>
  <si>
    <t>Musician</t>
  </si>
  <si>
    <t>#MusicMovesBMI</t>
  </si>
  <si>
    <t>https://app.getpinpoint.io/bmi</t>
  </si>
  <si>
    <t>broadcastboyshoh</t>
  </si>
  <si>
    <t>Broadcast Boys</t>
  </si>
  <si>
    <t>NYC Bozos 🤡 with minimal expertise. 
TEAM HOH 🏀🔥
FOLLOW @the_deucey @sohobrody
🔽 BEN SHELTON INTERVIEW 🔽</t>
  </si>
  <si>
    <t>https://youtu.be/HyE1zO9JXc4</t>
  </si>
  <si>
    <t>the_happy_broadcast</t>
  </si>
  <si>
    <t>The Happy Broadcast</t>
  </si>
  <si>
    <t>Fact-checked ANXIETY-FREE content from around the 🌎 that is good for our mental health. Illustrated by @maurogatti    
Try our voice journaling app ⇩</t>
  </si>
  <si>
    <t>https://apps.apple.com/us/app/lid-ai-powered-voice-journal/id6451363654</t>
  </si>
  <si>
    <t>broadcaster.hits</t>
  </si>
  <si>
    <t>Broadcaster Hits Indonesia</t>
  </si>
  <si>
    <t>(Informasi Dunia Broadcast &amp; Galeri Foto Broadcaster Indonesia)
Mention/DM foto teman km dgn nama, bagian, &amp; asal media
📧: broadcaster.hits@gmail.com</t>
  </si>
  <si>
    <t>broadcaster_ir</t>
  </si>
  <si>
    <t>𝖇𝖗𝖔𝖆𝖉𝖈𝖆𝖘𝖙𝖊𝖗</t>
  </si>
  <si>
    <t>𝕾𝖎𝖓𝖌𝖊𝖗𝖑🎶🎶🎶 ɑׁׅ֮ꪀׁׅꪀׁׅᨵׁׅυׁׅꪀׁׅᝯׁꫀׁׅܻ</t>
  </si>
  <si>
    <t>bipolska</t>
  </si>
  <si>
    <t>Business Insider Polska</t>
  </si>
  <si>
    <t>Jeden z największych biznesowo-finansowych serwisów internetowych w Polsce</t>
  </si>
  <si>
    <t>https://linkin.bio/bipolska</t>
  </si>
  <si>
    <t>biz.insider</t>
  </si>
  <si>
    <t>Business Media | Insights | Strategies
🟥 Uncovering important details needed for success.
⬇️ For those building something big.</t>
  </si>
  <si>
    <t>businessinsider</t>
  </si>
  <si>
    <t>What you want to know about business.
•Love Business Insider? Add us as a preferred source on Google.
•Link in bio for the top stories.</t>
  </si>
  <si>
    <t>http://bit.ly/BusinessInsiderBio</t>
  </si>
  <si>
    <t>businessinsider.de</t>
  </si>
  <si>
    <t>Business Insider Deutschland</t>
  </si>
  <si>
    <t>News aus #Wirtschaft, #Tech, #Politik
DSE: businessinsider.de/datenschutz
IM: businessinsider.de/informationen/impressum/</t>
  </si>
  <si>
    <t>https://linkin.bio/businessinsiderde</t>
  </si>
  <si>
    <t>businessinsideres</t>
  </si>
  <si>
    <t>Business Insider España</t>
  </si>
  <si>
    <t>Lo que necesitas saber.</t>
  </si>
  <si>
    <t>https://www.businessinsider.es</t>
  </si>
  <si>
    <t>businessinsiderin</t>
  </si>
  <si>
    <t>Business Insider India</t>
  </si>
  <si>
    <t>Follow us on Twitter, Facebook, LinkedIn and Youtube, visit our website.</t>
  </si>
  <si>
    <t>http://linkin.bio/businessinsiderin</t>
  </si>
  <si>
    <t>businessinsiderit</t>
  </si>
  <si>
    <t>Business Insider Italia</t>
  </si>
  <si>
    <t>L'edizione italiana ufficiale di Business Insider
• Seguici su Facebook, Twitter e YouTube.
• Visita la nostra home page per le notizie del giorno</t>
  </si>
  <si>
    <t>https://it.businessinsider.com/</t>
  </si>
  <si>
    <t>businessinsiderssa</t>
  </si>
  <si>
    <t>Business Insider Africa</t>
  </si>
  <si>
    <t>We're the leading pan-African innovative business news provider. Follow us on Facebook, LinkedIn, Twitter.
📩 businessinsider@pulse.ng
Visit Website👇</t>
  </si>
  <si>
    <t>http://africa.businessinsider.com</t>
  </si>
  <si>
    <t>bof</t>
  </si>
  <si>
    <t>The Business of Fashion</t>
  </si>
  <si>
    <t>A daily resource for fashion creatives, executives and entrepreneurs all over the world. For beauty and wellness analysis follow @businessofbeauty.</t>
  </si>
  <si>
    <t>https://likeshop.me/bof</t>
  </si>
  <si>
    <t>businessweekart</t>
  </si>
  <si>
    <t>Businessweek Art</t>
  </si>
  <si>
    <t>Covering the business world like no one else (through photos and illustrations).</t>
  </si>
  <si>
    <t>http://bloomberg.com/businessweek/</t>
  </si>
  <si>
    <t>businessweeklymag</t>
  </si>
  <si>
    <t>Business Weekly Magazine</t>
  </si>
  <si>
    <t>Official Instagram Of Business weekly Magazine
Spotlighting Entrepreneur, Founder, Ceo's, Brands
Exclusive Insights, interviews, and success Stories.</t>
  </si>
  <si>
    <t>http://businessweeklymag.com</t>
  </si>
  <si>
    <t>buzzfeed</t>
  </si>
  <si>
    <t>Get the full story 👇</t>
  </si>
  <si>
    <t>https://buzzfeed.bio/buzzfeed</t>
  </si>
  <si>
    <t>buzzfeedceleb</t>
  </si>
  <si>
    <t>BuzzFeed Celeb</t>
  </si>
  <si>
    <t>We eat, sleep, and BREATHE pop culture! 😜</t>
  </si>
  <si>
    <t>https://buzzfeed.bio/ig/buzzfeedceleb</t>
  </si>
  <si>
    <t>buzzfeedfood</t>
  </si>
  <si>
    <t>BuzzFeed Food</t>
  </si>
  <si>
    <t>👇 Learn how to bake the perfect cookie 🍪</t>
  </si>
  <si>
    <t>https://buzzfeed.bio/buzzfeedfood</t>
  </si>
  <si>
    <t>buzzfeedtasty</t>
  </si>
  <si>
    <t>Tasty</t>
  </si>
  <si>
    <t>Kitchen/cooking</t>
  </si>
  <si>
    <t>Just a bunch of potato heads in the kitchen having fun, learning from each other and sharing their love of food.               FIND ALL RECIPES HERE 👇</t>
  </si>
  <si>
    <t>http://buzzfeed.bio/buzzfeedtasty</t>
  </si>
  <si>
    <t>buzzfeedtrending</t>
  </si>
  <si>
    <t>BuzzFeed Trending</t>
  </si>
  <si>
    <t>Read the full details here 👇</t>
  </si>
  <si>
    <t>https://buzzfeed.bio/buzzfeedtrending</t>
  </si>
  <si>
    <t>buzzfeeduk</t>
  </si>
  <si>
    <t>BuzzFeed UK</t>
  </si>
  <si>
    <t>https://buzzfeed.bio/buzzfeeduk</t>
  </si>
  <si>
    <t>buzzfeedunsolved</t>
  </si>
  <si>
    <t>BuzzFeed Unsolved Network</t>
  </si>
  <si>
    <t>Your one-stop destination for true crime, conspiracies, supernatural, and everything in between 👻</t>
  </si>
  <si>
    <t>https://bit.ly/4mpTOz6</t>
  </si>
  <si>
    <t>buzzfeedvideo</t>
  </si>
  <si>
    <t>BuzzFeed Video</t>
  </si>
  <si>
    <t>Want to see more from your favorite BuzzFeeders? Click this 👇</t>
  </si>
  <si>
    <t>https://buzzfeed.bio/buzzfeedvideo</t>
  </si>
  <si>
    <t>buzzfeedworthit</t>
  </si>
  <si>
    <t>Worth It</t>
  </si>
  <si>
    <t>The official Instagram for BuzzFeed’s Worth It. 
Check out our newest episode! 👇</t>
  </si>
  <si>
    <t>https://www.youtube.com/watch?v=OU4sr2Q4KbM&amp;t=1s</t>
  </si>
  <si>
    <t>aragonballroom</t>
  </si>
  <si>
    <t>Byline Bank Aragon Ballroom</t>
  </si>
  <si>
    <t>Bringing the hits since 1926.</t>
  </si>
  <si>
    <t>https://livemu.sc/44cJV1L</t>
  </si>
  <si>
    <t>bylinebyline</t>
  </si>
  <si>
    <t>BYLINE 💭</t>
  </si>
  <si>
    <t>“A lovely, lovely, lovely publication.” -Bowen Yang
SEE FOR YOURSELF
Say hi if you want to be friends!! \(•◡•)/</t>
  </si>
  <si>
    <t>https://linktr.ee/bylinebyline</t>
  </si>
  <si>
    <t>campaign</t>
  </si>
  <si>
    <t>Life-friendly furniture built to evolve with you. #campaignliving</t>
  </si>
  <si>
    <t>http://www.campaignliving.com/</t>
  </si>
  <si>
    <t>campaignacey</t>
  </si>
  <si>
    <t>Campaign Acey</t>
  </si>
  <si>
    <t>https://linktr.ee/CampaignAcey</t>
  </si>
  <si>
    <t>campaignmagazine</t>
  </si>
  <si>
    <t>Campaign Magazine</t>
  </si>
  <si>
    <t>Championing creative excellence and industry disrupters📍London</t>
  </si>
  <si>
    <t>https://www.campaignlive.co.uk/the-work</t>
  </si>
  <si>
    <t>campaignmiddleeast</t>
  </si>
  <si>
    <t>Campaign Middle East</t>
  </si>
  <si>
    <t>The leading source of media, marketing, advertising and communications news and analysis for Middle East &amp; North Africa.</t>
  </si>
  <si>
    <t>http://lnk.bio/CampaignMiddleEast</t>
  </si>
  <si>
    <t>campaignzero</t>
  </si>
  <si>
    <t>Campaign Zero</t>
  </si>
  <si>
    <t>Nonprofit organization</t>
  </si>
  <si>
    <t>We use data &amp; research-backed solutions to drive policy change. Together, we can imagine a world beyond policing. ✊🏿 Join the movement!</t>
  </si>
  <si>
    <t>https://linkin.bio/campaignzero</t>
  </si>
  <si>
    <t>ciao_campaign</t>
  </si>
  <si>
    <t>いなば CIAOちゅ～る</t>
  </si>
  <si>
    <t>いなばペットフード「CIAOちゅ～る」公式アカウントです。CM募集、イベントなどちゅ〜るに関する情報をお届けします。
＊DMへの個々のお問合せ対応はしておりません。製品などのお問合せは公式サイトからお願い申し上げます。</t>
  </si>
  <si>
    <t>https://www.inaba-petfood.co.jp/</t>
  </si>
  <si>
    <t>cbs2boise</t>
  </si>
  <si>
    <t>CBS 2 News</t>
  </si>
  <si>
    <t>Keeping Idaho informed about news, weather, and adventures. Check out the stories featured on IG ⬇️</t>
  </si>
  <si>
    <t>http://sprout.link/cbs2boise</t>
  </si>
  <si>
    <t>cbs58news</t>
  </si>
  <si>
    <t>CBS 58 NEWS</t>
  </si>
  <si>
    <t>The Hometown Team.</t>
  </si>
  <si>
    <t>https://www.cbs58.com/</t>
  </si>
  <si>
    <t>cbscolorado</t>
  </si>
  <si>
    <t>CBS News Colorado</t>
  </si>
  <si>
    <t>Covering Colorado First!  We love our state!
Your #1 source for everything Colorado.  Send us your story ideas: kcncnews@cbs.com</t>
  </si>
  <si>
    <t>http://newsin.bio/cbscolorado</t>
  </si>
  <si>
    <t>cbseveningnews</t>
  </si>
  <si>
    <t>CBS Evening News</t>
  </si>
  <si>
    <t>The official account of CBS Evening News, 
the longest-running evening newscast.</t>
  </si>
  <si>
    <t>https://linkin.bio/cbseveningnews</t>
  </si>
  <si>
    <t>cbsmiami</t>
  </si>
  <si>
    <t>CBS News Miami</t>
  </si>
  <si>
    <t>🌴 South Florida’s Home for Breaking News, NEXT Weather, and Community Journalism. Let’s Talk! 👊 We Are Here For You. ➡️ DM or Tag Us With News Tips.</t>
  </si>
  <si>
    <t>https://www.cbsmiami.com</t>
  </si>
  <si>
    <t>cbsnews</t>
  </si>
  <si>
    <t>Your source for original reporting and trusted news</t>
  </si>
  <si>
    <t>https://linkin.bio/ig-cbsnews</t>
  </si>
  <si>
    <t>cbsnewsplanet</t>
  </si>
  <si>
    <t>CBS News Climate Watch</t>
  </si>
  <si>
    <t>The latest CBS News reporting on the climate, weather and all things Earth.🌏</t>
  </si>
  <si>
    <t>https://linkin.bio/cbsnewsplanet</t>
  </si>
  <si>
    <t>cbsnewstexas</t>
  </si>
  <si>
    <t>CBS News Texas</t>
  </si>
  <si>
    <t>Your trusted home for the latest Texas news, weather, traffic and sports.</t>
  </si>
  <si>
    <t>http://newsin.bio/cbsnewstexas</t>
  </si>
  <si>
    <t>cbsnewyork</t>
  </si>
  <si>
    <t>CBS News New York</t>
  </si>
  <si>
    <t>🗞️News for New Yorkers + the Tri-State
📲 Stream 24/7 on the free, @cbsnews app</t>
  </si>
  <si>
    <t>http://newsin.bio/cbsnewyork/</t>
  </si>
  <si>
    <t>cbssacramento</t>
  </si>
  <si>
    <t>CBS News Sacramento</t>
  </si>
  <si>
    <t>Getting Answers. Official Instagram account of CBS News Sacramento. Follow us for breaking local and California news.</t>
  </si>
  <si>
    <t>https://newsin.bio/cbssacramento</t>
  </si>
  <si>
    <t>cbssundaymorning</t>
  </si>
  <si>
    <t>CBS News' Sunday Morning" 🌞"</t>
  </si>
  <si>
    <t>If you hear the sparkling notes of a trumpet fanfare, you’re in the right place. 🎺 The best storytelling on TV, hosted by Jane Pauley.</t>
  </si>
  <si>
    <t>https://linkin.bio/cbssundaymorning</t>
  </si>
  <si>
    <t>kpixtv</t>
  </si>
  <si>
    <t>CBS News Bay Area</t>
  </si>
  <si>
    <t>🎥 News, Sports, Weather, Traffic &amp; stories of the Bay Area Community🌁
📲 Tag your photos: #KPIX &amp; @KPIXTV
✍️Story tips: newsdesk@kpix.com or DM</t>
  </si>
  <si>
    <t>http://newsin.bio/kpixtv</t>
  </si>
  <si>
    <t>wbztv</t>
  </si>
  <si>
    <t>WBZ News | CBS News Boston</t>
  </si>
  <si>
    <t>A greater Boston starts here. 
Email newstips to newstips@wbztv.com.
Tag your pics @wbztv or #WBZTV so we see them.
Official Account for WBZ-TV.</t>
  </si>
  <si>
    <t>http://newsin.bio/wbztv</t>
  </si>
  <si>
    <t>wgme</t>
  </si>
  <si>
    <t>CBS 13 News</t>
  </si>
  <si>
    <t>CBS13 is On Your Side. Click link in bio ⬇️ for the stories behind the pictures and videos.</t>
  </si>
  <si>
    <t>https://wgme.com/news/instagram</t>
  </si>
  <si>
    <t>channel</t>
  </si>
  <si>
    <t>Ultimate cycling gear.
Fall Winter 2024 incoming.</t>
  </si>
  <si>
    <t>http://cnl.store</t>
  </si>
  <si>
    <t>channel4</t>
  </si>
  <si>
    <t>Channel 4</t>
  </si>
  <si>
    <t>Channel 4 is Altogether Different. After all, what’s weird today is accepted tomorrow.</t>
  </si>
  <si>
    <t>https://www.channel4.com/</t>
  </si>
  <si>
    <t>channelbpodcast</t>
  </si>
  <si>
    <t>پادکست فارسی چنل‌بی</t>
  </si>
  <si>
    <t>روایت شنیدنی ماجراهای واقعی</t>
  </si>
  <si>
    <t>https://channelbpodcast.com/channelb-links</t>
  </si>
  <si>
    <t>channelfoods</t>
  </si>
  <si>
    <t>Channel Foods</t>
  </si>
  <si>
    <t>😋 Too Yummy To Ignore
💌 Email Inquiries
📍 Miami, Florida</t>
  </si>
  <si>
    <t>channelnewsasia</t>
  </si>
  <si>
    <t>CNA</t>
  </si>
  <si>
    <t>The best of CNA: News you can use, from Singapore and across Asia + CNA Lifestyle’s tips for better living.</t>
  </si>
  <si>
    <t>https://linkinprofile.com/channelnewsasia</t>
  </si>
  <si>
    <t>channelstelevision</t>
  </si>
  <si>
    <t>Channels Television</t>
  </si>
  <si>
    <t>Channels Television is the 16-time winner of the 'Best TV station in Nigeria award' and the most awarded television station in Africa.</t>
  </si>
  <si>
    <t>https://linktr.ee/channelstelevision</t>
  </si>
  <si>
    <t>channelstv_ent</t>
  </si>
  <si>
    <t>ChannelsTV Entertainment News</t>
  </si>
  <si>
    <t>ᴛᴜɴᴇ ɪɴ: ᴍᴏɴ - ᴛʜᴜʀꜱ 11:30ᴘᴍ ᴏɴ ᴅꜱᴛᴠ &amp; 11ᴘᴍ ᴏɴ ᴜᴋ ꜱᴋʏ 575 
ᴛᴜɴᴇ ɪɴ: ꜱᴀᴛ 9:00 ᴘᴍ ᴏɴ ᴅꜱᴛᴠ! 
ᴛᴡɪᴛᴛᴇʀ @ᴄʜᴀɴɴᴇʟꜱᴛᴠ_ᴇɴᴛ 
#ᴄᴛᴠᴇɴᴛ</t>
  </si>
  <si>
    <t>http://channelstv.com/</t>
  </si>
  <si>
    <t>disneychannel</t>
  </si>
  <si>
    <t>Disney Channel</t>
  </si>
  <si>
    <t>We're all in this together
Everything animation @disneytva
It's good to be bad @disneydescendants
Seabrook High forever! @disneyzombies</t>
  </si>
  <si>
    <t>golfchannel</t>
  </si>
  <si>
    <t>Golf Channel</t>
  </si>
  <si>
    <t>“If I hadn’t tried to hit it through the trees sometimes in my life, none of us would be here” - Arnold Palmer, founder of Golf Channel</t>
  </si>
  <si>
    <t>https://sprout.link/golfchannel</t>
  </si>
  <si>
    <t>litvinchannel</t>
  </si>
  <si>
    <t>Литвин Михаил</t>
  </si>
  <si>
    <t>https://youtu.be/yuLKEdXwn8M</t>
  </si>
  <si>
    <t>paleoanalysis</t>
  </si>
  <si>
    <t>PaleoAnalysis YouTube Channel</t>
  </si>
  <si>
    <t>Join me as we analyze the history of life on earth through fossils &amp; the science of Paleontology!
.
#paleoanalysis</t>
  </si>
  <si>
    <t>https://youtube.com/c/PaleoAnalysis?sub_confirmation=1</t>
  </si>
  <si>
    <t>steakchannel</t>
  </si>
  <si>
    <t>Steak Channel</t>
  </si>
  <si>
    <t>🔥 A global community of BBQ Enthusiasts
🥩 Looking for daily Steak Videos?
👉🏻 Yes, Here it is! Follow @steakchannel
📩 Email or DM for Partnerships</t>
  </si>
  <si>
    <t>https://linktr.ee/steakchannel</t>
  </si>
  <si>
    <t>zaneroozchannel</t>
  </si>
  <si>
    <t>زن روز، شنبه، یکشنبه، دوشنبه، سه‌شنبه، چهارشنبه ها ساعت 12:30!</t>
  </si>
  <si>
    <t>https://youtu.be/LhnXdYAPHTU</t>
  </si>
  <si>
    <t>a.cheddar</t>
  </si>
  <si>
    <t>Alex Cheddar</t>
  </si>
  <si>
    <t>Author</t>
  </si>
  <si>
    <t>Creator of impossible word searches "Find the Fox" and "20,000 Cows!" 🦊🐄
Business: hi@alexcheddar.com</t>
  </si>
  <si>
    <t>https://www.donotfindthefox.com</t>
  </si>
  <si>
    <t>cheddar</t>
  </si>
  <si>
    <t>Where finance meets innovation. 📈💡</t>
  </si>
  <si>
    <t>https://sprout.link/cheddar</t>
  </si>
  <si>
    <t>cheddarbears</t>
  </si>
  <si>
    <t>Jordan’s Golden British kittens | Raw Fed 🥩| Sacramento</t>
  </si>
  <si>
    <t>British Longhair &amp; Shorthair
🥹Sharing every moment of my teddy bears with you! 🥹🧸
Play in Person! 📲@Kittencuddlecorner 
📍Sacramento, California USA ✈️</t>
  </si>
  <si>
    <t>https://cheddarbears.com/pricing-%26-questions</t>
  </si>
  <si>
    <t>cheddariniii</t>
  </si>
  <si>
    <t>UFC Mouseweight Champ 🐭🌎
Cheddars Owner and page manager @hamborghiniii 
Business Inquiries ➡️ cheddariniii@gmail.com
Merch and Cameos linked in bio</t>
  </si>
  <si>
    <t>https://linktr.ee/cheddariniii</t>
  </si>
  <si>
    <t>cheddars.cl</t>
  </si>
  <si>
    <t>Cheddars</t>
  </si>
  <si>
    <t>Burger Restaurant</t>
  </si>
  <si>
    <t>🍔🥓🥞American Style Food 
📍Concepción | Chiguayante | Los Angeles | San Pedro | Chillán</t>
  </si>
  <si>
    <t>https://linktr.ee/cheddars.cl</t>
  </si>
  <si>
    <t>chicagotribune</t>
  </si>
  <si>
    <t>Telling the story of Chicago and the Midwest, one moment at a time.</t>
  </si>
  <si>
    <t>https://linkin.bio/chicagotribune</t>
  </si>
  <si>
    <t>chitribfood</t>
  </si>
  <si>
    <t>Chicago Tribune, Food &amp; Dining</t>
  </si>
  <si>
    <t>What to eat, drink and cook, from @ChicagoTribune's Food &amp; Dining team</t>
  </si>
  <si>
    <t>https://linkin.bio/chitribfood</t>
  </si>
  <si>
    <t>cinemablend</t>
  </si>
  <si>
    <t>Entertainment website</t>
  </si>
  <si>
    <t>One of the most popular entertainment sites, covering movies/TV and bringing you exclusive celebrity interviews. Read more at CinemaBlend.com</t>
  </si>
  <si>
    <t>https://likeshop.me/cinemablend</t>
  </si>
  <si>
    <t>circulationx</t>
  </si>
  <si>
    <t>PowerCircle</t>
  </si>
  <si>
    <t>Community Organization</t>
  </si>
  <si>
    <t>An exclusive community
Welcome to the PowerCircle – where success meets collaboration
Get Rich Or Get Richer
Boss @realshey_oc | Fill the form below👇</t>
  </si>
  <si>
    <t>https://forms.gle/RSqN8S19rHAMz4Zk6</t>
  </si>
  <si>
    <t>citation__.amour_</t>
  </si>
  <si>
    <t>Citation Amour 🥰</t>
  </si>
  <si>
    <t>Abonne toi ⬆️⬆️
- - - - - - - - - - - - 
Thème : amour , amitié ❤️
- - - - - - -  - - - - - - - -</t>
  </si>
  <si>
    <t>citation.frenchie</t>
  </si>
  <si>
    <t>citation 🦋</t>
  </si>
  <si>
    <t>citationmax1</t>
  </si>
  <si>
    <t>Citation Max</t>
  </si>
  <si>
    <t>Official Instagram account of CitationMax YouTube channel</t>
  </si>
  <si>
    <t>http://www.youtube.com/c/citationmax</t>
  </si>
  <si>
    <t>citation_.moonlight</t>
  </si>
  <si>
    <t>Citation💫</t>
  </si>
  <si>
    <t>Merci pour les 70K ❤️
Prenez soin de vous 🫶🏻</t>
  </si>
  <si>
    <t>_citation_.triste_</t>
  </si>
  <si>
    <t>citation triste</t>
  </si>
  <si>
    <t>canggucommunity</t>
  </si>
  <si>
    <t>⚡️Canggu Community⚡️- citizen journalism</t>
  </si>
  <si>
    <t>©️Bali’s Largest Online Community 
©️We inform, inspire &amp; connect
©️Daily News in stories
@uluwatucommunity our sister account - go follow</t>
  </si>
  <si>
    <t>https://linktr.ee/canggucommunity</t>
  </si>
  <si>
    <t>citizenjournalist86</t>
  </si>
  <si>
    <t>Citizen Journalist</t>
  </si>
  <si>
    <t>Jika mempunyai informasi dan ingin diliput oleh Jurnalis bisa menghubungi admin lewat DM
📩 Business inq</t>
  </si>
  <si>
    <t>https://linktr.ee/citizensjournalist86</t>
  </si>
  <si>
    <t>clickbait</t>
  </si>
  <si>
    <t>You clicked on my profile, but didn’t follow me? 🫠
Join our community👇 @CLICKBAIT</t>
  </si>
  <si>
    <t>clickbaitbn</t>
  </si>
  <si>
    <t>Click Bait</t>
  </si>
  <si>
    <t>🌹A juicy podcast from @bachelornation 
🎙Hosted by @joeamabile1 
🗓 Drops Thursdays
🎧 LATEST EPISODE👇</t>
  </si>
  <si>
    <t>http://wondery.fm/ClickBaitwithBN</t>
  </si>
  <si>
    <t>__clickbaits</t>
  </si>
  <si>
    <t>hlo guys</t>
  </si>
  <si>
    <t>food/exclusive content/challanges/funny contents</t>
  </si>
  <si>
    <t>_alieim_</t>
  </si>
  <si>
    <t>clip/🎬🎼</t>
  </si>
  <si>
    <t>✧ ﷽ ✧
✠  
🤴🎬                             
※CLIP EDlTOR 
━━━━━━●─────── ⇆ㅤㅤ
ㅤㅤ◁ㅤㅤ❚❚ㅤㅤ▷ㅤㅤㅤㅤ↻
✠
❥بهترین موزیک های خودمونی</t>
  </si>
  <si>
    <t>bloodyclip</t>
  </si>
  <si>
    <t>CLIP_</t>
  </si>
  <si>
    <t>mr. misty eyed 
@emarielars @whyt3_f3rrari</t>
  </si>
  <si>
    <t>https://youtu.be/CQHLUEAP5E0?si=Jn8wxaqOPfF7zz8Z</t>
  </si>
  <si>
    <t>clipclip_geniboutique</t>
  </si>
  <si>
    <t>Clip Clip e Geni Boutique</t>
  </si>
  <si>
    <t>Skazi/Tufi Duek / Anne Fernandes/ Charth/ NX/ Andreza Chagas/Fabulous/ Arte Sacra/Le Blog❤
📍 Rua: Equador, 162, Kalilandia - Feira 📞 (75) 99234-0084</t>
  </si>
  <si>
    <t>clip_deluxe</t>
  </si>
  <si>
    <t>Christine Bluhm | videographer</t>
  </si>
  <si>
    <t>Luxury videography  
 Fashion | Jewelry | Real Estate
📍 Munich  🔜 New York Fashion Week
✉️ bookings worldwide - info@clipdeluxe.com</t>
  </si>
  <si>
    <t>http://www.clipdeluxe.com/</t>
  </si>
  <si>
    <t>cliphair</t>
  </si>
  <si>
    <t>CLIP HAIR wigs Парики Системы</t>
  </si>
  <si>
    <t>RUSSIAN HAIR BRAND
Ленинский пр-т, 22. 
Гостевая парковка.
с 12.00 до 20.00 по записи 
+7(916)8255444</t>
  </si>
  <si>
    <t>https://cliphair.ru</t>
  </si>
  <si>
    <t>clipopuk_furniture</t>
  </si>
  <si>
    <t>Furniture store</t>
  </si>
  <si>
    <t>🏠 Clipop Furniture : Design for a Cosy-Effective Life
🌟Tag @clipopuk_furniture &amp; #Clipopuk to be featured
🎁 SHOP↓</t>
  </si>
  <si>
    <t>https://www.clipopuk.com/</t>
  </si>
  <si>
    <t>clips</t>
  </si>
  <si>
    <t>CLIPS</t>
  </si>
  <si>
    <t>▷ Your only place for @Clips 🤳↕️
✉︎ contact@clipsagency.com</t>
  </si>
  <si>
    <t>clipse</t>
  </si>
  <si>
    <t>Clipse</t>
  </si>
  <si>
    <t>Rapper</t>
  </si>
  <si>
    <t>Pusha and Malice of the Clipse</t>
  </si>
  <si>
    <t>https://ffm.to/letgodsortemout</t>
  </si>
  <si>
    <t>laclippers</t>
  </si>
  <si>
    <t>LA Clippers</t>
  </si>
  <si>
    <t>🏟 @intuitdome
🛍️ @clippersteamstore 
📲 TEXT us at +1 (213) 577-1833
SINGLE-GAME TICKETS ARE ON SALE 🎟️👇</t>
  </si>
  <si>
    <t>http://linktr.ee/laclippers</t>
  </si>
  <si>
    <t>lething_clip</t>
  </si>
  <si>
    <t>레띵</t>
  </si>
  <si>
    <t>퇴근 후 1인식탁🌙🥢</t>
  </si>
  <si>
    <t>https://beacons.ai/lething_clip</t>
  </si>
  <si>
    <t>cnbc</t>
  </si>
  <si>
    <t>First in business worldwide. 💰</t>
  </si>
  <si>
    <t>https://smartlink.bio/cnbc</t>
  </si>
  <si>
    <t>cnbcarabiatv</t>
  </si>
  <si>
    <t>CNBC Arabia</t>
  </si>
  <si>
    <t>لأعمالك محطة واحدة</t>
  </si>
  <si>
    <t>http://www.cnbcarabia.com</t>
  </si>
  <si>
    <t>cnbce</t>
  </si>
  <si>
    <t>CNBC-e</t>
  </si>
  <si>
    <t>Senin rengin, senin kanalın.</t>
  </si>
  <si>
    <t>https://lnk.bio/cnbce</t>
  </si>
  <si>
    <t>cnbcindonesia</t>
  </si>
  <si>
    <t>CNBC Indonesia</t>
  </si>
  <si>
    <t>Beyond Business | Dengarkan Podcast CNBC Indonesia hanya di @cuap_cuan</t>
  </si>
  <si>
    <t>https://linkin.bio/cnbcindonesia</t>
  </si>
  <si>
    <t>cnbcinternational</t>
  </si>
  <si>
    <t>CNBC International</t>
  </si>
  <si>
    <t>An international perspective from the world leader in business news.</t>
  </si>
  <si>
    <t>https://smartlink.bio/cnbcinternational</t>
  </si>
  <si>
    <t>cnbcmakeit</t>
  </si>
  <si>
    <t>CNBC Make It</t>
  </si>
  <si>
    <t>Helping you be smarter and more successful with your money, work &amp; life.</t>
  </si>
  <si>
    <t>https://smartlink.bio/cnbcmakeit</t>
  </si>
  <si>
    <t>cnbcmongolia</t>
  </si>
  <si>
    <t>CNBC Mongolia</t>
  </si>
  <si>
    <t>Official Instagram of CNBC Mongolia™️
Mongolia’s #1 Business News Channel. 
Follow The Leader &amp; Profit from It.
Монгол хүн бүрийн амжилтын төлөө!</t>
  </si>
  <si>
    <t>https://cnbc.mn</t>
  </si>
  <si>
    <t>cnbcturkiye</t>
  </si>
  <si>
    <t>CNBC Türkiye</t>
  </si>
  <si>
    <t>http://youtube.com/@cnbcturkiye</t>
  </si>
  <si>
    <t>cnbctv</t>
  </si>
  <si>
    <t>CNBC TV</t>
  </si>
  <si>
    <t>Don’t miss a market moment. Follow along for the latest business news updates and analysis from @CNBC's broadcast.</t>
  </si>
  <si>
    <t>https://smartlink.bio/cnbctv</t>
  </si>
  <si>
    <t>cnbctv18india</t>
  </si>
  <si>
    <t>CNBC-TV18</t>
  </si>
  <si>
    <t>Official Instagram of CNBC-TV18™️
India’s Number 1 Business News Channel. Follow The Leader &amp; Profit From It.</t>
  </si>
  <si>
    <t>https://lnk.bio/cnbctv18india</t>
  </si>
  <si>
    <t>madmoneyoncnbc</t>
  </si>
  <si>
    <t>Mad Money on CNBC</t>
  </si>
  <si>
    <t>There's always a bull market somewhere, and @JimCramer is here to help you find it. Weekdays on @CNBC @ 6pm EST from the @nyse.</t>
  </si>
  <si>
    <t>http://madmoney.cnbc.com/</t>
  </si>
  <si>
    <t>otimesbrasil</t>
  </si>
  <si>
    <t>TIMES BRASIL - LICENCIADO EXCLUSIVO CNBC</t>
  </si>
  <si>
    <t>Primeiro canal de jornalismo de negócios com marca internacional. A LÍDER MUNDIAL, AGORA NO BRASIL.</t>
  </si>
  <si>
    <t>https://linkin.bio/otimesbrasil</t>
  </si>
  <si>
    <t>50cent</t>
  </si>
  <si>
    <t>50 Cent</t>
  </si>
  <si>
    <t>@50centaction @lecheminduroi @thisis50 @bransoncognac @gunitbrands @gunitfilmandtv @gunitstudios @50centlegacytour</t>
  </si>
  <si>
    <t>http://www.gunitbrands.com</t>
  </si>
  <si>
    <t>centralcee</t>
  </si>
  <si>
    <t>📲</t>
  </si>
  <si>
    <t>centuryburger</t>
  </si>
  <si>
    <t>سنشري برجر Century Burger</t>
  </si>
  <si>
    <t>House of Burgers - بيت البرجر
جدة • الرياض • الطائف • مكة 
920033900</t>
  </si>
  <si>
    <t>http://www.centuryburger.com</t>
  </si>
  <si>
    <t>cnet</t>
  </si>
  <si>
    <t>Your guide to a better future.</t>
  </si>
  <si>
    <t>https://linkin.bio/cnet</t>
  </si>
  <si>
    <t>divulga_centrostudi</t>
  </si>
  <si>
    <t>Divulga</t>
  </si>
  <si>
    <t>🔎 Nuove chiavi di lettura per capire dove va il mondo
👇 Leggi, conosci, divulga</t>
  </si>
  <si>
    <t>http://zaap.bio/divulga</t>
  </si>
  <si>
    <t>graphicdesigncentral</t>
  </si>
  <si>
    <t>Graphic Design Central</t>
  </si>
  <si>
    <t>Follow us then use #graphicdesigncentral and you could be chosen as our next feature!</t>
  </si>
  <si>
    <t>cnn</t>
  </si>
  <si>
    <t>Asking the hard questions and bringing unique perspective from across the globe. This is CNN.</t>
  </si>
  <si>
    <t>http://cnn.com/linkinbio</t>
  </si>
  <si>
    <t>cnnbrasil</t>
  </si>
  <si>
    <t>CNN Brasil</t>
  </si>
  <si>
    <t>Pense bem, pense CNN
📊@cnnbrmoney
🥅@cnnesportes
🍿@cnnpop 
📰@cnnpolitica 
📲@cnnbrlifestyle 
🛫@cnnviagemegastronomia
💵@nolucrocnn
🛒@cnnbrreview</t>
  </si>
  <si>
    <t>https://whatsapp.com/channel/0029Va7nLLu5PO10UIlHtS1h</t>
  </si>
  <si>
    <t>cnnee</t>
  </si>
  <si>
    <t>CNN en Español</t>
  </si>
  <si>
    <t>Somos la cuenta de noticias en español más seguida del mundo en Instagram.</t>
  </si>
  <si>
    <t>http://cnne.com/instanoticias/</t>
  </si>
  <si>
    <t>cnnindonesia</t>
  </si>
  <si>
    <t>CNN Indonesia</t>
  </si>
  <si>
    <t>News We Can Trust
Mau tahu isu-isu politik terkini? Baca aja di 👇🏼</t>
  </si>
  <si>
    <t>https://linktr.ee/cnnindonesia</t>
  </si>
  <si>
    <t>cnnplus</t>
  </si>
  <si>
    <t>CNN+</t>
  </si>
  <si>
    <t>cnnpolitica</t>
  </si>
  <si>
    <t>CNN Política</t>
  </si>
  <si>
    <t>O perfil da @cnnbrasil que te deixa por dentro das últimas notícias sobre política nacional e internacional. 📰</t>
  </si>
  <si>
    <t>https://lnk.bio/cnnpolitica</t>
  </si>
  <si>
    <t>cnnpolitics</t>
  </si>
  <si>
    <t>CNN Politics</t>
  </si>
  <si>
    <t>On the ground and behind the scenes with CNN Politics.</t>
  </si>
  <si>
    <t>http://cnn.it/politics-links</t>
  </si>
  <si>
    <t>collider</t>
  </si>
  <si>
    <t>Collider is a digital publication delivering entertainment news, analysis, and commentary for the movie and television industries since 2005.</t>
  </si>
  <si>
    <t>https://tap.bio/@collider</t>
  </si>
  <si>
    <t>colliderfrosty</t>
  </si>
  <si>
    <t>Steven Weintraub</t>
  </si>
  <si>
    <t>Editor-in-chief</t>
  </si>
  <si>
    <t>http://collider.com</t>
  </si>
  <si>
    <t>colliders_</t>
  </si>
  <si>
    <t>COLLIDERS</t>
  </si>
  <si>
    <t>Marketing Agency</t>
  </si>
  <si>
    <t>We are a sports marketing agency representing and advising brands and athletes.
Our Entertainment Division @colliders_ent</t>
  </si>
  <si>
    <t>http://www.colliders.it</t>
  </si>
  <si>
    <t>co.lumnist</t>
  </si>
  <si>
    <t>Nadia Dryzytska</t>
  </si>
  <si>
    <t>🎙️✍️editor, journalist
🇺🇦Ukraine</t>
  </si>
  <si>
    <t>luxurycolumnist</t>
  </si>
  <si>
    <t>Luxury Columnist</t>
  </si>
  <si>
    <t>Award-winning website sharing travel, hidden gems and luxury for less tips
📍London based
💌 Email: info@luxurycolumnist.com</t>
  </si>
  <si>
    <t>https://linkin.bio/luxurycolumnist</t>
  </si>
  <si>
    <t>comicbook</t>
  </si>
  <si>
    <t>Your go-to source for geek news</t>
  </si>
  <si>
    <t>https://linkin.bio/comicbook</t>
  </si>
  <si>
    <t>commentator_254</t>
  </si>
  <si>
    <t>Commentator254</t>
  </si>
  <si>
    <t>JOURNALIST/ CONTENT CREATOR/ INFLUENCER
DAD to @santiago_theceo
ENTERTAINER💯
Bookings- officialcommentator254@gmail.com</t>
  </si>
  <si>
    <t>commentator_noggano</t>
  </si>
  <si>
    <t>😁По-братски, скидывайте интересные видео! 
✊🏻Если моя публикация, кого-то оскорбила, напишите мне в директ, я удалю...
✊🏻Всем мира и добра.</t>
  </si>
  <si>
    <t>birthdaypresence</t>
  </si>
  <si>
    <t>Birth Day Presence • birth worker trainings &amp; community</t>
  </si>
  <si>
    <t>👩‍🏫1000s of birthworkers trained. 
👪we connect doulas to parents @getboober
👇become a doula/ lactation birthdaypresence.com. Posts are on @getboober.</t>
  </si>
  <si>
    <t>https://linktr.ee/birthdaypresence</t>
  </si>
  <si>
    <t>canadiaan.icon</t>
  </si>
  <si>
    <t>CANADIAN COMMUNITY</t>
  </si>
  <si>
    <t>Advertising Agency</t>
  </si>
  <si>
    <t>Featuring the best in CANADIAN 📍
I LOCAL BUSINESS | STARTUPS | ART | TALENT |
MODELS | EVENTS | ETC..🇨🇦
📩 MUST DM TO GET FEATURED</t>
  </si>
  <si>
    <t>communityldn</t>
  </si>
  <si>
    <t>Community Festival 🎶</t>
  </si>
  <si>
    <t>A one day celebration of the best in Indie music. ☀️</t>
  </si>
  <si>
    <t>https://communityfestival.london</t>
  </si>
  <si>
    <t>communitytv</t>
  </si>
  <si>
    <t>Official Instagram of Community. Streaming on @peacock, @hulu, and @tubi (seasons 3 &amp; 4)! Movie also coming soonish on @peacock.</t>
  </si>
  <si>
    <t>incommunity</t>
  </si>
  <si>
    <t>Who are we? Easy. 
The leading conversational SMS platform connecting brands + creators with their audiences. Direct, personal, and at scale.📱💬</t>
  </si>
  <si>
    <t>https://www.community.com/about</t>
  </si>
  <si>
    <t>shia_online_comunity</t>
  </si>
  <si>
    <t>Shia Online Community</t>
  </si>
  <si>
    <t>Promoting Azadari Imam Hussain A.S
It's Offical Instagram Account of Shia Online Community.
Paid Promotions Available
Admin @jawaishraza5</t>
  </si>
  <si>
    <t>https://www.shia-online.com/</t>
  </si>
  <si>
    <t>spiritualleague</t>
  </si>
  <si>
    <t>Spiritual League | Spiritual Community</t>
  </si>
  <si>
    <t>💫 We are not human beings having a spiritual experience. We are spiritual beings having a human experience ✨️
Youtube 👇</t>
  </si>
  <si>
    <t>https://academy.spiritualleague.com/l/3bcff438f5</t>
  </si>
  <si>
    <t>complex</t>
  </si>
  <si>
    <t>COMPLEX</t>
  </si>
  <si>
    <t>🛍️ @ComplexShop
💥@ComplexCon
🎧@ComplexMusic 
👟@ComplexSneakers
🏀@ComplexSports 
💧@ComplexStyle 
🎬@ComplexPop
📰@ComplexInPrint 
🍽️ @FamilyStyleFest</t>
  </si>
  <si>
    <t>https://linkin.bio/complex</t>
  </si>
  <si>
    <t>complexcon</t>
  </si>
  <si>
    <t>ComplexCon</t>
  </si>
  <si>
    <t>Las Vegas. October 25 - 26th, 2025</t>
  </si>
  <si>
    <t>https://cmplx.it/43J9HtY</t>
  </si>
  <si>
    <t>complexmusic</t>
  </si>
  <si>
    <t>Complex Music</t>
  </si>
  <si>
    <t>Never not listening.</t>
  </si>
  <si>
    <t>https://linkin.bio/complexmusic</t>
  </si>
  <si>
    <t>complexnews</t>
  </si>
  <si>
    <t>Complex News</t>
  </si>
  <si>
    <t>Where Culture Meets News</t>
  </si>
  <si>
    <t>https://linkin.bio/complexnews</t>
  </si>
  <si>
    <t>complexodonordeste</t>
  </si>
  <si>
    <t>CPX - Complexo do Nordeste</t>
  </si>
  <si>
    <t>𝔻𝕖𝕤𝕕𝕖 𝕕𝕖 𝟚𝟘𝟙𝟠 © - SSA / BA 
🎬 o MAIOR Portal de entretenimento • humor •
cotidiano • cultura &amp; várzea de bairro.
📣 parceria e divulgação? chama no zap</t>
  </si>
  <si>
    <t>https://linktr.ee/cpxnordeste</t>
  </si>
  <si>
    <t>complexpop</t>
  </si>
  <si>
    <t>Complex Pop</t>
  </si>
  <si>
    <t>Never not watching.</t>
  </si>
  <si>
    <t>https://linkin.bio/ig-complexpop</t>
  </si>
  <si>
    <t>complexshop</t>
  </si>
  <si>
    <t>Complex SHOP</t>
  </si>
  <si>
    <t>Shop exclusive releases and sign up for updates.</t>
  </si>
  <si>
    <t>https://linkin.bio/complexshop</t>
  </si>
  <si>
    <t>complexsneakers</t>
  </si>
  <si>
    <t>Complex Sneakers</t>
  </si>
  <si>
    <t>Making sneakers pop. 
@sneakershopping</t>
  </si>
  <si>
    <t>https://linkin.bio/complexsneakers</t>
  </si>
  <si>
    <t>complexstyle</t>
  </si>
  <si>
    <t>Complex Style</t>
  </si>
  <si>
    <t>@complexshop ⬅️🛒💳🛍️</t>
  </si>
  <si>
    <t>https://linkin.bio/complexstyle</t>
  </si>
  <si>
    <t>llcomplex_ru</t>
  </si>
  <si>
    <t>УНИКАЛЬНЫЙ ЛЕЧЕБНЫЙ LL-COMPLEX</t>
  </si>
  <si>
    <t>Health/beauty</t>
  </si>
  <si>
    <t>💧Полностью натуральный продукт
🧑‍🧒 Для детей и взрослых
Доставка по 🇷🇺🇧🇾🇰🇿🇰🇬
⤵️ Для бесплатной консультации</t>
  </si>
  <si>
    <t>o_complex_com</t>
  </si>
  <si>
    <t>ПРИРОДНЫЙ ЦЕОЛИТ ▪️ ДЕТОКС ▪️ Smart продукты</t>
  </si>
  <si>
    <t>ЦЕОЛИТ
который помог &gt; 1000 людей избавиться 
• от аллергии
• кожных высыпаний 
•  проблем с ЖКТ и не только 
Польза научно доказана ⤵️</t>
  </si>
  <si>
    <t>https://o-complex.com/katalog/?utm_source=instagram&amp;utm_medium=menu&amp;utm_campaign=head_fix&amp;utm_pain=obshii&amp;promo=%25D0%259D%25D0%259E%25D0%2592%25D0%2590%25D0%25AF%25D0%2596%25D0%2598%25D0%2597%25D0%259D%25D0%25AC</t>
  </si>
  <si>
    <t>333lv</t>
  </si>
  <si>
    <t>Sports Complex 333</t>
  </si>
  <si>
    <t>▫️Kartingi
▫️Droša braukšana
▫️Kafejnīca
▫️Ūdens parks
▫️Kempings
▫️Pasākumi</t>
  </si>
  <si>
    <t>http://linktr.ee/333lv</t>
  </si>
  <si>
    <t>complexsports</t>
  </si>
  <si>
    <t>⚽️  @complex.fc  ⚽️ 
Where sports meets culture.</t>
  </si>
  <si>
    <t>https://linkin.bio/complexsports</t>
  </si>
  <si>
    <t>turan_sports_complex</t>
  </si>
  <si>
    <t>ФИТНЕС КЛУБ | БОРЬБА | БОКС | ШЫМКЕНТ</t>
  </si>
  <si>
    <t>Gym/Physical Fitness Center</t>
  </si>
  <si>
    <t>▫️Сертифицированные тренера
▫️Спортзал 
▫️Бокс|ММА|Грэпплинг
▫️Вольная и Греко-Римская борьба
📍Парковка 
Связаться👇🏻</t>
  </si>
  <si>
    <t>https://taplink.cc/turan_sport_complex</t>
  </si>
  <si>
    <t>cntraveler</t>
  </si>
  <si>
    <t>Condé Nast Traveler</t>
  </si>
  <si>
    <t>The world made local. 🗺️
👇 tap here for links to stories</t>
  </si>
  <si>
    <t>http://likeshop.me/cntraveler</t>
  </si>
  <si>
    <t>cntravelerspain</t>
  </si>
  <si>
    <t>Condé Nast Traveler España</t>
  </si>
  <si>
    <t>Revista de viajes y estilo de vida del grupo Condé Nast 🌍 
Lee nuestras historias aquí 👇</t>
  </si>
  <si>
    <t>https://likeshop.me/cntravelerspain</t>
  </si>
  <si>
    <t>contentbible</t>
  </si>
  <si>
    <t>CONTENTbible</t>
  </si>
  <si>
    <t>📩 - Email us to license our videos
🎥 - #submityourcontent to www.ladbible.com/submit/ and earn some 💷
👇 For more of our viral content check out</t>
  </si>
  <si>
    <t>https://www.thecontentbible.com/</t>
  </si>
  <si>
    <t>contente.vc</t>
  </si>
  <si>
    <t>Contente.vc</t>
  </si>
  <si>
    <t>Somos um veículo baseado em dados que produz conteúdo autoral e investigativo, pautando conversas contemporâneas em comunidade.
📩: contato@contente.vc</t>
  </si>
  <si>
    <t>https://linktr.ee/contente.vc</t>
  </si>
  <si>
    <t>createcontent.club</t>
  </si>
  <si>
    <t>CCC | Create Content Club</t>
  </si>
  <si>
    <t>🎥 | We help businesses scale with content
📈 | 0 to 400K in 1 year + 150M views generated
⬇️ | Scale your biz with our proven content system</t>
  </si>
  <si>
    <t>http://createcontent.club/1?source=IG_bio</t>
  </si>
  <si>
    <t>creatorcontentology</t>
  </si>
  <si>
    <t>Creator Contentology - Content Creation</t>
  </si>
  <si>
    <t>Grow your profitable brand on Instagram
0 to 100K Followers in 37 Days
Free training is launching soon</t>
  </si>
  <si>
    <t>devinjatho</t>
  </si>
  <si>
    <t>Devin Jatho | Content Marketing</t>
  </si>
  <si>
    <t>🧠 | Building Profitable Personal Brands
💵 | Traced $57M+ in Organic Client Revenue
🌐 | See What Built It 👇</t>
  </si>
  <si>
    <t>http://nexuscreator.com</t>
  </si>
  <si>
    <t>h_a_u_w_a</t>
  </si>
  <si>
    <t>Content Creator</t>
  </si>
  <si>
    <t>I cause trouble. 
Winner, The Future Awards Prize
✉️ - hauwa@eggcorndigital.com
Subscribe to my YOUTUBE 👇🏽</t>
  </si>
  <si>
    <t>https://www.youtube.com/watch?v=TsMH1mywCus</t>
  </si>
  <si>
    <t>iam.awilda</t>
  </si>
  <si>
    <t>Awilda/UGC/content creator</t>
  </si>
  <si>
    <t>Fashion stylist -Tailored guidance, curated looks, and trend expetise
Collaborating with brands. UGC Creator
Shop my looks ⬇️</t>
  </si>
  <si>
    <t>http://www.wearitanyway.com</t>
  </si>
  <si>
    <t>jizzas.content</t>
  </si>
  <si>
    <t>JIZZA THE OWNER</t>
  </si>
  <si>
    <t>📩jizzatheowner@gmail.com
1/6 @smileyboys.comm 🤝
Inyourbooty 🕺</t>
  </si>
  <si>
    <t>https://www.jizzatheowner.com/</t>
  </si>
  <si>
    <t>kate_in_london_</t>
  </si>
  <si>
    <t>Kate Goodwin | Content Creator</t>
  </si>
  <si>
    <t>📍London based content creator
Luxury Hotels | Restaurants🥂
🌸 Florals | Solo Travel | Lifestyle
Email: Kateg5@hotmail.com
Social Media Management &amp; UGC</t>
  </si>
  <si>
    <t>https://www.tiktok.com/@kate_in_london_?_t=ZN-8wGv9PjDM74&amp;_r=1</t>
  </si>
  <si>
    <t>kekecontent</t>
  </si>
  <si>
    <t>Keké Content | Creación de Contenido</t>
  </si>
  <si>
    <t>Me siento Content 😁 ¡Ke kéeee!
Audiovisual | Fotografía | Diseño Gráfico | Manejo RRSS | Marketing
Mia🇺🇸📍
Creators @lorelachesca &amp; @dariansphotography</t>
  </si>
  <si>
    <t>personalbrandlaunch</t>
  </si>
  <si>
    <t>Ava | Content Marketing | Social Media Management</t>
  </si>
  <si>
    <t>Social Media Agency</t>
  </si>
  <si>
    <t>📱Helping Business Owners Grow &amp; Sell on Social
👩‍💻 Social Media Management 
📈 Built million $ biz w/ social media 
👇Want to work together?</t>
  </si>
  <si>
    <t>https://www.pblaunch.com</t>
  </si>
  <si>
    <t>social.shirley</t>
  </si>
  <si>
    <t>Shirley Mosad | Content | Marketing | Business</t>
  </si>
  <si>
    <t>Learn the art of instant-yes sales ⚡ 
Automate your income + build a freedom business that works while you don’t 
Freedom is here ⤵️</t>
  </si>
  <si>
    <t>https://www.socialshirley.com/social-shirley-solutions-store-ig</t>
  </si>
  <si>
    <t>the.contentcove</t>
  </si>
  <si>
    <t>The Content Cove ~ Lifestyle Videos For Your Socials</t>
  </si>
  <si>
    <t>☕️ Aesthetic Videos For Your Feed
🤳Sign up ~ Download ~ Post
🎞️ New Vids Every 2 Weeks, Unlimited Access
The Most On-Trend Content Bank (2600+ vids)</t>
  </si>
  <si>
    <t>https://linktr.ee/the.contentcove</t>
  </si>
  <si>
    <t>the_content_machine</t>
  </si>
  <si>
    <t>Content Machine</t>
  </si>
  <si>
    <t>Two 6’ 3” kings
contentmachine@madebyall.com</t>
  </si>
  <si>
    <t>thecontenttray</t>
  </si>
  <si>
    <t>Content Creation | UK UGC &amp; Video Creator| Content Strategy</t>
  </si>
  <si>
    <t>🇬🇧📍UGC/Video Creator
 @aframdanielle’s lab
☕ Spilling the content tea,
🧠 300+ students trained
💌 thecontenttray@gmail.com
🔗 Tips, tools &amp; training ↓</t>
  </si>
  <si>
    <t>https://linktr.ee/aframdanielle</t>
  </si>
  <si>
    <t>valerie_lisitsyna</t>
  </si>
  <si>
    <t>Content Creator Tips | Valerie Lisitsyna</t>
  </si>
  <si>
    <t>🤍Blessed Christian girl 
🇮🇹Studying art abroad in Italy
💌DM me the word “CONTENT” for my free cinematic guide
✨I share content &amp; influencer tips</t>
  </si>
  <si>
    <t>https://valcourse.com/link/</t>
  </si>
  <si>
    <t>wegetcontent</t>
  </si>
  <si>
    <t>WE GET CONTENT</t>
  </si>
  <si>
    <t>Helping brands source trendy content from creators—download for $1.99 use it for reels, ads &amp; more. No back and forth just ready-to-post content 🛒</t>
  </si>
  <si>
    <t>https://wegetcontent.co/</t>
  </si>
  <si>
    <t>_xandrarb</t>
  </si>
  <si>
    <t>Content creator🪽🌷</t>
  </si>
  <si>
    <t>🎓Social Comunicator| Beauty| Lifestyle| 🤎
💌:elixandrabaez22@gmail.com</t>
  </si>
  <si>
    <t>contributormagazine</t>
  </si>
  <si>
    <t>Contributor Magazine</t>
  </si>
  <si>
    <t>Exploring fashion through art and photography since 2008. Online &amp; print. For submissions e-mail: info@contributormagazine.com</t>
  </si>
  <si>
    <t>https://contributormagazine.com/</t>
  </si>
  <si>
    <t>delyannethemoneycoach</t>
  </si>
  <si>
    <t>Investing Coach | Forbes Contributor | CNN Pod Host</t>
  </si>
  <si>
    <t>💡I teach investors how to Slay the Stock Market® - 7,700+ students
Forbes Contributor | CNN Pod Host
Award-Winning Education not Advice
FREE GUIDE 👇🏽</t>
  </si>
  <si>
    <t>http://www.getslayguide.com</t>
  </si>
  <si>
    <t>dr.leahkatz</t>
  </si>
  <si>
    <t>Dr. Leah Katz | Psychologist | Speaker I Media Contributor</t>
  </si>
  <si>
    <t>NY,OR,FL
healing, relationships, &amp; mindfulness 
📕 Gutsy: Mindfulness Practices for Everyday Bravery
Partnerships: leah@drleahkatz.com</t>
  </si>
  <si>
    <t>http://www.drleahkatz.com/7day-mindfulness-challenge</t>
  </si>
  <si>
    <t>correspondentedinamico</t>
  </si>
  <si>
    <t>Correspondente Dinâmico</t>
  </si>
  <si>
    <t>+150.000 Correspondentes Jurídicos em todo o Brasil
Nossa Inteligência Artificial está revolucionando a área da Correspondência Jurídica</t>
  </si>
  <si>
    <t>https://correspondentedinamico.com.br/bio</t>
  </si>
  <si>
    <t>decorrespondent</t>
  </si>
  <si>
    <t>De Correspondent</t>
  </si>
  <si>
    <t>Volg ons voor verhalen die je helpen de wereld te begrijpen.</t>
  </si>
  <si>
    <t>https://linkin.bio/ig-decorrespondent</t>
  </si>
  <si>
    <t>goodnewsjourno</t>
  </si>
  <si>
    <t>Good News Correspondent</t>
  </si>
  <si>
    <t>GOOD NEWS CORRESPONDENT for @goodnews_movement</t>
  </si>
  <si>
    <t>_ksenia_tv_</t>
  </si>
  <si>
    <t>𝘾𝙤𝙧𝙧𝙚𝙨𝙥𝙤𝙣𝙙𝙚𝙣𝙩  / 𝙏𝙑-𝙝𝙤𝙨𝙩 / 𝙈𝙚𝙙𝙞𝙖 / 𝙉𝙚𝙬𝙨 🎬</t>
  </si>
  <si>
    <t>theeuropeancorrespondent</t>
  </si>
  <si>
    <t>The European Correspondent</t>
  </si>
  <si>
    <t>Keeping Europeans up to date, all over the continent.
Join us by signing up for our daily newsletter:</t>
  </si>
  <si>
    <t>http://europeancorrespondent.com</t>
  </si>
  <si>
    <t>corriere</t>
  </si>
  <si>
    <t>Quotidiano fondato a Milano nel 1876
News ✏️ • Video 🎥 • Immagini 📸</t>
  </si>
  <si>
    <t>https://piano.trib.al/corriere</t>
  </si>
  <si>
    <t>dataroomgabanelli</t>
  </si>
  <si>
    <t>Dataroom di Milena Gabanelli | Corriere della Sera</t>
  </si>
  <si>
    <t>• Dati e fatti spiegati in meno di 3 minuti 📈
• Leggi qui l’ultima inchiesta👇</t>
  </si>
  <si>
    <t>https://www.corriere.it/dataroom-milena-gabanelli/siti-incel-italiani-sono-decine-chi-c-e-dietro-e-come-fanno-soldi-sull-odio-contro-le-donne/edb05f9b-b26b-4ce5-9017-9eb0dc66axlk.shtml</t>
  </si>
  <si>
    <t>livingcorriere</t>
  </si>
  <si>
    <t>Living - Corriere della Sera</t>
  </si>
  <si>
    <t>Dalla redazione e in giro per il mondo, tutto il meglio dell'abitare #LivingCorriere</t>
  </si>
  <si>
    <t>https://linkin.bio/livingcorriere</t>
  </si>
  <si>
    <t>cosmopolitan</t>
  </si>
  <si>
    <t>Since 1965.</t>
  </si>
  <si>
    <t>http://likeshop.me/cosmopolitan</t>
  </si>
  <si>
    <t>cosmopolitan_es</t>
  </si>
  <si>
    <t>Cosmopolitan España</t>
  </si>
  <si>
    <t>¡Bienvenida, #ChicaCosmo! 👯‍♀️💋💥
👉 Síguenos en TikTok: cosmopolitanspain
Link en bio ⬇️</t>
  </si>
  <si>
    <t>https://mtr.bio/cosmopolitan</t>
  </si>
  <si>
    <t>cosmopolitan_fr</t>
  </si>
  <si>
    <t>Cosmopolitan France</t>
  </si>
  <si>
    <t>Retrouvez nos derniers articles  ✨</t>
  </si>
  <si>
    <t>https://linktr.ee/CosmopolitanFrance</t>
  </si>
  <si>
    <t>cosmopolitan_hk</t>
  </si>
  <si>
    <t>Cosmopolitan HK Official</t>
  </si>
  <si>
    <t>💖分享全球最新美容時尚潮流及健康生活資訊
Community of Fun &amp; Fearless Female</t>
  </si>
  <si>
    <t>https://www.cosmopolitan.com.hk</t>
  </si>
  <si>
    <t>cosmopolitankorea</t>
  </si>
  <si>
    <t>COSMOPOLITAN KOREA 코스모폴리탄 코리아</t>
  </si>
  <si>
    <t>코스모폴리탄 ✨25주년✨ 9월호의 커버 스타는 박규영💗</t>
  </si>
  <si>
    <t>https://litt.ly/cosmopolitankorea</t>
  </si>
  <si>
    <t>cosmopolitan_lv</t>
  </si>
  <si>
    <t>The Cosmopolitan of Las Vegas</t>
  </si>
  <si>
    <t>Hotel</t>
  </si>
  <si>
    <t>The Cosmopolitan of Las Vegas is a unique luxury resort in the heart of The Las Vegas Strip.
An @mgmrewards destination (21+)</t>
  </si>
  <si>
    <t>https://www.cosmopolitanlasvegas.com/</t>
  </si>
  <si>
    <t>cosmopolitanmx</t>
  </si>
  <si>
    <t>Cosmopolitan México</t>
  </si>
  <si>
    <t>La revista femenina que está contigo en todo momento ✨💄👠</t>
  </si>
  <si>
    <t>https://lnk.bio/cosmopolitanmx</t>
  </si>
  <si>
    <t>cosmopolitanph</t>
  </si>
  <si>
    <t>Cosmopolitan Philippines</t>
  </si>
  <si>
    <t>Fun. Fearless. Forward.
#ClickCosmo ⬇️</t>
  </si>
  <si>
    <t>https://www.tiktok.com/@cosmopolitanph?_t=ZS-8tFCkLpFgeY&amp;_r=1</t>
  </si>
  <si>
    <t>cosmopolitan_tw</t>
  </si>
  <si>
    <t>柯夢波丹 Cosmopolitan Taiwan</t>
  </si>
  <si>
    <t>全球最懂女性美妝媒體
美妝趨勢、星座占卜、時尚穿搭與生活風格指南</t>
  </si>
  <si>
    <t>https://lin.ee/SGcFjag</t>
  </si>
  <si>
    <t>cosmopolitanuk</t>
  </si>
  <si>
    <t>Cosmopolitan UK</t>
  </si>
  <si>
    <t>Your go-to women’s brand for fashion, beauty, celebrity news and love and sex advice.  Tap the link below for the latest stories ✨</t>
  </si>
  <si>
    <t>https://likeshop.me/cosmopolitanuk</t>
  </si>
  <si>
    <t>cosmopolitanukraine</t>
  </si>
  <si>
    <t>Cosmopolitan Ukraine</t>
  </si>
  <si>
    <t>The official page of Cosmopolitan Ukraine 🇺🇦</t>
  </si>
  <si>
    <t>https://www.cosmo.com.ua/people/celebrities/u-sviy-den-narodzhennya-dzhamala-prezentuvala-trek-zorya-ta-stala-heroyineyu-obkladynky-cosmopolitan/</t>
  </si>
  <si>
    <t>cosmopolitanvintage</t>
  </si>
  <si>
    <t>Cosmopolitan Vintage</t>
  </si>
  <si>
    <t>Vintage Store</t>
  </si>
  <si>
    <t>"cosmopolitan" / "cosmopolite" — a lover of style, stories &amp; cities.
💌 dm for free sourcing requests
(we are not affiliated with brands)</t>
  </si>
  <si>
    <t>https://cosmopolitanvintage.com/</t>
  </si>
  <si>
    <t>fashion_cosmopolitan</t>
  </si>
  <si>
    <t>Fashion Daily Inspo</t>
  </si>
  <si>
    <t>• Share your style and be inspired
📩 fashioncosmopolitanpromo@gmail.com</t>
  </si>
  <si>
    <t>https://maxoutletstore.com/products/nasal-stick-4-pcs?_pos=2&amp;_psq=nasa&amp;_ss=e&amp;_v=1.0</t>
  </si>
  <si>
    <t>chiefs.hive</t>
  </si>
  <si>
    <t>Kansas City Chiefs Coverage</t>
  </si>
  <si>
    <t>• 🏈 Your touchdown for Chiefs Updates, Scoops, &amp; Highlights
• 📬 For Business Inquiries, Drop a Message
• Also covering the Royals: Follow @royals.hive</t>
  </si>
  <si>
    <t>https://msha.ke/chiefshive</t>
  </si>
  <si>
    <t>coverageduo</t>
  </si>
  <si>
    <t>𝑪𝒐𝒗𝒆𝒓𝒂𝒈𝒆 𝑯𝒐𝒄𝒉𝒛𝒆𝒊𝒕𝒔𝒃𝒂𝒏𝒅 𝑼𝒏𝒑𝒍𝒖𝒈𝒈𝒆𝒅 𝑫𝒖𝒐/𝑷𝒂𝒓𝒕𝒚/𝑩𝒂𝒏𝒅</t>
  </si>
  <si>
    <t>🎼 100% Live-Musik mit Gefühl für Hochzeiten &amp; Events
👰 Meistgebuchte Hochzeitsband in Österreich
🎶 Jetzt anfragen für unvergleichliche Live-Musik!</t>
  </si>
  <si>
    <t>http://www.coverage.at</t>
  </si>
  <si>
    <t>coverageesports</t>
  </si>
  <si>
    <t>Coverage | كوفرج</t>
  </si>
  <si>
    <t>Media Agency</t>
  </si>
  <si>
    <t>منصّة تُقدم كل ما يتعلق بالإعلام من الأعمال و الأخبار في الرياضات الإلكترونية | حيث الإعلام الرياضي الإلكتروني بطرحٍ متفرد</t>
  </si>
  <si>
    <t>https://coverageesports.com</t>
  </si>
  <si>
    <t>coverage.intl</t>
  </si>
  <si>
    <t>COVERAGE</t>
  </si>
  <si>
    <t>🕯 Rituals of Korea, reimagined for Pakistan.
📅 A new chapter begins 12th Sept</t>
  </si>
  <si>
    <t>http://coverageskincare.com</t>
  </si>
  <si>
    <t>lifestyle_production_group</t>
  </si>
  <si>
    <t>Real Estate Media | Global Coverage</t>
  </si>
  <si>
    <t>Photography Videography</t>
  </si>
  <si>
    <t>🎥 - ULTRA Luxury Real Estate
🏆 - 3× Inc 5000 Fastest-Growing Company
📈 - We Help Your Listing Go Viral
👨‍💻 - New Owner @brad.ziemer</t>
  </si>
  <si>
    <t>https://lifestyleproduction.com</t>
  </si>
  <si>
    <t>postclimate</t>
  </si>
  <si>
    <t>Washington Post climate coverage</t>
  </si>
  <si>
    <t>Climate news you can use and extreme weather coverage from @washingtonpost's award-winning team</t>
  </si>
  <si>
    <t>https://wapo.st/climateig</t>
  </si>
  <si>
    <t>sondheim_daily</t>
  </si>
  <si>
    <t>Stephen Sondheim Clips and Coverage</t>
  </si>
  <si>
    <t>I’ll let you know when Stravinsky has a hit</t>
  </si>
  <si>
    <t>uofm.coverage</t>
  </si>
  <si>
    <t>Michigan Wolverines</t>
  </si>
  <si>
    <t>〽️ | Michigan sports and recruiting 
🔔 | Turn on post notifications
Not affiliated with Michigan</t>
  </si>
  <si>
    <t>http://x.com/uofmcoverage</t>
  </si>
  <si>
    <t>propertymart_jogja</t>
  </si>
  <si>
    <t>Jual Property | Coverage Area Jogja</t>
  </si>
  <si>
    <t>Real Estate Agent</t>
  </si>
  <si>
    <t>🏠Update Property Se Jogja 
🔑Bisa Titip Jual Atau Kerjasama
👉🏻Follow Atau DM IG WA
@propertymart_jogja 
Untuk List Tanah 👇
@republikproperty</t>
  </si>
  <si>
    <t>creator</t>
  </si>
  <si>
    <t>Creators | Entertainment | Culture</t>
  </si>
  <si>
    <t>🎥 Instagram’s Original Source For Creators And Internet Culture
✉️ creator@explaining.co</t>
  </si>
  <si>
    <t>creators</t>
  </si>
  <si>
    <t>Instagram’s @Creators</t>
  </si>
  <si>
    <t>A creator’s guide to Instagram... by Instagram✨</t>
  </si>
  <si>
    <t>https://apps.apple.com/app/apple-store/id6738967378?pt=428156&amp;ct=%2540creators%252520bio%252520link&amp;mt=8</t>
  </si>
  <si>
    <t>feliciathegoat</t>
  </si>
  <si>
    <t>Tyler, The Creator</t>
  </si>
  <si>
    <t>hawthorne baby</t>
  </si>
  <si>
    <t>https://youtu.be/kZfz5UlsHlQ?si=5BP4QjQerC356FW5</t>
  </si>
  <si>
    <t>alyssa_therecipecritic</t>
  </si>
  <si>
    <t>Alyssa Rivers | The Recipe Critic</t>
  </si>
  <si>
    <t>Real food. Real life. Real picky eaters ❤️
Author of The Tried &amp; True Cookbook 📖
⬇️ Shop my Amazon Favs + Finds!</t>
  </si>
  <si>
    <t>https://sites.prh.com/tried-and-true-cookbook</t>
  </si>
  <si>
    <t>critical_role</t>
  </si>
  <si>
    <t>Critical Role</t>
  </si>
  <si>
    <t>The home of #CriticalRole, #ExandriaUnlimited, #AgeOfUmbra, and MORE! Join us for epic adventures on @hellobeacon, Twitch, &amp; YT</t>
  </si>
  <si>
    <t>https://critrole.com/2026-echoes-of-exandria-tour/</t>
  </si>
  <si>
    <t>criticapa02</t>
  </si>
  <si>
    <t>Critica Panamá</t>
  </si>
  <si>
    <t>Somos el diario N°1 en circulación de Panamá. Nos identificamos con la cultura popular con información sin tapujos, ni tabúes.</t>
  </si>
  <si>
    <t>https://linkmy.photos/criticapa02</t>
  </si>
  <si>
    <t>eduroam.critic</t>
  </si>
  <si>
    <t>Eduroam Critic</t>
  </si>
  <si>
    <t>✉️ DM me your memes and confessions!</t>
  </si>
  <si>
    <t>fashion_critic_</t>
  </si>
  <si>
    <t>Red Carpet Fashion Awards</t>
  </si>
  <si>
    <t>Fashion Critic
Celebrating the art of red carpet fashion
📍From Cannes to the Met Gala
#redcarpetfashion #celebrityfashion</t>
  </si>
  <si>
    <t>http://www.redcarpet-fashionawards.com/</t>
  </si>
  <si>
    <t>gastrocriticvlc</t>
  </si>
  <si>
    <t>GASTROCRITIC🍴</t>
  </si>
  <si>
    <t>👫🏽 Foodies amantes de la comida
📍Valencia
📥gastrocriticvlc@gmail.com</t>
  </si>
  <si>
    <t>https://www.tiktok.com/@gastrocriticvlc?_t=8kN26mJWvhY&amp;_r=1</t>
  </si>
  <si>
    <t>guillescentlover</t>
  </si>
  <si>
    <t>G. Pizarro | Perfume Reviewer and Critic</t>
  </si>
  <si>
    <t>Don't rush your olfactory journey; savor it in every fragrance you discover.
¡𝐅𝐎𝐋𝐋𝐎𝐖 𝐌𝐄! ♥️🤍❤️
+84'000 YouTube subscribers since 2019</t>
  </si>
  <si>
    <t>http://guillescentlover.com</t>
  </si>
  <si>
    <t>lacriticalmass</t>
  </si>
  <si>
    <t>Los Angeles Critical Mass</t>
  </si>
  <si>
    <t>Sports Event</t>
  </si>
  <si>
    <t>Official Instagram of America's Largest Community Bike Ride Every last Friday of the month.
Wilshire &amp; Western 
Meet: 6:30p
Rolling: 7:29p
20+ miles</t>
  </si>
  <si>
    <t>http://la-criticalmass.org</t>
  </si>
  <si>
    <t>my.little.food.critic</t>
  </si>
  <si>
    <t>Shikha Gill</t>
  </si>
  <si>
    <t>✨Feeding kids, made easy→ weaning guide, picky eating advice &amp; EASY recipes 
✨NON TOXIC stainless steel plates👇🏼
✨No 1 Best-selling recipe app👇🏼</t>
  </si>
  <si>
    <t>https://linktr.ee/mylittlefoodcritic</t>
  </si>
  <si>
    <t>notesbymike</t>
  </si>
  <si>
    <t>Micheal Uppal | Fragrance Reviewer | Perfume Critic</t>
  </si>
  <si>
    <t>Beauty, cosmetic &amp; personal care</t>
  </si>
  <si>
    <t>Micheal Uppal | Perfumes &amp; Fashion
🌸Daily Scent Picks | Perfume Recos
🕰️Watches | Style | Fashion Finds
📧For Collabs</t>
  </si>
  <si>
    <t>https://youvora.com/collections/trescho</t>
  </si>
  <si>
    <t>ocriticoqueninguempediu</t>
  </si>
  <si>
    <t>bruno miranda</t>
  </si>
  <si>
    <t>chega de perder tempo vendo coisa ruim, né? 🤝
📩 ocritico@popcreator.com.br</t>
  </si>
  <si>
    <t>https://youtu.be/lTXgT_ih5NQ?si=zp51RJ4VFXZ2n2AQ</t>
  </si>
  <si>
    <t>sentitcritic</t>
  </si>
  <si>
    <t>CRÍTIC</t>
  </si>
  <si>
    <t>📝 Periodisme amb #SentitCrític
🔎 Investigació | Entrevistes | Anàlisi
⬇️ Llegeix els últims temes</t>
  </si>
  <si>
    <t>https://www.elcritic.cat/?utm_source=Instagram&amp;utm_medium=bio&amp;utm_campaign=vacances</t>
  </si>
  <si>
    <t>bohotrips.culture</t>
  </si>
  <si>
    <t>BohoTrips🇺🇦</t>
  </si>
  <si>
    <t>Performance Art</t>
  </si>
  <si>
    <t>↠ Новий рівень твоїх подорожей. Якісно та стильно. 
↠ Nomads, creators, dreamers.
↠ Be part of it.</t>
  </si>
  <si>
    <t>http://bohotrips.com.ua/</t>
  </si>
  <si>
    <t>culturetrip</t>
  </si>
  <si>
    <t>Travel Company</t>
  </si>
  <si>
    <t>🌍 Your Gateway To Unique Adventures 🚀
✨ Discover unique guides &amp; explore our premium small-group trips. 🧳
Get inspired &amp; book today! 👇</t>
  </si>
  <si>
    <t>https://theculturetrip.com/link-in-bio/?utm_source=instagram&amp;utm_medium=social&amp;utm_content=lib</t>
  </si>
  <si>
    <t>theculturetrip__</t>
  </si>
  <si>
    <t>The Culture Trip</t>
  </si>
  <si>
    <t>#TheCultureTrip 🌍
🤗 Collaborate to journey with us ✈️
🎨 Discover hidden gems &amp; cultural marvels 🗼</t>
  </si>
  <si>
    <t>thedailybeast</t>
  </si>
  <si>
    <t>The Daily Beast</t>
  </si>
  <si>
    <t>Independent. Intelligent. Influential. 
🚨Follow @thedailybeast everywhere🚨
🚨Follow @beastobsessed🚨</t>
  </si>
  <si>
    <t>https://linkin.bio/ig-thedailybeast</t>
  </si>
  <si>
    <t>dailymail</t>
  </si>
  <si>
    <t>The biggest stories in News and Entertainment  ⚡️
⚽️🥊 @dailymailsport 
🇬🇧👥 @dailymailuk 
⭐️🎬 @thespotlight 
🕹️🎮 @therespawn
💷📈 @thisismoney</t>
  </si>
  <si>
    <t>https://qrco.de/DMNews</t>
  </si>
  <si>
    <t>dailymailau</t>
  </si>
  <si>
    <t>Daily Mail Australia</t>
  </si>
  <si>
    <t>Follow for the latest news, showbiz, lifestyle &amp; sport.
If you wish to make a complaint, email editorial@dailymail.com.au</t>
  </si>
  <si>
    <t>https://lnk.bio/dailymailau</t>
  </si>
  <si>
    <t>dailymailroyals</t>
  </si>
  <si>
    <t>Daily Mail Royals</t>
  </si>
  <si>
    <t>Seriously Popular Royals 👑✨</t>
  </si>
  <si>
    <t>http://dailymail.co.uk/palaceconfidential</t>
  </si>
  <si>
    <t>dailymailsport</t>
  </si>
  <si>
    <t>Daily Mail Sport</t>
  </si>
  <si>
    <t>Your home for the best pictures, videos &amp; viral moments from the world of sport 📸🎙️🟢</t>
  </si>
  <si>
    <t>https://linktr.ee/mailsport</t>
  </si>
  <si>
    <t>dailymailuk</t>
  </si>
  <si>
    <t>At the heart of British culture 👩🏽‍🤝‍👨🏻🇬🇧</t>
  </si>
  <si>
    <t>http://lnk.bio/dailymailuk</t>
  </si>
  <si>
    <t>dallasnews</t>
  </si>
  <si>
    <t>The Dallas Morning News</t>
  </si>
  <si>
    <t>North Texas and the 🌎  through the lens of The Dallas Morning News.</t>
  </si>
  <si>
    <t>https://newsin.bio/dallasnews</t>
  </si>
  <si>
    <t>dazed</t>
  </si>
  <si>
    <t>@dazedfashion @dazedbeauty 
Find your creative community. Tap to get the Dazed Club app ⬇️</t>
  </si>
  <si>
    <t>https://dazd.co/2JBjUfr</t>
  </si>
  <si>
    <t>daze_dayz</t>
  </si>
  <si>
    <t>DAZE DAYZ</t>
  </si>
  <si>
    <t>𝟏𝟎𝐭𝐡 𝐀𝐧𝐧𝐢𝐯𝐞𝐫𝐬𝐚𝐫𝐲🎂
Sustainable Swim &amp; RTW with free spirit
More stories @dazedayz_girls 
Itaewon-ro 54-gil , 58-14 SEOUL</t>
  </si>
  <si>
    <t>https://linktr.ee/dazedayz</t>
  </si>
  <si>
    <t>dazedbeauty</t>
  </si>
  <si>
    <t>Dazed Beauty</t>
  </si>
  <si>
    <t>@dazed @dazedfashion 
Find your creative community. Get the Dazed Club app ⬇️</t>
  </si>
  <si>
    <t>https://linkin.bio/dazedbeauty</t>
  </si>
  <si>
    <t>dazedbutamazed</t>
  </si>
  <si>
    <t>Dazed but Amazed</t>
  </si>
  <si>
    <t>The things I make &amp; things I love.
Sleep. Wear. Lounge.
Byron Bay, Australia</t>
  </si>
  <si>
    <t>https://dazedbutamazed.com/</t>
  </si>
  <si>
    <t>dazedcanna</t>
  </si>
  <si>
    <t>Dazed Official Page 🪩
#StayDazed
Nothing for sale</t>
  </si>
  <si>
    <t>http://dazed.fun</t>
  </si>
  <si>
    <t>dazeddollll</t>
  </si>
  <si>
    <t>Fashion Designer</t>
  </si>
  <si>
    <t>📍LA | SD
⋆.𖥔˚ Just a girl creating things in her room ˚𖥔.⋆ 
💌 DazeddolTeam@redxtalent.com</t>
  </si>
  <si>
    <t>https://linktr.ee/Dazeddoll</t>
  </si>
  <si>
    <t>dazedfashion</t>
  </si>
  <si>
    <t>Dazed Fashion</t>
  </si>
  <si>
    <t>@dazed @dazedbeauty 
Find your creative community. Tap to get the Dazed Club app ⬇️</t>
  </si>
  <si>
    <t>http://linkin.bio/dazedfashion</t>
  </si>
  <si>
    <t>dazedkorea</t>
  </si>
  <si>
    <t>데이즈드 코리아 DAZED KOREA</t>
  </si>
  <si>
    <t>2025 JEWEL&amp;WATCH edition Pre-Order Available Now.</t>
  </si>
  <si>
    <t>http://www.dazedkorea.com/fashion/article/3150/detail.do?fbclid=PARlRTSAMjH-FleHRuA2FlbQIxMQABp9INvzIryUM4K3ozYajOma-5_X-m_e-HL04aS-FYzCWhUKVKftunEwhaf3E__aem_Qu-lzNP36Er6lllU-S0R4Q</t>
  </si>
  <si>
    <t>dazedmiddleeast</t>
  </si>
  <si>
    <t>Dazed MENA</t>
  </si>
  <si>
    <t>Issue 03</t>
  </si>
  <si>
    <t>https://lnk.at/dazedmiddleeast</t>
  </si>
  <si>
    <t>dazedmuzic</t>
  </si>
  <si>
    <t>That office with the DJ Decks. 
All things - Events, Music &amp; Media. Established in Bristol, UK - 2016⚡️
📧 Enquiries: ryan@dazedpromotions.co.uk</t>
  </si>
  <si>
    <t>https://linktr.ee/Dazedmuzic</t>
  </si>
  <si>
    <t>deadline</t>
  </si>
  <si>
    <t>𝘛𝘩𝘦 𝘿𝙚𝙛𝙞𝙣𝙞𝙩𝙞𝙫𝙚 𝘊𝘩𝘰𝘪𝘤𝘦 𝘧𝘰𝘳 𝘐𝘯𝘥𝘶𝘴𝘵𝘳𝘺 𝘐𝘯𝘴𝘪𝘥𝘦𝘳𝘴</t>
  </si>
  <si>
    <t>https://linkin.bio/deadline</t>
  </si>
  <si>
    <t>deadline_dr</t>
  </si>
  <si>
    <t>Udfordrende og overraskende perspektiver på dagens og tidens væsentligste historier.
Følg os også på Twitter og Facebook
Se alle udsendelser her:</t>
  </si>
  <si>
    <t>https://www.dr.dk/drtv/serie/deadline_7111</t>
  </si>
  <si>
    <t>deadspin</t>
  </si>
  <si>
    <t>Sports news without fear, favor or compromise</t>
  </si>
  <si>
    <t>http://linktr.ee/deadspin</t>
  </si>
  <si>
    <t>alice_delish</t>
  </si>
  <si>
    <t>Alice Delish | Alisa Levina</t>
  </si>
  <si>
    <t>Hey bby’s ✩₊˚.⋆☾⋆⁺₊✧ 🧸
 Other pages @alicedelish &amp; @thebbyalice 
↓ come say hi ↓ 💖</t>
  </si>
  <si>
    <t>http://link.alicedelish.com</t>
  </si>
  <si>
    <t>deelishha</t>
  </si>
  <si>
    <t>Délisha 🎀</t>
  </si>
  <si>
    <t>💖2nd acc @delishayt
More of me 🎀 ↓</t>
  </si>
  <si>
    <t>http://link.me/delisha</t>
  </si>
  <si>
    <t>delish</t>
  </si>
  <si>
    <t>#DamnThatsDelish
Tap the link for full recipes👇</t>
  </si>
  <si>
    <t>http://likeshop.me/delish</t>
  </si>
  <si>
    <t>delish246</t>
  </si>
  <si>
    <t>Delish chia sẻ nhiều công thức nấu ăn mỗi ngày nè
⬇️ Đồ bếp chất lượng đỉnh nóc ở đây nhé cả nhà ơi!!!
Cviec ibox zalo: 0975861834</t>
  </si>
  <si>
    <t>deli.shawl</t>
  </si>
  <si>
    <t>شال ، روسری , دلی شال</t>
  </si>
  <si>
    <t>✨ کلکسیون شال و روسری‌های مستر و تاپ‌کوآلیتی
. سفارش از طریق سایت و دایرکت
▪️دارای نماد اعتماد الکترونیک
Support: 09100726636
سایت👇🏻</t>
  </si>
  <si>
    <t>https://delishawl.ir</t>
  </si>
  <si>
    <t>deli_shoo</t>
  </si>
  <si>
    <t>لباسخواب|نیمتنه|کاستوم</t>
  </si>
  <si>
    <t>فروش تک به قیمت عمده😎🤌🏼
تکی و عمده
📦 ارسال به سراسر کشور
📥 از طریق دایرکت یا سایت</t>
  </si>
  <si>
    <t>http://delishoo.ir</t>
  </si>
  <si>
    <t>deli__shop_</t>
  </si>
  <si>
    <t>دلی شاپ/مراقبت پوست ومو،زیبایی</t>
  </si>
  <si>
    <t>پوستت رو به خودم بسپار
تست واقعی محصولات+ضمانت رضایت
ثبت سفارش:دایرکت/سایت</t>
  </si>
  <si>
    <t>https://delibeauty.ir</t>
  </si>
  <si>
    <t>delishpk</t>
  </si>
  <si>
    <t>Gulberg 3, Lahore
•Facebook: www.facebook.com/delishpk 
• Orders +923226633884 
#delishpk #delishbyamina #celebratewithdelish</t>
  </si>
  <si>
    <t>http://www.delish.com.pk/</t>
  </si>
  <si>
    <t>everything_delish</t>
  </si>
  <si>
    <t>Jamie Milne</t>
  </si>
  <si>
    <t>thanks, I made it myself
self-taught cook, schmear enthusiast &amp; jack’s mom✨
rep @wasserman 
my recipes👇🏻</t>
  </si>
  <si>
    <t>http://www.everything-delish.com</t>
  </si>
  <si>
    <t>hassani.delish</t>
  </si>
  <si>
    <t>Amirhossein Hassani - امیرحسین حسنی</t>
  </si>
  <si>
    <t>Chef</t>
  </si>
  <si>
    <t>دِلی آشپزی کن ، چون آشپزی دِلیش خوبه
🧑‍🍳دانش آموخته و فعال در حوزه علم آشپزی
@hassani.ads 🤝 همکاری</t>
  </si>
  <si>
    <t>soydelishus</t>
  </si>
  <si>
    <t>Delishus</t>
  </si>
  <si>
    <t>Todo lo que ves aquí no solo se ve rico, sabe Delishus 🥰
📍CDMX 🇲🇽
📩 Hola@platanonetwork.com</t>
  </si>
  <si>
    <t>http://linktr.ee/soydelishus</t>
  </si>
  <si>
    <t>denofgeek</t>
  </si>
  <si>
    <t>By Experts, For Entertainment Fans. 🍿
Movies, TV, Games, Comics &amp; Culture. 🚀</t>
  </si>
  <si>
    <t>http://sprout.link/denofgeek</t>
  </si>
  <si>
    <t>spiegelmagazin</t>
  </si>
  <si>
    <t>DER SPIEGEL</t>
  </si>
  <si>
    <t>Sagen, was ist: Hier bekommt ihr die SPIEGEL-Highlights in Bildern und Videos – täglich neu.
Die Links zu den Inhalten aus dem Feed:</t>
  </si>
  <si>
    <t>https://spiegel.de/instagram-links</t>
  </si>
  <si>
    <t>designboom</t>
  </si>
  <si>
    <t>designboom magazine</t>
  </si>
  <si>
    <t>est. 1999 world’s FIRST online magazine 
architecture | art | design | technology</t>
  </si>
  <si>
    <t>https://www.designboom.com/</t>
  </si>
  <si>
    <t>designboom_house</t>
  </si>
  <si>
    <t>Architecture</t>
  </si>
  <si>
    <t>https://youtu.be/ZLJ7FdR_C7c</t>
  </si>
  <si>
    <t>designboom.ru</t>
  </si>
  <si>
    <t>Мебель. Декор. Посуда. Текстиль</t>
  </si>
  <si>
    <t>▪️Помогаем сделать дом стильным и современным
▪️Актуальные решения
▪️Только отобранные бренды
▪️Специальные условия для дизайнеров и стилистов</t>
  </si>
  <si>
    <t>https://designboom.ru/</t>
  </si>
  <si>
    <t>designboom.shop</t>
  </si>
  <si>
    <t>a curated commerce space by @designboom offering exclusive products and collectors items.</t>
  </si>
  <si>
    <t>https://www.designboom.com/shop/</t>
  </si>
  <si>
    <t>dezeen</t>
  </si>
  <si>
    <t>The world's most influential architecture, design and interiors magazine.</t>
  </si>
  <si>
    <t>http://sprout.link/dezeen</t>
  </si>
  <si>
    <t>dezeenawards_</t>
  </si>
  <si>
    <t>Dezeen Awards</t>
  </si>
  <si>
    <t>The world’s most influential architecture, interiors and design awards programme.</t>
  </si>
  <si>
    <t>https://sprout.link/dezeenawards_</t>
  </si>
  <si>
    <t>dezeenjobs</t>
  </si>
  <si>
    <t>Dezeen Jobs</t>
  </si>
  <si>
    <t>The world's leading recruitment site for architecture, interiors and design.</t>
  </si>
  <si>
    <t>http://sprout.link/dezeenjobs</t>
  </si>
  <si>
    <t>die.zeitmillionaerin</t>
  </si>
  <si>
    <t>✨Die Zeitmillionärin ✨- Manifestation &amp; Lebenszahl</t>
  </si>
  <si>
    <t>✨ Finde raus, was du wirklich willst (und brauchst)
💖 Mit Lebenszahl &amp; Manifest-Routine
💐Free Guide – dein Start ins Traumleben 👇</t>
  </si>
  <si>
    <t>https://diezeitmillionaerin.tentary.com/p/0yCjRQ</t>
  </si>
  <si>
    <t>zeit</t>
  </si>
  <si>
    <t>DIE ZEIT</t>
  </si>
  <si>
    <t>Nachrichten, Hintergründe und Debatten</t>
  </si>
  <si>
    <t>https://piano.trib.al/zeit</t>
  </si>
  <si>
    <t>digiday</t>
  </si>
  <si>
    <t>The home of modern media and marketing.</t>
  </si>
  <si>
    <t>https://shopgr.id/digiday</t>
  </si>
  <si>
    <t>digitaltrends</t>
  </si>
  <si>
    <t>Tech for the way we live.</t>
  </si>
  <si>
    <t>https://www.digitaltrends.com/social-links/</t>
  </si>
  <si>
    <t>digital_trends3</t>
  </si>
  <si>
    <t>This page looks at justice
(TrendingVideo - News | Current Affair)
plz 🙏 Follow me</t>
  </si>
  <si>
    <t>digital.trends34</t>
  </si>
  <si>
    <t>DIGITAL | TRENDS 💫</t>
  </si>
  <si>
    <t>Mobile Phone Shop</t>
  </si>
  <si>
    <t>ݺابتسم 📸
• Boutique store 🛍️
• accessoire | sponsor | photographe | imprimer | réparation 📌
• bordj bou arreridj 34🇩🇿
التوصيل متوفر 58 ولاية 🚚</t>
  </si>
  <si>
    <t>https://maps.app.goo.gl/G4aWh8Dw1g9LuYmy8?g_st=com.google.maps.preview.copy</t>
  </si>
  <si>
    <t>genesispicturesng</t>
  </si>
  <si>
    <t>Genesis Pictures Distribution</t>
  </si>
  <si>
    <t>Movie/television studio</t>
  </si>
  <si>
    <t>The leading film distribution company in Nigeria.</t>
  </si>
  <si>
    <t>http://genesispicturesng.com/</t>
  </si>
  <si>
    <t>keeplooking_brands</t>
  </si>
  <si>
    <t>KEEP LOOKING DISTRIBUTION</t>
  </si>
  <si>
    <t>Официальный дистрибьютор брендов: 
La Sultane de Saba, Rated Green, Apeer, Rare Paris, Zeroid, Accoje, Empire Australia
Наш telegram-канал:</t>
  </si>
  <si>
    <t>https://t.me/keeplookingbrands</t>
  </si>
  <si>
    <t>rocnationdistribution</t>
  </si>
  <si>
    <t>ROC Nation distribution</t>
  </si>
  <si>
    <t>Record label</t>
  </si>
  <si>
    <t>ROC Nation distribution empowers indie artists by providing tools &amp; services to distribute their music globally and guidance to own their masters.</t>
  </si>
  <si>
    <t>silverbirdfilmdistribution</t>
  </si>
  <si>
    <t>Silverbird Film Distribution</t>
  </si>
  <si>
    <t>✨Award Winning Film Distribution
✨Bringing the best films to your screen from @universalpictures @paramountpics &amp; Nollywood  titles
📞 Enquiries 👇</t>
  </si>
  <si>
    <t>beautyinbrokennessphoto</t>
  </si>
  <si>
    <t>Documentary Wedding Photographer</t>
  </si>
  <si>
    <t>Photographer</t>
  </si>
  <si>
    <t>Hi, I’m Jessa!
Documenting all seasons of life 
For the quirky, kind, passionate humans!!
Color, giggles, fun!!! 
NOW BOOKING 2026 ✨🤎🤠</t>
  </si>
  <si>
    <t>https://beautyinbrokennessphoto.mypixieset.com/inquire</t>
  </si>
  <si>
    <t>documentary9alwa</t>
  </si>
  <si>
    <t>منصة بحثية متخصصة في توثيق الصراعات والنزاعات الداخلية🎥
@endlessdreamwalker</t>
  </si>
  <si>
    <t>documentary_club</t>
  </si>
  <si>
    <t>Documentary Club</t>
  </si>
  <si>
    <t>@whatthedoc_fest 
เรานำหนังสารคดีที่หลากหลายมาฉาย
เพื่อทุกคนที่รักหนังสารคดี 
We bring you awesome world documentary films. 
Join us!</t>
  </si>
  <si>
    <t>https://documentaryclubthailand.com/</t>
  </si>
  <si>
    <t>documentary.mag</t>
  </si>
  <si>
    <t>사람과 사람들</t>
  </si>
  <si>
    <t>Film Director</t>
  </si>
  <si>
    <t>삶에 영감을 주는 사람과 사람들 이야기
∞ 다큐멘터리 아카이브 중</t>
  </si>
  <si>
    <t>documentaryplus</t>
  </si>
  <si>
    <t>DOCUMENTARY+</t>
  </si>
  <si>
    <t>🎥 Watch the best documentaries. Completely FREE!</t>
  </si>
  <si>
    <t>https://linktr.ee/documentaryplus</t>
  </si>
  <si>
    <t>dwdocumentary</t>
  </si>
  <si>
    <t>DW Documentary</t>
  </si>
  <si>
    <t>Take a look beyond the headlines 🔍 Bite-sized documentaries on the stories shaping our world — people, politics, the planet &amp; more! 🌏
Full docs here 👇</t>
  </si>
  <si>
    <t>http://linktr.ee/dwdocumentary</t>
  </si>
  <si>
    <t>elonofficiall</t>
  </si>
  <si>
    <t>Netflix Documentary 👇🏻</t>
  </si>
  <si>
    <t>https://www.netflix.com/fr-en/title/81470492</t>
  </si>
  <si>
    <t>free.documentary</t>
  </si>
  <si>
    <t>Free Documentary</t>
  </si>
  <si>
    <t>Documentaries on Culture, People, and the World around us. 
by Quintus Studios
🖥 4+ Million subscribers across YouTube, Facebook and Instagram</t>
  </si>
  <si>
    <t>https://linktr.ee/FreeDocumentary</t>
  </si>
  <si>
    <t>thatdocumentarygirl</t>
  </si>
  <si>
    <t>Christie Boschman</t>
  </si>
  <si>
    <t>That documentary girl 🍿🎬 
Email contact@littleguycomedy.com to Partner 🤝
Personal acct 🌻 @christieboschman</t>
  </si>
  <si>
    <t>https://linktr.ee/christiebosch?utm_source=linktree_profile_share&amp;ltsid=d5faf761-987e-470e-b5f9-1c097a713763</t>
  </si>
  <si>
    <t>artedomus</t>
  </si>
  <si>
    <t>Australia’s leading supplier of natural stone, architectural surfaces, bathware and furniture.
Sydney  •  Melbourne  • Brisbane  •  Perth  •  Adelaide</t>
  </si>
  <si>
    <t>https://www.artedomus.com/bio-link/instagram</t>
  </si>
  <si>
    <t>domus</t>
  </si>
  <si>
    <t>Inteligência imobiliária, tecnologia e arte.
Produtos com alma, projetos onlife.
narrativas | comunicação | arquitetura | imagens 3D | filmes</t>
  </si>
  <si>
    <t>http://www.domusarq.com.br</t>
  </si>
  <si>
    <t>domus_ag</t>
  </si>
  <si>
    <t>WIR GESTALTEN RÄUME. Für Privatpersonen, im Dienstleistungssektor, in der Gastronomie &amp; Hotellerie, im Gesundheitswesen und für den öffentlichen Raum.</t>
  </si>
  <si>
    <t>http://domusag.ch/shop</t>
  </si>
  <si>
    <t>domusok</t>
  </si>
  <si>
    <t>Referentes en diseño para todos los espacios de tu hogar: pisos, revestimientos &amp; griferías.</t>
  </si>
  <si>
    <t>http://domus.com.ar</t>
  </si>
  <si>
    <t>domusplayofc</t>
  </si>
  <si>
    <t>Domus play</t>
  </si>
  <si>
    <t>💼 CFO @ofredroos
🌍 Ecossistema esportivo</t>
  </si>
  <si>
    <t>domusvzla</t>
  </si>
  <si>
    <t>DOMUS</t>
  </si>
  <si>
    <t>Clothing store</t>
  </si>
  <si>
    <t>Where luxury goods and impecable dressing coexist at the fullest.
#ThePowerOfStyle</t>
  </si>
  <si>
    <t>http://domusve.com</t>
  </si>
  <si>
    <t>domusweb</t>
  </si>
  <si>
    <t>Empowering inspirational thinkers since 1928.</t>
  </si>
  <si>
    <t>https://linkin.bio/ig-domusweb</t>
  </si>
  <si>
    <t>practicdomus</t>
  </si>
  <si>
    <t>Practic Domus</t>
  </si>
  <si>
    <t>Home Goods Store</t>
  </si>
  <si>
    <t>🏡 Los mejores productos para tu hogar
📞 699 262 478
📩 practicdomus@gmail.com
💻Exclusivamente online</t>
  </si>
  <si>
    <t>https://practicdomus.es/</t>
  </si>
  <si>
    <t>breads_eater</t>
  </si>
  <si>
    <t>하성, (브레드_이터)</t>
  </si>
  <si>
    <t>빵과 커피, 카페의 사진 그리고
탁월하지만, 빈곤이 부족한 텍스트
• 『즐거워, 빵과 커피가 있으면』 출간 작가
• 브런치스토리 작가 (하성)
-
-</t>
  </si>
  <si>
    <t>https://brunch.co.kr/@breadseater</t>
  </si>
  <si>
    <t>eater</t>
  </si>
  <si>
    <t>Where to eat and why it matters in the world's best food cities.</t>
  </si>
  <si>
    <t>http://likeshop.me/eater</t>
  </si>
  <si>
    <t>eatercarolinas</t>
  </si>
  <si>
    <t>Eater Carolinas</t>
  </si>
  <si>
    <t>Society &amp; culture website</t>
  </si>
  <si>
    <t>Where to eat and why it matters in the Carolinas. Send tips to carolinas@eater.com</t>
  </si>
  <si>
    <t>https://likeshop.me/eatercarolinas</t>
  </si>
  <si>
    <t>eater_chicago</t>
  </si>
  <si>
    <t>Eater Chicago</t>
  </si>
  <si>
    <t>Where to eat and why it matters in Chicago. Send tips to chicago@eater.com</t>
  </si>
  <si>
    <t>https://likeshop.me/eater_chicago</t>
  </si>
  <si>
    <t>eater_dc</t>
  </si>
  <si>
    <t>Eater DC</t>
  </si>
  <si>
    <t>Where to eat and why it matters in D.C. Send tips to dc@eater.com</t>
  </si>
  <si>
    <t>https://likeshop.me/eater_dc</t>
  </si>
  <si>
    <t>eater_la</t>
  </si>
  <si>
    <t>Eater LA</t>
  </si>
  <si>
    <t>Where to eat and why it matters in LA. Send tips to la@eater.com</t>
  </si>
  <si>
    <t>https://likeshop.me/eater_la</t>
  </si>
  <si>
    <t>eatermiami</t>
  </si>
  <si>
    <t>Eater Miami</t>
  </si>
  <si>
    <t>Where to eat and why it matters in Miami. Send tips to miami@eater.com</t>
  </si>
  <si>
    <t>https://likeshop.me/eatermiami</t>
  </si>
  <si>
    <t>eatermusic</t>
  </si>
  <si>
    <t>EATER</t>
  </si>
  <si>
    <t>MGMT: austin@korumgmt.com // adam@korumgmt.com
BOOKINGS: zberkowitz@teamwass.com // cchapman@teamwass.com</t>
  </si>
  <si>
    <t>http://linktr.ee/eatermusic</t>
  </si>
  <si>
    <t>eater_ny</t>
  </si>
  <si>
    <t>Eater NY</t>
  </si>
  <si>
    <t>Where to eat and why it matters in New York. Send tips to tips@eater.com</t>
  </si>
  <si>
    <t>https://likeshop.me/eater_ny</t>
  </si>
  <si>
    <t>eater_sf</t>
  </si>
  <si>
    <t>Eater SF</t>
  </si>
  <si>
    <t>Where to eat and why it matters in San Francisco. Send tips to sf@eater.com</t>
  </si>
  <si>
    <t>https://likeshop.me/eater_sf</t>
  </si>
  <si>
    <t>mlle_eatery</t>
  </si>
  <si>
    <t>MLLe  |  مدموزيل</t>
  </si>
  <si>
    <t>Lebanese Restaurant</t>
  </si>
  <si>
    <t>Twisted Lebanese Cuisine                                                                
Reservations:</t>
  </si>
  <si>
    <t>https://mlle.net</t>
  </si>
  <si>
    <t>pickyeater_kw</t>
  </si>
  <si>
    <t>Picky Eater 🇰🇼🇱🇧</t>
  </si>
  <si>
    <t>Picky eating is not just a preference, but a lifestyle.🍕 🍔 🌭🌮🌯🥙🥗🥪</t>
  </si>
  <si>
    <t>ajij_editor_5</t>
  </si>
  <si>
    <t>Ajij Editor</t>
  </si>
  <si>
    <t>Bio :- #advance_media_in Welcome🎉 To My Profile. 
Aap Mere Followers Nhi Family 👪 Ho 
Please 🙏Give Me One फॉलो</t>
  </si>
  <si>
    <t>https://pwrk.in/jgBiF</t>
  </si>
  <si>
    <t>editor.nadiia</t>
  </si>
  <si>
    <t>ادیت | فیلم‌ و‌ سریال</t>
  </si>
  <si>
    <t>حال‌‌خوب‌توی‌استوریاست❤️🌈
~اینجاازهرصحنه‌ایی‌یک‌قصه‌ی‌زیبامیسازیم✨~
|دنبال‌هرچی‌هستی‌توی‌هایلایتها‌پیداش‌میکنی👇🏻😍|</t>
  </si>
  <si>
    <t>https://t.me/ediitornadia</t>
  </si>
  <si>
    <t>football_les10</t>
  </si>
  <si>
    <t>editor</t>
  </si>
  <si>
    <t>به دنیای هیــــجان فوتــــــبال خوش اومـــــدی!⚽
ی رسانه خیلی معمولی واسه عاشقان مستطیل سبز📷
ترول فوتبال به شیوه ای سرگرم کننده و متفاوت🏟️</t>
  </si>
  <si>
    <t>ultimatediting</t>
  </si>
  <si>
    <t>Video Editing | Video Editor</t>
  </si>
  <si>
    <t>Film Editor</t>
  </si>
  <si>
    <t>🎬 all the best video editing content in one place
🖥️ tips, effects &amp; tutorials 
🎥 unleash cinematic editing</t>
  </si>
  <si>
    <t>daniloandsharon</t>
  </si>
  <si>
    <t>Real Editorial Wedding Photography by Sharon &amp; Danilo Vasic</t>
  </si>
  <si>
    <t>• Named World’s Best Wedding Photographers
• Based in Lake Como - Available Worldwide 
• Now Booking 2025/26:</t>
  </si>
  <si>
    <t>http://www.daniloandsharon.com</t>
  </si>
  <si>
    <t>domanieditoriale</t>
  </si>
  <si>
    <t>Domani</t>
  </si>
  <si>
    <t>Domani è ogni giorno
🔻 Online e in edicola 🔻
domani.it</t>
  </si>
  <si>
    <t>https://beacons.page/domanieditoriale</t>
  </si>
  <si>
    <t>editorialist</t>
  </si>
  <si>
    <t>Editorialist: Luxury Styling &amp; Outfit Ideas</t>
  </si>
  <si>
    <t>Shopping Service</t>
  </si>
  <si>
    <t>Private styling, shopping, and content curated by our editors and stylists.
Shop &amp; read ↓</t>
  </si>
  <si>
    <t>https://likeshop.me/editorialist</t>
  </si>
  <si>
    <t>editorialplaneta</t>
  </si>
  <si>
    <t>Editorial Planeta</t>
  </si>
  <si>
    <t>El sello editorial de mayor prestigio y calidad. 
📚 ¡Lee, sueña, vuela, vive! 📚</t>
  </si>
  <si>
    <t>https://linke.to/edit_planeta</t>
  </si>
  <si>
    <t>emilypradaphoto</t>
  </si>
  <si>
    <t>Destination Editorial Wedding Photographer | Emily Prada</t>
  </si>
  <si>
    <t>Luxury Editorial Wedding Photographer for the fashion forward couple
As Seen in People, US Weekly, E News &amp; more
Educator @the_signatureedit
INQUIRE ↓</t>
  </si>
  <si>
    <t>http://www.emilyprada.com</t>
  </si>
  <si>
    <t>espasaeditorial</t>
  </si>
  <si>
    <t>Editorial Espasa</t>
  </si>
  <si>
    <t>Déjate atrapar por las historias de #EditorialEspasa. Participa y comparte tus lecturas con nosotros 📚</t>
  </si>
  <si>
    <t>https://s.mtrbio.com/espasa-editorial</t>
  </si>
  <si>
    <t>nikkibakerphotography</t>
  </si>
  <si>
    <t>Nikki Baker | Documentary &amp; Editorial Photographer</t>
  </si>
  <si>
    <t>Digital &amp; Film photographer, documenting love and fleeting moments with creative intention.
@underthesuncreativeclub</t>
  </si>
  <si>
    <t>http://www.nikkibakerphotographyy.com/links</t>
  </si>
  <si>
    <t>theeditorialstyle</t>
  </si>
  <si>
    <t>Dani Venen</t>
  </si>
  <si>
    <t>📍 CLE
✨ The Weirder, The Better</t>
  </si>
  <si>
    <t>https://www.theeditorialstyle.com/creativethinking</t>
  </si>
  <si>
    <t>vangelisphotography</t>
  </si>
  <si>
    <t>Editorial Wedding Photographer in Italy, Greece, France</t>
  </si>
  <si>
    <t>Named a Top Global Wedding Photographer | Elegant imagery for destination weddings in Europe &amp; beyond ✉️ Inquire via the link in bio ↓</t>
  </si>
  <si>
    <t>https://vangelisphotography.com/links</t>
  </si>
  <si>
    <t>eatatelle</t>
  </si>
  <si>
    <t>Ellē</t>
  </si>
  <si>
    <t>pronounced [ell-ee]. Bakery / Café / Restaurant / Bar / Asian Owned / Woman Owned / Family Owned / Cats / James Beard Semifinalist / Michelin Bib 4yrs</t>
  </si>
  <si>
    <t>http://linktr.ee/eatatelle/</t>
  </si>
  <si>
    <t>elle</t>
  </si>
  <si>
    <t>Elle Lively McBroom</t>
  </si>
  <si>
    <t>Hi, my name is Elle and I’m 7 years old! My account is ran by my Mommy @catherinepaiz &amp; Daddy @austinmcbroom</t>
  </si>
  <si>
    <t>elle_ferguson</t>
  </si>
  <si>
    <t>Elle Ferguson</t>
  </si>
  <si>
    <t>Founder
@eleffect @felle_studio 
Contact: info@elleferg.com
Podcast: Sliding Doors with Elle Ferguson</t>
  </si>
  <si>
    <t>https://www.eleffect.com.au/</t>
  </si>
  <si>
    <t>elle_mexico</t>
  </si>
  <si>
    <t>ELLE MÉXICO</t>
  </si>
  <si>
    <t>Moda y cultura pop: IYKYK 😜
Link en bio ⬇️</t>
  </si>
  <si>
    <t>https://linkin.bio/elle_mexico</t>
  </si>
  <si>
    <t>elleswift</t>
  </si>
  <si>
    <t>ELLE</t>
  </si>
  <si>
    <t>glowy skin, mum chats &amp; chocolate biccie runs
youtuber &amp; mummy of 3👦🏼👦🏻👶🏼
lily.modlin@district.global📧</t>
  </si>
  <si>
    <t>https://linktr.ee/elleswift</t>
  </si>
  <si>
    <t>elletaiwan</t>
  </si>
  <si>
    <t>ELLE Taiwan</t>
  </si>
  <si>
    <t>因為ELLE，時尚有了風格！</t>
  </si>
  <si>
    <t>https://www.elle.com/tw/</t>
  </si>
  <si>
    <t>elleusa</t>
  </si>
  <si>
    <t>ELLE Magazine</t>
  </si>
  <si>
    <t>Your front row seat to style and culture.</t>
  </si>
  <si>
    <t>http://likeshop.me/elleusa</t>
  </si>
  <si>
    <t>salonelle__</t>
  </si>
  <si>
    <t>‘elle</t>
  </si>
  <si>
    <t>Hair Salon</t>
  </si>
  <si>
    <t>Formerly known as @hairxrara 💕🌸✨
📍Dural &amp; Parramatta SYD, 
@wellapro_anz @kerastase_official salon ✨
Bridal &amp; Session Styling  📧 hello@salonelle.co</t>
  </si>
  <si>
    <t>http://salonelle.co</t>
  </si>
  <si>
    <t>elledecobr</t>
  </si>
  <si>
    <t>ELLE Decoration Brasil</t>
  </si>
  <si>
    <t>Design, decoração e arquitetura com alma brasileira por @ellebrasil</t>
  </si>
  <si>
    <t>https://elle.com.br/elle-decoration</t>
  </si>
  <si>
    <t>elledecomx</t>
  </si>
  <si>
    <t>ELLE Decoration México</t>
  </si>
  <si>
    <t>Cuenta oficial de ELLE Decoration México
Revista digital ⬇️</t>
  </si>
  <si>
    <t>https://elle.mx/decoration-revista-digital-octubre-2023</t>
  </si>
  <si>
    <t>elledecor</t>
  </si>
  <si>
    <t>ELLE Decor</t>
  </si>
  <si>
    <t>Design, fashion, and culture for the home.</t>
  </si>
  <si>
    <t>http://likeshop.me/elledecor</t>
  </si>
  <si>
    <t>elledecoration_es</t>
  </si>
  <si>
    <t>Elle Decor Spain</t>
  </si>
  <si>
    <t>Las últimas tendencias de decoración, interiorismo, diseño y arte.
Link in bio👇</t>
  </si>
  <si>
    <t>https://mtr.bio/elledecorationes-375719</t>
  </si>
  <si>
    <t>elledecorationfr</t>
  </si>
  <si>
    <t>ELLE Décoration France</t>
  </si>
  <si>
    <t>@elledecorationfr décrypte les tendances #déco, #design, les styles et révèle les talents de demain. Une source d’#inspiration pour votre #maison 🛋️</t>
  </si>
  <si>
    <t>http://linkin.bio/elledecorationfr</t>
  </si>
  <si>
    <t>elledecoration_nl</t>
  </si>
  <si>
    <t>ELLE Decoration NL</t>
  </si>
  <si>
    <t>Groundbreaking design, decorating and everything houses. More home inspiration:👇</t>
  </si>
  <si>
    <t>https://www.elle.com/nl/interieur/</t>
  </si>
  <si>
    <t>elledecorationuk</t>
  </si>
  <si>
    <t>ELLE Decoration UK</t>
  </si>
  <si>
    <t>The world's leading homes magazine</t>
  </si>
  <si>
    <t>https://likeshop.me/elledecorationuk</t>
  </si>
  <si>
    <t>elledecorindia</t>
  </si>
  <si>
    <t>ELLE DECOR India</t>
  </si>
  <si>
    <t>Ideas you can use
Aug – Sept 2025 issue is out!</t>
  </si>
  <si>
    <t>https://linkin.bio/elledecorindia</t>
  </si>
  <si>
    <t>elledecoritalia</t>
  </si>
  <si>
    <t>Elle Decor Italia</t>
  </si>
  <si>
    <t>The global design influencer with the Italian touch</t>
  </si>
  <si>
    <t>https://linktr.ee/elledecoritalia</t>
  </si>
  <si>
    <t>elledecorjapan</t>
  </si>
  <si>
    <t>ELLE DECOR JAPAN</t>
  </si>
  <si>
    <t>インテリアとデザインのメディア『エル・デコ』日本版公式アカウント。世界のインテリアや建築、最新のデザインニュースをお届けします。
The official account of ELLE DECOR Japan.
✉️ info_deco@hearst.co.jp</t>
  </si>
  <si>
    <t>https://www.elle.com/jp/decor/</t>
  </si>
  <si>
    <t>elle.decor.kg</t>
  </si>
  <si>
    <t>Мебель | Освещение | Декор | Бишкек</t>
  </si>
  <si>
    <t>• Дизайнерская мебель для вашего бизнеса и дома
• Прямые поставки с лучших фабрик Китая
• Временно онлайн</t>
  </si>
  <si>
    <t>elledecorkorea</t>
  </si>
  <si>
    <t>엘르 데코 코리아 ELLE DECOR KOREA</t>
  </si>
  <si>
    <t>요즘 공간+디자인 이슈가 궁금할 때
2025 SEPTEMBER ISSUE OUT NOW!🔻</t>
  </si>
  <si>
    <t>https://litt.ly/elledecorkorea</t>
  </si>
  <si>
    <t>eldiariocba</t>
  </si>
  <si>
    <t>El Diario del Centro del País</t>
  </si>
  <si>
    <t>🗞️💻Noticias y toda la información 
📍 Villa María y la región 
📰 40 años junto a vos
Contactanos 📞4523976 / 4613126</t>
  </si>
  <si>
    <t>https://linktr.ee/eldiariocba</t>
  </si>
  <si>
    <t>el_pais</t>
  </si>
  <si>
    <t>EL PAÍS</t>
  </si>
  <si>
    <t>Las noticias que hay que ver.
Aquí 👇🏼 puedes leerlas también</t>
  </si>
  <si>
    <t>https://linkin.bio/el_pais</t>
  </si>
  <si>
    <t>elpaisamerica</t>
  </si>
  <si>
    <t>EL PAÍS América</t>
  </si>
  <si>
    <t>Contamos un continente al mundo y el mundo a un continente #ELPAÍSAmérica
Telegram: https://t.me/elpaisamerica</t>
  </si>
  <si>
    <t>https://linkin.bio/elpaisamerica</t>
  </si>
  <si>
    <t>elpaisbrasil</t>
  </si>
  <si>
    <t>EL PAÍS Brasil</t>
  </si>
  <si>
    <t>https://brasil.elpais.com/brasil/2021-12-14/aos-nossos-leitores.html</t>
  </si>
  <si>
    <t>elpaiscali</t>
  </si>
  <si>
    <t>El País Cali</t>
  </si>
  <si>
    <t>Noticias de Cali, Valle, Colombia y el Mundo. ¡Bienvenidos!</t>
  </si>
  <si>
    <t>https://www.elpais.com.co/</t>
  </si>
  <si>
    <t>el_paischile</t>
  </si>
  <si>
    <t>EL PAÍS Chile</t>
  </si>
  <si>
    <t>Contamos un país al mundo y el mundo a un país. Cuenta oficial de #ELPAÍSChile 🇨🇱</t>
  </si>
  <si>
    <t>https://linkin.bio/elpaischile</t>
  </si>
  <si>
    <t>elpaisdelasmaravillas.libros</t>
  </si>
  <si>
    <t>el país de las maravillas - libros</t>
  </si>
  <si>
    <t>Bookstore</t>
  </si>
  <si>
    <t>LIBROS NUEVOS Y USADOS
También COMPRO - solo CABA
📍Boedo, CABA, Argentina 
🚚Envíos GRATIS desde $40.000
📕Consultá por el título que estés buscando</t>
  </si>
  <si>
    <t>el_pais_denuncajamas</t>
  </si>
  <si>
    <t>Elpaís De Nunca Jamás</t>
  </si>
  <si>
    <t>Mis dos pasiones: 🧞‍♂️Disney🧜 y 👶Mi bebé 🍼🩵
🚫Prohibido usar mis post o reels🚫
⬇️⬇️Sígueme⬇️⬇️</t>
  </si>
  <si>
    <t>https://youtu.be/Emrx4mOjDi4</t>
  </si>
  <si>
    <t>elpais_gastro</t>
  </si>
  <si>
    <t>EL PAÍS Gastro</t>
  </si>
  <si>
    <t>Descubre. Disfruta. Experimenta</t>
  </si>
  <si>
    <t>https://m.mtrbio.com/el-pais-gastro</t>
  </si>
  <si>
    <t>elpaislibros</t>
  </si>
  <si>
    <t>El País Libros</t>
  </si>
  <si>
    <t>📚 Entrevistas, reportajes, novedades editoriales, críticas y recomendaciones de @el_pais
¡Lee con nosotros! 📖👇</t>
  </si>
  <si>
    <t>https://linkin.bio/elpaislibros</t>
  </si>
  <si>
    <t>elpaismas</t>
  </si>
  <si>
    <t>EL PAÍS+</t>
  </si>
  <si>
    <t>Experiencias culturales únicas para lectores de @el_pais
Concursos, encuentros y descuentos exclusivos.
Participa 👇🏼</t>
  </si>
  <si>
    <t>https://elpais.com/suscripciones/elpaismas/</t>
  </si>
  <si>
    <t>elpaismexico</t>
  </si>
  <si>
    <t>EL PAÍS México</t>
  </si>
  <si>
    <t>Contamos un país al mundo y el mundo a un país. Cuenta oficial de #ELPAÍSMéxico 🇲🇽
Telegram: https://t.me/elpaismexico</t>
  </si>
  <si>
    <t>https://linkin.bio/elpaismexico</t>
  </si>
  <si>
    <t>elpais_opinion</t>
  </si>
  <si>
    <t>EL PAÍS Opinión</t>
  </si>
  <si>
    <t>Las columnas, tribunas, viñetas, cartas al director y editoriales de @el_pais, de un vistazo.
Sigue leyéndolas aquí 👇</t>
  </si>
  <si>
    <t>https://linkin.bio/elpais_opinion</t>
  </si>
  <si>
    <t>elpaissemanal</t>
  </si>
  <si>
    <t>El País Semanal</t>
  </si>
  <si>
    <t>Reportajes, entrevistas, psicología, columnistas... Aquí 👇🏽👇🏽👇🏽 puedes verlo 👀 y leerlo 📰 todo</t>
  </si>
  <si>
    <t>https://linkin.bio/ig-elpaissemanal</t>
  </si>
  <si>
    <t>el_paisus</t>
  </si>
  <si>
    <t>EL PAÍS US</t>
  </si>
  <si>
    <t>Contamos un país al mundo y el mundo a un país. Cuenta oficial de #ElPaísUS
WhatsApp: https://www.whatsapp.com/channel/0029ValPYXq6mYPUQePIlp3I</t>
  </si>
  <si>
    <t>https://linkin.bio/el_paisus</t>
  </si>
  <si>
    <t>elpaisuy</t>
  </si>
  <si>
    <t>EL PAÍS</t>
  </si>
  <si>
    <t>Diario El País de Uruguay. Visitá nuestro archivo en @archivoelpaisuy</t>
  </si>
  <si>
    <t>https://elpais.uy/linkenbio</t>
  </si>
  <si>
    <t>paisdelasmujeres</t>
  </si>
  <si>
    <t>El País de las Mujeres Restaurante</t>
  </si>
  <si>
    <t>Bienvenidos a El País de las Mujeres, 
la elegancia se fusiona con sabores exclusivos (Menú en el post fijado)
Ubicación 📍Pedregal San Joaquín</t>
  </si>
  <si>
    <t>engadget</t>
  </si>
  <si>
    <t>Websites &amp; Blogs</t>
  </si>
  <si>
    <t>Engadget is the original home for #technology news and reviews.</t>
  </si>
  <si>
    <t>http://sprout.link/engadget</t>
  </si>
  <si>
    <t>aquamarisejewelry</t>
  </si>
  <si>
    <t>Aquamarise | Unique Engagement Rings</t>
  </si>
  <si>
    <t>Jewelry/watches</t>
  </si>
  <si>
    <t>One of a kind gemstone rings 🧚🏻‍♂️✨
Custom jewelry designer 🔗Shop links ⬇️</t>
  </si>
  <si>
    <t>http://aquamarise.com</t>
  </si>
  <si>
    <t>armansjewellery</t>
  </si>
  <si>
    <t>Diamond Engagement Rings 💍</t>
  </si>
  <si>
    <t>The Official Page of the #armansgirl</t>
  </si>
  <si>
    <t>http://armansfinejewellery.com/</t>
  </si>
  <si>
    <t>berlingerjewelry</t>
  </si>
  <si>
    <t>Michelle Berlinger | Vintage Engagement Rings</t>
  </si>
  <si>
    <t>Jewelry &amp; Watches Store</t>
  </si>
  <si>
    <t>Unique engagement rings &amp; wedding rings inspired by the Art Deco Era.
✨ Woman Owned &amp; Operated
✨ SHOP OUR SUMMER SAMPLE ONLINE NOW!</t>
  </si>
  <si>
    <t>http://linktr.ee/berlingerjewelry</t>
  </si>
  <si>
    <t>chupi</t>
  </si>
  <si>
    <t>Chupi | Fine Jewellery &amp; Engagement Rings</t>
  </si>
  <si>
    <t>💍 Ireland’s Most Loved Engagement Rings
💫 Certified Sustainable Diamonds
💎 Iconic Chupi Design
☘️ Made in Ireland
🎀 Since 2013
📝 A Lifetime of Service</t>
  </si>
  <si>
    <t>https://linkin.bio/chupi</t>
  </si>
  <si>
    <t>cullenjewellery</t>
  </si>
  <si>
    <t>Cullen Jewellery | Custom Engagement Rings</t>
  </si>
  <si>
    <t>🤍 Where Love Grows
💍 Carbon Neutral Lab Grown Diamonds &amp; Moissanite
🌎 Free International Shipping
⬇️ Website &amp; Showrooms</t>
  </si>
  <si>
    <t>https://cullenjewellery.com</t>
  </si>
  <si>
    <t>erstwhilejewelry</t>
  </si>
  <si>
    <t>Erstwhile Jewelry: NYC Destination for Vintage Engagement Rings</t>
  </si>
  <si>
    <t>Fifth-generation purveyor of vintage &amp; handcrafted engagement rings. Free shipping &amp; returns. Visit us in NYC by appointment, Mon-Fri, 10-6pm.</t>
  </si>
  <si>
    <t>https://erstwhilejewelry.com</t>
  </si>
  <si>
    <t>flawlessfinejewellery</t>
  </si>
  <si>
    <t>Flawless | Custom Engagement Rings</t>
  </si>
  <si>
    <t>♡ Love Made Visible
Exquisite Engagement Rings &amp; Fine Jewellery
Traditionally &amp; Ethically hand crafted in London for the world. Book an appointment ↓</t>
  </si>
  <si>
    <t>https://flawlessfinejewellery.bio</t>
  </si>
  <si>
    <t>jewelgram</t>
  </si>
  <si>
    <t>Engagement &amp; Wedding 💍 Gallery</t>
  </si>
  <si>
    <t>Looking for your dream ring? 👰🏼👱🏻
Follow @jewelgram for daily 💍 content ❤️
Let’s find it together 🥰 SAVE your favourites!
🔔Turn on post notifications…</t>
  </si>
  <si>
    <t>londondiamondsofficial</t>
  </si>
  <si>
    <t>London Diamonds | Engagement Rings</t>
  </si>
  <si>
    <t>💍 Perfectly Crafted Engagement Rings
🛠 Lifetime LD Warranty
🇬🇧 Trusted by 2% of UK Couples (98% to go :)
📲 Ready to propose? Let’s chat 👇🏼</t>
  </si>
  <si>
    <t>https://londondiamonds.com/pages/bespoke</t>
  </si>
  <si>
    <t>novita.diamonds</t>
  </si>
  <si>
    <t>Novita Diamonds • Engagement Rings</t>
  </si>
  <si>
    <t>💎 Certified Lab-Grown Diamonds
✨ Ethically Crafted with Love
💍 Engagement Rings &amp; Fine Jewellery
🌍 Free International Shipping</t>
  </si>
  <si>
    <t>https://linktr.ee/novita.diamonds</t>
  </si>
  <si>
    <t>oorejewelry</t>
  </si>
  <si>
    <t>Uma | Engagement Rings</t>
  </si>
  <si>
    <t>✨🧚🏻 Handcrafted fine jewelry. Email is preferred method of contact.</t>
  </si>
  <si>
    <t>http://www.oorejewelry.com/</t>
  </si>
  <si>
    <t>sarahojewelry</t>
  </si>
  <si>
    <t>Sarah O. Jewelry | Denver Engagement Rings</t>
  </si>
  <si>
    <t>Casual Meets Couture
Diamond, gemstone &amp; custom jewelry
Latina &amp; Woman owned
Next Pop-ups: Chicago &amp; St. Paul</t>
  </si>
  <si>
    <t>https://linktr.ee/sarahojewelry</t>
  </si>
  <si>
    <t>sharpstoneng</t>
  </si>
  <si>
    <t>Wedding &amp; Engagement rings Moissanite Jewely gifts</t>
  </si>
  <si>
    <t>Authentic Jewelry Guaranteed-10,000+ reviews
Lekki-08133323307
Abuja- 08140199224
Festac- 09090021657
Shop our luxury collection @sharpstoneluxury</t>
  </si>
  <si>
    <t>http://www.sharpstonejewelry.com</t>
  </si>
  <si>
    <t>susiesaltzman</t>
  </si>
  <si>
    <t>SUSIE SALTZMAN | Custom Engagement Ring Designer</t>
  </si>
  <si>
    <t>Luxury Engagement Rings + Fine Jewelry
Virtual &amp; In-Person Design — By appointment only</t>
  </si>
  <si>
    <t>https://linktr.ee/susiesaltzman</t>
  </si>
  <si>
    <t>taj_jewels</t>
  </si>
  <si>
    <t>💍 1000+ Rings &amp; Bands Instock
🤝 680+ 5💫 Google Reviews 
💎 Lab &amp; Natural 
💷 0% Interest Finance
📲 07974600600
📍103 The Broadway Southall UB1 1LN</t>
  </si>
  <si>
    <t>https://linktr.ee/tajjewels</t>
  </si>
  <si>
    <t>thecaratclub</t>
  </si>
  <si>
    <t>Engagement Rings Gallery</t>
  </si>
  <si>
    <t>World's largest feed of stunning engagement rings &amp; ring selfies💍 #thecaratclub Check out @ohsoperfectproposal</t>
  </si>
  <si>
    <t>https://ohsoperfectproposal.com/submit</t>
  </si>
  <si>
    <t>velvet_sparkles</t>
  </si>
  <si>
    <t>Wedding &amp; Engagement Rings</t>
  </si>
  <si>
    <t>✨Here to start your forever journey with you 💖
✨Luxury page @velvet_luxury
✨UK page @velvetsparklesuk
✨Made with love, Overseen by El Roi
✨Lagos, 🇳🇬</t>
  </si>
  <si>
    <t>https://velvetsparkles.com</t>
  </si>
  <si>
    <t>zavandijewelry</t>
  </si>
  <si>
    <t>Engagement &amp; Wedding Rings</t>
  </si>
  <si>
    <t>♦️Quality You Can Trust👌🏼
♦️CZ, DIAMONDS &amp; MOISSANITE 💍 
♦️GIA Certified Diamonds 💯
♦️We Ship Worldwide 🌎 
📞08188800220
⭐️ 7-Day Exchange Policy</t>
  </si>
  <si>
    <t>https://www.zavandi.com/</t>
  </si>
  <si>
    <t>blackbusinesscommunity_</t>
  </si>
  <si>
    <t>ENTREPRENEUR</t>
  </si>
  <si>
    <t>◾  Promoting and supporting #blackowned
◾  we support women business 🎯
◾  #blackcommunity
👉🏽 Dm for promo and advertising 💲</t>
  </si>
  <si>
    <t>http://grindnshineco.com</t>
  </si>
  <si>
    <t>edmylett</t>
  </si>
  <si>
    <t>Ed Mylett - Entrepreneur</t>
  </si>
  <si>
    <t>Global Entrepreneur &amp; Bestselling Author
Ranked #1 Speaker in the World
Host of The Ed Mylett Show
WATCH/LISTEN ⬇️ to the Newest Episode</t>
  </si>
  <si>
    <t>https://konect.to/edmylett</t>
  </si>
  <si>
    <t>Inspiring, informing and celebrating entrepreneurs.</t>
  </si>
  <si>
    <t>https://oneclick.bio/entrepreneur</t>
  </si>
  <si>
    <t>entrepreneurauthority</t>
  </si>
  <si>
    <t>Entrepreneur Authority</t>
  </si>
  <si>
    <t>Business &amp; Economy Website</t>
  </si>
  <si>
    <t>Daily business news 
$13M+ Social Media Sales</t>
  </si>
  <si>
    <t>entrepreneurbeingentrepreneur</t>
  </si>
  <si>
    <t>Entrepreneurs Being Entrepreneurs.</t>
  </si>
  <si>
    <t>Money talks. We translate.            
Follow to learn something new everyday. ↙️</t>
  </si>
  <si>
    <t>entrepreneurshipfacts</t>
  </si>
  <si>
    <t>Entrepreneurship Facts</t>
  </si>
  <si>
    <t>🚨FOLLOW for a daily dose of success!
💰Want financial freedom?
🧠It starts with the mindset!
👨‍💻@iamdaviddang 👈
⠀
👇Atomic Habits Summary</t>
  </si>
  <si>
    <t>https://bit.ly/3Y9xxMp</t>
  </si>
  <si>
    <t>entrepreneurshipquote</t>
  </si>
  <si>
    <t>Entrepreneurship | Business</t>
  </si>
  <si>
    <t>🧠 | Inspiring And Powerful Content Daily
🎯 | Empowering people to achieve great
🚀 | Follow if You're an Entrepreneur</t>
  </si>
  <si>
    <t>entrepreneursonig</t>
  </si>
  <si>
    <t>Entrepreneurs On IG</t>
  </si>
  <si>
    <t>Real Entrepreneur Stories and News.
DM “partner” for business inquiries</t>
  </si>
  <si>
    <t>https://algofirst.co/marketing/</t>
  </si>
  <si>
    <t>femaleentrepreneurassociation</t>
  </si>
  <si>
    <t>Female Entrepreneur Assoc.</t>
  </si>
  <si>
    <t>💕Founder @iamcarriegreen 
✨Turn your dreams into a wildly successful business.
🧠💰DM “ABUNDANCE” Rewire your money mindset</t>
  </si>
  <si>
    <t>https://join.femaleentrepreneurassociation.com/linkinbio</t>
  </si>
  <si>
    <t>howtobeentrepreneur</t>
  </si>
  <si>
    <t>How To Be Entrepreneur</t>
  </si>
  <si>
    <t>For Entrepreneurs 🇺🇸
Follow → @highsignal.ai
Grow your business with YouTube 👇</t>
  </si>
  <si>
    <t>https://go.galactic.tv/entrepreneur</t>
  </si>
  <si>
    <t>marieforleo</t>
  </si>
  <si>
    <t>Marie Forleo • Entrepreneur</t>
  </si>
  <si>
    <t>#1 NYTimes Bestselling Author 🍊
💗Build a business and life you love
👩‍💻 CEO + Founder #BSchool #TimeGenius #DreamClub</t>
  </si>
  <si>
    <t>https://campsite.bio/marieforleo</t>
  </si>
  <si>
    <t>thebusinesshacks</t>
  </si>
  <si>
    <t>📚 | Educational Business Content
📈 | Helping People Succeed</t>
  </si>
  <si>
    <t>epicurious</t>
  </si>
  <si>
    <t>Food &amp; beverage company</t>
  </si>
  <si>
    <t>Click here for the recipes ⬇️</t>
  </si>
  <si>
    <t>https://likeshop.me/epicurious</t>
  </si>
  <si>
    <t>epicuriousexpeditions</t>
  </si>
  <si>
    <t>Carolyn</t>
  </si>
  <si>
    <t>Celebrating the intersection of food &amp; culture 🇳🇬🇺🇸👰🏽🧒🏽👧🏽⚖️
Paid Collaborations: epicuriousexpeditions@cuagency.co
PR:POBOX 43398 Los Angeles CA 90043</t>
  </si>
  <si>
    <t>https://www.amazon.com/shop/epicuriousexpeditions</t>
  </si>
  <si>
    <t>espn</t>
  </si>
  <si>
    <t>🏆@sportscenter 🏉 @espnnfl 🏀@nbaonespn 👊 @espnmma 🥊@espnringside ⚽ @espnfc 💪 @espnw🍿@collegegameday 🏈 @espncfb 📈 @sportscenternext 🏎️ @espnf1 💰@espnbet</t>
  </si>
  <si>
    <t>https://stream.espn.com/</t>
  </si>
  <si>
    <t>espnbet</t>
  </si>
  <si>
    <t>ESPN BET</t>
  </si>
  <si>
    <t>@ESPN’s home for all things sport betting. Must be 21+. Gambling problem? Call 1-800-GAMBLER. Operated by PENN.</t>
  </si>
  <si>
    <t>https://espnbet.app.link/neLKbcyQcWb</t>
  </si>
  <si>
    <t>espnbrasil</t>
  </si>
  <si>
    <t>ESPN Brasil</t>
  </si>
  <si>
    <t>Acesse nossas notícias, vídeos e eventos AO VIVO no link da bio ⬇️</t>
  </si>
  <si>
    <t>https://linkin.bio/espnbrasil</t>
  </si>
  <si>
    <t>espncfb</t>
  </si>
  <si>
    <t>ESPN College Football</t>
  </si>
  <si>
    <t>@espn’s home for CFB 🏈</t>
  </si>
  <si>
    <t>espnf1</t>
  </si>
  <si>
    <t>ESPN F1</t>
  </si>
  <si>
    <t>We love the smell of burnt rubber in the morning 💨</t>
  </si>
  <si>
    <t>http://visitstore.bio/espnf1</t>
  </si>
  <si>
    <t>espnfc</t>
  </si>
  <si>
    <t>ESPN FC</t>
  </si>
  <si>
    <t>Covering football across the globe 🌎</t>
  </si>
  <si>
    <t>http://visitstore.bio/espnfc</t>
  </si>
  <si>
    <t>espnhonolulu</t>
  </si>
  <si>
    <t>ESPN Honolulu</t>
  </si>
  <si>
    <t>Official IG of ESPN Honolulu
🏝️ Hawai‘i’s Home for Sports
🎙️ Radio Partner: @hawaiiathletics, ILH &amp; @hhsaasports
📻 92.7 FM • 1420 AM</t>
  </si>
  <si>
    <t>https://linkin.bio/espnhonolulu</t>
  </si>
  <si>
    <t>espnknockout</t>
  </si>
  <si>
    <t>ESPN KnockOut</t>
  </si>
  <si>
    <t>ESPN KnockOut es el ciclo de boxeo y mma de ESPN Latinoamérica</t>
  </si>
  <si>
    <t>https://youtube.com/@espnknockout?si=wu6lSip2mjC00WR2</t>
  </si>
  <si>
    <t>espnmma</t>
  </si>
  <si>
    <t>ESPN MMA</t>
  </si>
  <si>
    <t>The post-for-post leader in MMA coverage 👑
Stream exclusive content on the ESPN App ⤵️</t>
  </si>
  <si>
    <t>http://stream.espn.com/</t>
  </si>
  <si>
    <t>espnnfl</t>
  </si>
  <si>
    <t>NFL on ESPN</t>
  </si>
  <si>
    <t>Link in bio for more ⤵️</t>
  </si>
  <si>
    <t>espnringside</t>
  </si>
  <si>
    <t>ESPN Ringside</t>
  </si>
  <si>
    <t>Taking boxing fans ringside 🥊</t>
  </si>
  <si>
    <t>http://visitstore.bio/espnringside</t>
  </si>
  <si>
    <t>espnuk</t>
  </si>
  <si>
    <t>ESPN UK</t>
  </si>
  <si>
    <t>Serving Sports Fans. Anytime. Anywhere. 👇</t>
  </si>
  <si>
    <t>https://www.espn.co.uk/football/story/_/id/45165487/2025-fc-100-virgil-van-dijk-best-center-backs-mens-soccer</t>
  </si>
  <si>
    <t>espnw</t>
  </si>
  <si>
    <t>espnW</t>
  </si>
  <si>
    <t>Women x Sports x Culture</t>
  </si>
  <si>
    <t>nbaonespn</t>
  </si>
  <si>
    <t>NBA on ESPN</t>
  </si>
  <si>
    <t>Watch NBA Today on @espn M-F at 3 PM ET 📺 
Link in bio for more ⤵️</t>
  </si>
  <si>
    <t>esquire</t>
  </si>
  <si>
    <t>Style, Storytelling, Culture, Attitude. Est. 1933.</t>
  </si>
  <si>
    <t>https://likeshop.me/esquire</t>
  </si>
  <si>
    <t>esquire_ceo</t>
  </si>
  <si>
    <t>CEO @avantgarde_ent.                                               Creator @americansoulstar                            Lawyer @michaelharper_attorney</t>
  </si>
  <si>
    <t>http://americansoulstar.com</t>
  </si>
  <si>
    <t>esquirees</t>
  </si>
  <si>
    <t>Esquire Spain</t>
  </si>
  <si>
    <t>Edición española de Esquire Magazine. La mejor versión del hombre #ManAtHisBest 
👇 Aquí está el famoso link de la bio.</t>
  </si>
  <si>
    <t>http://mtr.bio/esquirees/725569</t>
  </si>
  <si>
    <t>esquire_fashion</t>
  </si>
  <si>
    <t>Fácil de vestir, difícil de esquecer. 
Somente Atacado. 
✨Seja um revendedor✨</t>
  </si>
  <si>
    <t>https://linktr.ee/esquire_fashion</t>
  </si>
  <si>
    <t>esquiregolf</t>
  </si>
  <si>
    <t>Clayton Gelfand</t>
  </si>
  <si>
    <t>🏌🏻‍♂️ | My Creative Outlet For Golf 
👨‍💻 | 9-5 Strategy @ GM &amp; Attorney (hence Esq.)
📧 | esquiregolf5@gmail.com</t>
  </si>
  <si>
    <t>https://linktr.ee/esquiregolf</t>
  </si>
  <si>
    <t>esquirehk</t>
  </si>
  <si>
    <t>Esquire HK Official</t>
  </si>
  <si>
    <t>智慧﹒生活﹒品味新高度｜Man at his Best</t>
  </si>
  <si>
    <t>https://magazines.cosmart.hk/products/esquire-sep-pre-order-leeknow-straykids?utm_source=instagram-es&amp;utm_medium=album&amp;utm_campaign=esquire-sep-2025&amp;utm_content=20250822</t>
  </si>
  <si>
    <t>esquireindia</t>
  </si>
  <si>
    <t>Esquire India</t>
  </si>
  <si>
    <t>The best of style, storytelling, luxury and culture.
An @rpsg.lifestylemedia property.</t>
  </si>
  <si>
    <t>https://linktr.ee/esquireindia</t>
  </si>
  <si>
    <t>esquire.korea</t>
  </si>
  <si>
    <t>에스콰이어 코리아</t>
  </si>
  <si>
    <t>30TH ANNIVERSARY 1995-2025</t>
  </si>
  <si>
    <t>https://litt.ly/esquirekorea</t>
  </si>
  <si>
    <t>esquirespk</t>
  </si>
  <si>
    <t>Esquires Coffee Pakistan</t>
  </si>
  <si>
    <t>For coffee and everything else that goes with it — like amazing croissants and a crazy bonding sesh.
Zamzama | Dolmen Mall Clifton | Square One Mall</t>
  </si>
  <si>
    <t>http://esquirescoffee.pk/</t>
  </si>
  <si>
    <t>esquiretavernsa</t>
  </si>
  <si>
    <t>The Esquire Tavern</t>
  </si>
  <si>
    <t>Located in the heart of downtown, The Esquire Tavern is the oldest bar on the San Antonio Riverwalk and boasts the longest wooden top bar in Texas.</t>
  </si>
  <si>
    <t>https://linktr.ee/esquiretavernsa</t>
  </si>
  <si>
    <t>esquirethai</t>
  </si>
  <si>
    <t>Esquire Thailand</t>
  </si>
  <si>
    <t>MAN AT HIS BEST</t>
  </si>
  <si>
    <t>jully_brownn</t>
  </si>
  <si>
    <t>ɛ𝖘Q𝖚𝖎𝖗𝖊✝️</t>
  </si>
  <si>
    <t>Athlete</t>
  </si>
  <si>
    <t>We can find magic in number 🔢
Traveler around the world 🌎
@rxfmma 2-0
Isaia 41:10</t>
  </si>
  <si>
    <t>ukesquire</t>
  </si>
  <si>
    <t>Esquire UK</t>
  </si>
  <si>
    <t>Style and culture for men.</t>
  </si>
  <si>
    <t>https://likeshop.me/ukesquire</t>
  </si>
  <si>
    <t>eurogamer</t>
  </si>
  <si>
    <t>Bad puns and video games since 1999.</t>
  </si>
  <si>
    <t>https://sprout.link/eurogamer</t>
  </si>
  <si>
    <t>eurogamer_portugal</t>
  </si>
  <si>
    <t>Eurogamer.pt</t>
  </si>
  <si>
    <t>• Notícias diárias de videojogos, cinema e tecnologia 
• Unboxings de coisas fixes</t>
  </si>
  <si>
    <t>https://linkin.bio/eurogamer_portugal</t>
  </si>
  <si>
    <t>eurogamerspain</t>
  </si>
  <si>
    <t>Eurogamer.es</t>
  </si>
  <si>
    <t>El instagram de la gente buena.</t>
  </si>
  <si>
    <t>euronews_albania</t>
  </si>
  <si>
    <t>Euronews Albania</t>
  </si>
  <si>
    <t>Lajme profesionale, të paanshme, sipas një perspektive europiane, të personalizuara për audiencën e Instagram nga ekipi ynë dixhital. #AllViews</t>
  </si>
  <si>
    <t>https://euronews.al/</t>
  </si>
  <si>
    <t>euronews_arabic</t>
  </si>
  <si>
    <t>Euronews عــربي</t>
  </si>
  <si>
    <t>القناة الإخبارية الأكثر مشاهدة في أوروبا</t>
  </si>
  <si>
    <t>http://arabic.euronews.com/</t>
  </si>
  <si>
    <t>euronews_deutsch</t>
  </si>
  <si>
    <t>Euronews Deutsch</t>
  </si>
  <si>
    <t>Weil alle Ansichten zählen, bringt Euronews alle Ansichten</t>
  </si>
  <si>
    <t>https://l.euronews.com/aktuellste-Nachrichten</t>
  </si>
  <si>
    <t>euronewses</t>
  </si>
  <si>
    <t>euronews español</t>
  </si>
  <si>
    <t>El canal de noticias más visto en Europa.</t>
  </si>
  <si>
    <t>https://l.euronews.com/ultimas-noticias</t>
  </si>
  <si>
    <t>euronews_french</t>
  </si>
  <si>
    <t>euronews en français</t>
  </si>
  <si>
    <t>Chaîne d’information internationale. All views, parce que tous les points de vue comptent.</t>
  </si>
  <si>
    <t>https://l.euronews.com/actualites-en-direct</t>
  </si>
  <si>
    <t>euronewsgeorgia</t>
  </si>
  <si>
    <t>Euronews Georgia</t>
  </si>
  <si>
    <t>ჩვენი მთავარი ღირებულებებია, სარედაქციო დამოუკიდებლობა და მიუკერძოებლობა.</t>
  </si>
  <si>
    <t>https://euronewsgeorgia.com/</t>
  </si>
  <si>
    <t>euronews_persian</t>
  </si>
  <si>
    <t>یورونیوز فارسی</t>
  </si>
  <si>
    <t>Euronews persian
برای دسترسی آسان به مطالب روی این لینک کلیک کنید⬇️</t>
  </si>
  <si>
    <t>https://l.euronews.com/latest-news</t>
  </si>
  <si>
    <t>euronews_russian</t>
  </si>
  <si>
    <t>Для нас важны все мнения, Euronews - это все точки зрения.</t>
  </si>
  <si>
    <t>https://l.euronews.com/Euronews-Russian</t>
  </si>
  <si>
    <t>euronews_tr</t>
  </si>
  <si>
    <t>euronews Türkçe</t>
  </si>
  <si>
    <t>Uluslararası haber kanalı Euronews’in Türkçe Instagram hesabı #Allviews #NoComment</t>
  </si>
  <si>
    <t>https://l.euronews.com/Son-Haberler</t>
  </si>
  <si>
    <t>euronews.tv</t>
  </si>
  <si>
    <t>euronews</t>
  </si>
  <si>
    <t>All Views, All Voices, All Welcome</t>
  </si>
  <si>
    <t>https://linkin.bio/euronews-tv</t>
  </si>
  <si>
    <t>exclusive</t>
  </si>
  <si>
    <t>Exclusive (By Concierge)</t>
  </si>
  <si>
    <t>Janitorial Service</t>
  </si>
  <si>
    <t>Private Luxury Worldwide 🗝️
Yachts • 5* Hotels • Helicopters •  Private Drivers
📩 DM or WhatsApp us : +33649499964
By @concierge</t>
  </si>
  <si>
    <t>exclusivegame</t>
  </si>
  <si>
    <t>EXCLUSIVE GAME | CEO</t>
  </si>
  <si>
    <t>3255 Peachtree Rd.
Atlanta, GA 30305
☎️ 917-499-3341 @exclusivegameatl Available now @thewebster LA | NY | Miami | Houston</t>
  </si>
  <si>
    <t>exclusive_kee</t>
  </si>
  <si>
    <t>Low key. Louisville.📍Forever Coby 🤞🏽❤️‍🩹</t>
  </si>
  <si>
    <t>https://www.amazon.com/baby-reg/exclusive-kee-october-2025-louisville/35ZWG0TA1ROVL</t>
  </si>
  <si>
    <t>goddess_exclusive</t>
  </si>
  <si>
    <t>GODDESS Exclusive</t>
  </si>
  <si>
    <t>+38345101212                                        +13322497098
Wholesale +38344999955</t>
  </si>
  <si>
    <t>http://www.goddess-exclusive.com/</t>
  </si>
  <si>
    <t>mrexclusive</t>
  </si>
  <si>
    <t>Meyer Adir</t>
  </si>
  <si>
    <t>SHOP: 👇</t>
  </si>
  <si>
    <t>http://www.mrexclusiveart.com</t>
  </si>
  <si>
    <t>mr_exclusive_</t>
  </si>
  <si>
    <t>🦍Apes Only🦍💜🕊Long Live The Greatest 🕊💜</t>
  </si>
  <si>
    <t>https://youtu.be/4Ygz5T5osN8</t>
  </si>
  <si>
    <t>why.exclusive</t>
  </si>
  <si>
    <t>daily news paper 
est. may, 2025</t>
  </si>
  <si>
    <t>fact.___.check</t>
  </si>
  <si>
    <t>Indian Fact Check</t>
  </si>
  <si>
    <t>We are posting only verified news by the government. Social media is cluttered with too much fake news right now.
So be updated with us 🇮🇳</t>
  </si>
  <si>
    <t>factcheckapgov</t>
  </si>
  <si>
    <t>FactCheck.AP.Gov.in</t>
  </si>
  <si>
    <t>Government Website</t>
  </si>
  <si>
    <t>Official Account of Fact Check wing of Government of Andhra Pradesh.</t>
  </si>
  <si>
    <t>https://t.me/FactCheckAPGov</t>
  </si>
  <si>
    <t>factcheckorg</t>
  </si>
  <si>
    <t>FactCheck.org</t>
  </si>
  <si>
    <t>A nonpartisan, nonprofit consumer advocate for voters.
Our content in Spanish ➡️ @factcheckorgespanol</t>
  </si>
  <si>
    <t>http://sprout.link/factcheckorg</t>
  </si>
  <si>
    <t>ukfactcheckpolitics</t>
  </si>
  <si>
    <t>UK Fact Check Politics</t>
  </si>
  <si>
    <t>🇬🇧 One of the biggest UK politics pages
📝Exposing Government corruption</t>
  </si>
  <si>
    <t>https://ukfactcheck.com/donation</t>
  </si>
  <si>
    <t>2000sfashionista</t>
  </si>
  <si>
    <t>2000s fashionista 🌀</t>
  </si>
  <si>
    <t>chick flick connoisseur</t>
  </si>
  <si>
    <t>fashionista_claudia</t>
  </si>
  <si>
    <t>Fashionista_Claudia 🖤</t>
  </si>
  <si>
    <t>👗👜👠 Fashion, Bags &amp; Shoes Lover
💉💅🏻 Aesthetic Medicine &amp; Beauty Addict
🖤 Black Style
🛍 Shopping Guide</t>
  </si>
  <si>
    <t>fashionista_com</t>
  </si>
  <si>
    <t>Design &amp; fashion</t>
  </si>
  <si>
    <t>Culture, celebrity, commerce, and careers through a digital fashion and beauty lens.</t>
  </si>
  <si>
    <t>https://linkin.bio/fashionista_com</t>
  </si>
  <si>
    <t>fashionista.couture</t>
  </si>
  <si>
    <t>Fashionista couture✨</t>
  </si>
  <si>
    <t>DM for collaborations ✨</t>
  </si>
  <si>
    <t>fashionistairaq</t>
  </si>
  <si>
    <t>Fashinista</t>
  </si>
  <si>
    <t>فاشنيستا😎
للالبسة النسائيه بكل انواعها😍
للحجز والاستفسار مراسلة الصفحة💭💭
يوجد خدمة توصيل لجميع المحافظات🚙🚙</t>
  </si>
  <si>
    <t>http://www.facebook.com/fashion10t/</t>
  </si>
  <si>
    <t>fashionista_ladies</t>
  </si>
  <si>
    <t>FASHIONISTA®️ российский бренд одежды Натали Пермяковой</t>
  </si>
  <si>
    <t>Нам 13 лет. Более 10.000 клиенток. 
Бутик в Москве.
Основатель @natali_fashionista 
Акк.итальянской обуви @fashionista___shoes 
Новостной Tg-канал 👇🏼</t>
  </si>
  <si>
    <t>https://t.me/fashionistaladiesclub</t>
  </si>
  <si>
    <t>fashionist.ar</t>
  </si>
  <si>
    <t>That girl💗</t>
  </si>
  <si>
    <t>Entre chicas lindas nos ayudamos. 💋 Tu amiga de confianza que te recomienda productos estrella para potenciar tu belleza.🎀</t>
  </si>
  <si>
    <t>https://linktab.co/clessebel</t>
  </si>
  <si>
    <t>fashionista__ua</t>
  </si>
  <si>
    <t>FASHIONISTA. Ukrainian fashion brand</t>
  </si>
  <si>
    <t>Перший осінній дроп вже на сайті🍂
Kyiv / Lviv/ Chernivtsi/ Ivano-Frankivsk/ Uzhhorod
⠀</t>
  </si>
  <si>
    <t>https://fashionista.ua/381-spring-25</t>
  </si>
  <si>
    <t>hfashionista</t>
  </si>
  <si>
    <t>𝐻𝑒𝒶𝓉𝒽𝑒𝓇 𝒿𝑜𝓃𝑒𝓈</t>
  </si>
  <si>
    <t>|mompreneur|
designer. stylist. creative
@reassemblednyc + @rshowroomnyc @styledbyhfashionista</t>
  </si>
  <si>
    <t>http://reassemblednyc.shop</t>
  </si>
  <si>
    <t>fastcompany</t>
  </si>
  <si>
    <t>Inspiring the future of business.</t>
  </si>
  <si>
    <t>https://linkin.bio/fastcompany</t>
  </si>
  <si>
    <t>fastcompanybrasil</t>
  </si>
  <si>
    <t>Fast Company Brasil</t>
  </si>
  <si>
    <t>Negócios, inovação, tecnologia e impacto - para quem constrói o futuro agora.</t>
  </si>
  <si>
    <t>https://linktr.ee/fastcompanybrasil</t>
  </si>
  <si>
    <t>fastcompanyturkey</t>
  </si>
  <si>
    <t>Fast Company Turkiye</t>
  </si>
  <si>
    <t>Türkiye’nin Yeni İş Dergisi</t>
  </si>
  <si>
    <t>http://fastcompany.com.tr</t>
  </si>
  <si>
    <t>4x4.straya</t>
  </si>
  <si>
    <t>4x4 Feature Page</t>
  </si>
  <si>
    <t>⚫️Tag @4x4.straya for a repost
🔴Use my hashtag #4x4straya
⚪️Second page @4x4.straya2</t>
  </si>
  <si>
    <t>https://4x4straya.com/</t>
  </si>
  <si>
    <t>archi_features</t>
  </si>
  <si>
    <t>💢 #archifeatures 💢</t>
  </si>
  <si>
    <t>Showcase for architectural themes, buildings, facades and cityscapes...
Founder: @viewsightandmind</t>
  </si>
  <si>
    <t>https://thewealthysage.com/</t>
  </si>
  <si>
    <t>bns_sunset</t>
  </si>
  <si>
    <t>SUNSET FEATURE</t>
  </si>
  <si>
    <t>PART OF @bestnatureshot
#bns_sunset
Founder @jamir_rahman
Adimin. @lucianalua</t>
  </si>
  <si>
    <t>http://www.instagram.com/bestnatureshot</t>
  </si>
  <si>
    <t>dark_feather_touch</t>
  </si>
  <si>
    <t>Feature account 🪶🖤</t>
  </si>
  <si>
    <t>#darkfeathertouch
#dark_feather_touch
No AI 
It is often in the darkest skies that we see the brightest stars.”
Owners
 @ilonaramona 
 @satufavola</t>
  </si>
  <si>
    <t>feature</t>
  </si>
  <si>
    <t>FEATURE</t>
  </si>
  <si>
    <t>All Things Good
📍 Wynn Las Vegas📍 Chinatown Las Vegas
📍 Calabasas, CA 📍La Jolla, CA
📍 Scottsdale, AZ</t>
  </si>
  <si>
    <t>http://feature.com</t>
  </si>
  <si>
    <t>__featured4x4s</t>
  </si>
  <si>
    <t>FEATURED4x4s - THE PLACE TO BE SEEN</t>
  </si>
  <si>
    <t>DM,TAG,COLLAB🏷️
Owner - @afnp300 
DM For Featured4x4 Products👀
- DM FOR COLLABORATIONS -
👇🏼USE CODE ; FEATURED4X4👇🏼</t>
  </si>
  <si>
    <t>https://anarchyautocare.com/</t>
  </si>
  <si>
    <t>featurehighlight</t>
  </si>
  <si>
    <t>FEATURE ACCOUNT 💫</t>
  </si>
  <si>
    <t>➳ Welcome &amp; Enjoy ☀️
➳ leave a comment or tag your pictures with #featurehighlight for a post or story</t>
  </si>
  <si>
    <t>featureshoot</t>
  </si>
  <si>
    <t>Feature Shoot</t>
  </si>
  <si>
    <t>Curating pixels since 2008. 
📸 #myfeatureshoot for consideration
On Gadigal Land 🖤 💛 ❤️</t>
  </si>
  <si>
    <t>http://www.linktr.ee/feature_shoot</t>
  </si>
  <si>
    <t>focusfeatures</t>
  </si>
  <si>
    <t>Focus Features</t>
  </si>
  <si>
    <t>🎟️: @honeydontfilm @downtonabbey_official 
🔜: @anemonemovie @bugoniafilm @hamnetmovie</t>
  </si>
  <si>
    <t>http://linkin.bio/focusfeatures</t>
  </si>
  <si>
    <t>fresh_workouts_foods</t>
  </si>
  <si>
    <t>Features/Promo</t>
  </si>
  <si>
    <t>📲KIK: Fresh_workouts_foods
🍒 Fitness💪 Food🍌 Workouts👍 Page🍒
ℹ Healthy🙌 and 🔝Tasty 💡Recipes
🆓⚠Healthy Tips⚠
▶ Useful🔷Fitness🔶Exercises◀</t>
  </si>
  <si>
    <t>hk_feature</t>
  </si>
  <si>
    <t>誌</t>
  </si>
  <si>
    <t>❚ 記錄香港 香港有誌，培訓公民記者，出版深度專題。誌出版編輯部 @hk_feature_territory ｜支持獨立報道，按連結做月費會員</t>
  </si>
  <si>
    <t>https://linktr.ee/2019hkfeature</t>
  </si>
  <si>
    <t>internationalfeature</t>
  </si>
  <si>
    <t>International Feature</t>
  </si>
  <si>
    <t>Celebrating the 90+ official International Feature Films submitted for @theacademy.</t>
  </si>
  <si>
    <t>http://www.international-feature.com/</t>
  </si>
  <si>
    <t>filmcommentmagazine</t>
  </si>
  <si>
    <t>Arts &amp; culture mag from @filmlinc. Since 1962. Reviews and in-depth analysis of mainstream, arthouse &amp; avant-garde film.</t>
  </si>
  <si>
    <t>https://www.filmcomment.com/</t>
  </si>
  <si>
    <t>productiondefilm</t>
  </si>
  <si>
    <t>Comment sont créés les films ? 📽️</t>
  </si>
  <si>
    <t>On te montre comment les films sont vraiment réalisé ! 🍿</t>
  </si>
  <si>
    <t>financialtimes</t>
  </si>
  <si>
    <t>Instagram feed of the Financial Times. Follow #financialtimes to see more.</t>
  </si>
  <si>
    <t>https://linkin.bio/financialtimes</t>
  </si>
  <si>
    <t>financialtimesfashion</t>
  </si>
  <si>
    <t>Financial Times Fashion</t>
  </si>
  <si>
    <t>The official account of the Financial Times fashion desk. 
• To read all stories featured here click the link below</t>
  </si>
  <si>
    <t>http://linkin.bio/financialtimesfashion</t>
  </si>
  <si>
    <t>financialtimeslive</t>
  </si>
  <si>
    <t>FT Live Events</t>
  </si>
  <si>
    <t>The latest from the FT Live 🎬</t>
  </si>
  <si>
    <t>http://sprout.link/financialtimeslive/</t>
  </si>
  <si>
    <t>ft_houseandhome</t>
  </si>
  <si>
    <t>Financial Times House &amp; Home</t>
  </si>
  <si>
    <t>The Financial Times' official property, design and architecture account</t>
  </si>
  <si>
    <t>https://linkin.bio/ft_houseandhome</t>
  </si>
  <si>
    <t>foodnetwork</t>
  </si>
  <si>
    <t>The official Instagram for @FoodNetwork🍴
Find the recipes featured on our page:</t>
  </si>
  <si>
    <t>https://foodtv.com/linkinbio</t>
  </si>
  <si>
    <t>foodnetworkasia</t>
  </si>
  <si>
    <t>Food Network Asia</t>
  </si>
  <si>
    <t>The official account of Food Network Asia. The ultimate food destination. Loads of recipes and videos to satisfy your every craving.</t>
  </si>
  <si>
    <t>http://www.foodnetworkasia.com</t>
  </si>
  <si>
    <t>foodnetworkbr</t>
  </si>
  <si>
    <t>Food Network BR</t>
  </si>
  <si>
    <t>Você que é do signo de touro, pode ficar tranquilo! Esse mês a gente pensou em você (ou seja: receita em dobro! hihihi) 🤭♉</t>
  </si>
  <si>
    <t>https://www.discoveryplus.com/br/</t>
  </si>
  <si>
    <t>foodnetworkitalia</t>
  </si>
  <si>
    <t>Food Network Italia</t>
  </si>
  <si>
    <t>#canale33
Scopri tutte le novità sui programmi e lasciati ispirare dalle ricette di #FoodNetwork 🧑‍🍳👇🏼</t>
  </si>
  <si>
    <t>https://foodnetwork.it/</t>
  </si>
  <si>
    <t>foodnetworkkitchen</t>
  </si>
  <si>
    <t>Food Network Kitchen</t>
  </si>
  <si>
    <t>https://foodtv.com/FNKlinkinbio</t>
  </si>
  <si>
    <t>foodnetworkla</t>
  </si>
  <si>
    <t>Food Network Latinoamérica</t>
  </si>
  <si>
    <t>Compartimos tu pasión por la comida 🥞❤️
Recetas 🍳 
Tips 🌮 y los mejores chefs 🧑🏼‍🍳👩🏼‍🍳</t>
  </si>
  <si>
    <t>http://tudiscovery.com/foodnetwork</t>
  </si>
  <si>
    <t>foodnetworkmag</t>
  </si>
  <si>
    <t>Food Network Magazine</t>
  </si>
  <si>
    <t>The official Instagram for Food Network Magazine. 🍔 Follow along for fun recipes. Link in bio 👇</t>
  </si>
  <si>
    <t>http://likeshop.me/foodnetworkmag/</t>
  </si>
  <si>
    <t>foodnetworkng</t>
  </si>
  <si>
    <t>Naija Food Network</t>
  </si>
  <si>
    <t>Food blog😋
If you like food, you’re at the right place.😁🍛🥘🍝🍰🥗
DM FOR PROMOTIONS 📩</t>
  </si>
  <si>
    <t>https://www.threads.net/@foodnetworkng</t>
  </si>
  <si>
    <t>foodnetworkuk</t>
  </si>
  <si>
    <t>📍 The ultimate food destination!
📸 Tag your photos #FoodNetworkUK</t>
  </si>
  <si>
    <t>http://sprout.link/foodnetworkuk</t>
  </si>
  <si>
    <t>foodrevolutionnetwork</t>
  </si>
  <si>
    <t>Food Revolution Network</t>
  </si>
  <si>
    <t>Healthy, ethical, sustainable food for all. 💚</t>
  </si>
  <si>
    <t>final.footage</t>
  </si>
  <si>
    <t>FinalFootage</t>
  </si>
  <si>
    <t>Your Favourite Found Footage Account (250,000 following across all platforms)
#finalfootage
PROUD SUPPORTER OF FOUNDTV</t>
  </si>
  <si>
    <t>https://linktr.ee/finalfootage</t>
  </si>
  <si>
    <t>footagedrama</t>
  </si>
  <si>
    <t>Binge-worthy shows, immersive viewing on Footage!
🎁 Download the Footage App now and enjoy free membership!
👇👇👇 Click the link below to get started!</t>
  </si>
  <si>
    <t>footagefilmsstudios</t>
  </si>
  <si>
    <t>Footage Films Studios</t>
  </si>
  <si>
    <t>RUN: Now playing in theaters</t>
  </si>
  <si>
    <t>https://www.fandango.com/run-2025-239138/movie-overview</t>
  </si>
  <si>
    <t>footagegang248</t>
  </si>
  <si>
    <t>Footagegang Pictures</t>
  </si>
  <si>
    <t>https://rumble.com/v2352h0-things-go-left.html</t>
  </si>
  <si>
    <t>footage_se</t>
  </si>
  <si>
    <t>Footage_se</t>
  </si>
  <si>
    <t>🔊For Paid Collaboration And Promotion
📥Email : Sevame.net@gmail.com</t>
  </si>
  <si>
    <t>securityvidz</t>
  </si>
  <si>
    <t>Weird Footage</t>
  </si>
  <si>
    <t>🎥 Wildest Security videos
🔰 Follow for more</t>
  </si>
  <si>
    <t>forbes</t>
  </si>
  <si>
    <t>Official Instagram account of Forbes, the world’s leading voice for entrepreneurial success and free enterprise.</t>
  </si>
  <si>
    <t>http://on.forbes.com/linkinbio</t>
  </si>
  <si>
    <t>forbes_at</t>
  </si>
  <si>
    <t>Forbes Austria</t>
  </si>
  <si>
    <t>Die österreichische Ausgabe des US-Wirtschaftsmagazins Forbes.</t>
  </si>
  <si>
    <t>https://zez.am/forbesat</t>
  </si>
  <si>
    <t>forbesbr</t>
  </si>
  <si>
    <t>Forbes Brasil</t>
  </si>
  <si>
    <t>Forbes, o maior título de negócios do mundo, dedicado a realizações e a realizadores.
@forbesmulher 
@forbesagro 
@forbeslifebr</t>
  </si>
  <si>
    <t>https://linkin.bio/forbesbr</t>
  </si>
  <si>
    <t>forbesfrance</t>
  </si>
  <si>
    <t>Média de référence pour la réussite entrepreneuriale et les leaders du monde, d’aujourd’hui et de demain.</t>
  </si>
  <si>
    <t>http://forbes.fr</t>
  </si>
  <si>
    <t>forbes_kz</t>
  </si>
  <si>
    <t>Forbes Kazakhstan</t>
  </si>
  <si>
    <t>Неформальная гастрономия: как работает формат fun dining ⬇️</t>
  </si>
  <si>
    <t>https://youtu.be/7shStPYtH40</t>
  </si>
  <si>
    <t>forbesliferussia</t>
  </si>
  <si>
    <t>Forbes Life Russia</t>
  </si>
  <si>
    <t>Фитнес на «гарвардской тарелке»: почему люди выбирают спорт без стресса ⬇️</t>
  </si>
  <si>
    <t>https://t.me/ForbesLifeRussia</t>
  </si>
  <si>
    <t>forbespt</t>
  </si>
  <si>
    <t>FORBES Portugal</t>
  </si>
  <si>
    <t>Conta oficial da Forbes Portugal. A revista de líderes e de empreendedores com maior impacto no mundo dos negócios. It’s not personal, it’s business.</t>
  </si>
  <si>
    <t>https://linkin.bio/forbespt</t>
  </si>
  <si>
    <t>forbes.russia</t>
  </si>
  <si>
    <t>Русская редакция Forbes</t>
  </si>
  <si>
    <t>Медиа о бизнесе, политике, финансах, экономике и стиле жизни</t>
  </si>
  <si>
    <t>https://linktr.ee/forbesru</t>
  </si>
  <si>
    <t>forbes.woman.russia</t>
  </si>
  <si>
    <t>Forbes Woman Russia</t>
  </si>
  <si>
    <t>🔺Про женщин, которые меняют мир🔺
Как стереотипы о возрасте мешают женщинам в работе и жизни ⬇️
FWD. Woman Summit 2025 ⬇️</t>
  </si>
  <si>
    <t>https://t.me/ForbesWomanRussia</t>
  </si>
  <si>
    <t>forbeswomen</t>
  </si>
  <si>
    <t>ForbesWomen</t>
  </si>
  <si>
    <t>The official Instagram account of ForbesWomen, the source for all @forbes coverage of the women who are changing the world through business.</t>
  </si>
  <si>
    <t>http://on.forbes.com/fwlinkinbio</t>
  </si>
  <si>
    <t>katieforbes4real</t>
  </si>
  <si>
    <t>Katie Forbes</t>
  </si>
  <si>
    <t>Pro Wrestler 🤼‍♀️ Model 👑THE TWERK QUEEN 
 MRS. VAN DAM☯️ @therealrvd Wife 💍 💕 Radiator of LOVE &amp; Positive Energy ✨🌈⭐️</t>
  </si>
  <si>
    <t>https://allmylinks.com/katieforbes</t>
  </si>
  <si>
    <t>sorrell.forbes</t>
  </si>
  <si>
    <t>Sorrell Forbes</t>
  </si>
  <si>
    <t>The acne-safe INGREDIENTS girl 🧴🔬
✨get healthier &amp; hotter✨
ForbesSorrell@gmail.com
🧿</t>
  </si>
  <si>
    <t>https://www.shopltk.com/explore/Sorrell.Forbes</t>
  </si>
  <si>
    <t>foreignaffairsmag</t>
  </si>
  <si>
    <t>Foreign Affairs Magazine</t>
  </si>
  <si>
    <t>Founded in 1922, Foreign Affairs is the leading forum for serious discussion of international affairs.</t>
  </si>
  <si>
    <t>https://sprout.link/foreignaffairsmag</t>
  </si>
  <si>
    <t>foreignaffairsmiami</t>
  </si>
  <si>
    <t>Foreign Affairs Miami 🌴</t>
  </si>
  <si>
    <t>Exotic Car Rental</t>
  </si>
  <si>
    <t>Maintenance  🔹 Modifications 🔹 Repairs 🔹 Rentals                         
⛔️ Must have full coverage insurance to rent ⛔️
EST. 2021</t>
  </si>
  <si>
    <t>rwandamfa</t>
  </si>
  <si>
    <t>Foreign Affairs | Rwanda</t>
  </si>
  <si>
    <t>Government organization</t>
  </si>
  <si>
    <t>The Official Instagram Page of the Ministry of Foreign Affairs and International Cooperation @RwandaGovt</t>
  </si>
  <si>
    <t>http://www.minaffet.gov.rw/</t>
  </si>
  <si>
    <t>foreignpolicydesign</t>
  </si>
  <si>
    <t>𝙵𝚘𝚛𝚎𝚒𝚐𝚗 𝙿𝚘𝚕𝚒𝚌𝚢</t>
  </si>
  <si>
    <t>design &amp; strategy office helmed by @yahlengyu @_arthurchin | @oooffice.ooo @designdiplomacy @readcriticalmass @brandguide @galleryandco @designpasar</t>
  </si>
  <si>
    <t>http://foreignpolicy.design</t>
  </si>
  <si>
    <t>foreignpolicymag</t>
  </si>
  <si>
    <t>Foreign Policy Magazine</t>
  </si>
  <si>
    <t>The magazine for global politics, economics, and ideas.</t>
  </si>
  <si>
    <t>https://linkin.bio/foreignpolicymag</t>
  </si>
  <si>
    <t>fpcindo</t>
  </si>
  <si>
    <t>Foreign Policy Community of Indonesia (FPCI)</t>
  </si>
  <si>
    <t>We aim to become an independent and credible voice for Indonesia’s foreign policy.
@1000circlesproj @fpciclimate @globaltownhall @aseanforthepeoples</t>
  </si>
  <si>
    <t>http://linktr.ee/FPCINDO</t>
  </si>
  <si>
    <t>bizfortunes</t>
  </si>
  <si>
    <t>Business | Money | Wealth</t>
  </si>
  <si>
    <t>🏆 | #1 Page For Business/Finance 
💹 | Financial Knowledge To Save/Invest Money | 💵</t>
  </si>
  <si>
    <t>bplfortunebarishal</t>
  </si>
  <si>
    <t>Fortune Barishal</t>
  </si>
  <si>
    <t>Sports team</t>
  </si>
  <si>
    <t>Fortune Barishal’ is a franchise cricket team plays in the Bangladesh Premier League (BPL), representing the country's Barisal Division</t>
  </si>
  <si>
    <t>https://www.fortunebarishalsports.com/</t>
  </si>
  <si>
    <t>fortune</t>
  </si>
  <si>
    <t>Take your wealth personally. Finance and career advice from @one37pm</t>
  </si>
  <si>
    <t>http://one37pm.com/grind</t>
  </si>
  <si>
    <t>fortuneflipss</t>
  </si>
  <si>
    <t>FortuneFlips</t>
  </si>
  <si>
    <t>🚀 | 6 Figure Reseller
💬 | DM Me “LEARN” for 1-1 Coaching
⬇️ | World’s Best Suppliers</t>
  </si>
  <si>
    <t>https://stan.store/Fortuneflipss</t>
  </si>
  <si>
    <t>fortune.foods</t>
  </si>
  <si>
    <t>Fortune Foods</t>
  </si>
  <si>
    <t>For the love of ghar ka khana🧡</t>
  </si>
  <si>
    <t>https://www.fortunefoods.com</t>
  </si>
  <si>
    <t>fortuneinsight</t>
  </si>
  <si>
    <t>Fortune Insight｜財經、國際、創科專業平台</t>
  </si>
  <si>
    <t>率先洞悉商戰思維、創新財富及市場趨勢！
商業合作請洽👇
info@fortuneinsight.com 
👇下載Fortune Insight Prime App</t>
  </si>
  <si>
    <t>https://fortuneinsight.app.link/WdJ96Mwzlmb</t>
  </si>
  <si>
    <t>fortunemag</t>
  </si>
  <si>
    <t>FORTUNE</t>
  </si>
  <si>
    <t>Making business better since 1930.
💰 @fortune500 
💪 @fortunempw 
🩺 @fortunewell 
💰 @fortunecrypto 
The news you need👇</t>
  </si>
  <si>
    <t>https://linkin.bio/fortunemag/</t>
  </si>
  <si>
    <t>astronomyforum</t>
  </si>
  <si>
    <t>Astronomy</t>
  </si>
  <si>
    <t>Your personal space journey 🏁</t>
  </si>
  <si>
    <t>eafcmobileforum</t>
  </si>
  <si>
    <t>FC MOBILE FORUM</t>
  </si>
  <si>
    <t>Official Instagram Account of FC Mobile Forum
For Advertising &amp; Business Inquiry
👉💼 eafcmobileforum@gmail.com</t>
  </si>
  <si>
    <t>https://www.fcmobileforum.com</t>
  </si>
  <si>
    <t>forumchaves</t>
  </si>
  <si>
    <t>Fórum Chaves</t>
  </si>
  <si>
    <t>❤ Maior comunidade de fãs de Chaves, Chapolin e Chespirito
📍 Desde 2009
🥇 Certificada pelo @chespirito_rgb
⏩ Siga @forumchaves em todas as redes</t>
  </si>
  <si>
    <t>http://linktr.ee/forumchaves</t>
  </si>
  <si>
    <t>forumoficial</t>
  </si>
  <si>
    <t>FORUM</t>
  </si>
  <si>
    <t>The Original Denim since 1981</t>
  </si>
  <si>
    <t>https://linktr.ee/forumoficial</t>
  </si>
  <si>
    <t>forumsocialhouse</t>
  </si>
  <si>
    <t>Forum Social House</t>
  </si>
  <si>
    <t>Local business</t>
  </si>
  <si>
    <t>Entertainment Venue in Bellevue
PAR1 MINIATURE GOLF 
TOPGOLF SWING SUITE
ROCKWELL SOUND LOUNGE @rockwellsoundlounge</t>
  </si>
  <si>
    <t>https://www.forumsocialhouse.com</t>
  </si>
  <si>
    <t>pakistan.art.forum</t>
  </si>
  <si>
    <t>Pakistan Art Forum</t>
  </si>
  <si>
    <t>🔹 Pakistan’s largest digital space for contemporary art 
🔹 Pakistan Art Forum Gallery 📍Lahore</t>
  </si>
  <si>
    <t>http://www.pakistanartforum.com/</t>
  </si>
  <si>
    <t>projectconnectforum</t>
  </si>
  <si>
    <t>Project Connect Forum</t>
  </si>
  <si>
    <t>🌐 #1 Extracurricular Forum | 8M+ Impacted
📝 Helping Students Build Their Activities List
🏆 DM “IMPACT” for Passion Project Help
📧 andradc@stanford.edu</t>
  </si>
  <si>
    <t>https://beacons.ai/projectconnectforum</t>
  </si>
  <si>
    <t>the_forum_magazine</t>
  </si>
  <si>
    <t>The Forum Magazine</t>
  </si>
  <si>
    <t>Marketing &amp; Branding Platform 
#PulseOfTheCulture
Subscribe To The Forum’s YouTube Channel 
Follow Our New Show @caporfacts_tfm 🏁</t>
  </si>
  <si>
    <t>https://linktr.ee/The_ForumMag</t>
  </si>
  <si>
    <t>thekiaforum</t>
  </si>
  <si>
    <t>The Kia Forum</t>
  </si>
  <si>
    <t>This is the place.</t>
  </si>
  <si>
    <t>http://linkin.bio/thekiaforum</t>
  </si>
  <si>
    <t>vonduclo</t>
  </si>
  <si>
    <t>Forum Vondu ™</t>
  </si>
  <si>
    <t>C2 | Forum Exclusive 
SOLD OUT!! - JOIN OUR SMS</t>
  </si>
  <si>
    <t>http://www.vonduclo.store</t>
  </si>
  <si>
    <t>worldeconomicforum</t>
  </si>
  <si>
    <t>World Economic Forum</t>
  </si>
  <si>
    <t>Committed to improving the state of the world.</t>
  </si>
  <si>
    <t>http://lnk.bio/worldeconomicforum</t>
  </si>
  <si>
    <t>foxnews</t>
  </si>
  <si>
    <t>Get the News You Need. Download the Fox News app. ⬇️</t>
  </si>
  <si>
    <t>https://fxn.ws/46QPzba</t>
  </si>
  <si>
    <t>foxnews411</t>
  </si>
  <si>
    <t>Fox News Entertainment</t>
  </si>
  <si>
    <t>FOX411 is FOXNews.com's destination for entertainment and celebrity news.</t>
  </si>
  <si>
    <t>https://www.foxnews.com/entertainment/dean-martins-daughter-responds-to-baby-its-cold-outside-controversy-says-her-father-would-be-going-insane</t>
  </si>
  <si>
    <t>foxnewsnight</t>
  </si>
  <si>
    <t>Fox News @ Night</t>
  </si>
  <si>
    <t>Tune into Fox News @ Night weeknight at 11PM EST/ 8PM PST! Hosted by @tracegallagher only on @foxnews
Use #foxnewsnight when posting about the show!</t>
  </si>
  <si>
    <t>https://foxnews.shop/products/fox-news-night-mug?utm_source=instagram.com&amp;utm_medium=social&amp;utm_campaign=fox-news-night-mug&amp;utm_content=instagram</t>
  </si>
  <si>
    <t>foxnewsradio</t>
  </si>
  <si>
    <t>FOX News Radio</t>
  </si>
  <si>
    <t>The FOX Audio Network. News, politics, opinion &amp; more from @foxnews</t>
  </si>
  <si>
    <t>https://shopgr.id/foxnewsradio</t>
  </si>
  <si>
    <t>foxnewstoday.us</t>
  </si>
  <si>
    <t>Fox News Today</t>
  </si>
  <si>
    <t>Work seriously, dedicate to the audience🎬.Support the channel👇</t>
  </si>
  <si>
    <t>https://amzn.to/3VFOtbZ</t>
  </si>
  <si>
    <t>usatoday_foxnews_truck_driver</t>
  </si>
  <si>
    <t>USA Today - Fox News - USA Truck Driver - USA Dating</t>
  </si>
  <si>
    <t>I am Throckmorton O’Quandale from SusAmongUsLand in Texoma, on the Texas half. I am single looking for an obese woman to spend my life with.</t>
  </si>
  <si>
    <t>france24</t>
  </si>
  <si>
    <t>FRANCE 24</t>
  </si>
  <si>
    <t>🌍 L'actualité internationale 24h/24
Infographies, coulisses et interviews exclusives 
▪️ @France24_en
▪️ @France24_es
▪️ @France24_ar</t>
  </si>
  <si>
    <t>https://go.france24.com/bio</t>
  </si>
  <si>
    <t>france24_ar</t>
  </si>
  <si>
    <t>فرانس 24 / FRANCE 24</t>
  </si>
  <si>
    <t>🌍 فرانس 24 باللغة العربية الأخبار الدولية على مدار الساعة
إنفوغرافيك، كواليس وحوارات حصرية. 
▪️ @France24 
▪️ @France24_en 
▪️ @France24_es</t>
  </si>
  <si>
    <t>https://go.france24.com/bio_ar</t>
  </si>
  <si>
    <t>france24_en</t>
  </si>
  <si>
    <t>FRANCE 24 English</t>
  </si>
  <si>
    <t>🌎 International News 24/7
Infographics, behind-the-scenes &amp; exclusive content
▪️ @France24
▪️ @France24_es
▪️ @France24_ar</t>
  </si>
  <si>
    <t>https://go.france24.com/bio_en</t>
  </si>
  <si>
    <t>france24_es</t>
  </si>
  <si>
    <t>FRANCE 24 Español</t>
  </si>
  <si>
    <t>📹 🌎 En español, síguenos en vivo las 24 horas del día durante los 7 días de la semana.
@France24
@France24_en
 @France24_ar</t>
  </si>
  <si>
    <t>https://www.france24.com/es/</t>
  </si>
  <si>
    <t>faz</t>
  </si>
  <si>
    <t>Frankfurter Allgemeine</t>
  </si>
  <si>
    <t>📰 News + Reportagen 
🤳 unterwegs mit uns
👍 @fazmagazin @fazrheinmain @faz.einspruch @fazquarterly
👇Impressum/Rechtliches</t>
  </si>
  <si>
    <t>https://linkin.bio/faz</t>
  </si>
  <si>
    <t>fazmagazin</t>
  </si>
  <si>
    <t>Frankfurter Allgemeine Magazin</t>
  </si>
  <si>
    <t>Wahres, Schönes, Gutes. 
👀 Aktuelle Ausgabe unter faz.net/magazin 
📰 Immer am zweiten Samstag im Monat in der @faz am Kiosk!
👇Impressum &amp; Rechtliches</t>
  </si>
  <si>
    <t>http://linkin.bio/fazmagazin</t>
  </si>
  <si>
    <t>freelancerstv</t>
  </si>
  <si>
    <t>Freelancers</t>
  </si>
  <si>
    <t>Watch Freelancers Seasons 1 &amp; 2 now on @angel or YouTube! Follow the link in bio👇</t>
  </si>
  <si>
    <t>https://linktr.ee/JkJkStudios</t>
  </si>
  <si>
    <t>freelancersu</t>
  </si>
  <si>
    <t>Freelancers Union</t>
  </si>
  <si>
    <t>💫 Creating a better future for the self employed. 
👩‍💻 FREE co-working, resources &amp; more at @nyc_hub. 
🖋️ Executive Director: @rlespinal</t>
  </si>
  <si>
    <t>https://linktr.ee/freelancersunion</t>
  </si>
  <si>
    <t>go.freelancer</t>
  </si>
  <si>
    <t>⁣
⁣
My ___ : @0000.space 
Không gian học &amp; viết của bạn:</t>
  </si>
  <si>
    <t>https://www.bentrong.com</t>
  </si>
  <si>
    <t>j876my</t>
  </si>
  <si>
    <t>젤라비 🇰🇷(freelancer model)</t>
  </si>
  <si>
    <t>Fashion Model</t>
  </si>
  <si>
    <t>⠀⠀⠀⠀⠀⠀⠀⠀⠀⠀⠀⠀⠀⠀⠀⠀⠀⠀⠀⠀⠀⠀⠀⠀⠀⠀⠀⠀⠀⠀
169cm / 50kg
JELLABEE 💗</t>
  </si>
  <si>
    <t>https://youtube.com/@j876my?feature=shared</t>
  </si>
  <si>
    <t>thelucyvincent</t>
  </si>
  <si>
    <t>Lucy | Marketing Business Coach For Freelancers + SMM</t>
  </si>
  <si>
    <t>💸 Helping freelancers &amp; SMM build, grow + scale to 6 + 7 figures @itsluckygirlsocial 
Stressed out employee 👉🏼 7 figure CEO
👀 Seen in Forbes</t>
  </si>
  <si>
    <t>https://linktr.ee/thelucyvincent</t>
  </si>
  <si>
    <t>gameinformermagazine</t>
  </si>
  <si>
    <t>Over 30 years celebrating the best of games in print and online.</t>
  </si>
  <si>
    <t>https://buffer.com/p/gameinformermagazine</t>
  </si>
  <si>
    <t>gamespot</t>
  </si>
  <si>
    <t>Video Game</t>
  </si>
  <si>
    <t>Gaming &amp; entertainment news, reviews and more!
#GameSpot</t>
  </si>
  <si>
    <t>http://sprout.link/gamespot</t>
  </si>
  <si>
    <t>gamespotdr</t>
  </si>
  <si>
    <t>GAMESPOT | TIENDA FISICA</t>
  </si>
  <si>
    <t>Video Game Store</t>
  </si>
  <si>
    <t>|•👾El Spot de los gamers👾
|•📍Tienda fisica en Santo Domingo D.N
|•🎮Consolas, gaming pc, monitores
| •🚚Envíos a todo el país 
|•⬇️WHATSAPP Y UBICACIÓN</t>
  </si>
  <si>
    <t>https://wa.link/wb5553</t>
  </si>
  <si>
    <t>gamespot.rasht</t>
  </si>
  <si>
    <t>فروشگاه / گيم نت / خدمات</t>
  </si>
  <si>
    <t>🕹️مجموعه تخصصی محصولات گیمینگ  
☎️ 09111320512 | 09199195309  
زندگی یک بازی است قهرمان آن باش
@mr_amir.h.z.k🔒 
📍رشت ، سعدی ، پاساژ ولیعصر طبقه ۱.۲.۳</t>
  </si>
  <si>
    <t>http://gamespotrasht.com</t>
  </si>
  <si>
    <t>glamour</t>
  </si>
  <si>
    <t>✨</t>
  </si>
  <si>
    <t>Follow for makeup tips, tricks, and giveaways 💕</t>
  </si>
  <si>
    <t>https://chnge.com/collections/sale/products/kids</t>
  </si>
  <si>
    <t>gl.a.mour</t>
  </si>
  <si>
    <t>made with love 🎀🌟🧘🏼‍♀️🩰🪩 
💌Retaj@antineaagency.com</t>
  </si>
  <si>
    <t>https://www.youtube.com/@KeepingUpWithGlamour</t>
  </si>
  <si>
    <t>glamour_312</t>
  </si>
  <si>
    <t>женская одежда GLAMOUR</t>
  </si>
  <si>
    <t>Премиум бренд 
Доставка по всему миру 
Бишкек/Караван 0 этаж С39 
———————————————
Для заказа переходи ⤵️</t>
  </si>
  <si>
    <t>glamour_costumes</t>
  </si>
  <si>
    <t>Glamour Costumes</t>
  </si>
  <si>
    <t>Costume Designer</t>
  </si>
  <si>
    <t>⭐️Where your DREAM COSTUME becomes a reality
🪩 Selling to ALL entertainment industries
🩰 GC Recital Line @glamourcostumesrecital</t>
  </si>
  <si>
    <t>http://www.glamourcostumes.com/</t>
  </si>
  <si>
    <t>glamourddive</t>
  </si>
  <si>
    <t>Ella Rose</t>
  </si>
  <si>
    <t>➼ Subscribe &amp; join my dumpster family
➼ 400k Dumpster Divas on YouTube
☞︎ Follow me on on TikTok// GlamourDDive (2.3 million)</t>
  </si>
  <si>
    <t>http://glamourddive.com</t>
  </si>
  <si>
    <t>glamour_eth</t>
  </si>
  <si>
    <t>GLAMOUR</t>
  </si>
  <si>
    <t>Nails &amp;Lash 
📍Gerji☎️0902000011
📍Bole☎️0902050607
📍Sumit☎️0908222000 
📍B/geb☎️0908333000
📍Bole bras☎️0940888000
📍4Kilo☎️0942888000
📍Lebu☎️0944888000</t>
  </si>
  <si>
    <t>glamour_fashion25</t>
  </si>
  <si>
    <t>GLAMOUR FASHION STORE •𝑉𝑖𝑠𝑡𝑎 𝑠𝑢𝑎 𝑚𝑒𝑙ℎ𝑜𝑟 𝑣𝑒𝑟𝑠𝑎𝑜!✨</t>
  </si>
  <si>
    <t>• NOVIDADE TODA SEMANA! 
• Seg a Sáb das 8:00h às 18:00h
•Fazemos entrega
• Enviamos para todo Brasil 
 🛒 𝐂𝐨𝐦𝐩𝐫𝐞 𝐩𝐞𝐥𝐨 𝐥𝐢𝐧𝐤: 👇🏼</t>
  </si>
  <si>
    <t>https://api.whatsapp.com/send?phone=77999638732&amp;text=%2520</t>
  </si>
  <si>
    <t>glamourformals</t>
  </si>
  <si>
    <t>Glamour Formals</t>
  </si>
  <si>
    <t>Tennessee’s NEWEST &amp; Largest Formalwear Store!
Prom | Pageant | Hoco | Social | Mothers | RTW
Walk-Ins Welcome
Mon-Fri 12-7, Sat 10-6, Sun 12-5</t>
  </si>
  <si>
    <t>https://linktr.ee/glamourformals</t>
  </si>
  <si>
    <t>glamourmag</t>
  </si>
  <si>
    <t>For women reshaping the world.
Beauty. Fashion. Wellness. Celebrity. Culture.</t>
  </si>
  <si>
    <t>http://likeshop.me/glamourmag</t>
  </si>
  <si>
    <t>glamour.rzn</t>
  </si>
  <si>
    <t>Мила</t>
  </si>
  <si>
    <t>■ Одежда из Польши в наличии и под заказ
■ Подбор размера по вашим параметрам
Обмена и возврата нет❗️</t>
  </si>
  <si>
    <t>https://t.me/glamour_rzn31</t>
  </si>
  <si>
    <t>obuca_glamour.rs</t>
  </si>
  <si>
    <t>Obuca Glamour RS</t>
  </si>
  <si>
    <t>Viber i WhatsApp👉063 78-72-318
Nas profil @torbenovcaniciglamour 
MALOPRODAJA i VELEPRODAJA👍
Slanje sirom Srbije
Vrhunski kvalitet,najpovoljnije cene🌹</t>
  </si>
  <si>
    <t>officiallyglamour</t>
  </si>
  <si>
    <t>GLAMOUR, an R&amp;B Girl Group from the ATL | Featured in "Star" on FOX. Booking@agientertainment.com</t>
  </si>
  <si>
    <t>https://youtu.be/xtDb1pFZeaU</t>
  </si>
  <si>
    <t>globeandmail</t>
  </si>
  <si>
    <t>The Globe and Mail</t>
  </si>
  <si>
    <t>Canada's national newspaper, but on Instagram. Check out @globeandmailstories.</t>
  </si>
  <si>
    <t>http://linkin.bio/globeandmail/</t>
  </si>
  <si>
    <t>globestyle</t>
  </si>
  <si>
    <t>Globe and Mail Style Advisor</t>
  </si>
  <si>
    <t>Fashion, design, travel &amp; entertaining inspiration from @globeandmail's style magazine.
#GlobeStyleAdvisor</t>
  </si>
  <si>
    <t>http://tgam.ca/styleadvisor</t>
  </si>
  <si>
    <t>goalcomindonesia</t>
  </si>
  <si>
    <t>GOAL Indonesia</t>
  </si>
  <si>
    <t>Sepakbola, segalanya ⚽</t>
  </si>
  <si>
    <t>http://goal.com/id</t>
  </si>
  <si>
    <t>goodhousekeeping</t>
  </si>
  <si>
    <t>The home you want.
Share with us: #thatsgoodhousekeeping 
Link in bio 👇</t>
  </si>
  <si>
    <t>https://likeshop.me/goodhousekeeping</t>
  </si>
  <si>
    <t>goodhousekeepingsa</t>
  </si>
  <si>
    <t>Good Housekeeping Magazine SA</t>
  </si>
  <si>
    <t>Smart solutions and inspiration for busy women who are passionate about their homes and family.</t>
  </si>
  <si>
    <t>https://linkin.bio/goodhousekeepingsa</t>
  </si>
  <si>
    <t>goodhousekeepinguk</t>
  </si>
  <si>
    <t>Good Housekeeping UK</t>
  </si>
  <si>
    <t>The UK’s bestselling lifestyle magazine! Delicious recipes, home inspiration, travel ideas and more 💐
Tag your GH recipes with #GHrecipes</t>
  </si>
  <si>
    <t>https://likeshop.me/goodhousekeepinguk</t>
  </si>
  <si>
    <t>britishgq</t>
  </si>
  <si>
    <t>British GQ</t>
  </si>
  <si>
    <t>New luxury.</t>
  </si>
  <si>
    <t>http://likeshop.me/britishgq</t>
  </si>
  <si>
    <t>gq</t>
  </si>
  <si>
    <t>Big fits start here.
@gqsports
@gqrecommends
@gqbox</t>
  </si>
  <si>
    <t>http://likeshop.me/gq</t>
  </si>
  <si>
    <t>gq.alikhan</t>
  </si>
  <si>
    <t>Alikhan</t>
  </si>
  <si>
    <t>gq_castings</t>
  </si>
  <si>
    <t>GQ Castings</t>
  </si>
  <si>
    <t>A glimpse through the lens of the @GQ Bookings Department. 
Bookings Director Victoria Graham</t>
  </si>
  <si>
    <t>gqfrance</t>
  </si>
  <si>
    <t>GQ France</t>
  </si>
  <si>
    <t>All roads lead to style.</t>
  </si>
  <si>
    <t>https://likeshop.me/gqfrance</t>
  </si>
  <si>
    <t>gqhongkong</t>
  </si>
  <si>
    <t>GQ Hong Kong</t>
  </si>
  <si>
    <t>The arbiter of style.</t>
  </si>
  <si>
    <t>http://gqhongkong.com</t>
  </si>
  <si>
    <t>gqitalia</t>
  </si>
  <si>
    <t>GQ Italia</t>
  </si>
  <si>
    <t>Questioni di stile.</t>
  </si>
  <si>
    <t>https://likeshop.me/gqitalia</t>
  </si>
  <si>
    <t>gqjordannutrition</t>
  </si>
  <si>
    <t>GQ Jordan | Nutritionist</t>
  </si>
  <si>
    <t>Nutritionist</t>
  </si>
  <si>
    <t>I make healthy eating simple, sustainable + science-led
✍🏻As seen in Vogue, Forbes, Women's Health + more
Book Enquiries: briony.gowlett@ymugroup.com</t>
  </si>
  <si>
    <t>https://gq-jordan-nutrition.kit.com/guide</t>
  </si>
  <si>
    <t>gq_korea</t>
  </si>
  <si>
    <t>GQ KOREA</t>
  </si>
  <si>
    <t>https://likeshop.me/gq_korea</t>
  </si>
  <si>
    <t>gqrussia</t>
  </si>
  <si>
    <t>GQ Россия | 20 лет</t>
  </si>
  <si>
    <t>Gentlemen's Quarterly</t>
  </si>
  <si>
    <t>https://likeshop.me/gqrussia</t>
  </si>
  <si>
    <t>gqsports</t>
  </si>
  <si>
    <t>GQ Sports</t>
  </si>
  <si>
    <t>@GQ’s all-access pass to the world’s coolest, most stylish athletes.</t>
  </si>
  <si>
    <t>https://likeshop.me/gqsports</t>
  </si>
  <si>
    <t>gqtaiwan</t>
  </si>
  <si>
    <t>GQ Taiwan</t>
  </si>
  <si>
    <t>To become a better man, follow GQ Taiwan.
官方線上選物電商： @gqshop_taiwan</t>
  </si>
  <si>
    <t>https://likeshop.me/gqtaiwan</t>
  </si>
  <si>
    <t>grubstreet</t>
  </si>
  <si>
    <t>Eat like the experts — food news and restaurant recommendations from @nymag</t>
  </si>
  <si>
    <t>http://likeshop.me/grubstreet</t>
  </si>
  <si>
    <t>handelsblatt</t>
  </si>
  <si>
    <t>Aktuelle Wirtschaftsnachrichten, Analysen und Hintergründe🗞️</t>
  </si>
  <si>
    <t>https://linkin.bio/handelsblatt</t>
  </si>
  <si>
    <t>orange_by_handelsblatt</t>
  </si>
  <si>
    <t>Orange by Handelsblatt</t>
  </si>
  <si>
    <t>Wirtschaft, Politik und Gesellschaft einfach erklärt: Hier berichten die Volos der Holtzbrinck-Schule für Journalismus.</t>
  </si>
  <si>
    <t>https://linkin.bio/orange-by-handelsblatt</t>
  </si>
  <si>
    <t>bazaarbr</t>
  </si>
  <si>
    <t>Harper's Bazaar Brasil</t>
  </si>
  <si>
    <t>O melhor da cultura de moda desde 1867.
Siga a @bazaarinteriorsbrasil.</t>
  </si>
  <si>
    <t>https://linkin.bio/bazaarbr</t>
  </si>
  <si>
    <t>bazaarfrance</t>
  </si>
  <si>
    <t>Harper’s Bazaar France</t>
  </si>
  <si>
    <t>Le magazine de mode qui parle au monde avec un accent français.</t>
  </si>
  <si>
    <t>https://l.harpersbazaar.fr/bio</t>
  </si>
  <si>
    <t>bazaaritalia</t>
  </si>
  <si>
    <t>Harper’s Bazaar Italia</t>
  </si>
  <si>
    <t>First in fashion.
#Bazaaritalia</t>
  </si>
  <si>
    <t>https://linktr.ee/bazaaritalia</t>
  </si>
  <si>
    <t>bazaarkids</t>
  </si>
  <si>
    <t>Harper's Bazaar Kids</t>
  </si>
  <si>
    <t>Revista Harper’s Bazaar Kids Brasil</t>
  </si>
  <si>
    <t>https://harpersbazaar.uol.com.br/</t>
  </si>
  <si>
    <t>bazaarthailand</t>
  </si>
  <si>
    <t>Harper's BAZAAR Thailand</t>
  </si>
  <si>
    <t>http://harpersbazaar.co.th</t>
  </si>
  <si>
    <t>bazaaruk</t>
  </si>
  <si>
    <t>Harper's Bazaar UK</t>
  </si>
  <si>
    <t>Fashion, beauty, art, culture, travel.</t>
  </si>
  <si>
    <t>http://likeshop.me/bazaaruk</t>
  </si>
  <si>
    <t>bazaarvietnam</t>
  </si>
  <si>
    <t>Harper's BAZAAR Vietnam</t>
  </si>
  <si>
    <t>An exhibition of beauty/fashion photography &amp; videography. 
Email: contact.bazaar@sunflowermedia.vn.</t>
  </si>
  <si>
    <t>https://bazaarvietnam.vn</t>
  </si>
  <si>
    <t>harpersbazaararabia</t>
  </si>
  <si>
    <t>Harper's Bazaar Arabia</t>
  </si>
  <si>
    <t>Arabia’s leading luxury fashion magazine for over a decade. 
مجلة هاربرز بازار العربية، الرائدة في عالم الأزياء الراقية لما يزيد عن عقد من الزمان.</t>
  </si>
  <si>
    <t>https://www.harpersbazaararabia.com</t>
  </si>
  <si>
    <t>harpersbazaares</t>
  </si>
  <si>
    <t>Harper's Bazaar España</t>
  </si>
  <si>
    <t>La revista de moda más antigua del mundo. 
Viviendo la moda desde 1867. 
Link in bio👇</t>
  </si>
  <si>
    <t>https://mtr.bio/harpersbazaares-735731</t>
  </si>
  <si>
    <t>harpersbazaargermany</t>
  </si>
  <si>
    <t>Harper’s BAZAAR Germany</t>
  </si>
  <si>
    <t>The official Instagram Account of Harper's BAZAAR Germany
⬇️ Hier alle Feed-Artikel nachlesen! ⬇️
(Impressum &amp; Datenschutzerklärung)</t>
  </si>
  <si>
    <t>https://www.harpersbazaar.de/instagram</t>
  </si>
  <si>
    <t>harpersbazaarhk</t>
  </si>
  <si>
    <t>Harper's BAZAAR HK</t>
  </si>
  <si>
    <t>Official Instagram of Harper's BAZAAR HK
推介國際時裝、美容、配飾及生活的潮流資訊及走勢，讓你掌握時尚脈搏。</t>
  </si>
  <si>
    <t>http://www.harpersbazaar.com.hk</t>
  </si>
  <si>
    <t>harpersbazaarjapan</t>
  </si>
  <si>
    <t>Harper's BAZAAR Japan</t>
  </si>
  <si>
    <t>Inspiring BAZAAR Woman.
Official account of Harper's BAZAAR Japan.
📣 『ハーパーズ バザー』10月号の表紙に #aespa #KARINA が登場！</t>
  </si>
  <si>
    <t>https://www.harpersbazaar.com/jp/</t>
  </si>
  <si>
    <t>harpersbazaarkorea</t>
  </si>
  <si>
    <t>Harper’s BAZAAR Korea 하퍼스 바자 코리아</t>
  </si>
  <si>
    <t>💜BTS RM Cover Now Available at Weverse Shop</t>
  </si>
  <si>
    <t>https://m.site.naver.com/1O7N0</t>
  </si>
  <si>
    <t>harpersbazaarmx</t>
  </si>
  <si>
    <t>Harper's Bazaar México</t>
  </si>
  <si>
    <t>Harper's Bazaar México, el líder de contenidos de moda y lujo. #BAZAAR #ThinkingFashion</t>
  </si>
  <si>
    <t>https://www.harpersbazaar.mx</t>
  </si>
  <si>
    <t>harpersbazaarsg</t>
  </si>
  <si>
    <t>Harper's BAZAAR Singapore</t>
  </si>
  <si>
    <t>The quintessential glossy for the well-dressed woman with a well-dressed mind. 
https://www.harpersbazaar.com.sg</t>
  </si>
  <si>
    <t>https://linkin.bio/harpersbazaarsg</t>
  </si>
  <si>
    <t>harpersbazaarturkiye</t>
  </si>
  <si>
    <t>Harper’s Bazaar Türkiye</t>
  </si>
  <si>
    <t>Enter the Era of Elegance✨</t>
  </si>
  <si>
    <t>https://www.harpersbazaar.com.tr/</t>
  </si>
  <si>
    <t>harpersbazaar_tw</t>
  </si>
  <si>
    <t>哈潑時尚 Harper's BAZAAR Taiwan</t>
  </si>
  <si>
    <t>有了BAZAAR，才有時尚！
▪️ @harpersbazaar_tw 
——————————————
⬇️點此看精彩完整內容</t>
  </si>
  <si>
    <t>https://www.harpersbazaar.com/tw/bazaar-at-work/</t>
  </si>
  <si>
    <t>harpersbazaarus</t>
  </si>
  <si>
    <t>Harper’s BAZAAR</t>
  </si>
  <si>
    <t>The Culture of Style</t>
  </si>
  <si>
    <t>https://likeshop.me/harpersbazaarus</t>
  </si>
  <si>
    <t>harvardbiz_art</t>
  </si>
  <si>
    <t>Harvard Business Review Art</t>
  </si>
  <si>
    <t>The artwork of the Harvard Business Review</t>
  </si>
  <si>
    <t>http://hbr.org/</t>
  </si>
  <si>
    <t>harvard_business_review</t>
  </si>
  <si>
    <t>The best ideas in business and management to help people, organizations, and economies work better.</t>
  </si>
  <si>
    <t>https://hbr.org/instagram</t>
  </si>
  <si>
    <t>hbr_press</t>
  </si>
  <si>
    <t>Harvard Business Review Press</t>
  </si>
  <si>
    <t>Books and collections on leadership, strategy, innovation, communication, managing yourself, and more.</t>
  </si>
  <si>
    <t>http://store.hbr.org/</t>
  </si>
  <si>
    <t>hbrturkiye</t>
  </si>
  <si>
    <t>Harvard Business Review Türkiye</t>
  </si>
  <si>
    <t>Dünyanın en prestijli iş ve yönetim dergisi.</t>
  </si>
  <si>
    <t>https://hbrturkiye.com/abonelik/yeni</t>
  </si>
  <si>
    <t>hashtagarig</t>
  </si>
  <si>
    <t>Throwback Ariana ∞☼</t>
  </si>
  <si>
    <t>Posting stuff that Ariana has posted (x) years ago today :))
♡ 
I can’t quit you either ponytail chick ;P
7.9.18 M.M
(fan account)</t>
  </si>
  <si>
    <t>hashtag.bogi</t>
  </si>
  <si>
    <t>Baishali Sinha</t>
  </si>
  <si>
    <t>Actor</t>
  </si>
  <si>
    <t>Tripura 🔄 Mumbai
Repped by @cloutpocketaces
“A jack of all trades is a master of none, but oftentimes better than a master of one.”
Hi, I am jack 🙂</t>
  </si>
  <si>
    <t>https://linktr.ee/hashtagbogi</t>
  </si>
  <si>
    <t>hashtagexpert</t>
  </si>
  <si>
    <t>Hashtag Expert</t>
  </si>
  <si>
    <t>App page</t>
  </si>
  <si>
    <t>We help businesses &amp; influencers thrive on social media
📲 Tools to save you time/money
⬇️ Download our app and start growing today</t>
  </si>
  <si>
    <t>http://hashtag.expert/</t>
  </si>
  <si>
    <t>hashtagf</t>
  </si>
  <si>
    <t>Home of Fashion | 
📍Verdun Gardens, before Staybridge Hotel
📍Mazraa, Salim Slem next to Ezone
🟢 Whatsapp 78/934284
🛒 Shop our website 👇🏼</t>
  </si>
  <si>
    <t>http://hashtag-lb.com/</t>
  </si>
  <si>
    <t>hashtagkarenag</t>
  </si>
  <si>
    <t>Karen Carratura</t>
  </si>
  <si>
    <t>Hi! I’m Karen. 💁🏻‍♀️
Filipino from NJ with Millennial Trauma
DINK Life
My husband might be why you’re here @j_c51489</t>
  </si>
  <si>
    <t>https://venmo.com/u/HashtagKarenag</t>
  </si>
  <si>
    <t>hashtag.natalie</t>
  </si>
  <si>
    <t>☆𝐍𝐚𝐭𝐚𝐥𝐢𝐞 𝐒𝐞𝐲𝐟𝐫𝐢𝐞𝐝☆</t>
  </si>
  <si>
    <t>Actor/Model🎬🎥
💌: natalie@littleredmgmt.com
📍nashville tn
All Socials ⬇️</t>
  </si>
  <si>
    <t>https://linktr.ee/hashtag.natalie</t>
  </si>
  <si>
    <t>hashtagopen</t>
  </si>
  <si>
    <t>#Open: ENM IRL</t>
  </si>
  <si>
    <t>A community-powered app built by and for ethically non-monogamous people to explore and connect in a safer, more authentic way — on their own terms.</t>
  </si>
  <si>
    <t>http://bit.ly/hashtag-open</t>
  </si>
  <si>
    <t>hashtagprogramacao</t>
  </si>
  <si>
    <t>Hashtag - Python, JavaScript, SQL &amp; Ciência de Dados</t>
  </si>
  <si>
    <t>💪 de programação da @hashtagtreinamentos
🧑‍🎓Mais de 100 mil alunos
👇🏻 Vem aprender com a gente</t>
  </si>
  <si>
    <t>https://www.hashtagtreinamentos.com/links-instagram-hashp</t>
  </si>
  <si>
    <t>headlinefarda</t>
  </si>
  <si>
    <t>Headline Farda</t>
  </si>
  <si>
    <t>تنها رسانه قابل اعتماد فارسی - Parody</t>
  </si>
  <si>
    <t>headlinenewshk</t>
  </si>
  <si>
    <t>頭條日報 Headline News</t>
  </si>
  <si>
    <t>No.1免費報紙《頭條日報》，讀者人數全港最多。
📱 立即下載全新《星島頭條》APP 👇🏻👇🏻</t>
  </si>
  <si>
    <t>https://campaign.stheadline.com/</t>
  </si>
  <si>
    <t>headlineoficial</t>
  </si>
  <si>
    <t>HEADLINE</t>
  </si>
  <si>
    <t>Qualidade profissional muda tudo.
Encante-se pelo tratamento capilar de Headline!</t>
  </si>
  <si>
    <t>http://linktr.ee/headlineoficial</t>
  </si>
  <si>
    <t>headlinernightclub</t>
  </si>
  <si>
    <t>The Headliner Day + Night Club</t>
  </si>
  <si>
    <t>Dance &amp; Night Club</t>
  </si>
  <si>
    <t>Jersey Shore's🔝Day + Nightclub + Bar and Grill  🎶🍽️🍻</t>
  </si>
  <si>
    <t>headliner.th</t>
  </si>
  <si>
    <t>HEADLINER THAILAND</t>
  </si>
  <si>
    <t>Artist Management by Image Future Thailand
📧 headliner.th@tencent.co.th
#HeadlinerTHArtist</t>
  </si>
  <si>
    <t>https://x.com/headlinerth</t>
  </si>
  <si>
    <t>headlinerworld</t>
  </si>
  <si>
    <t>Headliner Market Group</t>
  </si>
  <si>
    <t>CEO/President Michael Gardner - 
@headlinerselect @headlinerlatinoworld @houseofwings @teesyouth</t>
  </si>
  <si>
    <t>headlines.ban</t>
  </si>
  <si>
    <t>The Headlines</t>
  </si>
  <si>
    <t>Fresh News, Fresh Perspectives</t>
  </si>
  <si>
    <t>headlinesofficial</t>
  </si>
  <si>
    <t>Headlines Studio &amp; Salon</t>
  </si>
  <si>
    <t>• 𝐁𝐲 : @mikaalzulfiqar 
•ᴍᴀᴋᴇᴜᴘ: @headlinesmakeupstudio 
•ᴀᴇꜱᴛʜᴇᴛɪᴄꜱ: @skinovation.clinic 
• ᴍᴏɴ-ꜱᴜɴ : 11am-8pm 
📞 042-37189273 
📲 0314-0642224</t>
  </si>
  <si>
    <t>http://www.hlstudio.com.pk/</t>
  </si>
  <si>
    <t>hotheadlines.in</t>
  </si>
  <si>
    <t>Hot Headlines ™</t>
  </si>
  <si>
    <t>Voice of new generation
News ~ Country ~ Culture ~ Community</t>
  </si>
  <si>
    <t>mrsheadline</t>
  </si>
  <si>
    <t>CM Wynn</t>
  </si>
  <si>
    <t>Cocktails From My Home Bar✨Simple Recipes ✨Pretty Drinks✨ Easy To Make Cocktails ✨Drink Responsibly ✨ 💌Let’s Collab #cocktails ➡️Mrsheadline@gmail.com</t>
  </si>
  <si>
    <t>https://mrsheadline.myshopify.com/collections/all</t>
  </si>
  <si>
    <t>_helloibadan</t>
  </si>
  <si>
    <t>Hello Ibadan</t>
  </si>
  <si>
    <t>🧭 | Explore the city of Ibadan
🗺 | Join our community via the link
📧 | DM for ads and promo
🤝🏽 | Follow our Lagos page @hellolagos.city</t>
  </si>
  <si>
    <t>https://forms.gle/ThLFHmSm6ee9RQjY8</t>
  </si>
  <si>
    <t>hellokitty</t>
  </si>
  <si>
    <t>Hello Kitty</t>
  </si>
  <si>
    <t>Official Instagram for Hello Kitty 🎀
You can never have too many friends! 💖
Tap to shop and more 🛍 ⤵</t>
  </si>
  <si>
    <t>https://linkin.bio/hellokitty</t>
  </si>
  <si>
    <t>hellolagos.city</t>
  </si>
  <si>
    <t>Hello Lagos</t>
  </si>
  <si>
    <t>Local &amp; travel website</t>
  </si>
  <si>
    <t>🗺️ | Discover the best spots in Lagos
💬 | Send us a DM for collabs
🫱🏽‍🫲🏾 | Follow our Ibadan page @_helloibadan</t>
  </si>
  <si>
    <t>hello.muff</t>
  </si>
  <si>
    <t>muff : fresh milk</t>
  </si>
  <si>
    <t>Dessert Shop</t>
  </si>
  <si>
    <t>รับออเดอร์เค้กด่วน 🚀
หยุด 15-25/8 
bangkok , thailand since 2020
🏷ส่งจากรามอินทรา / สุขุมวิท 77
🧺 grab pick up
🍒 LINE เท่านั้น / No DM</t>
  </si>
  <si>
    <t>https://lin.ee/vEpogAY</t>
  </si>
  <si>
    <t>hello.perfect_</t>
  </si>
  <si>
    <t>helloperfectskin</t>
  </si>
  <si>
    <t>Skin. Laser. Injectables 
📍 35 Ihuntayi Street VI Lagos 
📞 09132007777, 08123642221
@helloperfect.abj @helloperfect.ph @helloperfect.uk</t>
  </si>
  <si>
    <t>https://linktr.ee/Helloperfectskin</t>
  </si>
  <si>
    <t>highsnobiety</t>
  </si>
  <si>
    <t>HIGHSNOBIETY</t>
  </si>
  <si>
    <t>We are what’s next.
@highsnobietyshop
@highsnobietysneakers
@highsnobietystyle
@highsnobietydesign
@highsnobietymusic
@highsnobietyjp</t>
  </si>
  <si>
    <t>http://linkin.bio/highsnobiety</t>
  </si>
  <si>
    <t>highsnobietydesign</t>
  </si>
  <si>
    <t>Highsnobiety Design #HSDesign</t>
  </si>
  <si>
    <t>Where form meets function. Curated by @highsnobiety</t>
  </si>
  <si>
    <t>https://linkin.bio/highsnobietydesign</t>
  </si>
  <si>
    <t>highsnobietyjp</t>
  </si>
  <si>
    <t>HIGHSNOBIETY JAPAN</t>
  </si>
  <si>
    <t>ベルリン発ファッション&amp;カルチャーメディア
PUBLISHED BY @caelumjp 
#ハイスノバイエティ 
#highsnobietyjp</t>
  </si>
  <si>
    <t>https://highsnobiety.jp/p/issue15_rukishiroiwa/</t>
  </si>
  <si>
    <t>highsnobietylife</t>
  </si>
  <si>
    <t>Highsnobiety Life #HSLife</t>
  </si>
  <si>
    <t>Life beyond style. Curated by @Highsnobiety</t>
  </si>
  <si>
    <t>http://hsnob.co/1buq5</t>
  </si>
  <si>
    <t>highsnobietymusic</t>
  </si>
  <si>
    <t>Highsnobiety Music #HSMusic</t>
  </si>
  <si>
    <t>Tune in and turn up. Curated by @highsnobiety</t>
  </si>
  <si>
    <t>https://linkin.bio/highsnobietymusic</t>
  </si>
  <si>
    <t>highsnobietyshop</t>
  </si>
  <si>
    <t>HIGHSNOBIETY SHOP</t>
  </si>
  <si>
    <t>Highsnobiety Berlin Flagship Store
Monday to Saturday 11-7</t>
  </si>
  <si>
    <t>https://linkin.bio/highsnobietyshop</t>
  </si>
  <si>
    <t>highsnobietysneakers</t>
  </si>
  <si>
    <t>Highsnobiety Sneakers #HSKicks</t>
  </si>
  <si>
    <t>Curated by @highsnobiety</t>
  </si>
  <si>
    <t>https://linkin.bio/highsnobietysneakers</t>
  </si>
  <si>
    <t>highsnobietystyle</t>
  </si>
  <si>
    <t>Highsnobiety Style #HSStyle</t>
  </si>
  <si>
    <t>Where the runway meets the street. Curated by @highsnobiety</t>
  </si>
  <si>
    <t>http://linkin.bio/highsnobietystyle</t>
  </si>
  <si>
    <t>hindustantimes</t>
  </si>
  <si>
    <t>Real-time news updates now on WhatsApp 👇</t>
  </si>
  <si>
    <t>https://linkin.bio/hindustantimes</t>
  </si>
  <si>
    <t>hindustantimesauto</t>
  </si>
  <si>
    <t>HT Auto</t>
  </si>
  <si>
    <t>We cover auto like no one else 🚘🔥 Unmatched reviews, latest launches, trends and everything on wheels!</t>
  </si>
  <si>
    <t>https://linkin.bio/ht_auto</t>
  </si>
  <si>
    <t>hindustantimestech</t>
  </si>
  <si>
    <t>HT Tech</t>
  </si>
  <si>
    <t>🗞️Hindustan Times Tech
🔍Tech News • Reviews • Gadgets 
📱 AI, Mobiles, Appliances, Latest Launches
💼 Collabs: DM us</t>
  </si>
  <si>
    <t>https://www.hindustantimes.com/technology</t>
  </si>
  <si>
    <t>htbrunch</t>
  </si>
  <si>
    <t>Hindustan Times Brunch</t>
  </si>
  <si>
    <t>The official Instagram account of the Hindustan Times magazine. Read this week’s issue ⬇️</t>
  </si>
  <si>
    <t>https://www.hindustantimes.com/lifestyle/brunch</t>
  </si>
  <si>
    <t>cjsparxx</t>
  </si>
  <si>
    <t>Sober bikini model &amp; host</t>
  </si>
  <si>
    <t>Sobriety | Lifestyle &amp; Travel | Podcast clips  
one day at a time🧃
LAS VEGAS 🎲
Host of @insideonlyfans 🎙️</t>
  </si>
  <si>
    <t>http://www.cjsparxx.com/</t>
  </si>
  <si>
    <t>hawaiian.host.group</t>
  </si>
  <si>
    <t>Hawaiian Host Group</t>
  </si>
  <si>
    <t>Meet the People Behind Our Brands: 
🍫 @kohochocolates
🌺 @hawaiianhostinc 
⛰️ @maunaloamacnut
🌳 @macfarms
🐢 #MacsTheHonu</t>
  </si>
  <si>
    <t>https://www.hawaiianhostgroup.com/careers/</t>
  </si>
  <si>
    <t>_hostel_girl</t>
  </si>
  <si>
    <t>riya roy</t>
  </si>
  <si>
    <t>i love hostel 🥰🥰🥰
i am hot girl 🥴🙈 
please support me 😭🙏 
i love you 😘😘😘😘😘 guys ❤️</t>
  </si>
  <si>
    <t>hostinger_global</t>
  </si>
  <si>
    <t>Hostinger Global</t>
  </si>
  <si>
    <t>Internet company</t>
  </si>
  <si>
    <t>Customer-obsessed, idea-driven &amp; ever-growing web hosting company. Enjoy our daily dose of adventure! 
Join us ⬇️</t>
  </si>
  <si>
    <t>https://hostinger.bio/</t>
  </si>
  <si>
    <t>jagoanhosting</t>
  </si>
  <si>
    <t>Jagoan Hosting Indonesia</t>
  </si>
  <si>
    <t>Provider Hosting Andalan! Support WhatsApp 24/7
Bebas Antri &amp; Developer Friendly!</t>
  </si>
  <si>
    <t>https://s.id/Jagoan-Hosting</t>
  </si>
  <si>
    <t>larelevemedias</t>
  </si>
  <si>
    <t>Jennifer Limare | Host 🎙️Podcast La Relève | Burnout Survivor</t>
  </si>
  <si>
    <t>🎙️LA RELÈVE le new média pour 
Raviver le lien, Éclairer le sens
Là où les histoires inspirent et les idées relient
🎬Host @jenniferlimare📍@inanna.prod</t>
  </si>
  <si>
    <t>https://open.spotify.com/show/0eFdeAalhFgHfYoLn5qW3u?si=6oKBg3gTRXq0PuUKJoooBQ</t>
  </si>
  <si>
    <t>laurawontorra</t>
  </si>
  <si>
    <t>Laura Wontorra | TV Host Sports &amp; Show | Founder</t>
  </si>
  <si>
    <t>🟠⚫️ Team Owner @wontorriors
📺 @rtl_de 
⚽️ @dazn_de 
🎤 SR Management 
📧⤵️ Business Inquiries, Contact me</t>
  </si>
  <si>
    <t>thehost.place</t>
  </si>
  <si>
    <t>The Host</t>
  </si>
  <si>
    <t>Travel &amp; Transportation</t>
  </si>
  <si>
    <t>Faire d’une adresse, votre destination ~
Des maisons d’hôtes, hôtels et maisons de vacances sélectionnés pour vous : bienvenue sur The Host.</t>
  </si>
  <si>
    <t>timetv20</t>
  </si>
  <si>
    <t>Host Ezno</t>
  </si>
  <si>
    <t>Tv and radio presenter|Media Personal 
Wourld wide Media | Hustle for Success 🚥@https://www.youtube.com/@TimeTV225</t>
  </si>
  <si>
    <t>housebeautiful</t>
  </si>
  <si>
    <t>Where happiness lives.</t>
  </si>
  <si>
    <t>http://likeshop.me/housebeautiful</t>
  </si>
  <si>
    <t>_house_beautiful</t>
  </si>
  <si>
    <t>House beautiful</t>
  </si>
  <si>
    <t>Architectural Designer</t>
  </si>
  <si>
    <t>دپارتمان تخصصی و مهندسی معماری ساختمان 
‎📲09123803481👈مجید میراحمدی 
‎02177860466👈شعبه یک
‎55388003👈شعبه دو‌
طراحی برای تمام نقاط کشور امکان پذیر است</t>
  </si>
  <si>
    <t>housebeautifuldecor</t>
  </si>
  <si>
    <t>House Beautiful Decor</t>
  </si>
  <si>
    <t>Interior design. Submit your photos ⤵️</t>
  </si>
  <si>
    <t>http://housebeautifuldecor.com/</t>
  </si>
  <si>
    <t>house_beautifuli</t>
  </si>
  <si>
    <t>House Beutiful Mirahmadi</t>
  </si>
  <si>
    <t>Interior Design Studio</t>
  </si>
  <si>
    <t>دپارتمان تخصصی و مهندسی معماری ساختمان 
‎📲09123803481👈مجید میراحمدی 
‎📞02177860466👈شعبه یک
55388003👈شعبه دو‌
طراحی برای تمام نقاط کشور امکان پذیر است</t>
  </si>
  <si>
    <t>https://www.instagram.com/_house_beautiful?igsh=MW01bmhlb2JwczZpbw%253D%253D&amp;utm_source=qr</t>
  </si>
  <si>
    <t>housebeautifultr</t>
  </si>
  <si>
    <t>HOUSE BEAUTIFUL TÜRKİYE</t>
  </si>
  <si>
    <t>Lüksü rafine bir yaşam olarak anlayıp, hayatının her anını tasarlayanlar için bilinmeyenleri keşfediyoruz!
@yaraticilikakademisi</t>
  </si>
  <si>
    <t>https://youtu.be/lT_-GKlbW_E</t>
  </si>
  <si>
    <t>housebeautifuluk</t>
  </si>
  <si>
    <t>House Beautiful UK</t>
  </si>
  <si>
    <t>🏡 Modern Living / Affordable Style
📸 Tag us &amp; use #DesignMySpace to appear on our feed</t>
  </si>
  <si>
    <t>https://likeshop.me/housebeautifuluk</t>
  </si>
  <si>
    <t>houseofbeautifulbusiness</t>
  </si>
  <si>
    <t>House of Beautiful Business</t>
  </si>
  <si>
    <t>🏡 Global community of 50,000+ professionals
💌 Curating content, hosting events, helping you shape more beautiful, life-centered futures</t>
  </si>
  <si>
    <t>https://houseofbeautifulbusiness.com/explore</t>
  </si>
  <si>
    <t>mirahmadi.design.iran</t>
  </si>
  <si>
    <t>دپارتمان تخصصی و مهندسی معماری ساختمان 
‎📲09123803481👈مجید میراحمدی 
‎📞02177860466👈شعبه یک
‎55388003👈شعبه دو‌
طراحی برای تمام نقاط کشور امکان پذیر است</t>
  </si>
  <si>
    <t>https://housebeautifuli.com</t>
  </si>
  <si>
    <t>mirahmadi.design.tehran</t>
  </si>
  <si>
    <t>https://www.instagram.com/_house_beautiful?igsh=MW01bmhlb2JwczZpbw%25253D%25253D&amp;utm_source=qr</t>
  </si>
  <si>
    <t>houstonchron</t>
  </si>
  <si>
    <t>Documenting life in Houston, Texas and beyond. #houstonchronicle</t>
  </si>
  <si>
    <t>https://linkin.bio/houstonchron</t>
  </si>
  <si>
    <t>blackvoices</t>
  </si>
  <si>
    <t>HuffPost Black Voices</t>
  </si>
  <si>
    <t>Amplifying the black experience one story at a time. #AllBlackLivesMatter ✊🏿✊🏾✊🏽</t>
  </si>
  <si>
    <t>https://www.huffpost.com/bio/ig/blackvoices</t>
  </si>
  <si>
    <t>elhuffpost</t>
  </si>
  <si>
    <t>El HuffPost</t>
  </si>
  <si>
    <t>www.huffingtonpost.es</t>
  </si>
  <si>
    <t>https://www.huffingtonpost.es/static/politica-privacidad-usuarios-redes-sociales.html</t>
  </si>
  <si>
    <t>huffpost</t>
  </si>
  <si>
    <t>🚨 Fair and fearless reporting since 2005. 🚨
Got a scoop? Send news tips at link in bio. 🔍</t>
  </si>
  <si>
    <t>http://huffpost.com/bio/huffpost</t>
  </si>
  <si>
    <t>huffpostasianvoices</t>
  </si>
  <si>
    <t>HuffPost Asian Voices</t>
  </si>
  <si>
    <t>AAPI news and ramen.</t>
  </si>
  <si>
    <t>https://www.huffpost.com/bio/ig/huffpostasianvoices</t>
  </si>
  <si>
    <t>huffpostau</t>
  </si>
  <si>
    <t>HuffPost Australia</t>
  </si>
  <si>
    <t>✉️: inbox@huffingtonpost.com.au</t>
  </si>
  <si>
    <t>https://linkin.bio/ig-huffpostau</t>
  </si>
  <si>
    <t>huffpostin</t>
  </si>
  <si>
    <t>HuffPost India</t>
  </si>
  <si>
    <t>We hear you.</t>
  </si>
  <si>
    <t>https://linkin.bio/huffpostin</t>
  </si>
  <si>
    <t>huffposttaste</t>
  </si>
  <si>
    <t>HuffPost Taste</t>
  </si>
  <si>
    <t>The tastiest inspiration for getting through the day.</t>
  </si>
  <si>
    <t>https://www.huffpost.com/bio/ig/huffposttaste</t>
  </si>
  <si>
    <t>huffpostuk</t>
  </si>
  <si>
    <t>HuffPost UK</t>
  </si>
  <si>
    <t>Entertainment news and interviews, lifestyle, politics and everything in between</t>
  </si>
  <si>
    <t>https://www.huffpost.com/bio/huffpostuk</t>
  </si>
  <si>
    <t>huffpostwomen</t>
  </si>
  <si>
    <t>HuffPost Women</t>
  </si>
  <si>
    <t>What it means to be a woman — and like it. 💪🏾 👑 🌈 🦄 ♥️</t>
  </si>
  <si>
    <t>https://www.huffpost.com/bio/ig/huffpostwomen</t>
  </si>
  <si>
    <t>lehuffpost</t>
  </si>
  <si>
    <t>Le HuffPost</t>
  </si>
  <si>
    <t>Les actualités du HuffPost en images et surtout en vidéo.
📰 #actu 
🔔 #breakingnews
💻 #information
🎥 #reels</t>
  </si>
  <si>
    <t>https://www.huffingtonpost.fr/</t>
  </si>
  <si>
    <t>hypebeast</t>
  </si>
  <si>
    <t>HYPEBEAST</t>
  </si>
  <si>
    <t>Driving culture forward.
Work with us @hypemaker 
Shop with us @hbx
Insights @hype___mind</t>
  </si>
  <si>
    <t>https://linkin.bio/hypebeast</t>
  </si>
  <si>
    <t>hypebeastarabia</t>
  </si>
  <si>
    <t>Hypebeast Arabia</t>
  </si>
  <si>
    <t>Driving culture forward in the Middle East and North Africa
Shop with us @hbx 
ندفع عجلة الثقافة في الشرق الأوسط وشمال أفريقيا
تسوق معنا @hbx</t>
  </si>
  <si>
    <t>amidaofficial</t>
  </si>
  <si>
    <t>A M I D A</t>
  </si>
  <si>
    <t>♻️ Sustainable Fashion Brand for the Intentional Woman 
Global Delivery 🌍 | Abuja HQ 📍
Join the Circle👇🏽    Lead with Intention
Shop from the website</t>
  </si>
  <si>
    <t>https://linktr.ee/amidaofficial</t>
  </si>
  <si>
    <t>cpnsindonesia.id</t>
  </si>
  <si>
    <t>CPNS INDONESIA</t>
  </si>
  <si>
    <t>𝗜𝗡𝗙𝗢𝗥𝗠𝗔𝗦𝗜 𝗖𝗣𝗡𝗦 𝗜𝗡𝗗𝗢𝗡𝗘𝗦𝗜𝗔
- TryOut Online 𝗖𝗣𝗡𝗦 Serentak Seluruh Indonesia
- Soal 𝗖𝗣𝗡𝗦 Indonesia
- Akun Ini Tidak Bekerjasama dengan Lembaga Apapun</t>
  </si>
  <si>
    <t>https://infocpns.id</t>
  </si>
  <si>
    <t>harvestsalon.id</t>
  </si>
  <si>
    <t>Harvest Hair Salon Studio</t>
  </si>
  <si>
    <t>☆ 𝐇𝐚𝐢𝐫 𝐂𝐚𝐫𝐞 𝐓𝐫𝐞𝐚𝐭𝐦𝐞𝐧𝐭 
☆ 𝐇𝐚𝐢𝐫 𝐂𝐨𝐥𝐨𝐫 𝐒𝐭𝐮𝐝𝐢𝐨
☆ 𝐅𝐚𝐦𝐢𝐥𝐲 𝐒𝐚𝐥𝐨𝐧
☆ 𝐇𝐢𝐠𝐡 𝐐𝐮𝐚𝐥𝐢𝐭𝐲 𝐏𝐫𝐨𝐝𝐮𝐜𝐭</t>
  </si>
  <si>
    <t>https://linktr.ee/Harvestsalon</t>
  </si>
  <si>
    <t>i_d</t>
  </si>
  <si>
    <t>Chic and Based Since 1980</t>
  </si>
  <si>
    <t>http://i-d.co/instagram</t>
  </si>
  <si>
    <t>i_dle_official</t>
  </si>
  <si>
    <t>i-dle (아이들)</t>
  </si>
  <si>
    <t>#idle Official Instagram by CUBE ent.</t>
  </si>
  <si>
    <t>https://yuqi.lnk.to/Motivation</t>
  </si>
  <si>
    <t>mustafa_haji_idris</t>
  </si>
  <si>
    <t>Mustafa Surchi</t>
  </si>
  <si>
    <t>paradox.paradox.id</t>
  </si>
  <si>
    <t>Paradox Paradox</t>
  </si>
  <si>
    <t>puspitamartha_id</t>
  </si>
  <si>
    <t>PUSPITA MARTHA INTERNATIONAL BEAUTY SCHOOL</t>
  </si>
  <si>
    <t>🏫 International Beauty School In Indonesia With National &amp; International Accreditation
⏳Since 1970 By DR. Martha Tilaar
Informasi Lebih Lanjut ⬇️</t>
  </si>
  <si>
    <t>http://bio.site/puspitamartha</t>
  </si>
  <si>
    <t>igndotcom</t>
  </si>
  <si>
    <t>We're all about movies, TV, and video games!</t>
  </si>
  <si>
    <t>http://sprout.link/igndotcom/</t>
  </si>
  <si>
    <t>imprensa_</t>
  </si>
  <si>
    <t>IMPRENSA</t>
  </si>
  <si>
    <t>𝐂𝐨𝐜𝐤𝐭𝐚𝐢𝐥 &amp; 𝐎𝐲𝐬𝐭𝐞𝐫 𝐁𝐚𝐫 🍸🦪
𝐑𝐮𝐚 𝐝𝐚 𝐈𝐦𝐩𝐫𝐞𝐧𝐬𝐚 𝐍𝐚𝐜𝐢𝐨𝐧𝐚𝐥, 𝐧º𝟒𝟔
From 6pm to 2am
𝐑𝐮𝐚 𝐝𝐞 𝐒ã𝐨 𝐍𝐢𝐜𝐨𝐥𝐚𝐮, 𝐧º𝟐𝟒
From 4pm to 12am
Sister bar @furia.lisboa</t>
  </si>
  <si>
    <t>imprensa_falsa</t>
  </si>
  <si>
    <t>Imprensa Falsa</t>
  </si>
  <si>
    <t>Qualquer semelhança com a coincidência é pura realidade. De @zepiter</t>
  </si>
  <si>
    <t>https://linkin.bio/imprensafalsa</t>
  </si>
  <si>
    <t>shopimpressions</t>
  </si>
  <si>
    <t>Impressions</t>
  </si>
  <si>
    <t>🛍 Daily NEW arrivals
📦 Fast shipping from NW Arkansas
💕Text BABE to 73852 
📱Download our app for 10% off- click below!
👇🏼Shop</t>
  </si>
  <si>
    <t>https://www.shopimpressions.com/collections/what-s-new</t>
  </si>
  <si>
    <t>ariatinternational</t>
  </si>
  <si>
    <t>Ariat International, Inc.</t>
  </si>
  <si>
    <t>For those who live out loud, outside the lines and outdoors every chance they get. #Ariat 
@ariatequestrian 🐎
@ariatwork  🔨</t>
  </si>
  <si>
    <t>https://linktr.ee/ariatinternational</t>
  </si>
  <si>
    <t>bossbabe.inc</t>
  </si>
  <si>
    <t>bossbabe™</t>
  </si>
  <si>
    <t>Helping you build a Freedom-Based Business™
Top Biz Podcast: The Bossbabe Podcast w/ @iamnatalie 
⬇️ Resources | Newsletter | Podcast | Membership</t>
  </si>
  <si>
    <t>https://bossbabe.com/membership</t>
  </si>
  <si>
    <t>businessman_inc</t>
  </si>
  <si>
    <t>Бизнес | Финансы | Мотивация</t>
  </si>
  <si>
    <t>😴 Не зная ни сна и ни отдыха,
🌙 При лунном и солнечном свете,
💰 Мы делаем деньги из воздуха,
🌪 Чтобы снова пустить их на ветер.
🎧 Аудиокниги👇</t>
  </si>
  <si>
    <t>https://t.me/+YzuoKwvJaiY5NTcy</t>
  </si>
  <si>
    <t>businesspro.inc</t>
  </si>
  <si>
    <t>Бизнес Про - Брендинг и Маркетинг</t>
  </si>
  <si>
    <t>Эффективные советы по брендингу и маркетингу</t>
  </si>
  <si>
    <t>https://linktr.ee/businesss_pro</t>
  </si>
  <si>
    <t>cfl_inc</t>
  </si>
  <si>
    <t>CFL Inc.</t>
  </si>
  <si>
    <t>Real Estate Developer</t>
  </si>
  <si>
    <t>Há mais de 32 anos referência em empreendimentos de alto padrão no Sul do Brasil.</t>
  </si>
  <si>
    <t>http://cfl.com.br/</t>
  </si>
  <si>
    <t>incworld</t>
  </si>
  <si>
    <t>뷰드름유튜버 인씨 inssi</t>
  </si>
  <si>
    <t>✉문의 : incworld@goldenwhales.co.kr
🤎여드름+모공+요철, 현실적인 피부고민러
🤎따듯함, 긍정, 희망, 도전, 성장, 베풂(이런 사람이 될래요!!!)
🔜파티온 트러블 크림 9월 말 예정</t>
  </si>
  <si>
    <t>https://youtube.com/@beautyacne_inssi?si=q9sDN6YnWAKO7vUO</t>
  </si>
  <si>
    <t>ink.inc.tattoo</t>
  </si>
  <si>
    <t>ink.inc tattoo</t>
  </si>
  <si>
    <t>Tattoo &amp; Piercing Shop</t>
  </si>
  <si>
    <t>Experience world class artists, high-end ink and deluxe tattoo studios.
📍 Phuket 📍 Bangkok📍 Pattaya 📍 Koh Samui📍Seminyak 📍 Canggu 📍 Hanoi 📍Ho Chi Minh</t>
  </si>
  <si>
    <t>https://ink.inc/</t>
  </si>
  <si>
    <t>indiatoday</t>
  </si>
  <si>
    <t>Bringing you news breaks: Exclusive political, entertainment, sports insight, unbiased-nonaligned!</t>
  </si>
  <si>
    <t>http://indiatoday.in/insta/</t>
  </si>
  <si>
    <t>indiatodaygaming</t>
  </si>
  <si>
    <t>India Today Gaming</t>
  </si>
  <si>
    <t>Video Game Critic</t>
  </si>
  <si>
    <t>India’s #1 Esports &amp; Gaming news brand. Now going global.
A sub brand of @indiatoday 
Breaking news, boss-level memes &amp; epic esports</t>
  </si>
  <si>
    <t>indiatodayglobal</t>
  </si>
  <si>
    <t>India Today Global</t>
  </si>
  <si>
    <t>Unparalleled insights into global affairs, the biggest stories shaping the world and exclusive insightful international coverage from India Today!</t>
  </si>
  <si>
    <t>https://m.youtube.com/@indiatodayglobal</t>
  </si>
  <si>
    <t>indiatoday_home</t>
  </si>
  <si>
    <t>India Today HOME</t>
  </si>
  <si>
    <t>If there is one thing we love more than homes, it’s sharing good design/decor/architecture with you</t>
  </si>
  <si>
    <t>indiatodaymagazine</t>
  </si>
  <si>
    <t>India Today Magazine</t>
  </si>
  <si>
    <t>The digital avatar of India Today Magazine. Follow us for explainers, deep dives, updates and insights into the latest news about India today</t>
  </si>
  <si>
    <t>http://www.indiatoday.in/magazine</t>
  </si>
  <si>
    <t>indiatodayne</t>
  </si>
  <si>
    <t>India Today NE</t>
  </si>
  <si>
    <t>The most credible &amp; uncluttered news &amp; views from the 8 states of Northeast delivered with the Gold Standard of Journalism by India Today</t>
  </si>
  <si>
    <t>https://www.indiatodayne.in/</t>
  </si>
  <si>
    <t>indiatodayselect</t>
  </si>
  <si>
    <t>IndiaToday Select</t>
  </si>
  <si>
    <t>The Best of Photography at India Today ... and specially curated Images</t>
  </si>
  <si>
    <t>indiewire</t>
  </si>
  <si>
    <t>The definitive outlet for film and TV news, reviews, and industry analysis.</t>
  </si>
  <si>
    <t>https://linkin.bio/indiewire</t>
  </si>
  <si>
    <t>avi.vip</t>
  </si>
  <si>
    <t>Авигея | fashion influencer</t>
  </si>
  <si>
    <t>Fashion influencer | life 
PR: @pr.avi.vip 
Почта : khromenkovaa.ass@gmail.com
Скоро запуск своего бренда …🥹
Мой телеграмм канал:</t>
  </si>
  <si>
    <t>https://t.me/aviivip</t>
  </si>
  <si>
    <t>empreendedorinfluencer</t>
  </si>
  <si>
    <t>Empreendedor Influencer</t>
  </si>
  <si>
    <t>📈 Motivação &amp; Empreendedorismo.
🤝 Parcerias &amp; Publicidades via Direct.
🕰️ Desafio de 21 dias: Ciclo do Progresso ↓</t>
  </si>
  <si>
    <t>http://xquiz.io/desafiocavernaei</t>
  </si>
  <si>
    <t>We're Influencer, the originators of influencer marketing. We harness the power of creators to drive true human influence.</t>
  </si>
  <si>
    <t>https://hubs.la/Q02wDYS90</t>
  </si>
  <si>
    <t>influencersinthewild</t>
  </si>
  <si>
    <t>Influencers in the Wild</t>
  </si>
  <si>
    <t>Where the creators ARE the content 📸
All partnership inquiries tank@theupreachagency.com
@tank.sinatra @tanksgoodnews @wethepack</t>
  </si>
  <si>
    <t>http://influencersinthewild.com</t>
  </si>
  <si>
    <t>kolesovayl</t>
  </si>
  <si>
    <t>Yulia | influencer, UGC</t>
  </si>
  <si>
    <t>──★ ˙ !! 
📍Almaty | Yakutsk
kolesovayl@mail.ru</t>
  </si>
  <si>
    <t>https://t.me/kolesovayll</t>
  </si>
  <si>
    <t>magnified_influencer_awards</t>
  </si>
  <si>
    <t>Magdalene Jumbo</t>
  </si>
  <si>
    <t>TV/Movie Award</t>
  </si>
  <si>
    <t>We celebrate individual influencers that have been making an impact on social media &amp; raising awareness.</t>
  </si>
  <si>
    <t>https://magnifiedinfluencerawards.com/</t>
  </si>
  <si>
    <t>mixsoon_influencer</t>
  </si>
  <si>
    <t>Click the link below for the step by step guide on how to be an influencer. ✨
Influencer Sign Up Link ⬇️</t>
  </si>
  <si>
    <t>https://mixsoon-influencerguide.my.canva.site/</t>
  </si>
  <si>
    <t>oinfluencerrn</t>
  </si>
  <si>
    <t>O influencer</t>
  </si>
  <si>
    <t>@gordinhogourmett 
@guedesoficial_ 
Projetos Parceiros 
| @mansaogourmett</t>
  </si>
  <si>
    <t>papaya_ex</t>
  </si>
  <si>
    <t>Influencer Abike 🥂</t>
  </si>
  <si>
    <t>Cop: @armonicapel 
Actress
Luxury ✈️ | 3M+ Audience| Hotels| Beauty| Fashion| Collabs 💌
Snap: MissPapayaEx 
📧: Abikeraheem1998@gmail.com
@fashionnova</t>
  </si>
  <si>
    <t>https://youtu.be/lKKUJZ6vxxs?si=sYKjb0IJxfrGkcQS</t>
  </si>
  <si>
    <t>playinfluencermanagement</t>
  </si>
  <si>
    <t>Play Influencer</t>
  </si>
  <si>
    <t>Global Influencer and Social Agency 
Applications Open 💫 See Link Below</t>
  </si>
  <si>
    <t>https://playinfluencermanagement.com/shop/ols/products/smash-your-socials-the-ultimate-influencer-programme-for-growing-your-social-media</t>
  </si>
  <si>
    <t>sasha.vizual</t>
  </si>
  <si>
    <t>FASHION INFLUENCER/ОБЗОРЫ/БЛОГЕР</t>
  </si>
  <si>
    <t>СКАНДАЛЬНЫЙ СТИЛИСТ 
-FASHION INFLUENCER
-Слежу за вашим стилем
-Больше обзоров в REELS
-Сотрудничество @sasha.vizual.pr -</t>
  </si>
  <si>
    <t>https://t.me/sashavizual</t>
  </si>
  <si>
    <t>shaynaturall</t>
  </si>
  <si>
    <t>𝙎𝙝𝙖𝙮 𝙍𝙚𝙭𝙭𝙥𝙚𝙞𝙩𝙖 | 𝙞𝙣𝙛𝙡𝙪𝙚𝙣𝙘𝙚𝙧 ✨</t>
  </si>
  <si>
    <t>✨𝙑𝙞𝙫𝙚𝙣𝙙𝙤 𝙢𝙤𝙢𝙚𝙣𝙩𝙤𝙨 𝙚 𝙘𝙤𝙣𝙨𝙩𝙧𝙪𝙞𝙣𝙙𝙤 𝙡𝙚𝙢𝙗𝙧𝙖𝙣𝙘̧𝙖𝙨. 
ℙ𝕒𝕣𝕔𝕖𝕣𝕚𝕒 𝕝𝕚𝕟𝕜 𝕟𝕒 𝕓𝕚𝕠
𝐁𝐨𝐫𝐝𝐚̃𝐨 :𝐑𝐞𝐱𝐱𝐱𝐩𝐞𝐢𝐭𝐚, 𓂀  𝔸 𝕞ã𝕖 𝕥á 𝕟𝕒 𝕔𝕒𝕤𝕒𓂀
Marketing @willdamidiaoficial</t>
  </si>
  <si>
    <t>umma.influencers</t>
  </si>
  <si>
    <t>umma Influencers</t>
  </si>
  <si>
    <t>​ ​[NOW CLOSED]
 ​ ​ ​ ​ ​ 🙇🏻‍♀️🙇🏻‍♀️🙇🏻‍♀️
Visit 👉 @umma_wholesale</t>
  </si>
  <si>
    <t>vi.ushaa</t>
  </si>
  <si>
    <t>Виюша 🤍 | influencer</t>
  </si>
  <si>
    <t>{ beauty pics, life &amp; style, dance} 🥥
• создаю reels, делюсь находками, даю советы  🧺
• к сотрудничеству:+77026359713</t>
  </si>
  <si>
    <t>https://t.me/viiushaaaa</t>
  </si>
  <si>
    <t>vladislava.r</t>
  </si>
  <si>
    <t>PERSONAL STYLIST AND INFLUENCER</t>
  </si>
  <si>
    <t>Fashion Stylist</t>
  </si>
  <si>
    <t>"Your style is what you are"
Inquiries: collab@vladislavar.com
Pr: @vladislavar.collab</t>
  </si>
  <si>
    <t>https://vladislavar.online/letswork</t>
  </si>
  <si>
    <t>yesstyleinfluencers</t>
  </si>
  <si>
    <t>YesStyle Influencers</t>
  </si>
  <si>
    <t>❣️Tag #YesStyleInfluencers to get featured
🌟Use 💄BOOSTER20/ ULTRA20 + Rewards Code💄 for a special % off for medicube Booster Pro (Mini)/ Ultra Tune</t>
  </si>
  <si>
    <t>http://linktr.ee/yesstyleinfluencers/</t>
  </si>
  <si>
    <t>dana.instyle</t>
  </si>
  <si>
    <t>Стилист | Эксперт по типажам #1 в KZ🇰🇿</t>
  </si>
  <si>
    <t>Image Consultant</t>
  </si>
  <si>
    <t>Помогаю влюбиться в себя вне шаблонов и размеров 🔥
Раскрываю уникальный стиль девушек по авторской числовой методике❤️</t>
  </si>
  <si>
    <t>https://msha.ke/danainstyle</t>
  </si>
  <si>
    <t>dimoda.style</t>
  </si>
  <si>
    <t>𝓫𝓮 𝓲𝓷 𝓼𝓽𝔂𝓵𝓮</t>
  </si>
  <si>
    <t>📍Г.Избербаш 
•Моду можно купить,стилем надо обладать🌾
▫️Доставка по Всему миру📦
Телеграмм⤵️</t>
  </si>
  <si>
    <t>hint.style</t>
  </si>
  <si>
    <t>هینت استایل</t>
  </si>
  <si>
    <t>پیراهن|تونیک|سایزبزرگ
گلچین بهترین برندهای ترک🇹🇷
پنج سال سابقه فروش آنلاین⭐️</t>
  </si>
  <si>
    <t>instyle.brand.outlet</t>
  </si>
  <si>
    <t>БРЕНДОВІ РЕЧІ 💯оригінал</t>
  </si>
  <si>
    <t>🖤брендовий одяг зі знижкою -70%🔥 
🖤швидка доставка 🇺🇦
🖤наявність #instylevnalicii 
🤍@instyle.shop.ua
🙋‍♂️Чоловіче/резервна
@instyle.brand.outlet.mens</t>
  </si>
  <si>
    <t>https://t.me/instyle_brand_outlet</t>
  </si>
  <si>
    <t>instyle.cars</t>
  </si>
  <si>
    <t>𝓘𝓝𝓢𝓣𝓨𝓛𝓔</t>
  </si>
  <si>
    <t>instyle_furniture_ke</t>
  </si>
  <si>
    <t>Instyle Home Furniture 💺</t>
  </si>
  <si>
    <t>Furniture</t>
  </si>
  <si>
    <t>Beds,Sofas, TV stands
Dinings, Tables
Home &amp;Office Based Furniture
Roysambu Thika RD 📞📲0728317777</t>
  </si>
  <si>
    <t>instyle_helen</t>
  </si>
  <si>
    <t>Helen Nuttall</t>
  </si>
  <si>
    <t>clothes. beauty. lifestyle • health. UK 
feeling better at 56 than 26 👌🏼
empowering &amp; inspiring midlife women.
Want  to Feel good?  join my channel 💜</t>
  </si>
  <si>
    <t>https://linktr.ee/instyle_helen</t>
  </si>
  <si>
    <t>instylemagazine</t>
  </si>
  <si>
    <t>InStyle NOW</t>
  </si>
  <si>
    <t>https://likeshop.me/instylemagazine</t>
  </si>
  <si>
    <t>instyleshoes1999</t>
  </si>
  <si>
    <t>InStyleShoes.com</t>
  </si>
  <si>
    <t>Founded in 1999. Context mixed with nostalgia. Exploring Why’s. Conversation is welcome.</t>
  </si>
  <si>
    <t>instyle_shopkz</t>
  </si>
  <si>
    <t>In Style Shop</t>
  </si>
  <si>
    <t>instylespain</t>
  </si>
  <si>
    <t>InStyle España</t>
  </si>
  <si>
    <t>Perfil oficial de InStyle España. 
¡Síguenos para estar a la última sobre moda, belleza, celebrities y mucho más! ✨</t>
  </si>
  <si>
    <t>https://www.instyle.es</t>
  </si>
  <si>
    <t>instyle.tr</t>
  </si>
  <si>
    <t>InStyle Türkiye</t>
  </si>
  <si>
    <t>Herkes burada!
Published by @heepimiz</t>
  </si>
  <si>
    <t>https://www.instyle.com.tr</t>
  </si>
  <si>
    <t>instyle.zh2</t>
  </si>
  <si>
    <t>магазин одежды | ZH2 store</t>
  </si>
  <si>
    <t>Наши адреса:
•Рыскулова 5/5, ЖК “Nexpo City” (с11-21ч)
•пр.Республики 11 (с11-21ч)
•Достык 5, ЖК «Северное сияние»,Б13 (с11-21ч)
•WhatsApp 87012540203</t>
  </si>
  <si>
    <t>http://wtsp.kz/Instyle.zh2</t>
  </si>
  <si>
    <t>inthestyle</t>
  </si>
  <si>
    <t>In The Style</t>
  </si>
  <si>
    <t>✨The brand designed for every body❤️
✨Shop new season styles out now‼️👇</t>
  </si>
  <si>
    <t>https://www.inthestyle.com/collections/new-in?utm_source=Instagram&amp;utm_medium=Social&amp;utm_campaign=Instagram_Story&amp;utm_content=26.11.24_linkinbio</t>
  </si>
  <si>
    <t>inzhu_style_</t>
  </si>
  <si>
    <t>Магазин женской одежды Астана</t>
  </si>
  <si>
    <t>Действует Kaspi red
Доставка по КЗ и СНГ
Для оформления заказа👇🏻
DIRECT 
г.Астана, ул. Алихана Бокейхана 44</t>
  </si>
  <si>
    <t>http://wa.me/77714060953</t>
  </si>
  <si>
    <t>panthere_instyle</t>
  </si>
  <si>
    <t>Elena krail</t>
  </si>
  <si>
    <t>🇺🇸🇺🇦</t>
  </si>
  <si>
    <t>http://www.lenasworld.com</t>
  </si>
  <si>
    <t>interview_bit</t>
  </si>
  <si>
    <t>InterviewBit</t>
  </si>
  <si>
    <t>Get Real Time Interview QnA, Become a Mentor &amp; More! 👇🏻</t>
  </si>
  <si>
    <t>http://bit.ly/3weUmiV</t>
  </si>
  <si>
    <t>interview_de</t>
  </si>
  <si>
    <t>Interview Germany</t>
  </si>
  <si>
    <t>Intimate Conversations and Professional Smalltalk. Founded by Andy Warhol. ALL IS PRETTY #interviewgermany</t>
  </si>
  <si>
    <t>https://interview.de/shop</t>
  </si>
  <si>
    <t>interviewmag</t>
  </si>
  <si>
    <t>Interview Magazine</t>
  </si>
  <si>
    <t>Est. 1969 by Andy Warhol</t>
  </si>
  <si>
    <t>https://linkin.bio/interviewmag</t>
  </si>
  <si>
    <t>interview_prep_here</t>
  </si>
  <si>
    <t>Interview Preparation</t>
  </si>
  <si>
    <t>World’s 1st Resume Services ▶️ Guaranteed 80% ATS Score 🔴
5000+ client stories at www.mployee.me
Clients 🇮🇳🇨🇦🇦🇺🇺🇸🇬🇧🇨🇮🇰🇼
@jatinbatra18 @confused.baniya</t>
  </si>
  <si>
    <t>https://mployee.me/career-resources/make-your-job-search-easy</t>
  </si>
  <si>
    <t>interview_scouter</t>
  </si>
  <si>
    <t>Interview Scouter | Careers</t>
  </si>
  <si>
    <t>📍 CEO &amp; Co-Founder of LABORO
🧑🏻‍💻 Finance, Business &amp; Tech Careers
👇🏻 Land your next role on our platform</t>
  </si>
  <si>
    <t>https://laboro.co</t>
  </si>
  <si>
    <t>investopedia</t>
  </si>
  <si>
    <t>Stock market news, free trading simulator, &amp; expert analysis. Get smart. Grow your $. We'll show you how.</t>
  </si>
  <si>
    <t>https://likeshop.me/investopedia</t>
  </si>
  <si>
    <t>investopedia_trader</t>
  </si>
  <si>
    <t>Investopedia Trader</t>
  </si>
  <si>
    <t>EDUCATIONAL PURPOSE VIDEO❤️
PAID PROMOTION AVAILABLE
WhatsApp - 8400256402
joining our premium group loss recovery
 Join our telegram</t>
  </si>
  <si>
    <t>thejapantimes</t>
  </si>
  <si>
    <t>The Japan Times</t>
  </si>
  <si>
    <t>Official account of the most widely read source of English-language news in Japan. Follow for news, food, travel, culture and more.</t>
  </si>
  <si>
    <t>ajda_ender_journalist_</t>
  </si>
  <si>
    <t>🧿AJDA ENDER🧿INTERNATİONAL JOURNALİST🧿</t>
  </si>
  <si>
    <t>🧿INTERNATIONAL JOURNALIST🧿Author🧿Television Journalism🧿Journalism Academy🧿Photography Artist🧿</t>
  </si>
  <si>
    <t>drunk.journalist</t>
  </si>
  <si>
    <t>Drunk Journalist</t>
  </si>
  <si>
    <t>News/Politics/Memes/Digital Activism
Twitter @drunkjournalist
Facebook - https://www.facebook.com/drunkjournalist</t>
  </si>
  <si>
    <t>https://www.youtube.com/DrunkJournalist</t>
  </si>
  <si>
    <t>food.journalista</t>
  </si>
  <si>
    <t>sanja zelenović👩🏼‍🍳</t>
  </si>
  <si>
    <t>meal prep, healthy recipes &amp; workouts</t>
  </si>
  <si>
    <t>https://open.substack.com/pub/sanjazelenovic/p/the-very-first-weekly-meal-prep-full?r=2il192&amp;utm_campaign=post&amp;utm_medium=web&amp;showWelcomeOnShare=false</t>
  </si>
  <si>
    <t>gemmaaskham</t>
  </si>
  <si>
    <t>Gemma Askham - lifestyle journalist</t>
  </si>
  <si>
    <t>Words @cntraveler @womenshealthuk @graziauk @glamouruk @british_airways 
📍Barcelona 🌞 From 🇬🇧 Tried 🇫🇷🇦🇺
Formerly The Travelling Apartment</t>
  </si>
  <si>
    <t>https://linktr.ee/thetravellingapartment</t>
  </si>
  <si>
    <t>ii.khaled.ii</t>
  </si>
  <si>
    <t>Khaled Al-Kafarneh | Gaza Journalist</t>
  </si>
  <si>
    <t>🎥 صحفي ميداني من غزة | مصور  
🛑 أنقل الحقيقة من قلب الحدث  
📍غزة - فلسطين  
📩 للتعاون والتغطيات: راسلني</t>
  </si>
  <si>
    <t>https://youtube.com/@khaledalkafarna?si=uaaakuoUexaEtGbd</t>
  </si>
  <si>
    <t>journalistayushi</t>
  </si>
  <si>
    <t>Journalist Ayushi</t>
  </si>
  <si>
    <t>मै हूँ आप की आवाज
Follow me on twitter 
 Ayushilivenews</t>
  </si>
  <si>
    <t>lizmoody</t>
  </si>
  <si>
    <t>LIZ MOODY | Health Journalist &amp; Evidence-Based Wellness</t>
  </si>
  <si>
    <t>✨Decoding the science for a healthier YOU
🧠 Actionable insights from leading wellness experts
🎤 the liz moody podcast
📖 100 ways to change your life</t>
  </si>
  <si>
    <t>https://lizmoody.komi.io</t>
  </si>
  <si>
    <t>madhyapradesh_ke_mhow_se</t>
  </si>
  <si>
    <t>Journalist Anjeet Batham</t>
  </si>
  <si>
    <t>खबरें सबसे पहले न अफवाहों की मिलावट, न कोई झुकाव। निष्पक्ष, विश्वसनीय और सच्ची खबरें सिर्फ मेरे साथ। @anjeet_batham सचिव महू प्रेस क्लब</t>
  </si>
  <si>
    <t>https://youtube.com/channel/UCAWaDh4tP_O-Y1VxYDGebGw</t>
  </si>
  <si>
    <t>poojasharma_journalist</t>
  </si>
  <si>
    <t>Journalist 🎙️</t>
  </si>
  <si>
    <t>Delivers the up to date news and information of Jammu &amp; Kashmir on the latest stories, politics, business, entertainment etc. 🕉️</t>
  </si>
  <si>
    <t>https://www.facebook.com/profile.php?id=100069103251564&amp;mibextid=ZbWKwL</t>
  </si>
  <si>
    <t>protipsnews</t>
  </si>
  <si>
    <t>Journalist Anjali Singh</t>
  </si>
  <si>
    <t>News Anchor | Ex-News24
News • Tech • Tips &amp; Tricks
🤝 DM for Collab | 📩  protipsnews5@gmail.com
🔗 Tools&amp; More ⬇️</t>
  </si>
  <si>
    <t>kiplingerfinance</t>
  </si>
  <si>
    <t>Trusted personal finance advice for all stages of life. Kiplinger has guided readers for 105 years. You've got money questions; we've got answers.</t>
  </si>
  <si>
    <t>http://linktr.ee/Kiplinger</t>
  </si>
  <si>
    <t>tkiplinger</t>
  </si>
  <si>
    <t>Teresa Kiplinger</t>
  </si>
  <si>
    <t>Interdisciplinary artist mixing old-world goldsmithing with original poetry. Listen to my podcast → @artsytypespod | Sign up for ↓ collection updates.</t>
  </si>
  <si>
    <t>https://linktr.ee/tkiplinger</t>
  </si>
  <si>
    <t>kotakudotcom</t>
  </si>
  <si>
    <t>Gaming reviews, news, tips, and more.</t>
  </si>
  <si>
    <t>https://kotaku.com</t>
  </si>
  <si>
    <t>larepubblica</t>
  </si>
  <si>
    <t>la Repubblica</t>
  </si>
  <si>
    <t>Storie, immagini e numeri che raccontano i cambiamenti della società, per affermare insieme i nuovi diritti dei cittadini. Nessuno escluso.</t>
  </si>
  <si>
    <t>https://www.repubblica.it/</t>
  </si>
  <si>
    <t>larepublica_col</t>
  </si>
  <si>
    <t>Diario la República</t>
  </si>
  <si>
    <t>El primer diario económico, empresarial y financiero de Colombia.</t>
  </si>
  <si>
    <t>https://www.larepublica.co</t>
  </si>
  <si>
    <t>repubblica_firenze</t>
  </si>
  <si>
    <t>La Repubblica Firenze</t>
  </si>
  <si>
    <t>Profilo ufficiale dell'edizione fiorentina di Repubblica. Usate #RepFiGram per farci trovare le vostre foto.</t>
  </si>
  <si>
    <t>http://www.firenze.repubblica.it/</t>
  </si>
  <si>
    <t>repubblica_torino</t>
  </si>
  <si>
    <t>la Repubblica Torino</t>
  </si>
  <si>
    <t>L'edizione torinese di Repubblica, da più di 30 anni racconta la città e il Piemonte. Al link qui sotto tutte le notizie del momento 👇</t>
  </si>
  <si>
    <t>https://torino.repubblica.it</t>
  </si>
  <si>
    <t>figaroetudiant</t>
  </si>
  <si>
    <t>Le Figaro Étudiant</t>
  </si>
  <si>
    <t>🎯 Pour bien t'orienter et réussir tes études, le Figaro Etudiant t'accompagne !
🔥 Salons post bac à Lyon, Paris, Nantes et Lille dès la rentrée !</t>
  </si>
  <si>
    <t>https://l.lefigaro.fr/figaroetudiant</t>
  </si>
  <si>
    <t>lefigaro</t>
  </si>
  <si>
    <t>La culture de la liberté depuis 1826.</t>
  </si>
  <si>
    <t>https://www.lefigaro.fr</t>
  </si>
  <si>
    <t>lefigaroculture</t>
  </si>
  <si>
    <t>Le Figaro Culture</t>
  </si>
  <si>
    <t>Cinéma, musique, livres, BD, arts-expo, enchères, théâtre, archives du journal : suivez toute l'actualité culturelle du @lefigaro sur ce compte ! 📰📷</t>
  </si>
  <si>
    <t>http://www.lefigaro.fr/culture</t>
  </si>
  <si>
    <t>lefigarostyle</t>
  </si>
  <si>
    <t>Le Figaro Style</t>
  </si>
  <si>
    <t>L'art de vivre selon @lefigaro</t>
  </si>
  <si>
    <t>https://www.lefigaro.fr/style</t>
  </si>
  <si>
    <t>lefigarovin</t>
  </si>
  <si>
    <t>Le Figaro Vin</t>
  </si>
  <si>
    <t>🍷 Le vin comme vous ne l'avez jamais bu !</t>
  </si>
  <si>
    <t>http://l.lefigaro.fr/lefigarovin</t>
  </si>
  <si>
    <t>lefigarovox</t>
  </si>
  <si>
    <t>Le Figaro Vox</t>
  </si>
  <si>
    <t>L’actualité du @lefigaro en débat : décryptages, points de vues, controverses et tribunes.</t>
  </si>
  <si>
    <t>https://www.lefigaro.fr/vox</t>
  </si>
  <si>
    <t>diplomatiquebrasil</t>
  </si>
  <si>
    <t>Le Monde Diplomatique Brasil</t>
  </si>
  <si>
    <t>Perfil oficial do jornal Le Monde Diplomatique Brasil</t>
  </si>
  <si>
    <t>https://www.diplomatique.org.br/</t>
  </si>
  <si>
    <t>gourmandbeauty</t>
  </si>
  <si>
    <t>Le Monde Gourmand</t>
  </si>
  <si>
    <t>An atelier of addictively indulgent scents
Vegan, Cruelty &amp; Paraben-Free
US @ultabeauty @urbanoutfitters @nordstrom 
UK @asos @lookfantastic</t>
  </si>
  <si>
    <t>https://linkin.bio/gourmandbeauty</t>
  </si>
  <si>
    <t>le.monde_</t>
  </si>
  <si>
    <t>Donya Bavi</t>
  </si>
  <si>
    <t>Dental Surgery Stu | ❤️</t>
  </si>
  <si>
    <t>le.monde.beryl</t>
  </si>
  <si>
    <t>LE MONDE BÉRYL</t>
  </si>
  <si>
    <t>A new take on classic styles.</t>
  </si>
  <si>
    <t>https://lemondeberyl.com/</t>
  </si>
  <si>
    <t>le_monde_d_elodie</t>
  </si>
  <si>
    <t>Le Monde d'Élodie 🔮</t>
  </si>
  <si>
    <t>Astrologist &amp; Psychic</t>
  </si>
  <si>
    <t>🔮BIENVENUE DANS MON UNIVERS🔮
 Retour d'affection 👩‍❤️‍💋‍👨
 Tirage de cartes 🃏
 Guidance oracle ✨
 Etc...
🔮Abonnez vous.Unique compte🔮</t>
  </si>
  <si>
    <t>le_monde_edu_official_page</t>
  </si>
  <si>
    <t>LE MONDE Institute</t>
  </si>
  <si>
    <t>Ανώτερες Σπουδές στον Τουρισμό &amp; τη Γαστρονομία
Ξεκάθαρη Επιλογή ⤵️</t>
  </si>
  <si>
    <t>https://linktr.ee/lemonde.edu</t>
  </si>
  <si>
    <t>lemonde_en</t>
  </si>
  <si>
    <t>Le Monde in English</t>
  </si>
  <si>
    <t>Analyzing world news, culture, 
and all things French 👀🇫🇷🌍
By France’s leading newspaper
@lemondefr ✍️🗞️
Read our articles here ↓</t>
  </si>
  <si>
    <t>https://linkin.bio/lemonde_en</t>
  </si>
  <si>
    <t>lemondefr</t>
  </si>
  <si>
    <t>Premier quotidien français 📰
👉 L'actu africaine 👀 @lemondeafrique 🌍
👉 Pour « M le Mag » ✨ @m_magazine ✨
👉 English readers 🇺🇸 @lemonde_en 🇬🇧</t>
  </si>
  <si>
    <t>https://linkin.bio/lemondefr</t>
  </si>
  <si>
    <t>lemonde.iq</t>
  </si>
  <si>
    <t>Le Monde - تسوق الكتروني</t>
  </si>
  <si>
    <t>تسوق من جميع ماركات العالم في دبي وتركيا ✈️
العالم بين يديك 🌎
العراق- اربيل 🇮🇶
صفحتنا الثانية @lemonde.boutiquee 
للطلب والاستفسار ⬇️</t>
  </si>
  <si>
    <t>https://apps.apple.com/us/app/le-monde/id6557075478</t>
  </si>
  <si>
    <t>le.monde.islamique</t>
  </si>
  <si>
    <t>ℒℯ 𝓂ℴ𝓃𝒹ℯ 𝒾𝓈𝓁𝒶𝓂𝒾𝓆𝓊ℯ</t>
  </si>
  <si>
    <t>🇵🇸« فَإِنَّ مَعَ الْعُسْرِ يُسْرًا” [sourat a-charh / verset 5]
Toujours dire الحمد لله 🤍
 (❌ 🚹 en dm craignons الله)</t>
  </si>
  <si>
    <t>m_magazine</t>
  </si>
  <si>
    <t>M Le magazine du Monde</t>
  </si>
  <si>
    <t>Chaque vendredi en kiosque, tous les jours en ligne. 
M International now available👇</t>
  </si>
  <si>
    <t>http://linkin.bio/m_magazine/</t>
  </si>
  <si>
    <t>monde2toktok</t>
  </si>
  <si>
    <t>Le Monde de TokTok</t>
  </si>
  <si>
    <t>Le meilleur de la crème 🍯</t>
  </si>
  <si>
    <t>1000pourcent.podcast</t>
  </si>
  <si>
    <t>L’équipe 1000%</t>
  </si>
  <si>
    <t>🎙️ Passez à 1000%
💡 Des invités passionnés: Nutrition, sport, santé, longévité …
@pamz_therapy @french.physio @pierre_lfh 
🔥 Nutri&amp;Co : -10% PODCAST10</t>
  </si>
  <si>
    <t>https://linktr.ee/1000pourcentpodcast</t>
  </si>
  <si>
    <t>lequipe</t>
  </si>
  <si>
    <t>L'Équipe</t>
  </si>
  <si>
    <t>Les meilleures infos, les meilleures images et vidéos de sport.
Cliquez sur le lien pour accéder à nos articles ⤵️</t>
  </si>
  <si>
    <t>https://l.lequipe.fr/bio</t>
  </si>
  <si>
    <t>lequipebicicletas</t>
  </si>
  <si>
    <t>L’ÉQUIPE</t>
  </si>
  <si>
    <t>Sports &amp; recreation</t>
  </si>
  <si>
    <t>Cambiamos la historia del ciclismo recreativo
📲 3045359176  
📍Llanogrande - Antioquia
🚴‍♂️ Tienda ciclismo 
🏁 Eventos ciclísticos</t>
  </si>
  <si>
    <t>http://www.lequipebicicletas.com</t>
  </si>
  <si>
    <t>livestreamtwins</t>
  </si>
  <si>
    <t>Livestream Twins</t>
  </si>
  <si>
    <t>I’m your livestream doppelgänger 😭
Dm for credit/removal 📤</t>
  </si>
  <si>
    <t>livestreamys</t>
  </si>
  <si>
    <t>LiveStreamys</t>
  </si>
  <si>
    <t>🔺 Daily Streamer Clips 🔻</t>
  </si>
  <si>
    <t>https://youtube.com/@livestreamys</t>
  </si>
  <si>
    <t>masterbusinesscardologer</t>
  </si>
  <si>
    <t>LiveStream A Vision</t>
  </si>
  <si>
    <t>Business Consultant</t>
  </si>
  <si>
    <t>LifeStyle &amp; Spiritual Business Consultant MBA/MHA|ND| FNP-R|M-BizCardologer| Q♣️ ♐️|M-Herbalist|Reiki M-Teacher| 🧝🏾‍♀️ Building Sustainable Income 4U</t>
  </si>
  <si>
    <t>lofficielbaltic</t>
  </si>
  <si>
    <t>L'Officiel Baltic</t>
  </si>
  <si>
    <t>The official account of L'Officiel Latvija / L'Officiel Baltic - Premium Fashion, Luxury, Lifestyle Magazine in LV. LT. EE
press@lofficielbaltic.com</t>
  </si>
  <si>
    <t>https://beacons.ai/lofficielbaltic</t>
  </si>
  <si>
    <t>lofficielbelgium</t>
  </si>
  <si>
    <t>L'Officiel Belgium</t>
  </si>
  <si>
    <t>Your official source for fashion, art, culture and lifestyle inspiration. L’Officiel 31: the Summer Issue is out now!</t>
  </si>
  <si>
    <t>https://linkin.bio/lofficielbelgium</t>
  </si>
  <si>
    <t>lofficiel.china</t>
  </si>
  <si>
    <t>L’OFFICIEL China</t>
  </si>
  <si>
    <t>The Official Voice of Fashion under TGE
TGE – The Generation Essentials, a global media and entertainment company listed on the NYSE Mainboard.</t>
  </si>
  <si>
    <t>lofficielhommes</t>
  </si>
  <si>
    <t>L’OFFICIEL HOMMES</t>
  </si>
  <si>
    <t>The Official Voice of Fashion under TGE
TGE – The Generation Essentials, a global media and entertainment company listed on the NYSE Mainboard</t>
  </si>
  <si>
    <t>https://linkin.bio/lofficielhommes</t>
  </si>
  <si>
    <t>lofficielhongkong</t>
  </si>
  <si>
    <t>L’OFFICIEL HONG KONG</t>
  </si>
  <si>
    <t>http://www.lofficielhk.com</t>
  </si>
  <si>
    <t>lofficielitalia</t>
  </si>
  <si>
    <t>L’OFFICIEL ITALIA</t>
  </si>
  <si>
    <t>https://www.lofficielitalia.com</t>
  </si>
  <si>
    <t>lofficiel.japan</t>
  </si>
  <si>
    <t>L’OFFICIEL JAPAN</t>
  </si>
  <si>
    <t>The Official Voice of Fashion
A global fashion media by TGE-The Generation Essentials</t>
  </si>
  <si>
    <t>http://www.lofficieljapan.com</t>
  </si>
  <si>
    <t>lofficielkorea</t>
  </si>
  <si>
    <t>L’OFFICIEL KOREA</t>
  </si>
  <si>
    <t>미야오 안나와 함께한 &lt;로피시엘 YK 에디션&gt; 2025년 가을/겨울호🍂
@lofficielhommes_kr</t>
  </si>
  <si>
    <t>https://www.lofficielkorea.com/</t>
  </si>
  <si>
    <t>lofficiel.magazine</t>
  </si>
  <si>
    <t>L’Officiel Magazine</t>
  </si>
  <si>
    <t>lofficielmaroc</t>
  </si>
  <si>
    <t>L’OFFICIEL MAROC</t>
  </si>
  <si>
    <t>The official Instagram account of L’Officiel Maroc. Number 1 in fashion, luxury and lifestyle with a bit of Moroccan spice 🇲🇦</t>
  </si>
  <si>
    <t>https://bit.ly/3Xfhsme</t>
  </si>
  <si>
    <t>lofficielmy</t>
  </si>
  <si>
    <t>L'OFFICIEL MALAYSIA</t>
  </si>
  <si>
    <t>http://www.lofficielmalaysia.com</t>
  </si>
  <si>
    <t>lofficielparis</t>
  </si>
  <si>
    <t>L’OFFICIEL PARIS</t>
  </si>
  <si>
    <t>The Official Voice of Fashion under TGE
TGE - The Generation Essentials, a global media and entertainment company listed on the NYSE Mainboard.</t>
  </si>
  <si>
    <t>https://linkin.bio/lofficielparis</t>
  </si>
  <si>
    <t>lofficielph</t>
  </si>
  <si>
    <t>L’Officiel Philippines</t>
  </si>
  <si>
    <t>https://linkin.bio/lofficielph</t>
  </si>
  <si>
    <t>lofficielrussia</t>
  </si>
  <si>
    <t>L'OFFICIEL RUSSIA 🇷🇺</t>
  </si>
  <si>
    <t>Fashion magazine</t>
  </si>
  <si>
    <t>https://www.lofficiel.directory</t>
  </si>
  <si>
    <t>lofficielsingapore</t>
  </si>
  <si>
    <t>L’OFFICIEL SINGAPORE</t>
  </si>
  <si>
    <t>https://www.lofficielsingapore.com</t>
  </si>
  <si>
    <t>lofficielthai</t>
  </si>
  <si>
    <t>L'Officiel Thailand</t>
  </si>
  <si>
    <t>lofficielusa</t>
  </si>
  <si>
    <t>L'OFFICIEL USA</t>
  </si>
  <si>
    <t>http://linkin.bio/lofficielusa</t>
  </si>
  <si>
    <t>monaco.lofficiel</t>
  </si>
  <si>
    <t>L’Officiel Monaco</t>
  </si>
  <si>
    <t>The Leading Fashion &amp; Lifestyle Magazine on the French Riviera 🇲🇨
L’Officiel Group of Fashion by AMTD</t>
  </si>
  <si>
    <t>https://lofficielmonaco.com</t>
  </si>
  <si>
    <t>lonelyplanet</t>
  </si>
  <si>
    <t>Our Guides. Your Stories.
Plan your trip → shop.lonelyplanet.com
Let us do it for you → @lpjourneys</t>
  </si>
  <si>
    <t>https://sprout.link/lonelyplanet</t>
  </si>
  <si>
    <t>lonelyplanet_es</t>
  </si>
  <si>
    <t>Lonely Planet España</t>
  </si>
  <si>
    <t>Las guías del viajero independiente desde 1973. The official Instagram account.</t>
  </si>
  <si>
    <t>https://www.lonelyplanet.es/</t>
  </si>
  <si>
    <t>lonelyplanetfr</t>
  </si>
  <si>
    <t>Lonely Planet France</t>
  </si>
  <si>
    <t>🌎 Partagez vos photos et reels avec #lonelyplanetfr pour être repostés ! 
🏆 Relevez notre #defilonely
📚 Nos guides dispo ici 👇🏼</t>
  </si>
  <si>
    <t>https://beacons.ai/lonelyplanetfrance</t>
  </si>
  <si>
    <t>lonelyplanet_it</t>
  </si>
  <si>
    <t>Lonely Planet Italia</t>
  </si>
  <si>
    <t>Idee di viaggio, itinerari, podcast e tutte le novità in catalogo</t>
  </si>
  <si>
    <t>https://linkin.bio/lonelyplanet_it</t>
  </si>
  <si>
    <t>lonelyplanetmag</t>
  </si>
  <si>
    <t>Lonely Planet Magazine</t>
  </si>
  <si>
    <t>Lonely Planet’s UK mag, sadly now closed. Free eBook of previously unpublished features here to download 👇 (available to end June 2020)</t>
  </si>
  <si>
    <t>https://www.lonelyplanet.com/ebooks/out-there.pdf</t>
  </si>
  <si>
    <t>lonelyplanetmagazineindia</t>
  </si>
  <si>
    <t>Lonely Planet Magazine India</t>
  </si>
  <si>
    <t>Helping India explore &amp; enjoy the world for over 10 years.
 👇 Hit the link to download our FREE SEPTEMBER ISSUE!</t>
  </si>
  <si>
    <t>https://www.worldwidemedia.in/magazines/lpmi/september-2020?utm_source=social&amp;utm_medium=instagram&amp;utm_campaign=lpmi-september-2020</t>
  </si>
  <si>
    <t>ourlonelyplanet</t>
  </si>
  <si>
    <t>OurLonelyPlanet 🌍</t>
  </si>
  <si>
    <t>📸 Sharing the most beautiful places of our planet
🌍 #OurLonelyPlanet</t>
  </si>
  <si>
    <t>latimes</t>
  </si>
  <si>
    <t>🌯 @latimesfood 
🎭 @latimes_entertainment 
⚾️ @latimes_sports 
🤪 @latimes.404 
🌵 @latimesplants
💚 @delosangelestimes
🖼️ @latimesimage</t>
  </si>
  <si>
    <t>https://newsin.bio/latimes</t>
  </si>
  <si>
    <t>latimesarchives</t>
  </si>
  <si>
    <t>Los Angeles Times Archives</t>
  </si>
  <si>
    <t>Looking back in time through the lens of @latimes photojournalists.</t>
  </si>
  <si>
    <t>http://latimes.com/</t>
  </si>
  <si>
    <t>latimesevents</t>
  </si>
  <si>
    <t>Los Angeles Times Events</t>
  </si>
  <si>
    <t>Your go-to guide for all of SoCal’s upcoming food, literary and lifestyle events by @latimes. #latimesevents</t>
  </si>
  <si>
    <t>https://linkin.bio/latimesevents1</t>
  </si>
  <si>
    <t>latimesfood</t>
  </si>
  <si>
    <t>Los Angeles Times Food</t>
  </si>
  <si>
    <t>Eats, drinks, recipes and more from @latimes</t>
  </si>
  <si>
    <t>https://newsin.bio/latimesfood</t>
  </si>
  <si>
    <t>latimesimage</t>
  </si>
  <si>
    <t>Los Angeles Times Image</t>
  </si>
  <si>
    <t>Where L.A. style meets the world.</t>
  </si>
  <si>
    <t>https://newsin.bio/latimesimage</t>
  </si>
  <si>
    <t>latimesphotos</t>
  </si>
  <si>
    <t>Los Angeles Times Photography</t>
  </si>
  <si>
    <t>Visual reporting from the award-winning Los Angeles Times Photography Department</t>
  </si>
  <si>
    <t>http://latimes.com/photo/</t>
  </si>
  <si>
    <t>macrumors</t>
  </si>
  <si>
    <t>Apple news, rumors, tips, and videos! iPhone, iPad, AppleWatch, and yes, Mac.</t>
  </si>
  <si>
    <t>https://www.macrumors.com</t>
  </si>
  <si>
    <t>bricks_magazine</t>
  </si>
  <si>
    <t>BRICKS</t>
  </si>
  <si>
    <t>🌈 Independent fashion &amp; arts culture magazine
@thelearnerplatform 
@brickscollective</t>
  </si>
  <si>
    <t>https://linkin.bio/bricks_magazine</t>
  </si>
  <si>
    <t>insomniamagazine</t>
  </si>
  <si>
    <t>insomnia magazine</t>
  </si>
  <si>
    <t>dm for business inquiries &amp; advertising 📩</t>
  </si>
  <si>
    <t>https://t.me/insomniamag</t>
  </si>
  <si>
    <t>nant.magazine</t>
  </si>
  <si>
    <t>NANT Magazine 난트매거진</t>
  </si>
  <si>
    <t>예술의 감도를 일상의 맥락으로
Web | Instagram | YouTube
contact: info@nant.app
@nant.official</t>
  </si>
  <si>
    <t>https://litt.ly/nant</t>
  </si>
  <si>
    <t>ootdmagazine</t>
  </si>
  <si>
    <t>OOTD Magazine</t>
  </si>
  <si>
    <t>What to wear? Here’s your answer ✨
Edited with OOTD Presets.</t>
  </si>
  <si>
    <t>https://ootdpresets.com/</t>
  </si>
  <si>
    <t>papermagazine</t>
  </si>
  <si>
    <t>WE ARE THE INTERNET.</t>
  </si>
  <si>
    <t>https://linkin.bio/papermag</t>
  </si>
  <si>
    <t>people</t>
  </si>
  <si>
    <t>People Magazine</t>
  </si>
  <si>
    <t>The #1 source for celebrity news and inspiring stories.
✨ Link in bio below ⬇️</t>
  </si>
  <si>
    <t>https://likeshop.me/people</t>
  </si>
  <si>
    <t>revistaclass_</t>
  </si>
  <si>
    <t>CLASS MAGAZINE</t>
  </si>
  <si>
    <t>🎙️ @podclass.alketavejsiu 
🗺️ @classexplore_
📝 @classeditorials
📲Marketing kontaktoni në:
+355 69 994 4694</t>
  </si>
  <si>
    <t>https://www.classlifestyle.com/</t>
  </si>
  <si>
    <t>tmagazine</t>
  </si>
  <si>
    <t>T: The NYTimes Style Magazine</t>
  </si>
  <si>
    <t>Where style meets culture.</t>
  </si>
  <si>
    <t>http://nytimes.com/tmagazine-instagram</t>
  </si>
  <si>
    <t>vmagazine</t>
  </si>
  <si>
    <t>V Magazine</t>
  </si>
  <si>
    <t>Where pop culture meets fashion.</t>
  </si>
  <si>
    <t>https://linkin.bio/vmagazine</t>
  </si>
  <si>
    <t>voguemagazine</t>
  </si>
  <si>
    <t>The official Instagram of Vogue</t>
  </si>
  <si>
    <t>https://likeshop.me/voguemagazine</t>
  </si>
  <si>
    <t>wmag</t>
  </si>
  <si>
    <t>Fashion, entertainment, art and design. 
V4: The Fashion Issue</t>
  </si>
  <si>
    <t>https://likeshop.me/wmag</t>
  </si>
  <si>
    <t>mainstream.media.cl</t>
  </si>
  <si>
    <t>MainStream Media CL 📸</t>
  </si>
  <si>
    <t>PUERTO MONTT🏞
ᴇsᴄʀíʙᴇᴍᴇ 📲
ꜱᴏᴄɪᴀʟ ᴍᴇᴅɪᴀ ᴍᴀɴᴀɢᴇʀ 🌐
ғᴏᴛᴏɢʀᴀғíᴀ 📸
ᴠɪᴅᴇᴏs 🎥
ᴍᴀʀᴋᴇᴛɪɴɢ ᴅɪɢɪᴛᴀʟ 🚀
ᴘᴇʀɪᴏᴅɪsᴍᴏ 📰
ᴀsᴇsᴏʀíᴀ ᴇɴ ᴄʀᴇᴀᴄɪóɴ ᴅᴇ ᴄᴏɴᴛᴇɴɪᴅᴏ 🖋️</t>
  </si>
  <si>
    <t>marca</t>
  </si>
  <si>
    <t>MARCA</t>
  </si>
  <si>
    <t>⚽️🏀🎾🏸⛳️🥊🤾‍♀️🏊‍♀️ Bienvenidos a la casa del deporte. Somos MARCA, el diario de todas las aficiones. ¿Nos acompañas?</t>
  </si>
  <si>
    <t>clairemaa</t>
  </si>
  <si>
    <t>Claire Marie Astruc</t>
  </si>
  <si>
    <t>paris + new york 
founder @listen_to.cc 
dj bookings 🎧 hello@listen-to.cc
image ✉️ louise.choueka@patrikssongroup.com</t>
  </si>
  <si>
    <t>http://listen-to.cc</t>
  </si>
  <si>
    <t>marieclairearg</t>
  </si>
  <si>
    <t>Marie Claire Argentina</t>
  </si>
  <si>
    <t>https://marieclaire.perfil.com/</t>
  </si>
  <si>
    <t>marieclairebr</t>
  </si>
  <si>
    <t>Marie Claire Brasil</t>
  </si>
  <si>
    <t>Se importa para a mulher, está em Marie Claire.    
Desde 1937 🇫🇷 e 1991 🇧🇷</t>
  </si>
  <si>
    <t>https://linkin.bio/marieclairebr</t>
  </si>
  <si>
    <t>marieclaire.china</t>
  </si>
  <si>
    <t>Marie Claire China</t>
  </si>
  <si>
    <t>Official account of Marie Claire China
#marieclairechina</t>
  </si>
  <si>
    <t>http://www.mcchina.com/</t>
  </si>
  <si>
    <t>marieclairefr</t>
  </si>
  <si>
    <t>Marie Claire France</t>
  </si>
  <si>
    <t>•La voix des femmes, le sens de l’époque•</t>
  </si>
  <si>
    <t>https://empli.fi/marieclairefr/</t>
  </si>
  <si>
    <t>marieclaireitalia</t>
  </si>
  <si>
    <t>Marie Claire Italia</t>
  </si>
  <si>
    <t>Il nuovo numero “The Trend Issue” è in edicola dal 27 agosto, scaricalo su Apple app Store e Google Play Store per leggerlo ovunque.</t>
  </si>
  <si>
    <t>https://linktr.ee/marieclaireitalia</t>
  </si>
  <si>
    <t>marieclairekorea</t>
  </si>
  <si>
    <t>marie claire korea 마리끌레르</t>
  </si>
  <si>
    <t>우아하고 강인한 목소리를 내는 동시대적인 패션 매거진
💜
#김채원 과 #스와로브스키 가 완성한 
마리끌레르 코리아 디지털 커버 공개🌅</t>
  </si>
  <si>
    <t>https://bit.ly/41znHoA</t>
  </si>
  <si>
    <t>marieclaire_la</t>
  </si>
  <si>
    <t>Marie Claire México</t>
  </si>
  <si>
    <t>Descubre tu estilo, potencializa tu esencia. ✨</t>
  </si>
  <si>
    <t>https://marieclaire.com.mx/</t>
  </si>
  <si>
    <t>marieclairemag</t>
  </si>
  <si>
    <t>For women of power, purpose, and style.</t>
  </si>
  <si>
    <t>https://likeshop.me/marieclairemag</t>
  </si>
  <si>
    <t>marieclairemaison</t>
  </si>
  <si>
    <t>Marie Claire Maison</t>
  </si>
  <si>
    <t>Tendances déco, actu design, visites privées et sélections shopping, 
inspirez-vous, exprimez-vous avec Marie Claire Maison !</t>
  </si>
  <si>
    <t>https://www.marieclaire.fr/maison/</t>
  </si>
  <si>
    <t>marieclaireoficial</t>
  </si>
  <si>
    <t>Marie Claire Harp</t>
  </si>
  <si>
    <t>Conductora @televisa @univision 👌🏻
Contacto: israel@jerryml.com</t>
  </si>
  <si>
    <t>https://youtube.com/@marieclaireof?si=knCZJieQhHz9MblG</t>
  </si>
  <si>
    <t>marieclaireuk</t>
  </si>
  <si>
    <t>Marie Claire UK</t>
  </si>
  <si>
    <t>Leading the conversation on Empowerment, Beauty and Style.</t>
  </si>
  <si>
    <t>https://likeshop.me/marieclaireuk</t>
  </si>
  <si>
    <t>marketwatch</t>
  </si>
  <si>
    <t>We report the news that affects you and your money💸📊</t>
  </si>
  <si>
    <t>https://linkin.bio/marketwatch</t>
  </si>
  <si>
    <t>mashable</t>
  </si>
  <si>
    <t>Obsessed with culture, entertainment, and tech.</t>
  </si>
  <si>
    <t>https://linkin.bio/mashable</t>
  </si>
  <si>
    <t>mashable.india</t>
  </si>
  <si>
    <t>Mashable India | A Fork Media Group Co.</t>
  </si>
  <si>
    <t>✨ Obsessed with culture, entertainment, auto, and tech.✨</t>
  </si>
  <si>
    <t>https://youtube.com/@Mashable_India?si=aj3k6_Khjp13oBRr</t>
  </si>
  <si>
    <t>megsmashables</t>
  </si>
  <si>
    <t>Megs Mashables</t>
  </si>
  <si>
    <t>Mashables: Combining animals with other elements to make a new creature! Puns, Butts and Bleps! 
🌟For commissions, contact me through my site🌟</t>
  </si>
  <si>
    <t>https://www.megsmashables.com/links</t>
  </si>
  <si>
    <t>mass_media_99</t>
  </si>
  <si>
    <t>MASS MEDIA</t>
  </si>
  <si>
    <t>Video creator 
9544920694
This is the official lnstagram account of mass media99,malayalam tech creator, crafts |Cooking |cartips|Travel |Tech</t>
  </si>
  <si>
    <t>https://youtube.com/channel/UCdmY7z4aT_gkRfgVQYZgvbQ</t>
  </si>
  <si>
    <t>massmedia.ng</t>
  </si>
  <si>
    <t>MassMediaNaija</t>
  </si>
  <si>
    <t>🌍 MassMediaNG
📌Viral Contents 
📨 massmediaforum@gmail.com
🫂 Follow &amp; Turn On Post Notification</t>
  </si>
  <si>
    <t>mass_media_photography</t>
  </si>
  <si>
    <t>MASS MEDIA PHOTOGRAPHY</t>
  </si>
  <si>
    <t>Premium Wedding Photography &amp; Cinematography Destination Wedding | Pre or Post Wedding.
India | Dubai | 🌍Travelling Worldwide
📞:+91 7902589999,</t>
  </si>
  <si>
    <t>abdullo_media</t>
  </si>
  <si>
    <t>ABDULLO MEDIA</t>
  </si>
  <si>
    <t>🎥съемки рекламных роликов | фильмов | свадеб
звонки принимаем 9:00-18:00</t>
  </si>
  <si>
    <t>https://www.facebook.com/profile.php?id=100063480731117&amp;mibextid=LQQJ4d</t>
  </si>
  <si>
    <t>ac_media_</t>
  </si>
  <si>
    <t>AC MEDIA</t>
  </si>
  <si>
    <t>Creative media agency.
Generating attention for Real Estate &amp; Brands. 
FILM - PHOTO - CONTENT - MARKETING.</t>
  </si>
  <si>
    <t>http://acmediaau.com</t>
  </si>
  <si>
    <t>cnc_media</t>
  </si>
  <si>
    <t>CNC MEDIA</t>
  </si>
  <si>
    <t>Siamo quelli della papera gialla🐤
Analisi e storie che non puoi non conoscere</t>
  </si>
  <si>
    <t>http://cncmedia.it/link</t>
  </si>
  <si>
    <t>iamthirtyaf</t>
  </si>
  <si>
    <t>AF Media</t>
  </si>
  <si>
    <t>💾 ~*MiLLenNiAL hEaVeN*~
🍩 @iamstarvingaf
💻 @iamemployedaf
🧠 @iamokayaf
✋ @fearofgoingout</t>
  </si>
  <si>
    <t>logicmediaproduction</t>
  </si>
  <si>
    <t>Logic Media</t>
  </si>
  <si>
    <t>✧ #1 Premium Marketing Agency
✧ Generated Over 2,000,000,000+ Views
✧ The Ultimate Leverage ☟</t>
  </si>
  <si>
    <t>http://logicmedia.com.au</t>
  </si>
  <si>
    <t>madleine.media</t>
  </si>
  <si>
    <t>MADLEINE MEDIA</t>
  </si>
  <si>
    <t>متخصصون في التصوير الاحترافي والإنتاج الفني🎬
تصوير الاعراس والمناسبات 📸
ادارة الصفحات والخدمات التسويقية 👩🏻‍💻 
موقعنا: جنين طريق دير غزالة
📱0568101908</t>
  </si>
  <si>
    <t>media</t>
  </si>
  <si>
    <t>Realtors Media House
Luxury Virtual Staging</t>
  </si>
  <si>
    <t>http://realtorsmediahouse.com/</t>
  </si>
  <si>
    <t>say__media</t>
  </si>
  <si>
    <t>SAY MEDIA</t>
  </si>
  <si>
    <t>SAY MEDIA is a public relations and communications
PR agency.Self promo PR, working with BRAND and PERSON. 
Since 2015.
📞+ 351 914 935 581</t>
  </si>
  <si>
    <t>http://www.saymedia.info/</t>
  </si>
  <si>
    <t>slukh.media</t>
  </si>
  <si>
    <t>Медіа СЛУХ 🇺🇦</t>
  </si>
  <si>
    <t>Культове українське медіа про музику.
Діяльність призупинено на невідомий строк 😭💜</t>
  </si>
  <si>
    <t>http://slukh.media</t>
  </si>
  <si>
    <t>smalkinemedia</t>
  </si>
  <si>
    <t>Smalkine Media LLC (Lee Gore)</t>
  </si>
  <si>
    <t>📍Based San Antonio, TX. 
✈️MIA, NY, LA, HI, ATL, LV
📸World-Wide Travel Media Booking DM or Go 2 👇🏾👇🏾👇🏾👇🏾👇🏾 Professional Work Only!!!</t>
  </si>
  <si>
    <t>http://www.smalkinemedia.com</t>
  </si>
  <si>
    <t>united24.media</t>
  </si>
  <si>
    <t>UNITED24Media</t>
  </si>
  <si>
    <t>We help people see how war in Ukraine affects every person in the world</t>
  </si>
  <si>
    <t>https://u24.gov.ua/sky-sentinel?utm_source=instagram&amp;utm_medium=media&amp;utm_campaign=sky-sentinel</t>
  </si>
  <si>
    <t>media.poost</t>
  </si>
  <si>
    <t>Media Post</t>
  </si>
  <si>
    <t>ميديا بوست/ media post</t>
  </si>
  <si>
    <t>https://t.me/MediaPost1</t>
  </si>
  <si>
    <t>postmediaok</t>
  </si>
  <si>
    <t>Post Media</t>
  </si>
  <si>
    <t>Es por acá</t>
  </si>
  <si>
    <t>https://www.youtube.com/@PostMediaOk</t>
  </si>
  <si>
    <t>xas.post</t>
  </si>
  <si>
    <t>خاص پُست
Xas
پِیجِ ویدئوهای خاص
Please do not follow non-Iranians</t>
  </si>
  <si>
    <t>health_expert_adviser</t>
  </si>
  <si>
    <t>Men's Health Hub</t>
  </si>
  <si>
    <t>Medical &amp; health</t>
  </si>
  <si>
    <t>Yoga🧘 || Fitness 🤸|| Bodybuilding🏋️
♦️स्वास्थ्य और सेहत से जुड़ी महत्वपूर्ण जानकारी के लिए हमें अभी Folllow करें। 📞+91 9758168010</t>
  </si>
  <si>
    <t>healthwithnancy</t>
  </si>
  <si>
    <t>Men’s Health Tips</t>
  </si>
  <si>
    <t>Follow for the most effective growth hacks🍆
For those asking about the beetroot👇</t>
  </si>
  <si>
    <t>https://www.amazon.com/Rosabella-Organic-Beet-Root-Capsules/dp/B0F161HQ6C?linkCode=ll1&amp;tag=healthwithnancy-20&amp;linkId=fcd2b51bc737ad3348e8a257189f8220&amp;language=en_US&amp;ref_=as_li_ss_tl</t>
  </si>
  <si>
    <t>mattycfox</t>
  </si>
  <si>
    <t>Matt Fox | Men’s Fitness &amp; Health</t>
  </si>
  <si>
    <t>Personal Coach</t>
  </si>
  <si>
    <t>Dad. Coach. Cancer Survivor. 🎗️
Helping busy men build strong bodies + minds 💪🏻🧠
DM “FIT” for 1 : 1 | No gym needed 🏠 
 Aussie living in 👉🏼📍🇹🇭🇦🇪</t>
  </si>
  <si>
    <t>http://link.me/mattycfox</t>
  </si>
  <si>
    <t>men.health1</t>
  </si>
  <si>
    <t>Men's Health by Masterpiece</t>
  </si>
  <si>
    <t>ติดต่อ  
เพจ Men's Health by Masterpiece hospital 
โทร:063-3948780
สอบถาม Line:@menhealth หรือคลิ๊ก
❤️ ฆสพ.สบส 7261/2567</t>
  </si>
  <si>
    <t>https://liff.line.me/1645278921-kWRPP32q/?accountId=744nwmhj</t>
  </si>
  <si>
    <t>menshealthmag</t>
  </si>
  <si>
    <t>Men's Health</t>
  </si>
  <si>
    <t>Your ultimate guide to everything from fitness, health, and nutrition to sex, entertainment, and style | Click here for content from our feed 👇</t>
  </si>
  <si>
    <t>https://likeshop.me/menshealthmag</t>
  </si>
  <si>
    <t>ruggedcounseling</t>
  </si>
  <si>
    <t>Trey Tucker, LPC | Men’s Mental Health &amp; Mindset</t>
  </si>
  <si>
    <t>Psychotherapist</t>
  </si>
  <si>
    <t>🪓 A guy’s guy therapist
🎙️ @ruggedpod on Mondays
📘 Coming soon</t>
  </si>
  <si>
    <t>https://hoo.be/treytucker</t>
  </si>
  <si>
    <t>the.iron.forge</t>
  </si>
  <si>
    <t>The Iron Forge | Men’s Health &amp; Fitness Coaching</t>
  </si>
  <si>
    <t>Fitness Trainer</t>
  </si>
  <si>
    <t>👉 We Help Men Become Strong, Disciplined, and Resilient
💪 Ditch Your Dad Bod Sustainably With The FF.20 Method
📲 Click To Get Your Plan ⤵️</t>
  </si>
  <si>
    <t>https://programs.theironforge.us/survey</t>
  </si>
  <si>
    <t>metacritic</t>
  </si>
  <si>
    <t>The Best (and Worst)  Movies, Games, TV, and Music since 2001.</t>
  </si>
  <si>
    <t>http://sprout.link/metacritic</t>
  </si>
  <si>
    <t>mic</t>
  </si>
  <si>
    <t>The power of perspective.</t>
  </si>
  <si>
    <t>https://linkin.bio/ig-mic</t>
  </si>
  <si>
    <t>mirror.bypaulina</t>
  </si>
  <si>
    <t>Paulina Tobar</t>
  </si>
  <si>
    <t>Moda - Foodie- Viajes ✈️
270K TikTok ✨ YouTube 60k
Colaboraciónes: tobarpaulina@gmail.com
👇🏻BÁSICOS PARA TODAS LAS TEMPORADAS</t>
  </si>
  <si>
    <t>mirrorfit_official</t>
  </si>
  <si>
    <t>MIRROR FIT. / ミラーフィット</t>
  </si>
  <si>
    <t>次世代型スマートミラー MIRROR FIT.
24時間365日、
いつでも自宅で最適なトレーニングを。
・
MIRROR FIT.が届けるウェルネスマガジン
@mirrorfit_magazine
・
法人のお客様はこちら
@mirrorfit_business</t>
  </si>
  <si>
    <t>https://mirrorfit.jp/</t>
  </si>
  <si>
    <t>mirrorglamping</t>
  </si>
  <si>
    <t>Mirror Glamping</t>
  </si>
  <si>
    <t>Alojamiento ecolujoso que te permite vivir una experiencia en la naturaleza con total comodidad.
Reservas ⤵️</t>
  </si>
  <si>
    <t>http://es.airbnb.com/rooms/41535599</t>
  </si>
  <si>
    <t>mirror.me_official</t>
  </si>
  <si>
    <t>select store mirror me</t>
  </si>
  <si>
    <t>Apparel &amp; clothing</t>
  </si>
  <si>
    <t>ーーーーーーーーーーーー
𝗌𝖾𝗅𝖾𝖼𝗍 𝗌𝗍𝗈𝗋𝖾【 𝗆𝗂𝗋𝗋𝗈𝗋 𝗆𝖾 】
ーーーーーーーーーーーー
SNSで大人気のミラーミー
''自分だけのスタイルを作るための、厳選されたアイテムがここに''
ファッションを楽しみたいすべての方へ
あなたのスタイルを見つけてください</t>
  </si>
  <si>
    <t>https://selectstore-mirror.me</t>
  </si>
  <si>
    <t>mirror_of_word_</t>
  </si>
  <si>
    <t>Ashish</t>
  </si>
  <si>
    <t>https://youtube.com/@atjunction</t>
  </si>
  <si>
    <t>mirrorpalais</t>
  </si>
  <si>
    <t>Mirror Palais</t>
  </si>
  <si>
    <t>A thing of beauty is a joy forever
Designed by @marcelogaia
New York City - Shipping World Wide</t>
  </si>
  <si>
    <t>http://www.mirrorpalais.com/</t>
  </si>
  <si>
    <t>wsmirror</t>
  </si>
  <si>
    <t>Washington Mirror</t>
  </si>
  <si>
    <t>📰 The Washington Mirror
Reflecting truth, reporting facts.
Daily news, politics, culture &amp; more.
📍Washington, D.C.</t>
  </si>
  <si>
    <t>http://www.wsmirror.com</t>
  </si>
  <si>
    <t>mittechreviewbr</t>
  </si>
  <si>
    <t>MIT Technology Review Brasil</t>
  </si>
  <si>
    <t>O maior ecossistema de conteúdo, conhecimento e inovação do mundo.</t>
  </si>
  <si>
    <t>https://bit.ly/mittechreviewbr</t>
  </si>
  <si>
    <t>technologyreview</t>
  </si>
  <si>
    <t>Our in-depth reporting on innovation reveals and explains what's really happening now to help you know what's coming next.</t>
  </si>
  <si>
    <t>https://bit.ly/linkinbio-mittr</t>
  </si>
  <si>
    <t>mbdailyshow</t>
  </si>
  <si>
    <t>Morning Brew Daily</t>
  </si>
  <si>
    <t>Morning Brew’s daily business news show
Hosted by @nealfreyman @tobydoy</t>
  </si>
  <si>
    <t>https://shop.morningbrew.com/products/morning-brew-daily-mug</t>
  </si>
  <si>
    <t>morningbrew</t>
  </si>
  <si>
    <t>Everything you need to know about the world of business and the business of the world. 
Link in bio ⬇️</t>
  </si>
  <si>
    <t>https://linkin.bio/morningbrew</t>
  </si>
  <si>
    <t>themotleyfoolau</t>
  </si>
  <si>
    <t>The Motley Fool</t>
  </si>
  <si>
    <t>Helping Australians Invest. Better. 
General Advice only, under AFSL 400691</t>
  </si>
  <si>
    <t>https://www.youtube.com/foolau</t>
  </si>
  <si>
    <t>themotleyfoolofficial</t>
  </si>
  <si>
    <t>Financial service</t>
  </si>
  <si>
    <t>Making the world smarter, happier, and richer through free and premium investing guidance.</t>
  </si>
  <si>
    <t>https://linktr.ee/themotleyfoolofficial</t>
  </si>
  <si>
    <t>msnbc</t>
  </si>
  <si>
    <t>The place for in-depth analysis, commentary and informed perspectives.👇🏻LINK IN BIO👇🏿</t>
  </si>
  <si>
    <t>https://smartlink.bio/msnbc</t>
  </si>
  <si>
    <t>msnbc_films</t>
  </si>
  <si>
    <t>MSNBC Films</t>
  </si>
  <si>
    <t>Connecting you to stories that shape our culture, entertain and inform you.</t>
  </si>
  <si>
    <t>https://www.submarine.com/separated</t>
  </si>
  <si>
    <t>msnbc_reports</t>
  </si>
  <si>
    <t>MSNBC Reports</t>
  </si>
  <si>
    <t>Watch MSNBC Reports weekdays 10am-4pm ET and weekends 1-4pm ET on MSNBC.</t>
  </si>
  <si>
    <t>https://smartlink.bio/msnbc_reports</t>
  </si>
  <si>
    <t>theweekendmsnbc</t>
  </si>
  <si>
    <t>The Weekend on MSNBC</t>
  </si>
  <si>
    <t>Tune in Saturdays and Sundays from 7-10am ET on @MSNBC with hosts: @jaxalemany, @eugenedaniels2, and @capehartj</t>
  </si>
  <si>
    <t>https://www.msnbc.com/capehart</t>
  </si>
  <si>
    <t>natgeo</t>
  </si>
  <si>
    <t>Inspiring the explorer in everyone 🌎</t>
  </si>
  <si>
    <t>https://on.natgeo.com/instagram</t>
  </si>
  <si>
    <t>natgeoadventure</t>
  </si>
  <si>
    <t>National Geographic Adventure</t>
  </si>
  <si>
    <t>Featuring the world's best adventure photographers, athletes, and trips.</t>
  </si>
  <si>
    <t>https://on.natgeo.com/natgeoadventure</t>
  </si>
  <si>
    <t>natgeoanimals</t>
  </si>
  <si>
    <t>National Geographic Animals</t>
  </si>
  <si>
    <t>Explore the animal kingdom with National Geographic.</t>
  </si>
  <si>
    <t>http://on.natgeo.com/natgeoanimals</t>
  </si>
  <si>
    <t>natgeobrasil</t>
  </si>
  <si>
    <t>National Geographic Brasil</t>
  </si>
  <si>
    <t>🌎 Inspirando as pessoas a cuidarem do planeta.
🎧 Ouça agora nosso podcast 👇</t>
  </si>
  <si>
    <t>http://dis.bb/6000Oup76</t>
  </si>
  <si>
    <t>natgeoesp</t>
  </si>
  <si>
    <t>National Geographic España</t>
  </si>
  <si>
    <t>Perfil oficial de la Revista National Geographic España.
Etiquétanos con #TuFotoNatGeo, seleccionamos una al mes que será publicada en la revista.</t>
  </si>
  <si>
    <t>https://linktr.ee/natgeoesp</t>
  </si>
  <si>
    <t>natgeoespana</t>
  </si>
  <si>
    <t>National Geographic España</t>
  </si>
  <si>
    <t>Perfil oficial de Instagram de los canales de National Geographic y National Geographic Wild España</t>
  </si>
  <si>
    <t>https://www.nationalgeographic.es/programacion-television</t>
  </si>
  <si>
    <t>natgeohistory</t>
  </si>
  <si>
    <t>National Geographic History</t>
  </si>
  <si>
    <t>Dive into the past with National Geographic.</t>
  </si>
  <si>
    <t>http://on.natgeo.com/natgeohistory</t>
  </si>
  <si>
    <t>natgeoindia</t>
  </si>
  <si>
    <t>National Geographic India</t>
  </si>
  <si>
    <t>Want to get featured? Share your best shots in motion &amp; tag @natgeoindia and use #NatGeoInMotion</t>
  </si>
  <si>
    <t>https://bit.ly/4mxtPpJ</t>
  </si>
  <si>
    <t>natgeoindonesia</t>
  </si>
  <si>
    <t>National Geographic Indonesia</t>
  </si>
  <si>
    <t>Dengan kekuatan ilmu pengetahuan, penjelajahan, dan kisah, kita mampu mengubah dunia.
–
Part of The Enthusiast Hub
@gridnetwork.id</t>
  </si>
  <si>
    <t>http://bit.ly/NGI-Tokopedia</t>
  </si>
  <si>
    <t>natgeo_italia</t>
  </si>
  <si>
    <t>National Geographic Italia</t>
  </si>
  <si>
    <t>Scopri il mondo attraverso gli occhi di National Geographic.</t>
  </si>
  <si>
    <t>http://www.nationalgeographic.it/</t>
  </si>
  <si>
    <t>natgeo.la</t>
  </si>
  <si>
    <t>National Geographic LATAM</t>
  </si>
  <si>
    <t>Hallazgo en la Patagonia👇</t>
  </si>
  <si>
    <t>http://dis.la/6002ADgEk</t>
  </si>
  <si>
    <t>natgeonl</t>
  </si>
  <si>
    <t>Op avontuur sinds 1888.</t>
  </si>
  <si>
    <t>https://linkin.bio/ig-natgeonl</t>
  </si>
  <si>
    <t>natgeotravel</t>
  </si>
  <si>
    <t>National Geographic Travel</t>
  </si>
  <si>
    <t>It’s a big world. Explore it with passion and purpose.</t>
  </si>
  <si>
    <t>http://on.natgeo.com/natgeotravel</t>
  </si>
  <si>
    <t>natgeotv</t>
  </si>
  <si>
    <t>National Geographic TV</t>
  </si>
  <si>
    <t>Official page of National Geographic TV, featuring riveting stories in nature, science and exploration. Stream on NatGeoTV.com, @hulu and @disneyplus.</t>
  </si>
  <si>
    <t>http://on.natgeo.com/natgeotv</t>
  </si>
  <si>
    <t>natgeotvturkiye</t>
  </si>
  <si>
    <t>National Geographic Türkiye</t>
  </si>
  <si>
    <t>#NationalGeographic'i Digiturk 181,D-Smart 63, Kablo TV 112, Tivibu 102,TV+ 98 kanallarından ve TOD, S Sport Plus platformlarından izleyebilirsin.</t>
  </si>
  <si>
    <t>https://www.natgeotv.com/tr</t>
  </si>
  <si>
    <t>natgeoyourshot</t>
  </si>
  <si>
    <t>National Geographic Your Shot</t>
  </si>
  <si>
    <t>We are Your Shot—@natgeo's visual storytelling community. Don't just take a shot, take your shot 📸</t>
  </si>
  <si>
    <t>http://on.natgeo.com/natgeoyourshot</t>
  </si>
  <si>
    <t>beautiful._.nature22</t>
  </si>
  <si>
    <t>🌸Nature</t>
  </si>
  <si>
    <t>lanaturevibes</t>
  </si>
  <si>
    <t>🌿 Nature | Travel | Old-Life Vibes
🌎 Capturing Earth's Beauty 📸
DM for Business / Promotions
SHOP NOW 👇🛍️</t>
  </si>
  <si>
    <t>https://www.thestorche.com/products/vibratune?_pos=3&amp;_sid=e2b841d86&amp;_ss=r</t>
  </si>
  <si>
    <t>lifeisanature</t>
  </si>
  <si>
    <t>🌿 Nature | Vintage | Nostalgia
📽 Reliving Old Memories, One Frame at a Time
🌅 Aesthetic Landscapes | Retro Vibes | Timeless Beauty</t>
  </si>
  <si>
    <t>lovethenature95</t>
  </si>
  <si>
    <t>🍀Nature 🌎
🍀Nature Animation 🌎
🍀DM me for credit or removal🌎
🍀HD quality contents as always🌎
🍀Thanks for following me🌎
#lovethenature95</t>
  </si>
  <si>
    <t>https://t.me/naturelover1325</t>
  </si>
  <si>
    <t>Stay tuned for the best #Nature</t>
  </si>
  <si>
    <t>natureismetal</t>
  </si>
  <si>
    <t>Nature Is Metal</t>
  </si>
  <si>
    <t>Persist to Exist</t>
  </si>
  <si>
    <t>https://natureismetal.com/submissions</t>
  </si>
  <si>
    <t>natures</t>
  </si>
  <si>
    <t>iO Conservancy 🦋</t>
  </si>
  <si>
    <t>Environmental Conservation Organization</t>
  </si>
  <si>
    <t>An impact based bio-cultural conservation platform.</t>
  </si>
  <si>
    <t>http://beacons.ai/ioconservancy/</t>
  </si>
  <si>
    <t>naturesms</t>
  </si>
  <si>
    <t>Surendra Singh Garhwal</t>
  </si>
  <si>
    <t>Art &amp; Ai | Enthusiast
You're My Favourite Notification ❤️ 
Dm For Promo/Collaboration
👇🏻 GET HERE 👇🏻</t>
  </si>
  <si>
    <t>https://urbanoutletstores.com/products/breathewell-4-pcs</t>
  </si>
  <si>
    <t>naturethecure</t>
  </si>
  <si>
    <t>Mother Nature Heals</t>
  </si>
  <si>
    <t>Alternative &amp; Holistic Health Service</t>
  </si>
  <si>
    <t>↪️Guide 2 natural healing
↪️DM 4 shout-outs
©Copyright issues? DM us
👉 Home Doctor 👨‍⚕️- Practical Medicine for Every Household 👇</t>
  </si>
  <si>
    <t>https://shorturl.at/B2pHF</t>
  </si>
  <si>
    <t>tabiat_manzaralari</t>
  </si>
  <si>
    <t>the NATURE of the WORLD</t>
  </si>
  <si>
    <t>🇬🇧 LANDSCAPES of NATURE
🇺🇿 TABIAT MANZARALARI
The videos here do not belong to me, I share the videos I like with you😊</t>
  </si>
  <si>
    <t>nbclatino</t>
  </si>
  <si>
    <t>NBC News Latino</t>
  </si>
  <si>
    <t>Elevating the conversation around Latinos in the United States. 
@NBCNews #Latino official IG account.
⬇️ Read more at the link in bio ⬇️</t>
  </si>
  <si>
    <t>https://smartlink.bio/nbclatino</t>
  </si>
  <si>
    <t>nbcnews</t>
  </si>
  <si>
    <t>A visual digest of the top news across the 🌎
LINK IN BIO ⬇️</t>
  </si>
  <si>
    <t>https://smartlink.bio/nbcnews</t>
  </si>
  <si>
    <t>nbcnewsgraphics</t>
  </si>
  <si>
    <t>NBC News Graphics</t>
  </si>
  <si>
    <t>Explaining the news through visualizations &amp; data analysis from the @NBCNews Digital Data / Graphics team 📈</t>
  </si>
  <si>
    <t>https://www.nbcnews.com/specials/sex-assault-convictions/</t>
  </si>
  <si>
    <t>nbcnewsnow</t>
  </si>
  <si>
    <t>NBC News NOW</t>
  </si>
  <si>
    <t>The streaming news channel from @NBCNews. Watch live on nbcnews.com/now, @peacock and your favorite streaming platform.</t>
  </si>
  <si>
    <t>http://nbcnews.com/now/</t>
  </si>
  <si>
    <t>nbcnewsscience</t>
  </si>
  <si>
    <t>NBC News Science</t>
  </si>
  <si>
    <t>The latest science news articles, photos and videos covering space, the environment, human development and more from @nbcnews.</t>
  </si>
  <si>
    <t>https://www.nbcnews.com/science</t>
  </si>
  <si>
    <t>nbcnewsthink</t>
  </si>
  <si>
    <t>NBC News THINK</t>
  </si>
  <si>
    <t>THINK is @NBCNews' home for fresh opinion, sharp analysis and powerful essays.</t>
  </si>
  <si>
    <t>https://linkin.bio/nbcnewsthink</t>
  </si>
  <si>
    <t>bang_network</t>
  </si>
  <si>
    <t>B❗️Network</t>
  </si>
  <si>
    <t>Official Bang! IG Account
B! Daily Updates
September Bang! Babe @realchanelcamryn</t>
  </si>
  <si>
    <t>cartoonnetworkofficial</t>
  </si>
  <si>
    <t>Cartoon Network</t>
  </si>
  <si>
    <t>🏁 Official Cartoon Network</t>
  </si>
  <si>
    <t>https://linkin.bio/cartoonnetworkofficial</t>
  </si>
  <si>
    <t>lacrossenetwork</t>
  </si>
  <si>
    <t>The Lacrosse Network</t>
  </si>
  <si>
    <t>Highlighting the fastest game on two feet.
🔥 DM your best clips to be featured
🧢 @thelacrosseshop
👇 WEEKLY PODCAST WITH @MITCHELL_PEHLKE</t>
  </si>
  <si>
    <t>https://shop.thelacrossenetwork.com/collections/cool-down-collection</t>
  </si>
  <si>
    <t>nflnetwork</t>
  </si>
  <si>
    <t>NFL Network</t>
  </si>
  <si>
    <t>counting down the days 🏈</t>
  </si>
  <si>
    <t>http://linktr.ee/nflnetwork</t>
  </si>
  <si>
    <t>seafood_network</t>
  </si>
  <si>
    <t>Seafood Network🦞🦐🦀🦑🐙🍤</t>
  </si>
  <si>
    <t>Victoria Oboh 👩🏽‍🍳
🦀 Mouthwatering seafood recipes 
📩  Business Inquiries: info@seafoodnetwork.org
📰 Weekly recipes on Substack 👇</t>
  </si>
  <si>
    <t>https://linktr.ee/seafoodnetwork</t>
  </si>
  <si>
    <t>secnetwork</t>
  </si>
  <si>
    <t>SEC Network</t>
  </si>
  <si>
    <t>🗣 S-E-C!  S-E-C!  S-E-C!</t>
  </si>
  <si>
    <t>http://secnetwork.com</t>
  </si>
  <si>
    <t>the_juda_network</t>
  </si>
  <si>
    <t>Juda Network</t>
  </si>
  <si>
    <t>Welcome to Juda Network! Netflix! Hulu! Everybody! There’s a NEW Sheriff in town!😎</t>
  </si>
  <si>
    <t>https://judanetwork.vhx.tv/browse</t>
  </si>
  <si>
    <t>unitedmarketplacenetwork</t>
  </si>
  <si>
    <t>Lil Plug Network</t>
  </si>
  <si>
    <t>💻 - Electronic Experienced
👟 - Clothing/Snkr Inspector
📍 - Based in North West / Ldn
!!! Dispute fraudsters will be reported to Shergroup/DCBL !!!</t>
  </si>
  <si>
    <t>usanetwork</t>
  </si>
  <si>
    <t>USA Network</t>
  </si>
  <si>
    <t>#TheRainmaker is NEW Fridays at 10/9c. 💼
Watch WWE #SmackDown every Friday 8/7c. 👏</t>
  </si>
  <si>
    <t>https://likeshop.me/usanetwork</t>
  </si>
  <si>
    <t>wahalanetwork</t>
  </si>
  <si>
    <t>WAHALANETWORK BLOG</t>
  </si>
  <si>
    <t>HOME OF STARS
GOSSIP
ENTERTAINMENT
AFROBEATS
ADVERT,STRICTY TO WHATSAPP +2349038970763
TURN ON POST NOTIFICATION
Follow @wahalanetworkblog</t>
  </si>
  <si>
    <t>http://wahalanetwork.com</t>
  </si>
  <si>
    <t>yesnetwork</t>
  </si>
  <si>
    <t>YES Network</t>
  </si>
  <si>
    <t>New York Yankees &amp; Brooklyn Nets</t>
  </si>
  <si>
    <t>https://tinyurl.com/4x356hvt</t>
  </si>
  <si>
    <t>ashgabattoday</t>
  </si>
  <si>
    <t>🌅 News Media | Ashgabat Turkmenistan</t>
  </si>
  <si>
    <t>@hi.ashgabat</t>
  </si>
  <si>
    <t>https://t.me/ashgabattoday</t>
  </si>
  <si>
    <t>cnc3news</t>
  </si>
  <si>
    <t>CNC3 News Trinidad and Tobago</t>
  </si>
  <si>
    <t>Covering your world! #cnc3 #cnc3news</t>
  </si>
  <si>
    <t>https://linkin.bio/cnc3news</t>
  </si>
  <si>
    <t>enews</t>
  </si>
  <si>
    <t>E! News</t>
  </si>
  <si>
    <t>Here’s the link in bio. ↙️</t>
  </si>
  <si>
    <t>https://eonline.us/4cTBhWK</t>
  </si>
  <si>
    <t>_hey.news_</t>
  </si>
  <si>
    <t>헤이뉴스 Hey.News.JTBC</t>
  </si>
  <si>
    <t>헤이, 새로운 것들!</t>
  </si>
  <si>
    <t>ktla5news</t>
  </si>
  <si>
    <t>KTLA 5 News</t>
  </si>
  <si>
    <t>L.A.'s Very Own KTLA 5 News. Keeping Southern Californians informed since 1947.</t>
  </si>
  <si>
    <t>https://ktla.com/tag/featured-on-instagram/</t>
  </si>
  <si>
    <t>lebedev.news</t>
  </si>
  <si>
    <t>Самые Честные Новости. Артемий Лебедев</t>
  </si>
  <si>
    <t>Больше меня @temalebedev
Ответошная @otvetoshnaya
Полные выпуски Самых Честных Новостей:</t>
  </si>
  <si>
    <t>https://vk.com/temalebedev</t>
  </si>
  <si>
    <t>news</t>
  </si>
  <si>
    <t>News by @memes</t>
  </si>
  <si>
    <t>orient.tm</t>
  </si>
  <si>
    <t>Turkmenistan 🇹🇲 ORIENT NEWS</t>
  </si>
  <si>
    <t>ХО «Media Turkmen» – официально зарегистрированное информационное агентство с 2017 г.
⠀
⬇️ САЙТ</t>
  </si>
  <si>
    <t>https://taplink.cc/orienttm</t>
  </si>
  <si>
    <t>thebruneian.news</t>
  </si>
  <si>
    <t>The Bruneian</t>
  </si>
  <si>
    <t>Brunei’s Premier Independent Business News</t>
  </si>
  <si>
    <t>https://thebruneian.news/</t>
  </si>
  <si>
    <t>tvjnews</t>
  </si>
  <si>
    <t>Television Jamaica/Radio Jamaica News Centre</t>
  </si>
  <si>
    <t>Jamaica’s number one broadcast media source for news, sports, business, and entertainment.
X: @TVJNewscentre</t>
  </si>
  <si>
    <t>http://radiojamaicanewsonline.com/</t>
  </si>
  <si>
    <t>yonhap_news</t>
  </si>
  <si>
    <t>연합뉴스 공식 인스타그램</t>
  </si>
  <si>
    <t>빠르고 정확한 뉴스
기사를 더 보고 싶다면?
👇👇 click 👇👇</t>
  </si>
  <si>
    <t>https://www.yna.co.kr/</t>
  </si>
  <si>
    <t>newscientist</t>
  </si>
  <si>
    <t>The best place to find out what's new in science, and why it matters</t>
  </si>
  <si>
    <t>https://linkin.bio/newscientist</t>
  </si>
  <si>
    <t>347.letter</t>
  </si>
  <si>
    <t>News Letter</t>
  </si>
  <si>
    <t>We are what we see
We are what we do
We are what we eat</t>
  </si>
  <si>
    <t>dtcnewsletter</t>
  </si>
  <si>
    <t>DTC Newsletter 📦</t>
  </si>
  <si>
    <t>Delivering tactical digital marketing strategies and scroll-worthy insights every weekday! 
Sign up and join 160,000+ subscribers 👇</t>
  </si>
  <si>
    <t>https://linktr.ee/getdtcnewsletter</t>
  </si>
  <si>
    <t>girlsnightinclub</t>
  </si>
  <si>
    <t>Girls’ Night In Newsletter</t>
  </si>
  <si>
    <t>📢 Big news: Girls’ Night In is now Downtime!
Subscribe to the newsletter below 👇 and follow along @alisharamos</t>
  </si>
  <si>
    <t>http://downtime.substack.com</t>
  </si>
  <si>
    <t>tldr_newsletter</t>
  </si>
  <si>
    <t>TLDR Newsletter</t>
  </si>
  <si>
    <t>The Morning Paper for Techies | Subscribe here! 👇</t>
  </si>
  <si>
    <t>https://tldr.tech/signup?utm_source=instagram&amp;utm_campaign=instagram-organic-profile-link&amp;utm_medium=organic-social</t>
  </si>
  <si>
    <t>kids_age</t>
  </si>
  <si>
    <t>Kids Age : Children Newspaper</t>
  </si>
  <si>
    <t>👉India’s widest read &amp; most innovative monthly newspaper📔
👉 Since 2006🏣
👉100% useful for KIDS👦
👉 Trusted by millions of parents👪
👉 Fun with knowledge🤡</t>
  </si>
  <si>
    <t>https://kidsage.in/kids-magazine-subscribe/</t>
  </si>
  <si>
    <t>neweranewspaper</t>
  </si>
  <si>
    <t>New Era Newspaper Namibia 🇳🇦</t>
  </si>
  <si>
    <t>Official Instagram account of New Era Newspaper.
Share your story using #Namibia #NewEraNewspaper #NewEraLive #🇳🇦</t>
  </si>
  <si>
    <t>https://neweralive.na/</t>
  </si>
  <si>
    <t>newspaperclub</t>
  </si>
  <si>
    <t>Newspaper Club</t>
  </si>
  <si>
    <t>👋 Print your own newspaper, starting from 1 copy. Fast worldwide delivery!
🗞 Get free samples at newspaperclub.com</t>
  </si>
  <si>
    <t>https://linktr.ee/newspaperclub</t>
  </si>
  <si>
    <t>newspaperscom</t>
  </si>
  <si>
    <t>Newspapers.com</t>
  </si>
  <si>
    <t>The largest online #newspaper archive. 1 billion+ newspaper pages from 1690 to the present. Explore history today.</t>
  </si>
  <si>
    <t>http://nwspprs.com/ig</t>
  </si>
  <si>
    <t>newspaper_tones</t>
  </si>
  <si>
    <t>Newpaper tones</t>
  </si>
  <si>
    <t>theartnewspaper.official</t>
  </si>
  <si>
    <t>The Art Newspaper</t>
  </si>
  <si>
    <t>The Official Voice of Art under TGE, The Generation Essentials, a global media &amp; entertainment company listed on the NYSE Mainboard📍London / New York</t>
  </si>
  <si>
    <t>https://linktr.ee/theartnewspaper.official</t>
  </si>
  <si>
    <t>thenewspaper.pk</t>
  </si>
  <si>
    <t>The Newspaper</t>
  </si>
  <si>
    <t>For the people, by the people.
Share your story. Inbox us to inspire change.
For donations: @abettertomorrow.pk</t>
  </si>
  <si>
    <t>https://www.instagram.com/channel/AbbLiqfyMJ6yUzpL/?igsh=MWVqYmo3aDhpMGVpdg%3D%3D</t>
  </si>
  <si>
    <t>kanaknewsroom</t>
  </si>
  <si>
    <t>Kanak Newsroom</t>
  </si>
  <si>
    <t>Kanak News Is  The  Leading News Channel Of Odisha In Both Digital And TV Segments</t>
  </si>
  <si>
    <t>https://kanaknews.com/live-streaming/</t>
  </si>
  <si>
    <t>narasinewsroom</t>
  </si>
  <si>
    <t>Narasi Newsroom</t>
  </si>
  <si>
    <t>#JadiPaham isu penting dan seru.
Kontak Narasi: 
Redaksi redaksi@narasi.tv | Bisnis bd@narasi.tv</t>
  </si>
  <si>
    <t>https://youtu.be/3-4nq9nQWY0</t>
  </si>
  <si>
    <t>newsroom</t>
  </si>
  <si>
    <t>News Room</t>
  </si>
  <si>
    <t>We launched a podcast called Royally Obsessed, and it's basically the next best thing to living inside Buckingham Palace. Listen here 👇🏼</t>
  </si>
  <si>
    <t>http://apple.co/2H7ECUA</t>
  </si>
  <si>
    <t>newsroom7ind</t>
  </si>
  <si>
    <t>News Room 7</t>
  </si>
  <si>
    <t>Newsroom7 is the voice of truth
Digital platform of DAINIK PRATHAM REPORTER
call uson 9343214437
No to paid news, Big No for collaboration</t>
  </si>
  <si>
    <t>http://gmail.com/</t>
  </si>
  <si>
    <t>newsroom_eg</t>
  </si>
  <si>
    <t>News room</t>
  </si>
  <si>
    <t>www.newsroom.info</t>
  </si>
  <si>
    <t>http://www.newsroom.info</t>
  </si>
  <si>
    <t>newsroomguyana</t>
  </si>
  <si>
    <t>News Room | Guyana 🇬🇾 | Creative, intelligent journalism since 2016
LIVE Mon–Fri, 7 PM on E-Networks E1, SKAR TV, NTN &amp; TARZEE TV+Facebook &amp; YouTube</t>
  </si>
  <si>
    <t>http://newsroom.gy/</t>
  </si>
  <si>
    <t>newsroom.ku</t>
  </si>
  <si>
    <t>Newsroom KU</t>
  </si>
  <si>
    <t>Freedom of the Press, Freedom of the People.
ห้องข่าว มก. by @kasetsart.daily 
อัปเดตทุกวัน เวลา 10.00 น. และ 17.00 น.
จะเป็นหู และตาให้กับชาวเกษตร💚</t>
  </si>
  <si>
    <t>newsroom.kz</t>
  </si>
  <si>
    <t>NewsRoom+ Қазақстан</t>
  </si>
  <si>
    <t>📌 Newsroom+ ақпарат агенттігінің ресми парақшасы
📲 Жаңалығыңызбен бөліскіңіз келсе Direct-ке жазыңыз</t>
  </si>
  <si>
    <t>https://newsroom.kz/90528/zhoo-ny-zdik-baspas-z-hatshysy-bay-auy-zhariyalandy</t>
  </si>
  <si>
    <t>newsroom.lb</t>
  </si>
  <si>
    <t>Newsroomlb</t>
  </si>
  <si>
    <t>ننقل لكم الأخبار مباشرةً 🌐
نغطي الأحداث والتطورات محلياً عربياً اقليمياً ودولياً 📡 
بدرجة عالية من المهنية والشفافية  والمصداقية🔹
إنضموا إلينا الآن ⬇️</t>
  </si>
  <si>
    <t>https://whatsapp.com/channel/0029VaAx8NNAu3aLRh1Ziw0u</t>
  </si>
  <si>
    <t>newsroom.nr</t>
  </si>
  <si>
    <t>NEWSROOM</t>
  </si>
  <si>
    <t>¡VERAZ, OBJETIVO E INDEPENDIENTE!
Noticias internacionales en español📰
Donaciones 👇🏻</t>
  </si>
  <si>
    <t>https://gofund.me/9a374d9d</t>
  </si>
  <si>
    <t>newsroomnz</t>
  </si>
  <si>
    <t>In-depth storytelling for thinking audiences.
Listen to Fractured, our newest investigative podcast on your favourite podcast app.</t>
  </si>
  <si>
    <t>http://www.newsroom.co.nz</t>
  </si>
  <si>
    <t>newsroomorissa</t>
  </si>
  <si>
    <t>News Room Odisha</t>
  </si>
  <si>
    <t>Led by a journalist with a keen entrepreneurial spirit, NewsRoom aims to crave its niche in the market by blending journalistic expertise.</t>
  </si>
  <si>
    <t>https://youtube.com/@newsroomodisha?si=NGgTTHF-8JnXn8Yw</t>
  </si>
  <si>
    <t>newsroomrai</t>
  </si>
  <si>
    <t>Pagina ufficiale di #Newsroom di @monicamaggionijournalist 
Racconti e inchieste sulle grandi questioni globali 
Su RaiPlay e in prima serata su Rai3</t>
  </si>
  <si>
    <t>https://www.raiplay.it/programmi/newsroom</t>
  </si>
  <si>
    <t>nvrsk_news_room</t>
  </si>
  <si>
    <t>Новороссийск News Room</t>
  </si>
  <si>
    <t>С любовью о Новороссийске</t>
  </si>
  <si>
    <t>porsche_newsroom</t>
  </si>
  <si>
    <t>Porsche Newsroom</t>
  </si>
  <si>
    <t>Automotive, Aircraft &amp; Boat</t>
  </si>
  <si>
    <t>Official Instagram Account of Porsche Communications
__
Social privacy: porsche.click/3eH2cYG
Information and fuel consumption (DAT note):</t>
  </si>
  <si>
    <t>http://clickthe.bio/porschenewsroom/</t>
  </si>
  <si>
    <t>newsweek</t>
  </si>
  <si>
    <t>Newsweek provides in-depth analysis, news and opinion about international issues, technology, business, culture and politics.</t>
  </si>
  <si>
    <t>https://linkin.bio/newsweek</t>
  </si>
  <si>
    <t>newsweek_japan</t>
  </si>
  <si>
    <t>Newsweek Japan</t>
  </si>
  <si>
    <t>The official account of Newsweek Japan magazine and its website.
週刊誌「ニューズウィーク日本版」（毎週火曜日発売）および「ニューズウィーク日本版サイト」公式アカウントです。</t>
  </si>
  <si>
    <t>http://newsweekjapan.jp/</t>
  </si>
  <si>
    <t>newsweek_officiall</t>
  </si>
  <si>
    <t>🖼️По вопросам рекламы Direct 
🌊Владивосток 
🌍Мировые новости 
🚓Происшествия
😂Юмор</t>
  </si>
  <si>
    <t>https://t.me/NEWSWEEK_OFFICIAL</t>
  </si>
  <si>
    <t>newswirecom</t>
  </si>
  <si>
    <t>Ranked #1 in Customer Satisfaction 2019. 
Distribute the Right Message to the Right Audience at the Right Time.</t>
  </si>
  <si>
    <t>https://linkin.bio/newswirecom</t>
  </si>
  <si>
    <t>newswirelk</t>
  </si>
  <si>
    <t>Around the clock News provider</t>
  </si>
  <si>
    <t>http://www.newswire.lk</t>
  </si>
  <si>
    <t>newswirez</t>
  </si>
  <si>
    <t>Newswirez</t>
  </si>
  <si>
    <t>🔎 Online News and Media  
👍 Thanks for following us
👦 Get featured in the news:</t>
  </si>
  <si>
    <t>http://www.newswirez.com/</t>
  </si>
  <si>
    <t>newyorker</t>
  </si>
  <si>
    <t>Sean Sudarshan Rajan</t>
  </si>
  <si>
    <t>@topgearporschenj @thebillionairesclub @lessroll @thebillionairesclubcigars</t>
  </si>
  <si>
    <t>http://www.seanrajan.com</t>
  </si>
  <si>
    <t>newyorkercartoons</t>
  </si>
  <si>
    <t>The New Yorker Cartoons</t>
  </si>
  <si>
    <t>Drawings and drollery from @newyorkermag.</t>
  </si>
  <si>
    <t>http://newyorker.com/cartooninstagram</t>
  </si>
  <si>
    <t>newyorkerfest</t>
  </si>
  <si>
    <t>The New Yorker Festival</t>
  </si>
  <si>
    <t>The 26th annual New Yorker Festival: October 24-26th, 2025. News and ticketing information about The New Yorker’s events.</t>
  </si>
  <si>
    <t>https://likeshop.me/newyorkerfest</t>
  </si>
  <si>
    <t>newyorkerlions</t>
  </si>
  <si>
    <t>New Yorker Lions</t>
  </si>
  <si>
    <t>🥇12 x German Bowl | 6 x BIG6 Euro Bowl
🏆@germanfootballleague Rekordmeister
🦁 #toolatetobescared</t>
  </si>
  <si>
    <t>http://newyorker-lions.de/category/news/</t>
  </si>
  <si>
    <t>newyorkermag</t>
  </si>
  <si>
    <t>The New Yorker</t>
  </si>
  <si>
    <t>Since 1925. 
Tap the link below to read more about any photo.</t>
  </si>
  <si>
    <t>http://newyorker.com/instagram</t>
  </si>
  <si>
    <t>newyorkerman</t>
  </si>
  <si>
    <t>NEW YORKER MAN</t>
  </si>
  <si>
    <t>We keep you updated with the latest fashion trends.
Check out our new collection ⬇️</t>
  </si>
  <si>
    <t>http://www.newyorker.de/social</t>
  </si>
  <si>
    <t>newyorkeronline</t>
  </si>
  <si>
    <t>NEW YORKER Fashion</t>
  </si>
  <si>
    <t>We keep you updated with the latest fashion trends.
Men's fashion: @newyorkerman
Discover the styles of our new collections ⬇️</t>
  </si>
  <si>
    <t>newyorkerphoto</t>
  </si>
  <si>
    <t>New Yorker Photo</t>
  </si>
  <si>
    <t>The official feed of @newyorkermag’s photo department.</t>
  </si>
  <si>
    <t>https://www.newyorker.com/culture/photo-booth</t>
  </si>
  <si>
    <t>newyorkers</t>
  </si>
  <si>
    <t>New Yorkers</t>
  </si>
  <si>
    <t>Comedy club</t>
  </si>
  <si>
    <t>New Yorkers are funny AF 🎤 @newyorkers.live  
Local gems 🤝@newyorklocals
🏠 @apartmentsnyc | 🏀 @nysports</t>
  </si>
  <si>
    <t>newyork_uncut</t>
  </si>
  <si>
    <t>NEW YORKER 🗽</t>
  </si>
  <si>
    <t>Up to date content #NYC 
@newyork_uncut3 @newyork_uncut2  PROMO AVAILABLE</t>
  </si>
  <si>
    <t>https://www.youtube.com/@Newyorkuncut</t>
  </si>
  <si>
    <t>queensmedia_nyc</t>
  </si>
  <si>
    <t>NEW YORKER</t>
  </si>
  <si>
    <t>https://www.youtube.com/channel/UCUB7No7yKTAWtRKAQhdp4IQ</t>
  </si>
  <si>
    <t>felix_nmecha</t>
  </si>
  <si>
    <t>Felix Nmecha</t>
  </si>
  <si>
    <t>Football is my passion, Jesus is my foundation
@bvb09 I @nike
The Road Back - Out Now</t>
  </si>
  <si>
    <t>https://youtube.com/@felix_nmecha?si=luNhMNIg6R79QWMj</t>
  </si>
  <si>
    <t>l.nmecha_</t>
  </si>
  <si>
    <t>Lukas Okechukwu Nmecha</t>
  </si>
  <si>
    <t>“For God so loved the world, that he gave his only Son, that whoever believes in him should not perish but have eternal life.”
🙏🏾. 🇩🇪 🇳🇬</t>
  </si>
  <si>
    <t>nmemagazine</t>
  </si>
  <si>
    <t>The world’s defining voice in music and pop culture: breaking what’s new and what’s next since 1952. Follow us for news, interviews and more.</t>
  </si>
  <si>
    <t>http://bnd.link/nme</t>
  </si>
  <si>
    <t>thenamenest</t>
  </si>
  <si>
    <t>the name nest® ~ baby names and meanings ~ forever names</t>
  </si>
  <si>
    <t>⌓ Australia’s biggest collection of unique names &amp; original intuitive meanings © since 2018 inspiring forever names
⌓ @thesleepingmeadow
%sales to MSF</t>
  </si>
  <si>
    <t>https://www.thenamenest.com</t>
  </si>
  <si>
    <t>nowthis</t>
  </si>
  <si>
    <t>enjoy the glow</t>
  </si>
  <si>
    <t>https://linktr.ee/nowthismedia</t>
  </si>
  <si>
    <t>nowthisbooze</t>
  </si>
  <si>
    <t>NowThis Booze</t>
  </si>
  <si>
    <t>Upgrade your booze game.</t>
  </si>
  <si>
    <t>http://go.nowth.is/Booze_Facebook</t>
  </si>
  <si>
    <t>nowthisearth</t>
  </si>
  <si>
    <t>NowThis Earth</t>
  </si>
  <si>
    <t>our time to act is now 🌎
follow @nowthisimpact for more</t>
  </si>
  <si>
    <t>https://go.nowth.is/newsletter</t>
  </si>
  <si>
    <t>nowthisher</t>
  </si>
  <si>
    <t>NowThis Her</t>
  </si>
  <si>
    <t>here to fight for your rights 💪 
follow @nowthisimpact for more</t>
  </si>
  <si>
    <t>https://go.nowth.is/voteIG</t>
  </si>
  <si>
    <t>nowthislook</t>
  </si>
  <si>
    <t>지금이룩 (now this look)</t>
  </si>
  <si>
    <t>당신의 일상을 25% 채워주는
 지금 입어야 할 패션, 
[지금이룩]이 알려드립니다!
💙
with
@25percentage_official</t>
  </si>
  <si>
    <t>http://linktr.ee/nowthislook</t>
  </si>
  <si>
    <t>npr</t>
  </si>
  <si>
    <t>News. Arts &amp; Life. Music &amp; more. This is NPR.</t>
  </si>
  <si>
    <t>http://linkin.bio/npr/</t>
  </si>
  <si>
    <t>nprcodeswitch</t>
  </si>
  <si>
    <t>NPR's Code Switch</t>
  </si>
  <si>
    <t>A weekly podcast about race and identity @npr</t>
  </si>
  <si>
    <t>https://linktr.ee/nprcodeswitch</t>
  </si>
  <si>
    <t>nprextra</t>
  </si>
  <si>
    <t>NPR Extra</t>
  </si>
  <si>
    <t>#BTS of @NPR's journalism, people, programming, @nprpodcasts and products. Share your photos with #NPRLife 💫</t>
  </si>
  <si>
    <t>https://www.npr.org/sections/npr-extra/</t>
  </si>
  <si>
    <t>nprlifekit</t>
  </si>
  <si>
    <t>NPR Life Kit</t>
  </si>
  <si>
    <t>Everyone needs a little help being human. Practical advice on money, health, relationships and more from @npr’s how-to podcast 💙🧠☕ 🌱</t>
  </si>
  <si>
    <t>http://linkin.bio/nprlifekit</t>
  </si>
  <si>
    <t>nprmusic</t>
  </si>
  <si>
    <t>NPR Music</t>
  </si>
  <si>
    <t>For the love of music.
📍 Home of the #tinydesk
👉 npr.org/music
🎶  http://n.pr/nprmusicplaylist</t>
  </si>
  <si>
    <t>https://linkin.bio/nprmusic</t>
  </si>
  <si>
    <t>nprpolitics</t>
  </si>
  <si>
    <t>NPR Politics</t>
  </si>
  <si>
    <t>The latest on politics, policy, government and more. This is NPR Politics.</t>
  </si>
  <si>
    <t>https://linkin.bio/nprpolitics</t>
  </si>
  <si>
    <t>irina_numero</t>
  </si>
  <si>
    <t>Нумеролог Ирина Слободина. Обучаю Матрице судьбы</t>
  </si>
  <si>
    <t>▪️помогаю взрослым за 1 консультацию найти призвание
❤️как выбрать своего мужчину и быть любимой
➡️ даю инструменты как вырасти в 💰 
ЗАПИСЬ🔻</t>
  </si>
  <si>
    <t>https://taplink.cc/irina_numero</t>
  </si>
  <si>
    <t>miriinbalhassid_numerology</t>
  </si>
  <si>
    <t>מירי עינבל חסיד</t>
  </si>
  <si>
    <t>נומרולוגית
עוזרת לכם לצאת מהבלבול ולעשות סדר בחיים🗓
מכוונת ומעצימה אתכם לעבר הייעוד הנכון ובזמן המדויק לכם⏱
בעזרת תאריך הלידה והשם🔮
לייעוץ פנו בפרטי↘️</t>
  </si>
  <si>
    <t>numeroberlin</t>
  </si>
  <si>
    <t>NUMÉRO &amp; NUMÉRO HOMME BERLIN</t>
  </si>
  <si>
    <t>FIGHT
—
GET IT. READ IT. LOVE IT.</t>
  </si>
  <si>
    <t>http://numeroberlin.de/</t>
  </si>
  <si>
    <t>numerologia_pro</t>
  </si>
  <si>
    <t>Numerologia | Karma | Dusza | Energia</t>
  </si>
  <si>
    <t>——𝗡𝗨𝗠𝗘𝗥𝗢𝗟𝗢𝗚: +6000 zadowolonych klientów
* Analiza Twojej daty urodzenia: karma, talenty
* Portret, Horoskop, Numerologia Miłosna
↓ 𝗞𝗟𝗜𝗞𝗡𝗜𝗝 w link↓</t>
  </si>
  <si>
    <t>https://linktr.ee/numerologia_pro</t>
  </si>
  <si>
    <t>numeromagazine</t>
  </si>
  <si>
    <t>At the Vanguard of Fashion &amp; Arts
Issue 255 - Audace</t>
  </si>
  <si>
    <t>https://linktr.ee/numeromagazine</t>
  </si>
  <si>
    <t>numero_netherlands</t>
  </si>
  <si>
    <t>Numéro Netherlands</t>
  </si>
  <si>
    <t>Order the new issue on numeronetherlands.com</t>
  </si>
  <si>
    <t>https://linktr.ee/NumeroNetherlands</t>
  </si>
  <si>
    <t>numerotokyo</t>
  </si>
  <si>
    <t>Numéro TOKYO</t>
  </si>
  <si>
    <t>International fashion magazine
Online Store @numerocloset</t>
  </si>
  <si>
    <t>https://numero.jp/</t>
  </si>
  <si>
    <t>sandradieznumerocoaching</t>
  </si>
  <si>
    <t>🕉Sandra Diez |Numero Coaching</t>
  </si>
  <si>
    <t>amor y gratitud 938
📚 Escritora 
🫂Numeróloga Emocional y Felicidad
😊Coach PNL INT Soltar Anclas
🫶Mentora Códigos Agesta
🔢Grabovoi  Resuelve Todo</t>
  </si>
  <si>
    <t>ok_mag</t>
  </si>
  <si>
    <t>OK! Magazine UK</t>
  </si>
  <si>
    <t>Snapchat: okmaguk 
TikTok: @ok_mag
YouTube: OKMagazineTV</t>
  </si>
  <si>
    <t>https://www.ok.co.uk/royal/duchess-kent-dead-aged-92-35855101</t>
  </si>
  <si>
    <t>okmagaustralia</t>
  </si>
  <si>
    <t>OK! Magazine Australia</t>
  </si>
  <si>
    <t>Top celebrity news and the hottest pictures every day! Plus, go BTS on our exclusive shoots, celeb profiles, reviews, blogs...</t>
  </si>
  <si>
    <t>https://linkin.bio/okmagaustralia</t>
  </si>
  <si>
    <t>okmagazine</t>
  </si>
  <si>
    <t>Your go-to source for all things celebrities &amp; pop culture! ☕️ www.okmagazine.com</t>
  </si>
  <si>
    <t>https://oneclick.bio/okmagazine</t>
  </si>
  <si>
    <t>okmagazine_china</t>
  </si>
  <si>
    <t>OK Magazine China</t>
  </si>
  <si>
    <t>The real official Instagram of OK! Magazine China.</t>
  </si>
  <si>
    <t>okmagazine_events</t>
  </si>
  <si>
    <t>OK! EVENTS</t>
  </si>
  <si>
    <t>Самые свежие новости из мира моды, красоты и светской жизни</t>
  </si>
  <si>
    <t>https://www.ok-magazine.ru</t>
  </si>
  <si>
    <t>okmagazineoficial</t>
  </si>
  <si>
    <t>OK! MAGAZINE | Tá Todo mundo Ok! 🧡</t>
  </si>
  <si>
    <t>🔸Ok! Guaporé
🔸Ok! Estação
🔸Ok! Tangará 
🔸Ok! Casa &amp; Utilidades | @okmagazinecasa 
⏰ Confira nossos horários
Mais informações, link abaixo: ⤵️</t>
  </si>
  <si>
    <t>https://linktr.ee/okmagazineoficial</t>
  </si>
  <si>
    <t>okmagazineromania</t>
  </si>
  <si>
    <t>OK! MAGAZINE ROMANIA</t>
  </si>
  <si>
    <t>Okmagazine.ro</t>
  </si>
  <si>
    <t>https://okmagazine.ro</t>
  </si>
  <si>
    <t>okmagazinethailand</t>
  </si>
  <si>
    <t>OK! Magazine Thailand</t>
  </si>
  <si>
    <t>Facebook : OK! Magazine Thailand
Website : www.okmagazine-thai.com</t>
  </si>
  <si>
    <t>https://www.facebook.com/okmagthailand/</t>
  </si>
  <si>
    <t>okmag.gr</t>
  </si>
  <si>
    <t>OK! Magazine Greece</t>
  </si>
  <si>
    <t>https://www.okmag.gr/</t>
  </si>
  <si>
    <t>eduardomanop</t>
  </si>
  <si>
    <t>Eduardo Mano</t>
  </si>
  <si>
    <t>Catholic Church</t>
  </si>
  <si>
    <t>🎙️Podcast: A Bíblia Católica em um ano.
🔗 No link abaixo tem ajuda para tua fé 👇🏼</t>
  </si>
  <si>
    <t>https://bento.me/eduardomanop</t>
  </si>
  <si>
    <t>op_editor443</t>
  </si>
  <si>
    <t>👑🇪 🇩 🇮 🇹 🇴 🇷👑</t>
  </si>
  <si>
    <t>♦️ V͙I͙K͙A͙S͙H͙ P͙A͙T͙E͙L͙ 🍁         ⚜️श्री राधे 🙏 राधे ⚜️
♦️ 𝙿 𝚊 𝚒𝚍 💸𝙿𝚛𝚘𝚖𝚘𝚝𝚒𝚘𝚗🍂
♦️my Target 🎯 100K please 🥺💫</t>
  </si>
  <si>
    <t>op__editor__ak__00___</t>
  </si>
  <si>
    <t>‼️❤️‍🩹Alok💝Kumar 🥰‼️</t>
  </si>
  <si>
    <t>🫣EDITOR ALOK ⚜️
🕶》Apni Marji Ka Malik
❤》Money Talks🎯
💕》Photography💓
💖》One Love 😘 Alok❤
🎉》Buy gifts for me on🎂✌️16 July 🎈😄</t>
  </si>
  <si>
    <t>https://www.youtube.com/@AlokKumar-g5h8m</t>
  </si>
  <si>
    <t>op__editz007</t>
  </si>
  <si>
    <t>Op_Editz007</t>
  </si>
  <si>
    <t>Hello! I Am A Editor Who Uses CaPcut And Alight Motion! (More Info Below)
Daily Shorts 
Daily Community Posts (Polls, Video Suggestions, Updates)</t>
  </si>
  <si>
    <t>https://www.youtube.com/@Op_Editz007</t>
  </si>
  <si>
    <t>opedriinnn</t>
  </si>
  <si>
    <t>Pedrin</t>
  </si>
  <si>
    <t>😂 | comédia, lifestyle e muito mais! 
📲 | tiktok: opedriinn (+1,8M🌽)
▶️ | youtube: opedriinnn (+30K) 
📧 | pedroaragaoh@gmail.com</t>
  </si>
  <si>
    <t>https://beacons.ai/opedriinn</t>
  </si>
  <si>
    <t>opedroke</t>
  </si>
  <si>
    <t>Pedro Neto</t>
  </si>
  <si>
    <t>Contato - ofcpedrinoneto@gmail.com</t>
  </si>
  <si>
    <t>https://open.spotify.com/playlist/3w0kabkzNnj9XUo3orddZM?si=o3ozFOCkTuCcIkaZd26YmA&amp;pi=u-TuikAeJzQ2ev</t>
  </si>
  <si>
    <t>opedzin</t>
  </si>
  <si>
    <t>Pedro Marques</t>
  </si>
  <si>
    <t>Faturei +5 dígitos do absoluto ZERO!!
E te ensino a viver do digital📱
Fale comigo👇🏻</t>
  </si>
  <si>
    <t>https://bio.site/crashnexus</t>
  </si>
  <si>
    <t>salluxe</t>
  </si>
  <si>
    <t>𝕌𝕤.𝕖𝕕 𝕊ℍ.𝕠𝕡💰⃤   𝕤𝕒𝕣𝕚𝕟𝕒</t>
  </si>
  <si>
    <t>⭐️⭐️⭐️⭐️⭐️
▪️ᴍᴏʀᴇ sʜᴏ.ᴘᴘɪɴɢ
▫️ʟᴇss sᴘᴇ.ɴᴅɪɴɢ
@page.defender امنيت🔒
@outlet.salluxe 
‎ارتبا.ط با ما داير.كت 📥
‎لينك واتس اپ 👇🏻</t>
  </si>
  <si>
    <t>correct.opinions</t>
  </si>
  <si>
    <t>New episode every Wednesday!
Check our our mini-pod @tracytalkspodcast</t>
  </si>
  <si>
    <t>http://linktr.ee/correctopinions</t>
  </si>
  <si>
    <t>diariopinionec</t>
  </si>
  <si>
    <t>Diario Opinión.</t>
  </si>
  <si>
    <t>Diario Moderno y Profesional
Noticias de El Oro, el país y el mundo, con información veraz y oportuna.
Síguenos en Facebook y Twitter @diariopinion</t>
  </si>
  <si>
    <t>http://www.diariopinion.com</t>
  </si>
  <si>
    <t>laopinionla</t>
  </si>
  <si>
    <t>La Opinión</t>
  </si>
  <si>
    <t>🏆 El diario en español más leído de Estados Unidos con las noticias locales y nacionales que afectan a los hispanos en este país.</t>
  </si>
  <si>
    <t>nytopinion</t>
  </si>
  <si>
    <t>New York Times Opinion</t>
  </si>
  <si>
    <t>We amplify voices on the issues that matter to you. 
Read these columns, essays and editorials via the link in bio. ⬇️</t>
  </si>
  <si>
    <t>http://nytimes.com/opinion-instagram</t>
  </si>
  <si>
    <t>opinion.al</t>
  </si>
  <si>
    <t>OPINION TV SHOW</t>
  </si>
  <si>
    <t>I pari emision politik ne Shqiperi, qe prej 31 gushtit 1997 nga gazetari @blendifevziu #opiniontvshow</t>
  </si>
  <si>
    <t>http://www.opinion.al/</t>
  </si>
  <si>
    <t>opinion.frontal</t>
  </si>
  <si>
    <t>Opinión Frontal</t>
  </si>
  <si>
    <t>#OpiniónFrontal, noticias que van de frente 🤳</t>
  </si>
  <si>
    <t>https://opinionfrontal.com/</t>
  </si>
  <si>
    <t>hedonism_home_outlet</t>
  </si>
  <si>
    <t>Hedonism Home Outlet</t>
  </si>
  <si>
    <t>Nowe markowe meble, dodatki i dekoracje do domu w niespotykanie niskich cenach! 🔥
Dodaj się do Grupy lub odwiedź sklep i sprawdź naszą aktualną ofertę</t>
  </si>
  <si>
    <t>http://www.facebook.com/groups/hedonismhomeoutlet/</t>
  </si>
  <si>
    <t>outlet_de_99</t>
  </si>
  <si>
    <t>👽🇲🇽 OUTLET DE 99 🇲🇽👽</t>
  </si>
  <si>
    <t>•Números de atención:
📲+52 33 1169 9159 
📲+52 33 1773 5112
GDL, MX.</t>
  </si>
  <si>
    <t>https://www.facebook.com/Ode99</t>
  </si>
  <si>
    <t>outlet_marechal</t>
  </si>
  <si>
    <t>Outlet Marechal</t>
  </si>
  <si>
    <t>👕Outlet De Roupas Masculinas  
⚠️Promoção Peruana R$60,00
📍Rua Marechal Deodoro 394
📦Frete Fixo R$15,00 Estado de São Paulo</t>
  </si>
  <si>
    <t>https://chat.whatsapp.com/DLZzfWf1CgDL6utEED0jxZ</t>
  </si>
  <si>
    <t>outlet_meblowy_monrol</t>
  </si>
  <si>
    <t>Outlet Meblowy Monrol</t>
  </si>
  <si>
    <t>Meble 🏠 Oświetlenie 🏠 Dodatki
Odkryj ekskluzywne meble i dodatki w niezwykle przystępnych cenach ✨
Zapraszamy do zakupów 🛒</t>
  </si>
  <si>
    <t>https://outlet-meblowy-24.pl/</t>
  </si>
  <si>
    <t>outletnetwork</t>
  </si>
  <si>
    <t>OUTLET NETWORK</t>
  </si>
  <si>
    <t>Unifying creativity and inspiring change
Partnerships@outletnetwork.ca</t>
  </si>
  <si>
    <t>https://youtu.be/3VkR9tOmMJ8?si=0oe6UZBt4DI4Mfca</t>
  </si>
  <si>
    <t>outlet__ua</t>
  </si>
  <si>
    <t>Outlet__ua</t>
  </si>
  <si>
    <t>❗️❗️❗️ТОЛЬКО ОРИГИНАЛ❗️❗️❗️
 КУПИТЬ / ПРОДАТЬ 👞👟💼👓👝🕶</t>
  </si>
  <si>
    <t>sauvage.outlet</t>
  </si>
  <si>
    <t>SAUVAGE VINTAGE | OUTLET STORE</t>
  </si>
  <si>
    <t>Мультибрендовое пространство с винтажными коллекциями люксовых брендов!
SALE -50%
Доставка по всему миру! 🌎</t>
  </si>
  <si>
    <t>https://taplink.cc/sauvageoutlet?from=qr</t>
  </si>
  <si>
    <t>tbilisi_outlet_village</t>
  </si>
  <si>
    <t>Tbilisi Outlet Village</t>
  </si>
  <si>
    <t>The First Outlet in the Caucasus 🏔
შოპინგის ახალი განზომილება
Coming soon...</t>
  </si>
  <si>
    <t>https://www.tbilisioutletvillage.com/</t>
  </si>
  <si>
    <t>thatoutletgirl</t>
  </si>
  <si>
    <t>Kelli Veliz</t>
  </si>
  <si>
    <t>✨ OUTLETS ✨ RICH-ISH L👀KS ✨ LUXE HACKS 
🤭 Secrets + deals they’ll never post
💸 Helping you cheat full price since 2021
📍Outlets by state + online ⬇️</t>
  </si>
  <si>
    <t>https://amzlink.to/az02GvwcpGuam</t>
  </si>
  <si>
    <t>ote</t>
  </si>
  <si>
    <t>Overtime Elite</t>
  </si>
  <si>
    <t>🤞 @overtime’s basketball league
@yngdreamerz Champions 🏆
SEASON 3 OF ONE SHOT IS LIVE 🚨⬇️</t>
  </si>
  <si>
    <t>https://watch.amazon.com/detail?gti=amzn1.dv.gti.77da0b53-47c3-41ed-8f84-a79ac04f823a&amp;territory=US&amp;ref_=share_ios_season&amp;r=web</t>
  </si>
  <si>
    <t>overtime</t>
  </si>
  <si>
    <t>Love y’all 🤞
SOCCER EXPERT VS BASKETBALL FANS 🍿⬇️
NEW SZN OF THE NEUMANN SHOW 🎥⬇️</t>
  </si>
  <si>
    <t>https://youtu.be/eRfb0e3nFRE</t>
  </si>
  <si>
    <t>overtime_2x</t>
  </si>
  <si>
    <t>Deuntay Williams</t>
  </si>
  <si>
    <t>https://linktr.ee/icegang</t>
  </si>
  <si>
    <t>overtimeboxing</t>
  </si>
  <si>
    <t>OTX</t>
  </si>
  <si>
    <t>Boxing Studio</t>
  </si>
  <si>
    <t>The official IG of @Overtime’s boxing promotion (OTX)
🍿 Next show: 9/20 in HOUSTON 
🎥 @breyongtimegorham vs @themagicalamo 
OTX 16 TIX ⬇️</t>
  </si>
  <si>
    <t>https://www.ticketmaster.com/event/3A00630CD2123CCF</t>
  </si>
  <si>
    <t>overtimeeur</t>
  </si>
  <si>
    <t>Overtime Europe</t>
  </si>
  <si>
    <t>🏀 Featuring the best European talent, powered by @overtime 
📥 Send us your best plays!</t>
  </si>
  <si>
    <t>overtimefc</t>
  </si>
  <si>
    <t>Overtime FC</t>
  </si>
  <si>
    <t>⚽️ Overtime FC
🔥 Powered by @overtime</t>
  </si>
  <si>
    <t>https://shop.itsovertime.com/</t>
  </si>
  <si>
    <t>overtimefr</t>
  </si>
  <si>
    <t>Overtime France</t>
  </si>
  <si>
    <t>🏀 Envoyez vos meilleurs actions en DM
🇫🇷 Filiale officielle @overtime @overtimeeur @overtimeoff 
24H AVEC DIAMANT BLAZI À OTE ↙️</t>
  </si>
  <si>
    <t>https://youtu.be/iNxeXzlekl4</t>
  </si>
  <si>
    <t>overtimegg</t>
  </si>
  <si>
    <t>Overtime Gaming</t>
  </si>
  <si>
    <t>🎮 the gamer @overtime 
📧 gaming@itsovertime.com</t>
  </si>
  <si>
    <t>https://youtu.be/L1Re9YhQXmw</t>
  </si>
  <si>
    <t>overtimeind</t>
  </si>
  <si>
    <t>Overtime India</t>
  </si>
  <si>
    <t>BEST SPORTS PAGE IN INDIA 🇮🇳 
Powered by @overtime
Youtube ⬇️</t>
  </si>
  <si>
    <t>https://youtu.be/8tQKatXJ0Kk</t>
  </si>
  <si>
    <t>overtimemegan</t>
  </si>
  <si>
    <t>Megan Patricia</t>
  </si>
  <si>
    <t>Emmy Award Winner @overtime NY
Email for Business Inquiries Below</t>
  </si>
  <si>
    <t>https://www.tiktok.com/@overtimemegan?_t=8W369zUYCy6&amp;_r=1</t>
  </si>
  <si>
    <t>overtimesammy</t>
  </si>
  <si>
    <t>sammy</t>
  </si>
  <si>
    <t>(everything created by me)
@akorn_kidz</t>
  </si>
  <si>
    <t>https://m.twitch.tv/overtimesammy/</t>
  </si>
  <si>
    <t>overtimeselect</t>
  </si>
  <si>
    <t>Overtime Select</t>
  </si>
  <si>
    <t>💎 Changing the game
💫 The best women’s hoopers in the world
💜 Powered by @overtime 
TAP INTO THE GAMES NOW ⬇️</t>
  </si>
  <si>
    <t>https://www.overtimeselect.com/</t>
  </si>
  <si>
    <t>overtimetennis</t>
  </si>
  <si>
    <t>Overtime Tennis</t>
  </si>
  <si>
    <t>🎾The future of tennis
🔋Powered by @overtime 
📸DM me your best clips only😤
Watch the 1 on 1 here 
⬇️⬇️⬇️⬇️⬇️</t>
  </si>
  <si>
    <t>https://youtu.be/XNTLo7jEuc4</t>
  </si>
  <si>
    <t>overtimewbb</t>
  </si>
  <si>
    <t>Overtime WBB</t>
  </si>
  <si>
    <t>🔥 Overtime WBB
🏀 DM me your best clips 🤪
🐐 Powered by @overtime</t>
  </si>
  <si>
    <t>https://youtu.be/H7kJPLOeEGw?feature=shared</t>
  </si>
  <si>
    <t>itsme.ozgei</t>
  </si>
  <si>
    <t>ozy🪭</t>
  </si>
  <si>
    <t>tedu🎓
👩🏻‍💻 sosyal medya yönetimi 
🪭 influencer marketing &amp; pr
📹@theonecreative.tr 
⭐️ dijital günlüğüme hoş geldin! ⭐️</t>
  </si>
  <si>
    <t>https://youtube.com/channel/UC24IxBVa5NtAl5NdOYY_Wxw</t>
  </si>
  <si>
    <t>ohbyozy</t>
  </si>
  <si>
    <t>Oh By Ozy™</t>
  </si>
  <si>
    <t>Jewelry Wholesaler</t>
  </si>
  <si>
    <t>©️ SINCE 2021
🛍️ 3L Happy Customers 
🌎 Shipping WORLDWIDE 
📦 OPENING VIDEO IS A MUST!
⭐ Brand Founder @_diyakrishna_
👇🏻Place order</t>
  </si>
  <si>
    <t>http://www.ohbyozy.com</t>
  </si>
  <si>
    <t>ozy</t>
  </si>
  <si>
    <t>OZY</t>
  </si>
  <si>
    <t>Modern Media for the Endlessly Curious #LiveCuriously
TV • Podcasts • News • Events
Click the link for the latest 👇</t>
  </si>
  <si>
    <t>https://linktr.ee/ozymedia</t>
  </si>
  <si>
    <t>ozyahyaa</t>
  </si>
  <si>
    <t>Official</t>
  </si>
  <si>
    <t>All glory to god 🇮🇶</t>
  </si>
  <si>
    <t>ozy_worldy</t>
  </si>
  <si>
    <t>Contemporary artist
Based in Italy</t>
  </si>
  <si>
    <t>https://www.ozyworldy.com</t>
  </si>
  <si>
    <t>masterpiecepbs</t>
  </si>
  <si>
    <t>MASTERPIECE | PBS</t>
  </si>
  <si>
    <t>We are British drama.</t>
  </si>
  <si>
    <t>https://sprout.link/masterpiecepbs</t>
  </si>
  <si>
    <t>newshour</t>
  </si>
  <si>
    <t>PBS News</t>
  </si>
  <si>
    <t>Tap the link in our bio to support our work ⬇️</t>
  </si>
  <si>
    <t>https://to.pbs.org/4fXfL6j</t>
  </si>
  <si>
    <t>p_bashandeh</t>
  </si>
  <si>
    <t>فروش ترشی وشتام قصرقند/آموزش آشپزی/روزمرگی</t>
  </si>
  <si>
    <t>😊دختری از شهرانبه و انباگ قصرقند
فروش انواع ترشی خانگی وشتام قصر رو دارم بابهترین کیفیت 
ودر کنارش آموزش آشپزی هم براتون میزارم🤤
#ماشاءالله</t>
  </si>
  <si>
    <t>pbatour</t>
  </si>
  <si>
    <t>PBA TOUR</t>
  </si>
  <si>
    <t>Official Instagram account of the PBA Tour</t>
  </si>
  <si>
    <t>https://sprout.link/pbatour</t>
  </si>
  <si>
    <t>pbs</t>
  </si>
  <si>
    <t>Thank you to our viewers. Like YOU. 💙</t>
  </si>
  <si>
    <t>https://linktr.ee/pbsofficial</t>
  </si>
  <si>
    <t>pbsds</t>
  </si>
  <si>
    <t>PBS Digital Studios</t>
  </si>
  <si>
    <t>A network of fresh and thought-provoking shows from @PBS. Available anywhere you watch.</t>
  </si>
  <si>
    <t>https://linktr.ee/pbsdigitalstudios</t>
  </si>
  <si>
    <t>pbskids</t>
  </si>
  <si>
    <t>PBS KIDS</t>
  </si>
  <si>
    <t>The official Instagram account for PBS KIDS.</t>
  </si>
  <si>
    <t>http://sprout.link/pbskids/</t>
  </si>
  <si>
    <t>pbssocal</t>
  </si>
  <si>
    <t>PBS SoCal</t>
  </si>
  <si>
    <t>Your home for PBS in Greater LA and Southern California.</t>
  </si>
  <si>
    <t>http://sprout.link/pbssocal/</t>
  </si>
  <si>
    <t>pbsuplementos</t>
  </si>
  <si>
    <t>Paraiba Suplementos</t>
  </si>
  <si>
    <t>💊 Suplementos • Saúde • Performance
👕 Moda fitness: @lojapbfitness
📍 JP | Natal | Recife | CG: @pbsuplementoscg
🔥 #OSMELHORESPRECOS
📲 Pedidos👇</t>
  </si>
  <si>
    <t>https://linktr.ee/pbsuplementos</t>
  </si>
  <si>
    <t>pbsuplementoscg</t>
  </si>
  <si>
    <t>Paraiba Suplementos - CAMPINA GRANDE</t>
  </si>
  <si>
    <t>Coach</t>
  </si>
  <si>
    <t>JP - @pbsuplementos 
Campina Grande ⤵️
📍Loja Centro
Rua Des. trindade,174 Campina Plaza 
📲 Informações</t>
  </si>
  <si>
    <t>publicbathroomstilllife</t>
  </si>
  <si>
    <t>PBSL</t>
  </si>
  <si>
    <t>Sharing unique public bathroom still life art from around the world. SUBMISSIONS WELCOME - NO AI CREATED IMAGES publicbathroomstilllife@gmail.com ✌🏼❤️</t>
  </si>
  <si>
    <t>pcmag</t>
  </si>
  <si>
    <t>More than 40 years of expert #technology know-how and thousands of reviews makes us pretty great at this</t>
  </si>
  <si>
    <t>https://linkin.bio/pcmagdotcom</t>
  </si>
  <si>
    <t>business_people_</t>
  </si>
  <si>
    <t>БИЗНЕС БЛОГ | МОТИВАЦИЯ | НОВОСТИ</t>
  </si>
  <si>
    <t>№1 Блог о Бизнесе и Мотивации 
Наша цель - помочь вам стать лучшей версией себя.
⠀
Читайте дневник по ссылке 👇</t>
  </si>
  <si>
    <t>https://t.me/dnevnik_begleca/11</t>
  </si>
  <si>
    <t>drunkpeopledoingthings</t>
  </si>
  <si>
    <t>Drunk People Doing Things</t>
  </si>
  <si>
    <t>Shop Merch🍻 ⬇️</t>
  </si>
  <si>
    <t>http://shitheadsteve.com</t>
  </si>
  <si>
    <t>freepeople</t>
  </si>
  <si>
    <t>Free People</t>
  </si>
  <si>
    <t>For the Creative Spirit.
Join us. #ThisIsFreePeople 
Shop here ⤵︎</t>
  </si>
  <si>
    <t>https://likeshop.me/freepeople</t>
  </si>
  <si>
    <t>management</t>
  </si>
  <si>
    <t>TELL YOUR PEOPLE ℗</t>
  </si>
  <si>
    <t>@tellyourpeople</t>
  </si>
  <si>
    <t>http://tellyourpeople.com/</t>
  </si>
  <si>
    <t>people.rishon</t>
  </si>
  <si>
    <t>פיפל ראשלצ"</t>
  </si>
  <si>
    <t>הטירוף לא רק בסופ״ש! הוא משני עד מוצ״ש 🔥
📍סחרוב 22, ראשון לציון
להזמנת שולחן אונליין או סגירת אירוע 👇</t>
  </si>
  <si>
    <t>peoplevspranks</t>
  </si>
  <si>
    <t>People Vs Pranks</t>
  </si>
  <si>
    <t>Dedicated to pranksters getting 
what they deserve ‼️
FYI I am not the one in the videos
DM for credit/removal 📩</t>
  </si>
  <si>
    <t>psy.people</t>
  </si>
  <si>
    <t>Психология отношений♥️</t>
  </si>
  <si>
    <t>По вопросам сотрудничества👇</t>
  </si>
  <si>
    <t>https://t.me/smile_media</t>
  </si>
  <si>
    <t>chola_a_periodical</t>
  </si>
  <si>
    <t>Marcia Salmeron</t>
  </si>
  <si>
    <t>I am a First Gen. LATINA Grad ( MBA) ; Currently working on a book ( CHOLA ) history. Looking for fliks between 
( 1900’s - 1990’s)</t>
  </si>
  <si>
    <t>http://cholaperiodical.com</t>
  </si>
  <si>
    <t>periodical_powers</t>
  </si>
  <si>
    <t>Daywear that feels like sleepwear.</t>
  </si>
  <si>
    <t>Conscious by design, comfortable by nature.
Sustainable, small-batch, 100% cotton. London-based📍</t>
  </si>
  <si>
    <t>https://periodicalpowers.com</t>
  </si>
  <si>
    <t>pitchfork</t>
  </si>
  <si>
    <t>The most trusted voice in music
〰️
↓ Click here to read more about any post</t>
  </si>
  <si>
    <t>https://likeshop.me/pitchfork</t>
  </si>
  <si>
    <t>pitchforkcdmx</t>
  </si>
  <si>
    <t>PitchforkCDMX</t>
  </si>
  <si>
    <t>Espacio de intercambio dedicado a la evolución de la escena musical a través de propuestas vanguarditas.
¡Nos vemos en el 2026!</t>
  </si>
  <si>
    <t>pitchforkfest</t>
  </si>
  <si>
    <t>Pitchfork Music Festival</t>
  </si>
  <si>
    <t>⭐ Union Park, Chicago ⭐
#P4kFest</t>
  </si>
  <si>
    <t>https://linktr.ee/pitchforkfest</t>
  </si>
  <si>
    <t>pitchforkparis</t>
  </si>
  <si>
    <t>Pitchfork Music Festival Paris</t>
  </si>
  <si>
    <t>🌕 3 — 9 Novembre 2025 ✨ 
#p4kparis</t>
  </si>
  <si>
    <t>https://linktr.ee/pitchforkfestivalparis25</t>
  </si>
  <si>
    <t>pitchforkranch</t>
  </si>
  <si>
    <t>Pitchfork Ranch, LLC</t>
  </si>
  <si>
    <t>Agriculture</t>
  </si>
  <si>
    <t>Striving to be responsible stewards of the land while raising quality beef in Meeteetse, Wyoming. 
Not affiliated with any other Pitchfork Ranch.</t>
  </si>
  <si>
    <t>http://www.pitchforkranch.com/</t>
  </si>
  <si>
    <t>pitchforkz</t>
  </si>
  <si>
    <t>Pitch/fork</t>
  </si>
  <si>
    <t>di base musica+calcio
profilo di riserva @pitchforkzz
Spotify 👇</t>
  </si>
  <si>
    <t>https://open.spotify.com/user/1166995924?si=BDEsZ5oGT2OB70_8YDsyPw&amp;utm_source=copy-link</t>
  </si>
  <si>
    <t>ask_nebula</t>
  </si>
  <si>
    <t>Nebula: Spiritual Guidance Platform</t>
  </si>
  <si>
    <t>Nebula is your guide to clarity in life &amp; relationships through personalized spiritual insights 💜
Ask Nebula. Get сlarity
Try on web and app 👇</t>
  </si>
  <si>
    <t>https://nebulaapp.onelink.me/AaEA/i9rbmn6m</t>
  </si>
  <si>
    <t>eyesplatform</t>
  </si>
  <si>
    <t>EYES PLATFORM</t>
  </si>
  <si>
    <t>Развивайте личный бренд и изучайте маркетинговые стратегии от экспертов с международным опытом. Подробнее на сайте ↓</t>
  </si>
  <si>
    <t>https://media.eyesplatform.com/sale40</t>
  </si>
  <si>
    <t>feinstore_id</t>
  </si>
  <si>
    <t>Platform Rekber / Midman &amp; Top Up Game</t>
  </si>
  <si>
    <t>𝗝𝗮𝘀𝗮 𝗥𝗲𝗸𝗯𝗲𝗿 𝗧𝗲𝗿𝗯𝗮𝗶𝗸 𝗗𝗲𝗻𝗴𝗮𝗻 𝗥𝗶𝗯𝘂𝗮𝗻 𝗧𝗲𝘀𝘁𝗶 𝗥𝗲𝗸𝗯𝗲𝗿 𝗬𝗴 𝗦𝘂𝗸𝘀𝗲𝘀
☎️ WA : 0859-5914-4876
🎖️ Trusted By Pro Player Tim E-Sport
⚡️ Proes Kilat
⏰ Open 24 Jam</t>
  </si>
  <si>
    <t>https://maps.app.goo.gl/Yf6o7qVFsAAwmP4S9?g_st=com.google.maps.preview.copy</t>
  </si>
  <si>
    <t>fshnistaapp</t>
  </si>
  <si>
    <t>FSHNiSTA | AI-Powered Fashion Tech Platform</t>
  </si>
  <si>
    <t>The Next-Gen Fashion-Tech Network Powered by AI. 👽💜🛍️</t>
  </si>
  <si>
    <t>http://fshnista.com</t>
  </si>
  <si>
    <t>ibrahimxplatform</t>
  </si>
  <si>
    <t>IbrahimXPlatform</t>
  </si>
  <si>
    <t>🕋| Deen over dunya
🧠| Follow If You’re Seeking Truth 
🚀| Not IbrahimX himself
👇| Join The First HALAL Social Media App</t>
  </si>
  <si>
    <t>https://www.dawahgram.com/signup/nGxMD1</t>
  </si>
  <si>
    <t>platformart_com</t>
  </si>
  <si>
    <t>PLATFORM:</t>
  </si>
  <si>
    <t>Art Gallery</t>
  </si>
  <si>
    <t>Artworks and objects from the most exciting names in contemporary art.</t>
  </si>
  <si>
    <t>http://platformart.com</t>
  </si>
  <si>
    <t>platformbeerco</t>
  </si>
  <si>
    <t>Platform Beer Co.</t>
  </si>
  <si>
    <t>Brewery</t>
  </si>
  <si>
    <t>#TrySomethingNew
21+ &amp; won’t share with people under 21.
Enjoy Responsibly.</t>
  </si>
  <si>
    <t>https://platformbeer.co/</t>
  </si>
  <si>
    <t>platform_la</t>
  </si>
  <si>
    <t>A collection of independent retail, restaurants and creative businesses in the heart of LA.</t>
  </si>
  <si>
    <t>https://platformlosangeles.com/</t>
  </si>
  <si>
    <t>shapeplatform</t>
  </si>
  <si>
    <t>SHAPE platform</t>
  </si>
  <si>
    <t>Sound, Heterogeneous Art and Performance in Europe. Funded by the European Union and Pro Helvetia</t>
  </si>
  <si>
    <t>https://linktr.ee/shapeplatform</t>
  </si>
  <si>
    <t>surfstore.idn</t>
  </si>
  <si>
    <t>Other Business</t>
  </si>
  <si>
    <t>Layanan jasa Rekber Terbaik No1 Asia
⚡️Fast and Safe Ordering Is Surfstore
🎖️Verif By Proplayer
☎️Contact +6282174158417
☎️ +62895393713335
⏰24 Hours</t>
  </si>
  <si>
    <t>theplatformstudios</t>
  </si>
  <si>
    <t>PLATFORM</t>
  </si>
  <si>
    <t>Best Boutique Fitness Studio | 4 Times Award Winner 
📍DIFC
📍Marina, 
📍Dubai Hills
📍Reem Mall - Abu Dhabi
📍PLATFORM Grande - Coming soon</t>
  </si>
  <si>
    <t>https://linktr.ee/theplatformstudios</t>
  </si>
  <si>
    <t>disculpenlosovarios</t>
  </si>
  <si>
    <t>Disculpen Los Ovarios Podcast</t>
  </si>
  <si>
    <t>Donde decimos lo que nos sale del c*ño. 
Por @lamujeralborde 
Checanos en @spotify y @youtube
El viaje hacia el bienestar con @marioladelamora 👇🏼</t>
  </si>
  <si>
    <t>https://open.spotify.com/episode/2QYkGGJa8ZcDVw1UhdVDKL?si=7KQDdVsxQju9iwJsxGoLuw</t>
  </si>
  <si>
    <t>dshands</t>
  </si>
  <si>
    <t>David Shands 🎙 Podcast King</t>
  </si>
  <si>
    <t>#1 Biz Coach for Future Successes 🚀 Helping Hustlers Turn Dreams into Reality 💡 | Your Partner in Progress 🌟
Host of @hotseatsp &amp; @socialproofpodcast</t>
  </si>
  <si>
    <t>http://themorningmeetup.com</t>
  </si>
  <si>
    <t>klara.leben</t>
  </si>
  <si>
    <t>inbedwithklara • inbed podcast • spletni studio vadb</t>
  </si>
  <si>
    <t>@inbedstudio tvoj prostor telesne in mentalne nege🧘🏻‍♀️
Inbed podcast🎙️
🏡: @homewithklara</t>
  </si>
  <si>
    <t>https://linktr.ee/inbedstudio</t>
  </si>
  <si>
    <t>lasalucines_podcast</t>
  </si>
  <si>
    <t>Las Alucines</t>
  </si>
  <si>
    <t>Un podcast para puro alucín con @lupitavillalobossbeltran y
@kassquezada
www.lasalucines.com</t>
  </si>
  <si>
    <t>http://www.lasalucines.com</t>
  </si>
  <si>
    <t>pagodecast_</t>
  </si>
  <si>
    <t>PagodeCast Podcast</t>
  </si>
  <si>
    <t>podcast</t>
  </si>
  <si>
    <t>Everything about Podcasts!</t>
  </si>
  <si>
    <t>podcastandchillnetwork</t>
  </si>
  <si>
    <t>Podcast and Chill with MacG</t>
  </si>
  <si>
    <t>🇿🇦 
🏆 |Africa's number one Podcast
🎥 |Documenting Black Excellence
🔌 |Interviewing Public Figures in 🌏 
📈 |Current Events &amp; Entertainment News</t>
  </si>
  <si>
    <t>https://linktr.ee/podcastwithmacg</t>
  </si>
  <si>
    <t>podcastotv</t>
  </si>
  <si>
    <t>PodcastoTV™</t>
  </si>
  <si>
    <t>History, Presidents &amp; Finance
Follow for Insights 'they' won't tell you.</t>
  </si>
  <si>
    <t>poddelas</t>
  </si>
  <si>
    <t>POD DELAS - PODCAST</t>
  </si>
  <si>
    <t>Vídeo novo todos os dias às 19h.
Publi: poddelas@yziassessoria.com.br
⭣</t>
  </si>
  <si>
    <t>https://linktr.ee/poddelas</t>
  </si>
  <si>
    <t>seregalandudas</t>
  </si>
  <si>
    <t>Se Regalan Dudas Podcast</t>
  </si>
  <si>
    <t>💖 Tenemos tantas dudas que te las queremos regalar
🎧 Un podcast de @letysahagun &amp; @ashleyfrangie</t>
  </si>
  <si>
    <t>https://www.ticketmaster.com/se-regalan-dudas-tickets/artist/2854501?list_view=1%2523shows%253D</t>
  </si>
  <si>
    <t>shxtsngigs</t>
  </si>
  <si>
    <t>ShxtsNGigs Podcast</t>
  </si>
  <si>
    <t>Hosted By @jamesduncan &amp; @fuhad_
We Laugh at Each Others Jokes ❤️
New Eps on Monday / Bonus Eps on Patreon
@shxtsngigs_reacts 
@sngproductions</t>
  </si>
  <si>
    <t>http://shxtsngigs.komi.io/</t>
  </si>
  <si>
    <t>talkvillepodcast</t>
  </si>
  <si>
    <t>Talk Ville Podcast</t>
  </si>
  <si>
    <t>Join costars Tom Welling and Michael Rosenbaum as they dissect a new episode every week from one of the greatest shows of all time, Smallville.</t>
  </si>
  <si>
    <t>https://www.talkvillepodcast.com/show</t>
  </si>
  <si>
    <t>themelrobbinspodcast</t>
  </si>
  <si>
    <t>The Mel Robbins Podcast</t>
  </si>
  <si>
    <t>Hosted by @melrobbins
Top ranking &amp; award winning podcast💥
Listen now!👇</t>
  </si>
  <si>
    <t>http://spotify.link/U91ntjdbQDb</t>
  </si>
  <si>
    <t>thepivot</t>
  </si>
  <si>
    <t>Pivot Podcast</t>
  </si>
  <si>
    <t>The Pivot Podcast
Accept, Adjust &amp; Move Forward
Emmy Nominated: Outstanding Hosted Edited Series</t>
  </si>
  <si>
    <t>https://linktr.ee/thepivot</t>
  </si>
  <si>
    <t>cathy.heller</t>
  </si>
  <si>
    <t>Cathy Heller •Coach• Podcaster• Author</t>
  </si>
  <si>
    <t>Wealth is spiritual. Shift your abundance.
Kabbalah • Master Manifesting• Business Coach
🎙 The Cathy Heller Pod • 50M+ downloads
📖 Abundant Ever After</t>
  </si>
  <si>
    <t>http://linktr.ee/cathyheller</t>
  </si>
  <si>
    <t>healthybyheatherbrown</t>
  </si>
  <si>
    <t>Heather | Healthy Amazon | Health Coach, Speaker &amp; Podcaster</t>
  </si>
  <si>
    <t>Helping moms calm the chaos w/ my weekly reset for a healthy mind+body+spirit
▪️Sunday Reset Founder
▪️Christian Health Coach
▪️Top 1% Podcast
📍BHAM</t>
  </si>
  <si>
    <t>https://www.healthybyheatherbrown.com</t>
  </si>
  <si>
    <t>impriyasomani</t>
  </si>
  <si>
    <t>Priya Somani | Podcaster</t>
  </si>
  <si>
    <t>🎙️ Host of Breaking Barriers with Priya Somani
🧠 Mental Health | Mindset | Wellness
🌍 Exploring life beyond limits
👇 New episodes every Wed, 3PM</t>
  </si>
  <si>
    <t>https://www.youtube.com/channel/UCk4J-oEylPxeNvRpRhmMh8w</t>
  </si>
  <si>
    <t>jumiagency</t>
  </si>
  <si>
    <t>Miriam Zaga | PODCASTER |</t>
  </si>
  <si>
    <t>💭 Conversaciones profundas y crecimiento real
✨ Sanando, pero con humor y amigos
⚡ Navegando el caos de la vida
🪞 Tu gente = Tu espejo</t>
  </si>
  <si>
    <t>laurenmhouse</t>
  </si>
  <si>
    <t>Lauren House |  Scottsdale &amp; Miami Realtor | Podcaster</t>
  </si>
  <si>
    <t>✨elevating lifestyles, one home at a time
🍭&amp; yes, my last name is house
🤸🏼‍♀️handstands &amp; high vibes
🪩Agents-DM “REAL” to grow with me
@realbrokerage</t>
  </si>
  <si>
    <t>https://linktr.ee/laurenmhouse</t>
  </si>
  <si>
    <t>podcasterix</t>
  </si>
  <si>
    <t>Bank</t>
  </si>
  <si>
    <t>Your favourite Clips, at one place</t>
  </si>
  <si>
    <t>http://tr.ee/podcasterix</t>
  </si>
  <si>
    <t>podcastersingh</t>
  </si>
  <si>
    <t>Podcaster singh🦦</t>
  </si>
  <si>
    <t>Inspiration || Motivation || Life Reality🗿
The legit podcast videos here..!!
Daily masala || daily stuff🔪
Dm us for paid promotions</t>
  </si>
  <si>
    <t>tuamigapsicologaa</t>
  </si>
  <si>
    <t>Andrea | Psicóloga, podcaster y escritora 💌⭐️</t>
  </si>
  <si>
    <t>🎙️Podcast:  "Tu Amiga Psicóloga" 
Autora de:
📕 "Tu Autoestima es un Arte" 
📕 “Me prometí que cambiaría pero sigo igual”
💌  Terapia, recursos,… ⬇️</t>
  </si>
  <si>
    <t>https://linktr.ee/tuamigapsicologaa</t>
  </si>
  <si>
    <t>twinspodcaster</t>
  </si>
  <si>
    <t>TWINS PODCASTER</t>
  </si>
  <si>
    <t>ritikbusiness738@gmail.com</t>
  </si>
  <si>
    <t>viral___podcaster</t>
  </si>
  <si>
    <t>Our Best Podcasts</t>
  </si>
  <si>
    <t>Tarot Reader | Numerologist | Vastu Consultant |
𝐇𝐞𝐥𝐩𝐥𝐢𝐧𝐞 +91 🌈™ 
ᴘʟᴇᴀꜱᴇ ᴛᴀᴋᴇ ᴀᴅᴠɪᴄᴇ ᴏɴᴄᴇwa</t>
  </si>
  <si>
    <t>willowbrookfarmlife</t>
  </si>
  <si>
    <t>Torrie Jarrett | Speaker | Designer | Podcaster</t>
  </si>
  <si>
    <t>Encouraging You✝️
Author-The Longing
Chats In The Greenhouse-Podcast
@wall.blush Designer
Owner of @willowbrook.grounds
Founder @willowbrookministries</t>
  </si>
  <si>
    <t>https://linktr.ee/Torriejarrett</t>
  </si>
  <si>
    <t>politico</t>
  </si>
  <si>
    <t>POLITICO</t>
  </si>
  <si>
    <t>Nobody knows politics &amp; policy like we do. 
@politicomag for thoughtful longreads 📖</t>
  </si>
  <si>
    <t>http://politico.com/instagram</t>
  </si>
  <si>
    <t>politicoeurope</t>
  </si>
  <si>
    <t>POLITICO Europe</t>
  </si>
  <si>
    <t>Politics. Policy. Power.</t>
  </si>
  <si>
    <t>http://www.politico.eu/instagram/</t>
  </si>
  <si>
    <t>politico_joe</t>
  </si>
  <si>
    <t>Politico Joe</t>
  </si>
  <si>
    <t>Political commentary, analysis, and judgement-free answers to your politics questions.  www.groundnews.com/politicojoe</t>
  </si>
  <si>
    <t>https://linktr.ee/politico_joe</t>
  </si>
  <si>
    <t>politicomag</t>
  </si>
  <si>
    <t>POLITICO Magazine</t>
  </si>
  <si>
    <t>Featuring original reporting and ideas about the stories that matter most in Washington and beyond.</t>
  </si>
  <si>
    <t>https://ow.ly/qImw50WKx52</t>
  </si>
  <si>
    <t>politicomx</t>
  </si>
  <si>
    <t>Político MX</t>
  </si>
  <si>
    <t>La política explicada
WhatsApp: https://whatsapp.com/channel/0029Va7NNd9B4hda8ilvXY1k
NL: http://politico.mx/newsletter/
YT: http://bit.ly/3e1gvpL</t>
  </si>
  <si>
    <t>https://www.politico.mx/</t>
  </si>
  <si>
    <t>politicon</t>
  </si>
  <si>
    <t>Politicon</t>
  </si>
  <si>
    <t>🎙️Entertain Democracy! Celebrating 10 years of the biggest stories in politics and culture, amplifying diverse voices &amp; changemakers.</t>
  </si>
  <si>
    <t>https://youtube.com/@politicon</t>
  </si>
  <si>
    <t>pulsopoliticomx_</t>
  </si>
  <si>
    <t>Pulso Político México</t>
  </si>
  <si>
    <t>Politician</t>
  </si>
  <si>
    <t>Nuestra misión es desmantelar la corrupción y desenmascarar el poder con una forma distinta de comunicar: directa, crítica y sin filtros.</t>
  </si>
  <si>
    <t>rankingdospoliticos</t>
  </si>
  <si>
    <t>Ranking dos Políticos</t>
  </si>
  <si>
    <t>Political Organization</t>
  </si>
  <si>
    <t>📍 A principal referência de avaliação do Congresso Nacional. Influenciamos suas decisões para acelerar o avanço do Brasil. Mais em politicos.org.br.</t>
  </si>
  <si>
    <t>http://linktr.ee/rankingdospoliticos</t>
  </si>
  <si>
    <t>poly_gon15</t>
  </si>
  <si>
    <t>𝓟𝐨𝐋𝐲gØℕ_❶❺</t>
  </si>
  <si>
    <t>Gamer</t>
  </si>
  <si>
    <t>I̳t̳'̳s̳ ̳m̳e̳ ̳I̳'̳m̳ ̳t̳h̳e̳ ̳m̳o̳m̳e̳n̳t̳
קŞη: Polyester-1
ᴵ ᵈᵒⁿ'ᵗ ᵇᵘʳⁿ ᴮʳⁱᵈᵍᵉˢ ᴵ ᵒʷⁿ ᵗʰᵉᵐ
@crew.xiii
@trinitys_memes</t>
  </si>
  <si>
    <t>polygondotcom</t>
  </si>
  <si>
    <t>Covering video games, entertainment, and the culture around them.</t>
  </si>
  <si>
    <t>https://smartlink.bio/polygondotcom</t>
  </si>
  <si>
    <t>a_portal_</t>
  </si>
  <si>
    <t>Alex Portal</t>
  </si>
  <si>
    <t>🏊🏼‍♂️ Para-Natation
Jeux Paralympiques 🥈🥈🥈🥈🥉🥉
Monde 🥇🥇🥇🥇🥈🥈🥈🥈🥉🥉
Europe 🥈🥈🥈🥈🥈🥈🥉🥉🥉🥉🥉
📍Saint Germain en Laye - CNO
📚 ESILV
✍🏼 : gm.sportagency@gmail.com</t>
  </si>
  <si>
    <t>dmportaloficial</t>
  </si>
  <si>
    <t>Portal DM</t>
  </si>
  <si>
    <t>••• O SEU INFORMATIVO DIGITAL •••</t>
  </si>
  <si>
    <t>portal6noticiasgoiania</t>
  </si>
  <si>
    <t>Portal 6 Goiânia</t>
  </si>
  <si>
    <t>💬 De Goiânia para o Brasil! 
Quer se manter sempre bem atualizado? Nos acompanhe também pelas nossas outras redes.
.
👇Acesse:</t>
  </si>
  <si>
    <t>https://linktr.ee/portal6</t>
  </si>
  <si>
    <t>portaldafama</t>
  </si>
  <si>
    <t>Portal da Fama ™</t>
  </si>
  <si>
    <t>Tudo sobre TV, séries, filmes, novelas e 
vida dos famosos 💥
📧portaldafama@deubuzz.com</t>
  </si>
  <si>
    <t>portalleodiasoficial</t>
  </si>
  <si>
    <t>Portal Leo Dias</t>
  </si>
  <si>
    <t>Tudo sobre o mundo dos famosos você encontra aqui no Portal Leo Dias  @leodias</t>
  </si>
  <si>
    <t>https://portalleodias.com</t>
  </si>
  <si>
    <t>portalmistyco</t>
  </si>
  <si>
    <t>Portal Mistyco</t>
  </si>
  <si>
    <t>🔮 | Portal Mistyco
📍 | Os Melhores Terapeutas do Brasil
⬇️ | Faça sua Consulta agora no link abaixo</t>
  </si>
  <si>
    <t>http://mistyco.com.br/</t>
  </si>
  <si>
    <t>portalmpa</t>
  </si>
  <si>
    <t>Portal MPA - Divinópolis MG</t>
  </si>
  <si>
    <t>📰Notícias de Divinópolis e região📰
‼️Comentários liberados APENAS para seguidores‼️
📨 Entre em contato:</t>
  </si>
  <si>
    <t>https://linktr.ee/portalmpa</t>
  </si>
  <si>
    <t>portalr7</t>
  </si>
  <si>
    <t>Portal R7</t>
  </si>
  <si>
    <t>As principais notícias do Brasil e do mundo!
🎬 @r7entretenimento
⚽️ @r7esportes
👗 @r7vivaavida
🐶 @rpet.r7
😊 @r7virtz
🍛 @topchefbrasil</t>
  </si>
  <si>
    <t>https://linkin.bio/portalr7</t>
  </si>
  <si>
    <t>portalraizes</t>
  </si>
  <si>
    <t>Portal Raízes</t>
  </si>
  <si>
    <t>Referência nacional em conteúdo de psicologia e comportamento 
Fundadora: @escritora.claradawn 
⬇️ ARTIGOS ⬇️</t>
  </si>
  <si>
    <t>https://lnk.bio/portalraizes</t>
  </si>
  <si>
    <t>il_post</t>
  </si>
  <si>
    <t>il Post</t>
  </si>
  <si>
    <t>Il profilo ufficiale del Post</t>
  </si>
  <si>
    <t>http://linktr.ee/ilpost/</t>
  </si>
  <si>
    <t>postmalone</t>
  </si>
  <si>
    <t>out on The BIG ASS World Tour w @jellyroll615</t>
  </si>
  <si>
    <t>https://postmalone.lnk.to/shop</t>
  </si>
  <si>
    <t>postmeridiem_brand</t>
  </si>
  <si>
    <t>POST MERIDIEM</t>
  </si>
  <si>
    <t>Женская одежда собственного производства
Worldwide shipping @postmeridiem.shop 
📍Москва
ул. Большая Садовая,5к2
ТЦ Метрополис
📍Дубай
📍Санкт-Петербург</t>
  </si>
  <si>
    <t>https://postmeridiem-brand.com/catalog/new/</t>
  </si>
  <si>
    <t>post.performance</t>
  </si>
  <si>
    <t>Post Performance</t>
  </si>
  <si>
    <t>All things cars, trucks and motors with a little bit of relatability mixed in!!</t>
  </si>
  <si>
    <t>postpolitics</t>
  </si>
  <si>
    <t>Washington Post Politics</t>
  </si>
  <si>
    <t>Elections, congress, campaigns and more — news and analysis of the stories driving politics from @washingtonpost</t>
  </si>
  <si>
    <t>https://wapo.st/politicsig</t>
  </si>
  <si>
    <t>postunited</t>
  </si>
  <si>
    <t>Post United</t>
  </si>
  <si>
    <t>👉🏻 ¡Si eres fanátic@ del fútbol, esta es tu casa🏡!
🔵 @postunitedfem 
⚽️ @postunitedfc
🎙️ @afterpostunited</t>
  </si>
  <si>
    <t>https://linktr.ee/postunited_links</t>
  </si>
  <si>
    <t>p.p.s.brand</t>
  </si>
  <si>
    <t>post.post.scriptum.</t>
  </si>
  <si>
    <t>we re:think a norm</t>
  </si>
  <si>
    <t>https://post-post-scriptum.com</t>
  </si>
  <si>
    <t>t_post</t>
  </si>
  <si>
    <t>T-post®</t>
  </si>
  <si>
    <t>The world’s first wearable magazine
© 2004-2025</t>
  </si>
  <si>
    <t>http://www.t-post.com/</t>
  </si>
  <si>
    <t>washingtonpost</t>
  </si>
  <si>
    <t>Delivering the news and helping you understand complex topics 🗞 
@postpolitics 
@poststyle 
@postclimate</t>
  </si>
  <si>
    <t>https://wapo.st/ig</t>
  </si>
  <si>
    <t>david_fitelit</t>
  </si>
  <si>
    <t>David | International Fitness Former&amp;Presenter</t>
  </si>
  <si>
    <t>Champion Step &amp; Aérobic
Founder FITELIT
+25 ans d'expérience, +200 formations
Press/Pub: collabs@fitelit.com
📍Belgique
Formations/Events fitness 👇</t>
  </si>
  <si>
    <t>http://www.fitelit.com/</t>
  </si>
  <si>
    <t>itsjusttjoy</t>
  </si>
  <si>
    <t>JOY | Presenter</t>
  </si>
  <si>
    <t>baby, I am the news… 
(i make viral ents news videos on TikTok)
TV &amp; Social Host &amp; Model ❤️
💌hello@itsjustjoy.co.uk
Sc: itsjustttjoy</t>
  </si>
  <si>
    <t>https://www.tiktok.com/@itsjustttjoy?_t=ZN-8v4Z54iJGEA&amp;_r=1</t>
  </si>
  <si>
    <t>littlemissgifted</t>
  </si>
  <si>
    <t>Stephanie Higgs | Gifted Teacher | Keynote Speaker &amp; Presenter</t>
  </si>
  <si>
    <t>An award-winning, Nashville-living educator here to give your classroom and your teacher wardrobe a glow up! ✨</t>
  </si>
  <si>
    <t>http://thelittlemissgifted.com</t>
  </si>
  <si>
    <t>presenter_ali</t>
  </si>
  <si>
    <t>Presenter Ali</t>
  </si>
  <si>
    <t>Youtuber Turned Forex Trader
#1 FOREX Influencer In Kenya
Host @mindofatraderpodcast 
Trading Journey @ali.tradeske 
JOIN MY Community 👇</t>
  </si>
  <si>
    <t>https://www.pay4sub.com/b/alitradeske</t>
  </si>
  <si>
    <t>presenterkai</t>
  </si>
  <si>
    <t>Award Winning TV and Radio presenter || Entertainment News || Brand Influencer. For Business presenterkai@gmail.com</t>
  </si>
  <si>
    <t>https://youtu.be/JSJTqMlxJhU</t>
  </si>
  <si>
    <t>presenternoah</t>
  </si>
  <si>
    <t>Presenter Noah</t>
  </si>
  <si>
    <t>Media Personality | PR, sales &amp; Marketing | Presenter | Just a Local Man</t>
  </si>
  <si>
    <t>https://www.youtube.com/@presenternoah</t>
  </si>
  <si>
    <t>suyashkeshari</t>
  </si>
  <si>
    <t>Suyash Keshari • Wildlife Presenter • Luxury Safari Expert</t>
  </si>
  <si>
    <t>🌍 29 y/o TV Presenter &amp; Conservationist
🌄 Owner @AmeliyaSafaris |🎖️30u30
🐯 Specialist in Luxury Safari Experiences
🎥 Built First Virtual Tiger Safari</t>
  </si>
  <si>
    <t>https://ameliyasafaris.com/luxury-safaris/safari-itineraries/</t>
  </si>
  <si>
    <t>warwick_presenter</t>
  </si>
  <si>
    <t>Ex-MTV "Headbangers Ball" VJ &amp; Host of GTV's "Ghoulbangers' Ball" on European/US legs of Ghost's Skeletour 2025.</t>
  </si>
  <si>
    <t>https://m.youtube.com/@TrustinRock/videos</t>
  </si>
  <si>
    <t>akordapress</t>
  </si>
  <si>
    <t>Aqorda</t>
  </si>
  <si>
    <t>🇰🇿 Қазақстан Президентінің Баспасөз қызметі 
🇰🇿 Пресс-служба Президента Казахстана 
🇰🇿  Press Office of the President of Kazakhstan</t>
  </si>
  <si>
    <t>http://t.me/aqorda_resmi</t>
  </si>
  <si>
    <t>bahamaspress</t>
  </si>
  <si>
    <t>Bahamas Press</t>
  </si>
  <si>
    <t>pressgastronomia</t>
  </si>
  <si>
    <t>Press Gastronomia e Diversão</t>
  </si>
  <si>
    <t>Somos Press Bar Restaurante🍴🍸 
ELEITO MELHOR BAR DE POA 
• Press do Cais • Press Café • Bah • Presstisserie • Ô Xiss • A Cantina do Press • Pê Éfe</t>
  </si>
  <si>
    <t>https://linkme.bio/pressgastronomia</t>
  </si>
  <si>
    <t>pressley</t>
  </si>
  <si>
    <t>singer | actor | dancer 
@coolconvospod
undo out now!⬇️</t>
  </si>
  <si>
    <t>https://stem.ffm.to/undo</t>
  </si>
  <si>
    <t>press_sf</t>
  </si>
  <si>
    <t>PRΞSS</t>
  </si>
  <si>
    <t>books with pictures 📚
books with words @eatallyourwords</t>
  </si>
  <si>
    <t>http://bio.site/pressbooks</t>
  </si>
  <si>
    <t>yenpress</t>
  </si>
  <si>
    <t>Yen Press</t>
  </si>
  <si>
    <t>Driven by a love of books and exceptional storytelling, we're here to deliver the best in manga, light novels and more.</t>
  </si>
  <si>
    <t>https://buff.ly/mChf8qR</t>
  </si>
  <si>
    <t>producthunt</t>
  </si>
  <si>
    <t>Discover your next favorite thing in tech.</t>
  </si>
  <si>
    <t>http://producthunters.club/new</t>
  </si>
  <si>
    <t>madmuscles_app</t>
  </si>
  <si>
    <t>MadMuscles | Workout program</t>
  </si>
  <si>
    <t>Build your perfect body 💪🏽
Get your personalised workout plan:</t>
  </si>
  <si>
    <t>https://bit.ly/MadMuscles_app</t>
  </si>
  <si>
    <t>pgmsilviosantos</t>
  </si>
  <si>
    <t>Programa Silvio Santos</t>
  </si>
  <si>
    <t>#ProgramaSilvioSantos 
Agora em novo horário: a partir das 19h!
Siga também @sbtcamerasescondidas</t>
  </si>
  <si>
    <t>https://www.sbt.com.br/auditorio/programa-silvio-santos</t>
  </si>
  <si>
    <t>programahoy</t>
  </si>
  <si>
    <t>HOY</t>
  </si>
  <si>
    <t>http://televisa.com/hoy</t>
  </si>
  <si>
    <t>programapanico</t>
  </si>
  <si>
    <t>Pânico No Instagram</t>
  </si>
  <si>
    <t>Fala, Fiote!
Acesse o canal da Jovem Pan Entretê no WhatsApp 👇</t>
  </si>
  <si>
    <t>https://whatsapp.com/channel/0029VaeCbOCDjiOZ3gtYeh3R</t>
  </si>
  <si>
    <t>programaplaybt</t>
  </si>
  <si>
    <t>Programa Play BT</t>
  </si>
  <si>
    <t>Canal</t>
  </si>
  <si>
    <t>🇮🇹 CANAL OFICIAL DO MUNDIAL DE DUPLAS 
🌎 RECORDE MUNDIAL DE VISUALIZAÇÕES
SIMULTÂNEAS: 37.264 APARELHOS
▶️ +120K inscritos no YouTube</t>
  </si>
  <si>
    <t>https://linktr.ee/playbt</t>
  </si>
  <si>
    <t>pycodebr</t>
  </si>
  <si>
    <t>Python Code | Programação</t>
  </si>
  <si>
    <t>👇🏽 Cursos, YouTube, Telegram, LinkedIn e GitHub aqui no link👇🏽</t>
  </si>
  <si>
    <t>https://linktr.ee/pycodebr</t>
  </si>
  <si>
    <t>prweek</t>
  </si>
  <si>
    <t>Official Instagram of PRWeek, the most trusted name in PR and comms.</t>
  </si>
  <si>
    <t>https://linktr.ee/prweek</t>
  </si>
  <si>
    <t>abrahamhickspublications</t>
  </si>
  <si>
    <t>Abraham-Hicks</t>
  </si>
  <si>
    <t>Official Esther Hicks and Abraham-Hicks Publications account. Visit all of our links below:</t>
  </si>
  <si>
    <t>https://www.abrahamnow.com/links</t>
  </si>
  <si>
    <t>amsterdam_vibezz</t>
  </si>
  <si>
    <t>PUBLICATION</t>
  </si>
  <si>
    <t>Promote your content here🫧
Star⭐ of week @jv.ibz</t>
  </si>
  <si>
    <t>https://www.ticketsms.it/collection/eamggpfT</t>
  </si>
  <si>
    <t>rcpublication</t>
  </si>
  <si>
    <t>RC PUBLICATION</t>
  </si>
  <si>
    <t>Romansa Cinta Publication 🧣
202503013042 (003687852-T)
Katalog buku @rc.novel</t>
  </si>
  <si>
    <t>https://linktr.ee/rcpublication</t>
  </si>
  <si>
    <t>thebookspotpublishers</t>
  </si>
  <si>
    <t>BOOKSPOT PUBLICATION HOUSE</t>
  </si>
  <si>
    <t>✍️"Crafting tales that leave a lasting impression.                     ✨ Join us in the journey of storytelling 📚            WRITE AND ASPIRE🎊</t>
  </si>
  <si>
    <t>https://linktr.ee/Bookspotpublishers</t>
  </si>
  <si>
    <t>thisisglamorous</t>
  </si>
  <si>
    <t>TIG | Digital Publication</t>
  </si>
  <si>
    <t>An intelligent guide to the best of the internets for the aesthetically inclined / Subscribe to our newsletter at thisishyperreality.substack.com</t>
  </si>
  <si>
    <t>https://linktr.ee/thisisglamorous</t>
  </si>
  <si>
    <t>unpublications</t>
  </si>
  <si>
    <t>United Nations Publications</t>
  </si>
  <si>
    <t>The official source for UN books and merchandise. 
All proceeds support the work of the United Nations.</t>
  </si>
  <si>
    <t>http://shop.un.org/</t>
  </si>
  <si>
    <t>bluerose_publishers</t>
  </si>
  <si>
    <t>BlueRose Publishers</t>
  </si>
  <si>
    <t>Earn Royalties with India’s Best Self-Publishing Platform—Publish Your Book Today! 📚
Expert Tips on Writing, Publishing, and Marketing ✍️</t>
  </si>
  <si>
    <t>https://blueroseone.com/publish/wordsbrew/</t>
  </si>
  <si>
    <t>macmillanreads</t>
  </si>
  <si>
    <t>Macmillan Academic | Publisher</t>
  </si>
  <si>
    <t>Bringing you the top books for schools and colleges published and distributed by @macmillanusa. We share stories that inspire and empower students 📚</t>
  </si>
  <si>
    <t>https://linktr.ee/macmillanreads</t>
  </si>
  <si>
    <t>macmillanusa</t>
  </si>
  <si>
    <t>Macmillan Publishers</t>
  </si>
  <si>
    <t>We are a leading publishing company and home to some of the world's most cherished authors and creators 📚</t>
  </si>
  <si>
    <t>https://empli.fi/macmillan/</t>
  </si>
  <si>
    <t>pchofficial</t>
  </si>
  <si>
    <t>Publishers Clearing House</t>
  </si>
  <si>
    <t>💵 Winners Every Day
🎁 Enter To Win 8 Grand Prizes Every Week
📲 Download PCH+ 
@officialpchwordmania @pchtreasurematch
⬇️It’s all just a tap away!</t>
  </si>
  <si>
    <t>https://shor.by/PCH</t>
  </si>
  <si>
    <t>publisherswkly</t>
  </si>
  <si>
    <t>Publishers Weekly</t>
  </si>
  <si>
    <t>The Most-Trusted Source in Publishing - Since 1872
For more information or to submit a photo for publication, click the link below.</t>
  </si>
  <si>
    <t>https://shopgr.id/publisherswkly</t>
  </si>
  <si>
    <t>publishertr</t>
  </si>
  <si>
    <t>Enver Mutlu</t>
  </si>
  <si>
    <t>🧔🏼‍♀️ Toplumsal Cinsiyet Eşitliği 🧔‍♀️
#istanbulsözleşmesiyaşatır 
👇🏻👇🏼👇🏽👇🏾👇🏿</t>
  </si>
  <si>
    <t>http://anitsayac.com/</t>
  </si>
  <si>
    <t>rapublisher</t>
  </si>
  <si>
    <t>Rap Publisher</t>
  </si>
  <si>
    <t>Publishing Blog for the Hottest Releases
📲 | DM to get Posted
💬 | Text  (715) 248-2144</t>
  </si>
  <si>
    <t>https://hiphopdx.com/</t>
  </si>
  <si>
    <t>redhenpress</t>
  </si>
  <si>
    <t>Red Hen Press | Indie Nonprofit Publisher</t>
  </si>
  <si>
    <t>The Biggest Little Press in LA☀️
✦ Publishing 25-30 books annually
✦ Accepting submissions year-round
✦ WRITERS: We have 5 literary awards. Enter now!</t>
  </si>
  <si>
    <t>https://linkin.bio/redhenpress</t>
  </si>
  <si>
    <t>rm_publisher</t>
  </si>
  <si>
    <t>Видавництво РМ</t>
  </si>
  <si>
    <t>Найкращі книжки і комікси для дорослих 📚
Дитяча література ➡️ @rm_dytlit
Щодо замовлень ➡️ @rm_customer_service 
+38-050-346-55-77 📲</t>
  </si>
  <si>
    <t>https://ridna-mova.com/</t>
  </si>
  <si>
    <t>sophia_publisher</t>
  </si>
  <si>
    <t>Книги издательства СОФИЯ</t>
  </si>
  <si>
    <t>📔Меняют сознание. Дарят мудрость.
Отмечайте нас #издательствософия  
Официальный интернет-магазин:
👇👇👇</t>
  </si>
  <si>
    <t>https://sophia.ru/audiomaterialy/audiomeditacii-frenka-kinslou/</t>
  </si>
  <si>
    <t>spt_artbookfair</t>
  </si>
  <si>
    <t>Seoul Publisher’s Table (서울 퍼블리셔스 테이블)</t>
  </si>
  <si>
    <t>Seoul Publisher’s Table International Art Book Fair
국립중앙도서관 (National Library of Korea)
17 - 19 October 2025</t>
  </si>
  <si>
    <t>tatlin_publishers</t>
  </si>
  <si>
    <t>Издательство TATLIN</t>
  </si>
  <si>
    <t>• Архитектура, искусство и дизайн 
• Книги, журналы, плакаты, путеводители, раскраски
• Открытая онлайн-библиотека и tatlin.radio</t>
  </si>
  <si>
    <t>http://tatlin.ru</t>
  </si>
  <si>
    <t>thechartium</t>
  </si>
  <si>
    <t>Chartium | Creative Magazine &amp; Literary Arts Publisher</t>
  </si>
  <si>
    <t>.𖥔 ݁ ˖ ISSUE 03: FINE PRINT OUT NOW
an international youth multimedia magazine 
literature ✶ art ✶ music ✶ film</t>
  </si>
  <si>
    <t>https://linktr.ee/chartium</t>
  </si>
  <si>
    <t>quartz_clinics</t>
  </si>
  <si>
    <t>Quartz Clinic</t>
  </si>
  <si>
    <t>مستوصف كوارتز💎
طب عائلة I تغذية علاجية | تخسيس I نحت I علاج سكر؛ ضغط؛ غدد | علاج بالوريد 22275182☎️الترخيص:336 
برج مزايا حولي؛ قطعة 4;قسيمة 127</t>
  </si>
  <si>
    <t>http://wa.me/+96597358570</t>
  </si>
  <si>
    <t>quartzphx</t>
  </si>
  <si>
    <t>Bar</t>
  </si>
  <si>
    <t>Quartz Lounge and the Cave:
SUN, MON and THURS: 5p-12a
FRI and SAT: 5p-1a
CAVE RESERVATIONS @ quartzphx.com</t>
  </si>
  <si>
    <t>https://www.quartzphx.com</t>
  </si>
  <si>
    <t>qz</t>
  </si>
  <si>
    <t>Global news and insights for a new generation of business leaders.</t>
  </si>
  <si>
    <t>https://qz.com</t>
  </si>
  <si>
    <t>rolling_quartz</t>
  </si>
  <si>
    <t>Rolling Quartz 롤링쿼츠</t>
  </si>
  <si>
    <t>Korean Girls Rock Band / Contact: lcrs2017@naver.com / V: Ja young 자영 | G: Iree 아이리 | G: Choi Hyunjung 최현정 | B: Arem 아름 | D: Yeong eun 영은</t>
  </si>
  <si>
    <t>https://linktr.ee/rollingquartz</t>
  </si>
  <si>
    <t>aesthhquotes</t>
  </si>
  <si>
    <t>Quotes</t>
  </si>
  <si>
    <t>Follow me for quotes 💘
Dm for promotion/collab/credits 💌</t>
  </si>
  <si>
    <t>diorquotedd</t>
  </si>
  <si>
    <t>𓍯𓂃</t>
  </si>
  <si>
    <t>goodmindsquote</t>
  </si>
  <si>
    <t>J. Hossain</t>
  </si>
  <si>
    <t>#1 Source of Growth, Motivation &amp; Discipline 
🏆 Adopt Winning Strategies with Our Books
⬇️ Grab Your Copy Today</t>
  </si>
  <si>
    <t>https://goodmindsquote.co/l/gmqdde</t>
  </si>
  <si>
    <t>love.quotes</t>
  </si>
  <si>
    <t>Love Quotes</t>
  </si>
  <si>
    <t>🤍 - « when you don’t have the words »
💌 - love quotes &amp; relatable posts
👇🏻 - “the he(art) of healing” 📕</t>
  </si>
  <si>
    <t>http://www.love-quotes.com</t>
  </si>
  <si>
    <t>moviequotes</t>
  </si>
  <si>
    <t>Movie Quotes</t>
  </si>
  <si>
    <t>🎬 - «I don’t understand people. I only understand movies.»
🚬 - sharing the best quotes from the cinema world</t>
  </si>
  <si>
    <t>positivedelight</t>
  </si>
  <si>
    <t>Positive Quotes &amp; Inspiration</t>
  </si>
  <si>
    <t>Dylan 🙋
Positive reminders for both you and me ❤️</t>
  </si>
  <si>
    <t>quote</t>
  </si>
  <si>
    <t>Quote.com, a leading insurance platform, providing tech-enabled shopping solutions that connect consumers with top providers that match their needs.</t>
  </si>
  <si>
    <t>https://insurance.quote.com/</t>
  </si>
  <si>
    <t>quoteclothing</t>
  </si>
  <si>
    <t>quote”</t>
  </si>
  <si>
    <t>ENVIAMOS PARA TODO O BRASIL 🇧🇷
Seg a Sex 10h às 19h • Sáb 10h à 13h 🛍
📞 48) 3037-4888 - Loja física 
👇🏻(48) 99863-5802 - Compras no WhatsApp 📲</t>
  </si>
  <si>
    <t>http://api.whatsapp.com/send?1=pt_BR&amp;phone=554898635802</t>
  </si>
  <si>
    <t>quote_gramofficial</t>
  </si>
  <si>
    <t>Quotegram</t>
  </si>
  <si>
    <t>Old account @quotegasmofficial disabled follow us here…</t>
  </si>
  <si>
    <t>Helping 𝐘𝐎𝐔 in the game called 𝐋𝐈𝐅𝐄!
All about Motivation, Business, Tech &amp; News! 🗞
‎Advertising 📧 Connect@QuotesBusiness.info</t>
  </si>
  <si>
    <t>quotesbychristie</t>
  </si>
  <si>
    <t>Christie Scotch</t>
  </si>
  <si>
    <t>graphic designer / author of #IFeelThatBook/ PRINT SHOP JUST LAUNCHED ⬇️🖼️</t>
  </si>
  <si>
    <t>https://www.etsy.com/shop/quotesbychristieshop</t>
  </si>
  <si>
    <t>quotes.hub.1</t>
  </si>
  <si>
    <t>Quotes 🌎</t>
  </si>
  <si>
    <t>Words You Can 𝗥𝗘𝗟𝗔𝗧𝗘 
𝐑𝐈𝐒𝐄 𝐀𝐅𝐓𝐄𝐑 𝐄𝐕𝐄𝐑𝐘 𝐅𝐀𝐋𝐋 ✨</t>
  </si>
  <si>
    <t>rotquotes</t>
  </si>
  <si>
    <t>ROT QUOTES</t>
  </si>
  <si>
    <t>Make. Tomorrow. Better.</t>
  </si>
  <si>
    <t>thegoodquote</t>
  </si>
  <si>
    <t>The Good Quote</t>
  </si>
  <si>
    <t>A community for people in bloom.
Founder: @earthtoroxanne 
Order our debut book below 👇</t>
  </si>
  <si>
    <t>http://linktr.ee/thegoodquote</t>
  </si>
  <si>
    <t>thegoodquote.co</t>
  </si>
  <si>
    <t>Home to the words that matter. The world’s largest motivational community. Independent book publisher. 🌻</t>
  </si>
  <si>
    <t>http://linktr.ee/thegoodquoteco</t>
  </si>
  <si>
    <t>womenwholeadempires</t>
  </si>
  <si>
    <t>Quotes, Mindset &amp; Motivation</t>
  </si>
  <si>
    <t>⚡️Pretty. Petty. Profitable.
Quotes for empire-building girls with zero chill.
DM 💌 for promo
💸 How I make $$ with pages like this ⤵</t>
  </si>
  <si>
    <t>https://beacons.ai/womenwholeadempires</t>
  </si>
  <si>
    <t>insomniacradio</t>
  </si>
  <si>
    <t>Insomniac Radio</t>
  </si>
  <si>
    <t>Dance Music 24/7. 365. Always On.
Tune In Anytime From Anywhere. ↓</t>
  </si>
  <si>
    <t>http://insom.co/radioapp</t>
  </si>
  <si>
    <t>nts_radio</t>
  </si>
  <si>
    <t>NTS Radio</t>
  </si>
  <si>
    <t>🎶 music discovery platform 
🗓 all shows archived at nts.live next working day</t>
  </si>
  <si>
    <t>https://linktr.ee/nts_radio</t>
  </si>
  <si>
    <t>radio105</t>
  </si>
  <si>
    <t>Radio105</t>
  </si>
  <si>
    <t>Proud to be different
✉️ diretta@105.net
📱 Sms e WhatsApp 3424115105
📺 Canale 66 DTT
🖤 TikTok: https://www.tiktok.com/@radio105</t>
  </si>
  <si>
    <t>https://www.105.net/</t>
  </si>
  <si>
    <t>radio.bh</t>
  </si>
  <si>
    <t>96.5 Radio Bahrain</t>
  </si>
  <si>
    <t>The official account for 96.5 Radio Bahrain</t>
  </si>
  <si>
    <t>https://linktr.ee/radio.bh</t>
  </si>
  <si>
    <t>radiohead</t>
  </si>
  <si>
    <t>Radiohead</t>
  </si>
  <si>
    <t>https://radiohead.com</t>
  </si>
  <si>
    <t>radiomitre</t>
  </si>
  <si>
    <t>Radio Mitre</t>
  </si>
  <si>
    <t>Líder en audiencia 🎧 🥇
Descargá nuestra nueva APP play.cienradios.com
Suscribite a nuestro canal Youtube.com/Radiomitre
NOTICIAS AL INSTANTE.👇</t>
  </si>
  <si>
    <t>https://linkin.bio/radiomitre</t>
  </si>
  <si>
    <t>designwithinreach</t>
  </si>
  <si>
    <t>Design Within Reach</t>
  </si>
  <si>
    <t>Designed for modern life.
Show us your space @designwithinreach</t>
  </si>
  <si>
    <t>http://clicklinkin.bio/designwithinreach</t>
  </si>
  <si>
    <t>reachabed</t>
  </si>
  <si>
    <t>𝗔𝗯𝗱𝘂𝗹𝗿𝗮𝗵𝗺𝗮𝗻 𝗔𝗯𝘂 𝗛𝗮𝘁𝘁𝗮𝗯</t>
  </si>
  <si>
    <t>Born In 🇦🇪 | In G@za 🇵🇸
🌍 Sharing my journey
👇 Follow to be a part of the journey!
🚨 Help People In G@za</t>
  </si>
  <si>
    <t>https://launchgood.com/SendAidVesselsWithAboodi</t>
  </si>
  <si>
    <t>reachedmars</t>
  </si>
  <si>
    <t>MARS Cosmetics</t>
  </si>
  <si>
    <t>Makeup For Everyone
🍃Cruelty-free
🌱100% vegetarian
👨‍🚀@mars_unplugged
👇🏻Shop now</t>
  </si>
  <si>
    <t>https://linkpop.com/marscosmetics</t>
  </si>
  <si>
    <t>reachyusuf</t>
  </si>
  <si>
    <t>Yusuf Abu Hattab</t>
  </si>
  <si>
    <t>16
Documenting my Life
Born in 🇦🇪 Made in 🇵🇸
Youth Ambassador @hcicanada</t>
  </si>
  <si>
    <t>https://www.launchgood.com/v4/campaign/support_the_people_of_gaza_w_yusuf_abu_hattab_2</t>
  </si>
  <si>
    <t>readership_space</t>
  </si>
  <si>
    <t>فضاء القراء/بيع كتب</t>
  </si>
  <si>
    <t>رسالتي: مساعدتك لتكتشف ذاتك من خلال الكتب 📚
نبيع كتب أصلية فقط📚
 المؤسسة: @nour_mdbr
 لطلب كتابك تواصل معنا عبر الرسائل📩 
ملخصات كتب ونصائح</t>
  </si>
  <si>
    <t>http://readership-space.com</t>
  </si>
  <si>
    <t>fatimaaciolireal</t>
  </si>
  <si>
    <t>Fátima Acioli</t>
  </si>
  <si>
    <t>Sem saber que era impossível, ela foi lá e fez ✨
comercial_fatima@g.globo</t>
  </si>
  <si>
    <t>nba_youngboy</t>
  </si>
  <si>
    <t>PAIN REAL.</t>
  </si>
  <si>
    <t>http://youngboynba.com</t>
  </si>
  <si>
    <t>realdonaldtrump</t>
  </si>
  <si>
    <t>President Donald J. Trump</t>
  </si>
  <si>
    <t>Government Official</t>
  </si>
  <si>
    <t>45th &amp; 47th President of the United States</t>
  </si>
  <si>
    <t>realmadrid</t>
  </si>
  <si>
    <t>Real Madrid C.F.</t>
  </si>
  <si>
    <t>⚽️ Official profile of Real Madrid C.F.
🏆 15 times European Champions
🌍 FIFA Best Club of the 20th Century
🏟️ Follow @Bernabeu</t>
  </si>
  <si>
    <t>https://bit.ly/MadridistasPremiumRMCF</t>
  </si>
  <si>
    <t>realnewsnobullshit</t>
  </si>
  <si>
    <t>Real News, Not Bullshit</t>
  </si>
  <si>
    <t>Just news, without an agenda. Giving it to you straight. @realnewsnobullshitbackup 
Tap below for additional news</t>
  </si>
  <si>
    <t>https://www.realnewsnotbs.com</t>
  </si>
  <si>
    <t>real__pcy</t>
  </si>
  <si>
    <t>CHANYEOL</t>
  </si>
  <si>
    <t>https://www.youtube.com/@CHchanyeol</t>
  </si>
  <si>
    <t>realstraykids</t>
  </si>
  <si>
    <t>Stray Kids</t>
  </si>
  <si>
    <t>Stray Kids(스트레이 키즈) Official Instagram</t>
  </si>
  <si>
    <t>http://stray-kids.lnk.to/KARMA</t>
  </si>
  <si>
    <t>realwbonner</t>
  </si>
  <si>
    <t>🇧🇷 👁 Atento, sereno e vigilante👁 🇧🇷</t>
  </si>
  <si>
    <t>reel</t>
  </si>
  <si>
    <t>reelit.y</t>
  </si>
  <si>
    <t>Reelity</t>
  </si>
  <si>
    <t>tg3
From real to reel welcome to Reelity ✨</t>
  </si>
  <si>
    <t>reelshortapp</t>
  </si>
  <si>
    <t>ReelShort</t>
  </si>
  <si>
    <t>🎬Every second is drama. 
📣UGC Submission is Open! 
👇🏻Submit Your Story Here👇🏻</t>
  </si>
  <si>
    <t>https://www.reelshort.com/campaign/movie-making-contest</t>
  </si>
  <si>
    <t>reelstips</t>
  </si>
  <si>
    <t>Trendspotter: Content Tips, Trends, and Tutorials</t>
  </si>
  <si>
    <t>need content ideas? we gotchu!
💻 by @taylor.loren &amp; team
✨ trends, tips &amp; audios to keep you inspired
🎾 content strategy playbook ⬇️</t>
  </si>
  <si>
    <t>https://linktr.ee/trendspotter.xyz</t>
  </si>
  <si>
    <t>refinery29</t>
  </si>
  <si>
    <t>Keeping women inspired and entertained since ‘05.
@r29unbothered
@r29somos
@r29mostwanted
@refinery29uk</t>
  </si>
  <si>
    <t>http://linkin.bio/ig-refinery29/</t>
  </si>
  <si>
    <t>refinery29au</t>
  </si>
  <si>
    <t>Refinery29 Australia</t>
  </si>
  <si>
    <t>Keeping women inspired, entertained and empowered.</t>
  </si>
  <si>
    <t>https://lnk.bio/refinery29au</t>
  </si>
  <si>
    <t>refinery29canada</t>
  </si>
  <si>
    <t>Refinery29 Canada</t>
  </si>
  <si>
    <t>Here to inspire, educate and entertain women. We may be Canadian, but we’re not always polite. 🇨🇦</t>
  </si>
  <si>
    <t>https://linkin.bio/refinery29canada</t>
  </si>
  <si>
    <t>refinery29germany</t>
  </si>
  <si>
    <t>Refinery29 Germany</t>
  </si>
  <si>
    <t>Dein digitales Zuhause für Fashion, Beauty, Lifestyle, Body, Soul und Entertainment</t>
  </si>
  <si>
    <t>https://linkin.bio/refinery29germany</t>
  </si>
  <si>
    <t>refinery29uk</t>
  </si>
  <si>
    <t>Refinery29 UK</t>
  </si>
  <si>
    <t>Keeping women inspired, entertained, and empowered since ’05. 
Tap to read 👇</t>
  </si>
  <si>
    <t>https://linkin.bio/ig-refinery29uk</t>
  </si>
  <si>
    <t>bullreporter</t>
  </si>
  <si>
    <t>Bullreporter.it</t>
  </si>
  <si>
    <t>• La tua dose di attualità giornaliera🗓️
• News, curiosità, musica, aggiornamenti...a modo nostro😈</t>
  </si>
  <si>
    <t>callmeishh</t>
  </si>
  <si>
    <t>Mosthated Reporter</t>
  </si>
  <si>
    <t>I COVER WHAT MAIN STEAM MEDIA DONT SEE @callmeishhdotcom BACK UP PAGE</t>
  </si>
  <si>
    <t>https://youtu.be/Yqcu3uGOtpw?si=zZJ-qbmAnXLmHL2N</t>
  </si>
  <si>
    <t>fashionic.reporter</t>
  </si>
  <si>
    <t>Fashionic Reporter</t>
  </si>
  <si>
    <t>FASHION NEWS</t>
  </si>
  <si>
    <t>hollywoodreporter</t>
  </si>
  <si>
    <t>Hollywood Reporter</t>
  </si>
  <si>
    <t>The Hollywood Reporter is the premier destination &amp; most widely trusted resource for entertainment news, reviews, videos &amp; more.
Daily news stories 👇</t>
  </si>
  <si>
    <t>http://linkin.bio/hollywoodreporter</t>
  </si>
  <si>
    <t>rachel_nichols</t>
  </si>
  <si>
    <t>Rachel Nichols | Sports Reporter &amp; Host | NBA, NFL, NHL</t>
  </si>
  <si>
    <t>Fox Sports 1 analyst 📺 | Sports Illustrated NBA talker🎙 | All The Smoke interviewer 🎥 | Monumental love letters to my hometown ❤️
Watch latest 👇:</t>
  </si>
  <si>
    <t>https://linktr.ee/rachel__nichols</t>
  </si>
  <si>
    <t>reportermatt</t>
  </si>
  <si>
    <t>Matt Shearer</t>
  </si>
  <si>
    <t>People person @wbznewsradio</t>
  </si>
  <si>
    <t>http://wbznewsradio.com</t>
  </si>
  <si>
    <t>reporter.offiziell</t>
  </si>
  <si>
    <t>reporter</t>
  </si>
  <si>
    <t>Erlebt mit uns echte Storys. Nah dran. Kritisch. Ohne Filter. 💙 
WDR 🤝 @funk</t>
  </si>
  <si>
    <t>https://youtube.com/@reporter-offiziell</t>
  </si>
  <si>
    <t>reporterorosa</t>
  </si>
  <si>
    <t>Luis Miguel Pirela</t>
  </si>
  <si>
    <t>Novedades del mundo del espectáculo.
🐥Twitter: @ReporteroRosa
🔗Telegram: ReporteroRosa [Canal]
💡: TikTok: ReporteroRosa
👨🏻‍💻 @luismpm</t>
  </si>
  <si>
    <t>https://www.facebook.com/ReporteRosa</t>
  </si>
  <si>
    <t>saharareporters</t>
  </si>
  <si>
    <t>Sahara Reporters</t>
  </si>
  <si>
    <t>SR encourages citizen journalists to report ongoing corruption and gov’t malfeasance in Africa
Ads:marketing@saharareporters.com
Visit our website ⬇️</t>
  </si>
  <si>
    <t>https://linkin.bio/saharareporters</t>
  </si>
  <si>
    <t>theartreporter</t>
  </si>
  <si>
    <t>Carl Larsson</t>
  </si>
  <si>
    <t>Curator &amp; Advisor
Los Angeles</t>
  </si>
  <si>
    <t>https://theartreporter.com/</t>
  </si>
  <si>
    <t>twreporter</t>
  </si>
  <si>
    <t>報導者 The Reporter</t>
  </si>
  <si>
    <t>《報導者》是台灣第一個由公益基金會成立的網路媒體，營運經費皆來自民眾贊助，這股力量除了支持我們投入深度報導，並可不受政商勢力干預，保持新聞獨立性。
⁡
歡迎與我們一起推動這場媒體小革命。
⁡
🎧Podcast 聽友請追蹤 @twreporter_podcast
⁡
👇贊助、深度報導這邊請</t>
  </si>
  <si>
    <t>https://portaly.cc/twreporter</t>
  </si>
  <si>
    <t>reuters</t>
  </si>
  <si>
    <t>Read more ⬇️</t>
  </si>
  <si>
    <t>https://smartlink.bio/reuters</t>
  </si>
  <si>
    <t>reuterssport</t>
  </si>
  <si>
    <t>Reuters Sports Pictures</t>
  </si>
  <si>
    <t>https://www.reuters.com/sports/</t>
  </si>
  <si>
    <t>thomsonreuters</t>
  </si>
  <si>
    <t>Thomson Reuters</t>
  </si>
  <si>
    <t>🏆 Industry-leading content and expertise
💻 Powered by cutting-edge technology and AI
🗓 To help you know today and navigate tomorrow</t>
  </si>
  <si>
    <t>https://www.thomsonreuters.com/en/about-us/our-purpose.html</t>
  </si>
  <si>
    <t>ringer</t>
  </si>
  <si>
    <t>The Ringer</t>
  </si>
  <si>
    <t>Not the 2005 film starring Johnny Knoxville</t>
  </si>
  <si>
    <t>https://www.theringer.com</t>
  </si>
  <si>
    <t>ringerchill</t>
  </si>
  <si>
    <t>Model | Fashion creator | Art director | Illustrator</t>
  </si>
  <si>
    <t>https://youtube.com/@ringeriscool</t>
  </si>
  <si>
    <t>ringerfantasyfootball</t>
  </si>
  <si>
    <t>We’re The Ringer Fantasy Football Show. But through April we’re also The Ringer NFL Draft Show (it’s confusing). Watch/listen on Spotify &amp; YouTube!</t>
  </si>
  <si>
    <t>https://linktr.ee/ringerfantasyfootball</t>
  </si>
  <si>
    <t>ringer_jewelry</t>
  </si>
  <si>
    <t>רינגר תכשיטים | Ringer</t>
  </si>
  <si>
    <t>חג שמח עם 𝟯𝟬% הנחה! 🍷😍
משלוחים חינם עד הבית❗
! Look And Fell Your Best With Us
⬇ 𝙎𝙝𝙤𝙥 𝙉𝙤𝙬 ⬇</t>
  </si>
  <si>
    <t>https://www.ringers.co.il/</t>
  </si>
  <si>
    <t>ringershep</t>
  </si>
  <si>
    <t>German Shepherd Dog! More active on twitter!</t>
  </si>
  <si>
    <t>https://shep.id</t>
  </si>
  <si>
    <t>ringerverse</t>
  </si>
  <si>
    <t>The Ringer-Verse</t>
  </si>
  <si>
    <t>Welcome to the Ringer-Verse. A @ringer podcast. Follow on @spotify.</t>
  </si>
  <si>
    <t>http://spoti.fi/TheRingerVerse</t>
  </si>
  <si>
    <t>rollingstone</t>
  </si>
  <si>
    <t>https://linkin.bio/rollingstone</t>
  </si>
  <si>
    <t>rollingstoneafrica</t>
  </si>
  <si>
    <t>Rolling Stone Africa</t>
  </si>
  <si>
    <t>The world’s greatest music, film, TV and pop culture magazine is in Africa. Powered by @mwankomofficial</t>
  </si>
  <si>
    <t>http://www.rollingstoneafrica.com</t>
  </si>
  <si>
    <t>rollingstonear</t>
  </si>
  <si>
    <t>Rolling Stone Argentina</t>
  </si>
  <si>
    <t>Instagram oficial de Rolling Stone Argentina</t>
  </si>
  <si>
    <t>https://linktr.ee/rollingstonear</t>
  </si>
  <si>
    <t>rollingstoneaus</t>
  </si>
  <si>
    <t>Rolling Stone AU/NZ</t>
  </si>
  <si>
    <t>Book &amp; Magazine Distributor</t>
  </si>
  <si>
    <t>The Australian &amp; New Zealand home for 
@rollingstone. Music, Culture &amp; More.</t>
  </si>
  <si>
    <t>http://linkin.bio/rollingstoneaus</t>
  </si>
  <si>
    <t>rollingstonebrasil</t>
  </si>
  <si>
    <t>Rolling Stone Brasil</t>
  </si>
  <si>
    <t>Música, cinema, entretenimento e política! 🤘</t>
  </si>
  <si>
    <t>https://linksperfil.com/rollingstone/</t>
  </si>
  <si>
    <t>rollingstonecolombia</t>
  </si>
  <si>
    <t>Rolling Stone en Español</t>
  </si>
  <si>
    <t>COLOMBIA 
Mil acentos, cientos de culturas y una sola voz. ROLLING STONE, el pulso de la cultura, ahora palpita en español.  
@rollingstoneenespanol</t>
  </si>
  <si>
    <t>https://linktr.ee/RollingStoneEnEspanol</t>
  </si>
  <si>
    <t>rollingstone_de</t>
  </si>
  <si>
    <t>Rolling Stone Deutschland</t>
  </si>
  <si>
    <t>Launched in 1994 ///
Die deutsche Ausgabe des legendären Musik- und Kulturmagazins.</t>
  </si>
  <si>
    <t>https://linktr.ee/rollingstonede</t>
  </si>
  <si>
    <t>rollingstoneenespanol</t>
  </si>
  <si>
    <t>Rolling Stone En Español</t>
  </si>
  <si>
    <t>https://es.rollingstone.com/suscripciones-digital/</t>
  </si>
  <si>
    <t>rollingstonees</t>
  </si>
  <si>
    <t>ESPAÑA 🇪🇸
Mil acentos, cientos de culturas y una sola voz. ROLLING STONE, el pulso de la cultura, ahora palpita en español.</t>
  </si>
  <si>
    <t>rollingstonein</t>
  </si>
  <si>
    <t>Rolling Stone India</t>
  </si>
  <si>
    <t>The Indian edition of the world's greatest music and pop culture magazine.</t>
  </si>
  <si>
    <t>https://lnk.bio/rollingstonein</t>
  </si>
  <si>
    <t>rollingstoneitalia</t>
  </si>
  <si>
    <t>Rolling Stone Italia</t>
  </si>
  <si>
    <t>https://linktr.ee/rollingstoneitalia</t>
  </si>
  <si>
    <t>rollingstonejapan</t>
  </si>
  <si>
    <t>Rolling Stone Japan</t>
  </si>
  <si>
    <t>The official Instagram of RollingStone Japan.</t>
  </si>
  <si>
    <t>https://rollingstonejapan.com</t>
  </si>
  <si>
    <t>rollingstonekorea</t>
  </si>
  <si>
    <t>𝐑𝐨𝐥𝐥𝐢𝐧𝐠 𝐒𝐭𝐨𝐧𝐞 𝐊𝐨𝐫𝐞𝐚 | 롤링스톤코리아</t>
  </si>
  <si>
    <t>#1 대중문화 매거진
#롤링스톤코리아</t>
  </si>
  <si>
    <t>https://linkin.bio/rollingstonekorea</t>
  </si>
  <si>
    <t>rollingstonemx</t>
  </si>
  <si>
    <t>MÉXICO</t>
  </si>
  <si>
    <t>https://es.rollingstone.com/ryan-castro-la-valentia-de-ayer-el-exito-de-hoy/</t>
  </si>
  <si>
    <t>rollingstoneph</t>
  </si>
  <si>
    <t>Rolling Stone Philippines</t>
  </si>
  <si>
    <t>Reinventing the Rules.
Reframing Culture.</t>
  </si>
  <si>
    <t>https://rollingstonephilippines.com</t>
  </si>
  <si>
    <t>rollingstoneuk</t>
  </si>
  <si>
    <t>Rolling Stone UK</t>
  </si>
  <si>
    <t>The world’s leading music, film, TV and culture magazine has arrived in the UK.</t>
  </si>
  <si>
    <t>https://linkin.bio/rollingstoneuk</t>
  </si>
  <si>
    <t>therollingstones</t>
  </si>
  <si>
    <t>The Rolling Stones</t>
  </si>
  <si>
    <t>@rollingstonesstore @rollingstonescarnaby @crossfirerum @subversivescents</t>
  </si>
  <si>
    <t>https://linktr.ee/therollingstones</t>
  </si>
  <si>
    <t>rottentomatoes</t>
  </si>
  <si>
    <t>Discover something Fresh with our new Rotten Tomatoes app!</t>
  </si>
  <si>
    <t>https://sprout.link/rottentomatoes/</t>
  </si>
  <si>
    <t>salon.loris</t>
  </si>
  <si>
    <t>ВЕЧІРНІ | ВИПУСКНІ СУКНІ</t>
  </si>
  <si>
    <t>Сукні мрії 💫
Розміри XS-XXXL 
ОПТ-роздріб
м.Чернівці
🚚відправка по всьому 🌍
  ТРК «Добробут» 
📍5 ряд / 3сектор / 7,8-10,11,12
📞+380508056273</t>
  </si>
  <si>
    <t>https://instagram.com/loris_2shop</t>
  </si>
  <si>
    <t>salon.sephora</t>
  </si>
  <si>
    <t>صالون سيفورا  |  salon sephora</t>
  </si>
  <si>
    <t>Beauty Salon</t>
  </si>
  <si>
    <t>العنـوان : البصره - حي الخضراء - الشمشومية
شـارع المطاحـن قـرب افران اليوسـف📍
للحجز والاستفسار 07750003335 ☎️</t>
  </si>
  <si>
    <t>https://maps.app.goo.gl/6Exn85K6RiRpRkFMA?g_st=ic</t>
  </si>
  <si>
    <t>salon.tw</t>
  </si>
  <si>
    <t>Florist</t>
  </si>
  <si>
    <t>Simple lifestyle flower shop 
Thur-Sat |12:00-16:00
鮮花/植物/課程/佈置</t>
  </si>
  <si>
    <t>treat.salon</t>
  </si>
  <si>
    <t>Treat Salon</t>
  </si>
  <si>
    <t>Your go-to destination to [treating] yourself 🪞 
Riyadh
Open all week
11 am - 12 am 
+966 55 747 0485</t>
  </si>
  <si>
    <t>https://iwtsp.com/966557470485</t>
  </si>
  <si>
    <t>saveurbistrot</t>
  </si>
  <si>
    <t>Saveur Bistrot</t>
  </si>
  <si>
    <t>Casa do @chefthiagoparaiso
Eleito três vezes o Melhor Bistrô de Brasília (Correio Braziliense)
Quinta a sábado, das 19h às 23h30</t>
  </si>
  <si>
    <t>https://usetag.me/saveurbistrot</t>
  </si>
  <si>
    <t>saveur_bloom1</t>
  </si>
  <si>
    <t>SAVEUR BLOOM</t>
  </si>
  <si>
    <t>Coffee shop</t>
  </si>
  <si>
    <t>"Ouvrez la porte de notre monde sucré, où chaque dessert est une pièce unique d'art culinaire. Laissez-vous séduire par nos créations gourmandes" ! ❤️</t>
  </si>
  <si>
    <t>https://maps.app.goo.gl/tGNo4T97KGTQQzpi8?g_st=ic</t>
  </si>
  <si>
    <t>saveur_bonjour</t>
  </si>
  <si>
    <t>SAVEUR</t>
  </si>
  <si>
    <t>SAVEUR  田園調布　
10:00〜19:00
定休日　水曜日（祝日は営業）
ONLINE STORE（毎週日曜日10時30より販売）
※sold outになった場合、次の日曜日の販売
大田区田園調布2-51-1（田園調布駅東口より徒歩3分）
03-5483-0071</t>
  </si>
  <si>
    <t>https://saveurbonjour.com/</t>
  </si>
  <si>
    <t>saveur.cakenbake</t>
  </si>
  <si>
    <t>Saveur Cake &amp; Bake | İzmir</t>
  </si>
  <si>
    <t>📍Alsancak, İtalya Sokak |  İzmir
BREAKFAST • DESSERT • COFFEE &amp; more 
⏰ 09:30 - 19:00
📌Location 👇🏻</t>
  </si>
  <si>
    <t>https://maps.app.goo.gl/Svw5kySmvFzXFFMY9?g_st=com.google.maps.preview.copy</t>
  </si>
  <si>
    <t>saveur_hj</t>
  </si>
  <si>
    <t>HJ</t>
  </si>
  <si>
    <t>💥Poésie brute - Disponible sur amazon 👇
Poèmes à lire seul(e), ou bien accompagné(e) 😏
🛟Back up : @saveurhj</t>
  </si>
  <si>
    <t>https://linktr.ee/SaveurHJ</t>
  </si>
  <si>
    <t>saveurmag</t>
  </si>
  <si>
    <t>By the editors of SAVEUR. #eattheworld
Since 1994</t>
  </si>
  <si>
    <t>https://smartlink.bio/saveurmag</t>
  </si>
  <si>
    <t>saveurope_</t>
  </si>
  <si>
    <t>SAVE EUROPE</t>
  </si>
  <si>
    <t>Content creator for the fun camp 😎
Europe has not fallen 💪🔥
⬇️ Support my work ⬇️</t>
  </si>
  <si>
    <t>http://whatis.remigration.eu</t>
  </si>
  <si>
    <t>saveurslakay</t>
  </si>
  <si>
    <t>Kremas Saveurs Lakay</t>
  </si>
  <si>
    <t>The best kremas 🍸🥥 you will ever taste. 
Click the link in bio to 👇🏾
Contact us 754 900 6113 📲 
Must be 21 to follow!
Drink responsibly!👇🏽</t>
  </si>
  <si>
    <t>https://www.freesample.saveurslakay.com/free-samples1588842814916</t>
  </si>
  <si>
    <t>sbnation</t>
  </si>
  <si>
    <t>Sports Blog Nation</t>
  </si>
  <si>
    <t>http://linkin.bio/sbnation/</t>
  </si>
  <si>
    <t>sbnationnba</t>
  </si>
  <si>
    <t>SB Nation NBA</t>
  </si>
  <si>
    <t>Your usual fun coverage of the NBA and WNBA, now on Instagram.</t>
  </si>
  <si>
    <t>http://sbnation.com/nba/</t>
  </si>
  <si>
    <t>scientific_american</t>
  </si>
  <si>
    <t>A legacy of discovery. A future of innovation.</t>
  </si>
  <si>
    <t>https://linkin.bio/scientific_american</t>
  </si>
  <si>
    <t>screendaily</t>
  </si>
  <si>
    <t>Screen International</t>
  </si>
  <si>
    <t>🏆 The world's leading independent film trade publication - follow for the latest film pictures, news, reviews and features! 🏆</t>
  </si>
  <si>
    <t>https://linktr.ee/screendaily2</t>
  </si>
  <si>
    <t>screenrant</t>
  </si>
  <si>
    <t>Screen Rant debuted in 2003 and has grown into the largest source of breaking entertainment news &amp; original features for movies, TV, comics, + more!</t>
  </si>
  <si>
    <t>https://smartlink.bio/screenrant</t>
  </si>
  <si>
    <t>seekingalpha</t>
  </si>
  <si>
    <t>Investing Service</t>
  </si>
  <si>
    <t>Your source for market analysis and expert opinions</t>
  </si>
  <si>
    <t>http://seekingalpha.com</t>
  </si>
  <si>
    <t>seekingalphapod</t>
  </si>
  <si>
    <t>🎙️ Seeking Alpha Pod by @larissabundz &amp; @lindsayposs
💡 Your sherpas in crypto, careers &amp; dating</t>
  </si>
  <si>
    <t>https://luma.com/9iq8didt</t>
  </si>
  <si>
    <t>segment0</t>
  </si>
  <si>
    <t>디자인편집샵, 하우스 오브 세그먼트</t>
  </si>
  <si>
    <t>Household supplies</t>
  </si>
  <si>
    <t>서울시 서초구 방배로 42길 60 
02-533-2012 
🇳🇱 Fatboy  🇫🇷 Mojow  🇦🇹 Ovis    
🇮🇹 Atipico  🇫🇷 DCW    🇷🇴Helen B
및 다수브랜드 한국 공식 수입사</t>
  </si>
  <si>
    <t>http://www.segment.kr/</t>
  </si>
  <si>
    <t>segment.a</t>
  </si>
  <si>
    <t>세그먼트에이</t>
  </si>
  <si>
    <t>Fashion Accessories</t>
  </si>
  <si>
    <t>주얼리 편집 브랜드(Since 2005)
📍신세계 본점/강남점/사우스시티/대전 Art &amp; Science
📍롯데 본점/인천점/동탄점/타임빌라스 수원
문의 가능시간 : 평일 AM10:00~PM5:00</t>
  </si>
  <si>
    <t>https://www.segmenta.co.kr</t>
  </si>
  <si>
    <t>segment.id</t>
  </si>
  <si>
    <t>Segment Interior Design</t>
  </si>
  <si>
    <t>THE FIRM OF INTERIOR DESIGN AND ARCHITECTURE - EGYPT .</t>
  </si>
  <si>
    <t>http://www.segment-id.com/</t>
  </si>
  <si>
    <t>segmentoarmado</t>
  </si>
  <si>
    <t>Segmento Armado</t>
  </si>
  <si>
    <t>Hola, soy Sierra [Mexicano 🇲🇽]
Youtuber bélico [+800K subs] 🔥
Te hablo de armas de fuego usando memes, videojuegos y perritos ✨</t>
  </si>
  <si>
    <t>https://youtube.com/@segmentoarmado?si=HDkwWLaGXeS-QhSR</t>
  </si>
  <si>
    <t>segmentofutbolec</t>
  </si>
  <si>
    <t>Segmento Fútbol</t>
  </si>
  <si>
    <t>Somos el hogar del deporte nacional e internacional en las redes sociales!🎙️🇪🇨⚽
📩 Contacto: info@segmentofutbol.com</t>
  </si>
  <si>
    <t>https://linktr.ee/segmentofutbol</t>
  </si>
  <si>
    <t>24hseries</t>
  </si>
  <si>
    <t>24HSERIES</t>
  </si>
  <si>
    <t>Official account of #24HSERIES
12- and 24-hour races at famous race tracks
This Is Endurance
Up next: Michelin 24H BARCELONA 🇪🇸
Info⬇️</t>
  </si>
  <si>
    <t>https://linktr.ee/24hseries</t>
  </si>
  <si>
    <t>buscandobuenaspelis</t>
  </si>
  <si>
    <t>Películas | Series | Noticias</t>
  </si>
  <si>
    <t>La casa del cine 🎬
📩 buscandobuenaspelis@gmail.com
Descargá Lemon Cash acá 🍋</t>
  </si>
  <si>
    <t>https://lemon.go.link/c8wrO</t>
  </si>
  <si>
    <t>dicastreaming</t>
  </si>
  <si>
    <t>Ricelli | Filmes e Séries</t>
  </si>
  <si>
    <t>🧀 Filmes e séries com um tempero mineiro
📩 dicastreaming@farol.ag
👇 ASSINE O DISNEY+ AQUI:</t>
  </si>
  <si>
    <t>https://panelfuelresearch.trknw.com/?a=98&amp;c=1102&amp;s1=DICA&amp;S2=Unique_ID</t>
  </si>
  <si>
    <t>esmovies</t>
  </si>
  <si>
    <t>Frases De Peliculas y Series 🎬</t>
  </si>
  <si>
    <t>🍿Errores de películas, series 🍿🎬
Para más frases de películas, únetenos⬇️</t>
  </si>
  <si>
    <t>http://link.me/somosguerreros</t>
  </si>
  <si>
    <t>moviesforseries</t>
  </si>
  <si>
    <t>Movies For Series</t>
  </si>
  <si>
    <t>İyi filmler unutulmasın diye buradayım.
📩 moviesforseries@gmail.com</t>
  </si>
  <si>
    <t>https://youtube.com/@moviesforseries</t>
  </si>
  <si>
    <t>mundoseriesbr</t>
  </si>
  <si>
    <t>Mundo das Séries</t>
  </si>
  <si>
    <t>📺 As melhores dicas de Séries e Filmes
📥 mundoseriesbr@vaideonda.com.br</t>
  </si>
  <si>
    <t>https://sandwiche.me/msbr</t>
  </si>
  <si>
    <t>series__editor</t>
  </si>
  <si>
    <t>series editor</t>
  </si>
  <si>
    <t>📩:workwithserieseditor@gmail.com
DM for ads/promos.</t>
  </si>
  <si>
    <t>series.so</t>
  </si>
  <si>
    <t>Software Company</t>
  </si>
  <si>
    <t>Connect With Anyone Instantly.</t>
  </si>
  <si>
    <t>https://series.so</t>
  </si>
  <si>
    <t>sigofilmes</t>
  </si>
  <si>
    <t>Filmes e Séries</t>
  </si>
  <si>
    <t>🎥 | As melhores dicas de bons filmes e séries pra você.
🎞 | Todos os filmes e séries que postamos, está no LINK ABAIXO 👇🏼</t>
  </si>
  <si>
    <t>https://abrir.link/SiMzw</t>
  </si>
  <si>
    <t>svnsseries</t>
  </si>
  <si>
    <t>HSBC SVNS</t>
  </si>
  <si>
    <t>Home of Rugby 7s🏉🪩 
#HSBCSVNS</t>
  </si>
  <si>
    <t>https://www.svns.com/en</t>
  </si>
  <si>
    <t>whit.series</t>
  </si>
  <si>
    <t>МАГАЗИН ВРЕМЕННО ЗАКРЫТ‼️</t>
  </si>
  <si>
    <t>мы закрыты из за китайского нового года
(Наши поставщики уже остановили свою работу)
Будем работать с середины февраля😊</t>
  </si>
  <si>
    <t>world_seriesss</t>
  </si>
  <si>
    <t>World Series</t>
  </si>
  <si>
    <t>▪️Лучшие моменты из сериалов/фильмов/интервью! 🌍
▪️Канал открыт к сотрудничеству!👇</t>
  </si>
  <si>
    <t>seriouseats</t>
  </si>
  <si>
    <t>Good cooks know how. Great cooks know why.                           
Looking for the recipe? Click here. ⬇️</t>
  </si>
  <si>
    <t>https://likeshop.me/seriouseats</t>
  </si>
  <si>
    <t>say_7teen</t>
  </si>
  <si>
    <t>SEVENTEEN🍭</t>
  </si>
  <si>
    <t>17 CARAT that can't be imitated💎 (a proud carat)
@saythename_17 🩷🩵
my edits 🌻©:7TEEN
check- story for svt updates, highlights to know every era✨</t>
  </si>
  <si>
    <t>https://www.youtube.com/@say_7teen</t>
  </si>
  <si>
    <t>saythename_17</t>
  </si>
  <si>
    <t>SEVENTEEN</t>
  </si>
  <si>
    <t>#SEVENTEEN Official Instagram
에스쿱스X민규 1st MINI ALBUM ‘𝙃𝙔𝙋𝙀 𝙑𝙄𝘽𝙀𝙎’
Trailer : JOIN OUR VIBE</t>
  </si>
  <si>
    <t>https://youtu.be/NkbjgNh06bQ</t>
  </si>
  <si>
    <t>seventeen</t>
  </si>
  <si>
    <t>It all starts at 17.</t>
  </si>
  <si>
    <t>https://likeshop.me/seventeen</t>
  </si>
  <si>
    <t>seventeen_13update</t>
  </si>
  <si>
    <t>Backup account @7teen_crt
My loved. @saythename_17                                                      DM for promotions 🩵🩷</t>
  </si>
  <si>
    <t>seventeen_weverse</t>
  </si>
  <si>
    <t>seventeen weverse updates ⚡️</t>
  </si>
  <si>
    <t>Translator</t>
  </si>
  <si>
    <t>• @saythename_17
• speedy updates w/ accurate translations
• stream gogae ↷</t>
  </si>
  <si>
    <t>https://youtu.be/JC2J-10_8wk</t>
  </si>
  <si>
    <t>xuminghao_o</t>
  </si>
  <si>
    <t>SEVENTEEN The8</t>
  </si>
  <si>
    <t>kof__shop</t>
  </si>
  <si>
    <t>KOF SHÓP | спортивная одежда</t>
  </si>
  <si>
    <t>🤍 твоя идея — наша реализация 
🤍 собери костюм, как лего
🤍 укрась вышивкой
.
worldwide shipping @kof_shop_en
принимаем заказы только через сайт 🫂</t>
  </si>
  <si>
    <t>https://kof-shop.ru/</t>
  </si>
  <si>
    <t>madina_shop_osh</t>
  </si>
  <si>
    <t>ЖЕНСКАЯ ОДЕЖДА/ОШ/РУБАШКА/ВЫПУСКНОЙ ОДЕЖДА /вечерние платья</t>
  </si>
  <si>
    <t>Доступные цены🤑
Одежда для всей семьи 👨‍👩‍👧‍👧
Доставка по всему КР🇰🇬
Доставка в РФ🇷🇺
Город:Ош
Адрес:А .Масалиева 15а/1</t>
  </si>
  <si>
    <t>rose3.shop</t>
  </si>
  <si>
    <t>Rose Gifts &amp; Loungewear 🎁</t>
  </si>
  <si>
    <t>Gift Shop</t>
  </si>
  <si>
    <t>▪️ליצור קשר: 0504995520 ☎️
▪️כתובת: דבוריה, רחוב בית אבות, בניין 34 📍
▪️ שעות עבודה: כל השבוע 9:00-22:00</t>
  </si>
  <si>
    <t>shallowshop_</t>
  </si>
  <si>
    <t>Shallow shop</t>
  </si>
  <si>
    <t>تولیدی کفش شلو شاپ
ثبت سفارش از طریق سایت و دایرکت
سفارش عمده در واتسپ
پشتیبانی: ۰۹۳۸۹۴۸۴۰۴۲
📍based in tehran</t>
  </si>
  <si>
    <t>http://shallowshop.ir</t>
  </si>
  <si>
    <t>shop_to_shop</t>
  </si>
  <si>
    <t>SHOP TO SHOP</t>
  </si>
  <si>
    <t>𝗠𝗦𝗞 Большие Каменщики 9сС
Пн-Вс: 11:00-22:00
𝗦𝗣𝗕 Гороховая ул., 75
Пн-Вс: 11:00-21:00 
@shop_to_shop.spb</t>
  </si>
  <si>
    <t>https://shoptoshop.ru</t>
  </si>
  <si>
    <t>showme.style</t>
  </si>
  <si>
    <t>Show Me.</t>
  </si>
  <si>
    <t>Online Fashion 🛍
‎משלוחים מהירים עד הבית 🛵
Whatsapp  054-9215565</t>
  </si>
  <si>
    <t>http://www.showme.style</t>
  </si>
  <si>
    <t>show.o_</t>
  </si>
  <si>
    <t>SHOW.O</t>
  </si>
  <si>
    <t>Show.O(ショウ・オー) from Japan
Berlin&gt;&gt;&gt;September / October 
DM for tattoo booking &lt;3&lt;3&lt;3
Secret Base in Neukölln</t>
  </si>
  <si>
    <t>http://www.show-o.com/</t>
  </si>
  <si>
    <t>showpo</t>
  </si>
  <si>
    <t>SHOWPO</t>
  </si>
  <si>
    <t>Designed in Australia. Worn worldwide.
Made to make you feel confident, always.</t>
  </si>
  <si>
    <t>https://linktr.ee/showpo.com</t>
  </si>
  <si>
    <t>showtheworld.1</t>
  </si>
  <si>
    <t>Show the world🌍 🔍شاهد العالم</t>
  </si>
  <si>
    <t>Travel influencer ✈️ 🌍
منشارك تجارب ومغامرات مميزة من رحلاتنا❤️ 
 + أكثر محتوى سفر مُفيد للبلاد والخارج
📩للتعاون: Showtheworld.2022@gmail.com</t>
  </si>
  <si>
    <t>https://wa.link/6pdd3r</t>
  </si>
  <si>
    <t>sightandsoundtheatres</t>
  </si>
  <si>
    <t>Sight &amp; Sound Theatres®</t>
  </si>
  <si>
    <t>Performance Art Theatre</t>
  </si>
  <si>
    <t>"Where the Bible Comes to Life!"</t>
  </si>
  <si>
    <t>https://www.sight-sound.com</t>
  </si>
  <si>
    <t>skyenewman__</t>
  </si>
  <si>
    <t>Skye Newman</t>
  </si>
  <si>
    <t>Causing chaos since ‘03
-
listen to ‘Out Out’ now at the link below
-
TikTok - skyenewman_</t>
  </si>
  <si>
    <t>http://skyenewman.com</t>
  </si>
  <si>
    <t>skynews</t>
  </si>
  <si>
    <t>Get the full story first. Free, wherever you get your news 👇🌍</t>
  </si>
  <si>
    <t>https://linkin.bio/skynews</t>
  </si>
  <si>
    <t>skynewsarabia</t>
  </si>
  <si>
    <t>سكاي نيوز عربية</t>
  </si>
  <si>
    <t>الخبر الأكثر دقة وسرعة على مدار الساعة عبر شاشتنا ومنصاتنا الرقمية.
www.skynewsarabia.com</t>
  </si>
  <si>
    <t>https://empli.fi/skynewsarabia/</t>
  </si>
  <si>
    <t>skynewsaustralia</t>
  </si>
  <si>
    <t>Sky News Australia</t>
  </si>
  <si>
    <t>Real news, honest views from Sky News Australia.</t>
  </si>
  <si>
    <t>https://www.skynews.com.au</t>
  </si>
  <si>
    <t>skynewspunjab</t>
  </si>
  <si>
    <t>Sky News Punjab</t>
  </si>
  <si>
    <t>Sky News Punjab is a medium of fearless journalism dedicated to the people of Punjab</t>
  </si>
  <si>
    <t>slate</t>
  </si>
  <si>
    <t>A daily magazine on the web.</t>
  </si>
  <si>
    <t>https://linkin.bio/ig-slate</t>
  </si>
  <si>
    <t>slateauto</t>
  </si>
  <si>
    <t>Slate Auto</t>
  </si>
  <si>
    <t>We built it. You make it. A radically simple, affordable and personalizable truck (or SUV, your call). Reserve now for just $50.</t>
  </si>
  <si>
    <t>http://tr.ee/WvPrH1</t>
  </si>
  <si>
    <t>slatemilk</t>
  </si>
  <si>
    <t>Slate Milk</t>
  </si>
  <si>
    <t>Slate makes you strong.
💪 High Protein Drinks
💯 Lactose free
⚡️ DM us "#strength" for a free can
Certified Plastic Neutral | Recycle our cans.</t>
  </si>
  <si>
    <t>https://linktr.ee/slatemilk</t>
  </si>
  <si>
    <t>slatetulsa</t>
  </si>
  <si>
    <t>SLΛTE SALON ( Tulsa &amp; OKC )</t>
  </si>
  <si>
    <t>Tanning Salon</t>
  </si>
  <si>
    <t>✧Organic Spray Tanning
✧Organic Dermaplaning &amp; Gua Sha Facial 
✧Over 1,000+ (5 ⭐️) Reviews 
✧Self Care Ambassadors ™</t>
  </si>
  <si>
    <t>http://slatetulsa.com/</t>
  </si>
  <si>
    <t>adun.oluwa</t>
  </si>
  <si>
    <t>Adùn (Mrs U.) - Christian Creative | Social Media Manager</t>
  </si>
  <si>
    <t>✝️| JESUS LOVES YOU
📍| Building @omode.ng | @explore.benincity 
🎯| Faith | Content Creation | SMM | PR
🎓| Ready to buy my course? DM “PUSH”</t>
  </si>
  <si>
    <t>https://msha.ke/adunoluwa</t>
  </si>
  <si>
    <t>amutamedia</t>
  </si>
  <si>
    <t>SOCIAL MEDIA ADS &amp; GROWTH EXPERT |  IG &amp; FB SUPPORT</t>
  </si>
  <si>
    <t>🚀 Social Media Ads &amp; Strategy Expert
💼 Helped 20k+ brands grow online
🔧 Fixed 5k+ account issues &amp; setups
📈 IG &amp; FB Support |Growth|Optimization👇</t>
  </si>
  <si>
    <t>https://selar.com/m/amuta-media1</t>
  </si>
  <si>
    <t>bangerbuddy</t>
  </si>
  <si>
    <t>The Party Social Media</t>
  </si>
  <si>
    <t>🥳</t>
  </si>
  <si>
    <t>clublifedesign</t>
  </si>
  <si>
    <t>Instagram &amp; social media experts</t>
  </si>
  <si>
    <t>We helped over 36 000 new creators  @explorerssaurus_ &amp; @mariefeandjakesnow . Text us “UGC” for a free content class &amp; “READY” for passive 💸 tips</t>
  </si>
  <si>
    <t>https://linktr.ee/clublifedesign</t>
  </si>
  <si>
    <t>inspiredmediaco</t>
  </si>
  <si>
    <t>ALYSSA | SOCIAL MEDIA STRATEGIST + MANAGER l EDUCATOR |</t>
  </si>
  <si>
    <t>crafting unselfish content™ + you-coded content™
·clients ft in forbes,GMA,vogue 
·alyssa@inspiredmediaco.com
·OC/LA
·by @acevangelistaaa 
⇩minimind</t>
  </si>
  <si>
    <t>https://coaching.inspiredmediaco.com/</t>
  </si>
  <si>
    <t>instacoachmike</t>
  </si>
  <si>
    <t>Mikhail Gribov | 7 fig Business and Social Media Coach</t>
  </si>
  <si>
    <t>🤝 I help you turn followers into customers
💰 Made $5mln last year on Instagram 
🚀 Grew 3 IG accounts in 3 languages to 2mln
👇1:1 coaching</t>
  </si>
  <si>
    <t>https://www.organicsales.io/book-now-c1-ig-4765</t>
  </si>
  <si>
    <t>marketingharry</t>
  </si>
  <si>
    <t>Hrabren Lindfors | Social Media Marketing</t>
  </si>
  <si>
    <t>👹• Dominate your social presence and business
🥋• By getting your black belt in content marketing
👇• Lessons from 20,000 posts + 8M followers</t>
  </si>
  <si>
    <t>https://stan.store/marketingharry</t>
  </si>
  <si>
    <t>markting_dubai</t>
  </si>
  <si>
    <t>Organic social media • Personal Branding</t>
  </si>
  <si>
    <t>Gained 310k ORGANIC followers in 3 months 
🚀 Did same for my clients 
Wanna be the next? 👇🏻</t>
  </si>
  <si>
    <t>https://sales-dubai.com</t>
  </si>
  <si>
    <t>officialpwnkumar</t>
  </si>
  <si>
    <t>Pawan Kumar • Social Media Marketing | AI</t>
  </si>
  <si>
    <t>🌱 Helping Brands Grow on Social Media with AI
🚀 Pro* Content | SMM | AI Tools 
🎯 17M+ grown, 1.5B+ views 
📧 Collabs  : officialpwnkumar@gmail.com</t>
  </si>
  <si>
    <t>http://www.officialpwnkumar.com</t>
  </si>
  <si>
    <t>sociallyybri</t>
  </si>
  <si>
    <t>Brianna | Social Media Manager | IG + Email Marketing</t>
  </si>
  <si>
    <t>Your cozy scroll for feel-good growth ☁️🩰✨
Marketing tips, mindful routines, content that actually converts.
🍓Fully Booked for MGMT | 1:1 Spots Open</t>
  </si>
  <si>
    <t>http://sociallybrimedia.com</t>
  </si>
  <si>
    <t>social__media_celebrity</t>
  </si>
  <si>
    <t>social media celebrity</t>
  </si>
  <si>
    <t>second account @social_media_celebrity1
Target 60k🎯
DM FOR PAID PRAMOTION💌💰
Note:This videos is not intended to hurt anyone, it's all in good fun😅</t>
  </si>
  <si>
    <t>socialstocks.co</t>
  </si>
  <si>
    <t>Social media videos</t>
  </si>
  <si>
    <t>Life isn’t perfect but your content can be 👀 Elevate your brand with 5000+ trendy visuals! Your next post, reel, ad, shorts is just a download away 🔗✨</t>
  </si>
  <si>
    <t>https://linktr.ee/socialsstudio</t>
  </si>
  <si>
    <t>socialwithinitial</t>
  </si>
  <si>
    <t>Initial | Instagram Growth Coach | Social Media Management</t>
  </si>
  <si>
    <t>👉🏼 Helping your service based biz get seen &amp; sell
📈 52M+ reach, 2.6M student growth
🧠 No ads. Just systems that work
↓ Join my community</t>
  </si>
  <si>
    <t>https://beacons.ai/socialwithinitial</t>
  </si>
  <si>
    <t>thekingmichelle</t>
  </si>
  <si>
    <t>Michelle King | Social Media Manager &amp; Instagram Strategist</t>
  </si>
  <si>
    <t>💻 Growing businesses on social media 
🛠 Founder &amp; CEO @contelp_
👇Work with me</t>
  </si>
  <si>
    <t>http://contelp.com/links</t>
  </si>
  <si>
    <t>wayup_media</t>
  </si>
  <si>
    <t>WayUp Media | Content Creation | Social Media Management</t>
  </si>
  <si>
    <t>🎥 We Create Engaging Content
📈 For Businesses, Real Estate &amp; Individuals
📸 Photography | Videography | Drone
📱Bookings &amp; Social Media Management</t>
  </si>
  <si>
    <t>https://linktr.ee/wayupmedia</t>
  </si>
  <si>
    <t>whitneybartlette.social</t>
  </si>
  <si>
    <t>Whitney | Instagram Growth &amp; Social Media Marketing</t>
  </si>
  <si>
    <t>🌸Helping content creators and business owners grow &amp; sell on IG with clarity, confidence &amp; ease
🎉0-700k followers in 2024
💫 Free Content Prompts 👇🏼</t>
  </si>
  <si>
    <t>https://beacons.ai/whitneybartlettesocial</t>
  </si>
  <si>
    <t>your_social_media_bestie</t>
  </si>
  <si>
    <t>Sephina // Social media manager &amp; Coach</t>
  </si>
  <si>
    <t>✨Helping Coaches, Brands and SMMs nail their brand messaging, get more visibility and sales online 
⬇️STEAL MY SERIES TEMPLATE⬇️</t>
  </si>
  <si>
    <t>https://linktr.ee/your_social_media_bestie</t>
  </si>
  <si>
    <t>scmpnews</t>
  </si>
  <si>
    <t>Moments from Hong Kong, China and the rest of Asia. Get our app: https://sc.mp/app_ig</t>
  </si>
  <si>
    <t>http://sc.mp/instagram</t>
  </si>
  <si>
    <t>spindablokk_</t>
  </si>
  <si>
    <t>ﹺ</t>
  </si>
  <si>
    <t>Don’t @ Me</t>
  </si>
  <si>
    <t>spinmodelmanagement</t>
  </si>
  <si>
    <t>http://www.spinmodelmanagement.com/</t>
  </si>
  <si>
    <t>spin.with.jim</t>
  </si>
  <si>
    <t>James Wickenden</t>
  </si>
  <si>
    <t>🇬🇧 I like riding bikes… generally with a beer afterwards 🚴Cycling tech &amp; tips</t>
  </si>
  <si>
    <t>https://linktr.ee/spinwithjim</t>
  </si>
  <si>
    <t>si_soccer</t>
  </si>
  <si>
    <t>Sports Illustrated Soccer</t>
  </si>
  <si>
    <t>The official soccer wing of @sportsillustrated ⚽️</t>
  </si>
  <si>
    <t>https://youtu.be/kTMUW-Bf6hY?si=2nmm4Olyi6wD6KjP</t>
  </si>
  <si>
    <t>si_swimsuit</t>
  </si>
  <si>
    <t>Sports Illustrated Swimsuit</t>
  </si>
  <si>
    <t>EST. 1964 | Bold stories. Legendary women. 
#SISwim25 on stands now.</t>
  </si>
  <si>
    <t>https://hoo.be/siswimsuit</t>
  </si>
  <si>
    <t>sportsillustrated</t>
  </si>
  <si>
    <t>Check out all of SI’s stories ⬇️</t>
  </si>
  <si>
    <t>https://lnk.bio/sportsillustrated</t>
  </si>
  <si>
    <t>sportsillustrated_allworlds</t>
  </si>
  <si>
    <t>PROMOTION</t>
  </si>
  <si>
    <t>#𝟭#𝐖𝐞 𝐏𝐫𝐨𝐦𝐨𝐭𝐞 🅰🅻🅻 𝐏𝐨𝐝𝐜𝐚𝐬𝐭
Capturing athletes in their most electrifying moments. Your daily dose of power , precision , and passio</t>
  </si>
  <si>
    <t>https://www.si.com/nba/cooper-flagg-the-next-stage?fbclid=PAQ0xDSwLkkTVleHRuA2FlbQIxMQABp7OwXjwW6AhCXteJYYu1X1mvqXEm4srImgoIypxYxOebAn_g7JAPakapyEt4_aem_yTxPl4yCdUeIOr5IHmzAqA</t>
  </si>
  <si>
    <t>sportsillustrated_de</t>
  </si>
  <si>
    <t>Sports Illustrated Deutschland</t>
  </si>
  <si>
    <t>Weil Sport mehr ist. 
Der offizielle Instagram Account von #SIDeutschland</t>
  </si>
  <si>
    <t>http://sportsillustrated.de</t>
  </si>
  <si>
    <t>sportsillustratedfc</t>
  </si>
  <si>
    <t>Sports Illustrated FC</t>
  </si>
  <si>
    <t>The official football handle of @sportsillustrated.</t>
  </si>
  <si>
    <t>https://lnk.bio/sportsillustratedfc</t>
  </si>
  <si>
    <t>sportsillustratedfutbol</t>
  </si>
  <si>
    <t>Sports Illustrated Fútbol</t>
  </si>
  <si>
    <t>La cuenta oficial de fútbol en español de @sportsillustrated</t>
  </si>
  <si>
    <t>sportsillustrated.mexico</t>
  </si>
  <si>
    <t>Sports Illustrated México</t>
  </si>
  <si>
    <t>¡La "Biblia del Deporte" llegó a México! #HagamosHistoria</t>
  </si>
  <si>
    <t>https://www.si.com/mx</t>
  </si>
  <si>
    <t>b.statement</t>
  </si>
  <si>
    <t>B STATEMENT</t>
  </si>
  <si>
    <t>Тотальная распродажа перед закрытием проекта</t>
  </si>
  <si>
    <t>https://bstatement.ru/</t>
  </si>
  <si>
    <t>statementbeauty.co</t>
  </si>
  <si>
    <t>STATEMENT</t>
  </si>
  <si>
    <t>Make your STATEMENT.
Your go-to for the everyday, the extra glam, and the everything in between ✨
Halal • Vegan • Cruelty-Free</t>
  </si>
  <si>
    <t>https://linktr.ee/statementbeauty</t>
  </si>
  <si>
    <t>statement.boutique</t>
  </si>
  <si>
    <t>Statement Boutique</t>
  </si>
  <si>
    <t>STATEMENT style, elevated by essentials
NE based 📍mobile boutique pop-up’s
shop online or download our app ↓ 
Follow our owner @lovely.farmlife</t>
  </si>
  <si>
    <t>https://statementdowntown.com</t>
  </si>
  <si>
    <t>statementbrand</t>
  </si>
  <si>
    <t>| Iconic Genuine Leather |
Statement clothes for Statement people⚡️
De segunda à sexta das 10h às 19h 
Sábados: 10h às 14h. 
We ship worldwide 📦</t>
  </si>
  <si>
    <t>https://linktr.ee/Statementbrandbr</t>
  </si>
  <si>
    <t>statement.clo</t>
  </si>
  <si>
    <t>STATEMENT®</t>
  </si>
  <si>
    <t>BASIC RESTOCK
OUT NOW</t>
  </si>
  <si>
    <t>http://www.statement-clo.de/</t>
  </si>
  <si>
    <t>statementcollective_</t>
  </si>
  <si>
    <t>Statement Collective</t>
  </si>
  <si>
    <t>Accessories</t>
  </si>
  <si>
    <t>✠ Sterling Silver &amp; Stainless Steel Jewellery 
✠ Worldwide Shipping 
✠ Designed in Australia</t>
  </si>
  <si>
    <t>https://statementcollective.com</t>
  </si>
  <si>
    <t>statement.mz</t>
  </si>
  <si>
    <t>Statement Jewelry</t>
  </si>
  <si>
    <t>❣️𝗟𝗢𝗝𝗔 𝗢𝗡𝗟𝗜𝗡𝗘 
✨Make a lasting statement 
✨Enviamos para todo país
✨DM for details
⏰Atendimento de Seg a Sáb 9h-20h
 𝐈𝐍𝐅𝐎 𝐧𝐨 𝐬𝐭𝐨𝐫𝐢𝐞𝐬 𝐚𝐛𝐚𝐢𝐱𝐨 ⬇️</t>
  </si>
  <si>
    <t>https://vm.tiktok.com/ZMNQ2JUDs/</t>
  </si>
  <si>
    <t>statementnz</t>
  </si>
  <si>
    <t>Statement Streetwear</t>
  </si>
  <si>
    <t>Footwear store</t>
  </si>
  <si>
    <t>📍145 Lambton Quay, Wellington
🚚 Express NZ Shipping Available
🔎 100% Authenticity Guarantee
⬇️ SHOP NOW ⬇️</t>
  </si>
  <si>
    <t>http://statementnz.com</t>
  </si>
  <si>
    <t>visualstatements</t>
  </si>
  <si>
    <t>VISUAL STATEMENTS®</t>
  </si>
  <si>
    <t>Made for you with love 🖤
Hier geht‘s zum Shop:</t>
  </si>
  <si>
    <t>https://shop.visualstatements.net</t>
  </si>
  <si>
    <t>itsthetrashygasstationlady</t>
  </si>
  <si>
    <t>Trashygasstationlady</t>
  </si>
  <si>
    <t>Atlanta, GA 📍
Personal account &gt; @trashygasstationlady 
📧: Vanessa@trashygasstationlady.com</t>
  </si>
  <si>
    <t>rdstation</t>
  </si>
  <si>
    <t>RD Station</t>
  </si>
  <si>
    <t>Ferramentas digitais de marketing, vendas e relacionamento, para impulsionar o crescimento de empresas de todos os portes e segmentos.
Saiba mais ⬇️</t>
  </si>
  <si>
    <t>http://ig.rdstation.com/rdstation</t>
  </si>
  <si>
    <t>station.09</t>
  </si>
  <si>
    <t>Aesthetic Anime Food 🍜✨</t>
  </si>
  <si>
    <t>☾ soft healing &amp; aesthetic vibes ⋆. 𐙚 ˚
@dreamycloud_09 
✮ DM for paid promotions
or mail - station09.contact@gmail.com</t>
  </si>
  <si>
    <t>https://team.tokyotreat.com/station09</t>
  </si>
  <si>
    <t>station19</t>
  </si>
  <si>
    <t>Station 19</t>
  </si>
  <si>
    <t>Stream all episodes of Station 19 on Hulu. ❤️‍🔥</t>
  </si>
  <si>
    <t>stationgaredesmines</t>
  </si>
  <si>
    <t>La Station — Gare des Mines</t>
  </si>
  <si>
    <t>La Station — Gare des Mines accueille l'effervescence des marges musicales, artistiques et culturelles.</t>
  </si>
  <si>
    <t>https://linktr.ee/stationgaredesmines</t>
  </si>
  <si>
    <t>stationhead</t>
  </si>
  <si>
    <t>STATIONHEAD</t>
  </si>
  <si>
    <t>Connect. Listen live. Stream together.</t>
  </si>
  <si>
    <t>http://linktr.ee/stationhead/</t>
  </si>
  <si>
    <t>demicstory</t>
  </si>
  <si>
    <t>DEMIC STORY</t>
  </si>
  <si>
    <t>By @kingdemic
Facebook: Demic
Twitter: kingdemic
Save this and come back stronger</t>
  </si>
  <si>
    <t>https://facebook.com/jerseydemic</t>
  </si>
  <si>
    <t>story</t>
  </si>
  <si>
    <t>STORY</t>
  </si>
  <si>
    <t>We are a new store to explore that changes every two months, like a living magazine!</t>
  </si>
  <si>
    <t>story_by_kira_kos</t>
  </si>
  <si>
    <t>Kira Kos 🇺🇦 amazing publisher</t>
  </si>
  <si>
    <t>playing games in: @podyvymos_htotse @punktpublishing @laboussolemag 
becoming a social psychologist at @kse.ua</t>
  </si>
  <si>
    <t>https://www.htotse.com</t>
  </si>
  <si>
    <t>storyill</t>
  </si>
  <si>
    <t>Storyil</t>
  </si>
  <si>
    <t>חן מזרחי במופע סטנדאפ ⚡️</t>
  </si>
  <si>
    <t>https://comy.co.il/event/hen-mizrahi/</t>
  </si>
  <si>
    <t>story_in_wood</t>
  </si>
  <si>
    <t>סיפור בעץ • עיצוב וייצור רהיטים • חדרי  ילדים • חדרי משחקים</t>
  </si>
  <si>
    <t>Designer</t>
  </si>
  <si>
    <t>מעצבת ומייצרת חדרים שילדים לא שוכחים
כל פריט בעבודת יד. כל חדר – סיפור.
📞 כאן מגשימים: 050-4313544</t>
  </si>
  <si>
    <t>https://linktr.ee/story.in.wood</t>
  </si>
  <si>
    <t>storymiami</t>
  </si>
  <si>
    <t>http://www.storymiami.com/</t>
  </si>
  <si>
    <t>story_online</t>
  </si>
  <si>
    <t>702 ימים בשבי 🎗️
New collection 
SHOP NOW ⬇️</t>
  </si>
  <si>
    <t>https://storyonline.co.il/?utm_source=Instagram&amp;utm_medium=Organic&amp;utm_campaign=Bio</t>
  </si>
  <si>
    <t>nstonline</t>
  </si>
  <si>
    <t>New Straits Times</t>
  </si>
  <si>
    <t>Est. 1845 | www.nst.com.my 
Telegram: t.me/nstmalaysia
Youtube: nstonlinetv 
The New Straits Times Press (M) Berhad (Co. No. 196101000449/4485H)</t>
  </si>
  <si>
    <t>http://sprout.link/nstonline/</t>
  </si>
  <si>
    <t>stcomments</t>
  </si>
  <si>
    <t>Straits Times Comments Section</t>
  </si>
  <si>
    <t>how can dis b allow</t>
  </si>
  <si>
    <t>straits_times</t>
  </si>
  <si>
    <t>The Straits Times</t>
  </si>
  <si>
    <t>Top stories from 🇸🇬 and the 🌎.
✏️ Read the STories behind the photos:</t>
  </si>
  <si>
    <t>http://sprout.link/straits_times/</t>
  </si>
  <si>
    <t>straitstimesfood</t>
  </si>
  <si>
    <t>The Straits Times Food</t>
  </si>
  <si>
    <t>What to eat and drink right now @straits_times 
👇🏻 Explore Singapore’s food scene:</t>
  </si>
  <si>
    <t>http://www.straitstimesfood.com</t>
  </si>
  <si>
    <t>straits_times_sport</t>
  </si>
  <si>
    <t>The Straits Times Sport</t>
  </si>
  <si>
    <t>Bringing you the best in sport, both in Singapore and the world.</t>
  </si>
  <si>
    <t>http://sprout.link/straits_times_sport/</t>
  </si>
  <si>
    <t>bolageprek</t>
  </si>
  <si>
    <t>LIVE STREAMING PIALA DUNIA</t>
  </si>
  <si>
    <t>KING INDO VS TAIWAN LIVE  👉 @ligasuper.info
. 
𝙋𝙋/Iklan❓𝘿𝙈 📩</t>
  </si>
  <si>
    <t>https://msha.ke/etalasebola</t>
  </si>
  <si>
    <t>dramabox_portuguese</t>
  </si>
  <si>
    <t>DramaBox - Streaming de Mini Dramas</t>
  </si>
  <si>
    <t>🌟 No mundo dos mini dramas
💓 As emoções nunca param de pulsar
🎬 Baixe o app DramaBox
🔥 Viva cada momento inesquecível</t>
  </si>
  <si>
    <t>https://dramabox.onelink.me/dqUm/4v1jerlu</t>
  </si>
  <si>
    <t>jalalive.id</t>
  </si>
  <si>
    <t>Jalalive Streaming ID</t>
  </si>
  <si>
    <t>◢◤◢◤◢◤◢◤◢◤◢◤
Download Sekarang Juga Aplikasi JALALIVE Dan Nonton Semua Pertandingan Tim Favorit Kalian Dengan Kualitas
HD, Gratis, &amp; Tanpa Iklan ☟ ☟</t>
  </si>
  <si>
    <t>https://bit.ly/tempatnontonterkini</t>
  </si>
  <si>
    <t>lol.streaming</t>
  </si>
  <si>
    <t>lolStreaming</t>
  </si>
  <si>
    <t>😂 We love to make you LOL
📩 Contact us for credit/submissions</t>
  </si>
  <si>
    <t>phtvstreaming</t>
  </si>
  <si>
    <t>Phtv Streaming</t>
  </si>
  <si>
    <t>Entrevistas, Videos y contenidos
Del Genero Bandero 🇵🇦🇺🇸🇨🇷
TikTok- Phtv Streaming 
👇 Suscribete a Nuestro Nuevo Canal</t>
  </si>
  <si>
    <t>https://youtu.be/kxMt5iCU3AQ?si=GOcbeNoW0Fwh3tFb</t>
  </si>
  <si>
    <t>streamingurls</t>
  </si>
  <si>
    <t>streaming girls 💜</t>
  </si>
  <si>
    <t>💜 daily clips | only female streamers
📩 streamingurls@gmail.com</t>
  </si>
  <si>
    <t>https://www.tiktok.com/@streamingurls</t>
  </si>
  <si>
    <t>no.investigues</t>
  </si>
  <si>
    <t>substack.com/@noinvestigues</t>
  </si>
  <si>
    <t>Memes divertidos para compartir con la familia y amigxs. #noinvestigues 
👯: @no.interpretes 🧫: @28.research 🕯️:@adminre.veil</t>
  </si>
  <si>
    <t>https://substack.com/@noinvestigues?r=1be1r8&amp;utm_medium=ios</t>
  </si>
  <si>
    <t>substack</t>
  </si>
  <si>
    <t>The best videos, podcasts, writing, and group chats-all in one app.</t>
  </si>
  <si>
    <t>http://linktr.ee/substackinc</t>
  </si>
  <si>
    <t>thehotshotwakeup</t>
  </si>
  <si>
    <t>TheHotshotWakeUp: Substack/Podcast</t>
  </si>
  <si>
    <t>Fmr Hotshot Overhead/Crew Supervisor
Call it like it is. Subscribing to the Substack/Podcast supports👇firefighter donations and the content</t>
  </si>
  <si>
    <t>https://thehotshotwakeup.substack.com/</t>
  </si>
  <si>
    <t>sun</t>
  </si>
  <si>
    <t>SUN</t>
  </si>
  <si>
    <t>Follow the sun ☀️ Tag @sun 💥</t>
  </si>
  <si>
    <t>https://open.spotify.com/artist/7e8iluNggYfgNlEH09WJ4C</t>
  </si>
  <si>
    <t>syndicationexpert</t>
  </si>
  <si>
    <t>Todd Robinson, Esq. | Real Estate Syndication Expert</t>
  </si>
  <si>
    <t>Real Estate</t>
  </si>
  <si>
    <t>Teaching You to Scale with Syndications
CEO @ironstreetcapital &amp; @rfllplaw 
📊 $75M AUM -&gt; $5B as Deal Counsel
⬇️ FREE Syndication Workshop ⬇️</t>
  </si>
  <si>
    <t>https://go.toddrobinsonesq.com/workshop?fbclid=PAVERFWAMgvF5leHRuA2FlbQIxMAABp6I2IIiLldRViRsldZ_Tv-hXIj0TgWmlhh3zMiGyktJYlqjPrvVI2TE9fmqF_aem_b1Au1adnAm2AjgUnf278rA</t>
  </si>
  <si>
    <t>eltabloide</t>
  </si>
  <si>
    <t>El Tabloide</t>
  </si>
  <si>
    <t>Historias de #Tuluá y el #Valle contadas mediante imágenes. 
El Tabloide, Imagen del periodismo regional.</t>
  </si>
  <si>
    <t>http://www.eltabloide.com.co</t>
  </si>
  <si>
    <t>tabloid.su</t>
  </si>
  <si>
    <t>DRESSING FOR PLEASURE 
 ‎
🔗 Литейный проспект 12, офис 15</t>
  </si>
  <si>
    <t>http://tabloid.su</t>
  </si>
  <si>
    <t>tastingtable</t>
  </si>
  <si>
    <t>Tasting Table is a one-stop shop for all food and drink enthusiasts! 🥂</t>
  </si>
  <si>
    <t>http://tastingtable.com</t>
  </si>
  <si>
    <t>tastingtable20</t>
  </si>
  <si>
    <t>𝕋𝕒𝕤𝕥𝕚𝕟𝕘 𝕋𝕒𝕓𝕝𝕖</t>
  </si>
  <si>
    <t>HOMECOOK 🧑‍🍳
We are accepting orders for FOOD PLATTERS❤️
DM for more information 🍱🍲👩‍🍳</t>
  </si>
  <si>
    <t>https://youtube.com/@punamgupta-v6g?si=C5mKB42yODuHUe9y</t>
  </si>
  <si>
    <t>irishtatler</t>
  </si>
  <si>
    <t>Irish Tatler</t>
  </si>
  <si>
    <t>Ireland’s most iconic women’s fashion, beauty and lifestyle magazine, in print and online, free with the Business Post @businessposthq</t>
  </si>
  <si>
    <t>https://shopgr.id/irishtatler</t>
  </si>
  <si>
    <t>tatlerhongkong</t>
  </si>
  <si>
    <t>Tatler Hong Kong</t>
  </si>
  <si>
    <t>The Best of Asia @tatlerdininghk @tatlertravel @tatlergen.t #TatlerHongKong #AsiasMostInfluential #AsiasMostStylish</t>
  </si>
  <si>
    <t>https://sprout.link/tatlerhongkong</t>
  </si>
  <si>
    <t>tatlermagazine</t>
  </si>
  <si>
    <t>Est. 1709</t>
  </si>
  <si>
    <t>https://likeshop.me/tatlermagazine</t>
  </si>
  <si>
    <t>tatler.no</t>
  </si>
  <si>
    <t>TATLER</t>
  </si>
  <si>
    <t>Multibrand store📍CC Vest📍Bekkestua📍Frogner &amp; Tatler.no</t>
  </si>
  <si>
    <t>http://www.tatler.no/</t>
  </si>
  <si>
    <t>tatler_russia</t>
  </si>
  <si>
    <t>На чем свет стоит ✨💃🏻
Чтобы прочитать материал, нажмите на эту ссылку ↙️</t>
  </si>
  <si>
    <t>http://tatler.ru/</t>
  </si>
  <si>
    <t>tatlerschools</t>
  </si>
  <si>
    <t>Tatler Schools</t>
  </si>
  <si>
    <t>Your inside track to the best independent schools in the country</t>
  </si>
  <si>
    <t>https://www.tatler.com/article/tatler-schools-awards-prep-and-public-schools-nominees</t>
  </si>
  <si>
    <t>tatlersingapore</t>
  </si>
  <si>
    <t>Tatler Singapore</t>
  </si>
  <si>
    <t>The Best of Asia
#Tatler #TatlerSingapore</t>
  </si>
  <si>
    <t>https://sprout.link/tatlersingapore</t>
  </si>
  <si>
    <t>tatlertaiwan</t>
  </si>
  <si>
    <t>Tatler Taiwan</t>
  </si>
  <si>
    <t>Tatler Taiwan 以頂級品味資訊，讓讀者一探高端生活風格。
🏅認識新銳先鋒 @tatlergen.t
🥂頂級餐飲美食 @tatlerdiningtw 
🔗點擊下方連結快速看詳細文章！</t>
  </si>
  <si>
    <t>https://sprout.link/tatlertaiwan</t>
  </si>
  <si>
    <t>tatlerth</t>
  </si>
  <si>
    <t>Tatler Thailand</t>
  </si>
  <si>
    <t>The Best of Asia
วางแผงที่ร้านหนังสือชั้นนำทั่วประเทศ และ LINE Official: @tatlerthailand 
#TheNewTatlerThailand</t>
  </si>
  <si>
    <t>http://sprout.link/tatlerth</t>
  </si>
  <si>
    <t>Tech news and analysis with a focus on founders and startup teams.</t>
  </si>
  <si>
    <t>http://sprout.link/techcrunch/</t>
  </si>
  <si>
    <t>tech__memer</t>
  </si>
  <si>
    <t>TECH MEMER</t>
  </si>
  <si>
    <t>Aspiring Filmmaker 💯
O+ Blood Group</t>
  </si>
  <si>
    <t>https://beyondonor.com/?fbclid=PAY2xjawHff9JleHRuA2FlbQIxMAABpnQbXicmcCYfsr1blGcaEhY2diEBYdr--phJjqltbCdqC-W-WUhUaD3s-w_aem__4B-xKa3AOC0-obinK855Q</t>
  </si>
  <si>
    <t>teenvogue</t>
  </si>
  <si>
    <t>The young person's guide to conquering (and saving) the world.✨</t>
  </si>
  <si>
    <t>https://likeshop.me/teenvogue</t>
  </si>
  <si>
    <t>tvstyle</t>
  </si>
  <si>
    <t>Teen Vogue Style</t>
  </si>
  <si>
    <t>What we’re wearing, buying, and applying. From the editors at @teenvogue. 💫</t>
  </si>
  <si>
    <t>http://likeshop.me/tvstyle</t>
  </si>
  <si>
    <t>cvm_television</t>
  </si>
  <si>
    <t>CVM Television</t>
  </si>
  <si>
    <t>CVM See It Happen #CVMEnt #CVMNews #CVMSports #CVMBiz 
@cvm_television 
Mon - Fri: 8:30 AM to 8PM</t>
  </si>
  <si>
    <t>http://linktr.ee/cvmtv/</t>
  </si>
  <si>
    <t>francetelevisions</t>
  </si>
  <si>
    <t>France Télévisions</t>
  </si>
  <si>
    <t>Bienvenue sur le compte de @francetelevisions. Ensemble, on va vivre les engagements, fiertés et coulisses du groupe ! 📲</t>
  </si>
  <si>
    <t>https://www.francetelevisions.fr/</t>
  </si>
  <si>
    <t>kbc_television</t>
  </si>
  <si>
    <t>KBC Television</t>
  </si>
  <si>
    <t>Entertainment, Live shows and Interviews.
Follow us on Twitter 👉👉 https://twitter.com/KBCTelevision?s=08</t>
  </si>
  <si>
    <t>https://www.kbc.co.ke/kbc-tv-shows-learn-informed-entertained/</t>
  </si>
  <si>
    <t>le20hfrancetelevisions</t>
  </si>
  <si>
    <t>Le20h-France Télévisions</t>
  </si>
  <si>
    <t>🔴 Bienvenue sur le compte du JT de 20 heures de France TV
🎥 Reportages, témoignages, débats, décryptages
📲 #JT20H #FranceTV #MédiaPublic</t>
  </si>
  <si>
    <t>lexitelevision</t>
  </si>
  <si>
    <t>Lexi Allen M.Div</t>
  </si>
  <si>
    <t>I ❤️ JESUS 
@thestellars Award Nominated 
Z Phi B 💙🤍🕊️ M.Div
Bookings:👉🏾will@boglemedia.net
🛍 Cosmetics: @geatcosmetics</t>
  </si>
  <si>
    <t>https://linktr.ee/lexitelevision</t>
  </si>
  <si>
    <t>nitv_au</t>
  </si>
  <si>
    <t>National Indigenous Television</t>
  </si>
  <si>
    <t>Celebrating Aboriginal and Torres Strait Islander stories.
📱sbs.com.au/NITV 📺 Ch. 34 💻@sbsondemand   T&amp;Cs and Privacy Policy on our site.</t>
  </si>
  <si>
    <t>http://linkin.bio/ig-nitv_au/</t>
  </si>
  <si>
    <t>tctelevision</t>
  </si>
  <si>
    <t>TC Televisión 📺</t>
  </si>
  <si>
    <t>Estamos a un CLIC de ti.📲
Link en la BIO aquí.↙️</t>
  </si>
  <si>
    <t>http://sprout.link/tctelevision</t>
  </si>
  <si>
    <t>televisionacad</t>
  </si>
  <si>
    <t>Emmys / Television Academy</t>
  </si>
  <si>
    <t>Watch the 77th Emmy Awards LIVE Sunday, Sept. 14 8e/5p on CBS and Paramount+ 📺</t>
  </si>
  <si>
    <t>http://linkin.bio/televisionacad</t>
  </si>
  <si>
    <t>television_jamaica</t>
  </si>
  <si>
    <t>Television Jamaica</t>
  </si>
  <si>
    <t>The Nation’s Station 🇯🇲
Catch the latest news, sports, entertainment &amp; more on TVJ
Download the @1spotmedia app 📲 to watch on the go.
www.tvjmerch.com</t>
  </si>
  <si>
    <t>http://www.tvjmerch.com</t>
  </si>
  <si>
    <t>television.moments</t>
  </si>
  <si>
    <t>Television Moments</t>
  </si>
  <si>
    <t>Your daily dose of tv memes and clips
Clips | Memes 📺📱🍔. Contact us if you want to work with us, email below ⬇️</t>
  </si>
  <si>
    <t>https://herotr.ee/tv</t>
  </si>
  <si>
    <t>television_off</t>
  </si>
  <si>
    <t>Television off</t>
  </si>
  <si>
    <t>@smallroommusic 
Show Booking: 062-995-6446 (K’Pop)
“Head in the clouds” Out Now !! ☁️</t>
  </si>
  <si>
    <t>https://youtu.be/DX-px2ROGpc?si=nYxdOZBIyZCl9ajj</t>
  </si>
  <si>
    <t>television_promos_updates</t>
  </si>
  <si>
    <t>full of entertainment</t>
  </si>
  <si>
    <t>full of entertainment 😜😉 emotional🤧drama🎥 serial clips and Promos😊
daily updates 💯</t>
  </si>
  <si>
    <t>https://tinyurl.com/yx6fpufp</t>
  </si>
  <si>
    <t>television_uz</t>
  </si>
  <si>
    <t>Телевизоры в Ташкенте</t>
  </si>
  <si>
    <t>Appliances</t>
  </si>
  <si>
    <t>📺 Телевизоры оптом и в розницу
💯 Качественные Пылесосы
🎥 Домашние Кинотеатры
🎙️Саундбары
📍 Рынок Малика, A-блок 2-Магазин
📞 99-828-50-90
📞94-701-03-41</t>
  </si>
  <si>
    <t>https://t.me/television_optom</t>
  </si>
  <si>
    <t>vijaytelevision</t>
  </si>
  <si>
    <t>Vijay Television</t>
  </si>
  <si>
    <t>a leading Tamil entertainment TV channel. 
மாறும் புதுமை.. மாறாத பெருமை..</t>
  </si>
  <si>
    <t>https://whatsapp.com/channel/0029Va9akoLCsU9PNlfhTv0a</t>
  </si>
  <si>
    <t>vutelevisions</t>
  </si>
  <si>
    <t>Vu Televisions</t>
  </si>
  <si>
    <t>Electronics</t>
  </si>
  <si>
    <t>Luxury Televisions Since 2006</t>
  </si>
  <si>
    <t>https://linktr.ee/vutelevisions</t>
  </si>
  <si>
    <t>athleticstore.tt</t>
  </si>
  <si>
    <t>The Athletic Store</t>
  </si>
  <si>
    <t>Where Quality meets Affordability 
-Online Sports Store🇹🇹
-Delivery/PickUp Available🚛
-Dm/Whatsapp to place orders📲</t>
  </si>
  <si>
    <t>theathletic</t>
  </si>
  <si>
    <t>The Athletic Community</t>
  </si>
  <si>
    <t>✌️ New Portland storefront!
🏁 Socks and apparel
🖤 For the love of movement + community
#theathleticcommunity</t>
  </si>
  <si>
    <t>https://www.theathleticcommunity.com/</t>
  </si>
  <si>
    <t>theathleticfc</t>
  </si>
  <si>
    <t>The Athletic | Football</t>
  </si>
  <si>
    <t>Football news you can trust.
Football writing you can feel.</t>
  </si>
  <si>
    <t>https://www.nytimes.com/athletic</t>
  </si>
  <si>
    <t>theathletichq</t>
  </si>
  <si>
    <t>Follow for the sports stories that matter.</t>
  </si>
  <si>
    <t>theathleticphysio</t>
  </si>
  <si>
    <t>David London, PT | Rehab &amp; Fitness</t>
  </si>
  <si>
    <t>Physical Therapist</t>
  </si>
  <si>
    <t>💪 Helping active adults 30+ eliminate shoulder, hip &amp; back pain in 20 mins/day
💊 No meds or missed workouts.
🔥 Stay pain-free.
👇 Physio Programs ↓</t>
  </si>
  <si>
    <t>https://linktr.ee/TheAthleticPhysio</t>
  </si>
  <si>
    <t>the.athletics.arena</t>
  </si>
  <si>
    <t>The Athletics Arena</t>
  </si>
  <si>
    <t>Follow this page for in-depth analysis and passionate discussion on the world of sports 🏅🏃
68K Family on YouTube 🫂
DM for collaboration</t>
  </si>
  <si>
    <t>https://youtube.com/@theathleticsarena</t>
  </si>
  <si>
    <t>theathleticsclub</t>
  </si>
  <si>
    <t>The Athletics Club</t>
  </si>
  <si>
    <t>🏆 Find Your Own Greatness│Be Limitless 💯
🌐 The Global Track &amp; Field Club
🥇 Follow For Daily T&amp;F posts
🔜 Promo &amp; Content Feature Coming Soon</t>
  </si>
  <si>
    <t>theatlantic</t>
  </si>
  <si>
    <t>Exploring the American idea through ambitious, essential reporting and storytelling. Of no party or clique since 1857.</t>
  </si>
  <si>
    <t>https://linkin.bio/theatlantic</t>
  </si>
  <si>
    <t>theatlanticdispatch</t>
  </si>
  <si>
    <t>The Atlantic Dispatch</t>
  </si>
  <si>
    <t>Calcio and Culture: DM or Email to feature or collaborate.</t>
  </si>
  <si>
    <t>https://theatlanticdispatch.com/trekking-the-cammino-retico/</t>
  </si>
  <si>
    <t>theatlanticpr</t>
  </si>
  <si>
    <t>The Atlantic At The Tryst</t>
  </si>
  <si>
    <t>🏝Beaching view
📍@TheTryst_SanJuan
💌 Email us for Private Events
Check our next events and specials:</t>
  </si>
  <si>
    <t>https://www.opentable.com/r/the-atlantic-at-the-tryst-reservations-san-juan?restref=1068877&amp;lang=en-US&amp;ot_source=Restaurant%2520website</t>
  </si>
  <si>
    <t>theatlanticrest</t>
  </si>
  <si>
    <t>Monday to Friday - Lunch and Dinner 
Saturday to Sunday - Brunch, Lunch and Dinner
An @atlanticgroup venue</t>
  </si>
  <si>
    <t>https://linktr.ee/theatlanticrestaurant</t>
  </si>
  <si>
    <t>cutthecamerapodcast</t>
  </si>
  <si>
    <t>Cut The Camera Podcast (by the sturniolo triplets)</t>
  </si>
  <si>
    <t>Cut the camera podcast
New episodes Monday 2:30 PST 5:30 EST
@sturniolo.triplets
@nicolassturniolo
@matthew.sturniolo 
@christophersturniolo</t>
  </si>
  <si>
    <t>https://youtube.com/@Cutthecamerapodcast</t>
  </si>
  <si>
    <t>thecut</t>
  </si>
  <si>
    <t>Style. Self. Culture. Power.</t>
  </si>
  <si>
    <t>https://likeshop.me/thecut</t>
  </si>
  <si>
    <t>thecutandcraft</t>
  </si>
  <si>
    <t>The Cut &amp; Craft</t>
  </si>
  <si>
    <t>Independent British Steak Restaurants
Steak, Seafood, Cocktails, Vibes ✨
📍Leeds • York • Manchester 
🥂Open All Day</t>
  </si>
  <si>
    <t>http://linktr.ee/thecutandcraft</t>
  </si>
  <si>
    <t>thecutapp</t>
  </si>
  <si>
    <t>theCut</t>
  </si>
  <si>
    <t>No BS Tools for Barbershops💈📲
One app. For barbers, shop owners, and clients.</t>
  </si>
  <si>
    <t>https://linkin.bio/thecutapp</t>
  </si>
  <si>
    <t>thecut.atx</t>
  </si>
  <si>
    <t>Performance &amp; Event Venue</t>
  </si>
  <si>
    <t>IF IT'S LATE FOR YOU, IT'S EARLY FOR US</t>
  </si>
  <si>
    <t>https://linktr.ee/thecutatx</t>
  </si>
  <si>
    <t>thecuteabiola</t>
  </si>
  <si>
    <t>ABDULGAFAR ABIOLA</t>
  </si>
  <si>
    <t>🌍 World’s Best 
🎭 Actor | 🎥 Entertainer | 🏛 Public Servant
📞 Management: +234 704 100 3600
🔗 click here and you will never want to leave 👇</t>
  </si>
  <si>
    <t>https://youtu.be/ivtXTaEbHbk?si=IK9vu2hwMdXdWZzf</t>
  </si>
  <si>
    <t>thecuthcb</t>
  </si>
  <si>
    <t>THE CUT</t>
  </si>
  <si>
    <t>“Handcrafted Burgers”
📍 Irvine
Updated Hours of Operation on website
“Modern American Eatery &amp; Bar”
📍 Rancho Cucamonga
Hours on 👇🏽 Website</t>
  </si>
  <si>
    <t>http://thecuthcb.com/</t>
  </si>
  <si>
    <t>thecutlife</t>
  </si>
  <si>
    <t>The Cut Life</t>
  </si>
  <si>
    <t>The Black Hair &amp; Beauty Authority!
Founded by @tahirajoy 
Partnerships: info@thecutlife.com</t>
  </si>
  <si>
    <t>https://linktr.ee/thecutlife</t>
  </si>
  <si>
    <t>wofysnazwears</t>
  </si>
  <si>
    <t>The CuteGirlsTailor</t>
  </si>
  <si>
    <t>Wholesale/Retail Clothing Brand 
.
Made to Order
Production Takes 7-14 Business Days
🌎 Shipping
.
Here To Make Every Woman Look Exceptionally Gorgeous</t>
  </si>
  <si>
    <t>drumcircleonline</t>
  </si>
  <si>
    <t>The Drum Circle</t>
  </si>
  <si>
    <t>Your drumming journey starts here. Subscribe for lessons, tips, and inspiration. 💥Check out my PDF with 120 exercises from my Instagram videos.👇🏼</t>
  </si>
  <si>
    <t>https://www.thedrumcirclecourse.com</t>
  </si>
  <si>
    <t>thedrumbroker</t>
  </si>
  <si>
    <t>The Drum Broker</t>
  </si>
  <si>
    <t>Pioneers of the Sample Revolution... Celebrate two decades of innovation and excellence by choosing our Sample Library for your next project.</t>
  </si>
  <si>
    <t>https://linktr.ee/thedrumbroker</t>
  </si>
  <si>
    <t>thedrumcircle_</t>
  </si>
  <si>
    <t>The Drum Circle with Rujul Vora</t>
  </si>
  <si>
    <t>• Facilitated by @rujulv89 
• 1500+ Drum-Circles PAN India since ‘14
• USP : Engaging &amp; Energetic drumcircle experiences
• Corporate, Weddings &amp; More</t>
  </si>
  <si>
    <t>https://youtube.com/playlist?list=PLw_2aDjf71druijy80I61MSLLrb9YGL07&amp;si=Kag6YhGsKFLym1BB</t>
  </si>
  <si>
    <t>thedrummag</t>
  </si>
  <si>
    <t>Bringing you the latest on brands and marketing 🥁
London | Glasgow | Miami</t>
  </si>
  <si>
    <t>https://www.thedrum.com</t>
  </si>
  <si>
    <t>thedrumsofficial</t>
  </si>
  <si>
    <t>The Drums</t>
  </si>
  <si>
    <t>https://thedrums.ffm.to/jonny</t>
  </si>
  <si>
    <t>theeconomist</t>
  </si>
  <si>
    <t>News and analysis with a global perspective. We’re here to help you understand the world around you. Click to learn more about any post 👇</t>
  </si>
  <si>
    <t>https://smartlink.bio/theeconomist</t>
  </si>
  <si>
    <t>theeconomistevents_</t>
  </si>
  <si>
    <t>Economist Impact Events</t>
  </si>
  <si>
    <t>Official account for Economist Impact Events. Discuss and debate the most important ideas of our time with the world's top thinkers.</t>
  </si>
  <si>
    <t>https://events.economist.com/</t>
  </si>
  <si>
    <t>babygee.74</t>
  </si>
  <si>
    <t>[THE FACE]❤️‍🩹🤲🏾</t>
  </si>
  <si>
    <t>Switched it up for the better in life 🖤 @toteyagee @nasfrmdatil</t>
  </si>
  <si>
    <t>https://linktr.ee/babygee74?utm_source=linktree_admin_share</t>
  </si>
  <si>
    <t>facet</t>
  </si>
  <si>
    <t>The Facet</t>
  </si>
  <si>
    <t>Designer, Creator, Curator
Exclusive designs, SCIENTIST FACETFINE.com</t>
  </si>
  <si>
    <t>http://facetfine.com/</t>
  </si>
  <si>
    <t>facethe_future</t>
  </si>
  <si>
    <t>Face the Future</t>
  </si>
  <si>
    <t>Skin Care Service</t>
  </si>
  <si>
    <t>Skincare and self-care for every version of you.✨
Online Beauty Shop &amp; Advanced Skin Clinic. 🧖‍♀️</t>
  </si>
  <si>
    <t>https://linkin.bio/facethe_future</t>
  </si>
  <si>
    <t>nottiosama</t>
  </si>
  <si>
    <t>The Face Of Harlem 🤍👳🏾</t>
  </si>
  <si>
    <t>my brotha carryin my name🤲🏽</t>
  </si>
  <si>
    <t>official.thefacethailand</t>
  </si>
  <si>
    <t>The Face Thailand</t>
  </si>
  <si>
    <t>The Winner of #TheFaceThailand6 is @bebepolak 
All about 'The Face Thailand', the best reality model competition show.👠</t>
  </si>
  <si>
    <t>https://www.facebook.com/thefaceth</t>
  </si>
  <si>
    <t>__theface</t>
  </si>
  <si>
    <t>The Face  (Makeup Artist)</t>
  </si>
  <si>
    <t>▫️Makeup Artist
▫️Email: thefacebahamas@gmail.com
▫️NO DMs
▫️Location: Nassau Bahamas 🇧🇸</t>
  </si>
  <si>
    <t>https://theface.setmore.com</t>
  </si>
  <si>
    <t>thefacemagazine</t>
  </si>
  <si>
    <t>THE FACE</t>
  </si>
  <si>
    <t>Urgent style, now.</t>
  </si>
  <si>
    <t>https://linkin.bio/thefacemagazine</t>
  </si>
  <si>
    <t>thefaceshop</t>
  </si>
  <si>
    <t>The Face Shop North America</t>
  </si>
  <si>
    <t>🌾Korean skincare powered by nature
🥇#1 Cleansing Facial Wipes + #1 Cleanser in Korea
🇺🇸@amazon @target @cvspharmacy
🇨🇦@amazonca @walmartcanada</t>
  </si>
  <si>
    <t>https://linktr.ee/thefaceshopnorthamerica</t>
  </si>
  <si>
    <t>thefaceshop.kw</t>
  </si>
  <si>
    <t>THE FACE SHOP Kuwait Official</t>
  </si>
  <si>
    <t>‎مستوحاة من طقوس جمال الطبيعة الكورية 🇰🇷
📍Assima Mall | 360 Mall | Kout Mall | Boulevard Mall | AlSalam Mall  Souq Sharq</t>
  </si>
  <si>
    <t>http://www.thefaceshop.com.kw</t>
  </si>
  <si>
    <t>thefaceshop.official</t>
  </si>
  <si>
    <t>더페이스샵 THE FACE SHOP</t>
  </si>
  <si>
    <t>자연 그대로의 가치를 전하는 더페이스샵</t>
  </si>
  <si>
    <t>https://litt.ly/thefaceshop</t>
  </si>
  <si>
    <t>theface.sousse</t>
  </si>
  <si>
    <t>Lounge</t>
  </si>
  <si>
    <t>Blending in luxury🍷, music 🎵 and wellness 💎, The Face promises to provide you with a fine-dining experience worth remembering ✨</t>
  </si>
  <si>
    <t>thefacethailand</t>
  </si>
  <si>
    <t>#TheFaceThailand</t>
  </si>
  <si>
    <t>thenorthface</t>
  </si>
  <si>
    <t>The North Face</t>
  </si>
  <si>
    <t>#NeverStopExploring</t>
  </si>
  <si>
    <t>https://visitstore.bio/thenorthface</t>
  </si>
  <si>
    <t>thefader</t>
  </si>
  <si>
    <t>The FADER</t>
  </si>
  <si>
    <t>Look ahead. Read The FADER ⬇️</t>
  </si>
  <si>
    <t>http://linkin.bio/thefader/</t>
  </si>
  <si>
    <t>thefadersdjs</t>
  </si>
  <si>
    <t>Agent @ IMG                                                        Old School DJs, Universal Music
kailei@samebutdifferent.agency
#thefadersdjs</t>
  </si>
  <si>
    <t>guardian</t>
  </si>
  <si>
    <t>200 years of independent journalism 🌏
Fearlessly holding power to account 🔍
Always factual 🤝 Never dull 💃</t>
  </si>
  <si>
    <t>https://linktr.ee/guardian</t>
  </si>
  <si>
    <t>guardiannigeria</t>
  </si>
  <si>
    <t>Independent journalism since 1983</t>
  </si>
  <si>
    <t>https://lnk.bio/guardiannigeria</t>
  </si>
  <si>
    <t>guardian_travelmates_official</t>
  </si>
  <si>
    <t>ᵗʰᵉ 𝐆𝐔𝐀𝐑𝐃𝐈𝐀𝐍🎀</t>
  </si>
  <si>
    <t>Travel Service</t>
  </si>
  <si>
    <t>All you need to do is choose us — we'll take care of the rest, delivering the best-in-class service  with in your budget.</t>
  </si>
  <si>
    <t>https://chat.whatsapp.com/Lh2KI6kVv5y3AjM3tDSRag?mode=ac_t</t>
  </si>
  <si>
    <t>guardian_us</t>
  </si>
  <si>
    <t>The Guardian US</t>
  </si>
  <si>
    <t>Fearless, independent journalism 🔎
A global perspective on America 🌎
Never dull 💃
Always factual 🤝</t>
  </si>
  <si>
    <t>https://linkin.bio/guardianus</t>
  </si>
  <si>
    <t>theguardianzoz</t>
  </si>
  <si>
    <t>The Guardian Zoz🕊️</t>
  </si>
  <si>
    <t>𝗕𝗹𝗼𝗴𝗴𝗲𝗿 / 𝗘𝘃𝗲𝗻𝘁 𝗣𝗹𝗮𝗻𝗻𝗲𝗿
📍ᴋᴡᴛ
ꜰᴏᴏᴅ⎥ᴛʀᴀᴠᴇʟ⎥ʟɪꜰᴇꜱᴛʏʟᴇ
@theastro.kw</t>
  </si>
  <si>
    <t>https://www.tiktok.com/@guardian_zoz?_t=8iOV8zWenZg&amp;_r=1</t>
  </si>
  <si>
    <t>the_hindu</t>
  </si>
  <si>
    <t>India's national newspaper, now on Instagram.</t>
  </si>
  <si>
    <t>https://www.thehindu.com/topic/Instagram_stories/</t>
  </si>
  <si>
    <t>the_hindu_dude</t>
  </si>
  <si>
    <t>I  HINDU DUDE</t>
  </si>
  <si>
    <t>.
 THE RIGHT WING HINDU 
            ⭕❗⭕</t>
  </si>
  <si>
    <t>thehindu_madeofchennai</t>
  </si>
  <si>
    <t>The Hindu Made of Chennai</t>
  </si>
  <si>
    <t>Chennai’s celebrations have begun!
MOC Food &amp; Music Festival ➡️ Sep 13 &amp; 14</t>
  </si>
  <si>
    <t>https://newsth.live/FMFINSTA</t>
  </si>
  <si>
    <t>the_hindu_newspaper_</t>
  </si>
  <si>
    <t>The Hindu Newspaper</t>
  </si>
  <si>
    <t>Daily Current Affairs
unofficial
Promote your brand</t>
  </si>
  <si>
    <t>https://t.me/hindunewspaperdailypdfs</t>
  </si>
  <si>
    <t>thehindutv_india</t>
  </si>
  <si>
    <t>The Hindu Tv</t>
  </si>
  <si>
    <t>video creator 📱
intresting knowledge....
Like- religious. historical. astronomical
and general knowledge</t>
  </si>
  <si>
    <t>https://www.youtube.com/@Thehindutv01</t>
  </si>
  <si>
    <t>hollywoodreporteree</t>
  </si>
  <si>
    <t>The Hollywood Reporter en Español</t>
  </si>
  <si>
    <t>La principal fuente de noticias, análisis y reportajes sobre cine, televisión, industria audiovisual, estilo de vida y entretenimiento en Español.</t>
  </si>
  <si>
    <t>http://es.hollywoodreporter.com</t>
  </si>
  <si>
    <t>hollywoodreporterindia</t>
  </si>
  <si>
    <t>The Hollywood Reporter India</t>
  </si>
  <si>
    <t>India's premier media outlet covering Indian entertainment across regions &amp; languages with videos, reviews, &amp; more.
An @rpsg.lifestylemedia property.</t>
  </si>
  <si>
    <t>http://linktr.ee/thrindia</t>
  </si>
  <si>
    <t>hollywoodreporter.it</t>
  </si>
  <si>
    <t>The Hollywood Reporter Roma</t>
  </si>
  <si>
    <t>Tutto il mondo dell’Arte del Cinema e dello Spettacolo
#tvseries #movies #cinema #lifestyle #arte #musica #moda #sport #entertainment</t>
  </si>
  <si>
    <t>https://linktr.ee/hollywoodreporter.it</t>
  </si>
  <si>
    <t>nytarchives</t>
  </si>
  <si>
    <t>The New York Times Archives</t>
  </si>
  <si>
    <t>We have millions of photos in our archives. As we digitize them, we’re sharing some favorites here. 📰🔍</t>
  </si>
  <si>
    <t>http://nytimes.com/nytarchives</t>
  </si>
  <si>
    <t>nytgames</t>
  </si>
  <si>
    <t>The New York Times Games</t>
  </si>
  <si>
    <t>Game recognize Games.</t>
  </si>
  <si>
    <t>http://nytimes.com/nytgames</t>
  </si>
  <si>
    <t>nytimes</t>
  </si>
  <si>
    <t>We seek the truth and help people understand the world.</t>
  </si>
  <si>
    <t>http://nytimes.com/instagram</t>
  </si>
  <si>
    <t>nytimesstore</t>
  </si>
  <si>
    <t>The New York Times Store</t>
  </si>
  <si>
    <t>Every purchase from The New York Times Store helps support our independent journalism.</t>
  </si>
  <si>
    <t>https://store.nytimes.com/</t>
  </si>
  <si>
    <t>nytkids</t>
  </si>
  <si>
    <t>The New York Times for Kids</t>
  </si>
  <si>
    <t>News. Opinions. Jokes. A special @nytimes section in print on the last Sunday of every month. Founded 2017, now on Instagram.</t>
  </si>
  <si>
    <t>https://store.nytimes.com/collections/the-new-york-times-for-kids</t>
  </si>
  <si>
    <t>nytmag</t>
  </si>
  <si>
    <t>The New York Times Magazine</t>
  </si>
  <si>
    <t>The official account of The New York Times Magazine.</t>
  </si>
  <si>
    <t>http://nytimes.com/nytmag</t>
  </si>
  <si>
    <t>theskimm</t>
  </si>
  <si>
    <t>theSkimm</t>
  </si>
  <si>
    <t>We make it easier for women to live smarter. 🧠</t>
  </si>
  <si>
    <t>https://likeshop.me/theskimm</t>
  </si>
  <si>
    <t>telegraph</t>
  </si>
  <si>
    <t>We speak your mind. Join the conversation today.</t>
  </si>
  <si>
    <t>https://linkin.bio/telegraph</t>
  </si>
  <si>
    <t>telegraphonline</t>
  </si>
  <si>
    <t>Opinionated. Bold. Unputdownable.
Read stories at:</t>
  </si>
  <si>
    <t>https://linktr.ee/telegraphindia</t>
  </si>
  <si>
    <t>telegraphtbilisi</t>
  </si>
  <si>
    <t>The Telegraph Hotel</t>
  </si>
  <si>
    <t>Historic soul, modern elegance. A former post office turned into social icon. The Telegraph Hotel, proud member of @leadinghotelsoftheworld</t>
  </si>
  <si>
    <t>https://telegraphhotel.com/rooms-suites/</t>
  </si>
  <si>
    <t>thetelegraphbuilding</t>
  </si>
  <si>
    <t>The Telegraph Building</t>
  </si>
  <si>
    <t>https://www.shine.net</t>
  </si>
  <si>
    <t>economictimes</t>
  </si>
  <si>
    <t>The Economic Times</t>
  </si>
  <si>
    <t>The Economic Times (official) India's No. 1 Destination for Business News, Economy, Politics | A Times Internet Product
📨:feedback@economictimes.com</t>
  </si>
  <si>
    <t>https://lnk.bio/economictimes</t>
  </si>
  <si>
    <t>nolanews</t>
  </si>
  <si>
    <t>The Times-Picayune | NOLA.com</t>
  </si>
  <si>
    <t>Powered by the staff of NOLA.com | The Times-Picayune | The New Orleans Advocate | Follow @wherenolaeats @theadvocatebr @theadvocateaca</t>
  </si>
  <si>
    <t>https://linkin.bio/nolanews</t>
  </si>
  <si>
    <t>thetimes</t>
  </si>
  <si>
    <t>The Times and The Sunday Times</t>
  </si>
  <si>
    <t>🗞️ The best of our journalism</t>
  </si>
  <si>
    <t>https://linkin.bio/thetimes</t>
  </si>
  <si>
    <t>thetimes20</t>
  </si>
  <si>
    <t>TheTimes</t>
  </si>
  <si>
    <t>NEW ALBUM IS OUT EVERYWHERE 🙏🏻
Bookings ;
📞+60162225450 
📞+60123164375 
🖨️ thetimesmy@gmail.com
THE TIMES SHOWCASE TICKETS 👇🏻 ;</t>
  </si>
  <si>
    <t>https://www.myticketempire.com/thetimesindiematesession</t>
  </si>
  <si>
    <t>thetimesmagazine</t>
  </si>
  <si>
    <t>The Times Magazine</t>
  </si>
  <si>
    <t>The Saturday magazine of the Times of London</t>
  </si>
  <si>
    <t>https://linkin.bio/thetimesmagazine</t>
  </si>
  <si>
    <t>timesnews.pk</t>
  </si>
  <si>
    <t>Your premier destination for breaking news, trending stories, and insightful updates.</t>
  </si>
  <si>
    <t>timesofindia</t>
  </si>
  <si>
    <t>The Times of India</t>
  </si>
  <si>
    <t>The Times of India is India’s most-read English newspaper and World’s largest-selling English newspaper 
📩: social@timesinternet.in</t>
  </si>
  <si>
    <t>timesofisrael</t>
  </si>
  <si>
    <t>The Times of Israel</t>
  </si>
  <si>
    <t>Your favorite news site on Israel, the Middle East and the Jewish world 📸</t>
  </si>
  <si>
    <t>https://www.timesofisrael.com/</t>
  </si>
  <si>
    <t>thevergeart</t>
  </si>
  <si>
    <t>The Verge Art</t>
  </si>
  <si>
    <t>Original art from The Verge, which covers the future of #technology, #science, and #culture.</t>
  </si>
  <si>
    <t>https://www.theverge.com/cs/features/652590/vietnam-war-viet-cong-us-military-psy-op-comic</t>
  </si>
  <si>
    <t>thevergepk</t>
  </si>
  <si>
    <t>0311 11 VERGE (83743)
#𝐎𝐧𝐓𝐡𝐞𝐕𝐞𝐫𝐠𝐞𝐎𝐟𝐆𝐞𝐧𝐢𝐮𝐬</t>
  </si>
  <si>
    <t>http://www.theverge.pk/</t>
  </si>
  <si>
    <t>verge</t>
  </si>
  <si>
    <t>Original photography and video from The Verge, which covers the future of technology, science, and culture. For original art, follow @thevergeart!</t>
  </si>
  <si>
    <t>https://likeshop.me/verge</t>
  </si>
  <si>
    <t>wsj</t>
  </si>
  <si>
    <t>Visual storytelling from WSJ.🗞
📷 @wsjphotos
✒️ @wsjmag
🏘 @wsjrealestate 
🏖 @wsjoffduty 
🎤 @wsjlive
🗣 @wsjopinion</t>
  </si>
  <si>
    <t>http://on.wsj.com/instagram</t>
  </si>
  <si>
    <t>washingtonpostmag</t>
  </si>
  <si>
    <t>The Washington Post Magazine</t>
  </si>
  <si>
    <t>Telling the stories of Washington and beyond.</t>
  </si>
  <si>
    <t>https://wapo.st/3F0zAZQ</t>
  </si>
  <si>
    <t>arttok.w</t>
  </si>
  <si>
    <t>Art Tiktok</t>
  </si>
  <si>
    <t>Creative and fun ideas for parents who want to spend quality time with their children
💌- Email for collaboration and advertising inquiries</t>
  </si>
  <si>
    <t>cringe.tok.tik</t>
  </si>
  <si>
    <t>Tiktok Cringe</t>
  </si>
  <si>
    <t>Your daily Dose of Cringe.
@1cringe2laugh backup
PM for removal.</t>
  </si>
  <si>
    <t>tiktok</t>
  </si>
  <si>
    <t>One TikTok can make a big impact</t>
  </si>
  <si>
    <t>http://linktr.ee/tiktok</t>
  </si>
  <si>
    <t>tiktokcringe.pop</t>
  </si>
  <si>
    <t>tiktok cringe pop</t>
  </si>
  <si>
    <t>The biggest advantage of following this page is that you'll feel less dumb about yourself 🤒</t>
  </si>
  <si>
    <t>tik.tokdalala</t>
  </si>
  <si>
    <t>🌸 Conteúdo que diverte e conecta
📊 +90 milhões de impressões
🚀 Quase 40K na família!
📍 MT | ✨ 2025 é nosso
💌 Aberta para collabs &amp; parcerias</t>
  </si>
  <si>
    <t>http://wa.me/5566981039520</t>
  </si>
  <si>
    <t>tiktok.emes</t>
  </si>
  <si>
    <t>𝐓𝐢𝐤𝐓𝐨𝐤 𝐄𝐦𝐞𝐬 | 𝐕𝐈𝐃𝐄𝐎/𝐌𝐄𝐌𝐒 |</t>
  </si>
  <si>
    <t>Всё самое лучшее в сторис 
Вопросы в Direct 
𝐓𝐞𝐥𝐞𝐠𝐫𝐚𝐦 👇🏻</t>
  </si>
  <si>
    <t>https://t.me/+wTWKeZJKASA4YWQy</t>
  </si>
  <si>
    <t>tiktokers6.6</t>
  </si>
  <si>
    <t>Bella 💝</t>
  </si>
  <si>
    <t>Not impersonating!</t>
  </si>
  <si>
    <t>tiktok.forbusiness</t>
  </si>
  <si>
    <t>TikTok for Business</t>
  </si>
  <si>
    <t>Official TikTok for Business — tips + inspo to grow your business on @tiktok. 🚀</t>
  </si>
  <si>
    <t>https://linktr.ee/TikTokForBusiness</t>
  </si>
  <si>
    <t>tiktokindia</t>
  </si>
  <si>
    <t>TikTok India</t>
  </si>
  <si>
    <t>Bade bade deshon se aisi choti choti TikToks, aati rehti hai</t>
  </si>
  <si>
    <t>https://www.tiktokinfo.in/</t>
  </si>
  <si>
    <t>tiktokmomma7</t>
  </si>
  <si>
    <t>Patricia Marroquin</t>
  </si>
  <si>
    <t>TIKTOKMOMMA7                              
Bookings: tiktokmomma7@gmail.com
P.O. Box 41 Montgomery, Texas 77356</t>
  </si>
  <si>
    <t>http://beacons.page/tiktokmomma7/</t>
  </si>
  <si>
    <t>tiktok.rojaamma</t>
  </si>
  <si>
    <t>ரோஜா ரோஜா</t>
  </si>
  <si>
    <t>https://youtube.com/channel/UCM8KgCduhidlot2d3i9uAXA</t>
  </si>
  <si>
    <t>tiktok.tabbii</t>
  </si>
  <si>
    <t>Tiktok Tabbi</t>
  </si>
  <si>
    <t>1 Corinthians 10:31 
📍 Nashville, TN
tabbi@abovetheinfluence.co</t>
  </si>
  <si>
    <t>tiktok.tammo</t>
  </si>
  <si>
    <t>TikTok Tammo</t>
  </si>
  <si>
    <t>Groningse sketches/satire/muziek
Door: @johannespeetsma
Management: @mariusvanderleij
Kaarten 'Tammo Zingt Folk' ⬇️</t>
  </si>
  <si>
    <t>https://tammo.nu/agenda</t>
  </si>
  <si>
    <t>time</t>
  </si>
  <si>
    <t>TIME</t>
  </si>
  <si>
    <t>News and current events from around the globe. Since 1923.</t>
  </si>
  <si>
    <t>https://likeshop.me/time</t>
  </si>
  <si>
    <t>timeoutlisboa</t>
  </si>
  <si>
    <t>Time Out Lisboa</t>
  </si>
  <si>
    <t>A conta oficial de Instagram da Time Out Lisboa. Use o hashtag #timeoutlisboa para partilhar as suas fotos da cidade connosco.</t>
  </si>
  <si>
    <t>https://marfeel.bio/timeoutlisboa/3969/17841401025914314</t>
  </si>
  <si>
    <t>time_warp_official</t>
  </si>
  <si>
    <t>Time Warp Festival</t>
  </si>
  <si>
    <t>We want to make you dance! This is our mission since 1994. Uncompromising Techno &amp; House, with a synthesis of sound and visuals. #TimeWarp</t>
  </si>
  <si>
    <t>https://www.time-warp.de/tickets/</t>
  </si>
  <si>
    <t>timnasindonesia</t>
  </si>
  <si>
    <t>Timnas Indonesia</t>
  </si>
  <si>
    <t>Official Merchandise @officialgarudastore 🛍️
Official Cafe @officialgarudacafe 🍽️
Official Garuda Fans @kitagaruda 🎪</t>
  </si>
  <si>
    <t>https://garuda-id.pssi.org/sign-up</t>
  </si>
  <si>
    <t>timwendelboe</t>
  </si>
  <si>
    <t>Tim Wendelboe</t>
  </si>
  <si>
    <t>Coffee Roastery &amp; Espresso Bar
Opening hours:
Weekdays: 08:30 - 18:00
Saturday and Sunday: 11:00 - 17:00
We ship world wide from our webshop.</t>
  </si>
  <si>
    <t>https://mtr.bio/tim-wendelboe</t>
  </si>
  <si>
    <t>samayam_seithigal</t>
  </si>
  <si>
    <t>Times of india Samayam Seithigal</t>
  </si>
  <si>
    <t>tamil.samayam.com</t>
  </si>
  <si>
    <t>https://youtube.com/@SamayamSeithigal</t>
  </si>
  <si>
    <t>timesofindia.auto</t>
  </si>
  <si>
    <t>The Times of India - Auto</t>
  </si>
  <si>
    <t>Love cars, motorcycles? Want the latest info from the Automotive sector? Want to see fun car, bike videos? Just hit that Follow button and Enjoy!</t>
  </si>
  <si>
    <t>https://timesofindia.indiatimes.com/auto/electric-cars/electric-car-sales-tata-mg-lead-power-play-competition-knocks-at-the-gates/articleshow/117983428.cms</t>
  </si>
  <si>
    <t>toms.hardware</t>
  </si>
  <si>
    <t>Tom's Hardware</t>
  </si>
  <si>
    <t>Science, Technology &amp; Engineering</t>
  </si>
  <si>
    <t>The Official Tom's Hardware Instagram!</t>
  </si>
  <si>
    <t>tomshardwareitalia</t>
  </si>
  <si>
    <t>Tom's Hardware Italia</t>
  </si>
  <si>
    <t>The Authority On Tech. 
La tecnologia raccontata a tutti, dagli appassionati per gli appassionati.</t>
  </si>
  <si>
    <t>https://www.tomshw.it/</t>
  </si>
  <si>
    <t>thetorontostar</t>
  </si>
  <si>
    <t>Instagram is stopping you from seeing our stories. Don’t let Meta limit what you read. Sign up for our newsletters or download our app at thestar.com</t>
  </si>
  <si>
    <t>https://tap.bio/@TorontoStar</t>
  </si>
  <si>
    <t>tc.brasil</t>
  </si>
  <si>
    <t>Town &amp; Country Brasil</t>
  </si>
  <si>
    <t>Bem-vindos à página oficial da Town&amp;Country Brasil.
O melhor do surf, street, atletas e lifestyle.
• Live like this! ✌🏻
• Use a tag #TcBrasil</t>
  </si>
  <si>
    <t>https://www.youtube.com/watch?v=bI2NI_KHhp4</t>
  </si>
  <si>
    <t>townandcountrybridal</t>
  </si>
  <si>
    <t>Town &amp; Country Bridal</t>
  </si>
  <si>
    <t>Bridal Shop</t>
  </si>
  <si>
    <t>our team of personal stylists can’t wait to help you find your dream dress 🥂🤍✨
brides • debs • grads
📸 content creation @takenbytandc
📍new orleans</t>
  </si>
  <si>
    <t>http://linktr.ee/townandcountrybridal/</t>
  </si>
  <si>
    <t>townandcountrylivingbrands</t>
  </si>
  <si>
    <t>TOWN &amp; COUNTRY LIVING Brands</t>
  </si>
  <si>
    <t>Now previewing the latest products and trends from Town &amp; Country, Tommy Bahama, Kate Spade NY, Martha Stewart &amp; more! Links to buy in each post! ✨</t>
  </si>
  <si>
    <t>https://linktr.ee/townandcountrylivingbrands</t>
  </si>
  <si>
    <t>townandcountrymag</t>
  </si>
  <si>
    <t>TOWN&amp;COUNTRY</t>
  </si>
  <si>
    <t>Click the link in our bio for all things #VeryTandC</t>
  </si>
  <si>
    <t>http://twnctry.co/UlxU4As</t>
  </si>
  <si>
    <t>townandcountryuk</t>
  </si>
  <si>
    <t>Town &amp; Country UK</t>
  </si>
  <si>
    <t>The best of both worlds. The new Summer issue is out now 👇</t>
  </si>
  <si>
    <t>https://linktr.ee/townandcountryuk</t>
  </si>
  <si>
    <t>town_country_haus</t>
  </si>
  <si>
    <t>Town &amp; Country Haus</t>
  </si>
  <si>
    <t>Don't worry, bau happy! 🏡
Wir bauen schlüsselfertige Massivhäuser mit geprüfter Qualität und garantierter Bauzeit zu fairen Festpreisen.</t>
  </si>
  <si>
    <t>https://www.tc.de/massivhaus.html</t>
  </si>
  <si>
    <t>transcript</t>
  </si>
  <si>
    <t>💻 Chrome Extension
📱 Mobile App
📚 AI Notes, Flashcards, and Quizzes
👇 Join 100K+ Users Today</t>
  </si>
  <si>
    <t>https://transcript.study/</t>
  </si>
  <si>
    <t>jalanjalantravel_</t>
  </si>
  <si>
    <t>TRAVEL + LEISURE</t>
  </si>
  <si>
    <t>✈️ 𝐈𝐧𝐛𝐨𝐮𝐧𝐝 &amp; 𝐎𝐮𝐭𝐛𝐨𝐮𝐧𝐝 𝐏𝐚𝐜𝐤𝐚𝐠𝐞𝐬
🧳𝐏𝐫𝐢𝐯𝐚𝐭𝐞 &amp; 𝐂𝐨𝐦𝐩𝐚𝐧𝐲 𝐓𝐫𝐢𝐩
🚌 𝐂𝐚𝐫 𝐑𝐞𝐧𝐭𝐚𝐥 | 𝐂𝐡𝐚𝐮𝐟𝐟𝐞𝐮𝐫 | 𝐀𝐢𝐫𝐩𝐨𝐫𝐭 𝐓𝐫𝐚𝐧𝐬𝐟𝐞𝐫 
📃Licensed MOTAC L/N/11783
📊SSM number : 1545479-H</t>
  </si>
  <si>
    <t>http://www.wasap.my/60174474366/travel/</t>
  </si>
  <si>
    <t>kundasang__</t>
  </si>
  <si>
    <t>Travel + Leisure Sabah</t>
  </si>
  <si>
    <t>👨‍👩‍👦‍👦People | 🎎Cultural | 👘Traditional | 🎭Art | 
🎼Music | 🏞️Place | 🍽️Food | 🏞️Sabahan
 📷🎥 Tag us or hashtag #kundasang 
to be featured</t>
  </si>
  <si>
    <t>travelandleisure</t>
  </si>
  <si>
    <t>Kicking your wanderlust into high gear. 
Link in our bio  ⬇️</t>
  </si>
  <si>
    <t>https://likeshop.me/travelandleisure/</t>
  </si>
  <si>
    <t>travelandleisureasia</t>
  </si>
  <si>
    <t>Travel+Leisure Southeast Asia</t>
  </si>
  <si>
    <t>Wanderlust inspiration from a branch of the world’s most trusted travel magazine. Use #TLAsia for the chance to be featured on our account.</t>
  </si>
  <si>
    <t>https://linkin.bio/travelleisureasia</t>
  </si>
  <si>
    <t>travelandleisureenes</t>
  </si>
  <si>
    <t>Travel + Leisure En Español</t>
  </si>
  <si>
    <t>La publicación de viajes y turismo más influyente del mundo ahora En Español.  🌎
Leerla es un viaje en sí mismo. 📖</t>
  </si>
  <si>
    <t>https://travelandleisure-es.com/</t>
  </si>
  <si>
    <t>travelandleisurego</t>
  </si>
  <si>
    <t>Travel + Leisure GO</t>
  </si>
  <si>
    <t>Exclusive travel deals, unforgettable experiences, and expert advice, all from the most trusted authority in travel. #TravelLeisureGO</t>
  </si>
  <si>
    <t>http://visitstore.bio/go.travelandleisure.com/</t>
  </si>
  <si>
    <t>travelandleisureindia</t>
  </si>
  <si>
    <t>Travel + Leisure India</t>
  </si>
  <si>
    <t>India-South Asia’s most influential magazine bringing you the best of travel, culture &amp; luxury. 
Use #TellTLIndia to get featured.</t>
  </si>
  <si>
    <t>https://linkstre.am/travelandleisureindia</t>
  </si>
  <si>
    <t>travelandleisureita</t>
  </si>
  <si>
    <t>Travel + Leisure Italia</t>
  </si>
  <si>
    <t>L’edizione italiana di @travelandleisure, il brand di viaggi più influente al mondo.
Ora online e in edicola.
Pronti a partire con noi?</t>
  </si>
  <si>
    <t>https://linktr.ee/travelandleisure</t>
  </si>
  <si>
    <t>travelleisureco</t>
  </si>
  <si>
    <t>Travel + Leisure Co.</t>
  </si>
  <si>
    <t>Our mission is to put the world on vacation. Travel + Leisure Co. is a collection of nearly 20 resort, travel club, and lifestyle travel brands. $TNL</t>
  </si>
  <si>
    <t>https://trvlnlsr.co/3S8MRTv</t>
  </si>
  <si>
    <t>travelleisuremx</t>
  </si>
  <si>
    <t>Travel+Leisure México</t>
  </si>
  <si>
    <t>Inspiramos e informamos al viajero sofisticado con gusto por lo exquisito.</t>
  </si>
  <si>
    <t>http://travelandleisure.mx/</t>
  </si>
  <si>
    <t>ani_trending</t>
  </si>
  <si>
    <t>Asian News International</t>
  </si>
  <si>
    <t>South Asia's Largest Multimedia News Agency
For collaboration reach out at anicontent@aniin.com, podcast@aniin.com</t>
  </si>
  <si>
    <t>https://www.aninews.in/</t>
  </si>
  <si>
    <t>early.trending.audio</t>
  </si>
  <si>
    <t>Early Trending Audio + Instagram Growth</t>
  </si>
  <si>
    <t>🎶 Sharing Low Usage/High Views Audio
🚀 Scroll Less. Create More. Elevate Your IG
🟨 Need the right ↗️🎶 for your REELS?⤵️
⏬Get in the VIBES VAULT🎧⏬</t>
  </si>
  <si>
    <t>https://stan.store/facelessempirebuilders</t>
  </si>
  <si>
    <t>eldoret_trending_media</t>
  </si>
  <si>
    <t>𝐄𝐋𝐃𝐎𝐑𝐄𝐓 𝐓𝐑𝐄𝐍𝐃𝐈𝐍𝐆 𝐌𝐄𝐃𝐈𝐀  / 𝐄𝐓𝐌</t>
  </si>
  <si>
    <t>🌍:News | Showbiz| Lifestyle | Politics | culture 
🌍:Run By thousands Roommates 
🌍:Award winner🏆2024
🌍:#Eldoret No1 #Media
🌍:for business Dm 📩</t>
  </si>
  <si>
    <t>https://linktr.ee/treandingmedia</t>
  </si>
  <si>
    <t>mbctrending</t>
  </si>
  <si>
    <t>MBCTrending</t>
  </si>
  <si>
    <t>لأن الإزدحام ليس فقط في الشوارع، إنما في كل ما تتلقاه في "السوشيال ميديا"، قدمنا لك @mbctrending
من الأحد إلى الخميس 8 م بتوقيت السعودية على MBC4</t>
  </si>
  <si>
    <t>http://onmbc.net/6006MM9Mg</t>
  </si>
  <si>
    <t>northern_trending_</t>
  </si>
  <si>
    <t>ABDALLAH UMAR</t>
  </si>
  <si>
    <t>the no.1 News &amp; entertainment blog in northern Nigeria 🇳🇬 
Follow backup @northern_trending_2 FOR ADVERTISEMENT SEND A DM 📩</t>
  </si>
  <si>
    <t>reel.torials</t>
  </si>
  <si>
    <t>Reel Torials | Trending Reel Templates</t>
  </si>
  <si>
    <t>🔥New reel templates everyday 
📧Email to reel.torials@gmail.com for collaboration OR if you want us to convert your clips to stunning reels
🇺🇸 Virginia</t>
  </si>
  <si>
    <t>https://t.me/reeltorials</t>
  </si>
  <si>
    <t>trendingaf</t>
  </si>
  <si>
    <t>꧁༒•𝕾𝖔𝖕𝖍𝖎𝖊 𝕳𝖊𝖇𝖇𝖆𝖗𝖉•༒꧂</t>
  </si>
  <si>
    <t>🤓StrangeAF
🧠IndecisiveAF
🎨Artsy FartsyAF
🥺SensitiveAF
👧ChildishAF
🙃BackwardsAF
🤣ForgetfulAF
🍕UnhealthyAF
✋Left HandedAF
BlessedAF
ButStill 
StressedAF</t>
  </si>
  <si>
    <t>https://tattooedtreasure.etsy.com</t>
  </si>
  <si>
    <t>trending.raps</t>
  </si>
  <si>
    <t>Trending Raps</t>
  </si>
  <si>
    <t>We listen to music, not numbers.
One Take 🎤 // Flipping Packs 📁
by @swellymusic📍NYC
DISCORD ⬇️</t>
  </si>
  <si>
    <t>https://discord.gg/Uw42EbMkhP</t>
  </si>
  <si>
    <t>trending_spot__</t>
  </si>
  <si>
    <t>luxurious store 🎉</t>
  </si>
  <si>
    <t>6 Month Warranty 💥
COD 160 extra only
Unboxing video must for any complain</t>
  </si>
  <si>
    <t>trending_theeviravadhi01</t>
  </si>
  <si>
    <t>GOUTHAM M</t>
  </si>
  <si>
    <t>Apr -10🎂
🅲🅾︎🅽🆃🅴🅽🆃 🅲🆁🅴🅰🆃🅾︎🆁🎭
@goutham_off75
Ghost lover🔥link👇🏻</t>
  </si>
  <si>
    <t>https://youtu.be/rg8OmSNrAQM?si=ILEVxTiY3PNhyxDN</t>
  </si>
  <si>
    <t>trendingvichar</t>
  </si>
  <si>
    <t>Trending Vichar</t>
  </si>
  <si>
    <t>📌Media/ Meme / News / Company
🔹 DM for credit/removal 📩</t>
  </si>
  <si>
    <t>https://bit.ly/3HgApRD</t>
  </si>
  <si>
    <t>trending_with_trina</t>
  </si>
  <si>
    <t>Katrina Bowman|Style Tips &amp; Affordable Amazon Fashion</t>
  </si>
  <si>
    <t>*Wallet Friendly &amp; Figure Flattering Fashion
* Relateable Style Hacks | Designer Lookalikes
*Watch Stories for Exclusive Deals!
Click to Shop ⬇️</t>
  </si>
  <si>
    <t>https://taplink.cc/trending_with_trina</t>
  </si>
  <si>
    <t>viral_video_7827</t>
  </si>
  <si>
    <t>• Trending viral audio recoding
• Call recordings for daily laughs!
•👇🏻Follow on [FB Link]</t>
  </si>
  <si>
    <t>https://www.facebook.com/share/1CDNeeC9nM/?mibextid=wwXIfr</t>
  </si>
  <si>
    <t>whatstrending</t>
  </si>
  <si>
    <t>What's Trending</t>
  </si>
  <si>
    <t>The biggest headlines in entertainment, digital and more. What’s Trending delivers the latest video news for all things pop culture.</t>
  </si>
  <si>
    <t>https://linkin.bio/whatstrending</t>
  </si>
  <si>
    <t>pupworthy</t>
  </si>
  <si>
    <t>Pupworthy</t>
  </si>
  <si>
    <t>Animals &amp; Pets</t>
  </si>
  <si>
    <t>An impact channel dedicated to the best of animals. Brought to you by your favorite account on the internet @upworthy ✨</t>
  </si>
  <si>
    <t>upworthy</t>
  </si>
  <si>
    <t>Sharing the best of humanity with the world ✨ 
Get your copy of our book GOOD PEOPLE - out now! ⬇️ Love Y’all ♥️</t>
  </si>
  <si>
    <t>https://www.penguinrandomhouse.com/books/756612/upworthy---good-people-by-gabriel-reilich-lucia-knell/</t>
  </si>
  <si>
    <t>upworthy_people</t>
  </si>
  <si>
    <t>Upworthy People</t>
  </si>
  <si>
    <t>❤️ Real stories. True emotions. 
📩 DM us your story to be featured</t>
  </si>
  <si>
    <t>usatoday</t>
  </si>
  <si>
    <t>USA TODAY</t>
  </si>
  <si>
    <t>The pulse of the nation in the palm of your hand.</t>
  </si>
  <si>
    <t>https://smartlink.bio/usatoday</t>
  </si>
  <si>
    <t>usatodaylife</t>
  </si>
  <si>
    <t>USA TODAY Life</t>
  </si>
  <si>
    <t>Your entertainment, wellness, lifestyle, fashion and culture news source 💜 ✨</t>
  </si>
  <si>
    <t>https://smartlink.bio/usatodaylife</t>
  </si>
  <si>
    <t>usatodaypolitics</t>
  </si>
  <si>
    <t>USA TODAY Politics</t>
  </si>
  <si>
    <t>All the latest politics and election news from @usatoday's Washington bureau and politics team.</t>
  </si>
  <si>
    <t>https://smartlink.bio/usatodaypolitics</t>
  </si>
  <si>
    <t>usatodaytravel</t>
  </si>
  <si>
    <t>USA TODAY Travel</t>
  </si>
  <si>
    <t>The official account of USA TODAY Travel.</t>
  </si>
  <si>
    <t>https://smartlink.bio/usatodaytravel</t>
  </si>
  <si>
    <t>usweekly</t>
  </si>
  <si>
    <t>Your trusted source for the latest celebrity news, photos, videos and more! ☕️✨
LINK IN BIO👇</t>
  </si>
  <si>
    <t>https://likeshop.me/usweekly</t>
  </si>
  <si>
    <t>shopvanityfair</t>
  </si>
  <si>
    <t>Vanity Fair Lingerie</t>
  </si>
  <si>
    <t>As the intimate apparel expert, Vanity Fair has been innovating for over 100 years, creating beautiful, comfortable lingerie for today’s modern woman.</t>
  </si>
  <si>
    <t>https://linktr.ee/vanityfairlingerie</t>
  </si>
  <si>
    <t>vanityfair</t>
  </si>
  <si>
    <t>Serving Hollywood obsessives, savvy politicos, and style aficionados.</t>
  </si>
  <si>
    <t>http://likeshop.me/vanityfair</t>
  </si>
  <si>
    <t>vanityfairfrance</t>
  </si>
  <si>
    <t>Vanity Fair France</t>
  </si>
  <si>
    <t>Cinéma, pouvoir et glamour.</t>
  </si>
  <si>
    <t>https://likeshop.me/vanityfairfrance</t>
  </si>
  <si>
    <t>vanityfairitalia</t>
  </si>
  <si>
    <t>Vanity Fair Italia</t>
  </si>
  <si>
    <t>In edicola e online 🗞📱
Leggi gli articoli di Vanity Fair:</t>
  </si>
  <si>
    <t>https://likeshop.me/vanityfairitalia</t>
  </si>
  <si>
    <t>vanityfairlondon</t>
  </si>
  <si>
    <t>Vanity Fair London</t>
  </si>
  <si>
    <t>The official Instagram of Vanity Fair’s London office.</t>
  </si>
  <si>
    <t>https://likeshop.me/vanityfairlondon</t>
  </si>
  <si>
    <t>vanityfairnext</t>
  </si>
  <si>
    <t>VANITY FAIR NEXT</t>
  </si>
  <si>
    <t>https://likeshop.me/vanityfairnext</t>
  </si>
  <si>
    <t>vanityfairspain</t>
  </si>
  <si>
    <t>Vanity Fair Spain</t>
  </si>
  <si>
    <t>Instagram oficial de la revista Vanity Fair España.
LINK A LOS ARTÍCULOS ⬇️</t>
  </si>
  <si>
    <t>http://likeshop.me/vanityfairspain/</t>
  </si>
  <si>
    <t>vanityfair_vld</t>
  </si>
  <si>
    <t>Альбина Багаева</t>
  </si>
  <si>
    <t>Твой Бьюти-эксперт
Владикавказ</t>
  </si>
  <si>
    <t>mensvarietymag</t>
  </si>
  <si>
    <t>Men’s Variety</t>
  </si>
  <si>
    <t>A men’s focused website for guys everywhere. 👍 🔥🤘
From our smart-phones to your! ❤️@mensvarietymag</t>
  </si>
  <si>
    <t>https://www.mensvariety.com/</t>
  </si>
  <si>
    <t>sundayvarietymarket</t>
  </si>
  <si>
    <t>the new sundays in town</t>
  </si>
  <si>
    <t>SEE YOU SEPT 7
UNDER THE BIG WHITE TENT
125 The Esplanade
TORONTO 🇨🇦
VINTAGE + MORE 
@stlawrencemarket</t>
  </si>
  <si>
    <t>http://sundayvariety.com</t>
  </si>
  <si>
    <t>variety</t>
  </si>
  <si>
    <t>The business of entertainment.</t>
  </si>
  <si>
    <t>http://linkin.bio/variety</t>
  </si>
  <si>
    <t>phymongshe.kr</t>
  </si>
  <si>
    <t>스킨케어 브랜드 피몽쉐 Director &amp; Vice CEO</t>
  </si>
  <si>
    <t>@phymongshe_official
﹆코스메틱 전공 / 20년 이상 에스테틱 전문가
﹆피몽쉐 BM &amp; 브랜드 디렉터
﹆민감에이징, 마인드풀 에스테틱 피몽쉐</t>
  </si>
  <si>
    <t>https://link.inpock.co.kr/dalgy53</t>
  </si>
  <si>
    <t>praybeytbenjamin</t>
  </si>
  <si>
    <t>JoseMarieViceral / Vice Ganda</t>
  </si>
  <si>
    <t>ViceGanda's official IG Accnt. PraybeytBenjamin is the movie that gave me my 1st  PhenomenalBoxOfficeStar award. Saveeh!</t>
  </si>
  <si>
    <t>https://youtu.be/2w2ir3lzL3Q</t>
  </si>
  <si>
    <t>vice</t>
  </si>
  <si>
    <t>VICE</t>
  </si>
  <si>
    <t>Subscribe to the weekly VICE newsletter 👇</t>
  </si>
  <si>
    <t>https://sprout.link/vice</t>
  </si>
  <si>
    <t>vice_de</t>
  </si>
  <si>
    <t>VICE auf Deutsch</t>
  </si>
  <si>
    <t>Folge uns für unbequemen Journalismus zu allem, was dir wichtig ist. 
Unterhaltung gibts hier auch.
Zu unseren Artikeln:</t>
  </si>
  <si>
    <t>https://linktr.ee/vice_de</t>
  </si>
  <si>
    <t>vicedxb</t>
  </si>
  <si>
    <t>Vicedxb Rameedream</t>
  </si>
  <si>
    <t>Vice Club 🇦🇪
🔥 Dubai's Ultimate Bollywood Nightlife Experience
📍19th Floor, Ramee Dream Hotel
🎶 Dance. Drink. Repeat.
📩 DM for bookings &amp; guestlist</t>
  </si>
  <si>
    <t>viceindia</t>
  </si>
  <si>
    <t>VICE India</t>
  </si>
  <si>
    <t>Uncovering the wild, weird and wondrous in India, for India.</t>
  </si>
  <si>
    <t>https://linkin.bio/viceindia</t>
  </si>
  <si>
    <t>vicenews</t>
  </si>
  <si>
    <t>VICE News</t>
  </si>
  <si>
    <t>https://lnk.bio/vicenews</t>
  </si>
  <si>
    <t>vicetv</t>
  </si>
  <si>
    <t>VICE TV</t>
  </si>
  <si>
    <t>A TV channel by VICE. Find your channel ⬇️</t>
  </si>
  <si>
    <t>https://linkin.bio/vicetv</t>
  </si>
  <si>
    <t>viceuk</t>
  </si>
  <si>
    <t>VICE UK 🌎</t>
  </si>
  <si>
    <t>The manifold wonders of Old Blighty</t>
  </si>
  <si>
    <t>https://www.vice.com/en/article/sleeve-notes-record-art-book/</t>
  </si>
  <si>
    <t>viceversa</t>
  </si>
  <si>
    <t>VICE VERSA</t>
  </si>
  <si>
    <t>Heels that fold into flats (or vice versa)
Invented by @alannaefusaro
Press@wearviceversa.com</t>
  </si>
  <si>
    <t>http://wearviceversa.com/heels</t>
  </si>
  <si>
    <t>vp</t>
  </si>
  <si>
    <t>Vice President JD Vance</t>
  </si>
  <si>
    <t>50th Vice President of the United States. Christian, husband, father. Proud to serve the American people with President Donald J. Trump 🇺🇸</t>
  </si>
  <si>
    <t>http://wh.gov</t>
  </si>
  <si>
    <t>vp46archive</t>
  </si>
  <si>
    <t>Vice President Kamala Harris Archived</t>
  </si>
  <si>
    <t>This is an archive of a Biden administration account, maintained by the National Archives and Records Administration (NARA).</t>
  </si>
  <si>
    <t>http://bidenlibrary.gov</t>
  </si>
  <si>
    <t>sgvirality</t>
  </si>
  <si>
    <t>SGV 🇸🇬 Singapore's Virality (Official)</t>
  </si>
  <si>
    <t>Follow Singapore’s Most Viral Content
🇸🇬Buzz, News &amp; Memes
💌DM for Biz 📧 hi@virality.co
@ViralityStudios @ViralityCreators</t>
  </si>
  <si>
    <t>http://fb.com/sgvirality</t>
  </si>
  <si>
    <t>virality</t>
  </si>
  <si>
    <t>Virality 🌍 World's Most Viral Content</t>
  </si>
  <si>
    <t>✨Latest Viral Content &amp; Memes✨
➡️Add us as collab @Virality
🌍Social Media Agency
DM for submission
📩hi@virality.co
@ViralityStudios @ViralityCreators</t>
  </si>
  <si>
    <t>http://www.virality.co</t>
  </si>
  <si>
    <t>viralityhopecore</t>
  </si>
  <si>
    <t>Virality Hopecore</t>
  </si>
  <si>
    <t>Hopecore.
Juno App 👇 start your healing journey.</t>
  </si>
  <si>
    <t>https://apps.apple.com/app/apple-store/id6743828930?pt=127718371&amp;ct=Vitality%2520Hopecore&amp;mt=8</t>
  </si>
  <si>
    <t>afh.sr___</t>
  </si>
  <si>
    <t>🍁 Vlogger 🍁</t>
  </si>
  <si>
    <t>Single 🦅♠
ਧਰਤੀ ਤੇ ਬੋਝ….🎂_07 July 
DM FOR PAID PROMOTION = 98153-18476
YouTube 200k + Subscriber❤️👇👇</t>
  </si>
  <si>
    <t>https://youtube.com/@officialrahul23?si=GCf9lt2wUd1HxhsM</t>
  </si>
  <si>
    <t>amira.wya</t>
  </si>
  <si>
    <t>AMIRA, WYA? Experience Vlogger</t>
  </si>
  <si>
    <t>Amira, Where you at? 
📍Philly D.C. NYC &amp; Travel 
Date Night/Activities Itineraries
📩 inquiries - contactamirawya@gmail.com
Personal - @amiracherie</t>
  </si>
  <si>
    <t>https://linktr.ee/Amiracherie</t>
  </si>
  <si>
    <t>bigfootvlogger</t>
  </si>
  <si>
    <t>Bigfoot Vlogger</t>
  </si>
  <si>
    <t>My name is Bigfoot &amp; Yes, 😌
I am Real.. Follow My Journey 🌳
𝘾𝙊𝘿𝙀 “𝘽𝙞𝙜𝙛𝙤𝙤𝙩𝙫𝙡𝙤𝙜𝙜𝙚𝙧” 𝙊𝙣 𝙍𝙤𝙤𝙗𝙚𝙩 👇
#adventure #bigfoot</t>
  </si>
  <si>
    <t>https://roobet.com/?ref=bigfootvlogger</t>
  </si>
  <si>
    <t>cafe_foodies07</t>
  </si>
  <si>
    <t>Ankit | Durg Bhilai Raipur Vlogger</t>
  </si>
  <si>
    <t>🍽️ Food Vlogger | Street &amp; Cafe Explorer  
📍 Bhilai • Durg • Raipur  
📩 Collabs | Reviews | Brand Shoots  
📞 7987563483🧿
👇 Watch the latest reel</t>
  </si>
  <si>
    <t>jwestbros</t>
  </si>
  <si>
    <t>Jakarta Based Food Vlogger</t>
  </si>
  <si>
    <t>✉️ jwestbrosid@gmail.com</t>
  </si>
  <si>
    <t>http://youtube.com/jwestbros</t>
  </si>
  <si>
    <t>maiia_azka</t>
  </si>
  <si>
    <t>Maiia Azka || Nature Vlogger</t>
  </si>
  <si>
    <t>🏔️ Nature vlogger | Hiking content creator 
🍃 Cerita perjalanan &amp; tips hiking
📲 Endorse : 0814-6094-3990 (bois)
🎥 Subscribe YouTube 👇🏻</t>
  </si>
  <si>
    <t>https://youtube.com/c/MaiiaTrueStory</t>
  </si>
  <si>
    <t>manaliwaladost</t>
  </si>
  <si>
    <t>Manali Wala Dost  | Travel Vlogger 📸</t>
  </si>
  <si>
    <t>Manali ke Nazare 😍Dikahta Rhunga 🙏
☎️ +91-9317562301
Founder @midlifeholidays
Facebook- 115K.   Youtube - 773K</t>
  </si>
  <si>
    <t>https://appopener.com/yt/jfes3e7nl</t>
  </si>
  <si>
    <t>marastefaniagym</t>
  </si>
  <si>
    <t>Mara ȘTEFANIA YouTube Vlogger</t>
  </si>
  <si>
    <t>👨‍👩‍👧‍👧 Familie de vloggeri din România
🤗Pe YouTube vedeți ce nebunii facem!
🔜 : 2M abonați pe YOUTUBE
📍: Bacău, Romania🇷🇴
📩 : cristinik1983@gmail.com</t>
  </si>
  <si>
    <t>mkvlogger</t>
  </si>
  <si>
    <t>MK Vlogger</t>
  </si>
  <si>
    <t>Promotion Contact(DM)
Muthukumar (MK)
Vlogger,
Trekking,Traveler,
 in Different Places
Channel Link :</t>
  </si>
  <si>
    <t>https://www.youtube.com/channel/UCPtCezLThiNuuuxapcBCRDA</t>
  </si>
  <si>
    <t>official_kksb</t>
  </si>
  <si>
    <t>KKSB | VLOGGER | HIMACHAL PRADESH</t>
  </si>
  <si>
    <t>Quality Content Creator 🪐 ✨
Travel Explore &amp; More 
Vlogger/Vocalist/Writer 
Contactwithkksb@gmail.com 📩
Shoolini Mata Documentary 👇</t>
  </si>
  <si>
    <t>https://appopener.com/yt/5svbry8po</t>
  </si>
  <si>
    <t>_royal_pusadkar_</t>
  </si>
  <si>
    <t>Piyushhh Nale | Pusad Vlogger ❤️</t>
  </si>
  <si>
    <t>|ᴀᴅᴍɪɴ : @official_piyushhh_07 💞
|ᴅɪsᴄᴏᴠᴇʀ ᴛʜᴇ ʙᴇsᴛ ᴏғ ᴘᴜsᴀᴅ❤️‍🔥
|ᴀᴅᴠᴇʀᴛɪsᴇᴍᴇɴᴛ, ᴇᴠᴇɴᴛs, ᴀᴅ, ɴᴇᴡs 📰
|ᴅᴍ ғᴏʀ ᴘᴀɪᴅ ᴄᴏʟʟᴀʙᴏʀᴀᴛɪᴏɴ 📷</t>
  </si>
  <si>
    <t>https://www.instagram.com/channel/AbY7jsubk6GeHv1I/</t>
  </si>
  <si>
    <t>sakshee_shinde31</t>
  </si>
  <si>
    <t>sakshee_shinde vlogger</t>
  </si>
  <si>
    <t>🎯Digital Marketer | SEO | Reels | Social media 
📊 Growth | Content | Page Handling
💄Fashion | Trends | Transformation 
📩 DM for Strategy &amp; Collab!</t>
  </si>
  <si>
    <t>sandytalkscanada</t>
  </si>
  <si>
    <t>Sandy | Canada Vlogger</t>
  </si>
  <si>
    <t>Helping people settle successfully in Canada 
Lifestyle | Food | Finance | Career
341K+ YouTube | 126K+ TikTok | 184K+ FB
Check Links here👇</t>
  </si>
  <si>
    <t>https://borrowell.com/free-credit-score?utm_campaign=Refer5&amp;utm_medium=mobile&amp;utm_source=refer2022-3604974</t>
  </si>
  <si>
    <t>vipinmahore2023</t>
  </si>
  <si>
    <t>Amravati vlogger 🛺🍔🌇</t>
  </si>
  <si>
    <t>• Best Food and things For You</t>
  </si>
  <si>
    <t>https://youtu.be/g7f5tg_73go?si=puTnwKM93BNA8mD7</t>
  </si>
  <si>
    <t>vk_vlogger1</t>
  </si>
  <si>
    <t>Vamshi Krishna</t>
  </si>
  <si>
    <t>Thanks for 165K+ Subscribers in YouTube❤️
Admin - @vamshi_krishna1
Dm for Promotions &amp; Collaborations🤝 (Youtube &amp; Instagram)</t>
  </si>
  <si>
    <t>https://youtube.com/@vk_vlogger1?si=K1Lloy-iIrdovj1S</t>
  </si>
  <si>
    <t>britishvogue</t>
  </si>
  <si>
    <t>British Vogue</t>
  </si>
  <si>
    <t>Fashion, beauty and lifestyle through the Vogue lens; Britain's fashion bible since 1916</t>
  </si>
  <si>
    <t>https://likeshop.me/britishvogue</t>
  </si>
  <si>
    <t>voguebrasil</t>
  </si>
  <si>
    <t>Vogue Brasil</t>
  </si>
  <si>
    <t>Antes de estar na moda, está na Vogue: seu guia de tendências, beleza, cultura e lifestyle desde 1975.</t>
  </si>
  <si>
    <t>https://likeshop.me/voguebrasil</t>
  </si>
  <si>
    <t>voguebusiness</t>
  </si>
  <si>
    <t>Vogue Business</t>
  </si>
  <si>
    <t>Future-proofing fashion.</t>
  </si>
  <si>
    <t>https://likeshop.me/voguebusiness</t>
  </si>
  <si>
    <t>vogue__cafe</t>
  </si>
  <si>
    <t>VOGUE CAFÉ</t>
  </si>
  <si>
    <t>Not a shop , not impersonating anyone. Just inspiration 
- -  - - - -  - - - - - - - - - - - - -
⬇️ SHOP HERE ⬇️</t>
  </si>
  <si>
    <t>vogueeko</t>
  </si>
  <si>
    <t>𝐂𝐞𝐥𝐞𝐛𝐫𝐚𝐭𝐢𝐧𝐠 𝐛𝐥𝐚𝐜𝐤 𝐜𝐮𝐥𝐭𝐮𝐫𝐞 &amp; 𝐜𝐫𝐞𝐚𝐭𝐢𝐯𝐢𝐭𝐲 👑
📸💄💇🏽‍♀️✂️💅🏽👗🎬🔌📌🏺💎
#vogueeko</t>
  </si>
  <si>
    <t>voguefrance</t>
  </si>
  <si>
    <t>Vogue France</t>
  </si>
  <si>
    <t>Your daily dose of fashion and style through a French lens.</t>
  </si>
  <si>
    <t>https://likeshop.me/voguefrance</t>
  </si>
  <si>
    <t>voguegram</t>
  </si>
  <si>
    <t>vogueindia</t>
  </si>
  <si>
    <t>VOGUE India</t>
  </si>
  <si>
    <t>Before it's in Fashion, it's in VOGUE. 
The official Instagram of VOGUE India.</t>
  </si>
  <si>
    <t>https://likeshop.me/vogueindia</t>
  </si>
  <si>
    <t>vogueitalia</t>
  </si>
  <si>
    <t>Vogue Italia</t>
  </si>
  <si>
    <t>Framing fashion since 1964. 
Join our Vogue Italia community, your daily inspiration for fashion, photography and talent. #VogueItalia</t>
  </si>
  <si>
    <t>https://likeshop.me/vogueitalia</t>
  </si>
  <si>
    <t>voguerunway</t>
  </si>
  <si>
    <t>Vogue Runway</t>
  </si>
  <si>
    <t>See fashion first.</t>
  </si>
  <si>
    <t>https://likeshop.me/voguerunway</t>
  </si>
  <si>
    <t>voguerussia</t>
  </si>
  <si>
    <t>Vogue Russia</t>
  </si>
  <si>
    <t>https://www.vogue.ru/readmore</t>
  </si>
  <si>
    <t>voguespain</t>
  </si>
  <si>
    <t>Vogue España</t>
  </si>
  <si>
    <t>Antes de estar de moda, está en Vogue.
Tu inspiración diaria de moda, belleza y estilo de vida.</t>
  </si>
  <si>
    <t>https://likeshop.me/voguespain</t>
  </si>
  <si>
    <t>vogueweddings</t>
  </si>
  <si>
    <t>Vogue Weddings</t>
  </si>
  <si>
    <t>The official Instagram of Vogue Weddings.</t>
  </si>
  <si>
    <t>https://likeshop.me/vogueweddings</t>
  </si>
  <si>
    <t>4kwallpalper</t>
  </si>
  <si>
    <t>4k__Wallpaper</t>
  </si>
  <si>
    <t>Since you are here on my profile, check out some other wallpapers and don't forget to follow me! 🫡🥹</t>
  </si>
  <si>
    <t>f.cwallpaperss</t>
  </si>
  <si>
    <t>FC Wallpapers | 4K Quality</t>
  </si>
  <si>
    <t>4K Wallpapers for Mobile 📱✝️
🎯 High-quality, trending wallpapers
🔥 On the road to 250K – Join us!
GET WALLPAPERS HERE👇</t>
  </si>
  <si>
    <t>https://t.me/fcwallpapers</t>
  </si>
  <si>
    <t>jv_wallpaper</t>
  </si>
  <si>
    <t>Wallpaper Hanger</t>
  </si>
  <si>
    <t>Allow me to assist you in creating an ideal space with the industry's finest wall covering</t>
  </si>
  <si>
    <t>surat_wallpaper_love</t>
  </si>
  <si>
    <t>rd wallpapers</t>
  </si>
  <si>
    <t>https://wa.me/message/VK7Z7XZ2RK7CN1</t>
  </si>
  <si>
    <t>https://maps.app.goo.gl/19g6pgRwFG5yodU57</t>
  </si>
  <si>
    <t>vgywallpaper</t>
  </si>
  <si>
    <t>WALLPAPER PEKANBARU</t>
  </si>
  <si>
    <t>📞+62 852 65 9292 10
Store: VGY WALLPAPER ● jl rajawali sukajadi ( depan asuransi AIA )
VGY WALLPAPER ● jl sukakarya panam
 PEKANBARU-RIAU
Ask &amp; Order</t>
  </si>
  <si>
    <t>https://linktr.ee/vgywallpaper</t>
  </si>
  <si>
    <t>wallpaperdirect</t>
  </si>
  <si>
    <t>The worlds widest choice of wallpaper online, offering worldwide shipping &amp; free samples! 🌏 
💌Shop now, pay later with Klarna</t>
  </si>
  <si>
    <t>https://linktr.ee/Wallpaperdirect</t>
  </si>
  <si>
    <t>wallpapermag</t>
  </si>
  <si>
    <t>The global design authority</t>
  </si>
  <si>
    <t>https://linkin.bio/wallpapermag</t>
  </si>
  <si>
    <t>wallpaperscissor</t>
  </si>
  <si>
    <t>Wall Paper Scissor</t>
  </si>
  <si>
    <t>Baby goods/kids goods</t>
  </si>
  <si>
    <t>Playful, made-to-measure #childrenswallpapers  &amp; #reusablewallstickers created for your little ones by twins Bhumika &amp; Dhwani.</t>
  </si>
  <si>
    <t>http://www.wallpaperscissor.com/</t>
  </si>
  <si>
    <t>ashlynscarter</t>
  </si>
  <si>
    <t>WEBSITE + LAUNCH COPYWRITER ✍🏼🍾</t>
  </si>
  <si>
    <t>Let’s make you more $ with your WORDS✏️💰✨ Founder of Copywriting for Creatives &amp; The Copy Bar | Ft. FORBES, 10k+ students | ✝️
⤵️ FREE CLASS</t>
  </si>
  <si>
    <t>https://aw.ink/masterclass</t>
  </si>
  <si>
    <t>bertbisnis</t>
  </si>
  <si>
    <t>Edbert | Website Maker 🧑‍💻</t>
  </si>
  <si>
    <t>💻 Belajar Bikin Website Tanpa Coding 
👥 250+ Portofolio &amp; 5.000 Member Kelas
📲 CP : +62 818 0532 8958 ( Hendro )
‎ 
Join Website Maker Community ↓</t>
  </si>
  <si>
    <t>https://websitemaker.id/live-ai/</t>
  </si>
  <si>
    <t>fashionweeks.website__</t>
  </si>
  <si>
    <t>fashionweeks</t>
  </si>
  <si>
    <t>fashion weeks.website</t>
  </si>
  <si>
    <t>http://www.fashionweeks.website</t>
  </si>
  <si>
    <t>itsrexxtar</t>
  </si>
  <si>
    <t>Kamal Ashraf |🕸️ Website designer |☁️ Cloud Solutions</t>
  </si>
  <si>
    <t>🌍 Future Diplomat | 🎓 IR Graduate
📊 Business Mind | 💻 Tech Innovator
🚀 Bridging Technology &amp; Global Affairs</t>
  </si>
  <si>
    <t>https://youtube.com/@itsrexxtar?si=5qjxULnwo2oqIJKT</t>
  </si>
  <si>
    <t>soulshine.digital</t>
  </si>
  <si>
    <t>Marketing Agency | Social Media, SEO, Ads, Website Design</t>
  </si>
  <si>
    <t>𖤓 award winning marketing for ambitious businesses 
strategies backed by psychology, data &amp; trends 🐚🤍
enquire via our form for summer ↓</t>
  </si>
  <si>
    <t>https://soulshinedigital.co.uk/contact</t>
  </si>
  <si>
    <t>webdesignssphere</t>
  </si>
  <si>
    <t>Website Design &amp; Development</t>
  </si>
  <si>
    <t>Web Designer</t>
  </si>
  <si>
    <t>🗯 Your Daily Webdesign &amp; UI/UX Inspiration. 
🧑‍💻 Helping Startups &amp; Brands with Creative Website 
💬 Want Websites ? DM US !</t>
  </si>
  <si>
    <t>websitebuilderseo</t>
  </si>
  <si>
    <t>Website Builder SEO</t>
  </si>
  <si>
    <t>Websites that rank. SEO, AI-powered content, Google Maps &amp; social media experts 🚀
Backup: @websitebuilder_seo 
Business Inquiries ⬇️</t>
  </si>
  <si>
    <t>http://websitebuilderseo.com</t>
  </si>
  <si>
    <t>wekita.id</t>
  </si>
  <si>
    <t>Undangan Digital Website</t>
  </si>
  <si>
    <t>Wedding Planning Service</t>
  </si>
  <si>
    <t>Dipercaya lebih +4000 pengantin setiap bulannya💕
.
Sebar Momen Spesial lebih mudah dan hemat
Mahar @kamala.id
Souvenir @niku.souvenir
More info
⬇️⬇️</t>
  </si>
  <si>
    <t>https://linktr.ee/Wekita.id</t>
  </si>
  <si>
    <t>wired</t>
  </si>
  <si>
    <t>WIRED</t>
  </si>
  <si>
    <t>Where tomorrow is realized.                                     Read our latest ⬇️</t>
  </si>
  <si>
    <t>https://likeshop.me/wired</t>
  </si>
  <si>
    <t>wiredchef</t>
  </si>
  <si>
    <t>Wired Chef</t>
  </si>
  <si>
    <t>The photographic tales of a Canadian who enjoys food.
#wiredchef are my own creations. 
👉Collabs/Tastings: Send a DM
☀️Currently eating in #Kitchener</t>
  </si>
  <si>
    <t>wiredgals</t>
  </si>
  <si>
    <t>Wiredgals</t>
  </si>
  <si>
    <t>💌 message for promos
✨ dm for credit/removal
🌸 not impersonating anyone  
💬 all rights to original owners</t>
  </si>
  <si>
    <t>wiredmusicfestival</t>
  </si>
  <si>
    <t>WIRED MUSIC FESTIVAL</t>
  </si>
  <si>
    <t>Event</t>
  </si>
  <si>
    <t>WIRED MUSIC FESTIVAL Official Instagram Account 
2025.10.5 SUN 
AICHI SKY EXPO 野外特設会場✈️</t>
  </si>
  <si>
    <t>https://wiredmusicfestival.jp</t>
  </si>
  <si>
    <t>kekri_fire__service</t>
  </si>
  <si>
    <t>Sonu Saini</t>
  </si>
  <si>
    <t>नगर पालिका केकड़ी 𝕾𝖆𝖗𝕜𝖆𝖗
If you have the support of your mother 👩 and Saawariya🦚❤️Seth's support then you can feel happy even in sadness 💝☺️😎</t>
  </si>
  <si>
    <t>https://youtube.com/@kekrisonusaini?si=cGCq1XefEdzb3i68</t>
  </si>
  <si>
    <t>tt_fireservice</t>
  </si>
  <si>
    <t>T&amp;T Fire Service</t>
  </si>
  <si>
    <t>Fire Protection Service</t>
  </si>
  <si>
    <t>The official Instagram page of the Trinidad and Tobago Fire Service (TTFS)🚒👩🏾‍🚒👨🏾‍🚒#CallFireFirst #990 
TTFS Independence Day Content ⬇️</t>
  </si>
  <si>
    <t>https://youtu.be/g1TWSQ91Cww</t>
  </si>
  <si>
    <t>nywmagazine</t>
  </si>
  <si>
    <t>NY Weekly Magazine</t>
  </si>
  <si>
    <t>Your source for latest news, insights, and inspiration from the US and beyond.</t>
  </si>
  <si>
    <t>https://www.nyweeklymagazine.com</t>
  </si>
  <si>
    <t>w.art_magazine</t>
  </si>
  <si>
    <t>w.Art magazine 더아트매거진</t>
  </si>
  <si>
    <t>감각적인 삶을 지향하는 당신을 위해 소개하는 매거진
Fashion &amp; Lifestyle
💌with.artmagazine@gmail.com</t>
  </si>
  <si>
    <t>whomagazine</t>
  </si>
  <si>
    <t>WHO Magazine</t>
  </si>
  <si>
    <t>WHO is Australia's favourite entertainment and lifestyle site.</t>
  </si>
  <si>
    <t>https://likeshop.me/whomagazine</t>
  </si>
  <si>
    <t>wmagchina</t>
  </si>
  <si>
    <t>W Magazine China</t>
  </si>
  <si>
    <t>blkwomenshealth</t>
  </si>
  <si>
    <t>BWHI</t>
  </si>
  <si>
    <t>We are the oldest national nonprofit dedicated solely to the health &amp; wellness of Black women &amp; girls.</t>
  </si>
  <si>
    <t>http://linkin.bio/imperative_bwhi</t>
  </si>
  <si>
    <t>dnafitnessuk</t>
  </si>
  <si>
    <t>Dilan | Women’s Health Coach</t>
  </si>
  <si>
    <t>💃🏽 I help busy women lose 5-10kg+ within 90 days and rebuild their mindset, confidence &amp; identity
🔥 600+ women transformed
📥 DM 'THR' for 1:1 coaching</t>
  </si>
  <si>
    <t>https://linktr.ee/dnafitnessuk</t>
  </si>
  <si>
    <t>femalephysioco</t>
  </si>
  <si>
    <t>EVIDENCE BASED WOMEN’S HEALTH PHYSIO’S</t>
  </si>
  <si>
    <t>🌸Pregnancy | Postnatal | Pelvic Health
👩🏼‍⚕️Daily tips + pelvic floor exercises 
🇦🇺Gold Coast
🔗Collabs: sarah@posseecreative.com
BOOK HERE 👇</t>
  </si>
  <si>
    <t>https://linktr.ee/femalephysioco</t>
  </si>
  <si>
    <t>jaymiemoran</t>
  </si>
  <si>
    <t>Body Smart  - Women’s Health &amp; Weight Management</t>
  </si>
  <si>
    <t>🙋‍♀️Women 30+ lose weight &amp; fix your metabolism, hormones &amp; habits → @bodysmartfitness
💰Guaranteed or you don’t pay
⭐️1,300+ 5 star Trustpilot reviews</t>
  </si>
  <si>
    <t>http://bodysmartfitness.com/ig</t>
  </si>
  <si>
    <t>theselfloverevolution_</t>
  </si>
  <si>
    <t>Holly Harcourt ~ Online Women’s Health Coach</t>
  </si>
  <si>
    <t>Helping women 35+ who have lost confidence,drop body fat, get strong &amp; love their bodies ❤️
Post natal to Perimenopause? I got you!
Join Elev8 👇🏼</t>
  </si>
  <si>
    <t>https://selfloverevolution.myflodesk.com/elev8</t>
  </si>
  <si>
    <t>womens_health_7</t>
  </si>
  <si>
    <t>Women's Health</t>
  </si>
  <si>
    <t>Women's Health Clinic</t>
  </si>
  <si>
    <t>🏋️‍♂️🏋️‍♂️ Daily Workout Videos 
💪💪 Best Home &amp; Gym Workouts - For Weight Loss. ❤️
📌📌 Proven &amp; Tested Weight Loss Product. ❤️
💥💥 Grab Your Product 👇👇</t>
  </si>
  <si>
    <t>https://mwebefficient.com/7001/13902/10/</t>
  </si>
  <si>
    <t>womens.health.club</t>
  </si>
  <si>
    <t>Women’s Health Club</t>
  </si>
  <si>
    <t>Fitness is a never ending journey.
Physical and mental health are both important</t>
  </si>
  <si>
    <t>womenshealthuk</t>
  </si>
  <si>
    <t>Women's Health UK</t>
  </si>
  <si>
    <t>The best fitness, beauty, health, nutrition, fashion and more from the UK’s top lifestyle magazine. Hit the link in bio to start reading 👇💪</t>
  </si>
  <si>
    <t>https://likeshop.me/womenshealthuk</t>
  </si>
  <si>
    <t>womenswellnessdigest</t>
  </si>
  <si>
    <t>🌿 Holistic Women’s Health &amp; Wellness</t>
  </si>
  <si>
    <t>Health &amp; wellness website</t>
  </si>
  <si>
    <t>Evidence-backed insights for hormonal balance, energy, and graceful aging.
thriving &gt; surviving ✨</t>
  </si>
  <si>
    <t>xtinecardenas</t>
  </si>
  <si>
    <t>BADASS BABE SQUAD | Women’s Health &amp; Mindset Coaching</t>
  </si>
  <si>
    <t>No BS Approach For Women Who Want To Get In The Gym &amp; Get Stronger While Losing Weight
Need Help? Apply For Coaching Here 👇🏼
📍🇲🇽 🇨🇦 Gypsy Mode 🏕️ 🥾</t>
  </si>
  <si>
    <t>https://apply.badassbabesquad.ca/?application_lead_source=instagram</t>
  </si>
  <si>
    <t>_am_.writer_01</t>
  </si>
  <si>
    <t>𝐌𝐫 𝐰𝐫𝐢𝐭𝐞𝐫 ✍️</t>
  </si>
  <si>
    <t>Mahefil me akele ho 🔥
.
Shayari • Thought • Motivation 🥀
.
🔥 Gazab Ka Shayar Hu ✍🏻
.
🔥 Insaan Nahi Uske Dil Ko Apna Banata Hu 🙂</t>
  </si>
  <si>
    <t>hindi_writer_rk</t>
  </si>
  <si>
    <t>Hindi Writer RK</t>
  </si>
  <si>
    <t>Literary Arts</t>
  </si>
  <si>
    <t>Admin :- @rohit_prjpt92
DM for paid Collaboration</t>
  </si>
  <si>
    <t>poets.and.writers</t>
  </si>
  <si>
    <t>Writers</t>
  </si>
  <si>
    <t>Words, how little they mean when they are little too late.
DM us for Paid Promotions.
Download CUB: Self-Care App👇👇</t>
  </si>
  <si>
    <t>https://cubadhd.onelink.me/OD9D/rpwio13s</t>
  </si>
  <si>
    <t>sukon_ke_alfaz</t>
  </si>
  <si>
    <t>writer ✍🏻</t>
  </si>
  <si>
    <t>Trun on notification 🔔 
.
......200k...inshallah 💞
......plz supporting 🙏</t>
  </si>
  <si>
    <t>writer</t>
  </si>
  <si>
    <t>📖 book quotes &amp; writer quotes
☕️ join along readers and writers</t>
  </si>
  <si>
    <t>writer.kh</t>
  </si>
  <si>
    <t>inspirational poetry + quotes</t>
  </si>
  <si>
    <t>encouraging • hopeful • motivational 
words by me, for you. 🤍</t>
  </si>
  <si>
    <t>https://direct.me/writerkh</t>
  </si>
  <si>
    <t>writer_rafik</t>
  </si>
  <si>
    <t>𝐑𝐀𝐅𝐈𝐊 𝐊𝐇𝐀𝐍</t>
  </si>
  <si>
    <t>𝐁𝐚𝐜𝐤𝐮𝐩: 𝐢𝐝 Coming Soon 
🔰𝐒𝐇𝐀𝐘𝐀𝐑𝐈 𝐌𝐎𝐃𝐄 ▶️
🔰𝐁𝐄𝐀𝐓 𝐇𝐈𝐍𝐃𝐈 𝐓𝐇𝐎𝐔𝐆𝐇𝐓𝐒🎶
🔰𝐓𝐔𝐑𝐍 𝐎𝐍 𝐍𝐎𝐓𝐈𝐅𝐈𝐂𝐀𝐓𝐈𝐎𝐍🎵</t>
  </si>
  <si>
    <t>writers</t>
  </si>
  <si>
    <t>Writing is a therapy. 
✉️: messagewriters@gmail.com</t>
  </si>
  <si>
    <t>https://mybook.to/learningtolovemyself</t>
  </si>
  <si>
    <t>writersdigest</t>
  </si>
  <si>
    <t>Writer's Digest</t>
  </si>
  <si>
    <t>Writers helping writers since 1920. Published by Active Interest Media. #amwriting #writingcommunity #writerslife</t>
  </si>
  <si>
    <t>https://linkin.bio/writersdigest/</t>
  </si>
  <si>
    <t>writerspocket</t>
  </si>
  <si>
    <t>Writer's Pocket</t>
  </si>
  <si>
    <t>For publishing queries: @writerspocketpublishing
Submit your content here👇🏻</t>
  </si>
  <si>
    <t>http://writerspocket.com/free-publishing</t>
  </si>
  <si>
    <t>writer__status0_</t>
  </si>
  <si>
    <t>Aryan
@writer__status0_🖋️</t>
  </si>
  <si>
    <t>उम्र गुजर जाती है नाम कामने में,..🖋️
मिनट नहीं लगती है उसपर दाग लगाने में...
#dard💔 
♥️मोहब्बत♥️
#shayari✨
See translations..</t>
  </si>
  <si>
    <t>yahoofinance</t>
  </si>
  <si>
    <t>The biggest business platform on the planet. 🌎
Read the news here ⬇️</t>
  </si>
  <si>
    <t>https://smartlink.bio/yahoofinance</t>
  </si>
  <si>
    <t>yahoofinanceau</t>
  </si>
  <si>
    <t>Yahoo Finance Australia</t>
  </si>
  <si>
    <t>Keeping Aussies informed about their money, local and global finance news, property, jobs and more. 🇦🇺💰</t>
  </si>
  <si>
    <t>http://au.finance.yahoo.com</t>
  </si>
  <si>
    <t>yahoosports</t>
  </si>
  <si>
    <t>https://sports.yahoo.com/videos/shows/network-series/</t>
  </si>
  <si>
    <t>yahoosportsca</t>
  </si>
  <si>
    <t>Yahoo Sports Canada</t>
  </si>
  <si>
    <t>🏆 Sports without the suits
Subscribe to our YouTube channel ⬇️</t>
  </si>
  <si>
    <t>https://bit.ly/2P5ZEIz</t>
  </si>
  <si>
    <t>yahoosportswear</t>
  </si>
  <si>
    <t>Yahoo Sports Wear®""</t>
  </si>
  <si>
    <t>Outdoor &amp; Sporting Goods Company</t>
  </si>
  <si>
    <t>💯Free Artwork for Designs🖥️🖥️
💰Low MOQ📦Affordable Prices💸
💯Supreme Quality🏆Custom Branding🏷️
💯 Drop Shipping📦, LIVE Production updates📽️</t>
  </si>
  <si>
    <t>https://yahoosportswear.com</t>
  </si>
  <si>
    <t>yahoo_sports_wear</t>
  </si>
  <si>
    <t>YAHOO SPORTS WEAR</t>
  </si>
  <si>
    <t>Apparel Distributor</t>
  </si>
  <si>
    <t>antiytshorts</t>
  </si>
  <si>
    <t>YouTube Shorts 💔</t>
  </si>
  <si>
    <t>Help me reach 10k YouTube subscribers 👇</t>
  </si>
  <si>
    <t>https://openinyoutube.com/@antiytshort?si=dRjmNnuAWrpa04rr</t>
  </si>
  <si>
    <t>ferishow.youtube</t>
  </si>
  <si>
    <t>فرهاد دلاوری پور</t>
  </si>
  <si>
    <t>به یوتوب من خوش امدید</t>
  </si>
  <si>
    <t>https://gotub.vip/ferishow</t>
  </si>
  <si>
    <t>himatsuyoutube</t>
  </si>
  <si>
    <t>ひまつYouTube【時事ネタ語り】</t>
  </si>
  <si>
    <t>よろしくお願いします</t>
  </si>
  <si>
    <t>https://youtube.com/@hitsumabushi245?si=Szwn3aqIvhGK_LDb</t>
  </si>
  <si>
    <t>jordanlipscombee</t>
  </si>
  <si>
    <t>YOUTUBER | 27</t>
  </si>
  <si>
    <t>🖤🤍🖤🤍
Business Enquiries: jordanlipscombe@mcsaatchisocial.com
YOUTUBE:</t>
  </si>
  <si>
    <t>https://bit.ly/3nabgv5</t>
  </si>
  <si>
    <t>kurtcazyoutube</t>
  </si>
  <si>
    <t>Kurt Caz</t>
  </si>
  <si>
    <t>MERCH 👇🗡️</t>
  </si>
  <si>
    <t>https://theconquest.co</t>
  </si>
  <si>
    <t>mr.danilkors</t>
  </si>
  <si>
    <t>Danil Kors | YouTube producer</t>
  </si>
  <si>
    <t>7 лет в продюсировании. Кейсы в 73 нишах.
Мой Телеграм👇</t>
  </si>
  <si>
    <t>https://t.me/korsdanil</t>
  </si>
  <si>
    <t>pure_life_youtube</t>
  </si>
  <si>
    <t>Pure Life</t>
  </si>
  <si>
    <t>Mazali Taomlar Obzori😋
Siz Bilgan va Bilmagan taomlaringiz😎 
⭕️REKLAMA BOʻYICHA DIRECT🤝
😍Tasty Street Foods😋</t>
  </si>
  <si>
    <t>https://youtube.com/channel/UCZhOYHFuKS-6WhcfNxYKI8g</t>
  </si>
  <si>
    <t>velizhanini</t>
  </si>
  <si>
    <t>Николай Велижанин | YouTube продвижение</t>
  </si>
  <si>
    <t>Крупнейшее агентство YouTube для бизнеса 🎬
5 золотых и 40+ серебряных кнопок с 0 🔥
Работать с нами👇🏻
Актуальное «под ключ»</t>
  </si>
  <si>
    <t>https://velizhanin.mobz.click/websiteNV</t>
  </si>
  <si>
    <t>youtube</t>
  </si>
  <si>
    <t>football is so back</t>
  </si>
  <si>
    <t>http://linkin.bio/youtube/</t>
  </si>
  <si>
    <t>youtubecreators</t>
  </si>
  <si>
    <t>YouTube Creators</t>
  </si>
  <si>
    <t>tips, tutorials, news, and inspo to supercharge your @youtube channel⚡️</t>
  </si>
  <si>
    <t>https://linkin.bio/youtubecreators</t>
  </si>
  <si>
    <t>youtubeindia</t>
  </si>
  <si>
    <t>YouTube India</t>
  </si>
  <si>
    <t>YT spelled backwards is TY
and TY for coming here 🥰</t>
  </si>
  <si>
    <t>youtubemusic</t>
  </si>
  <si>
    <t>YouTube Music</t>
  </si>
  <si>
    <t>The premium music streaming app, made by @youtube.</t>
  </si>
  <si>
    <t>http://linkin.bio/youtubemusic</t>
  </si>
  <si>
    <t>youtubeniels</t>
  </si>
  <si>
    <t>Niels van der Linde</t>
  </si>
  <si>
    <t>20+ faceless YouTube kanalen
DM 'YouTube' voor een gratis training
👇🏻 Hoe gewone mensen €7.000+/maand online verdienen</t>
  </si>
  <si>
    <t>https://go.facelesseducation.com/the-faceless-formula-home-page?el=instagram_organic_bio</t>
  </si>
  <si>
    <t>youtube_risa</t>
  </si>
  <si>
    <t>🎉 Risas aseguradas en mi cuenta de Instagram 🤣 Amante de los memes, videos graciosos y todo lo que me haga reir</t>
  </si>
  <si>
    <t>youtubetv</t>
  </si>
  <si>
    <t>YouTube TV</t>
  </si>
  <si>
    <t>Officially football szn</t>
  </si>
  <si>
    <t>https://linkin.bio/youtubetv/</t>
  </si>
  <si>
    <t>zdnet_official</t>
  </si>
  <si>
    <t>ZDNET</t>
  </si>
  <si>
    <t>Tomorrow belongs to those who embrace it today.</t>
  </si>
  <si>
    <t>https://linkin.bio/zdnet_official</t>
  </si>
  <si>
    <t>aaron</t>
  </si>
  <si>
    <t>Aaron Pinkston</t>
  </si>
  <si>
    <t>Producer</t>
  </si>
  <si>
    <t>Personal Photographer to @JenPinkston, Parker, Ever, &amp; @maddypresident
Director of Visual Production / @sietefoods 
📍Austin</t>
  </si>
  <si>
    <t>aaronkwokxx</t>
  </si>
  <si>
    <t>theweeknd</t>
  </si>
  <si>
    <t>http://theweeknd.com/tour</t>
  </si>
  <si>
    <t>msabigailmac</t>
  </si>
  <si>
    <t>Ashley Papa</t>
  </si>
  <si>
    <t>Subscribe to join my chat room 🥳
Progressive/Queer/Atheist 💙🌈
Yesterday my life was duller, now everything's technicolor 💅🏼</t>
  </si>
  <si>
    <t>adam</t>
  </si>
  <si>
    <t>Adam Sait</t>
  </si>
  <si>
    <t>Director | Musician 
+ Tech &amp; Plants @ NTS 🌱</t>
  </si>
  <si>
    <t>adamsandler</t>
  </si>
  <si>
    <t>Adam Sandler</t>
  </si>
  <si>
    <t>HAPPY GILMORE 2 now streaming on Netflix</t>
  </si>
  <si>
    <t>adamw</t>
  </si>
  <si>
    <t>Adam Waheed</t>
  </si>
  <si>
    <t>Adamw@madebyall.com</t>
  </si>
  <si>
    <t>etoadamio</t>
  </si>
  <si>
    <t>Сотрудничество +7 771 607 0035 Алима  🧑‍💼
@insdr.pr</t>
  </si>
  <si>
    <t>https://t.me/+d5iQhBehjbE2YWE6</t>
  </si>
  <si>
    <t>aiden</t>
  </si>
  <si>
    <t>Music Producer</t>
  </si>
  <si>
    <t>Music Is My Religion 
Bookings: 
Eddy@totesonne.com 
Anastasia@totesonne.com
@elitemodelworld @munichmodels @estmodels @thesocietynyc</t>
  </si>
  <si>
    <t>https://youtu.be/XElUWxn5G_0?si=8FZh8xrdFPuHEhOM</t>
  </si>
  <si>
    <t>aidenbelter</t>
  </si>
  <si>
    <t>aiden belter</t>
  </si>
  <si>
    <t>@aidensdmp
Business Inquiries: aiden@undercurrent.net</t>
  </si>
  <si>
    <t>aiden_kroll</t>
  </si>
  <si>
    <t>Aiden Kroll</t>
  </si>
  <si>
    <t>24yrs 
LA 📍
📥: aidenkroll.contact@gmail.com</t>
  </si>
  <si>
    <t>https://linktr.ee/aiden_kroll</t>
  </si>
  <si>
    <t>alberto</t>
  </si>
  <si>
    <t>Goldlöckchen</t>
  </si>
  <si>
    <t>Youth &amp; Body Coach 
MORE CODE: SOLINA 
@solina.bodymindandsoul
Der Weg zur ewigen Jugend⬇️</t>
  </si>
  <si>
    <t>https://linktr.ee/solina.membership</t>
  </si>
  <si>
    <t>alejandra</t>
  </si>
  <si>
    <t>Alessandra Balestra</t>
  </si>
  <si>
    <t>alejandraah22</t>
  </si>
  <si>
    <t>Alejandra 🌼</t>
  </si>
  <si>
    <t>alejandrobalde</t>
  </si>
  <si>
    <t>ALEJANDRO BALDE</t>
  </si>
  <si>
    <t>GOD FIRST. 🐆</t>
  </si>
  <si>
    <t>alejandro_sago</t>
  </si>
  <si>
    <t>Alejandro Sago</t>
  </si>
  <si>
    <t>🔴 Podcast: @pic_pod Y @5inco_mentariospod 
📍 CDMX 🇲🇽 | GT 🇬🇹
📱 Collabs: contacto@picpodtv.show 
👇🏻 CLICK AQUÍ PARA MI NUEVO VÍDEO🥳👇🏻</t>
  </si>
  <si>
    <t>https://youtu.be/H6JinDpcAJg?si=8pf5kMcXzgu8okwq</t>
  </si>
  <si>
    <t>alejandrosanz</t>
  </si>
  <si>
    <t>Alejandro Sanz</t>
  </si>
  <si>
    <t>🥷</t>
  </si>
  <si>
    <t>https://alejandrosanz.lnk.to/YAhoraQue</t>
  </si>
  <si>
    <t>thealejandroinarritu</t>
  </si>
  <si>
    <t>Alejandro González Iñárritu</t>
  </si>
  <si>
    <t>Director of some movies</t>
  </si>
  <si>
    <t>alejandro</t>
  </si>
  <si>
    <t>Alejandro McCurry</t>
  </si>
  <si>
    <t>resistance is the compass</t>
  </si>
  <si>
    <t>alejandro.gil</t>
  </si>
  <si>
    <t>Alejandro Gil</t>
  </si>
  <si>
    <t>Casting Director</t>
  </si>
  <si>
    <t>👀👀
@lanecastinges 🇪🇸
@lanecastinguk 🇬🇧</t>
  </si>
  <si>
    <t>http://www.lane-casting.com/</t>
  </si>
  <si>
    <t>gainzalek</t>
  </si>
  <si>
    <t>A L E J A N D R O  G A I N Z A 🇪🇸</t>
  </si>
  <si>
    <t>⏩ Pro cyclist in @maystars2025 (Rwanda) 🇷🇼
📍 Tarifa, Spain 🇪🇸
🌍 Riding a bike around the world 🚵‍♂️
🏠 @tarifadosvientos 🚴‍♂️ @a.g.cyclingexperience 🌍</t>
  </si>
  <si>
    <t>http://www.strava.com/</t>
  </si>
  <si>
    <t>garnacho7</t>
  </si>
  <si>
    <t>100% God
@chelseafc 
@lead3rs</t>
  </si>
  <si>
    <t>rauwalejandro</t>
  </si>
  <si>
    <t>Raúl Alejandro</t>
  </si>
  <si>
    <t>Movie Character</t>
  </si>
  <si>
    <t>🇵🇷</t>
  </si>
  <si>
    <t>https://linktr.ee/rauwalejandro</t>
  </si>
  <si>
    <t>alexander</t>
  </si>
  <si>
    <t>Alexander Forsén</t>
  </si>
  <si>
    <t>Media technology engineer. Consultant. I amplify your message.</t>
  </si>
  <si>
    <t>https://alwaysbeshipping.xyz/</t>
  </si>
  <si>
    <t>alexander__tlv</t>
  </si>
  <si>
    <t>ALEXANDER</t>
  </si>
  <si>
    <t>-𝙱𝚛𝚎𝚊𝚍 &amp; 𝙱𝚊𝚔𝚎𝚛𝚢-
Boutique Boulangerie in Tel Aviv
By @alexander_bearman
ללא תעודת כשרות
לינק להזמנות</t>
  </si>
  <si>
    <t>https://alexandertlv.com/bakeryshop/</t>
  </si>
  <si>
    <t>alex_isak</t>
  </si>
  <si>
    <t>Alexander Isak</t>
  </si>
  <si>
    <t>Footballer for @liverpoolfc &amp; @swemnt ||🇸🇪 🇪🇷||</t>
  </si>
  <si>
    <t>_alfonsoavila</t>
  </si>
  <si>
    <t>⚡️FONS⚡️</t>
  </si>
  <si>
    <t>📍bali
not your average weirdo 
check my reels tab for some clownery</t>
  </si>
  <si>
    <t>https://www.tiktok.com/@_alfonsoavila</t>
  </si>
  <si>
    <t>alfonsodapice.7</t>
  </si>
  <si>
    <t>Alfonso D’Apice</t>
  </si>
  <si>
    <t>Napoletano💙
📩 alfonsodapice.collab@gmail.com
Iscriviti su YouTube🎥✨👇🏼</t>
  </si>
  <si>
    <t>https://linktr.ee/alfonsodapice</t>
  </si>
  <si>
    <t>alfonsofoster</t>
  </si>
  <si>
    <t>Alfonso Foster</t>
  </si>
  <si>
    <t>Motivational speaker</t>
  </si>
  <si>
    <t>Prayer Warrior 🙏🏾 | STL 📍| Mortician 🕊️
For Partnerships 📧: management@alfonsobooking.com
Management : @roskiii__</t>
  </si>
  <si>
    <t>https://www.patreon.com/INSPIRATIONWITHALFONSOFOSTER?utm_campaign=creatorshare_creator</t>
  </si>
  <si>
    <t>alfonsogimeno13</t>
  </si>
  <si>
    <t>Alfonso Gimeno</t>
  </si>
  <si>
    <t>@owarakaii 
Architect | 3D artist 
Madrid | Milan</t>
  </si>
  <si>
    <t>http://alfonsogimeno13.tumblr.com/</t>
  </si>
  <si>
    <t>alfonso.ldlo</t>
  </si>
  <si>
    <t>Alfonso López de la Osa</t>
  </si>
  <si>
    <t>Paris
partner: @vinaliskincare      
business: teamalfonso@nichesocieties.com</t>
  </si>
  <si>
    <t>http://kickstarter.com/projects/vinaliskincare/support-family-heritage-relaunch-clean-skincare-from-spain</t>
  </si>
  <si>
    <t>alfonsomunoz_</t>
  </si>
  <si>
    <t>Alfonso Muñoz</t>
  </si>
  <si>
    <t>1% mejor cada día
Viajes, locuras, deportes y alimentación es mi pasión.
@chillinstudios 
📩 alfonsomucar@gmail.com</t>
  </si>
  <si>
    <t>https://applytoamplify.com/alfonso</t>
  </si>
  <si>
    <t>alfonso_rubin</t>
  </si>
  <si>
    <t>Aʟғᴏɴꜱᴏ ʀᴜʙɪɴ - ARTIST</t>
  </si>
  <si>
    <t>𝑷𝒂𝒊𝒏𝒕 &amp; 𝑨𝒊𝒓𝒃𝒓𝒖𝒔𝒉 𝒂𝒓𝒕𝒊𝒔𝒕
DM Info@alfonsorubin.com for info and collabs.</t>
  </si>
  <si>
    <t>therealalfonsoribeiro</t>
  </si>
  <si>
    <t>Alfonso Ribeiro</t>
  </si>
  <si>
    <t>Host of both @dancingwiththestars and @afvofficial on ABC.</t>
  </si>
  <si>
    <t>tx._alfonso</t>
  </si>
  <si>
    <t>𝐀𝐥𝐟𝐨𝐧𝐬𝐨</t>
  </si>
  <si>
    <t>𝐃𝐓𝐗</t>
  </si>
  <si>
    <t>alicia</t>
  </si>
  <si>
    <t>Alicia Zubikowski</t>
  </si>
  <si>
    <t>11xEmmy Winner 💫 Do what you love and you’ll never work a day in your life. 
Never too late too Pivot🎬 Check out new Episodes @thepivot  ⬇️</t>
  </si>
  <si>
    <t>https://youtu.be/m3vozVLCYwo</t>
  </si>
  <si>
    <t>allan</t>
  </si>
  <si>
    <t>Allan Lima</t>
  </si>
  <si>
    <t>🧙🏻‍♂️ empresário | compositor 
💡 co-fundador @lalaiamusic 
🌀 co-fundador @composify 
🎤 @suel | @matheusinho</t>
  </si>
  <si>
    <t>allenandunwin</t>
  </si>
  <si>
    <t>Allen &amp; Unwin</t>
  </si>
  <si>
    <t>#AllenandUnwin 📖💕
Australian. Independent. For Readers. 📚</t>
  </si>
  <si>
    <t>https://sprout.link/allenandunwin</t>
  </si>
  <si>
    <t>allennchen</t>
  </si>
  <si>
    <t>ALLEN</t>
  </si>
  <si>
    <t>sh/ ldn/ syd
weibo: Allen_ChenM @allennscam</t>
  </si>
  <si>
    <t>https://www.xiaohongshu.com/user/profile/5defb7290000000001005a52?xhsshare=CopyLink&amp;appuid=5defb7290000000001005a52&amp;apptime=1711976022</t>
  </si>
  <si>
    <t>allen_strong70</t>
  </si>
  <si>
    <t>Keith Allen</t>
  </si>
  <si>
    <t>✨ Content Creator | Realist | Motivator
🎤 Empowering minds 
💡 Inspiring growth daily 
📈 100M views this month
🎥 Watch my viral videos below ⬇️</t>
  </si>
  <si>
    <t>theofficialai3</t>
  </si>
  <si>
    <t>Allen Iverson</t>
  </si>
  <si>
    <t>This is the Official Instagram of Allen Iverson</t>
  </si>
  <si>
    <t>https://bit.ly/AllenIversonBook</t>
  </si>
  <si>
    <t>allison</t>
  </si>
  <si>
    <t>Allison Hsu</t>
  </si>
  <si>
    <t>@interscope</t>
  </si>
  <si>
    <t>_allison_fiona_</t>
  </si>
  <si>
    <t>Fiona Allison</t>
  </si>
  <si>
    <t>❀ Official account of Fiona Allison 🇫🇷 
♡ International Model | Influencer | Public Figure</t>
  </si>
  <si>
    <t>https://linktr.ee/FionaAllison</t>
  </si>
  <si>
    <t>alyssa</t>
  </si>
  <si>
    <t>alyssa arminio</t>
  </si>
  <si>
    <t>NYC 🐀</t>
  </si>
  <si>
    <t>amanda</t>
  </si>
  <si>
    <t>Amanda Claire</t>
  </si>
  <si>
    <t>both sides of the lens ✈️📸</t>
  </si>
  <si>
    <t>https://linktr.ee/amandaclairee/</t>
  </si>
  <si>
    <t>azoiteiamanda</t>
  </si>
  <si>
    <t>your daily street dance fit check energy booster⚡️
TikTok: amandaazoitei +720k 
hello@azoiteiamanda.com</t>
  </si>
  <si>
    <t>http://tiktok.com/@amandaazoitei</t>
  </si>
  <si>
    <t>amber</t>
  </si>
  <si>
    <t>amberheard</t>
  </si>
  <si>
    <t>Amber Heard</t>
  </si>
  <si>
    <t>amelljia</t>
  </si>
  <si>
    <t>AMELIA</t>
  </si>
  <si>
    <t>https://linktr.ee/amelljia</t>
  </si>
  <si>
    <t>anajohnson</t>
  </si>
  <si>
    <t>Ana Johnson</t>
  </si>
  <si>
    <t>Dein kreativ-chaotischer Safe Space 🤍
Kiwu-Mom 🌈
Mein Spiel: @kluengelbande 
presets: @createbyanajohnson 
podcast: @diejohnsons</t>
  </si>
  <si>
    <t>http://www.anajohnson.com</t>
  </si>
  <si>
    <t>standregolf</t>
  </si>
  <si>
    <t>St. André Golf</t>
  </si>
  <si>
    <t>Goofin n golfin
social@standre.golf 
@bridgestonegolf | @pgatoursuperstore | @longdrink | @johnnieobrand</t>
  </si>
  <si>
    <t>https://linktr.ee/standregolf</t>
  </si>
  <si>
    <t>andreasaky</t>
  </si>
  <si>
    <t>𝒜ndrea 🎀 𝒮zakálová</t>
  </si>
  <si>
    <t>🪄ᴄᴏɴᴛᴇɴᴛ ᴄʀᴇᴀᴛᴏʀ - ᴄᴏʟʟᴀʙ 💌 ᴀ.ꜱᴢᴀᴋᴀʟᴏᴠᴀ@ɢᴍᴀɪʟ.ᴄᴏᴍ
🏎 #ᴄᴀʀᴀᴅᴅɪᴄᴛ @blondriveee 
👩🏼‍💻 #ɢʀᴀᴘʜɪᴄᴅᴇꜱɪɢɴᴇʀ 
✨ᴄᴇᴏ @_as_collection_  @flaf.store</t>
  </si>
  <si>
    <t>http://herohero.co/andreasaky</t>
  </si>
  <si>
    <t>andrew</t>
  </si>
  <si>
    <t>Andrew Horton</t>
  </si>
  <si>
    <t>Actor @authenticmgmt @unitedagents
Retired Superhero</t>
  </si>
  <si>
    <t>https://www.superprof.co.uk/industry-professional-with-over-years-experience-the-business-represented-top-tier-ukus-talent-here-share-knowledge.html</t>
  </si>
  <si>
    <t>andrew_bayda</t>
  </si>
  <si>
    <t>Andrew Bayda</t>
  </si>
  <si>
    <t>Photographer enthusiast, travel addicted @andrewbayda_wed www.andrewbayda.com</t>
  </si>
  <si>
    <t>https://t.me/andrewbayda</t>
  </si>
  <si>
    <t>angel</t>
  </si>
  <si>
    <t>Telling stories that amplify light 🌟</t>
  </si>
  <si>
    <t>https://linktr.ee/angelstudiosinc</t>
  </si>
  <si>
    <t>angels</t>
  </si>
  <si>
    <t>Los Angeles Angels</t>
  </si>
  <si>
    <t>The official account of the Los Angeles Angels. #RepTheHalo</t>
  </si>
  <si>
    <t>http://linktr.ee/losangelesangels/</t>
  </si>
  <si>
    <t>angela</t>
  </si>
  <si>
    <t>Angela Li</t>
  </si>
  <si>
    <t>chinese-canadian model
new york &amp; toronto</t>
  </si>
  <si>
    <t>http://angela-models.com</t>
  </si>
  <si>
    <t>maligoshik</t>
  </si>
  <si>
    <t>Anna Malygon</t>
  </si>
  <si>
    <t>hello@maligoshik.com</t>
  </si>
  <si>
    <t>http://maligoshik.com</t>
  </si>
  <si>
    <t>anna</t>
  </si>
  <si>
    <t>ANNA | @anna</t>
  </si>
  <si>
    <t>big cold brew gal ☕️</t>
  </si>
  <si>
    <t>anne</t>
  </si>
  <si>
    <t>Anne Campos De Luca</t>
  </si>
  <si>
    <t>Jornalista ✨</t>
  </si>
  <si>
    <t>annefernandesoficial</t>
  </si>
  <si>
    <t>ANNE FERNANDES</t>
  </si>
  <si>
    <t>Desde 2007
Por @annefernandesps e @lucianafernandesp</t>
  </si>
  <si>
    <t>https://linktr.ee/annefernandes.bio</t>
  </si>
  <si>
    <t>annehathaway</t>
  </si>
  <si>
    <t>Anne Hathaway</t>
  </si>
  <si>
    <t>#MothersInstinct - 🥀 NOW STREAMING 🥀
#VerityMovie - 📕 COMING SOON 📕
#TheDevilWearsPrada2 👠IN PRODUCTION 👠</t>
  </si>
  <si>
    <t>anthony</t>
  </si>
  <si>
    <t>Anthony Farrer</t>
  </si>
  <si>
    <t>New YouTube Series starts December 1st
Check It Out 👉🏻 Anthony Farrer
90 Million Views 👉🏻 TikTok👇🏻
Anthonyfarrerofficial👈🏻👈🏻👈🏻</t>
  </si>
  <si>
    <t>https://youtube.com/@Thetimepiecegentleman</t>
  </si>
  <si>
    <t>antonio_fedez</t>
  </si>
  <si>
    <t>ANTONIO</t>
  </si>
  <si>
    <t>Business Enquiries ✉️
Hello@thegoldstudios.com
ONLY ACCOUNT
Get your Janet merch here ❤️👇🏻</t>
  </si>
  <si>
    <t>https://antonio-merch.com</t>
  </si>
  <si>
    <t>ariana</t>
  </si>
  <si>
    <t>𝐀𝐑𝐈𝐀𝐍𝐀</t>
  </si>
  <si>
    <t>𝑴𝒊𝒂𝒎𝒊 📍
@FashionNova 
@Hitechpharma
💌 contact@arianamgmt.com</t>
  </si>
  <si>
    <t>ariana_greenblatt</t>
  </si>
  <si>
    <t>ag</t>
  </si>
  <si>
    <t>animals are better than humans</t>
  </si>
  <si>
    <t>ariancatas_</t>
  </si>
  <si>
    <t>Sardinia</t>
  </si>
  <si>
    <t>arig088_</t>
  </si>
  <si>
    <t>𝒜𝓇𝒾𝒶𝓃𝒶</t>
  </si>
  <si>
    <t>Dtx 
only acc</t>
  </si>
  <si>
    <t>https://msha.ke/arig088_</t>
  </si>
  <si>
    <t>armando</t>
  </si>
  <si>
    <t>Armando Bacot</t>
  </si>
  <si>
    <t>Business inquires: abj5enterprisellc@gmail.com</t>
  </si>
  <si>
    <t>http://armandobacotjr.com</t>
  </si>
  <si>
    <t>armandofeola</t>
  </si>
  <si>
    <t>Lucas Armando Feola</t>
  </si>
  <si>
    <t>Stockholm 
lucasafeola@gmail.com</t>
  </si>
  <si>
    <t>arthur</t>
  </si>
  <si>
    <t>Arthur Gomes 🇧🇷</t>
  </si>
  <si>
    <t>Jesus the king of kings.
@fcdynamo ⚽️</t>
  </si>
  <si>
    <t>arthur_leclerc</t>
  </si>
  <si>
    <t>Arthur Leclerc</t>
  </si>
  <si>
    <t>- F1 development driver for @scuderiaferrari
- GT3 World Challenge driver with @afcorse_official</t>
  </si>
  <si>
    <t>ashleygraham</t>
  </si>
  <si>
    <t>A S H L E Y  G R A H A M</t>
  </si>
  <si>
    <t>model, mogul, mama</t>
  </si>
  <si>
    <t>https://substack.com/@ashleygraham/note/p-171906991?r=ti35f&amp;utm_medium=ios&amp;utm_source=notes-share-action</t>
  </si>
  <si>
    <t>iamashleynikole</t>
  </si>
  <si>
    <t>MS. A S H L E Y.  NIKOLE</t>
  </si>
  <si>
    <t>Guided by God, grounded in grace ✝️  
Classy. Confident. Wifey. 💋</t>
  </si>
  <si>
    <t>immeganashley</t>
  </si>
  <si>
    <t>M E G A N •A S H L E Y</t>
  </si>
  <si>
    <t>Christ advocate/Kingdom ambassador/Mama/Daughter/Friend/Servant/Podcast host
All inquiries: contact@themeganashley.com</t>
  </si>
  <si>
    <t>https://www.themeganashley.com/links</t>
  </si>
  <si>
    <t>austin</t>
  </si>
  <si>
    <t>Austin 👑</t>
  </si>
  <si>
    <t>I do stuff on the internet</t>
  </si>
  <si>
    <t>autumnfalls</t>
  </si>
  <si>
    <t>Autumn Falls</t>
  </si>
  <si>
    <t>hii ♡︎ welcome to my page</t>
  </si>
  <si>
    <t>https://browseallmylinks.com/autumn/</t>
  </si>
  <si>
    <t>autumnren</t>
  </si>
  <si>
    <t>Autumn Renae</t>
  </si>
  <si>
    <t>Backup: @autumnrenae ♡</t>
  </si>
  <si>
    <t>https://onlylinks.com/autumnrenxo</t>
  </si>
  <si>
    <t>autumnrenae</t>
  </si>
  <si>
    <t>Main: @autumnren ♡</t>
  </si>
  <si>
    <t>barbara</t>
  </si>
  <si>
    <t>Barbara Fialho</t>
  </si>
  <si>
    <t>Semente Baiana nascida em Minas Gerais…
Mãe da Maria, modelo, cantora, compositora…
📸@FordModelsBrasil 🎶@CQ__Music 
New Song ⬇️ Ouçam VIDA LEVE 🎶</t>
  </si>
  <si>
    <t>https://ingrv.es/vida-leve-jmj-8</t>
  </si>
  <si>
    <t>barbarakristoffersen</t>
  </si>
  <si>
    <t>you can call me barbs 
barbara.kristoffersen@digitaliconagency.com</t>
  </si>
  <si>
    <t>https://shopmy.us/barbarakristoffersen</t>
  </si>
  <si>
    <t>realbarbaraoneill</t>
  </si>
  <si>
    <t>Barbara O’Neill</t>
  </si>
  <si>
    <t>Author, educator, naturopath, nutritionist &amp; international speaker on natural healing.</t>
  </si>
  <si>
    <t>https://officialbarbaraoneill.com/events</t>
  </si>
  <si>
    <t>realbarbarapalvin</t>
  </si>
  <si>
    <t>Barbara Palvin</t>
  </si>
  <si>
    <t>Twitter : barbarapalvin
USA @fordmodels 
Lorraine@fordmodels.com</t>
  </si>
  <si>
    <t>beatrice</t>
  </si>
  <si>
    <t>Beatrice T. Stopa</t>
  </si>
  <si>
    <t>Comfort influencer ✨ 
Maternidade, viagens, looks, achados, mkt de influência e publis criativas
✨ @office.ts 
📍SP/GRU
comercialbeatrice@gmail.com</t>
  </si>
  <si>
    <t>http://linktr.ee/beatricestopa</t>
  </si>
  <si>
    <t>beatrice.gutu</t>
  </si>
  <si>
    <t>Beatrice Gutu</t>
  </si>
  <si>
    <t>stylist | art director
beatrice@dept43.com</t>
  </si>
  <si>
    <t>http://beatricegutu.substack.com</t>
  </si>
  <si>
    <t>beatricesegreti.reels</t>
  </si>
  <si>
    <t>Beatrice Segreti</t>
  </si>
  <si>
    <t>Main @beatricesegreti</t>
  </si>
  <si>
    <t>http://www.beatricesegreti.com</t>
  </si>
  <si>
    <t>beatriceuio</t>
  </si>
  <si>
    <t>Beatrice Pizza e Pasta</t>
  </si>
  <si>
    <t>@beatricepizzaepasta 
🇮🇹 Benvenuto a Beatrice
Ristorante italiano 🤌🏽
QUITO
📍@hiedrasplazaec De las Hiedras N41-194 y Granados.
Reserva en el link</t>
  </si>
  <si>
    <t>https://www.beatricepizzaepasta.com</t>
  </si>
  <si>
    <t>belinda_lee_mills</t>
  </si>
  <si>
    <t>Belinda Lee Mills</t>
  </si>
  <si>
    <t>Hair Stylist</t>
  </si>
  <si>
    <t>At @jackyboystudio 
Enquiries - bel@belindaleemills.com
@evohair 
AMBASSADOR @showponyhairextensions 
ARTIST @ghdhair_anz
OLAPLEX AMBASSADOR</t>
  </si>
  <si>
    <t>belindaperegrin</t>
  </si>
  <si>
    <t>❤️‍🔥 I N D O M I T A ❤️‍🔥</t>
  </si>
  <si>
    <t>belindapop</t>
  </si>
  <si>
    <t>Beli</t>
  </si>
  <si>
    <t>ESCUCHA “INDÓMITA”⤵️</t>
  </si>
  <si>
    <t>https://belindamx.lnk.to/Indomita</t>
  </si>
  <si>
    <t>itsbellssssss</t>
  </si>
  <si>
    <t>BELINDA🖤</t>
  </si>
  <si>
    <t>🪬🧿</t>
  </si>
  <si>
    <t>bernard</t>
  </si>
  <si>
    <t>Bernard Duarte</t>
  </si>
  <si>
    <t>Não deixe que abalem a sua fé. 🙌🏻</t>
  </si>
  <si>
    <t>https://twitter.com/b_10duarte</t>
  </si>
  <si>
    <t>bernardlbell</t>
  </si>
  <si>
    <t>BERNARD L. BELL</t>
  </si>
  <si>
    <t>https://linktr.ee/bernardlbell</t>
  </si>
  <si>
    <t>bethanylilyapril</t>
  </si>
  <si>
    <t>🇬🇧 Model
100% natural 
Email Collabs 
- @bethanylilya - camera roll</t>
  </si>
  <si>
    <t>https://link.me/bethanylilyapril</t>
  </si>
  <si>
    <t>successfulbethanyfamilies</t>
  </si>
  <si>
    <t>Gereja Bethany Indonesia</t>
  </si>
  <si>
    <t>Religious organization</t>
  </si>
  <si>
    <t>Akun Instagram Resmi Gereja Bethany Indonesia.</t>
  </si>
  <si>
    <t>bianca</t>
  </si>
  <si>
    <t>BIANCA BOCA ROSA</t>
  </si>
  <si>
    <t>COMPRE SEU LIP COMBO AQUI👇</t>
  </si>
  <si>
    <t>https://link.bocarosa.com.br/instabio</t>
  </si>
  <si>
    <t>bxianca_</t>
  </si>
  <si>
    <t>🎀 𝐵𝒾𝒶𝓃𝒸𝒶 🎀</t>
  </si>
  <si>
    <t>▫️🄱🄸🄱🄸 - 𝟸9 - 🎥📸 - 🅅🄸🄴▫️</t>
  </si>
  <si>
    <t>https://tellonym.me/bxianca_</t>
  </si>
  <si>
    <t>blake</t>
  </si>
  <si>
    <t>Blake Cutler</t>
  </si>
  <si>
    <t>blakelively</t>
  </si>
  <si>
    <t>Blake Lively</t>
  </si>
  <si>
    <t>Founder of @blakebrownbeauty 💇‍♀️ @bettybuzz 👼🏼 &amp;
@bettybooze 🍸</t>
  </si>
  <si>
    <t>https://bettybuzz.amazon.bettybuzz.com/amazon/BrandStore</t>
  </si>
  <si>
    <t>bradleycooper_original</t>
  </si>
  <si>
    <t>Bradley Cooper</t>
  </si>
  <si>
    <t>A daily fan-page😊
News📝
Pictures📷
Interviews📹
Movie scenes🎥
Anything you need to know just ask😉</t>
  </si>
  <si>
    <t>https://linktr.ee/nomadanima1</t>
  </si>
  <si>
    <t>bradleycooperroffical</t>
  </si>
  <si>
    <t>This is a fan page dedicated to the talented Bradley Cooper and is not affiliated with the actor in any way.</t>
  </si>
  <si>
    <t>bradleywillsimpson</t>
  </si>
  <si>
    <t>Bradley Simpson</t>
  </si>
  <si>
    <t>‘Almost’ ft @no1likeme8_8 @ateez_official_ out now x</t>
  </si>
  <si>
    <t>https://bradleysimpson.lnk.to/almostxHJ</t>
  </si>
  <si>
    <t>bradley_zero</t>
  </si>
  <si>
    <t>BZ</t>
  </si>
  <si>
    <t>🇩🇲🇬🇧Making people dance
💿@Rhythmsectionhq founder
🍹 @jumbipeckham co-founder
😎@subsun.uk creative director
📻@nts_radio
✍️email+links👇🏽</t>
  </si>
  <si>
    <t>https://linkin.bio/bradley_zero</t>
  </si>
  <si>
    <t>4 e v e r b r a n d y ♠️</t>
  </si>
  <si>
    <t>Mother to an Angel @syraismith
@rayj ‘s sis
#GodInMeAsMe #iAmasGodcreatedme 
#SHINE✨
♥️</t>
  </si>
  <si>
    <t>https://laylo.com/brandy/TBIM</t>
  </si>
  <si>
    <t>brandy333nat</t>
  </si>
  <si>
    <t>Brandy Natasha</t>
  </si>
  <si>
    <t>💌 Lepurebeauty@gmail.com</t>
  </si>
  <si>
    <t>https://youtu.be/hHK6FT4l59M?si=PrxsfUtQv74I9mpg</t>
  </si>
  <si>
    <t>brandymelvilleusa</t>
  </si>
  <si>
    <t>Brandy Melville</t>
  </si>
  <si>
    <t>https://apps.apple.com/us/app/brandy-melville-us/id1533444101</t>
  </si>
  <si>
    <t>brandyslicious</t>
  </si>
  <si>
    <t>Brandy Salazar</t>
  </si>
  <si>
    <t>🧘🏻‍♀️🧿🪬🤸🏻
@brandylicious2 @brandyflexaerials @brandyjuicycream 
Miss-behaving here 💙👇🏻</t>
  </si>
  <si>
    <t>https://www.brandyslicious.com</t>
  </si>
  <si>
    <t>brenda</t>
  </si>
  <si>
    <t>Brenda Monique</t>
  </si>
  <si>
    <t>AMEM, sem acento pra amar mais. 🦋
📩 brendamoniiique@gmail.com
📷🎬🎨
@artbrendamonique 
@brechobm 
🏹</t>
  </si>
  <si>
    <t>https://m.youtube.com/watch?v=TL-8h8hCREU</t>
  </si>
  <si>
    <t>brendahashtag</t>
  </si>
  <si>
    <t>writer, consultant, i have a podcast called @brendawareness</t>
  </si>
  <si>
    <t>http://brendahashtag.com</t>
  </si>
  <si>
    <t>brendastudio</t>
  </si>
  <si>
    <t>BRENDA STUDIO</t>
  </si>
  <si>
    <t>We’re BRENDA
Founded by @bar_marom
Worldwide Shipping 🌎
+972-506911487</t>
  </si>
  <si>
    <t>http://brendastudio.com</t>
  </si>
  <si>
    <t>bender.brendan_</t>
  </si>
  <si>
    <t>Life’s A Bender
EDM Content | Seattle📍
Business/Promo: brendan@wandr-media.io
Festival Tix⬇️</t>
  </si>
  <si>
    <t>https://beacons.ai/bender.brendan</t>
  </si>
  <si>
    <t>brendandelmundo</t>
  </si>
  <si>
    <t>brendan_pang</t>
  </si>
  <si>
    <t>BRENDAN PANG</t>
  </si>
  <si>
    <t>This is easy Asian home cooking
My Street Food cookbook out now 🥟
Watch my recipes below 👇</t>
  </si>
  <si>
    <t>https://mtr.bio/brendan-pang</t>
  </si>
  <si>
    <t>brendan_peyper</t>
  </si>
  <si>
    <t>Brendan Peyper</t>
  </si>
  <si>
    <t>🇿🇦
@sonymusicafrica 
Bookings: Carmen Kleynhans - 083 325 7922</t>
  </si>
  <si>
    <t>https://brendanpeyper.lnk.to/RooiVlag</t>
  </si>
  <si>
    <t>brendaperlaza2</t>
  </si>
  <si>
    <t>LA BARBIE NEGRA🦋</t>
  </si>
  <si>
    <t>https://link.me/bbarbieof</t>
  </si>
  <si>
    <t>brenxdan</t>
  </si>
  <si>
    <t>brendan</t>
  </si>
  <si>
    <t>maui, hawaii
@brenxdans
brenxdun@gmail.com</t>
  </si>
  <si>
    <t>https://linktr.ee/brenxdan</t>
  </si>
  <si>
    <t>buildsbybrendan</t>
  </si>
  <si>
    <t>Brendan ⚒️ 🪨</t>
  </si>
  <si>
    <t>The Boulder Bro 🪨 
Powered by more will than skill. Follow for impulsive DIYs and the occasional massive boulder. 
Collab: theboulderbro@gmail.com</t>
  </si>
  <si>
    <t>https://linktr.ee/theboulderbro</t>
  </si>
  <si>
    <t>brianna</t>
  </si>
  <si>
    <t>project whatever you want onto me</t>
  </si>
  <si>
    <t>briannehowey</t>
  </si>
  <si>
    <t>Brianne Howey</t>
  </si>
  <si>
    <t>#ginnyandgeorgia 🍑 on @netflix</t>
  </si>
  <si>
    <t>https://gocampaign.org</t>
  </si>
  <si>
    <t>briannephowkins</t>
  </si>
  <si>
    <t>Brianne.</t>
  </si>
  <si>
    <t>🚀 Scale businesses with branding &amp; ADS
📈 +150 clients featured in media such as Forbes, Vogue &amp; more
• Trusted by brands &amp; professionals •</t>
  </si>
  <si>
    <t>brianne.ramirez</t>
  </si>
  <si>
    <t>brip⭐️</t>
  </si>
  <si>
    <t>(Valentina’s version)
@itsyoungmiko 💗                                                     🌺🌊@finstaa.brip                           "E"❤️</t>
  </si>
  <si>
    <t>brianneworth</t>
  </si>
  <si>
    <t>Brianne Worth</t>
  </si>
  <si>
    <t>⚢🌈 long-haired hooligan 
Owner @riftsupplyco</t>
  </si>
  <si>
    <t>https://youtu.be/n9t7pcLp5rA?si=F84Z8jaeDNKCJFrY</t>
  </si>
  <si>
    <t>djbrianne_rw</t>
  </si>
  <si>
    <t>GATEKA KAGAME Brianne</t>
  </si>
  <si>
    <t>DJ
Founder @laperlerwanda 
🏆2021_2022 BEST SOCIALMEDIA INFLUENCER🇷🇼
🏆2021_2022 BEST DEEJAY 🇷🇼
🏆2022_2023 BEST DEEJAY 🇷🇼</t>
  </si>
  <si>
    <t>https://youtube.com/@djbrianne-y7q?si=J0RMZG-Fex-5R1OQ</t>
  </si>
  <si>
    <t>brittany</t>
  </si>
  <si>
    <t>Brittany Cartwright 💛</t>
  </si>
  <si>
    <t>Just a Kentucky girl livin’ in a beautiful world.🦖Cruz’s Mommy💙 #TheValley 🎥 #WhenRealityHits 🎙️
MGMT: RRevel@good-fear.com
PR: brittany@lorikpr.com</t>
  </si>
  <si>
    <t>https://podcasts.apple.com/us/podcast/when-reality-hits-with-jax-and-brittany/id1678330734</t>
  </si>
  <si>
    <t>brittany_broski</t>
  </si>
  <si>
    <t>Broski Nation Supreme Leader ⚔️</t>
  </si>
  <si>
    <t>http://brittanybroski.lnk.to/stained</t>
  </si>
  <si>
    <t>brittanylynne</t>
  </si>
  <si>
    <t>Brittany Mahomes</t>
  </si>
  <si>
    <t>Mama • @kccurrent Co-Owner</t>
  </si>
  <si>
    <t>https://www.shopltk.com/explore/brittanylynne</t>
  </si>
  <si>
    <t>brooke</t>
  </si>
  <si>
    <t>Brooke Hammerling</t>
  </si>
  <si>
    <t>Tech, cheese &amp; dogs. Oh and a LITTLE pop culture. Human to @potato. Founder of @thenewnewthingco and Writer/podcaster of @popculturemondays. LA/NYC.</t>
  </si>
  <si>
    <t>https://youtu.be/PbbQtR5AdUo?si=_K2Q8N7OKNm-08Tv</t>
  </si>
  <si>
    <t>brookebilik</t>
  </si>
  <si>
    <t>sdsu ‘29
dm me!! or 📩brookecollabs1@gmail.com</t>
  </si>
  <si>
    <t>http://vsco.co/brookebilik</t>
  </si>
  <si>
    <t>brookemonk</t>
  </si>
  <si>
    <t>Brooke Monk</t>
  </si>
  <si>
    <t>Snap: brookemonk
1 Corinthians 13: 1-7
Contact email for promotions/brand deals
brooke@friendsinreality.com</t>
  </si>
  <si>
    <t>https://app.getpinpoint.io/brookemonk</t>
  </si>
  <si>
    <t>brooketilli</t>
  </si>
  <si>
    <t>Brooke Tilli</t>
  </si>
  <si>
    <t>𓆩♡𓆪 Girl with camera
 🔗 @tillibrooke</t>
  </si>
  <si>
    <t>brucebolt.us</t>
  </si>
  <si>
    <t>BRUCE⚡️BOLT</t>
  </si>
  <si>
    <t>BASEBALL &amp; SOFTBALL EQUIPMENT
⚡ Designer of Premium Gloves
⚡️ Satisfaction Guaranteed
⚡️ @bruceboltgolf ⛳️
Not affiliated with @mlb</t>
  </si>
  <si>
    <t>http://brucebolt.us</t>
  </si>
  <si>
    <t>brucelee</t>
  </si>
  <si>
    <t>Bruce Lee</t>
  </si>
  <si>
    <t>Bruce Lee's daughter here, @therealshannonlee + The Bruce Lee Family Company on behalf of Bruce Lee’s legacy.
📲Text WATAA to 1-833-240-3824</t>
  </si>
  <si>
    <t>http://shop.brucelee.com</t>
  </si>
  <si>
    <t>raycondones</t>
  </si>
  <si>
    <t>Bruce Ray</t>
  </si>
  <si>
    <t>DEO4L
@condoneordie
@ballhog</t>
  </si>
  <si>
    <t>http://twitch.tv/brucedropemoff</t>
  </si>
  <si>
    <t>brizzzworks</t>
  </si>
  <si>
    <t>Bryan Arenales</t>
  </si>
  <si>
    <t>My Friends Call Me Brizz🇵🇷🇬🇹
Working or Working Out
Love Island season 7 👑 
📲 Bryan@slashmgmt.com
PR: TeamBryanArenales@align-pr.com</t>
  </si>
  <si>
    <t>https://linktr.ee/brizzzworks</t>
  </si>
  <si>
    <t>19bryce.__</t>
  </si>
  <si>
    <t>Bryce Underwood</t>
  </si>
  <si>
    <t>One Nine
Student Athlete</t>
  </si>
  <si>
    <t>http://bryceunderwood.com</t>
  </si>
  <si>
    <t>bauifyy</t>
  </si>
  <si>
    <t>bryce</t>
  </si>
  <si>
    <t>http://youtube.com/@bauify</t>
  </si>
  <si>
    <t>bryceangell</t>
  </si>
  <si>
    <t>Bryce Angell • Attorney</t>
  </si>
  <si>
    <t>👇🏻 Need A Lawyer?
⚖️ Owner of @AngellLawFirm
💬 brycecangell@gmail.com
📱 (800) 356-5051</t>
  </si>
  <si>
    <t>https://bit.ly/Raregentleman</t>
  </si>
  <si>
    <t>brycedhoward</t>
  </si>
  <si>
    <t>Bryce Dallas Howard</t>
  </si>
  <si>
    <t>Deep Cover now streaming on @primevideo 
&amp; Pets now streaming on @disneyplus!
Founder: @ninemusesentertainment</t>
  </si>
  <si>
    <t>https://mtr.bio/brycedhoward</t>
  </si>
  <si>
    <t>brycehall</t>
  </si>
  <si>
    <t>Bryce Hall</t>
  </si>
  <si>
    <t>bryce@panthertalent.com</t>
  </si>
  <si>
    <t>http://pop.store/brycehall</t>
  </si>
  <si>
    <t>bryce_m_james</t>
  </si>
  <si>
    <t>Bryce James️👑</t>
  </si>
  <si>
    <t>Fan Page @kingjames &amp; @mrs_savannahrj  @bronny @allthingszhuri @_justbryce #bedifferent Jesus is King👑#jamesfamily❤️Fan Page🖤IN 5 WE TRUST
Uzi &amp; juice</t>
  </si>
  <si>
    <t>fitbryceadams</t>
  </si>
  <si>
    <t>Bryce Adams</t>
  </si>
  <si>
    <t>Lets be friends 🫂😊</t>
  </si>
  <si>
    <t>http://fitbryceadams.com/real</t>
  </si>
  <si>
    <t>_justbryce</t>
  </si>
  <si>
    <t>BJ</t>
  </si>
  <si>
    <t>@arizonambb</t>
  </si>
  <si>
    <t>outdoors_weekly_</t>
  </si>
  <si>
    <t>Bryce Nachtwey</t>
  </si>
  <si>
    <t>The magnet guy
↘️Get a magnet here! ↙️</t>
  </si>
  <si>
    <t>https://linktr.ee/Outdoorsweekly</t>
  </si>
  <si>
    <t>caleb</t>
  </si>
  <si>
    <t>Caleb Love</t>
  </si>
  <si>
    <t>trust God</t>
  </si>
  <si>
    <t>cameronahouse</t>
  </si>
  <si>
    <t>Cameron Ahouse</t>
  </si>
  <si>
    <t>Health &amp; Wellness | Fitness | Mental Health
Linktree for kettlebell workouts💪
Building @jacked.granny 
📍Boston</t>
  </si>
  <si>
    <t>https://linktr.ee/cameronahouse</t>
  </si>
  <si>
    <t>camerondiaz</t>
  </si>
  <si>
    <t>Cameron Diaz</t>
  </si>
  <si>
    <t>Mother, actress, author, and co-founder/creator of @avaline 🍷</t>
  </si>
  <si>
    <t>http://drinkavaline.com</t>
  </si>
  <si>
    <t>cameronflipe</t>
  </si>
  <si>
    <t>CAM 🦋</t>
  </si>
  <si>
    <t>j’archive ici tout ce qui me traverse 🤲🏼
podcast "story privée" 🎙️
- camsummerspro@gmail.com
mes livres, ma chaîne youtube ⬇️</t>
  </si>
  <si>
    <t>https://linktr.ee/cameronflipe</t>
  </si>
  <si>
    <t>camjanson.dance</t>
  </si>
  <si>
    <t>Cameron Janson</t>
  </si>
  <si>
    <t>18 | MI
#TIGRICON @tigerfriday.dancewear 🐅
camjanson.dance@gmail.com 💌</t>
  </si>
  <si>
    <t>dovecameron</t>
  </si>
  <si>
    <t>DOVE</t>
  </si>
  <si>
    <t>@dovehq</t>
  </si>
  <si>
    <t>https://www.marieclaire.co.uk/fashion/dove-cameron</t>
  </si>
  <si>
    <t>lukemcameron</t>
  </si>
  <si>
    <t>Luke Cameron | Hotel &amp; Travel Photographer</t>
  </si>
  <si>
    <t>Cinematic Visuals For Hotels &amp; Destinations
• Photographer | Filmmaker  
• Creative Duo @adriana_maria_ 
↓Presets, Video Filters / LUTs &amp; Travel Blog</t>
  </si>
  <si>
    <t>https://shop.adriana-maria.com/products/film-lightroom-presets-luts</t>
  </si>
  <si>
    <t>scottycameron</t>
  </si>
  <si>
    <t>Scotty Cameron</t>
  </si>
  <si>
    <t>Official Instagram of Scotty Cameron
Master Putter Maker for @titleist
#ScottyCameron</t>
  </si>
  <si>
    <t>https://linkin.bio/scottycameron</t>
  </si>
  <si>
    <t>sixfd_</t>
  </si>
  <si>
    <t>Cameron Mckinney</t>
  </si>
  <si>
    <t>New account …… laugh and chill ….. my socials are in this link 👇🏽 dm for promo🔥</t>
  </si>
  <si>
    <t>https://linktr.ee/sixfootdancer</t>
  </si>
  <si>
    <t>thecameronboyce</t>
  </si>
  <si>
    <t>Cameron Boyce</t>
  </si>
  <si>
    <t>uheartcam</t>
  </si>
  <si>
    <t>bergenbags</t>
  </si>
  <si>
    <t>Candice 🦖</t>
  </si>
  <si>
    <t>Tired-ass Honky Ho</t>
  </si>
  <si>
    <t>https://candicebergenartstuff.com/</t>
  </si>
  <si>
    <t>candice</t>
  </si>
  <si>
    <t>Wife | Mommy  | Founder &amp; Author of @pcoswithcandice | LIVING WITH  PCOS  🤍 | 📍 Los Angeles 
TEXT ME ! 305-504-5842
candice@thedigitaldept.com</t>
  </si>
  <si>
    <t>http://www.pcoswithcandice.com</t>
  </si>
  <si>
    <t>candiceking</t>
  </si>
  <si>
    <t>Candice King</t>
  </si>
  <si>
    <t>@wewereliarsonprime All episodes streaming NOW! 🌊</t>
  </si>
  <si>
    <t>https://linktr.ee/candiceking</t>
  </si>
  <si>
    <t>candiceswanepoel</t>
  </si>
  <si>
    <t>𝗖𝗮𝗻𝗱𝗶𝗰𝗲</t>
  </si>
  <si>
    <t>Founder, Creative director of @tropicofc</t>
  </si>
  <si>
    <t>http://www.tropicofc.com/</t>
  </si>
  <si>
    <t>runcandicerun</t>
  </si>
  <si>
    <t>Documenting my insanity • World Record 200 Ultramarathons in 200 days • Founder @destinationtrailraces • Creator 200 mile &amp; 300 mile footraces</t>
  </si>
  <si>
    <t>https://open.substack.com/pub/runcandicerun/p/walking-the-line-of-success-and-destruction?r=3yz42f&amp;utm_medium=ios</t>
  </si>
  <si>
    <t>carla</t>
  </si>
  <si>
    <t>Carla Oliveira</t>
  </si>
  <si>
    <t>Document Preparer
Interpreter 
FL Notary Public Since 2016
Premier host for @mimagichomes</t>
  </si>
  <si>
    <t>https://linktr.ee/carla.oliveira</t>
  </si>
  <si>
    <t>carla_carla_carla</t>
  </si>
  <si>
    <t>Carla Azar</t>
  </si>
  <si>
    <t>drums &amp; many other things in @autolux_autolux</t>
  </si>
  <si>
    <t>https://shop.autolux.net/products/autolux-demos-2001-2002-gold-vinyl</t>
  </si>
  <si>
    <t>carlos</t>
  </si>
  <si>
    <t>Carlos Santana</t>
  </si>
  <si>
    <t>🎥 @cortesdocarlos 
💪🏻 Growth, cupom: Desconto
👾🎮 WhoIsCarlos1</t>
  </si>
  <si>
    <t>https://youtube.com/@iamcarlossantana?si=-PcLNo-VR6kd4bKH</t>
  </si>
  <si>
    <t>carlos_cuerpo</t>
  </si>
  <si>
    <t>Carlos Cuerpo</t>
  </si>
  <si>
    <t>Ministro de Economía, Comercio y Empresa. Gobierno de España</t>
  </si>
  <si>
    <t>https://portal.mineco.gob.es/es-es/Paginas/index.aspx</t>
  </si>
  <si>
    <t>carmen</t>
  </si>
  <si>
    <t>caroline</t>
  </si>
  <si>
    <t>Caroline Bastos</t>
  </si>
  <si>
    <t>Influenciadora, Laserterapeuta 
Work: @carol.laserterapia 
📩 assessoria.carolbastos@gmail.com</t>
  </si>
  <si>
    <t>carolinederpienski</t>
  </si>
  <si>
    <t>CAROLINE MARIA DERPIENSKI</t>
  </si>
  <si>
    <t>🇺🇸🇵🇱 CELEBRITY SINGER &amp; Influencer
I’m 22
📍MIAMI based 
RYZYKO  08/08/2025 ⚠️ 🎶  
booking : +48 510361112</t>
  </si>
  <si>
    <t>https://e-muzyka.link/CarolineDerpienskiRyzyko</t>
  </si>
  <si>
    <t>carolline</t>
  </si>
  <si>
    <t>Caroline G</t>
  </si>
  <si>
    <t>relacionamento | Autocuidado | Cristã
Jesus é o caminho ❤️‍🔥
Publi: assessoriacarolinegarcia@gmail.com
Devocional e propósito de 21 dias disponível 👇🏼</t>
  </si>
  <si>
    <t>https://bio.site/Carolline.</t>
  </si>
  <si>
    <t>casey</t>
  </si>
  <si>
    <t>Casey Adams</t>
  </si>
  <si>
    <t>Founder, Listener.com • @Listener 
Host, @CaseyAdamsShow
Sign up for the @Adobe digital academy!👇</t>
  </si>
  <si>
    <t>https://adobe.ly/413JKTX</t>
  </si>
  <si>
    <t>cassandra</t>
  </si>
  <si>
    <t>Cassandra Dittmer Nweze</t>
  </si>
  <si>
    <t>Eco-conscious Stylist, Creator &amp; Traveler 
Founder &amp; Creative Director | @onatahaus 
📍LA📍Lagos
Digital Styling Bookings 👇</t>
  </si>
  <si>
    <t>https://www.linknbio.com/cassandra</t>
  </si>
  <si>
    <t>cassandra.saucedoo</t>
  </si>
  <si>
    <t>az</t>
  </si>
  <si>
    <t>https://linktr.ee/cassandrasaucedo</t>
  </si>
  <si>
    <t>catherinebascoy</t>
  </si>
  <si>
    <t>🎼🌹
contato@catherinebr.com
+55(11)91479-2000
✧ ceo @bascoytrend 
Deuteronômio 28:12 
2025 é o melhor ano de nossas vidas ❤️‍🔥</t>
  </si>
  <si>
    <t>https://linktr.ee/catherinebascoy</t>
  </si>
  <si>
    <t>catherinepaiz</t>
  </si>
  <si>
    <t>Catherine Paiz</t>
  </si>
  <si>
    <t>My book “Dolores - My Journey Home” is available now!!💫</t>
  </si>
  <si>
    <t>https://bio.site/catherinepaiz</t>
  </si>
  <si>
    <t>catherinezetajones</t>
  </si>
  <si>
    <t>Catherine Zeta-Jones</t>
  </si>
  <si>
    <t>Mother, wife, actor, melody maker, hoofer, world explorer, interiors fanatic ❤️</t>
  </si>
  <si>
    <t>https://www.thetimes.com/life-style/celebrity/article/catherine-zeta-jones-interview-wednesday-netflix-gpszqh3m0</t>
  </si>
  <si>
    <t>cecilia</t>
  </si>
  <si>
    <t>Cecília Chancez</t>
  </si>
  <si>
    <t>@actorsearts | @changodigital
Cecilia@changodigital.com.br</t>
  </si>
  <si>
    <t>https://ingrv.es/Cecilia-Chancez-Surreal?fbclid=PAZXh0bgNhZW0CMTEAAabJ0ocJ9S4-rWs4aX8OKHkWIY5xWdiAUxui1jveIKZVSllCthot8GFdhkA_aem_AWIyChNvmkPmRuf27g-nePT3-_2eoCKdTs2SatrDC8F8Fo4-qFJudED6Lm0iMnS32bLkP_EaZZ_UhO0H4sDonL-3</t>
  </si>
  <si>
    <t>ceciliateigen</t>
  </si>
  <si>
    <t>Cecilia Teigen</t>
  </si>
  <si>
    <t>💌 cecilia@cherrymanagement.no</t>
  </si>
  <si>
    <t>https://coatedlemon.no/collections/cecilia</t>
  </si>
  <si>
    <t>chadgoesdeep</t>
  </si>
  <si>
    <t>Savant of Stoke
Snap: chadgoesdeep 
Check out @goingdeepwithchadandjt 
Upcoming Tour Dates Below
👇 👇 👇</t>
  </si>
  <si>
    <t>https://linktr.ee/chadgoesdeep</t>
  </si>
  <si>
    <t>chad_jrt</t>
  </si>
  <si>
    <t>CHAD  チャド</t>
  </si>
  <si>
    <t>Pet Service</t>
  </si>
  <si>
    <t>ジャックラッセルテリア ♂
京都北部でゆるりと暮らしてます
チャドの日常と田舎の風景
Born : 12.1.2019
Tango Kyoto Japan</t>
  </si>
  <si>
    <t>theonlychad__</t>
  </si>
  <si>
    <t>Chad.</t>
  </si>
  <si>
    <t>Aesthetics. 
LIVING ON VALUED ENERGY.♓️
Atl📍</t>
  </si>
  <si>
    <t>char4prezzy</t>
  </si>
  <si>
    <t>DJ</t>
  </si>
  <si>
    <t>International Dj 🇿🇦🎧Vocalist🎙️
For Bookings &amp; Enquiries:
+ 27 71 922 3998 / +27 69 506 2283</t>
  </si>
  <si>
    <t>https://vyd.co/Ketseng</t>
  </si>
  <si>
    <t>charlenebourdier.photographe</t>
  </si>
  <si>
    <t>Charlène 💪🏻🧠😌</t>
  </si>
  <si>
    <t>🧠 | Tumeur Astrocytome grade 4, Malade 🤬
💪🏻 | Un peu d’temps avant d’crever 🤞🏻🙏🏾😅
📸 | Arrêt de photographe 😢
🌎 | Compte privé @nous_4_a_couinette</t>
  </si>
  <si>
    <t>https://bourdiercharlene.wixsite.com/photographie</t>
  </si>
  <si>
    <t>charlene_et_francesca</t>
  </si>
  <si>
    <t>CHARLÈNE🇫🇷&amp;FRANCESCA🇮🇹</t>
  </si>
  <si>
    <t>🏳️‍🌈Elle,moi et la pasta🍝 📍Cannes
❤️‍🔥Food,humour &amp; lifestyle 🎥 Tiktok +500K
💌charleneetfrancesca@gmail.com
📚 Notre livre est là ⬇️</t>
  </si>
  <si>
    <t>https://www.amazon.fr/shop/charlenefrancesca?isPublicView=true</t>
  </si>
  <si>
    <t>charlene.lingerie</t>
  </si>
  <si>
    <t>Charlene Lamba | Experte Lingerie</t>
  </si>
  <si>
    <t>✋Marre des soutiens-gorge qui te vont jamais?
🎯Je t’aide à trouver TA vraie taille
👙+100k femmes réconciliées avec leur lingerie
⬇️ Découvre ta taille</t>
  </si>
  <si>
    <t>https://bra-calculator.charlenelingerie.com/fr</t>
  </si>
  <si>
    <t>chelsea</t>
  </si>
  <si>
    <t>chelseafc</t>
  </si>
  <si>
    <t>Chelsea FC</t>
  </si>
  <si>
    <t>World Champions. 🏆</t>
  </si>
  <si>
    <t>https://linktr.ee/chelseafc</t>
  </si>
  <si>
    <t>chelsea.jean</t>
  </si>
  <si>
    <t>Chelsea Jean</t>
  </si>
  <si>
    <t>My fam and I - Hawai’i
@chelseajeanpresets 
Edit photos like me, check out my presets below</t>
  </si>
  <si>
    <t>http://www.chelseajean.com/</t>
  </si>
  <si>
    <t>chloe</t>
  </si>
  <si>
    <t>Chloé</t>
  </si>
  <si>
    <t>Est. 1952
28 rue de la Baume, Paris
B Corp</t>
  </si>
  <si>
    <t>http://www.chloe.com</t>
  </si>
  <si>
    <t>chloebailey</t>
  </si>
  <si>
    <t>Chlöe</t>
  </si>
  <si>
    <t>TROUBLE IN PARADISE. ALBUM OUT NOW.
manager @shermayb</t>
  </si>
  <si>
    <t>https://chloe.lnk.to/TroubleInParadise</t>
  </si>
  <si>
    <t>christian</t>
  </si>
  <si>
    <t>christian delgrosso</t>
  </si>
  <si>
    <t>@willyswonderlandmov now streaming on @hulu 
📧 christiandmanagement@gmail.com
🎭 @xtrachristian
👇 HELP FUND OUR MOVIE 👇</t>
  </si>
  <si>
    <t>https://igg.me/at/100pages</t>
  </si>
  <si>
    <t>christianpentaa</t>
  </si>
  <si>
    <t>no confiès en nadie
📥: c.penta@bvertical.it</t>
  </si>
  <si>
    <t>xtina</t>
  </si>
  <si>
    <t>Christina Aguilera</t>
  </si>
  <si>
    <t>http://xtina.komi.io</t>
  </si>
  <si>
    <t>chrisbriney_</t>
  </si>
  <si>
    <t>Christopher Briney</t>
  </si>
  <si>
    <t>https://linktr.ee/chrisbriney</t>
  </si>
  <si>
    <t>christopher</t>
  </si>
  <si>
    <t>Christopher [dead stock]</t>
  </si>
  <si>
    <t>🧠 www.DEADSTOCK.de
📱 @deadstocksnkrblogapp 
👟 keine Sneaker Releases mehr verpassen! 
🚨 Unsere App:</t>
  </si>
  <si>
    <t>https://www.deadstock.de/sneaker-app</t>
  </si>
  <si>
    <t>christopherai</t>
  </si>
  <si>
    <t>Christopher AI</t>
  </si>
  <si>
    <t>Christopher Architecture &amp; Interiors
SHOP — @christophercollection 
As seen in Veranda, Luxe, House Beautiful, Homes &amp; Gardens, Southern Living &amp; more</t>
  </si>
  <si>
    <t>https://linktr.ee/christopherai</t>
  </si>
  <si>
    <t>christopherlevy</t>
  </si>
  <si>
    <t>Christopher Levy</t>
  </si>
  <si>
    <t>Philipians 4:13🙏🏻                                                       Isaiah 41:10🙏🏻</t>
  </si>
  <si>
    <t>christy</t>
  </si>
  <si>
    <t>Christy Cham</t>
  </si>
  <si>
    <t>@chamlosangeles</t>
  </si>
  <si>
    <t>http://www.cham.com</t>
  </si>
  <si>
    <t>christywhite_</t>
  </si>
  <si>
    <t>Ｃｈｒｉｓｔｙ</t>
  </si>
  <si>
    <t>https://myslink.app/ChristyWhite</t>
  </si>
  <si>
    <t>christyxmarie</t>
  </si>
  <si>
    <t>Christy Marie</t>
  </si>
  <si>
    <t>TX | Gym | 4’10|</t>
  </si>
  <si>
    <t>https://hoo.be/christyxmarie</t>
  </si>
  <si>
    <t>clara</t>
  </si>
  <si>
    <t>C L A R A  A G U I L A R | Vida Real Às Claras</t>
  </si>
  <si>
    <t>Finalista @bbb | Do Axé 📿| 🏳️‍🌈  | Host @canalclaraaguilar | 💌 clara@thebeat.com.br</t>
  </si>
  <si>
    <t>https://www.claraaguilar.com.br</t>
  </si>
  <si>
    <t>pdm.clara</t>
  </si>
  <si>
    <t>Berlin 
✉️: clara@sesamyagency.com</t>
  </si>
  <si>
    <t>soccins</t>
  </si>
  <si>
    <t>CLARA</t>
  </si>
  <si>
    <t>URAGANI, il mio nuovo singolo, fuori ora 🌪️</t>
  </si>
  <si>
    <t>https://wmi.lnk.to/uragani</t>
  </si>
  <si>
    <t>clarissa.danielle.v</t>
  </si>
  <si>
    <t>clarissa danielle</t>
  </si>
  <si>
    <t>Rainbows &amp; unicorns ☃️
👀 I have interesting reels
@clarii.danii</t>
  </si>
  <si>
    <t>https://beacons.ai/clarissadaniellev</t>
  </si>
  <si>
    <t>claudia</t>
  </si>
  <si>
    <t>Claudia Barretto</t>
  </si>
  <si>
    <t>claudiaeatsgood</t>
  </si>
  <si>
    <t>Claudia💕</t>
  </si>
  <si>
    <t>23 | Maryland 
✉️: madison@cmgworldwide.com
main account: @clxdiahernandez</t>
  </si>
  <si>
    <t>https://www.tiktok.com/@claudiaeatsgood?_t=8mNvQmOxAx5&amp;_r=1</t>
  </si>
  <si>
    <t>clinton2x</t>
  </si>
  <si>
    <t>clinton.</t>
  </si>
  <si>
    <t>ncat$u | 🇳🇬 | minnesota.
TikTok: clinton2x (410k+🕺🏿)
📩: inquiries2x@gmail.com</t>
  </si>
  <si>
    <t>https://beacons.ai/clinton2x</t>
  </si>
  <si>
    <t>hillaryclinton</t>
  </si>
  <si>
    <t>Hillary Clinton</t>
  </si>
  <si>
    <t>Doting grandmother, among other things.</t>
  </si>
  <si>
    <t>http://onwardtogether.org</t>
  </si>
  <si>
    <t>indyclinton</t>
  </si>
  <si>
    <t>INDY CLINTON</t>
  </si>
  <si>
    <t>all enquiries: hello@indyclinton.com 💓 @fitwithindy @boufhaircare</t>
  </si>
  <si>
    <t>https://bouf.com/password</t>
  </si>
  <si>
    <t>cody</t>
  </si>
  <si>
    <t>Cody Johns</t>
  </si>
  <si>
    <t>Believer. Husband. Girl dad of 2. Country living. 
Building @goldenset_hq 👨🏻‍💻</t>
  </si>
  <si>
    <t>http://gldnst.com/cody</t>
  </si>
  <si>
    <t>codymathesgakpo</t>
  </si>
  <si>
    <t>Cody Gakpo ✝️</t>
  </si>
  <si>
    <t>Player of @liverpoolfc &amp; @onsoranje</t>
  </si>
  <si>
    <t>codysimpson</t>
  </si>
  <si>
    <t>Cody Simpson</t>
  </si>
  <si>
    <t>http://linktr.ee/codysimpson</t>
  </si>
  <si>
    <t>cole</t>
  </si>
  <si>
    <t>Jeff Cole</t>
  </si>
  <si>
    <t>Digital Artist/Creative Director👨🏽‍💻Co-Founder @ikonick email for Inquiries</t>
  </si>
  <si>
    <t>http://ikonick.com</t>
  </si>
  <si>
    <t>coleee.0</t>
  </si>
  <si>
    <t>cole.</t>
  </si>
  <si>
    <t>colleen</t>
  </si>
  <si>
    <t>Colleen Ballinger</t>
  </si>
  <si>
    <t>Comedian</t>
  </si>
  <si>
    <t>👋🏻 I’m Colleen! I like rocks.</t>
  </si>
  <si>
    <t>https://youtu.be/bYYroBur9cY?si=JROuvKFRPye4NgTS</t>
  </si>
  <si>
    <t>colleen.333</t>
  </si>
  <si>
    <t>Boston</t>
  </si>
  <si>
    <t>https://thecolleen333.com</t>
  </si>
  <si>
    <t>jellybean.colleen</t>
  </si>
  <si>
    <t>Colleen Reed</t>
  </si>
  <si>
    <t>@netflix 
That ballet dancer 
Dallas, TX
inquiries -&gt; colleen@lorikpr.com</t>
  </si>
  <si>
    <t>https://linktr.ee/colleenreed</t>
  </si>
  <si>
    <t>supcolleen</t>
  </si>
  <si>
    <t>Gaming video creator</t>
  </si>
  <si>
    <t>^_^ ❤️</t>
  </si>
  <si>
    <t>https://linktr.ee/suppycolleen</t>
  </si>
  <si>
    <t>connor</t>
  </si>
  <si>
    <t>Connor James</t>
  </si>
  <si>
    <t>Designer @instagram, created @moodboardapp 
NYC</t>
  </si>
  <si>
    <t>https://ukrainewar.carrd.co/</t>
  </si>
  <si>
    <t>connor_bottoms</t>
  </si>
  <si>
    <t>https://connorbottoms.org</t>
  </si>
  <si>
    <t>connormorgan</t>
  </si>
  <si>
    <t>Shop🌱 @barerootremedy</t>
  </si>
  <si>
    <t>http://www.barerootremedy.com</t>
  </si>
  <si>
    <t>connorprice</t>
  </si>
  <si>
    <t>Connor Price</t>
  </si>
  <si>
    <t>Pre-save my debut album👇</t>
  </si>
  <si>
    <t>https://open.spotify.com/prerelease/3fHev1k88Gxz9aBDxC7Zp5?si=vJLgcFQWTBGvLXNscGscVw</t>
  </si>
  <si>
    <t>conwh0re</t>
  </si>
  <si>
    <t>a spam :)
chi</t>
  </si>
  <si>
    <t>http://linktr.ee/cpayton14</t>
  </si>
  <si>
    <t>kit.connor</t>
  </si>
  <si>
    <t>Kit Connor</t>
  </si>
  <si>
    <t>@itg_ltd @wme</t>
  </si>
  <si>
    <t>kit.connort</t>
  </si>
  <si>
    <t>Kit Connor / José Martín</t>
  </si>
  <si>
    <t>Nick in Heartstopper🏳️‍🌈
FAN PAGE OFICIAL🇪🇨</t>
  </si>
  <si>
    <t>kitconnorxobaby</t>
  </si>
  <si>
    <t>Kit Connor xoxo 💋</t>
  </si>
  <si>
    <t>Love you guys ❤</t>
  </si>
  <si>
    <t>coreymylchreest</t>
  </si>
  <si>
    <t>Corey Mylchreest</t>
  </si>
  <si>
    <t>@itg_ltd
@wme</t>
  </si>
  <si>
    <t>courtneycruises</t>
  </si>
  <si>
    <t>Fitness Model</t>
  </si>
  <si>
    <t>fitness • health • outdoors • travel 🌎
be kind 🌴
click @courtneycruisesbackup for my links</t>
  </si>
  <si>
    <t>https://msha.ke/granolacourt</t>
  </si>
  <si>
    <t>cjiofficial</t>
  </si>
  <si>
    <t>Craig Jones Invitational</t>
  </si>
  <si>
    <t>Watch CJI Live &amp; FREE on @Flograppling YouTube                                    
Presented by the FAIR FIGHT FOUNDATION Nonprofit. Buy CJI 2 🎟️⬇️</t>
  </si>
  <si>
    <t>https://unlvtickets.evenue.net/events/TMCI</t>
  </si>
  <si>
    <t>craig</t>
  </si>
  <si>
    <t>Craig Clemens</t>
  </si>
  <si>
    <t>http://www.goldenhippo.com</t>
  </si>
  <si>
    <t>craigjonesbjj</t>
  </si>
  <si>
    <t>Craig Jones</t>
  </si>
  <si>
    <t>Australian minister of foreign affairs
Inter gender world champion</t>
  </si>
  <si>
    <t>https://bjjfanatics.com/collections/craig-jones/fighter_craig-jones</t>
  </si>
  <si>
    <t>craigmelvinnbc</t>
  </si>
  <si>
    <t>Craig Melvin</t>
  </si>
  <si>
    <t>Believer. Father. Husband. Son. Brother. Journalist. 
@TODAYShow Co-Host.</t>
  </si>
  <si>
    <t>http://hc.com/craigmelvin</t>
  </si>
  <si>
    <t>craigrobins</t>
  </si>
  <si>
    <t>Craig Robins</t>
  </si>
  <si>
    <t>CEO of Dacra @MiamiDesignDistrict
Chairman &amp; Co-Founder @DesignMiami
Art &amp; Design Collector
Philanthropist</t>
  </si>
  <si>
    <t>tcraig</t>
  </si>
  <si>
    <t>Torrey Craig</t>
  </si>
  <si>
    <t>the.moon.ghoul</t>
  </si>
  <si>
    <t>Craig Gleason</t>
  </si>
  <si>
    <t>Creator of the BAD GUYS CLUB
Artist, Collector, Knucklehead.</t>
  </si>
  <si>
    <t>http://www.badguysclub.com</t>
  </si>
  <si>
    <t>criscanaria5</t>
  </si>
  <si>
    <t>Cristina Gilabert Benito</t>
  </si>
  <si>
    <t>Interest</t>
  </si>
  <si>
    <t>Amor propio✨Cambio Natural🌱🇪🇸📍Miami 
Mi método ha ayudado a más de 15.000 personas a lograr su cambio 🌍 @bodynutricion5 
• PROZIS código: “BODY5”</t>
  </si>
  <si>
    <t>https://www.criscanaria.com/</t>
  </si>
  <si>
    <t>cristinas</t>
  </si>
  <si>
    <t>CRISTINAS</t>
  </si>
  <si>
    <t>Cantoras | Compositoras ✍🏻
Shows: 11 94077-9628 (Miguel)
Ouça o nosso novo EP ‘Cristinas Vol.03’ 👇🏼</t>
  </si>
  <si>
    <t>http://umusicbrazil.lnk.to/CristinasVol3</t>
  </si>
  <si>
    <t>tinahxplorez</t>
  </si>
  <si>
    <t>5’1 | single  | &amp; Yes I have one ↓</t>
  </si>
  <si>
    <t>https://linktr.ee/tinahxplorez</t>
  </si>
  <si>
    <t>cynthia</t>
  </si>
  <si>
    <t>Cynthia Abi Naked</t>
  </si>
  <si>
    <t>los angeles   |  interior designer  🇱🇧 ☾
@anrynakedinteriors</t>
  </si>
  <si>
    <t>cynthiaerivo</t>
  </si>
  <si>
    <t>Cynthia Erivo</t>
  </si>
  <si>
    <t>Actress. Singer. Producer. Happy Millennial Queen. 👸🏾
New album 𝐼 𝒻𝑜𝓇𝑔𝒾𝓋𝑒 𝓎𝑜𝓊 🕊️ out now.
Book SIMPLY MORE coming this fall.</t>
  </si>
  <si>
    <t>https://linktr.ee/cynthiaerivo/</t>
  </si>
  <si>
    <t>daisyedgarjones</t>
  </si>
  <si>
    <t>Daisy Edgar-Jones</t>
  </si>
  <si>
    <t>🌼</t>
  </si>
  <si>
    <t>daisyherriott</t>
  </si>
  <si>
    <t>daisy louisa &lt;3</t>
  </si>
  <si>
    <t>22 
youtube: daisy.louisa 📷
✉️daisy.louisa@outreachtalentgroup.com</t>
  </si>
  <si>
    <t>https://linktr.ee/daisyherriott</t>
  </si>
  <si>
    <t>dana</t>
  </si>
  <si>
    <t>Dana Brunetti</t>
  </si>
  <si>
    <t>Gran Turismo, 50 Shades of Grey, House of Cards, Captain Phillips, The Social Network, 21 and more.                                
@goldencloudranch</t>
  </si>
  <si>
    <t>danawhite</t>
  </si>
  <si>
    <t>Dana White</t>
  </si>
  <si>
    <t>#UFCParis: @imavov_nassourdine vs @caioborralho || Saturday September 6th || LIVE on @espn+ at 3pmET</t>
  </si>
  <si>
    <t>https://linktr.ee/UFCDanaWhite</t>
  </si>
  <si>
    <t>daniel</t>
  </si>
  <si>
    <t>📍: Los Angeles, CA
📸 rep : @atrbute</t>
  </si>
  <si>
    <t>http://www.prakopcyk.com</t>
  </si>
  <si>
    <t>danielricciardo</t>
  </si>
  <si>
    <t>Daniel Ricciardo</t>
  </si>
  <si>
    <t>danielle</t>
  </si>
  <si>
    <t>Dani Carmona</t>
  </si>
  <si>
    <t>Don't let your dreams be just dreams✨
CEO @bloome_agency
📍São Paulo</t>
  </si>
  <si>
    <t>daniellecohn</t>
  </si>
  <si>
    <t>Danielle&lt;3</t>
  </si>
  <si>
    <t>Fl🌞
Pisces🪬 🧿
Small business owner @herlovelypleasures ✨🫶🏼
Artist @inkedbydaniellecohn 💉🫶🏼</t>
  </si>
  <si>
    <t>https://www.playboy.com/daniellecohn</t>
  </si>
  <si>
    <t>danielleehxo</t>
  </si>
  <si>
    <t>Danielle🎀</t>
  </si>
  <si>
    <t>all about daily life, fashion &amp; beauty✨ 
💍bride to be ‘26: @marvin__hbl
💌 danielle@studioone-mgmt.de
frankfurt, germany📍</t>
  </si>
  <si>
    <t>https://studioone-mgmt.de/impressum-danielle/</t>
  </si>
  <si>
    <t>daniellewalter</t>
  </si>
  <si>
    <t>Danielle Walter</t>
  </si>
  <si>
    <t>💄 brunette Carrie Bradshaw of San Francisco
💌 teamdanielle@linkcreatormgmt.com
@whoisshe_pod</t>
  </si>
  <si>
    <t>https://linktr.ee/daniellewalterlinks</t>
  </si>
  <si>
    <t>dellespeegle</t>
  </si>
  <si>
    <t>Dani Elle Speegle</t>
  </si>
  <si>
    <t>#GirlsWhoEat 
6x CrossFit Games Athlete
American Gladiator 
Titan Games SZN 2 Winner
Management: @athelogroup</t>
  </si>
  <si>
    <t>https://superlink.io/dellespeegle</t>
  </si>
  <si>
    <t>david_mkhoyan99</t>
  </si>
  <si>
    <t>DAVA</t>
  </si>
  <si>
    <t>Dancer</t>
  </si>
  <si>
    <t>🇦🇲 HIP-HOP DANCER // CHOREOGRAPHER 
🏙️ MOSCOW 
CREATOR of  @davahub
💿🔥ПН/СР19:00 @mdcnrg.pro</t>
  </si>
  <si>
    <t>https://t.me/davahubb</t>
  </si>
  <si>
    <t>delilah</t>
  </si>
  <si>
    <t>Delilah Los Angeles</t>
  </si>
  <si>
    <t>Nothing to see here. 🌺
Tuesday - Sunday 6:30pm
An @hwoodgroup property</t>
  </si>
  <si>
    <t>https://www.delilahrestaurants.com/location/los-angeles/</t>
  </si>
  <si>
    <t>delilahh.w</t>
  </si>
  <si>
    <t>Delilah Wade🌺</t>
  </si>
  <si>
    <t>📍Atl••••🏡NY
Model |writer| creator✨💕 🙂
 I do it all , TT: @Delilahh.w (17k)
📧: dwadeshoots@gmail.com</t>
  </si>
  <si>
    <t>https://linktr.ee/itssdelilah</t>
  </si>
  <si>
    <t>missdelilahraige</t>
  </si>
  <si>
    <t>Delilah Raige</t>
  </si>
  <si>
    <t>🐇</t>
  </si>
  <si>
    <t>http://link.me/delilahraige</t>
  </si>
  <si>
    <t>radiodelilah</t>
  </si>
  <si>
    <t>Welcome! I’m radio's Delilah here to share my life and encourage you to #LoveSomeone!</t>
  </si>
  <si>
    <t>https://www.delilah.com</t>
  </si>
  <si>
    <t>sizequeendelilah</t>
  </si>
  <si>
    <t>hi there</t>
  </si>
  <si>
    <t>https://beacons.ai/delilahhasafatcat</t>
  </si>
  <si>
    <t>denise</t>
  </si>
  <si>
    <t>Denise Garcia</t>
  </si>
  <si>
    <t>Originality is Priceless! 🇩🇴</t>
  </si>
  <si>
    <t>dcornelius13</t>
  </si>
  <si>
    <t>Derek Austin Cornelius</t>
  </si>
  <si>
    <t>@rangersfc @canadasoccer</t>
  </si>
  <si>
    <t>derekdeangelis</t>
  </si>
  <si>
    <t>Derek D</t>
  </si>
  <si>
    <t>Award winning Actor/Comedian/Host. Follow me, but not in that look behind me and you're there kind of way, that would be weird. #DerekD #fcancer</t>
  </si>
  <si>
    <t>http://www.derekd.com/</t>
  </si>
  <si>
    <t>dereklipp_</t>
  </si>
  <si>
    <t>Derek Lipp</t>
  </si>
  <si>
    <t>MICHIGAN
8M + on TikTok 
2M + on YouTube 
Dereklippbiz@gmail.com</t>
  </si>
  <si>
    <t>http://direct.me/dereklipp</t>
  </si>
  <si>
    <t>die_workwear</t>
  </si>
  <si>
    <t>Derek Guy</t>
  </si>
  <si>
    <t>Menswear Writer.</t>
  </si>
  <si>
    <t>https://dieworkwear.com/2025/06/03/excited-to-wear-this-spring-6</t>
  </si>
  <si>
    <t>destiny</t>
  </si>
  <si>
    <t>Steven Kenneth Bonnell II</t>
  </si>
  <si>
    <t>I play a variety of games and talk about a variety of topics regarding politics/philosophy.</t>
  </si>
  <si>
    <t>http://www.destiny.gg/</t>
  </si>
  <si>
    <t>devon</t>
  </si>
  <si>
    <t>𝚍𝚎𝚟𝚘𝚗 𝚙𝚊𝚕𝚋𝚛𝚒𝚗𝚔</t>
  </si>
  <si>
    <t>⠀ 
▫️ ⠀𝚜𝚝𝚘𝚌𝚔𝚑𝚘𝚕𝚖 𝚜𝚠𝚎𝚍𝚎𝚗
▫️ ⠀𝚒𝚗𝚝𝚎𝚛𝚒𝚘𝚛 𝚍𝚎𝚜𝚒𝚐𝚗𝚎𝚛 𝚒𝚗 𝚝𝚑𝚎 𝚖𝚊𝚔𝚒𝚗𝚐
▫️ ⠀𝚊𝚗𝚒𝚖𝚊𝚕 𝚊𝚗𝚍 𝚙𝚕𝚊𝚗𝚝 𝚕𝚘𝚟𝚎𝚛
▫️ ⠀𝚏𝚘𝚘𝚍 𝚎𝚊𝚝𝚎𝚛
▫️ ⠀𝚜𝚔𝚒𝚗𝚌𝚊𝚛𝚎 𝚎𝚗𝚝𝚑𝚞𝚜𝚒𝚊𝚜𝚝
▫️ ⠀𝚟𝚒𝚍𝚎𝚘 𝚐𝚊𝚖𝚎 𝚙𝚕𝚊𝚢𝚎𝚛</t>
  </si>
  <si>
    <t>devonleecarlson</t>
  </si>
  <si>
    <t>DEVON CARLSON🎀🍀🧸💭</t>
  </si>
  <si>
    <t>@wildflowercases</t>
  </si>
  <si>
    <t>http://wildflowercases.com</t>
  </si>
  <si>
    <t>diana</t>
  </si>
  <si>
    <t>Diana Santana</t>
  </si>
  <si>
    <t>YHWH 🏹💫
Modelo🇧🇷
Blogger🌍35 countries
Ex Assistente de palco 
DOMINGO LEGAL📺
Tiktok:Dianaofc0
Job📲(11)3151-5868
📧diana@mmestrategiadeimagem.com.br</t>
  </si>
  <si>
    <t>diana.__v</t>
  </si>
  <si>
    <t>2010 
🇻🇪
📩: dianatorresekmeiro88@gmail.com</t>
  </si>
  <si>
    <t>diego</t>
  </si>
  <si>
    <t>Diego Boneta</t>
  </si>
  <si>
    <t>Founder @threeamigos                                                         Drink @tequiladefrente
Read ⬇️</t>
  </si>
  <si>
    <t>https://www.amazon.com/Undoing-Alejandro-Velasco-Novel/dp/166252725X</t>
  </si>
  <si>
    <t>ritadominic</t>
  </si>
  <si>
    <t>Rita Dominic-Anosike</t>
  </si>
  <si>
    <t>Co-founder of The Audrey Silva Company (@audreysilvang) Publisher @dtnowdigital https://linktr.ee/lafemmeanjola
Contact management- @glazedlens</t>
  </si>
  <si>
    <t>http://youtube.com/@nollywoodbyaudreysilva</t>
  </si>
  <si>
    <t>dominique</t>
  </si>
  <si>
    <t>Dominique Cojuangco Hearn</t>
  </si>
  <si>
    <t>@thecollective
Tools that make self-care feel powerful, not performative. No fluff, no pressure. Just what works for real people living real lives.</t>
  </si>
  <si>
    <t>http://www.thecollective.ph/</t>
  </si>
  <si>
    <t>dominiqueanselbakery</t>
  </si>
  <si>
    <t>Dominique Ansel Bakery NY</t>
  </si>
  <si>
    <t>Please follow @dominiqueansel for news and updates</t>
  </si>
  <si>
    <t>http://dominiqueanselny.com/</t>
  </si>
  <si>
    <t>dgoficial</t>
  </si>
  <si>
    <t>Douglas Luiz</t>
  </si>
  <si>
    <t>@officialnffc</t>
  </si>
  <si>
    <t>edward</t>
  </si>
  <si>
    <t>Living in San Francisco, from London. 24th user of Instagram 🎥🎞📽⛵️🔭</t>
  </si>
  <si>
    <t>edwardk1</t>
  </si>
  <si>
    <t>Scottsdale 
—
Add my snap</t>
  </si>
  <si>
    <t>http://snapchat.com/add/shredward</t>
  </si>
  <si>
    <t>elena</t>
  </si>
  <si>
    <t>Elena Hansen</t>
  </si>
  <si>
    <t>Learning ♾️ Sharing 
Founder @SWIMSOCIAL Adj Prof @USCEDU 
✍🏽 @HUMAN.POSSIBILITY</t>
  </si>
  <si>
    <t>http://www.human-possibility.com/series</t>
  </si>
  <si>
    <t>elenagortarii</t>
  </si>
  <si>
    <t>Ole ole y ole los caracole
Sevilla ✨
infoelenagortari@gmail.com
 @gortariseyes</t>
  </si>
  <si>
    <t>https://youtube.com/@elenagortariii?si=-xq1oEqCBgvM199E</t>
  </si>
  <si>
    <t>elijah</t>
  </si>
  <si>
    <t>E L I J A H | Salon | Barber | Tattoo | Gym</t>
  </si>
  <si>
    <t>Not Your Average Barber’s 🦅
Seen in GQ, Men’s Health &amp; Conde Nast
Book Appointments &amp; Award-Winning Hair Products</t>
  </si>
  <si>
    <t>http://whoiselijah.com/</t>
  </si>
  <si>
    <t>edee_elisaa</t>
  </si>
  <si>
    <t>Elisaa🧚🏻‍♀️🤍</t>
  </si>
  <si>
    <t>✨TikTok (+1.3M)                                                 Check out 👇🏻 for shoes 👟 código: edee</t>
  </si>
  <si>
    <t>https://bit.ly/edee-</t>
  </si>
  <si>
    <t>elizabrowne_</t>
  </si>
  <si>
    <t>eliza</t>
  </si>
  <si>
    <t>london
tiktok : elizabrowne (2.6M) 
📧eliza@cadence-talent.com</t>
  </si>
  <si>
    <t>https://linktr.ee/lyzzahh</t>
  </si>
  <si>
    <t>elise</t>
  </si>
  <si>
    <t>Laura Elise</t>
  </si>
  <si>
    <t>I make dice @dicey.doctor and I do cool science  medicine stuff</t>
  </si>
  <si>
    <t>https://www.researchgate.net/publication/337361930_The_Physiological_Nature_of_Caring_Understanding_Nonverbal_Behavior</t>
  </si>
  <si>
    <t>elisehoogerdijk</t>
  </si>
  <si>
    <t>Elise Hoogerdijk</t>
  </si>
  <si>
    <t>Being kind is cool 🤠
Founder @elies.label @purebasics.official 
Contact: teamelisehoogerdijk@gmail.com</t>
  </si>
  <si>
    <t>https://youtube.com/@elisehoogerdijk?si=z5SpDdRv6L5qg8Qc</t>
  </si>
  <si>
    <t>elizalovechild</t>
  </si>
  <si>
    <t>ELIZA</t>
  </si>
  <si>
    <t>A Sky Without Stars OUT NOW</t>
  </si>
  <si>
    <t>https://linktr.ee/elizalovechild_</t>
  </si>
  <si>
    <t>elizabeth_secret10</t>
  </si>
  <si>
    <t>𝐄𝐥𝐢z𝐚𝐛𝐞𝐭𝐡’𝐬 𝐬𝐞𝐜𝐫𝐞𝐭🎀</t>
  </si>
  <si>
    <t>صندوق إليزابيث 👸🏼•
المتجر الأول من نوعه في البلاد 🥇•
כפר כנא -بالقرب من الإعدادية أ📍•
إمكانية توصيل  🚚 •
• 📞0523461505</t>
  </si>
  <si>
    <t>ella</t>
  </si>
  <si>
    <t>ella aiko (愛子) anderson</t>
  </si>
  <si>
    <t>https://www.imdb.com/name/nm3993221/</t>
  </si>
  <si>
    <t>ellafredricksonx</t>
  </si>
  <si>
    <t>Ella☆</t>
  </si>
  <si>
    <t>18🫶new baby
🤍 @fashionnova Ambassador
💌 ellafredricksonx@gmail.com</t>
  </si>
  <si>
    <t>http://link.me/ellafredrickson</t>
  </si>
  <si>
    <t>ellendegeneres</t>
  </si>
  <si>
    <t>Ellen DeGeneres</t>
  </si>
  <si>
    <t>@kindscience 
@theellenshop
@edbyellen</t>
  </si>
  <si>
    <t>http://keychain.club/ellen</t>
  </si>
  <si>
    <t>elsa</t>
  </si>
  <si>
    <t>Official ELSA™️</t>
  </si>
  <si>
    <t>👩🏻‍🎨 Hand-drawn digital portraits
📧 Get yours within 6-10 days! 
💸 Use code: INSTA10 for 10% off
👉🏻 Website update coming soon</t>
  </si>
  <si>
    <t>elsaoseguera</t>
  </si>
  <si>
    <t>Oseguera Elsa</t>
  </si>
  <si>
    <t>Catracha 🇭🇳❤️</t>
  </si>
  <si>
    <t>https://elsaoseguera.my.canva.site/elsaoseguera</t>
  </si>
  <si>
    <t>elsa.thora</t>
  </si>
  <si>
    <t>Elsa Thora 🇸🇪</t>
  </si>
  <si>
    <t>Sweden’s #1 Baddie | @razed_casinoo 
Click here 👇🏻</t>
  </si>
  <si>
    <t>http://elsathora.co</t>
  </si>
  <si>
    <t>hoskelsa</t>
  </si>
  <si>
    <t>elsa❤️</t>
  </si>
  <si>
    <t>@helsastudio</t>
  </si>
  <si>
    <t>https://elsahosk.com/pages/outfit</t>
  </si>
  <si>
    <t>emily</t>
  </si>
  <si>
    <t>Emily Wilson</t>
  </si>
  <si>
    <t>Kindness is a bridge between all people. ❤️</t>
  </si>
  <si>
    <t>http://www.heroeffect.com/</t>
  </si>
  <si>
    <t>emilys_ears</t>
  </si>
  <si>
    <t>Emily 🦄💗</t>
  </si>
  <si>
    <t>Official page😋
I’m nothing without God🤍                click link in bio🫵🏽</t>
  </si>
  <si>
    <t>https://youtu.be/LgtMpoiejyo?si=kuCkoP72iVhCIVcK</t>
  </si>
  <si>
    <t>emmanuel</t>
  </si>
  <si>
    <t>🏕️</t>
  </si>
  <si>
    <t>https://sovereignlord.org/products/welcome-back-my-son-e-book-by-emmanuel-campana</t>
  </si>
  <si>
    <t>emmanuelmacron</t>
  </si>
  <si>
    <t>Emmanuel Macron</t>
  </si>
  <si>
    <t>Président de la République française.</t>
  </si>
  <si>
    <t>https://youtu.be/dV-UMhQtC34</t>
  </si>
  <si>
    <t>nchimbie</t>
  </si>
  <si>
    <t>Dr Emmanuel John Nchimbi</t>
  </si>
  <si>
    <t>Is a Tanzanian Diplomat.</t>
  </si>
  <si>
    <t>http://twitter.com/nchimbie</t>
  </si>
  <si>
    <t>eric</t>
  </si>
  <si>
    <t>Eric Kavelaars</t>
  </si>
  <si>
    <t>📍 Dubai
🤖 DM me “AIGI” to learn how to start/scale your AI Growth Integrator Agency
@aigrowthintegrator</t>
  </si>
  <si>
    <t>https://www.aigrowthintegrator.com/ig</t>
  </si>
  <si>
    <t>eric_gugua</t>
  </si>
  <si>
    <t>Eric Gugua</t>
  </si>
  <si>
    <t>Thinker🧠 Storyteller🎤
Blockchain and Tech Education
Social Influencer 🫂 
📩 Ericgugua@gmail.com</t>
  </si>
  <si>
    <t>https://mainstack.me/ericgugua</t>
  </si>
  <si>
    <t>eric.is.youngjae</t>
  </si>
  <si>
    <t>ERIC</t>
  </si>
  <si>
    <t>THEBOYZ</t>
  </si>
  <si>
    <t>eric.ortuno</t>
  </si>
  <si>
    <t>Eric Ortuño</t>
  </si>
  <si>
    <t>@latelierbarcelona @relaisdesserts_officiel</t>
  </si>
  <si>
    <t>http://latelierbarcelona.com/</t>
  </si>
  <si>
    <t>erica.ha</t>
  </si>
  <si>
    <t>Erica Ha</t>
  </si>
  <si>
    <t>nyc
@hasistersofficial 
📩 TEAM@hasisters.com</t>
  </si>
  <si>
    <t>https://youtu.be/l2yzsEfCO0s?si=tpMugk8sWW6RMOGM</t>
  </si>
  <si>
    <t>ericasara</t>
  </si>
  <si>
    <t>Erica Sara</t>
  </si>
  <si>
    <t>Erica Sara Designs. Official Partner &amp; Jewelry of #TCSNYCMarathon &amp; #EveryWomansMarathon. Runner.Mom #womanled  #smallbiz Follows ≠ endorsements</t>
  </si>
  <si>
    <t>https://www.ericasara.com/collections/official-tcs-new-york-city-marathon-collection</t>
  </si>
  <si>
    <t>esmeraldayounes</t>
  </si>
  <si>
    <t>Esmé</t>
  </si>
  <si>
    <t>🇺🇦🇱🇧
Check my music out🎶
FULL SCHEDULE IN HIGHLIGHT
📍Every Sunday @almaza.bay (afrohouse)
I can do all things through Christ who strengthens me🤍</t>
  </si>
  <si>
    <t>https://youtu.be/mnPkPIq3MpY?si=-Rr74vALj5o3gEyK</t>
  </si>
  <si>
    <t>mamii_es</t>
  </si>
  <si>
    <t>Beauty| Lifestyle| Girl mom 
Business collabs 💌 : egonzalezbookings01@yahoo.com
@prettylashed___</t>
  </si>
  <si>
    <t>https://youtu.be/tqFiKNeBaTE?si=hpn-CJzoVx5lBcOV</t>
  </si>
  <si>
    <t>theofficialesmeralda</t>
  </si>
  <si>
    <t>ESMERALDA</t>
  </si>
  <si>
    <t>Boutique Store</t>
  </si>
  <si>
    <t>Where trend meets timeless luxury
Statement pieces for elevated everyday
New drops + iconic restocks coming soon ✨
COD across Pakistan 🇵🇰</t>
  </si>
  <si>
    <t>https://www.shopesmeralda.com/</t>
  </si>
  <si>
    <t>estebanocon</t>
  </si>
  <si>
    <t>Esteban Ocon</t>
  </si>
  <si>
    <t>Formula 1 Driver 🇫🇷 
@teamestebanocon</t>
  </si>
  <si>
    <t>https://shop.esteban-ocon.com</t>
  </si>
  <si>
    <t>esther</t>
  </si>
  <si>
    <t>Esther Azoulay</t>
  </si>
  <si>
    <t>evillynnnn</t>
  </si>
  <si>
    <t>Evelyn👑</t>
  </si>
  <si>
    <t>D(M)V Certified Eyelash Technician💕
PRO Eyelash Extension Trainer💖
SirenByEvelyn • FRXME Salon
#LashMother | #GirlBoss 👑
📧aevelyn614@gmail.com</t>
  </si>
  <si>
    <t>https://app.acuityscheduling.com/schedule.php?owner=13333810</t>
  </si>
  <si>
    <t>feh.vines</t>
  </si>
  <si>
    <t>FELIPE🪼</t>
  </si>
  <si>
    <t>👉🏻 @euviines 
✨ Segue aí antes que viralize sem você
+1.8M no Kwai | +700k no TikTok</t>
  </si>
  <si>
    <t>felipe</t>
  </si>
  <si>
    <t>Felipe Freitas</t>
  </si>
  <si>
    <t>@victorfreitasefelipe
@thebossanovabreakdown</t>
  </si>
  <si>
    <t>https://youtube.com/vffmusic</t>
  </si>
  <si>
    <t>felipe_moveis_</t>
  </si>
  <si>
    <t>Felipe Moveis 🛋</t>
  </si>
  <si>
    <t>Loja online 👩‍💻. Tudo em móveis e estofados. 🛋 -                           Entregamos no mesmo dia após a compra 🚚</t>
  </si>
  <si>
    <t>zefelipe</t>
  </si>
  <si>
    <t>Zé</t>
  </si>
  <si>
    <t>2025 É NOSSO 🍀🙏🏼⚡️
📩 zefelipe@talismadigital.com.br 
Ouça Agora •Country Sessions •🚀💥</t>
  </si>
  <si>
    <t>https://open.spotify.com/artist/7cmuxPnXRJxwuYDHfbD8Eu?si=PQRKMMixSNaj7ETWJtRj2Q</t>
  </si>
  <si>
    <t>fernando</t>
  </si>
  <si>
    <t>Fernando Zor</t>
  </si>
  <si>
    <t>@fernandoesorocaba
Já Vai Sabendo + O Que Cê Vai Fazer feat. @murilohuff 🚀👇🏼</t>
  </si>
  <si>
    <t>https://bit.ly/J%C3%A1VaiSabendo-YouTube</t>
  </si>
  <si>
    <t>fernando___fernando</t>
  </si>
  <si>
    <t>FERNANDO MORANTE</t>
  </si>
  <si>
    <t>Fashion stylist |</t>
  </si>
  <si>
    <t>davidfrancesdf</t>
  </si>
  <si>
    <t>DAVID FRANCÉS | Tips maquillaje, piel</t>
  </si>
  <si>
    <t>💄 Especialista en maquillaje natural y elegante 
 👰 Maquillaje para bodas y eventos
 📌 Tips para tu piel y maquillaje 
 📺 Contenido en YouTube y mas 👇</t>
  </si>
  <si>
    <t>http://beacons.ai/davidfrances</t>
  </si>
  <si>
    <t>frances</t>
  </si>
  <si>
    <t>Frances | Fashion, Beauty &amp; Lifestyle Berlin</t>
  </si>
  <si>
    <t>Your daily dose of classy Fashion, Beauty &amp; Lifestyle 
* founder of : zukkermädchen Blogzine 
* proud dog mum and ☕️ obsessed 
* 📍Berlin based</t>
  </si>
  <si>
    <t>https://zukkermaedchen.de/impressum</t>
  </si>
  <si>
    <t>francescalacava_</t>
  </si>
  <si>
    <t>francesca</t>
  </si>
  <si>
    <t>agency @planetfilm_news</t>
  </si>
  <si>
    <t>https://www.planetfilm.it/portfolio-item/francesca-maria-chiara-la-cava/</t>
  </si>
  <si>
    <t>francesca.stavolone</t>
  </si>
  <si>
    <t>Fr*ncy👑</t>
  </si>
  <si>
    <t>Turin/Milan📍
managed by @theonecelebrity 💌✨
red vibes e tante chicche beauty👩🏼‍🦰💄🐈🍯🍓</t>
  </si>
  <si>
    <t>https://bit.ly/4keUXYC</t>
  </si>
  <si>
    <t>frances_paisa</t>
  </si>
  <si>
    <t>Jhader Norbey Echavarria Estrada</t>
  </si>
  <si>
    <t>Quien no vive para servir, no sirve para vivir.🧡🇨🇴🇨🇱🇫🇷🇦🇷🇧🇷</t>
  </si>
  <si>
    <t>frances_simplificado</t>
  </si>
  <si>
    <t>Trezene Betoko | Prof de Francês | Nativo</t>
  </si>
  <si>
    <t>Te ajudo a falar francês 🇫🇷 de forma simples e rápida | + 10 mil alunos no 🇧🇷 e no 🌎 | 📨 WhatsApp +55 11 94586-4669 | Para + informações👇🏾</t>
  </si>
  <si>
    <t>Francesca Monfrinatti</t>
  </si>
  <si>
    <t>fundadora e diretora criativa da @shopfrancesca 
atendimento@francescamonfrinatti.com.br</t>
  </si>
  <si>
    <t>http://www.shopfrancesca.com/</t>
  </si>
  <si>
    <t>francisco</t>
  </si>
  <si>
    <t>Y. Francisco Ramos</t>
  </si>
  <si>
    <t>Not trading username. Thanks.</t>
  </si>
  <si>
    <t>https://hypermedia.link</t>
  </si>
  <si>
    <t>_francis.co</t>
  </si>
  <si>
    <t>Francisco Fonseca</t>
  </si>
  <si>
    <t>Illustrator • Porto • @gardenskateco @infusahome 
Represented by: @goodillo.kids &amp; @goodillo
ONLINE SHOP and Domestika Course
👇🏼👇🏼👇🏼👇🏼👇🏼</t>
  </si>
  <si>
    <t>https://franciscofonscashop.etsy.com</t>
  </si>
  <si>
    <t>clarkfredericks</t>
  </si>
  <si>
    <t>Clark Fredericks</t>
  </si>
  <si>
    <t>📖 Author: SCARRED 
👉 I help you heal from your unresolved sexual trauma so you can be Free Like-Me
📢 Coach
🎤 Public Speaker
🎙Free Like-Me Podcast</t>
  </si>
  <si>
    <t>https://konect.to/freelike-me08808</t>
  </si>
  <si>
    <t>frederickflips</t>
  </si>
  <si>
    <t>Frederick“Flips” Richard</t>
  </si>
  <si>
    <t>Olympic Medalist🏅🇺🇸 @usagym
College Athlete @umichgym 
@celsiusofficial athlete
Business inquiries: frederickflips@itsgivinggame.co</t>
  </si>
  <si>
    <t>https://bushelandpeckbooks.com/products/Fred-flips</t>
  </si>
  <si>
    <t>frederick.fv</t>
  </si>
  <si>
    <t>gabi.nebunu</t>
  </si>
  <si>
    <t>Gabriel Nebunu</t>
  </si>
  <si>
    <t>gabriel</t>
  </si>
  <si>
    <t>God first</t>
  </si>
  <si>
    <t>https://linktr.ee/gabrielg5</t>
  </si>
  <si>
    <t>gabriel_alexandrov</t>
  </si>
  <si>
    <t>GABRIEL L.</t>
  </si>
  <si>
    <t>PR 89082297089 Виктория
DR 89057800008 Марина</t>
  </si>
  <si>
    <t>https://t.me/+V7kQk5MT8mxhMDk6</t>
  </si>
  <si>
    <t>gabrieloxguevaraa</t>
  </si>
  <si>
    <t>Gabriel Guevara</t>
  </si>
  <si>
    <t>Le doy a la "X", por eso no caigo
🎬 @brossontalentagency 
📩 @j.zafer</t>
  </si>
  <si>
    <t>gabriella</t>
  </si>
  <si>
    <t>in her glittering prime 🌞🦋💖
🏡 @gabbieshome 
🦋 @freefocusmgmt 
💌 elle@freefocus.co.uk</t>
  </si>
  <si>
    <t>https://bit.ly/GabriellasShop</t>
  </si>
  <si>
    <t>garrett.josemans</t>
  </si>
  <si>
    <t>Garrett Josemans</t>
  </si>
  <si>
    <t>Quantum Physicist | Fitness Dude | Spearo
Season 7 @loveisblindnetflix
Husband to @chinesediscobaby
📍Washington, D.C.</t>
  </si>
  <si>
    <t>garrettleight</t>
  </si>
  <si>
    <t>Garrett Leight California Optical</t>
  </si>
  <si>
    <t>California Vision - We See Things Differently ™</t>
  </si>
  <si>
    <t>http://www.garrettleight.com</t>
  </si>
  <si>
    <t>glenn.11.greenwald</t>
  </si>
  <si>
    <t>Glenn Greenwald</t>
  </si>
  <si>
    <t>Journalist - Author - Host, @systemupdate__; Columnist, @Folha. Founder: @abrigohope; @institutodavidmiranda; @theinterceptbrasil; Pai do 3 angels 3.</t>
  </si>
  <si>
    <t>https://www.youtube.com/@GlennGreenwaldBrasil-dt2ul</t>
  </si>
  <si>
    <t>glennclose</t>
  </si>
  <si>
    <t>The Real Glenn Close</t>
  </si>
  <si>
    <t>Mother. Sister. Aunt. GRANDMA. Actor. Producer. Writer. Seeks solace in Nature, Silence, Work &amp; Family.</t>
  </si>
  <si>
    <t>lagloriarooftop</t>
  </si>
  <si>
    <t>La Gloria® Rooftop</t>
  </si>
  <si>
    <t>📍Av. Tiradentes #26 | Edif. LFA, Nivel 4.
• Vie &amp; Sab 11PM-3AM.               
• Info &amp; Bottle Service👇🏻</t>
  </si>
  <si>
    <t>grantcardone</t>
  </si>
  <si>
    <t>Grant Cardone</t>
  </si>
  <si>
    <t>Private Equity Fund Manager &amp; Real Estate Investor ~$5B AUM • CardoneCapital • 10XHealth • CardoneU • FREE $500 Gift Card To My Store ↙️</t>
  </si>
  <si>
    <t>http://grantcardone.com/giveaway</t>
  </si>
  <si>
    <t>grantgust</t>
  </si>
  <si>
    <t>Grant Gustin</t>
  </si>
  <si>
    <t>guillefc.70</t>
  </si>
  <si>
    <t>@fcbarcelona Player                                               
@adidas_es Athlete</t>
  </si>
  <si>
    <t>guille_francella</t>
  </si>
  <si>
    <t>Guillermo Francella</t>
  </si>
  <si>
    <t>Instagram oficial de la fans page</t>
  </si>
  <si>
    <t>guillermo</t>
  </si>
  <si>
    <t>La excelencia como filosofía de vida. @laix
Mi primer video #DanceLikeAPrince 👇🏻</t>
  </si>
  <si>
    <t>https://youtu.be/cXuijzLfmV8</t>
  </si>
  <si>
    <t>guillermorojer</t>
  </si>
  <si>
    <t>Guillermo Antonio Rojer Castillo</t>
  </si>
  <si>
    <t>guillermovillaa</t>
  </si>
  <si>
    <t>GuillermoVilla</t>
  </si>
  <si>
    <t>Puerto Rico🌴
🥗 @vitafreshpr</t>
  </si>
  <si>
    <t>http://flow.page/guillermovillaa/</t>
  </si>
  <si>
    <t>guillezarachopy</t>
  </si>
  <si>
    <t>Guillermo Zaracho</t>
  </si>
  <si>
    <t>🇵🇾 Proudly Paraguayan
🇬🇧 MSc. in Education | @oxford_uni
🎓 Lic. En Lengua Inglesa | @gutenberg.uep
👨🏻‍🏫 Docente
✝️
1% UNO POR CIENTO, DISPONIBLE  👇🏻</t>
  </si>
  <si>
    <t>https://beacons.ai/guillezarachopy</t>
  </si>
  <si>
    <t>iamguillermo</t>
  </si>
  <si>
    <t>Parking lot security guard on @JimmyKimmelLive</t>
  </si>
  <si>
    <t>http://kimmelinbrooklyn.com</t>
  </si>
  <si>
    <t>pinocchiomovie</t>
  </si>
  <si>
    <t>Guillermo del Toro’s Pinocchio</t>
  </si>
  <si>
    <t>Movie</t>
  </si>
  <si>
    <t>Academy Award Winner of Best Animated Feature, experience Guillermo del Toro’s Pinocchio on Netflix.</t>
  </si>
  <si>
    <t>http://netflix.com/pinocchio</t>
  </si>
  <si>
    <t>sguillermos</t>
  </si>
  <si>
    <t>Guillermo Santoma</t>
  </si>
  <si>
    <t>http://guillermosantoma.com/</t>
  </si>
  <si>
    <t>haileybieber</t>
  </si>
  <si>
    <t>Hailey Rhode Bieber</t>
  </si>
  <si>
    <t>Founder, Chief Creative Officer, and Head Of Innovation @rhode 🤍</t>
  </si>
  <si>
    <t>https://www.rhodeskin.com</t>
  </si>
  <si>
    <t>haleyhznicole</t>
  </si>
  <si>
    <t>Haley Nicole</t>
  </si>
  <si>
    <t>you found me👀</t>
  </si>
  <si>
    <t>https://hoo.be/hazey_haley</t>
  </si>
  <si>
    <t>hazey_haley</t>
  </si>
  <si>
    <t>haley nicole</t>
  </si>
  <si>
    <t>Hiiii🥰
🌶️&gt; @haleyslinky 
Check PSA highlight ‼️</t>
  </si>
  <si>
    <t>thehaleyx</t>
  </si>
  <si>
    <t>just a girl from texas ✨</t>
  </si>
  <si>
    <t>http://onlylinks.com/haley</t>
  </si>
  <si>
    <t>hannah</t>
  </si>
  <si>
    <t>Hannah Felisa</t>
  </si>
  <si>
    <t>singer-songwriter
LA 💋
@pomonacollege</t>
  </si>
  <si>
    <t>https://open.spotify.com/track/1hTAcAmeaC6qFjotcB1nOg?si=cOTaTWEfRR6uH9rTvpScEA</t>
  </si>
  <si>
    <t>harold</t>
  </si>
  <si>
    <t>Harold Eric</t>
  </si>
  <si>
    <t>Actor, Director &amp; Singer/Songwriter
📍New York City
@rolu_entertainment @ug.artists</t>
  </si>
  <si>
    <t>http://harolderic.com</t>
  </si>
  <si>
    <t>harold.clothes_</t>
  </si>
  <si>
    <t>𝐇𝐀𝐑𝐎𝐋𝐃</t>
  </si>
  <si>
    <t>Essential Wear | Building Timeless Wardrobes
Worldwide Shipping</t>
  </si>
  <si>
    <t>https://www.haroldclo.com/</t>
  </si>
  <si>
    <t>haroldleffall</t>
  </si>
  <si>
    <t>Harold Leffall</t>
  </si>
  <si>
    <t>👉🏾Father &amp; cancer survivor 
👉🏾The 58 Year Old Viral Juicer
Good Health &amp; Weight Loss Over 40👇🏿
Save 10% on Juicer👇🏿</t>
  </si>
  <si>
    <t>https://linktr.ee/haroldleffall</t>
  </si>
  <si>
    <t>_hosorio</t>
  </si>
  <si>
    <t>Harold Osorio</t>
  </si>
  <si>
    <t>player for @chicagofire | @chicagofirefcii 
 🇸🇻</t>
  </si>
  <si>
    <t>heaven</t>
  </si>
  <si>
    <t>Find your @heaven on Earth 🌬🌏</t>
  </si>
  <si>
    <t>heaven.hcm</t>
  </si>
  <si>
    <t>HEAVEN</t>
  </si>
  <si>
    <t>𝗘𝘀𝘁𝗮𝗯𝗹𝗶𝘀𝗵𝗲𝗱 𝗶𝗻 𝟮𝟬𝟭𝟲
Được xây dựng và phát triển để khách hàng có trải nghiệm mua hàng thật sự “ Heaven “ 
Truy cập mua hàng nhanh tại:</t>
  </si>
  <si>
    <t>https://s.shopee.vn/3LDHDrsC4W</t>
  </si>
  <si>
    <t>heaven_is_a_dog</t>
  </si>
  <si>
    <t>A rescue dog named Heaven living my best life and sharing my smile. Voted People Magazine Worlds Cutest Rescue 2021!</t>
  </si>
  <si>
    <t>https://linktr.ee/Heavenisadog</t>
  </si>
  <si>
    <t>heavenmayhem_</t>
  </si>
  <si>
    <t>Heaven Mayhem</t>
  </si>
  <si>
    <t>ACCESSORIES FOR THE MODERN CAPSULE WARDROBE</t>
  </si>
  <si>
    <t>https://heavenmayhem.com/</t>
  </si>
  <si>
    <t>onlyheaven.1</t>
  </si>
  <si>
    <t>HEAVEN🪞</t>
  </si>
  <si>
    <t>Mgmt @got2bevee 🐐
Inquires : bookingmsheaven@gmail.com</t>
  </si>
  <si>
    <t>https://open.spotify.com/album/4EI2HTkjnljiENddpm8XZG?si=wUmT0w3TTfKpAp4JOJR8Bw</t>
  </si>
  <si>
    <t>dr_heavenly</t>
  </si>
  <si>
    <t>Dr. Heavenly Kimes</t>
  </si>
  <si>
    <t>@smilesbydrheavenly @drheavenlyforgeorgia 
#married2med</t>
  </si>
  <si>
    <t>heav_en_ly</t>
  </si>
  <si>
    <t>𝕳𝖎𝖒𝖊𝖓𝖔𝕾𝖍𝖎𝖗𝖆𝖞𝖚𝖐𝖎</t>
  </si>
  <si>
    <t>𝖎𝖉𝖔𝖑 ❤︎ 
‎〜𐭜    ᜊu_u)ᜊ いっぱい載せたい</t>
  </si>
  <si>
    <t>heavenly.reyna</t>
  </si>
  <si>
    <t>heavenly reyna</t>
  </si>
  <si>
    <t>i sing on twitch!
📸 @saycheem</t>
  </si>
  <si>
    <t>http://twitch.tv/heavenly</t>
  </si>
  <si>
    <t>heavenlyspa_westinlima</t>
  </si>
  <si>
    <t>Heavenly Spa</t>
  </si>
  <si>
    <t>Spa urbano más grande de Sudamérica y más exclusivo de lima.</t>
  </si>
  <si>
    <t>http://www.heavenlyspalima.com/</t>
  </si>
  <si>
    <t>heavenlystore.ni</t>
  </si>
  <si>
    <t>☁️Heavenly</t>
  </si>
  <si>
    <t>🔻CONTÁCTANOS🔻
WhatsApp: 8490 5442  🇳🇮
By @alvaromenae @nataliemenae</t>
  </si>
  <si>
    <t>http://wa.me/+50584905442</t>
  </si>
  <si>
    <t>_heavenlyybabe_</t>
  </si>
  <si>
    <t>Heavenly 🖤</t>
  </si>
  <si>
    <t>🖤 Your Favourite Leather Model🖤
⬇️My links 🔗</t>
  </si>
  <si>
    <t>https://allmylinks.com/heavenlybabe</t>
  </si>
  <si>
    <t>skiheavenly</t>
  </si>
  <si>
    <t>Heavenly Mountain Resort</t>
  </si>
  <si>
    <t>Tag @skiheavenly and use #skiheavenly in your posts for a chance to be featured.</t>
  </si>
  <si>
    <t>http://sprout.link/skiheavenly/</t>
  </si>
  <si>
    <t>heidi</t>
  </si>
  <si>
    <t>Heidi Zak, CEO ThirdLove</t>
  </si>
  <si>
    <t>•@ThirdLove co-founder and CEO
•Mom to Sloane &amp; Zak
•Book me for expert advice on Intro (link below)</t>
  </si>
  <si>
    <t>http://thirdlove.com</t>
  </si>
  <si>
    <t>heidiklum</t>
  </si>
  <si>
    <t>Heidi Klum</t>
  </si>
  <si>
    <t>heidiklumteam@unitedtalent.com
love@hknewyork.com
@fullpicture
🍕@crazypizza.nyc</t>
  </si>
  <si>
    <t>https://www.roblox.com/games/18627302070/NEW-Modelverse</t>
  </si>
  <si>
    <t>helena</t>
  </si>
  <si>
    <t>Non-Governmental Organization (NGO)</t>
  </si>
  <si>
    <t>Problems caused by humans can be solved by humans.</t>
  </si>
  <si>
    <t>http://helena.org/</t>
  </si>
  <si>
    <t>helenarobezniece</t>
  </si>
  <si>
    <t>Helēna</t>
  </si>
  <si>
    <t>Travel / Food / Fitness / Lifestyle content creator 
✉️ helena.robezniece@gmail.com
TikTok: helenarobezniece
📍Riga</t>
  </si>
  <si>
    <t>henry</t>
  </si>
  <si>
    <t>Prince Henry</t>
  </si>
  <si>
    <t>henry.evr</t>
  </si>
  <si>
    <t>daily dose of my room🪴🛋️
check out for more ↓</t>
  </si>
  <si>
    <t>https://linktr.ee/henryevr</t>
  </si>
  <si>
    <t>holly</t>
  </si>
  <si>
    <t>Holly Whitaker</t>
  </si>
  <si>
    <t>📚 author of nytbs Quit Like a Woman
📝 of Recovering newsletter 
🎙️host of co-regulation pod</t>
  </si>
  <si>
    <t>http://newsletter.hollywhitaker.com</t>
  </si>
  <si>
    <t>hunter</t>
  </si>
  <si>
    <t>Christ is King ✟ 🇺🇸🇧🇷
$180+ Million on Amazon
30+ Brands under management  
Forbes, Yahoo, Tampa Bay Times, Tech Times, MSN, Apple News
Isaiah 60:22</t>
  </si>
  <si>
    <t>http://gigabrands.ai</t>
  </si>
  <si>
    <t>hunterschafer</t>
  </si>
  <si>
    <t>392rasta</t>
  </si>
  <si>
    <t>🇯🇲🪼🇮🇪Ian nobody ..just  Some body Tryna be Somebody 🤷🏾‍♂️</t>
  </si>
  <si>
    <t>#Dad👨‍👧‍👦#♓️ N♿️WF Tulsa🤟🏾🛫S♿️UF 🅰️tl🦖 #Inkyy  #Rip🙏🏽G #RipJalen🕊 #GR🅰ND @prettyflysociety #ND #Model📸 #Actor🎥 #Comedian😂 #KOD ♿️💯s🏁 1️⃣1️⃣:1️⃣1️⃣🪽</t>
  </si>
  <si>
    <t>dprian</t>
  </si>
  <si>
    <t>Christian Yu</t>
  </si>
  <si>
    <t>🌑@dpr_official🌗</t>
  </si>
  <si>
    <t>ian</t>
  </si>
  <si>
    <t>Ian L.</t>
  </si>
  <si>
    <t>Just a guy with an iPhone and not enough time on his hands.</t>
  </si>
  <si>
    <t>ian_sandii</t>
  </si>
  <si>
    <t>ian ♡</t>
  </si>
  <si>
    <t>Damascus | syria 📍
للإعلانات واتس : 0942362450
Dream. Dare . Do 🤵🏻‍♀️
YouTube👇🏻❤️</t>
  </si>
  <si>
    <t>http://www.youtube.com/@%25D8%25B9%25D9%258A%25D9%2584%25D8%25A9%25D8%25A7%25D9%258A%25D8%25A7%25D9%2586</t>
  </si>
  <si>
    <t>renebaebae</t>
  </si>
  <si>
    <t>IRENE</t>
  </si>
  <si>
    <t>isabella</t>
  </si>
  <si>
    <t>ISABELLA</t>
  </si>
  <si>
    <t>Founder of @peschardt 🪽
@thesocietynyc @storm_la 
For Booking: teamisabella@thesocietymanagement.com
For Gifting: contactisanow@yahoo.com</t>
  </si>
  <si>
    <t>http://www.bypeschardt.com</t>
  </si>
  <si>
    <t>jackairdy</t>
  </si>
  <si>
    <t>London based DJ</t>
  </si>
  <si>
    <t>https://on.soundcloud.com/fCgxnsWPq2qdENVh8</t>
  </si>
  <si>
    <t>jack.kayy1</t>
  </si>
  <si>
    <t>Jack Kay</t>
  </si>
  <si>
    <t>IBIZA FINAL BOSS
Management: @neonmanagement</t>
  </si>
  <si>
    <t>jackstauber</t>
  </si>
  <si>
    <t>https://jackstauber.shop/</t>
  </si>
  <si>
    <t>jacob</t>
  </si>
  <si>
    <t>JACOB RIGLIN</t>
  </si>
  <si>
    <t>Building @jacob.media a creative 𝘯𝘰𝘯-agency, and sharing the journey of doing so.
🎙️: @uncool.podcast 
Email me: jacob@jacobmedia.com</t>
  </si>
  <si>
    <t>http://jacobmedia.com</t>
  </si>
  <si>
    <t>jcaraa</t>
  </si>
  <si>
    <t>New York Mama📍
Sharing what I love👇🏼</t>
  </si>
  <si>
    <t>https://linktr.ee/Jcaraa</t>
  </si>
  <si>
    <t>c.syresmith</t>
  </si>
  <si>
    <t>Jaden Smith</t>
  </si>
  <si>
    <t>2024: A Case Study Of The Long Term Effects Of Young Love</t>
  </si>
  <si>
    <t>https://jaden.komi.io</t>
  </si>
  <si>
    <t>jadethirlwall</t>
  </si>
  <si>
    <t>JADE</t>
  </si>
  <si>
    <t>THAT'S SHOWBIZ BABY!
My debut album out 12th September ✨
Plastic Box out now 🩶</t>
  </si>
  <si>
    <t>http://shop.jadeofficial.com/</t>
  </si>
  <si>
    <t>james</t>
  </si>
  <si>
    <t>James Reid</t>
  </si>
  <si>
    <t>@carelessph</t>
  </si>
  <si>
    <t>http://jamesreid.tunelink.to/blessed</t>
  </si>
  <si>
    <t>kingjames</t>
  </si>
  <si>
    <t>👑</t>
  </si>
  <si>
    <t>janet</t>
  </si>
  <si>
    <t>Janet Elizabeth Caperna</t>
  </si>
  <si>
    <t>📺 The Valley on Bravo
🎤 This Side Of The Hill Podcast</t>
  </si>
  <si>
    <t>https://open.spotify.com/show/40GidusMAMIOhqEUvIeNn5?si=ll7yNQAESWehYstnR-zstA</t>
  </si>
  <si>
    <t>janetjackson</t>
  </si>
  <si>
    <t>Janet Jackson</t>
  </si>
  <si>
    <t>Las Vegas 2024-2025
Tickets available here:</t>
  </si>
  <si>
    <t>http://bio.site/janetjackson</t>
  </si>
  <si>
    <t>notforthearchives</t>
  </si>
  <si>
    <t>@janetguzman</t>
  </si>
  <si>
    <t>https://unrulyagency.be/janetguzman</t>
  </si>
  <si>
    <t>_ja.ni.ce__</t>
  </si>
  <si>
    <t>JANICE KEMIGISHA 
Brand influencer •Digital creator.
Dancer•Actress
“Check out my digital kit in the links below “
Email :Kemigishajanice@gmail.com</t>
  </si>
  <si>
    <t>http://tiktok.com/@janice9251</t>
  </si>
  <si>
    <t>janicee.nichole</t>
  </si>
  <si>
    <t>Janice Rivera</t>
  </si>
  <si>
    <t>de PR
🩵🌸🏝️👙🌊
hi@janicenichole.com
be happy and smile</t>
  </si>
  <si>
    <t>https://hoo.be/janicee.janicee</t>
  </si>
  <si>
    <t>janicee.nicholex2</t>
  </si>
  <si>
    <t>Janice Nichole | Maria Muñoz</t>
  </si>
  <si>
    <t>_
_
_
_
No Soy Janice Nichole, Soy Un Fan
Im Not Janice, I'm A Fan</t>
  </si>
  <si>
    <t>janice.kaori</t>
  </si>
  <si>
    <t>janice</t>
  </si>
  <si>
    <t>Luke 1:37
Talent of @starion.gg 
CP : ‪‪‪+62 851-2116-2811‬‬‬ (Eva)</t>
  </si>
  <si>
    <t>https://www.tiktok.com/@janice.kaori?_t=8nRHxNB95br&amp;_r=1</t>
  </si>
  <si>
    <t>jaredleto</t>
  </si>
  <si>
    <t>JARED LETO</t>
  </si>
  <si>
    <t>TRON:ARES IN THEATERS OCT 10🏍️🥏🔥 @30secondstomars ABL20</t>
  </si>
  <si>
    <t>https://www.fandango.com/tron-ares-2025-240243/movie-overview</t>
  </si>
  <si>
    <t>jaredpadalecki</t>
  </si>
  <si>
    <t>Jared Padalecki</t>
  </si>
  <si>
    <t>https://shopstands.com/collections/supernatural</t>
  </si>
  <si>
    <t>jaxpena10</t>
  </si>
  <si>
    <t>Jared Peña</t>
  </si>
  <si>
    <t>•National Team player ⚽️🇵🇭
•John 13:7
•For inquiries: jared.pena1011@gmail.com</t>
  </si>
  <si>
    <t>http://www.tiktok.com/@jaxisboring</t>
  </si>
  <si>
    <t>jasmine</t>
  </si>
  <si>
    <t>Jasmine 🌷💗</t>
  </si>
  <si>
    <t>jason</t>
  </si>
  <si>
    <t>Jason McCabe Calacanis</t>
  </si>
  <si>
    <t>Angel investor</t>
  </si>
  <si>
    <t>https://linktr.ee/calacanis</t>
  </si>
  <si>
    <t>jasonstatham</t>
  </si>
  <si>
    <t>Jason Statham</t>
  </si>
  <si>
    <t>https://www.youtube.com/watch?v=mxuA4Xmvuw8</t>
  </si>
  <si>
    <t>prideofgypsies</t>
  </si>
  <si>
    <t>Jason Momoa</t>
  </si>
  <si>
    <t>Owner: @mananalu  &amp; @meilivodka</t>
  </si>
  <si>
    <t>https://www.nationalgeographic.com/culture/article/jason-momoa-nat-geo-33-2025</t>
  </si>
  <si>
    <t>jean</t>
  </si>
  <si>
    <t>Jean-François Eap</t>
  </si>
  <si>
    <t>Entrepreneur | Innovator | Visionary</t>
  </si>
  <si>
    <t>kimjeffreyx</t>
  </si>
  <si>
    <t>Jeffrey X   •   Jusung Kim 🇰🇷</t>
  </si>
  <si>
    <t>🥇Meme No.1 Channel !
 Youtube ( 6.3M+ ) : Jeffrey X
 TikTok ( 1.5M+ ) : JeffreyXreacts
E-mail : jeffreyxbusiness@gmail.com</t>
  </si>
  <si>
    <t>https://link.me/kimjeffreyx</t>
  </si>
  <si>
    <t>jennaortega</t>
  </si>
  <si>
    <t>Jenna Ortega</t>
  </si>
  <si>
    <t>findjeremiah</t>
  </si>
  <si>
    <t>Jeremiah Brown</t>
  </si>
  <si>
    <t>God first | Ego is the Enemy | @loveislandusa 🏝️
Biz: Jeremiah@select.co
TikTok (2.3M+): @FindJeremiah Snap: FindJeremiah
Account ran by management</t>
  </si>
  <si>
    <t>http://linktr.ee/FindJeremiah</t>
  </si>
  <si>
    <t>gavincasalengofanaacc</t>
  </si>
  <si>
    <t>Jeremiah Fisher</t>
  </si>
  <si>
    <t>@gavincasalegno 
I'm not Gavin..Just a Fan girl 👇</t>
  </si>
  <si>
    <t>https://www.tiktok.com/@awymx?_t=ZS-8z25Mref0lE&amp;_r=1</t>
  </si>
  <si>
    <t>jeremiah</t>
  </si>
  <si>
    <t>Jeremiah Robinson-Earl</t>
  </si>
  <si>
    <t>_jeremiahfears</t>
  </si>
  <si>
    <t>Jeremiah Fears</t>
  </si>
  <si>
    <t>My grind real….
GOLA | grind or live average 
1x gold Medalist 🥇
 B4CM 🙏🏽
Bet on yourself. | 0️⃣ @pelicansnba</t>
  </si>
  <si>
    <t>https://bit.ly/3QJtamH</t>
  </si>
  <si>
    <t>jeremiahjackson_2</t>
  </si>
  <si>
    <t>29:11
•MOB, AL
• @rawlingssg 
• @aligndsports 
• Baltimore Orioles</t>
  </si>
  <si>
    <t>jeremiahmiller</t>
  </si>
  <si>
    <t>Jeremiah Miller</t>
  </si>
  <si>
    <t>OUT NOW👇’Burning For You’ by Jeremiah Miller</t>
  </si>
  <si>
    <t>https://too.fm/ddgo5x3</t>
  </si>
  <si>
    <t>jeresonrisa</t>
  </si>
  <si>
    <t>Fan Page ♥️ #FisherBoys #TheSummerITurnedPretty</t>
  </si>
  <si>
    <t>https://madelynshaye.etsy.com</t>
  </si>
  <si>
    <t>ong.jeremiah</t>
  </si>
  <si>
    <t>Jeremiah Ong</t>
  </si>
  <si>
    <t>Waddup boii</t>
  </si>
  <si>
    <t>https://s.lazada.com.ph/s.39ZNL</t>
  </si>
  <si>
    <t>primetimejj_.4</t>
  </si>
  <si>
    <t>Jeremiah Smith</t>
  </si>
  <si>
    <t>TTWFO.
DIFFERENT.
Jeremiah 29:11
@ohiostatefb
@redbull athlete
@easportscollege</t>
  </si>
  <si>
    <t>allthingsjerome</t>
  </si>
  <si>
    <t>JEROME</t>
  </si>
  <si>
    <t>Jerome &amp; Atlas 
Seychelles Créole🇸🇨Australian🇦🇺 
Our label @attythelabel 
Agent-@glass__management
💌allthingsjerome@outlook.com
Mama @ninagonthier
QLD</t>
  </si>
  <si>
    <t>https://www.attythelabel.com.au</t>
  </si>
  <si>
    <t>jerome</t>
  </si>
  <si>
    <t>Jerome Grace</t>
  </si>
  <si>
    <t>CEO &amp; Head of Music Pub, @ProducerTour</t>
  </si>
  <si>
    <t>http://producertour.com</t>
  </si>
  <si>
    <t>jeromepolin</t>
  </si>
  <si>
    <t>Jerome Polin Sijabat ジェローム</t>
  </si>
  <si>
    <t>BA of @tokopedia @samsung @promag_id
Building @mantappuacademy 📚
Waseda'22 • Forbes 30 u 30 Asia • Fortune 40 u 40
Business: +6281804013060</t>
  </si>
  <si>
    <t>jessechrisss</t>
  </si>
  <si>
    <t>Jesus loves you!
💌 jessechrisssbiz@gmail.com
Check out Adobe Acrobat! 👇</t>
  </si>
  <si>
    <t>https://adobe.ly/AcrobatEvergreenIG</t>
  </si>
  <si>
    <t>jesse_seb</t>
  </si>
  <si>
    <t>Partner: @burnt.studios.men 🏃🏋️‍♀️🚴
🎙️: @the_middle_way_pod</t>
  </si>
  <si>
    <t>https://bit.ly/3wGyPDG</t>
  </si>
  <si>
    <t>jessieeshen</t>
  </si>
  <si>
    <t>jessie shen</t>
  </si>
  <si>
    <t>tiktok: jessie.shen (+12M)
📧: jessie@changodigital.com.br | @changodigital</t>
  </si>
  <si>
    <t>https://youtube.com/c/jessieshen</t>
  </si>
  <si>
    <t>jessie.ra3</t>
  </si>
  <si>
    <t>Jessie</t>
  </si>
  <si>
    <t>More of meee ⭣ :3</t>
  </si>
  <si>
    <t>https://linktr.ee/jessiexraee</t>
  </si>
  <si>
    <t>lovejessiejo</t>
  </si>
  <si>
    <t>Jessie Jo</t>
  </si>
  <si>
    <t>It’s here 😻🍒👉 @jessiejolinks</t>
  </si>
  <si>
    <t>advjessica.ferreira</t>
  </si>
  <si>
    <t>Jessica Ferreira | Advogada Trabalhista</t>
  </si>
  <si>
    <t>Labor &amp; Employment Lawyer</t>
  </si>
  <si>
    <t>👩🏼‍🎓Especializada em Direito do Trabalho
⚖️ Seu direito de forma simples!
🇧🇷Atendimento em todo Brasil   
  ⬇️Dúvidas Click no link abaixo ⬇️</t>
  </si>
  <si>
    <t>jessica.drren</t>
  </si>
  <si>
    <t>Jessica  Devalez</t>
  </si>
  <si>
    <t>🐿️🍂𝑪𝒓𝒆𝒂𝒕𝒓𝒊𝒄𝒆 𝒅𝒆 𝑪𝒐𝒏𝒕𝒆𝒏𝒖🍂🐿️
 𝒎𝒂𝒅𝒓𝒆 𝒅𝒆 𝟐 𝒉𝒊𝒋𝒐𝒔/𝒄𝒂𝒔𝒂𝒅𝒂 @dono_van04
🇪🇦</t>
  </si>
  <si>
    <t>jessica.gomes.c</t>
  </si>
  <si>
    <t>Jessica Gomes Carneiro</t>
  </si>
  <si>
    <t>📚 Estudante de Nutrição
🧘🏻‍♀️• Rotina • Comida que nutre • Treino • Autoconhecimento 
🧭 Trilhando uma rotina com propósito</t>
  </si>
  <si>
    <t>http://bit.ly/jessicagomesCliqueaqui</t>
  </si>
  <si>
    <t>jessicalteague</t>
  </si>
  <si>
    <t>Jessica Teague</t>
  </si>
  <si>
    <t>Maguire’s mom 🦋
Baby boy due in Oct!! 🩵
Oklahoma 
contact: thatsweetchicblog@gmail.com</t>
  </si>
  <si>
    <t>http://linktr.ee/jessicalteague/</t>
  </si>
  <si>
    <t>jessicarmaniac</t>
  </si>
  <si>
    <t>Jessi Car Maniac | Jessica Thön</t>
  </si>
  <si>
    <t>🙋🏼‍♀️ Hi, I am Jessi | Content Creator &amp; Presenter 
🏎️ Car enthusiast who loves to travel
🎥 Daily YouTube Reviews @thecarcrash</t>
  </si>
  <si>
    <t>https://thecarcrash.de/impressum/</t>
  </si>
  <si>
    <t>jillian</t>
  </si>
  <si>
    <t>Jillian Ward</t>
  </si>
  <si>
    <t>For inquiries : jillianxward@gmail.com / @imallanmacatangay</t>
  </si>
  <si>
    <t>jilliangoza</t>
  </si>
  <si>
    <t>Jillian Brenna</t>
  </si>
  <si>
    <t>filipina ♱ italiana 💋 
💌 @clover.mgmt mother @truemodelmgt nyc
@ntamodels @ntatalent la ⭒
ཐི⋆ @thegozatwins ⋆ཋྀ</t>
  </si>
  <si>
    <t>jillianmichaels</t>
  </si>
  <si>
    <t>Jillian Michaels</t>
  </si>
  <si>
    <t>lil J</t>
  </si>
  <si>
    <t>https://www.youtube.com/c/jillianmichaels</t>
  </si>
  <si>
    <t>jillianonlove</t>
  </si>
  <si>
    <t>Jillian on Love Podcast</t>
  </si>
  <si>
    <t>A podcast on love from @jillianturecki
Let’s build healthier &amp; more 
fulfilling romantic relationships✨</t>
  </si>
  <si>
    <t>https://lnk.to/jillianonloveIG</t>
  </si>
  <si>
    <t>jillianturecki</t>
  </si>
  <si>
    <t>Jillian Turecki</t>
  </si>
  <si>
    <t>Tutor/Teacher</t>
  </si>
  <si>
    <t>NYT Bestselling Author 📚
The @jillianonlove podcast.
@bumble Relationship expert and product advisor.
My book: IT BEGINS WITH YOU
👇🏽</t>
  </si>
  <si>
    <t>https://bio.site/jillianturecki</t>
  </si>
  <si>
    <t>joanna</t>
  </si>
  <si>
    <t>Joanna Dunford | London | United Kingdom</t>
  </si>
  <si>
    <t>📸 City ◦ Drone ◦ Travel 
🇬🇧 London and Beyond
📧 wrkwithjo@gmail.com</t>
  </si>
  <si>
    <t>http://joannadunford.com</t>
  </si>
  <si>
    <t>joanna.lumleys</t>
  </si>
  <si>
    <t>Dame Joanna Lumley</t>
  </si>
  <si>
    <t>English actress, presenter, former model, author, television producer, and activist. 
#absolutelyfabulous #patsystone #fanaccount</t>
  </si>
  <si>
    <t>joannethescammer</t>
  </si>
  <si>
    <t>Dm@musicxchange.app</t>
  </si>
  <si>
    <t>jopkh26</t>
  </si>
  <si>
    <t>𝒿𝑜𝑎𝑛𝑛𝑒 ౨ৎ˚⋆</t>
  </si>
  <si>
    <t>🍰 800K+ on TikTok: inijoeng ꒰ᐢ. .ᐢ꒱ ⊹ ࣪
💌 DM for Business Inquiries</t>
  </si>
  <si>
    <t>https://msha.ke/mikhajoanne</t>
  </si>
  <si>
    <t>jocelyn</t>
  </si>
  <si>
    <t>JOCELYN</t>
  </si>
  <si>
    <t>@santostudios @flik.ai @colossal @luckyenergyofficial 
THE INDUSTRY MODEL MGMT
WILHELMINA LONDON
Terrence@industrymgmt.com</t>
  </si>
  <si>
    <t>https://www.theindustrymodelmgmt.com/model/los-angeles/new-generation-board/1766-jocelyn</t>
  </si>
  <si>
    <t>joel</t>
  </si>
  <si>
    <t>Joel Elman</t>
  </si>
  <si>
    <t>Filmmaker 
LA 🇬🇧</t>
  </si>
  <si>
    <t>http://youtube.com/joelofficial</t>
  </si>
  <si>
    <t>john</t>
  </si>
  <si>
    <t>John Shahidi</t>
  </si>
  <si>
    <t>Grocery Store</t>
  </si>
  <si>
    <t>@shots</t>
  </si>
  <si>
    <t>jonathan</t>
  </si>
  <si>
    <t>Jonathan Geller</t>
  </si>
  <si>
    <t>Founder &amp; CEO @lowercross 
Founder of @bgr
Angel Investor
Dad</t>
  </si>
  <si>
    <t>https://lowercross.com</t>
  </si>
  <si>
    <t>jordan3love</t>
  </si>
  <si>
    <t>Jordan Love</t>
  </si>
  <si>
    <t>🔋🧀</t>
  </si>
  <si>
    <t>https://www.handsof10ve.org/</t>
  </si>
  <si>
    <t>jordanbeckham</t>
  </si>
  <si>
    <t>jordan</t>
  </si>
  <si>
    <t>fl 
💌let’s work: lexi@empiresocialmgmt.com</t>
  </si>
  <si>
    <t>https://hoo.be/jordanbeckham</t>
  </si>
  <si>
    <t>jumpman23</t>
  </si>
  <si>
    <t>OUR TURN</t>
  </si>
  <si>
    <t>http://jordanbrandtheone.com</t>
  </si>
  <si>
    <t>justjordan1</t>
  </si>
  <si>
    <t>Jordan Taylor</t>
  </si>
  <si>
    <t>Hard work gets your intelligence in the room.</t>
  </si>
  <si>
    <t>jose</t>
  </si>
  <si>
    <t>Jose Mendiola 👨🏻‍💻</t>
  </si>
  <si>
    <t>Peregrino 🚶🏻</t>
  </si>
  <si>
    <t>https://www.planetadelibros.com/libro-el-arte-de-vivir-mas-lento/388227</t>
  </si>
  <si>
    <t>joseph</t>
  </si>
  <si>
    <t>No you can't have my username. I'm serious, I don't care how badly you want it, no, nein, non, nej, 不可以, नहीं, لا, Não, না, Нет, ノー, ਕੋਈ, Nu, 아니.</t>
  </si>
  <si>
    <t>josephzada</t>
  </si>
  <si>
    <t>Joseph Zada</t>
  </si>
  <si>
    <t>apostle_joshuaselman</t>
  </si>
  <si>
    <t>Apostle Joshua Selman</t>
  </si>
  <si>
    <t>Apostle Joshua Selman is the Founder of Koinonia (Eternity Network International) , (This is a Fan Page)</t>
  </si>
  <si>
    <t>garciajoshuae</t>
  </si>
  <si>
    <t>Joshua Garcia</t>
  </si>
  <si>
    <t>fear not
@starmagicphils 
📸: @jeg.imahe
👨🏻‍🍳: @joshwannacook 
🍤: @palayashrimpfarm 
🎸: @aorphilippines
💈: @maestrobarbers</t>
  </si>
  <si>
    <t>joshuatbassett</t>
  </si>
  <si>
    <t>Joshua Bassett</t>
  </si>
  <si>
    <t>love is all that matters anyway🫶</t>
  </si>
  <si>
    <t>https://www.joshuatbassett.com/?fbclid=PAZXh0bgNhZW0CMTEAAaaRNBbcwtyOi95hucMWmLYys2NonUylBAMOrytm0uGRFpqbO9rl9ipQJWk_aem_AU3fEmn8wOD1eezFNNoIPdhHhpSJZJobospUm5O1P2tdtxyjhKx6hC95ovPCLIO4AdHRpy84xpKJHcW1pl-CQoj3</t>
  </si>
  <si>
    <t>joyce</t>
  </si>
  <si>
    <t>💌 joyce@theviralistgroup.com</t>
  </si>
  <si>
    <t>http://beacons.ai/joyce</t>
  </si>
  <si>
    <t>mrsjoyce17</t>
  </si>
  <si>
    <t>Joyce🩷</t>
  </si>
  <si>
    <t>My second page 
#Investor 💼 | Wealth Builder 📊
99.99% Trading Mastery 📈
DM to manage your trades ✨
#ChangingLives #EliteTrading</t>
  </si>
  <si>
    <t>juan</t>
  </si>
  <si>
    <t>Juan Manuel Rótulo</t>
  </si>
  <si>
    <t>Papá de Victoria. Después todo lo demás.</t>
  </si>
  <si>
    <t>juandelval</t>
  </si>
  <si>
    <t>Escritor. Premio Primavera de novela 2019. BOCABESADA 💋“Delparaíso”, “Candela”, “Parece mentira”… A veces salgo en la tele</t>
  </si>
  <si>
    <t>juan_wheelies</t>
  </si>
  <si>
    <t>16 Year Old Killa🔥💥
Next big ride ESR 2 09/27/25 👀
⚠️ A.I. Generated Account ⚠️
🔴YouTube Channel!👇🏻
@elitestreetriderz</t>
  </si>
  <si>
    <t>http://link.me/juan_wheelies</t>
  </si>
  <si>
    <t>julia</t>
  </si>
  <si>
    <t>🤍 Chanteuse &amp; modèle photos 🤍
⭐️Artiste passionnée par trop de choses
💌 DM for collab : pro.juliacontact@gmail.com</t>
  </si>
  <si>
    <t>https://distrokid.com/hyperfollow/julia24/danse</t>
  </si>
  <si>
    <t>julia.walas</t>
  </si>
  <si>
    <t>‎♡o｡+..:*♡o｡+..:*♡o｡+..:*♡o｡+..:*♡o｡+..:*♡o｡</t>
  </si>
  <si>
    <t>julian</t>
  </si>
  <si>
    <t>Julian Petroulas</t>
  </si>
  <si>
    <t>Life of @julianpetroulas</t>
  </si>
  <si>
    <t>justin</t>
  </si>
  <si>
    <t>justinlaboy</t>
  </si>
  <si>
    <t>Justin Laboy</t>
  </si>
  <si>
    <t>Host Of @RespectfullyJustin @TheDownload @ShtSrssss 
Info@RespectfullyJustin.com</t>
  </si>
  <si>
    <t>http://youtube.com/@JustinLaboy</t>
  </si>
  <si>
    <t>lilbieber</t>
  </si>
  <si>
    <t>Justin Bieber</t>
  </si>
  <si>
    <t>@SKYLRK</t>
  </si>
  <si>
    <t>https://churcho.me/3T9o6dF</t>
  </si>
  <si>
    <t>kaitlyn</t>
  </si>
  <si>
    <t>Kaitlyn Krieger</t>
  </si>
  <si>
    <t>Happy camper. In ♥️ with @mikeyk, @junopup, and my kiddos. Cofounder of @lets_shimmy, a workout advent calendar. Download the free iPhone app 👇</t>
  </si>
  <si>
    <t>http://www.shimmy.org</t>
  </si>
  <si>
    <t>kaitlynkrems</t>
  </si>
  <si>
    <t>Kaitlyn Krems</t>
  </si>
  <si>
    <t>@unseenkait 
🦋🥶🐬🐳🦕🩵🦋</t>
  </si>
  <si>
    <t>https://superlink.io/kaitlynkrems</t>
  </si>
  <si>
    <t>karen</t>
  </si>
  <si>
    <t>Karen Comas</t>
  </si>
  <si>
    <t>Victoria’s Mama •📍Miami • podcaster @motherish 
💌 Comas.Karen@gmail.com • Trader Joe’s lover ❤️‍🔥 • @haycafeencasa because why not 💫</t>
  </si>
  <si>
    <t>https://open.substack.com/pub/karencomas/p/the-power-of-making-space-fire-faith</t>
  </si>
  <si>
    <t>xkarentorresx</t>
  </si>
  <si>
    <t>Karen Torres</t>
  </si>
  <si>
    <t>📍mty, mx
𝕥𝕚𝕜𝕥𝕠𝕜: xkarentorresx (+15M)</t>
  </si>
  <si>
    <t>https://youtu.be/uvraPlXiJvc</t>
  </si>
  <si>
    <t>karionly</t>
  </si>
  <si>
    <t>Karina Anderson</t>
  </si>
  <si>
    <t>@karionly.of (Backup account)❤️
Hi Friends
-
-</t>
  </si>
  <si>
    <t>https://beacons.ai/karionly</t>
  </si>
  <si>
    <t>katarinabluu</t>
  </si>
  <si>
    <t>KARINA</t>
  </si>
  <si>
    <t>aespa</t>
  </si>
  <si>
    <t>karlabchir</t>
  </si>
  <si>
    <t>KARLA B | MODEL</t>
  </si>
  <si>
    <t>✉️ : karla@the-lyfe.com
@dsgmodel @karinmodels_official
333</t>
  </si>
  <si>
    <t>https://www.dsgmodelagent.com/modele-femmes/karla</t>
  </si>
  <si>
    <t>karladobarulhoreserva</t>
  </si>
  <si>
    <t>- PERFIL RESERVA 
🎥 @karlaodopovooficial 
💖OFICIAL: @karladobarulho</t>
  </si>
  <si>
    <t>katherine</t>
  </si>
  <si>
    <t>Katherine Sara</t>
  </si>
  <si>
    <t>founder + director @layere.co 
biomed degree | nontoxic wellness | atx
pr: kat@katherinemarketing.com
all my favorites below ↓</t>
  </si>
  <si>
    <t>https://shopmy.us/katherinesaras</t>
  </si>
  <si>
    <t>kathleen.post</t>
  </si>
  <si>
    <t>Kathleen Post</t>
  </si>
  <si>
    <t>daily outfits, hair, makeup, &amp; more ✨
hello@kathleenpost.com💌
links for everything!👇🏼
kathleenpost.com 🤍
📍Indy!</t>
  </si>
  <si>
    <t>https://www.shopltk.com/explore/kathleen.post?utm_campaign=creator_shop_share_template_flow&amp;utm_source=ioscreatorapp</t>
  </si>
  <si>
    <t>kathrynelizabethwatts</t>
  </si>
  <si>
    <t>KATHRYN WATTS</t>
  </si>
  <si>
    <t>believer 🗞️✞
ma @blairmodels 
usa @theindustryny 
eu @elitemodelworld
💌 rachel@blairmodels.com</t>
  </si>
  <si>
    <t>https://blairmodels.com/portfolio/katie-watts</t>
  </si>
  <si>
    <t>kathrynfromars</t>
  </si>
  <si>
    <t>Katie Schlegel</t>
  </si>
  <si>
    <t>✞ 
@next global @runemodels @statemgmtla @quetarojas 
josh@runemodels.com</t>
  </si>
  <si>
    <t>https://vyd.co/KathrynFromMarsBadVibes</t>
  </si>
  <si>
    <t>kayla_shyx</t>
  </si>
  <si>
    <t>Daddy Shyx</t>
  </si>
  <si>
    <t>Könnte cooler und lustiger sein, aber immerhin klingt mein Name genuschelt wie „geiler scheiß“ 
⭐️ @shyxwear
KOMMT AUF SAD GIRL SUMMER TOUR 2026</t>
  </si>
  <si>
    <t>https://kaylashyx.lnk.to/allabout</t>
  </si>
  <si>
    <t>kaylavoid</t>
  </si>
  <si>
    <t>kayla</t>
  </si>
  <si>
    <t>22 | LA
lifestyle | motivation | jesus
4M tiktok kaylavoid | 300K snap kaylavoidd
join my fanfix below</t>
  </si>
  <si>
    <t>https://linktr.ee/kaylavoid</t>
  </si>
  <si>
    <t>kevin</t>
  </si>
  <si>
    <t>Kevin Systrom</t>
  </si>
  <si>
    <t>Co-founder &amp; former CEO of @instagram</t>
  </si>
  <si>
    <t>kimberleyanne</t>
  </si>
  <si>
    <t>K I M B E R L E Y   A N N E</t>
  </si>
  <si>
    <t>Art &amp; romance in design, a natural slow fashion story ♡ 
world delivery from our Australian studio ➳❥ 
open the door to dreamland 🕊️ chapter three ❥⁀➷</t>
  </si>
  <si>
    <t>https://kimberleyanne.com</t>
  </si>
  <si>
    <t>kimberleywalshofficial</t>
  </si>
  <si>
    <t>K I M B E R L E Y  W A L S H</t>
  </si>
  <si>
    <t>Mum to Bobby, Cole and Nate 💫 Presenter @bbcmorninglive | Singer | Actress @encantatalentmgmt. Girls Aloud Mgmt: info@fascinationmanagement.com</t>
  </si>
  <si>
    <t>http://bit.ly/thegirlsaloudshow</t>
  </si>
  <si>
    <t>kimberly</t>
  </si>
  <si>
    <t>kristenanniebell</t>
  </si>
  <si>
    <t>kristen bell</t>
  </si>
  <si>
    <t>https://linktr.ee/Kristenbell</t>
  </si>
  <si>
    <t>kristinadangdut</t>
  </si>
  <si>
    <t>Hj KRISTINA ISWANDARI,SH</t>
  </si>
  <si>
    <t>OUT NOW NEW SINGLE ▶️“KAU” ◀️
Record Label @thedivaprojects 
⬇️YOUTUBE CHANNEL⬇️</t>
  </si>
  <si>
    <t>https://youtu.be/RSGAIhs7Ktk?si=KOgwso9my0IY3DWW</t>
  </si>
  <si>
    <t>kristina.manners</t>
  </si>
  <si>
    <t>Kristina Manners</t>
  </si>
  <si>
    <t>Natural Hair • Beauty 
💌: kristina@kensingtongrey.co</t>
  </si>
  <si>
    <t>https://linktr.ee/Kristina.manners</t>
  </si>
  <si>
    <t>kyle</t>
  </si>
  <si>
    <t>Kyle Forgeard</t>
  </si>
  <si>
    <t>@nelkboys @happydad 🇨🇦</t>
  </si>
  <si>
    <t>kyle__kyle__</t>
  </si>
  <si>
    <t>American. Muslim. Living in 🇲🇦 ❤️</t>
  </si>
  <si>
    <t>lara</t>
  </si>
  <si>
    <t>Lara Menezes (Day e Lara)</t>
  </si>
  <si>
    <t>• a Lara da @dayelara
• cantora, compositora &amp; empresária 
• mineira que mora em Goiânia</t>
  </si>
  <si>
    <t>http://ada.lnk.to/ParedaoEcletico</t>
  </si>
  <si>
    <t>laura</t>
  </si>
  <si>
    <t>Laura Fernandez</t>
  </si>
  <si>
    <t>📩 laura.fernandez@mynd8.com.br
📩 monica@mlages.com.br
📩 contato@agentesefala.com
📬38952
Cep 22430970</t>
  </si>
  <si>
    <t>https://hotm.art/ysV9huqT</t>
  </si>
  <si>
    <t>mrs_lauren_mcd89</t>
  </si>
  <si>
    <t>🌿 | Mummy to a beautiful boy and a gorgeous baby girl!
🌿 | Allergy babies
🌿 | Norfolk 
🌿 | Wife 18.8.18</t>
  </si>
  <si>
    <t>adesso.laurenzo</t>
  </si>
  <si>
    <t>🎬Nonbinary Creator in Columbus, Ohio 
🌈We are LGBTQ+ people &amp; allies committed to making progressive change.</t>
  </si>
  <si>
    <t>https://linktr.ee/adesso.laurenzo</t>
  </si>
  <si>
    <t>laurenzoeller</t>
  </si>
  <si>
    <t>Lauren Zoeller - SEP/Somatic Relationship Coach</t>
  </si>
  <si>
    <t>🖤 Helping powerhouse women attract love &amp; deeper abundance through nervous system mastery
🤍 Founder @relationalsomatics 
⤵️ Join MYDR 9/2</t>
  </si>
  <si>
    <t>https://laurenzoeller.com/manifest/</t>
  </si>
  <si>
    <t>iskra</t>
  </si>
  <si>
    <t>Iskra Lawrence</t>
  </si>
  <si>
    <t>founder @saltair 
mom of 2 👶🏽👶🏽
investor | forbes 30U30 | TEDx
links ⇩</t>
  </si>
  <si>
    <t>https://linktr.ee/iskralawrence</t>
  </si>
  <si>
    <t>jenniferlawrenceoffical__</t>
  </si>
  <si>
    <t>Jennifer Lawrence</t>
  </si>
  <si>
    <t>This is a fan page dedicated to the talented Jennifer Lawrence and is not affiliated with the actor in any way.</t>
  </si>
  <si>
    <t>lawrence_bobo_official</t>
  </si>
  <si>
    <t>𝐿𝒶𝓌𝓇𝑒𝓃𝒸𝑒 𝐵𝑜𝒷𝑜</t>
  </si>
  <si>
    <t>🏛:Co-founder of @texturepatisserie 
🎖:Ambassador of @chocolateacademyworldwide 
🌎:Pastry/Chocolate consultant &amp; Masterclasses</t>
  </si>
  <si>
    <t>http://texturepatisserie.com</t>
  </si>
  <si>
    <t>tlawrence16</t>
  </si>
  <si>
    <t>Trevor Lawrence</t>
  </si>
  <si>
    <t>leah</t>
  </si>
  <si>
    <t>Leah Kate</t>
  </si>
  <si>
    <t>GENIUS. THE ALBUM. OUT NOVEMBER 7. 🩷✨💡</t>
  </si>
  <si>
    <t>https://leahkate.komi.io</t>
  </si>
  <si>
    <t>lucidleslie</t>
  </si>
  <si>
    <t>🦈Leslie Malso🦈</t>
  </si>
  <si>
    <t>✰hot, spicy &amp; honest✰
social @tpa.global
@pma_models @bravemodels @motmodels 
@bossmodelsa @uniquemodelsdenmark @deboekers @dmodelagency</t>
  </si>
  <si>
    <t>https://youtu.be/VUedykHMJOE?si=zI_tVp1Zpt0ykPqh</t>
  </si>
  <si>
    <t>lilianarose726</t>
  </si>
  <si>
    <t>Lighthouse</t>
  </si>
  <si>
    <t>Chicago
@silililibili</t>
  </si>
  <si>
    <t>https://linktr.ee/lilianarose726</t>
  </si>
  <si>
    <t>silililibili</t>
  </si>
  <si>
    <t>@lilianarose726 
THIS IS MY SPAM ACCOUNT
Contacts ⬇️</t>
  </si>
  <si>
    <t>imlowgan</t>
  </si>
  <si>
    <t>Logan 💋</t>
  </si>
  <si>
    <t>𝓜𝓸𝓭𝓮𝓵 , 𝓜𝓾𝓼𝓲𝓬𝓲𝓪𝓷 💋</t>
  </si>
  <si>
    <t>itsloganblake</t>
  </si>
  <si>
    <t>Logan Blake Fliegel</t>
  </si>
  <si>
    <t>Miami
snap: itsloganblake</t>
  </si>
  <si>
    <t>loganbolton</t>
  </si>
  <si>
    <t>Logan Bolton</t>
  </si>
  <si>
    <t>Pop Artist
Living Loud
Tracks to lift you up when you’re down
Sober &amp; Blessed ⚡️</t>
  </si>
  <si>
    <t>https://lnk.bio/loganbolton</t>
  </si>
  <si>
    <t>logan.breeding</t>
  </si>
  <si>
    <t>Logan Breeding</t>
  </si>
  <si>
    <t>Still I rise.
@mitra9official | code: Logan25 
@1upnutrition | code: Logan20</t>
  </si>
  <si>
    <t>https://linktr.ee/logan.breeding</t>
  </si>
  <si>
    <t>logan_debrenne_84</t>
  </si>
  <si>
    <t>#pourleplaisir</t>
  </si>
  <si>
    <t>loganitus24</t>
  </si>
  <si>
    <t>Logan Jayson Johnson</t>
  </si>
  <si>
    <t>Married to @mrs.loganitus  
CEO of @loganitustraining
Trainer/Mentor/Motivational Speaker</t>
  </si>
  <si>
    <t>loganmigines</t>
  </si>
  <si>
    <t>Logan Mckenna</t>
  </si>
  <si>
    <t>📍 CNS
   17</t>
  </si>
  <si>
    <t>loganpaul</t>
  </si>
  <si>
    <t>Logan Paul</t>
  </si>
  <si>
    <t>Political Candidate</t>
  </si>
  <si>
    <t>artist — boxer — wrestler
founder @drinkprime @lunchly 
host @impaulsiveshow</t>
  </si>
  <si>
    <t>lorena</t>
  </si>
  <si>
    <t>Lorena Rae 🦋</t>
  </si>
  <si>
    <t>📧 vr@promod.org
Made in Germany
@raere</t>
  </si>
  <si>
    <t>https://youtube.com/@raelorena</t>
  </si>
  <si>
    <t>kelleylorraine_</t>
  </si>
  <si>
    <t>Kelley Lorraine</t>
  </si>
  <si>
    <t>Los Angeles🌴
kelleylorraine@viralnationtalent.com</t>
  </si>
  <si>
    <t>lorraine</t>
  </si>
  <si>
    <t>Watch Lorraine weekdays at 9am on ITV1 &amp; STV. Comments posted may be used on air. Full terms: itv.com/terms</t>
  </si>
  <si>
    <t>lorraine_lionheart</t>
  </si>
  <si>
    <t>Lorraine LionHeart</t>
  </si>
  <si>
    <t>#AFRICAN #MUSIC #LorraineLionheart
🎓PhD Music University of London (current)
🎓MA 🎓BSc (Hons)
SEILE, Out Now 🫶🏾🎶</t>
  </si>
  <si>
    <t>https://youtu.be/AbiOIlCTSAM?si=ZjZdXsCnS6pRRr23</t>
  </si>
  <si>
    <t>lucienlorraine</t>
  </si>
  <si>
    <t>lucien lorraine</t>
  </si>
  <si>
    <t>snap : lucienlorraine @cakedlucy 
more of me ↓ ↓ ↓</t>
  </si>
  <si>
    <t>http://link.me/lucienlorraine</t>
  </si>
  <si>
    <t>louispartridge_</t>
  </si>
  <si>
    <t>Louis💐</t>
  </si>
  <si>
    <t>Work in progress...</t>
  </si>
  <si>
    <t>louisvuitton</t>
  </si>
  <si>
    <t>Louis Vuitton</t>
  </si>
  <si>
    <t>The official Instagram account of Louis Vuitton.</t>
  </si>
  <si>
    <t>http://on.louisvuitton.com/6007fvSAB</t>
  </si>
  <si>
    <t>lucas</t>
  </si>
  <si>
    <t>Lucas Santos</t>
  </si>
  <si>
    <t>🇧🇷
ator, cantor e apresentador. 
apresentador do @aquele_match ❤️
comercial: lucas@lucassantos.art.br
partner @pichauoficial</t>
  </si>
  <si>
    <t>lucas_xx444</t>
  </si>
  <si>
    <t>LUCAS</t>
  </si>
  <si>
    <t>lucia</t>
  </si>
  <si>
    <t>ies eu din când în când</t>
  </si>
  <si>
    <t>https://open.spotify.com/album/5FUDOr24h52fZMgiR6HEPa?si=LpMs7RIYQTy9Zly-1itr5A</t>
  </si>
  <si>
    <t>detlef_brigitte_now</t>
  </si>
  <si>
    <t>Apartment &amp; Condo Building</t>
  </si>
  <si>
    <t>🏆 FORSTHAUS RAMPENSAU 2000 
🎬 SHOWTIME @leiwandlaesternmitluis 
📺 @tinderreisen auf @atv.at</t>
  </si>
  <si>
    <t>https://joyn.at/serien/leiwand-laestern-mit-luis?utm_source=app_sharing&amp;utm_medium=mixed&amp;utm_campaign=300819256</t>
  </si>
  <si>
    <t>luis</t>
  </si>
  <si>
    <t>Luis Felipe</t>
  </si>
  <si>
    <t>📩 contato@luisfelipe.net</t>
  </si>
  <si>
    <t>luisabnava</t>
  </si>
  <si>
    <t>LUISA NAVA</t>
  </si>
  <si>
    <t>RS • SP 📍 
contatoluisanava@gmail.com</t>
  </si>
  <si>
    <t>https://linktr.ee/luisanava</t>
  </si>
  <si>
    <t>luisana_ldf</t>
  </si>
  <si>
    <t>♾️ World Latin Champion 🥇
➿ Coaching and Choreographer 🇺🇸 
〰️ Travelling in beautiful destinations 🌍 
 📕 Author ✍️ Carmela &amp; Dodo</t>
  </si>
  <si>
    <t>https://a.co/d/iLBmAeS</t>
  </si>
  <si>
    <t>luisanalopilato</t>
  </si>
  <si>
    <t>Luisana Lopilato</t>
  </si>
  <si>
    <t>🇦🇷🇨🇦
Actriz 🎭, modelo y, por sobre todo, MAMÁ 🤱🏼 😍 
Actress 🎭, model and above all MOM 🤱🏼😍</t>
  </si>
  <si>
    <t>https://biolink.info/LuisanaLopilato</t>
  </si>
  <si>
    <t>madisonbeer</t>
  </si>
  <si>
    <t>Madison Beer</t>
  </si>
  <si>
    <t>http://madisonbeer.komi.io</t>
  </si>
  <si>
    <t>britneyspears</t>
  </si>
  <si>
    <t>XILA MARIA RIVER RED</t>
  </si>
  <si>
    <t>Artist 🎶💃🏼
Mamma 👩‍👦‍👦
Pray Every Day 🙏🏼✝️
Chef in the works💋👩🏼‍🍳</t>
  </si>
  <si>
    <t>https://linktr.ee/britneyspears</t>
  </si>
  <si>
    <t>mariaapostol</t>
  </si>
  <si>
    <t>mariachurchy</t>
  </si>
  <si>
    <t>MGMT: deedee@systemagency.com
@imgmodels @stormmodels @musemodelsnyc</t>
  </si>
  <si>
    <t>maria.maria</t>
  </si>
  <si>
    <t>if you know, you know</t>
  </si>
  <si>
    <t>http://kingspider.co</t>
  </si>
  <si>
    <t>mariapedraza_</t>
  </si>
  <si>
    <t>Blurred - Ben Cookson is coming ♡
@itg_ltd 
@angelsproject
@equsmane 🏇🏻</t>
  </si>
  <si>
    <t>mariavigheciu</t>
  </si>
  <si>
    <t>doing life 💞✨🪽
🧸 mom of @anaisbaby.ro 
🎙️host of @unboxingpeople</t>
  </si>
  <si>
    <t>https://youtu.be/dtDk5RYE1uQ?si=lOaKw_vd3tAPLLaZ</t>
  </si>
  <si>
    <t>markellyoliveiraa</t>
  </si>
  <si>
    <t>Markelly Oliveira</t>
  </si>
  <si>
    <t>✨ +20 MILHÕES NAS REDES✨
📧 PROPOSTAS: markelly@kreatorz.com.br
CAIXA POSTAL:81659 CEP:04378100 SP
👑 RAINHA DO KWAI</t>
  </si>
  <si>
    <t>https://linktr.ee/Markellyemacao_</t>
  </si>
  <si>
    <t>onyourm__ark</t>
  </si>
  <si>
    <t>@r_e__m___  🐯🌱</t>
  </si>
  <si>
    <t>zuck</t>
  </si>
  <si>
    <t>Mark Zuckerberg</t>
  </si>
  <si>
    <t>I build stuff</t>
  </si>
  <si>
    <t>martin</t>
  </si>
  <si>
    <t>S5280ft</t>
  </si>
  <si>
    <t>martine_rose</t>
  </si>
  <si>
    <t>Martine Rose</t>
  </si>
  <si>
    <t>https://linkin.bio/martine_rose</t>
  </si>
  <si>
    <t>matt__czuchry</t>
  </si>
  <si>
    <t>Matthew Czuchry</t>
  </si>
  <si>
    <t>This is Matt and you can only find me here.</t>
  </si>
  <si>
    <t>matthew</t>
  </si>
  <si>
    <t>Matt Gibstein</t>
  </si>
  <si>
    <t>📍NY | MIA
No, I don’t want to sell you my username.</t>
  </si>
  <si>
    <t>https://causematch.com/cwv/matthew</t>
  </si>
  <si>
    <t>brandonmaxwell</t>
  </si>
  <si>
    <t>Brandon Maxwell</t>
  </si>
  <si>
    <t>http://brandonmaxwellonline.com/</t>
  </si>
  <si>
    <t>maxwell</t>
  </si>
  <si>
    <t>only verified instagram page; no other accounts 🌕</t>
  </si>
  <si>
    <t>http://musze.com/</t>
  </si>
  <si>
    <t>maxwell187erz</t>
  </si>
  <si>
    <t>𝕾𝖙𝖗𝖆𝖘𝖘𝖊𝖓𝖇𝖆𝖓𝖉𝖊</t>
  </si>
  <si>
    <t>⬇️„Drunter &amp; Drüber“ Album Fan Box Jetzt Bestellen ⬇️</t>
  </si>
  <si>
    <t>https://maxwell187-shop.de/</t>
  </si>
  <si>
    <t>maxwell__alexandre</t>
  </si>
  <si>
    <t>Maxwell Alexandre</t>
  </si>
  <si>
    <t>@pavilhaomaxwellalexandre</t>
  </si>
  <si>
    <t>http://maxwellalexandre.faith</t>
  </si>
  <si>
    <t>meganfox</t>
  </si>
  <si>
    <t>Megan Fox</t>
  </si>
  <si>
    <t>theestallion</t>
  </si>
  <si>
    <t>Megan Thee Stallion</t>
  </si>
  <si>
    <t>TINA SN❄️W
@chicasdivertidastequila</t>
  </si>
  <si>
    <t>https://megantheestallion.lnk.to/Whenever</t>
  </si>
  <si>
    <t>melissa</t>
  </si>
  <si>
    <t>Melissa Panetta</t>
  </si>
  <si>
    <t>Currently on a 9 year honeymoon! 
🔜 Japan, Canada, NYC, Europe
Founder &amp; CEO of @BestVacations 
📧 ig.melly@gmail.com</t>
  </si>
  <si>
    <t>evecur</t>
  </si>
  <si>
    <t>عيش فلمك :</t>
  </si>
  <si>
    <t>michael</t>
  </si>
  <si>
    <t>Michael Braun</t>
  </si>
  <si>
    <t>@westbankcorp</t>
  </si>
  <si>
    <t>michaeljackson</t>
  </si>
  <si>
    <t>Michael Jackson</t>
  </si>
  <si>
    <t>The King of Pop’s Official Instagram Account</t>
  </si>
  <si>
    <t>http://michaeljackson.com/</t>
  </si>
  <si>
    <t>michaelkors</t>
  </si>
  <si>
    <t>Michael Kors</t>
  </si>
  <si>
    <t>Defining Modern Glamour since 1981.</t>
  </si>
  <si>
    <t>http://michaelkors.com</t>
  </si>
  <si>
    <t>michael_van_bemmel_official</t>
  </si>
  <si>
    <t>Michael Van Bemmel</t>
  </si>
  <si>
    <t>Management 🎸@maluma @emiliamernes Happiness is the highest level of success! The only way you can be happy in this life = if you BE YOU</t>
  </si>
  <si>
    <t>mike.tantillo</t>
  </si>
  <si>
    <t>All Glory To God. 
@correttoco @unitied.co</t>
  </si>
  <si>
    <t>https://www.correttoco.com</t>
  </si>
  <si>
    <t>mbrown_beauty</t>
  </si>
  <si>
    <t>M I C H A E L  B R O W N</t>
  </si>
  <si>
    <t>Makeup Artist</t>
  </si>
  <si>
    <t>🇦🇺Beauty Expert + Commentator &amp; Presenter
💁🏻‍♂️ Enquire Within</t>
  </si>
  <si>
    <t>http://michaelbrownbeauty.com.au/</t>
  </si>
  <si>
    <t>michaelcostello</t>
  </si>
  <si>
    <t>M I C H A E L C O S T E L L O</t>
  </si>
  <si>
    <t>Shop our collections at 
ShopCostello.com 
Revolve.com 
Saks.com
Valytystore Madrid</t>
  </si>
  <si>
    <t>http://shopcostello.com</t>
  </si>
  <si>
    <t>michelangelo.vizzini</t>
  </si>
  <si>
    <t>M I C H E L A N G E L O</t>
  </si>
  <si>
    <t>🎥 : actors@alexpacificomanagement.com
Digital : @wannabemgmt
Publicist &amp; pr : @mpunto_comunicazione</t>
  </si>
  <si>
    <t>michelle</t>
  </si>
  <si>
    <t>Michelle Jurado</t>
  </si>
  <si>
    <t>Full time 👦🏻 mom and professional storyteller! 🥰</t>
  </si>
  <si>
    <t>michelleclarkmakeup</t>
  </si>
  <si>
    <t>M I C H E L L E   C L A R K</t>
  </si>
  <si>
    <t>Makeup |  Fashion |  Mama of 2 ✨
makeup tips &amp; styling inspo 
💌 personal makeup lessons  + collab inquiries 
mclarkmakeup@gmail.com</t>
  </si>
  <si>
    <t>https://www.shopltk.com/explore/Michelle_Clark_</t>
  </si>
  <si>
    <t>michelleobama</t>
  </si>
  <si>
    <t>Michelle Obama</t>
  </si>
  <si>
    <t>Girl from the South Side and former First Lady. Wife, mother, dog lover. Always hugger-in-chief.</t>
  </si>
  <si>
    <t>https://www.youtube.com/watch?v=yg1dSdvYoaY&amp;t=672s</t>
  </si>
  <si>
    <t>michellephan</t>
  </si>
  <si>
    <t>𝓜𝓲𝓬𝓱𝓮𝓵𝓵𝓮</t>
  </si>
  <si>
    <t>☨ Stay aligned with your own energy and let people meet you there🪞
michelle@greenlightgroup.co</t>
  </si>
  <si>
    <t>https://www.emcosmetics.com/</t>
  </si>
  <si>
    <t>michellesnyder</t>
  </si>
  <si>
    <t>atx
✨💦🌈🍑💕🦋</t>
  </si>
  <si>
    <t>miguel</t>
  </si>
  <si>
    <t>http://www.s1c.la</t>
  </si>
  <si>
    <t>miguel_harichi</t>
  </si>
  <si>
    <t>Migz</t>
  </si>
  <si>
    <t>live in your moment not someone else’s
miguelharichiteam@unitedtalent.com</t>
  </si>
  <si>
    <t>https://miguelharichi.komi.io</t>
  </si>
  <si>
    <t>drew_mitchell7</t>
  </si>
  <si>
    <t>Drew Mitchell</t>
  </si>
  <si>
    <t>Cincy | Ohio State</t>
  </si>
  <si>
    <t>mitchell</t>
  </si>
  <si>
    <t>mitchell conran</t>
  </si>
  <si>
    <t>mitchellhope</t>
  </si>
  <si>
    <t>Mitchell Hope</t>
  </si>
  <si>
    <t>https://www.cameo.com/mitchellhope</t>
  </si>
  <si>
    <t>mitchell.properti</t>
  </si>
  <si>
    <t>Mitchell | Properti Advisor</t>
  </si>
  <si>
    <t>🏡 Property Enthusiast | Talent Endorser 📢 🎥
Bringing properties to life with engaging content! ✨
📩 DM for collaborations
📍Surabaya Based</t>
  </si>
  <si>
    <t>https://linktr.ee/mitchellsoegiardjo</t>
  </si>
  <si>
    <t>shaymitchell</t>
  </si>
  <si>
    <t>Shay Mitchell</t>
  </si>
  <si>
    <t>@beis 
@drinkonda
Snapchat / OfficialShayM 
TikTok / @shaymitchell 
YouTube / YouTube.com/ShayMitchell
FB / officialshaymitchell</t>
  </si>
  <si>
    <t>monca</t>
  </si>
  <si>
    <t>Monica KG 𓂃⌂</t>
  </si>
  <si>
    <t>Broker and Co-Founder ↲ @kaazaaimoveisunicos 
𝚌𝚛𝚎𝚌𝚒 ₁₄₀₉₉₇
⋰ 𝟭𝟬𝟬% 𝗥𝗲𝗮𝗹 𝗟𝗶𝗳𝗲 𝗮𝗻𝗱 𝟭𝟬𝟬% 𝗥𝗲𝗮𝗹 𝗘𝘀𝘁𝗮𝘁𝗲⋰
“ʀᴇsᴛ ᴀᴛ ᴛʜᴇ ᴇɴᴅ, ɴᴏᴛ ɪɴ ᴛʜᴇ ᴍɪᴅᴅʟᴇ”
☟</t>
  </si>
  <si>
    <t>https://bio.site/MonicaKg</t>
  </si>
  <si>
    <t>morganjay</t>
  </si>
  <si>
    <t>Morgan Jay</t>
  </si>
  <si>
    <t>booking inquiries 
m.sadeghian@bep-la.com and  kvalentine@wmeagency.com
General inquiries goofygang@morganjay.com
tour dates ⬇️</t>
  </si>
  <si>
    <t>http://goofygang.com</t>
  </si>
  <si>
    <t>morganwallen</t>
  </si>
  <si>
    <t>Morgan Wallen</t>
  </si>
  <si>
    <t>https://morganwallen.lnk.to/imtheproblemalbum</t>
  </si>
  <si>
    <t>natalie</t>
  </si>
  <si>
    <t>Natalie Obradovich</t>
  </si>
  <si>
    <t>@natalieobradovichphotography</t>
  </si>
  <si>
    <t>http://www.natalieobradovich.com/</t>
  </si>
  <si>
    <t>nathan</t>
  </si>
  <si>
    <t>Nathan McCallum</t>
  </si>
  <si>
    <t>✨ ambassador for positivity 
🤘🏼 lover of rock n roll
🏋🏻 fitness fan
📧 nathan@milestonestrength.com</t>
  </si>
  <si>
    <t>https://linktr.ee/isnathan</t>
  </si>
  <si>
    <t>nicholasalexanderchavez</t>
  </si>
  <si>
    <t>Nicholas Alexander Chavez</t>
  </si>
  <si>
    <t>nicholasgalitzine</t>
  </si>
  <si>
    <t>Nicholas Galitzine</t>
  </si>
  <si>
    <t>https://www.wmagazine.com/culture/nicholas-galitzine-the-idea-of-you-he-man-interview</t>
  </si>
  <si>
    <t>nicki.nicole</t>
  </si>
  <si>
    <t>https://nickinicole.lnk.to/NAIKI/spotify</t>
  </si>
  <si>
    <t>nicole</t>
  </si>
  <si>
    <t>Nicole Systrom</t>
  </si>
  <si>
    <t>https://cleancapital.com/2020/08/episode-74-nicole-systrom/</t>
  </si>
  <si>
    <t>ncentineo</t>
  </si>
  <si>
    <t>Theatrical Productions</t>
  </si>
  <si>
    <t>noahdouchy_</t>
  </si>
  <si>
    <t>Talent Manager</t>
  </si>
  <si>
    <t>noahdouchyy@gmail.com</t>
  </si>
  <si>
    <t>noah_risling</t>
  </si>
  <si>
    <t>Noah Risling</t>
  </si>
  <si>
    <t>@eliana.kalogeras❤️❤️❤️❤️
SNAPCHAT: rislingnoah
TIKTOK: noah.risling 
📨- kalogeras@night.co</t>
  </si>
  <si>
    <t>noahschnapp</t>
  </si>
  <si>
    <t>Noah Schnapp</t>
  </si>
  <si>
    <t>noah_site</t>
  </si>
  <si>
    <t>NOAH</t>
  </si>
  <si>
    <t>#SeparuhNOAHituKamu</t>
  </si>
  <si>
    <t>https://open.spotify.com/track/4sJmv194lQKWjytpaxH1Vj?si=Q3Nw5ziFSkC9Gvspu3iDpA</t>
  </si>
  <si>
    <t>olivia</t>
  </si>
  <si>
    <t>✨ Multimedia &amp; Multifaceted ✨
Formerly @instagram &amp; @blackgirlsrock</t>
  </si>
  <si>
    <t>https://linktr.ee/OliviaTrice</t>
  </si>
  <si>
    <t>oliviaedit</t>
  </si>
  <si>
    <t>🩶</t>
  </si>
  <si>
    <t>oliviarodrigo</t>
  </si>
  <si>
    <t>Olivia Rodrigo</t>
  </si>
  <si>
    <t>spicy pisces</t>
  </si>
  <si>
    <t>https://store.oliviarodrigo.com</t>
  </si>
  <si>
    <t>oliviiaabab</t>
  </si>
  <si>
    <t>@pitt_vb #5
@usavolleyball nt🥇🥈🇺🇸                                                       @redbull + @lovb athlete</t>
  </si>
  <si>
    <t>https://app.fansmeetidols.com/olivia.babcock</t>
  </si>
  <si>
    <t>omar</t>
  </si>
  <si>
    <t>Omar Raja</t>
  </si>
  <si>
    <t>🔥 Now @SportsCenter for @ESPN 
🏀 Founder, House of Highlights
✉️ Omar@7x.media
📍 NYC | 4.5M TikTok | 15M YouTube</t>
  </si>
  <si>
    <t>oscar</t>
  </si>
  <si>
    <t>江铭亮 OSCAR</t>
  </si>
  <si>
    <t>Small circle and big dreams,
more moves and less noise.</t>
  </si>
  <si>
    <t>owen.han</t>
  </si>
  <si>
    <t>Owen Han</t>
  </si>
  <si>
    <t>🥪👑| LA |🇮🇹🇨🇳
Cookbook ⤵️</t>
  </si>
  <si>
    <t>https://linktr.ee/owen.han</t>
  </si>
  <si>
    <t>paige</t>
  </si>
  <si>
    <t>PAIGE</t>
  </si>
  <si>
    <t>Great fit never goes out of style.</t>
  </si>
  <si>
    <t>https://paige.com/?utm_source=Instagram+&amp;utm_medium=Bio&amp;utm_campaign=Spring_25_Collection&amp;utm_content=Bio_link</t>
  </si>
  <si>
    <t>paigetaylor.s</t>
  </si>
  <si>
    <t>paige :)</t>
  </si>
  <si>
    <t>God is good</t>
  </si>
  <si>
    <t>https://bit.ly/paigetaylortt</t>
  </si>
  <si>
    <t>patrickbatman111</t>
  </si>
  <si>
    <t>aurora</t>
  </si>
  <si>
    <t>Government Building</t>
  </si>
  <si>
    <t>19
business inquiries: aurora@moxymgt.com
funny and fertile :3</t>
  </si>
  <si>
    <t>https://linktr.ee/batmanya</t>
  </si>
  <si>
    <t>patrickta</t>
  </si>
  <si>
    <t>Makeup Artist Patrick Ta 🫶🏽</t>
  </si>
  <si>
    <t>❤️ Be Kind, Loving &amp; Grateful
💄 Building A Brand @patricktabeauty 
☎️ Agent: marissa@theprtnrs.com
📩 PR: hailey@imagepr.net</t>
  </si>
  <si>
    <t>http://patrickta.com</t>
  </si>
  <si>
    <t>peterdinklage</t>
  </si>
  <si>
    <t>Peter Dinklage</t>
  </si>
  <si>
    <t>"Don't bother telling the world you are ready. Show it. Do it."
(I am not Peter Dinklage ~ Fan account)</t>
  </si>
  <si>
    <t>peter.griffin.__</t>
  </si>
  <si>
    <t>Peter Griffin</t>
  </si>
  <si>
    <t>Hey guys, real life Peter Griffin here.</t>
  </si>
  <si>
    <t>peternguyen</t>
  </si>
  <si>
    <t>Peter Nguyen</t>
  </si>
  <si>
    <t>wannabe comedian
🎥 TikTok: (5.4M) | YouTube: (3.7M)
👻: peternguyen8 (220k)
📥: peternguyenbusinessinfo@gmail.com</t>
  </si>
  <si>
    <t>https://ca.asus.click/PeterA14</t>
  </si>
  <si>
    <t>tushmaxinh</t>
  </si>
  <si>
    <t>peter parker</t>
  </si>
  <si>
    <t>Creating some good content
DM/Email for Collaborations ✉️
📍 Hyd</t>
  </si>
  <si>
    <t>https://youtube.com/@tushmaxinh?si=ktR9K08oiwY2P_qd</t>
  </si>
  <si>
    <t>utzpeter</t>
  </si>
  <si>
    <t>Peter Utz</t>
  </si>
  <si>
    <t>abbydphillip</t>
  </si>
  <si>
    <t>Abby Phillip</t>
  </si>
  <si>
    <t>Anchor of NewsNight with Abby Phillip on @CNN at 10pm ET.
X: www.X.com/abbydphillip
TikTok: abbydphillip</t>
  </si>
  <si>
    <t>http://adreamdeferredbook.com</t>
  </si>
  <si>
    <t>phillipesimoes</t>
  </si>
  <si>
    <t>Phillipe</t>
  </si>
  <si>
    <t>“A meta é ganhar o céu, sem tirar os pés do chão” 
“O Povo pelo Povo, do Povo para o Povo!” Sempre pronto para servir ! 🙏🚀</t>
  </si>
  <si>
    <t>rachel</t>
  </si>
  <si>
    <t>Rachel Reign</t>
  </si>
  <si>
    <t>mrshhayward</t>
  </si>
  <si>
    <t>L O R N A 🪩 H A Y W A R D</t>
  </si>
  <si>
    <t>@thisispizzup ™️ Founder &amp; hostess🪩
Elsie 👩🏼 Marnie 👧🏼 Reggie 👦🏼
London &gt; Brighton 🌊</t>
  </si>
  <si>
    <t>https://linktr.ee/Mrshhayward</t>
  </si>
  <si>
    <t>raym0nd__</t>
  </si>
  <si>
    <t>🪄Ai image Creator
📸Photography</t>
  </si>
  <si>
    <t>https://linktr.ee/raym0nd__</t>
  </si>
  <si>
    <t>raymond</t>
  </si>
  <si>
    <t>Raymond Zhuo</t>
  </si>
  <si>
    <t>Food Consultant</t>
  </si>
  <si>
    <t>under new management</t>
  </si>
  <si>
    <t>http://www.google.com</t>
  </si>
  <si>
    <t>rymndla</t>
  </si>
  <si>
    <t>berlin
spacecowboy
contact: ray@0360works.com
@0360works
@raymondsphotobooth</t>
  </si>
  <si>
    <t>https://youtu.be/gPDJcOMq8-M?feature=shared</t>
  </si>
  <si>
    <t>trulyenamoured.id</t>
  </si>
  <si>
    <t>T R U L Y   E N A M O U R E D®  I N D O N E S I A</t>
  </si>
  <si>
    <t>International Designer Bridal Gowns.
Curated for our Indonesian #TEBrides.
Based exclusively in Singapore.
—— @trulyenamoured</t>
  </si>
  <si>
    <t>https://linktr.ee/trulyenamoured</t>
  </si>
  <si>
    <t>beccaxbloom</t>
  </si>
  <si>
    <t>:¨·.·¨:
 `·.. 𐙚</t>
  </si>
  <si>
    <t>http://youtube.com/@beccaxbloom</t>
  </si>
  <si>
    <t>rebecca</t>
  </si>
  <si>
    <t>MC Rebecca 💫</t>
  </si>
  <si>
    <t>📲21 99515-1151
rebecca@astrohvb.com.br</t>
  </si>
  <si>
    <t>http://link.me/rebecca</t>
  </si>
  <si>
    <t>rebecca_ferguson</t>
  </si>
  <si>
    <t>Rex</t>
  </si>
  <si>
    <t>• #Silo
• @peakyblindersofficial 
• Mercy
• The Magic Faraway Tree
• A House Of Dynamite</t>
  </si>
  <si>
    <t>ricardinh_10</t>
  </si>
  <si>
    <t>Ricardo⚽️</t>
  </si>
  <si>
    <t>🎥 Youtuber
contato.ricardinh10@gmail.com
👀Perfil monitorado pelos pais
 @sergiobarrotte @karlamonteiro_a 
👇👇 INSCREVA-SE NO MEU CANAL 👇👇</t>
  </si>
  <si>
    <t>https://youtube.com/@ricardinhofut</t>
  </si>
  <si>
    <t>ricardo</t>
  </si>
  <si>
    <t>denver/chicago
📍stl</t>
  </si>
  <si>
    <t>ricardolmao_</t>
  </si>
  <si>
    <t>16 years old, I cook food and bake cakes👨🏻‍🍳
🇦🇺🇮🇩
📍🇲🇾
Balancing school with cooking💔</t>
  </si>
  <si>
    <t>https://hoo.be/ricardocooks</t>
  </si>
  <si>
    <t>robert</t>
  </si>
  <si>
    <t>Robert Paslaqua</t>
  </si>
  <si>
    <t>Earth’s unofficial hype man 🌎🐆 @drinkjungl
🛠️:  @futuretech @futuretech.exe @showings  @africa @conservation 
🐆🤿🐋🦈📸🧖‍♂️🏓🦁🌞🧘‍♂️🔌
📍Sarasota, FL</t>
  </si>
  <si>
    <t>http://jungl.com</t>
  </si>
  <si>
    <t>robertdowneyjr</t>
  </si>
  <si>
    <t>Robert Downey Jr.</t>
  </si>
  <si>
    <t>You know who I am.</t>
  </si>
  <si>
    <t>http://linktr.ee/robertdowneyjr</t>
  </si>
  <si>
    <t>myrwu</t>
  </si>
  <si>
    <t>Roger Williams University</t>
  </si>
  <si>
    <t>The official Instagram account of Roger Williams University. 💙💛
#myrwu #RWUHawks</t>
  </si>
  <si>
    <t>https://linktr.ee/myrwu</t>
  </si>
  <si>
    <t>roger</t>
  </si>
  <si>
    <t>Roger Ver (One Account Only!)</t>
  </si>
  <si>
    <t>World’s first investor in Bitcoin and Blockchain startups. Featured on Forbes, WSJ, NY Times, CNN, Fox, and many more. Founder of Bitcoin.com</t>
  </si>
  <si>
    <t>http://rogerver.com/</t>
  </si>
  <si>
    <t>rogerfederer</t>
  </si>
  <si>
    <t>Roger Federer</t>
  </si>
  <si>
    <t>Pro tennis player🇨🇭🎾</t>
  </si>
  <si>
    <t>http://rogerfedererfoundation.org</t>
  </si>
  <si>
    <t>rogerwaters</t>
  </si>
  <si>
    <t>Roger Waters</t>
  </si>
  <si>
    <t>English rock musician, singer-songwriter, &amp; composer 🐖</t>
  </si>
  <si>
    <t>https://rogerwaters.lnk.to/TINAD_LiveFromPrague</t>
  </si>
  <si>
    <t>cristiano</t>
  </si>
  <si>
    <t>Cristiano Ronaldo</t>
  </si>
  <si>
    <t>SIUUUbscribe to my Youtube Channel!</t>
  </si>
  <si>
    <t>http://avacr7.com/en</t>
  </si>
  <si>
    <t>crushthedefence</t>
  </si>
  <si>
    <t>Graphic Designer</t>
  </si>
  <si>
    <t>@totalhate.pv ♫⃠
these foolish things
- 
Commissions Closed.</t>
  </si>
  <si>
    <t>http://crushthedefence.bigcartel.com</t>
  </si>
  <si>
    <t>k.ronaldo2016</t>
  </si>
  <si>
    <t>ronald</t>
  </si>
  <si>
    <t>Ronald Vledder</t>
  </si>
  <si>
    <t>💼 Zakelijk/bookings: TeamRonald@4alllevels.com
🔈 YouTube: YouTube.com/RonaldVledder</t>
  </si>
  <si>
    <t>http://www.youtube.com/RonaldVledder</t>
  </si>
  <si>
    <t>ronald_benson_</t>
  </si>
  <si>
    <t>𝐑𝐨𝐧𝐚𝐥𝐝𓅓</t>
  </si>
  <si>
    <t>𝗦𝗖👻: ronald_benson
𝗖𝗼𝗻𝘁𝗮𝗰𝘁📩: ronaldbenson02@gmail.com
ꜱᴛʏʟᴇ ɪꜱ ᴀ ᴡᴀʏ ᴛᴏ ꜱᴀʏ ᴡʜᴏ ʏᴏᴜ ᴀʀᴇ ᴡɪᴛʜᴏᴜᴛ ʜᴀᴠɪɴɢ ᴛᴏ ꜱᴘᴇᴀᴋ
🇬🇭🇺🇸</t>
  </si>
  <si>
    <t>Ronaldo de Assis Moreira</t>
  </si>
  <si>
    <t>Instagram oficial de Ronaldinho Gaúcho.
2x eleito o melhor do mundo pela FIFA.
@nooke.ag
@tropadobruxo_ /@r10academy_oficial
@footsider_ / @betify</t>
  </si>
  <si>
    <t>https://r10score.net/ronaldinho</t>
  </si>
  <si>
    <t>ronaldo</t>
  </si>
  <si>
    <t>Ronaldo</t>
  </si>
  <si>
    <t>facebook.com/ronaldo
x.com/ronaldo</t>
  </si>
  <si>
    <t>ronaldokwateh7</t>
  </si>
  <si>
    <t>RK7</t>
  </si>
  <si>
    <t>God’s mercy  
business inquiries⬇️</t>
  </si>
  <si>
    <t>https://linktr.ee/playspace.creative</t>
  </si>
  <si>
    <t>ronald_soethje</t>
  </si>
  <si>
    <t>Ronald Söthje</t>
  </si>
  <si>
    <t>Aerials | Timelapse | Workshops | Engineering
🚐 @finding_yeti 🙋🏼‍♀️ @stef_soethje 🏡 Leipzig
Workshops, Impressum and more:</t>
  </si>
  <si>
    <t>https://nomadict.org/photo-and-video-workshop-in-the-lofoten-islands-norway/</t>
  </si>
  <si>
    <t>timothyronaldd</t>
  </si>
  <si>
    <t>Timothy Ronald</t>
  </si>
  <si>
    <t>Sapientia Melior Auro</t>
  </si>
  <si>
    <t>allyrusselll</t>
  </si>
  <si>
    <t>Ally Russell | OFF MARKET 👑</t>
  </si>
  <si>
    <t>Proverbs 3:5–6
$600MM+ SOLD | Owner @kva_group
Off-Market Acquisitions | TPA / MIA 📍</t>
  </si>
  <si>
    <t>http://kva-group.com</t>
  </si>
  <si>
    <t>larussell</t>
  </si>
  <si>
    <t>LaRussell</t>
  </si>
  <si>
    <t>@goodcompenny
For Business Inquiries: 
Goodcompenny@gmail.com
Donations:
Cashapp: $goodcompenny 
Venmo: goodcompenny 
Paypal: goodcompenny@gmail.com</t>
  </si>
  <si>
    <t>https://linktr.ee/Gcompenny</t>
  </si>
  <si>
    <t>louis_russell</t>
  </si>
  <si>
    <t>LOUIS RUSSELL</t>
  </si>
  <si>
    <t>Business enquiries - partnerships@louis-russell.com
She Pretty is OUT NOW‼️
Founder Of @minaciasociety</t>
  </si>
  <si>
    <t>http://hoo.be/louisrussell</t>
  </si>
  <si>
    <t>russellbrand</t>
  </si>
  <si>
    <t>Russell Brand</t>
  </si>
  <si>
    <t>I am a comedian. I am interested in change. I am interested in awakening. 
Join me weekdays  🔴LIVE 1pm (EST) | 5pm (GMT)</t>
  </si>
  <si>
    <t>http://linktr.ee/RussellBrand</t>
  </si>
  <si>
    <t>ry66n</t>
  </si>
  <si>
    <t>RYAN</t>
  </si>
  <si>
    <t>• 🇭🇰 x  🇹🇼 港台情侶日常✨
• 📩| ryan_poon_1107@yahoo.com.hk
NOT ON ANY DATING APPS
沒有在用任何交友軟體
⠀</t>
  </si>
  <si>
    <t>https://youtu.be/jzoPyi6Y9Ac?si=FweXSL7RNhhP6omq</t>
  </si>
  <si>
    <t>ryan</t>
  </si>
  <si>
    <t>Go where you’re celebrated NOT tolerated……. Trendsetting since 1993! West Coast Customs</t>
  </si>
  <si>
    <t>http://tunelink.to/NeptuneSSDD</t>
  </si>
  <si>
    <t>ryanlhp</t>
  </si>
  <si>
    <t>ɢʟᴏʙᴇ ᴛʀᴇᴋᴋᴇʀ 
ᴛʀᴀᴠᴇʟ &amp; ʟɪғᴇsᴛʏʟᴇ
📩 ʀʏᴀɴɢᴏᴇsᴛʀᴀᴠᴇʟ@ɢᴍᴀɪʟ.ᴄᴏᴍ
📍 🇸🇬</t>
  </si>
  <si>
    <t>ryanpark_jy</t>
  </si>
  <si>
    <t>samantha</t>
  </si>
  <si>
    <t>Samantha De Reviziis</t>
  </si>
  <si>
    <t>Founder &amp; CEO di @instasamy_  🇮🇹
🧑🏻‍🎨 @art_of_samy LOVE 🇶🇦</t>
  </si>
  <si>
    <t>samanthatyf</t>
  </si>
  <si>
    <t>† samantha</t>
  </si>
  <si>
    <t>🩵 Lifestyle &amp; Hehehaha @sgagsg 
💜 Early Childhood Ed @askteachersam
✉️ For collabs: hello.sam@hepmil.com
#somzycovers #samsoloitaly #yeopotouring</t>
  </si>
  <si>
    <t>https://youtu.be/zHYHSFcQYSI?si=WCVsL8v9oJB9sYO1</t>
  </si>
  <si>
    <t>samuel</t>
  </si>
  <si>
    <t>Sam Jenkins</t>
  </si>
  <si>
    <t>@loved @lovedskate &amp; @madebysamuel 🐪☂️
Bookings: matt.thomson@mushroomgroup.com</t>
  </si>
  <si>
    <t>http://www.madebysamuel.jp</t>
  </si>
  <si>
    <t>sarah</t>
  </si>
  <si>
    <t>Sarah Poncio</t>
  </si>
  <si>
    <t>Deputada Estadual - RJ
✉️ contato@sarahponcio.com</t>
  </si>
  <si>
    <t>sarxh.lim</t>
  </si>
  <si>
    <t>sarah ⋆⭒˚｡⋆</t>
  </si>
  <si>
    <t>sg 🇸🇬✩‧₊˚ Beauty | Fashion | Lifestyle
Tiktok: @sarxh.lim [ 135K ]
dm/email for business enquires 
💌 limlien.sarah@gmail.com</t>
  </si>
  <si>
    <t>http://www.tiktok.com/@sarxh.lim</t>
  </si>
  <si>
    <t>dudewithsign</t>
  </si>
  <si>
    <t>If you don’t stand for something, you’ll fall for anything.
•
By @fuckjerry 📧 dude@fuckjerry.com</t>
  </si>
  <si>
    <t>latenightseth</t>
  </si>
  <si>
    <t>Late Night with Seth Meyers</t>
  </si>
  <si>
    <t>Late Night with @SethMeyers 📺
Weeknights at 12:35/11:35c on @NBC
Streaming on @Peacock</t>
  </si>
  <si>
    <t>http://linktr.ee/latenightseth</t>
  </si>
  <si>
    <t>sethrogen</t>
  </si>
  <si>
    <t>http://donatehfc.com</t>
  </si>
  <si>
    <t>shannbailee</t>
  </si>
  <si>
    <t>A wild &amp; whimsical life 🦢
Contact: shannon@underscoretalent.com
Outfits &amp; my YouTube channel ↓</t>
  </si>
  <si>
    <t>https://linktr.ee/Shannbailee</t>
  </si>
  <si>
    <t>shawn</t>
  </si>
  <si>
    <t>Miami 
23 | Don’t take life too serious</t>
  </si>
  <si>
    <t>shawnmendes</t>
  </si>
  <si>
    <t>Shawn Mendes</t>
  </si>
  <si>
    <t>On The Road Again</t>
  </si>
  <si>
    <t>http://shawnmendesofficial.com/live</t>
  </si>
  <si>
    <t>shawntyaaaaa</t>
  </si>
  <si>
    <t>Sarah J</t>
  </si>
  <si>
    <t>Psalm 71:21
Dallas/NYC
NEW YOUTUBE ⬇️</t>
  </si>
  <si>
    <t>https://linktr.ee/Shawntyaa</t>
  </si>
  <si>
    <t>sierra</t>
  </si>
  <si>
    <t>Sierra Quitiquit | ski • surf • sustainability</t>
  </si>
  <si>
    <t>Quitiquit won’t quit 🇺🇸🌎🇵🇭
on a mission to protect this beautiful planet
🤘🏼athlete @wassermanactionsports 
🤍 @time.for.better + @plasticfreefridays</t>
  </si>
  <si>
    <t>https://timeforbetter.org/project/communicating-climate-in-a-conservative-era/</t>
  </si>
  <si>
    <t>sierraaaskyee</t>
  </si>
  <si>
    <t>Sierra Skye</t>
  </si>
  <si>
    <t>ʀʏ ♡
@FashionNova</t>
  </si>
  <si>
    <t>https://linktr.ee/sierraaaskyee</t>
  </si>
  <si>
    <t>sierradeaton</t>
  </si>
  <si>
    <t>sierra phương-thảo hemmings</t>
  </si>
  <si>
    <t>https://spotify.link/13YhFCeM2Db</t>
  </si>
  <si>
    <t>sierraxraiin</t>
  </si>
  <si>
    <t>Sierra Rain</t>
  </si>
  <si>
    <t>Florida 💛 
Your Favorite Wing House Girl 🌟</t>
  </si>
  <si>
    <t>http://link.me/sierraxraiin</t>
  </si>
  <si>
    <t>sophia</t>
  </si>
  <si>
    <t>Sophia Vantuno</t>
  </si>
  <si>
    <t>Based in Los Angeles
Australian/American/Italian 
@FordModels
@35mmbyphia</t>
  </si>
  <si>
    <t>http://hoo.be/sophiavantuno/</t>
  </si>
  <si>
    <t>stacykeibler</t>
  </si>
  <si>
    <t>Stacy Keibler</t>
  </si>
  <si>
    <t>💪WWE Hall of Famer 
💚 Wellness Warrior
✨ Reclaiming Your Natural Vitality
🥰 Empowering you to thrive!</t>
  </si>
  <si>
    <t>https://hoo.be/stacykeibler</t>
  </si>
  <si>
    <t>yourcurvystacy</t>
  </si>
  <si>
    <t>https://solo.to/superstackedstacy</t>
  </si>
  <si>
    <t>stephanie</t>
  </si>
  <si>
    <t>Stephanie Hampton</t>
  </si>
  <si>
    <t>stephaniegilmore</t>
  </si>
  <si>
    <t>🌊🌊🌊</t>
  </si>
  <si>
    <t>https://linktr.ee/stephgilmore</t>
  </si>
  <si>
    <t>stephifashion</t>
  </si>
  <si>
    <t>Kochen mit Herz und Haltung🤤🌈
💭Deep Talk Dealerin &amp; 
👑Overthinking Queen
💍 @JULIAN.EVANGELOS
📩Mail: stephi@mediafive.de
@impressum_stephifashion</t>
  </si>
  <si>
    <t>https://youtu.be/Ek6FxvpOLfo</t>
  </si>
  <si>
    <t>steven</t>
  </si>
  <si>
    <t>Steven Bartlett</t>
  </si>
  <si>
    <t>Founder:@flightstory
Our Studio:@flightstorystudio 
Our Fund:@flightstoryfund 
Cofounder:@thirdweb 
CoOwner:@stanforcreators
Investor: 60+ companies</t>
  </si>
  <si>
    <t>https://stan.store/stevenbartlett</t>
  </si>
  <si>
    <t>Sydney, Australia</t>
  </si>
  <si>
    <t>Official Sydney account of Destination NSW. Tag @sydney or use #feelnewsydney to give us permission to share. 
Brought to you by NSW Government.</t>
  </si>
  <si>
    <t>https://clicklinkin.bio/Sydney</t>
  </si>
  <si>
    <t>sydney_sweeney</t>
  </si>
  <si>
    <t>Sydney Sweeney</t>
  </si>
  <si>
    <t>🐶</t>
  </si>
  <si>
    <t>taylor</t>
  </si>
  <si>
    <t>Taylor Allen</t>
  </si>
  <si>
    <t>Something to see</t>
  </si>
  <si>
    <t>taylor.dees</t>
  </si>
  <si>
    <t>Taylor Dees</t>
  </si>
  <si>
    <t>taylorswift</t>
  </si>
  <si>
    <t>Taylor Swift</t>
  </si>
  <si>
    <t>And, baby, that’s show business for you. New album The Life of a Showgirl. Out October 3  ❤️‍🔥</t>
  </si>
  <si>
    <t>https://taylor.lnk.to/TSTheLifeofaShowgirl</t>
  </si>
  <si>
    <t>taylorxpeach</t>
  </si>
  <si>
    <t>taylor peach</t>
  </si>
  <si>
    <t>la / miami 🕷️
snap: itstaylorpeach</t>
  </si>
  <si>
    <t>https://link.me/itstaypeach</t>
  </si>
  <si>
    <t>teresa</t>
  </si>
  <si>
    <t>Teresa Ruiz</t>
  </si>
  <si>
    <t>US @innovativeartists 
MX @colourstalent</t>
  </si>
  <si>
    <t>teresagiudice</t>
  </si>
  <si>
    <t>TERESA</t>
  </si>
  <si>
    <t>✨ Original RHONJ @bravotv 💫 
📚 #1 NYT Bestselling Author
collabs:  bookteresagiudice@gmail.com
Podcast: @turningthetablesbyteresa 💜</t>
  </si>
  <si>
    <t>https://christianaudette.com/collections/teresa-giudices</t>
  </si>
  <si>
    <t>thomas</t>
  </si>
  <si>
    <t>Thomas Dimson</t>
  </si>
  <si>
    <t>🙇‍♂️ Member of Technical Staff @ OpenAI. Formerly CEO of Global Illumination, Inc. Formerly formerly authoring “the algorithm” at Instagram. 🇨🇦</t>
  </si>
  <si>
    <t>https://ill.inc/</t>
  </si>
  <si>
    <t>thomasisntreal</t>
  </si>
  <si>
    <t>Thomas Ruedebusch</t>
  </si>
  <si>
    <t>I do my best and so should you 🖤 Join my Mental Health Discord 𝔹𝕦𝕤𝕚𝕟𝕖𝕤𝕤 𝔼𝕞𝕒𝕚𝕝 thomasruedebuschbusiness16@gmail.com</t>
  </si>
  <si>
    <t>https://linktr.ee/Thomasisntreal</t>
  </si>
  <si>
    <t>tiffany</t>
  </si>
  <si>
    <t>Tiffany Borland</t>
  </si>
  <si>
    <t>this is presented as a work of fiction and dedicated to nobody. ca | tx 
• • •  
tuolomee@gmail.com</t>
  </si>
  <si>
    <t>http://www.tuolomee.com</t>
  </si>
  <si>
    <t>tiffanyandco</t>
  </si>
  <si>
    <t>Tiffany &amp; Co.</t>
  </si>
  <si>
    <t>Expertly crafting jewelry for the world’s greatest love stories since 1837.</t>
  </si>
  <si>
    <t>https://likeshop.me/tiffanyandco</t>
  </si>
  <si>
    <t>killatrav</t>
  </si>
  <si>
    <t>Travis Kelce</t>
  </si>
  <si>
    <t>Heights Native.... Founder of @trukolorsbrand &amp; host of @newheightshow</t>
  </si>
  <si>
    <t>http://www.trukolors.com</t>
  </si>
  <si>
    <t>travis_japan_official</t>
  </si>
  <si>
    <t>Travis Japan</t>
  </si>
  <si>
    <t>LIVE Blu-ray &amp; DVD 'Travis Japan Concert Tour 2025 VIIsual'
9.17.2025(wed) Release</t>
  </si>
  <si>
    <t>https://www.universal-music.co.jp/travisjapan/</t>
  </si>
  <si>
    <t>travis.mullen.85</t>
  </si>
  <si>
    <t>Travis Mullen</t>
  </si>
  <si>
    <t>Dad &amp; bonus dad to 6 amazing kids
BF to the lovely @ginakirschenheiter 
Enjoy helping others with their homeownership goals! eXp Realty DRE# 02200594</t>
  </si>
  <si>
    <t>http://www.gatedgroup.com</t>
  </si>
  <si>
    <t>travisscott</t>
  </si>
  <si>
    <t>flame</t>
  </si>
  <si>
    <t>JACKBOYS2
UTOPIA</t>
  </si>
  <si>
    <t>http://travisscott.com</t>
  </si>
  <si>
    <t>travis.spinks</t>
  </si>
  <si>
    <t>Go-Kart Track</t>
  </si>
  <si>
    <t>@travis.edmund @celliesnyc</t>
  </si>
  <si>
    <t>http://travisespinks.com</t>
  </si>
  <si>
    <t>trevorhenderson</t>
  </si>
  <si>
    <t>Trevor Henderson</t>
  </si>
  <si>
    <t>🪱 Artist / illustrator / writer obsessed with ghosts ‘n ghouls🪱Wrote SCAREWAVES🪱made SIRENHEAD🪱creature design for TAROT🪱NO AI GARBAGE</t>
  </si>
  <si>
    <t>http://linktr.ee/slimyswampghost</t>
  </si>
  <si>
    <t>trevornoah</t>
  </si>
  <si>
    <t>Trevor Noah</t>
  </si>
  <si>
    <t>Comedian from South Africa. I was in the crowd when Rafiki held Simba over the edge of the cliff like an African Michael Jackson. #TrevorNoah</t>
  </si>
  <si>
    <t>https://youtu.be/OQ4ZMg7RsXg</t>
  </si>
  <si>
    <t>trevorwallace</t>
  </si>
  <si>
    <t>Trevor Wallace</t>
  </si>
  <si>
    <t>pod: @stiffsockspod 
stand up special ‘Pterodactyl’ on @primevideo
tour dates ⤵️
Dayton | Vegas | Charleston | ATL | Jacksonville | tampa | NYC</t>
  </si>
  <si>
    <t>https://trevorwallace.komi.io/</t>
  </si>
  <si>
    <t>lilbosstgbmg</t>
  </si>
  <si>
    <t>GlockBoy T-Roy</t>
  </si>
  <si>
    <t>Glock Boyz Munna Gang</t>
  </si>
  <si>
    <t>t_deeney</t>
  </si>
  <si>
    <t>Troy Deeney</t>
  </si>
  <si>
    <t>⚽️ Footballer
🎙️Broadcaster 
💙 Proud Father
📩 Broadcast/ Commercial: enquiries@mcsaatchimerlin.com</t>
  </si>
  <si>
    <t>troy</t>
  </si>
  <si>
    <t>Troy Osinoff</t>
  </si>
  <si>
    <t>Cofounder @JuiceLabs 
Consumer Partner @backedbymagic 
Investor @hornets, Mr Beast, Synthesia, MoonPay, xAi
Author @penguinrandomhouse</t>
  </si>
  <si>
    <t>http://twitter.com/yo</t>
  </si>
  <si>
    <t>troyaikman</t>
  </si>
  <si>
    <t>Dad | Former QB | ESPN MNF | UCLA
Founder @drinkeightbeer</t>
  </si>
  <si>
    <t>http://linktr.ee/drinkeightbeer</t>
  </si>
  <si>
    <t>troycandy</t>
  </si>
  <si>
    <t>Troy Williams</t>
  </si>
  <si>
    <t>💼 @letsgeeup @flipsideenergy @lmctplus @blackwolfnutrition_ @compoundxau 
💍 @anitacassin 𓂀</t>
  </si>
  <si>
    <t>https://lmctgiveaway.com/lmctworld</t>
  </si>
  <si>
    <t>troycasting</t>
  </si>
  <si>
    <t>Troy Fearn</t>
  </si>
  <si>
    <t>Casting Director
London/Paris
info@troycasting.com</t>
  </si>
  <si>
    <t>troyesivan</t>
  </si>
  <si>
    <t>troye sivan</t>
  </si>
  <si>
    <t>SWEAT
creative director @tsulangeyor</t>
  </si>
  <si>
    <t>http://tsu-lange-yor.au</t>
  </si>
  <si>
    <t>troyhawke</t>
  </si>
  <si>
    <t>Troy Hawke</t>
  </si>
  <si>
    <t>Troy Hawke 
🚨LIVE SHOWS🚨TICKET LINKS, WORK ENQUIRIES, 
CAMEO, MERCH 👇GRAPE DADDY 🫡</t>
  </si>
  <si>
    <t>https://linktr.ee/troyhawke</t>
  </si>
  <si>
    <t>drtylerpanzner</t>
  </si>
  <si>
    <t>Tyler Panzner, Ph.D.</t>
  </si>
  <si>
    <t>Scientist</t>
  </si>
  <si>
    <t>🧬 Functional Genomics &amp; Pharmacology 💊
📈 700+ lives improved through DNA insights
🦠 Cellular Health Educator
⬇️ Work with me / Learn from me ⬇️</t>
  </si>
  <si>
    <t>https://linktr.ee/drtylerpanzner</t>
  </si>
  <si>
    <t>igcoachtyler</t>
  </si>
  <si>
    <t>Tyler Zachary Wise | Business Coach</t>
  </si>
  <si>
    <t>🏝️ Quit the 9–5 &amp; Work From Anywhere
📲 Learn proven tools to grow &amp; earn
💸 2,500+ helped build online freedom
👇 DM “FREEDOM” or tap below to start</t>
  </si>
  <si>
    <t>http://tylerzwise.com/start-here</t>
  </si>
  <si>
    <t>sooplexx</t>
  </si>
  <si>
    <t>Tyler 'Sooplex' Williams</t>
  </si>
  <si>
    <t>🍿 Certified Loverboy Certified Cinephile
🎙️ Co-Host of Sooperplex Podcast (Fridays)
💼 Collab: DM/tylermaskinq@gmail.com
📍Philly 🦅</t>
  </si>
  <si>
    <t>https://youtu.be/LRfp7XCi8iE?si=vrl3hFZLf_hRDLIW</t>
  </si>
  <si>
    <t>ts_magic</t>
  </si>
  <si>
    <t>Tyler Sherwin</t>
  </si>
  <si>
    <t>Magician</t>
  </si>
  <si>
    <t>WATCH LIVE MAGIC REACTIONS 😱⬇️</t>
  </si>
  <si>
    <t>https://www.kick.com/tylersherwinmagic</t>
  </si>
  <si>
    <t>tyler</t>
  </si>
  <si>
    <t>Tyler Schmitt</t>
  </si>
  <si>
    <t>-&gt; One Day at a Time &lt;-
business &amp; relations w/ @garyvee @veefriends 
Having fun @cardtalktyler 
11+ years @vaynermedia @vaynerx</t>
  </si>
  <si>
    <t>https://open.spotify.com/episode/7aYWr3H5VBYs57BMJRIhuf?si=8IAUVVKfTLutZnFuw9BDwA</t>
  </si>
  <si>
    <t>tylerbrundy</t>
  </si>
  <si>
    <t>Tyler Brundy</t>
  </si>
  <si>
    <t>Cinematic | Travel | Street | Adventure
📍|| Los Angeles
📫|| hello@tylerbrundy.com
⬇️|| Editing Course
🌎|| Available Worldwide</t>
  </si>
  <si>
    <t>http://tylerbrundy.com</t>
  </si>
  <si>
    <t>tylerniknam</t>
  </si>
  <si>
    <t>trainwreckstv</t>
  </si>
  <si>
    <t>co-owner kick.com | #1 podcast on twitch</t>
  </si>
  <si>
    <t>tylertometich</t>
  </si>
  <si>
    <t>Tyler Tometich | Reels + Business Growth Coach</t>
  </si>
  <si>
    <t>📈 Go Viral using my Magnetic Content Blueprint
👣 Grew 200K+ followers in 10 weeks
📚 Trusted by 22.5k+ Students!
🔐 Click to BLOW UP your views!👇🏽</t>
  </si>
  <si>
    <t>https://www.vfxcreators.com/7-day-viral-vfx?el=org-ig-bio</t>
  </si>
  <si>
    <t>tylerwayneglass</t>
  </si>
  <si>
    <t>Tyler Glass</t>
  </si>
  <si>
    <t>louisville, kentucky
it’s all around us, you just have to look
my lightroom presets 👇🏻</t>
  </si>
  <si>
    <t>https://www.tylerwayneglass.com/presets/the-analog-preset</t>
  </si>
  <si>
    <t>tythefisch</t>
  </si>
  <si>
    <t>Tyler Fischer</t>
  </si>
  <si>
    <t>On Tour Now✈️Follow my AI page @silentthunderpulse booking: Team@TylerFischer.com 
Sign mailer to get me to ur city👇🏼tkts/dates👇🏻</t>
  </si>
  <si>
    <t>http://www.linktr.ee/tylerfischer</t>
  </si>
  <si>
    <t>victoria</t>
  </si>
  <si>
    <t>Victoria Magrath</t>
  </si>
  <si>
    <t>life/style 🤍</t>
  </si>
  <si>
    <t>https://inthefrow.co/outfits</t>
  </si>
  <si>
    <t>victoriabeckham</t>
  </si>
  <si>
    <t>Victoria Beckham</t>
  </si>
  <si>
    <t>@victoriabeckhambeauty #VictoriaBeckham</t>
  </si>
  <si>
    <t>https://likeshop.me/victoriabeckham</t>
  </si>
  <si>
    <t>victoriabonya</t>
  </si>
  <si>
    <t>Виктория Боня</t>
  </si>
  <si>
    <t>Founder of @bonya_beauty
Ad/ Реклама +7985-130-99-55 
 Богиня Climber
🏔️ Everest 19.05.25
🏔️ Manaslu 25.09.24
🏔️  Amadablam 02.11.24
🏔️ K2 in 2026…</t>
  </si>
  <si>
    <t>https://t.me/v_bonya</t>
  </si>
  <si>
    <t>victoriassecret</t>
  </si>
  <si>
    <t>Victoria's Secret</t>
  </si>
  <si>
    <t>http://likeshop.me/victoriassecret</t>
  </si>
  <si>
    <t>viptoriaaaa</t>
  </si>
  <si>
    <t>Victoria 🖤</t>
  </si>
  <si>
    <t>let everything you do be done with love🩷</t>
  </si>
  <si>
    <t>https://linktr.ee/viptoriaaa</t>
  </si>
  <si>
    <t>liltunechi</t>
  </si>
  <si>
    <t>Lil Wayne</t>
  </si>
  <si>
    <t>📲 Text Tunechi to (504) 226 -7020</t>
  </si>
  <si>
    <t>https://lilwayne.lnk.to/TCVIBI</t>
  </si>
  <si>
    <t>wayne</t>
  </si>
  <si>
    <t>Wayne Chang</t>
  </si>
  <si>
    <t>🚨details at chang.com
💰80+ startups. 31 exits.
🏅phd. emmy. dropout.</t>
  </si>
  <si>
    <t>http://chang.com</t>
  </si>
  <si>
    <t>whitleavitt</t>
  </si>
  <si>
    <t>Whitney Leavitt</t>
  </si>
  <si>
    <t>The luckiest girl in the world 🦋                 
@secretlivesonhulu
@dancingwiththestars season 34</t>
  </si>
  <si>
    <t>https://linktr.ee/whitleavitt</t>
  </si>
  <si>
    <t>whitney</t>
  </si>
  <si>
    <t>Whitney Wolfe Herd</t>
  </si>
  <si>
    <t>Founder &amp; CEO of Bumble 🐝  
@bumble @bff 
💛For the Love of Love💛</t>
  </si>
  <si>
    <t>whitneypeak</t>
  </si>
  <si>
    <t>WHITNEY</t>
  </si>
  <si>
    <t>iamwill</t>
  </si>
  <si>
    <t>will.i.am</t>
  </si>
  <si>
    <t>http://www.will.i.am</t>
  </si>
  <si>
    <t>real_dee_williams</t>
  </si>
  <si>
    <t>Dee Williams</t>
  </si>
  <si>
    <t>Massage Therapist</t>
  </si>
  <si>
    <t>"Normal" lady with "normal" friends.  My other feeds are much more fun. DM here for professional correspondence ONLY</t>
  </si>
  <si>
    <t>https://linktr.ee/DeeWilliamsXXX</t>
  </si>
  <si>
    <t>williamlast_krm</t>
  </si>
  <si>
    <t>William Last KRM</t>
  </si>
  <si>
    <t>bookings@williamlastkrm.co.bw</t>
  </si>
  <si>
    <t>http://music.apple.com/bw/album/pa-feat-youngstacpt-single/1814085612</t>
  </si>
  <si>
    <t>zachary5k</t>
  </si>
  <si>
    <t>Zachary Elliott</t>
  </si>
  <si>
    <t>Dancer🕺🏾✨💯✌🏾
Taurus ♉ Age 23
Road to 90k 🛣  
Positive vibes</t>
  </si>
  <si>
    <t>http://tiktok.com/@zachary5k</t>
  </si>
  <si>
    <t>zacharylevi</t>
  </si>
  <si>
    <t>Zachary Levi</t>
  </si>
  <si>
    <t>Actor &amp; founder of Wyldwood Studios. A studio dedicated to making certified-organic, human-made entertainment. Click the link below to join the fight!</t>
  </si>
  <si>
    <t>http://wyldwoodaustin.com</t>
  </si>
  <si>
    <t>zacharywillmore</t>
  </si>
  <si>
    <t>TikTok prom fairy
TikTok: zachwillmore</t>
  </si>
  <si>
    <t>https://linktr.ee/zachwillmore03</t>
  </si>
  <si>
    <t>agentrix212.ai</t>
  </si>
  <si>
    <t>Agentrix212  | Your AI Journey Starts Here - Build b Darija 🤖</t>
  </si>
  <si>
    <t>🚀 Automate Everything Before Your Competition Does
🤖 Custom AI Agents • RAG Systems • Smart Chatbots
📞 Free AI Strategy Consultation ⬇️</t>
  </si>
  <si>
    <t>https://linktr.ee/Agentrix212.ai</t>
  </si>
  <si>
    <t>aidafreediving</t>
  </si>
  <si>
    <t>AIDA INTERNATIONAL</t>
  </si>
  <si>
    <t>Official Instagram of the International Association for the Development of Apnea
Competition. Education. Community.
Established 1992 
#aidafreediving</t>
  </si>
  <si>
    <t>https://linktr.ee/aidafreediving</t>
  </si>
  <si>
    <t>evolving.ai</t>
  </si>
  <si>
    <t>Evolving AI</t>
  </si>
  <si>
    <t>👉 The No.1 AI community on Instagram
🔥 You'll wish you'd paid more attention to this page in 12 months time
👇 Join +75,000 readers</t>
  </si>
  <si>
    <t>http://bento.me/evolvingai</t>
  </si>
  <si>
    <t>babababy.mv</t>
  </si>
  <si>
    <t>BABABABY</t>
  </si>
  <si>
    <t>﷽
🚚 Free delivery within GMA
📦 Nationwide Shipping 
⬇️ Orders taken via our website
💖 Dive into a world of premium mother &amp; baby care products</t>
  </si>
  <si>
    <t>https://babababy.mv</t>
  </si>
  <si>
    <t>baby.food.bible</t>
  </si>
  <si>
    <t>BABLE</t>
  </si>
  <si>
    <t>Expert authors of bestselling book Baby Food Bible; a trusted guide to feeding the whole family from first bite and beyond. Buy our book 👇🏼</t>
  </si>
  <si>
    <t>http://linktr.ee/baby.food.bible</t>
  </si>
  <si>
    <t>just.baby</t>
  </si>
  <si>
    <t>Just baby</t>
  </si>
  <si>
    <t>Because happiness is a baby’s smile!💘
All rights reserved ©️</t>
  </si>
  <si>
    <t>keem</t>
  </si>
  <si>
    <t>Baby Keem</t>
  </si>
  <si>
    <t>lilbaby</t>
  </si>
  <si>
    <t>Dominique - The Beginning Of A New Chapter!  @nuclearla @cbfw_athletics</t>
  </si>
  <si>
    <t>https://lilbaby.store/</t>
  </si>
  <si>
    <t>Barcelona</t>
  </si>
  <si>
    <t>Barcelona es mucho más! 💙
Always Barcelona! ♾ 
Follow @Barcelona for beautiful photos of our city</t>
  </si>
  <si>
    <t>barcelona.families1</t>
  </si>
  <si>
    <t>Barcelona families ❤️💙</t>
  </si>
  <si>
    <t>photos &amp; videos &amp; information &amp; events for Barcelona families ❤️💙</t>
  </si>
  <si>
    <t>barcelonasc</t>
  </si>
  <si>
    <t>Barcelona SC</t>
  </si>
  <si>
    <t>Cuenta oficial de Barcelona Sporting Club</t>
  </si>
  <si>
    <t>http://www.barcelonasc.com.ec/</t>
  </si>
  <si>
    <t>barcelona.travelers</t>
  </si>
  <si>
    <t>Barcelona Spain 🇪🇸 Travel | Hotels | Food | Tips</t>
  </si>
  <si>
    <t>Local service</t>
  </si>
  <si>
    <t>🏙️ Discover the best of Barcelona 
💙 The leading Barcelona community by @hotel
👇 Price drop on Barcelona direct flights</t>
  </si>
  <si>
    <t>https://skyscanner.pxf.io/fMiamitBarcelona</t>
  </si>
  <si>
    <t>barcelonawinebar</t>
  </si>
  <si>
    <t>Barcelona Wine Bar</t>
  </si>
  <si>
    <t>Chef-driven Spanish tapas 
North America’s Best Value Wine List - WOFW ‘24
#barcelonawinebar 
Also the creators of @corsicawinebar</t>
  </si>
  <si>
    <t>https://linktr.ee/barcelonawinebar</t>
  </si>
  <si>
    <t>barcelonaxir</t>
  </si>
  <si>
    <t>بـــــــارســـــــلــــونــــــاxir</t>
  </si>
  <si>
    <t>بارسلونا فراتر از یک باشگاه | 🔵🔴
پست های اینفوگرافی، فکت و ترول | 🔰
پوشش تمام اخبار تیم و نقلُ انتقالات| 🗞️</t>
  </si>
  <si>
    <t>barselona.media</t>
  </si>
  <si>
    <t>FC Barcelona</t>
  </si>
  <si>
    <t>📌 𝐁𝐚𝐫𝐜𝐞𝐥𝐨𝐧𝐚 𝐅𝐚𝐧𝐬 • 𝐆𝐥𝐨𝐛𝐚𝐥 𝐂𝐨𝐦𝐦𝐮𝐧𝐢𝐭𝐲 💙❤️
🗞️ 𝐓𝐞𝐚𝐦 𝐮𝐩𝐝𝐚𝐭𝐞𝐬 • 𝐀𝐧𝐚𝐥𝐲𝐬𝐢𝐬 • 𝐇𝐢𝐠𝐡-𝐞𝐧𝐝 𝐞𝐝𝐢𝐭𝐬 🎥
📩 𝐁𝐮𝐬𝐢𝐧𝐞𝐬𝐬 / 𝐈𝐧𝐪𝐮𝐢𝐫𝐢𝐞𝐬 ➜ 𝐃𝐌
👤 𝐅𝐨𝐮𝐧𝐝𝐞𝐫 &amp; 𝐄𝐝𝐢𝐭𝐨𝐫: @akobirbeek</t>
  </si>
  <si>
    <t>https://tirikchilik.uz/barselonamedia</t>
  </si>
  <si>
    <t>fcbarcelona</t>
  </si>
  <si>
    <t>👕🧡 THIRD KIT! ⬇️</t>
  </si>
  <si>
    <t>http://barca.link/gC7b50WI14i</t>
  </si>
  <si>
    <t>fcbarcelonab</t>
  </si>
  <si>
    <t>FC Barcelona B</t>
  </si>
  <si>
    <t>💙 1899/2024: 125è ANIVERSARI ❤️                   Official account. Compte oficial. Cuenta oficial. Barça Atlètic Team. Força Barça! #BarçaAtletic</t>
  </si>
  <si>
    <t>https://tickets-official.fcbarcelona.com/barca-atletic-regular/select/2283530?_gl=1%2A1xnup8z%2A_gcl_au%2ANDU2NTY4MTgwLjE3NDY3MjI4Mzk.&amp;viewCode=areamap_sb2d</t>
  </si>
  <si>
    <t>fcbfemeni</t>
  </si>
  <si>
    <t>FC Barcelona Femeni</t>
  </si>
  <si>
    <t>👕🧡 3A EQUIPACIÓ! ⬇️</t>
  </si>
  <si>
    <t>http://barca.link/rayf50WI15R</t>
  </si>
  <si>
    <t>fcbmasia</t>
  </si>
  <si>
    <t>FC Barcelona La Masia</t>
  </si>
  <si>
    <t>Official account. Compte oficial. Cuenta oficial. FCBarcelona Youth Teams. Força Barça! #FCBMasia</t>
  </si>
  <si>
    <t>https://www.fcbarcelona.cat/ca/noticies/4284413/pol-planas-nou-entrenador-del-juvenil-a</t>
  </si>
  <si>
    <t>mukbarcelona</t>
  </si>
  <si>
    <t>MUK BARCELONA • Phone cases</t>
  </si>
  <si>
    <t>Lo que eliges te hace diferente.</t>
  </si>
  <si>
    <t>https://mukbarcelona.com/</t>
  </si>
  <si>
    <t>unibarcelona</t>
  </si>
  <si>
    <t>Universitat de Barcelona</t>
  </si>
  <si>
    <t>Benvinguts a la #UniBarcelona, una porta al coneixement. Som una comunitat diversa, pública, plural, divulgadora i integradora. Ens hi acompanyes?
🔗👇</t>
  </si>
  <si>
    <t>https://mtr.bio/unibarcelona</t>
  </si>
  <si>
    <t>visitbarcelona</t>
  </si>
  <si>
    <t>Visit Barcelona</t>
  </si>
  <si>
    <t>Official account of the Turisme de Barcelona Board. 
Spread your love for the city! ❤️</t>
  </si>
  <si>
    <t>https://bit.ly/3GXEwm1</t>
  </si>
  <si>
    <t>wbarcelona</t>
  </si>
  <si>
    <t>W Barcelona</t>
  </si>
  <si>
    <t>Find me right on the beach #WBarcelona
Part of @whotels</t>
  </si>
  <si>
    <t>https://linktr.ee/w_barcelona</t>
  </si>
  <si>
    <t>BASKETBALL</t>
  </si>
  <si>
    <t>🅱️: ALL THINGS BASKETBALL
🙋‍♀️: OWNED BY @STEPHANIAE (FOLLOW HER FOR CHANCE TO BE POSTED!)
🎥: VIDEOS, MEMES, NBA
❌: NOT SELLING</t>
  </si>
  <si>
    <t>https://www.amazon.com/shop/stephaniaergemlidze?ref_=cm_sw_r_mwn_aipsfshop_FK0VQ0M6TEWKA5HR98MB_3&amp;language=en_US</t>
  </si>
  <si>
    <t>basketballcoverage</t>
  </si>
  <si>
    <t>Basketball Coverage</t>
  </si>
  <si>
    <t>Hey, I’m @alex.barten 
Covering 🏀 a new way.
-
Submit videos through DM.
-
No copyright intended/all content belongs to its respective owners.</t>
  </si>
  <si>
    <t>https://link.me/basketballcoverage</t>
  </si>
  <si>
    <t>basketball_korea</t>
  </si>
  <si>
    <t>대한민국 농구 국가대표팀</t>
  </si>
  <si>
    <t>대한민국농구협회 3x3 Official account 👉 @3x3kba 
대한민국농구협회 Official account 👉 @kba__official 
KBA mall Official account 👉 @kbamall_official</t>
  </si>
  <si>
    <t>https://www.youtube.com/@kobatv1925</t>
  </si>
  <si>
    <t>basketballnz</t>
  </si>
  <si>
    <t>Basketball New Zealand</t>
  </si>
  <si>
    <t>https://nz.basketball</t>
  </si>
  <si>
    <t>basketballwives</t>
  </si>
  <si>
    <t>Basketball Wives</t>
  </si>
  <si>
    <t>Official IG for @VH1’s Basketball Wives 🏀💎 MONDAYS at 8/7 💅🏽</t>
  </si>
  <si>
    <t>https://www.paramountplus.com/shows/basketball-wives/</t>
  </si>
  <si>
    <t>canadabasketball</t>
  </si>
  <si>
    <t>Canada Basketball</t>
  </si>
  <si>
    <t>It takes more than love. #madlove🇨🇦</t>
  </si>
  <si>
    <t>https://linkin.bio/canadabasketball</t>
  </si>
  <si>
    <t>dbb_basketball</t>
  </si>
  <si>
    <t>Deutscher Basketball Bund e.V.</t>
  </si>
  <si>
    <t>WELTMEISTER 2023 🏆 
🏀⚫️🔴🟡🔥</t>
  </si>
  <si>
    <t>http://linktr.ee/basketball_bund</t>
  </si>
  <si>
    <t>flowgamebasketball</t>
  </si>
  <si>
    <t>𝗠𝗮𝘁𝗶𝗮𝘀 𝗚𝗮𝗹𝗹𝗼 - 𝗙𝗹𝗼𝘄 𝗚𝗮𝗺𝗲 𝗕𝗮𝘀𝗸𝗲𝘁𝗯𝗮𝗹𝗹</t>
  </si>
  <si>
    <t>Próximos Eventos</t>
  </si>
  <si>
    <t>https://linktr.ee/flowgamecursos</t>
  </si>
  <si>
    <t>gbbasketball</t>
  </si>
  <si>
    <t>Great Britain Basketball</t>
  </si>
  <si>
    <t>Professional Sports Team</t>
  </si>
  <si>
    <t>Official Instagram of #GBbasketball 🇬🇧</t>
  </si>
  <si>
    <t>https://linktr.ee/gbbasketball</t>
  </si>
  <si>
    <t>lsubasketball</t>
  </si>
  <si>
    <t>LSU Basketball</t>
  </si>
  <si>
    <t>School Sports Team</t>
  </si>
  <si>
    <t>The Official Instagram Account of LSU Men's Basketball.</t>
  </si>
  <si>
    <t>https://lsusports.net/sports/mb/</t>
  </si>
  <si>
    <t>ltu.basketball</t>
  </si>
  <si>
    <t>Asociacija „Lietuvos krepšinis",62435,467,6571,Yes,Yes,",Official page of the Lietuva Basketball Association. Visos nuorodos👇"</t>
  </si>
  <si>
    <t>msbasketball1</t>
  </si>
  <si>
    <t>Ms.Basketball🇯🇲+🇺🇸</t>
  </si>
  <si>
    <t>ENERGY QUEEN💫
For Bookings: Contact@raymondrep.com
🎤:Host/Emcee
🏀:Commish @aeblwomen
⛹🏾‍♀️CEO of @ihooptoo
📦:780 Morosgo DR NE #13566 Atlanta GA 30324</t>
  </si>
  <si>
    <t>http://ihooptoofoundation.org</t>
  </si>
  <si>
    <t>nikebasketball</t>
  </si>
  <si>
    <t>Nike Basketball</t>
  </si>
  <si>
    <t>Fit for a King. The LeBron XXIII arrives soon.</t>
  </si>
  <si>
    <t>http://empli.fi/nikebasketball</t>
  </si>
  <si>
    <t>realmadridbasket</t>
  </si>
  <si>
    <t>Real Madrid Basketball</t>
  </si>
  <si>
    <t>🏀 Official profile of Real Madrid Basket.
🏆 11 times European Champions.
🌍 Best FIBA Team in History.
🙌 #Madridistas</t>
  </si>
  <si>
    <t>smubasketball</t>
  </si>
  <si>
    <t>SMU Men's Basketball</t>
  </si>
  <si>
    <t>Official account of SMU Basketball #PonyUp #MoodyMagic</t>
  </si>
  <si>
    <t>http://smumustangs.com/mbbtickets</t>
  </si>
  <si>
    <t>unc_basketball</t>
  </si>
  <si>
    <t>Carolina Basketball</t>
  </si>
  <si>
    <t>Official Instagram of the six-time NCAA Champion University of North Carolina Men's Basketball Team
#CarolinaFamily</t>
  </si>
  <si>
    <t>https://linktr.ee/unc_basketball</t>
  </si>
  <si>
    <t>uncwbasketball</t>
  </si>
  <si>
    <t>UNCW Men's Basketball</t>
  </si>
  <si>
    <t>The official Instagram page of the seven-time CAA Champions &amp; 2022 CBI Champions. #SeahawkNation</t>
  </si>
  <si>
    <t>https://uncwsports.evenue.net/events/MBS</t>
  </si>
  <si>
    <t>usabasketball</t>
  </si>
  <si>
    <t>USA Basketball</t>
  </si>
  <si>
    <t>The governing body for basketball in the United States. Also keep up with us @usab3x3 &amp; @usabyouth.</t>
  </si>
  <si>
    <t>http://usab.com</t>
  </si>
  <si>
    <t>brunchandsoca</t>
  </si>
  <si>
    <t>𝐁𝐑𝐔𝐍𝐂𝐇 𝐀𝐍𝐃 𝐒𝐎𝐂𝐀 (Official Page)</t>
  </si>
  <si>
    <t>𝗔𝗻 𝗜𝗻𝘁𝗲𝗿𝗻𝗮𝘁𝗶𝗼𝗻𝗮𝗹 𝗣𝗿𝗲𝗺𝗶𝘂𝗺 𝗕𝗿𝘂𝗻𝗰𝗵 𝗘𝘅𝗽𝗲𝗿𝗶𝗲𝗻𝗰𝗲•
🇹🇹🇯🇲🇰🇼🇻🇨🇧🇧🇱🇨🇬🇩🇺🇸🇬🇭 (LONDON - NEW YORK🗽- MIAMI🌴 - ATL)</t>
  </si>
  <si>
    <t>https://linktr.ee/brunchandsoca</t>
  </si>
  <si>
    <t>brunchbcn</t>
  </si>
  <si>
    <t>Brunch Electronik Barcelona</t>
  </si>
  <si>
    <t>11.09 @camelphatmusic @samm___music 
20.09 @artbatmusic @rivo y más 
01.11 Halloween Takeover - Sign Up
Sign up for Early Bird Tickets | Festival 2026</t>
  </si>
  <si>
    <t>https://linktr.ee/brunchbcn</t>
  </si>
  <si>
    <t>brunchmadrid_</t>
  </si>
  <si>
    <t>Brunch Electronik Madrid</t>
  </si>
  <si>
    <t>𝗙𝗔𝗟𝗟 𝗦𝗘𝗔𝗦𝗢𝗡
20.09 @amelie_lens SOLD OUT 
21.09 @followthefishtv @locodice 
27.09 @welcometosacro @mestiza.music 
28.09 @argy @korolova.dj</t>
  </si>
  <si>
    <t>https://linktr.ee/brunch_madrid</t>
  </si>
  <si>
    <t>brunch.us</t>
  </si>
  <si>
    <t>Brunch</t>
  </si>
  <si>
    <t>Hotel-Inspired Footwear
Amagansett, NY: 14 Amagansett Square
Enjoy your stay 🥞</t>
  </si>
  <si>
    <t>https://brunch.us</t>
  </si>
  <si>
    <t>brunchweb</t>
  </si>
  <si>
    <t>Brunch Diner &amp; Coffee</t>
  </si>
  <si>
    <t>Restaurante americano com temas
Temporariamente fechado
Reinauguração dia 10/09 ✨</t>
  </si>
  <si>
    <t>brunchwithbabs</t>
  </si>
  <si>
    <t>BABS</t>
  </si>
  <si>
    <t>Cleaning, cooking, and dishing out advice - because Grandma always knows best 🫶🏼
ORDER MY NEW COOKBOOK ↴</t>
  </si>
  <si>
    <t>https://linktr.ee/brunch.withbabs</t>
  </si>
  <si>
    <t>davidbroncano</t>
  </si>
  <si>
    <t>David Broncano</t>
  </si>
  <si>
    <t>labronca</t>
  </si>
  <si>
    <t>𝐋𝐚 𝐁𝐫𝐨𝐧𝐜𝐚</t>
  </si>
  <si>
    <t>“💋 Voz que incomoda y empodera 🎙
CEO ByLaBronca.com☕️ Café &amp; Suplementos
🔥 Liderando mujeres 
🎙️con 🥚🥚y en 👠
Únete a #TeamBronca 👇</t>
  </si>
  <si>
    <t>lachicadelbrunch</t>
  </si>
  <si>
    <t>La chica del brunch</t>
  </si>
  <si>
    <t>🙋🏻‍♀️Rocio, Ro, Rochi @rociostrat 
☕️Recorro cafeterías, bares y restaurantes
📩 rociostrat@gmail.com
📺En @cocinerosarg</t>
  </si>
  <si>
    <t>https://cafecito.app/lachicadelbrunch</t>
  </si>
  <si>
    <t>nola_brunchsa</t>
  </si>
  <si>
    <t>NOLA Brunch and Beignets</t>
  </si>
  <si>
    <t>New Orleans style brunch with a San Antonio twist!🧡
Open Mon-Fri | 8:00am-2:00pm
Sat-Sun | 8:00am-3:00pm
Validated parking @ 1000 N. Alamo 🅿️📍</t>
  </si>
  <si>
    <t>https://www.eatatnola.com/visit-us</t>
  </si>
  <si>
    <t>nyc_brunchbabe</t>
  </si>
  <si>
    <t>NYC Brunch Babe</t>
  </si>
  <si>
    <t>Erika🇵🇷aka NYCBB🍳Brunchin &amp; Sippin my way thru #nyc &amp; the world!🗽🌎🥂#brunchsohard #sippinmywaythrunyc #brunchbabetravels 
💌:nycbrunchbabe@gmail.com</t>
  </si>
  <si>
    <t>ojardim.sp</t>
  </si>
  <si>
    <t>O Jardim Café &amp; Brunch</t>
  </si>
  <si>
    <t>Breakfast &amp; Brunch Restaurant</t>
  </si>
  <si>
    <t>Sinta-se acolhido, sinta-se em casa!
Comida Afetiva | Pet Friendly | Office | Eventos
⏰Ter a domingo: 8h às 18h
Reservas, Cardápio, Contato⤵️</t>
  </si>
  <si>
    <t>https://lnk.bio/ojardim.sp</t>
  </si>
  <si>
    <t>theboxstreetsocial</t>
  </si>
  <si>
    <t>Box St. | All Day Brunch ✨</t>
  </si>
  <si>
    <t>📍Hemisfair📍La Cantera
DAILY 9am-4pm | Mon to Sun
🍾Happy Hour | Mon to Fri 2-4pm
✨Walk-In | Reserve | ToGo | Private Events
✨Interior:@thefaithfulmaker</t>
  </si>
  <si>
    <t>https://msha.ke/theboxstreetsocial</t>
  </si>
  <si>
    <t>thebrunchguy__</t>
  </si>
  <si>
    <t>Shad Ahmed</t>
  </si>
  <si>
    <t>🤷🏽‍♂️ I like a good deal
🤳🏽 NY/NJ Food &amp; Lifestyle Creator 
📧shadthebrunchguy@gmail.com
🥂Bottomless Brunch &amp; Dinner Guides 👇🏽</t>
  </si>
  <si>
    <t>https://www.michaeljfox.org/epicure-parkinsons-tasting-event?os_cid=ig-a1bVL0000059N49</t>
  </si>
  <si>
    <t>cats_of_instagram</t>
  </si>
  <si>
    <t>Cats of Instagram</t>
  </si>
  <si>
    <t>The #catsofinstagram channel.
𝐬𝐮𝐛𝐦𝐢𝐭: hashtag or link below! 🐱🔮⁣
𝐜𝐨𝐥𝐥𝐚𝐛: partner@catsofinstagram.com⁣⁣
〰️</t>
  </si>
  <si>
    <t>http://catsofinstagram.com</t>
  </si>
  <si>
    <t>dojacat</t>
  </si>
  <si>
    <t>Doja Cat</t>
  </si>
  <si>
    <t>https://dojacat.lnk.to/jealoustype</t>
  </si>
  <si>
    <t>algonova_indonesia</t>
  </si>
  <si>
    <t>Algonova Indonesia | kursus coding anak</t>
  </si>
  <si>
    <t>Education website</t>
  </si>
  <si>
    <t>🌟👇 Pesan pelajaran GRATIS 👇🌟
🏆 Sekolah Coding Anak No.1 di Indonesia
🎁 Dapatkan diskon 15% dengan kode promo “INSTAGRAM”
📲 WA +62895001976049</t>
  </si>
  <si>
    <t>https://design.algorithmics.id/?utm_source=instagram&amp;utm_medium=smm&amp;utm_campaign=profile_header_autobooking&amp;utm_content=instagram_profile_header_autobooking</t>
  </si>
  <si>
    <t>@coding 🚀</t>
  </si>
  <si>
    <t>Sharing software development projects &amp; stories 👨🏼‍💻</t>
  </si>
  <si>
    <t>codingastrology_</t>
  </si>
  <si>
    <t>Coding Astrology</t>
  </si>
  <si>
    <t>Astrologist</t>
  </si>
  <si>
    <t>Coding Astrology is a space for the intuitive and the connected ✨ nice to meet you 🤍 - @cody_springer_
Book a reading with me below! 70K on TikTok</t>
  </si>
  <si>
    <t>https://www.codingastrology.com/</t>
  </si>
  <si>
    <t>codingbenz</t>
  </si>
  <si>
    <t>CodingBenz Oficial ®</t>
  </si>
  <si>
    <t>• Único no Brasil em Coding Mercedes-Benz
• Ativar funções secretas modelos 2007 a 2023
• REMAP a distância 
• Diagnóstico a distância
• Desde 2018</t>
  </si>
  <si>
    <t>http://wa.me/5511972312239</t>
  </si>
  <si>
    <t>coding_dev_</t>
  </si>
  <si>
    <t>Tilak | Web Development 🧑‍💻</t>
  </si>
  <si>
    <t>📚 HTML, CSS and JavaScript
🧑‍💻 Tips &amp; tricks on Web Developing...
👉 Follow me for updates!
📥 DM for Collab &amp; Promotions</t>
  </si>
  <si>
    <t>https://bento.me/codingdev</t>
  </si>
  <si>
    <t>coding_guru47</t>
  </si>
  <si>
    <t>A CODER</t>
  </si>
  <si>
    <t>🔥 coding_guru47 | Passionate Creator
💼 Paid Promotions Available
📩 DM for Collaborations</t>
  </si>
  <si>
    <t>coding.kitty</t>
  </si>
  <si>
    <t>Kitty explains coding.
👇 Check it out 👇</t>
  </si>
  <si>
    <t>https://linktr.ee/coding.kitty</t>
  </si>
  <si>
    <t>codingmermaid.ai</t>
  </si>
  <si>
    <t>Danica Simic</t>
  </si>
  <si>
    <t>Empowering tech pros to switch career to data science &amp; AI 💻
Burnt out freelancer -&gt; consulting AI brand
Build a system that works for you</t>
  </si>
  <si>
    <t>https://stan.store/codingmermaid</t>
  </si>
  <si>
    <t>codingnumerology</t>
  </si>
  <si>
    <t>Kabita Giri l Destiny Matrix Expert</t>
  </si>
  <si>
    <t>✴︎ Decode Everything From Past Life to Purpose
✴︎ Destiny Matrix Reading + Predictions 
✴︎ Code: THANKYOU  ↓</t>
  </si>
  <si>
    <t>https://stan.store/codingnumerology</t>
  </si>
  <si>
    <t>the_coding_wizard</t>
  </si>
  <si>
    <t>The Coding Wizard | Web Development &amp; AI | 1M🎯</t>
  </si>
  <si>
    <t>🔮 | Sharing useful tools and codes
💯 | Worked with 275+ Brands
💬 | DM For Paid Promotion 
📩 | collab@thecodingwizard.com</t>
  </si>
  <si>
    <t>https://t.me/the_coding_wizard</t>
  </si>
  <si>
    <t>ctcurlyhairsalon</t>
  </si>
  <si>
    <t>Curly Hair Salon Connecticut</t>
  </si>
  <si>
    <t>➰Hair Salon exclusively for Curls, Waves, and Coils
Your curls belong here!
New Haven, Connecticut</t>
  </si>
  <si>
    <t>https://linktr.ee/Ctcurlyhairsalon</t>
  </si>
  <si>
    <t>curlsbybebonia</t>
  </si>
  <si>
    <t>Bebonia Curly Hair Extensions</t>
  </si>
  <si>
    <t>#1 rated Curly Hair Extensions                     
DM for color &amp; texture match  🧡                  
Latina Owned</t>
  </si>
  <si>
    <t>http://bebonia.com</t>
  </si>
  <si>
    <t>curl.talk</t>
  </si>
  <si>
    <t>CURL TALK | Award Winning Curly Hair Salon</t>
  </si>
  <si>
    <t>London Curly Hair Home 
Bespoke service/education  
For your Curls•Kinks•Coils•Waves  
Trained in Deva•CurlbyCurl•Rëzo•Curlyworld</t>
  </si>
  <si>
    <t>https://curltalk.book.app/book-now</t>
  </si>
  <si>
    <t>curly__hair__17</t>
  </si>
  <si>
    <t>Curly  hair 17 ✨💫</t>
  </si>
  <si>
    <t>https://linktw.in/ou5Hx0</t>
  </si>
  <si>
    <t>curlyhairbae</t>
  </si>
  <si>
    <t>NIKITA GAIKWAD</t>
  </si>
  <si>
    <t>Die with memories not with dreams🎃
@curlyhairbae @curlyhairbae2nd 
✉️ curlyhairbae7@gmail.com</t>
  </si>
  <si>
    <t>https://www.facebook.com/share/17JqfU2HJL/?mibextid=wwXIfr</t>
  </si>
  <si>
    <t>curly.hair.boo</t>
  </si>
  <si>
    <t>Tara ✨</t>
  </si>
  <si>
    <t>Curls | Fashion | Beauty 
🇯🇲🇬🇾💍</t>
  </si>
  <si>
    <t>https://linktr.ee/curlyhairboo</t>
  </si>
  <si>
    <t>curlyhair.coo</t>
  </si>
  <si>
    <t>Curly | Hair | Beauty</t>
  </si>
  <si>
    <t>◾Follow @curlyhair.coo for daily tips 
◽Curly | Hair | beauty
◾The world of CURLS 💙♥️💜
◽Curls is Love 💗
◾My Hair, My Root, My Identity 👑</t>
  </si>
  <si>
    <t>curlyhair.go</t>
  </si>
  <si>
    <t>Curly Hair Inspo</t>
  </si>
  <si>
    <t>✨YOUR curly hair community
🤍 Celebrating the beauty of natural hair
👏 Curl tips, tricks + trends</t>
  </si>
  <si>
    <t>https://curlsmonthly.com/pages/subscribe</t>
  </si>
  <si>
    <t>curlyhairniyahfp</t>
  </si>
  <si>
    <t>Niyah ★</t>
  </si>
  <si>
    <t>FP FOR @niyahgotcurls 
Throwbacks + Support 🫀</t>
  </si>
  <si>
    <t>https://starzeed.store/store-2?fbclid=PAQ0xDSwK-i6tleHRuA2FlbQIxMQABp4oHY1FqJuOE93DSzrTcuB27i0JiaxnebSfXPzjT6CRbeWPdMb2PS7gQgixx_aem_DRC766WBPUPO2Zis8IyTXw</t>
  </si>
  <si>
    <t>fuzzycurls_</t>
  </si>
  <si>
    <t>Curly hair care</t>
  </si>
  <si>
    <t>Megha and Vibha
Want to collaborate? Email only 
Bangalore, India🇮🇳
Managed by @monkentertainment</t>
  </si>
  <si>
    <t>https://www.amazon.in/shop/fuzzycurls_</t>
  </si>
  <si>
    <t>ingecurls</t>
  </si>
  <si>
    <t>Curly Hair Style Tips</t>
  </si>
  <si>
    <t>⭐️Curly Hair Tips &amp; Tricks for Your Best Curls Ever
🔥Transform your Hair with our comprehensive guide and join over 2000 satisfied students👇</t>
  </si>
  <si>
    <t>https://pensight.com/x/ingecurls</t>
  </si>
  <si>
    <t>magic_hair_curly</t>
  </si>
  <si>
    <t>Curly hair</t>
  </si>
  <si>
    <t>Magic hair lanza su línea CURLY
Línea dermatológicamente comprobada🔬
𝑨𝒔𝒆𝒔𝒐𝒓𝒊𝒂 𝒑𝒆𝒓𝒔𝒐𝒏𝒍𝒊𝒛𝒂𝒅𝒂 : 314 840 1953
@magia_en_tu_cabello</t>
  </si>
  <si>
    <t>https://linktr.ee/magiaentucabelloo?utm_source=linktree_profile_share&amp;ltsid=3ac53ec4-fd0b-4ef2-9eb1-f757df0c459c</t>
  </si>
  <si>
    <t>mundo_de_rizos</t>
  </si>
  <si>
    <t>Curly Hair Salon/ Peluquería para rizos</t>
  </si>
  <si>
    <t>Transformamos y educamos sobre el Método Curly 🌀 
➕35.000 clientes con resultados increíbles
📍Valencia &amp; Barcelona
Reserva tu cita en este enlace👇</t>
  </si>
  <si>
    <t>https://www.mundoderizos.com/citasbarcelona</t>
  </si>
  <si>
    <t>adogsjourneymovie</t>
  </si>
  <si>
    <t>A Dog's Journey</t>
  </si>
  <si>
    <t>Own #ADogsJourney on Digital 8/6 and Blu-ray &amp; DVD 8/20</t>
  </si>
  <si>
    <t>http://uni.pictures/DogsJourney</t>
  </si>
  <si>
    <t>DOGS (by barkbox)</t>
  </si>
  <si>
    <t>Dog Park</t>
  </si>
  <si>
    <t>dogposting 24/7
run by @bark/@barkbox
DM for creds or removal</t>
  </si>
  <si>
    <t>http://bark.co</t>
  </si>
  <si>
    <t>dogsinapileband</t>
  </si>
  <si>
    <t>Dogs In A Pile</t>
  </si>
  <si>
    <t>Welcome to the #DogPound🐶!                          
Heading to California this September 🎉 
Links ⬇️</t>
  </si>
  <si>
    <t>http://dogsinapile.komi.io</t>
  </si>
  <si>
    <t>dogs.loversu</t>
  </si>
  <si>
    <t>Dog lovers 🥰</t>
  </si>
  <si>
    <t>We post cutest dog on internet 🐶
For the dog lovers 🥰</t>
  </si>
  <si>
    <t>dogs.loveru</t>
  </si>
  <si>
    <t>Dogs Lover 💕</t>
  </si>
  <si>
    <t>🐶 Keeping your pets healthy 🐶
👇 Get your liquid collagen here👇</t>
  </si>
  <si>
    <t>https://amzn.to/3GJ9y0R</t>
  </si>
  <si>
    <t>doodledogsclub</t>
  </si>
  <si>
    <t>Doodle Dogs | GoldenDoodles 🐻</t>
  </si>
  <si>
    <t>🐻 Biggest Doodle community of Instagram.
✉️ DM us for Removal/Credits/Feature/Advertising.</t>
  </si>
  <si>
    <t>goodlydogs</t>
  </si>
  <si>
    <t>Dogs 🐶😍</t>
  </si>
  <si>
    <t>📷🐾 Sharing the joy of fluffy cuddles and playful antics! 🐶❤️
📍 Exploring the world of puppies through the lens of cuteness! 🌟🐾
QZCsRR</t>
  </si>
  <si>
    <t>hatsukoi_dogs</t>
  </si>
  <si>
    <t>初恋DOGs ︴TBS7月期火曜ドラマ《公式》</t>
  </si>
  <si>
    <t>TBS7月期火曜ドラマ
︴初恋DOGs公式Instagram︴
愛犬同士の一目ぼれから始まる！
この夏、ナンバー“ワン”のラブストーリー🐾🫶🏼
《主演 : 清原果耶× 成田凌 × ナ・イヌ》</t>
  </si>
  <si>
    <t>pawffinity</t>
  </si>
  <si>
    <t>Dogs || Puppies || Wholesome</t>
  </si>
  <si>
    <t>😂 || Funny dog moments &amp; chaos daily
📢 || DM for shoutouts / promotions
Get 10% Off Dog Goodies Here 👇</t>
  </si>
  <si>
    <t>https://drunkpupshop.com/pawffinity</t>
  </si>
  <si>
    <t>thefaithfulanimal</t>
  </si>
  <si>
    <t>Dogs</t>
  </si>
  <si>
    <t>Embrace the joy of dogs! 🐾 
Join our pack for wagging tails &amp; adorable antics 🦴
Let's celebrate canine companionship! 🐶🌟</t>
  </si>
  <si>
    <t>buriecommerce</t>
  </si>
  <si>
    <t>Búri | Método E-commerce Exponencial</t>
  </si>
  <si>
    <t>🛒Fazemos seu e-commerce crescer exponencialmente
📈 Já ajudamos + de 2.000 lojas
👨🏻‍💻 Por @o.vinifonseca • 11 anos no e-commerce</t>
  </si>
  <si>
    <t>https://ecommerceexponencial.com.br/se-bio-nova-metodologia/?utm_source=instagram&amp;utm_medium=organic&amp;utm_campaign=captacao_bio</t>
  </si>
  <si>
    <t>ecommerce</t>
  </si>
  <si>
    <t>Ecommerce</t>
  </si>
  <si>
    <t>Find winning products, make winning ads</t>
  </si>
  <si>
    <t>https://winninghunter.com</t>
  </si>
  <si>
    <t>efficommerce</t>
  </si>
  <si>
    <t>EffiCommerce</t>
  </si>
  <si>
    <t>El mejor Software ERP, logístico y administrativo para eCommerce. Sedes: MDE, BOG, Cali, DMQ, GQUIL, STO DGO RD y GT. 🇨🇴🇪🇨🇩🇴🇬🇹</t>
  </si>
  <si>
    <t>https://efficommerce.taplink.ws</t>
  </si>
  <si>
    <t>giorgiaccolla</t>
  </si>
  <si>
    <t>Giorgia Accolla | E-commerce Coach</t>
  </si>
  <si>
    <t>Ho trasformato un’idea in un brand di successo online (+100k ordini), venduto ora anche in OVS &amp; Rinascente✨
Ora insegno come farlo anche a te 🛍️</t>
  </si>
  <si>
    <t>https://tally.so/r/3EgGzr</t>
  </si>
  <si>
    <t>guilherme.mornatti</t>
  </si>
  <si>
    <t>Guilherme Mornatti| E-Commerce</t>
  </si>
  <si>
    <t>🚀 | Escalo e-commerces há 11 anos 🛒
⚠️ | + 700M faturados em + 300 e-commmerces
👇🏻 | CLICA E VEJA COMO TE AJUDO A VENDER +👇🏻</t>
  </si>
  <si>
    <t>https://linkme.bio/guilhermemornatti</t>
  </si>
  <si>
    <t>hemant_ecom</t>
  </si>
  <si>
    <t>Hemant Kumar || E-Commerce Specialist</t>
  </si>
  <si>
    <t>🚀 Learn E-Commerce &amp; Online Business
📈 6+ Years of Experience 📍Delhi
💡 Essential Tips for Business Growth
📩 Training or Services 9717327998</t>
  </si>
  <si>
    <t>https://superprofile.bio/course/111add12-f1b3-4fd4-97af-879bd3452940</t>
  </si>
  <si>
    <t>pandoriumdigital</t>
  </si>
  <si>
    <t>Pandorium | Tráfego e Growth para E-Commerce</t>
  </si>
  <si>
    <t>🚀 | +R$200 MM alavancados para as maiores marcas do varejo
⬇️ | Escale sua marca com estratégia e eficiência</t>
  </si>
  <si>
    <t>https://www.pandorium.com.br/</t>
  </si>
  <si>
    <t>saqenza</t>
  </si>
  <si>
    <t>E-commerce</t>
  </si>
  <si>
    <t>Giyim | Seccade | Kur’an-ı Kerim | Çeyiz
Whatsapp 0542 610 34 23 📞</t>
  </si>
  <si>
    <t>http://saqenza.com</t>
  </si>
  <si>
    <t>saraeffi_</t>
  </si>
  <si>
    <t>Sara Montoya | E-commerce &amp; Liderazgo</t>
  </si>
  <si>
    <t>Cofundadora de @grupoeffi 
📦 E-commerce con latido estratégico @efficommerce 
⚜️ SER - HACER - TENER @effiwoman 
Nos vemos en mi comunidad 👇🏼</t>
  </si>
  <si>
    <t>https://docs.google.com/forms/d/e/1FAIpQLSeekjHtYgaemhZ8DzI-5yFQA7zZQRhkTyLokqSr-A3TgdUZyQ/viewform</t>
  </si>
  <si>
    <t>adidasfootball</t>
  </si>
  <si>
    <t>adidas Football</t>
  </si>
  <si>
    <t>F50 Made Me Do It 🤫
#YouGotThis</t>
  </si>
  <si>
    <t>https://linktr.ee/adidasfootball</t>
  </si>
  <si>
    <t>efootball</t>
  </si>
  <si>
    <t>eFootball</t>
  </si>
  <si>
    <t>The official #eFootball™ Instagram. Follow for updates and news. Free to Play, download link below.</t>
  </si>
  <si>
    <t>http://konami.jp/4nH5G10</t>
  </si>
  <si>
    <t>Football</t>
  </si>
  <si>
    <t>@nonstop</t>
  </si>
  <si>
    <t>http://nonstop.tv</t>
  </si>
  <si>
    <t>footballforever</t>
  </si>
  <si>
    <t>Football Forever</t>
  </si>
  <si>
    <t>🔥The hottest highlights in football from around the country straight to your feed. 
📱Breaking news, inside scoops &amp; exclusive
content everyday</t>
  </si>
  <si>
    <t>fsufootball</t>
  </si>
  <si>
    <t>FSU Football</t>
  </si>
  <si>
    <t>3x National Champions. 16x ACC Champions.</t>
  </si>
  <si>
    <t>https://youtu.be/CDZjHDUGz0k</t>
  </si>
  <si>
    <t>kufootball</t>
  </si>
  <si>
    <t>Kansas Football</t>
  </si>
  <si>
    <t>🔴 Welcome to the new era of Kansas Football 🔵
#RockChalk</t>
  </si>
  <si>
    <t>https://sprout.link/kufootball</t>
  </si>
  <si>
    <t>liverpoolfc</t>
  </si>
  <si>
    <t>Liverpool Football Club</t>
  </si>
  <si>
    <t>The 2024/25 Premier League champions!! 🏆🔴</t>
  </si>
  <si>
    <t>https://linktr.ee/liverpoolfootballclub</t>
  </si>
  <si>
    <t>lsufootball</t>
  </si>
  <si>
    <t>LSU Football</t>
  </si>
  <si>
    <t>The official Instagram of LSU Football, the four-time National Champions #GeauxTigers</t>
  </si>
  <si>
    <t>ndfootball</t>
  </si>
  <si>
    <t>Notre Dame Football</t>
  </si>
  <si>
    <t>God. Country. Notre Dame.</t>
  </si>
  <si>
    <t>https://goiri.sh/4n4Cgtq</t>
  </si>
  <si>
    <t>nikefootball</t>
  </si>
  <si>
    <t>Nike Football</t>
  </si>
  <si>
    <t>Be scary good.</t>
  </si>
  <si>
    <t>https://empli.fi/nikefootball/</t>
  </si>
  <si>
    <t>psufootballdaily</t>
  </si>
  <si>
    <t>Penn State Football</t>
  </si>
  <si>
    <t>🔵#1 Penn State Football Fan Page On Instagram⚪️
—
🏆| 2x National Champions
🥇| 13 Undefeated Seasons
🏈| 943 All Time Wins
💰| DONATE NOW!👇</t>
  </si>
  <si>
    <t>https://happyvalleyunited.com/pages/football</t>
  </si>
  <si>
    <t>uncfootball</t>
  </si>
  <si>
    <t>Carolina Football</t>
  </si>
  <si>
    <t>The official Instagram of the North Carolina Tar Heels football team. 
#TyleeStrongForever</t>
  </si>
  <si>
    <t>https://youtu.be/DTWmQR0dyG0?feature=shared</t>
  </si>
  <si>
    <t>agusfortnite2008</t>
  </si>
  <si>
    <t>AF2008</t>
  </si>
  <si>
    <t>ENTRADAS URUGUAY</t>
  </si>
  <si>
    <t>https://redtickets.uy/evento/SWAGGERBOYZ-en-Montevideo/22578/</t>
  </si>
  <si>
    <t>fncompetitive</t>
  </si>
  <si>
    <t>Fortnite Competitive</t>
  </si>
  <si>
    <t>The official channel for @Fortnite competitions. 
Watch the FNCS Pro-Am aftermovie ⬇️</t>
  </si>
  <si>
    <t>https://youtu.be/VMQxAe4Zf48</t>
  </si>
  <si>
    <t>fnfestival</t>
  </si>
  <si>
    <t>Fortnite Festival</t>
  </si>
  <si>
    <t>Welcome to #FortniteFestival 
Take your stage 🎙️
Jam with friends 🎸
ESRB: Teen - Lyrics</t>
  </si>
  <si>
    <t>https://empli.fi/fortnitefestival</t>
  </si>
  <si>
    <t>forrtnite</t>
  </si>
  <si>
    <t>Fortnite News</t>
  </si>
  <si>
    <t>Latest #Fortnite news, leaks, concepts, and more. Not affiliated with Epic Games or Fortnite!
⠀</t>
  </si>
  <si>
    <t>Fortnite</t>
  </si>
  <si>
    <t>The official Instagram account for #Fortnite, Battle Royale, Creative, and Save the World. Available on Mobile, PC &amp; Console!</t>
  </si>
  <si>
    <t>https://empli.fi/fortnite/</t>
  </si>
  <si>
    <t>fortnitebrfeed</t>
  </si>
  <si>
    <t>Fortnite Latest News, Updates, Leaks &amp; More.
(Not Affiliated With Fortnite or Epic Games)
✉️ fbrsocials@gmail.com</t>
  </si>
  <si>
    <t>fortnitees</t>
  </si>
  <si>
    <t>¡La cuenta oficial de @fortnite para hispanohablantes! 
Siempre da las gracias al bajar del autobús</t>
  </si>
  <si>
    <t>fortnitejp</t>
  </si>
  <si>
    <t>フォートナイト</t>
  </si>
  <si>
    <t>フォートナイトの日本語公式アカウント #フォートナイト バトルロイヤル、クリエイティブ、世界を救え(早期アクセス)</t>
  </si>
  <si>
    <t>fortnitelatam</t>
  </si>
  <si>
    <t>¡Bienvenidos a la cuenta oficial de @fortnite Latinoamérica! Battle Royale, Creativo y Salvar el Mundo.</t>
  </si>
  <si>
    <t>http://fn.gg/WebShop</t>
  </si>
  <si>
    <t>best_home_gadgets</t>
  </si>
  <si>
    <t>Best Home Gadgets</t>
  </si>
  <si>
    <t>🏠Innovative and Practical Products!
💡Unique Gadgets Everyday 🗓️ 
🔗𝗦𝗵𝗼𝗽 𝗡𝗼𝘄👇</t>
  </si>
  <si>
    <t>https://telegram.dog/besthomegadgetsss</t>
  </si>
  <si>
    <t>buythegadgets</t>
  </si>
  <si>
    <t>Buy The Gadgets</t>
  </si>
  <si>
    <t>Viral Home and Kitchen Items😍
👇SHOP NOW👇</t>
  </si>
  <si>
    <t>https://bit.ly/3dyIrXR</t>
  </si>
  <si>
    <t>daily_unique_gadgets</t>
  </si>
  <si>
    <t>Daily Unique gadgets</t>
  </si>
  <si>
    <t>🅿🆄🆁🅲🅷🅰🆂🅴 🅻🅸🅽🅺
   👇👇👇</t>
  </si>
  <si>
    <t>https://www.amazon.in/shop/ultra_gadgets4u</t>
  </si>
  <si>
    <t>enggadgets</t>
  </si>
  <si>
    <t>Engineering Gadgets</t>
  </si>
  <si>
    <t>Engineering page for engineering lovers.🚀
Engineering videos from all over the world.🌍
DM us Your's 🎥🌍
👇 Buy Here 👇</t>
  </si>
  <si>
    <t>https://nexeshop.com/products/anti-choking-device?sca_ref=8662319.YQ7rsvYnufsg75</t>
  </si>
  <si>
    <t>futuristic__modern_tech</t>
  </si>
  <si>
    <t>𝗧𝗲𝗰𝗵𝗻𝗼𝗹𝗼𝗴𝘆 | 𝗜𝗻𝗻𝗼𝘃𝗮𝘁𝗶𝗼𝗻| 𝗚𝗮𝗱𝗴𝗲𝘁𝘀</t>
  </si>
  <si>
    <t>💡 | Technology, where innovation meets imagination!| 
✈️ | WORLDWIDE SHIPPING 
🛒 | SHOP HERE 👇</t>
  </si>
  <si>
    <t>https://linktr.ee/FuturisticTe</t>
  </si>
  <si>
    <t>Gadgets</t>
  </si>
  <si>
    <t>🤖 Coolest inventions and gadgets!
🧠 Daily tech videos!
👉🏻Follow for more awesome content</t>
  </si>
  <si>
    <t>gadgetsbim</t>
  </si>
  <si>
    <t>The Gadget Shop 246</t>
  </si>
  <si>
    <t>📱🏷Quality Gadgets at the Best Prices
📍128 Roebuck Street (235-8431)
📍Shop 20 Tudor Street (250-5588)
📍Shop 8 Quayside Centre (255-2404)</t>
  </si>
  <si>
    <t>gadgetstrip</t>
  </si>
  <si>
    <t>Engineering &amp; Gadgets</t>
  </si>
  <si>
    <t>○Latest technology
○Perfect and Useful Gadgets 🔥
🛑shop now👇🏻</t>
  </si>
  <si>
    <t>https://www.spotsalenow.com/product-page/car-cymbal-air-vent-mini-drum-beatride-pro</t>
  </si>
  <si>
    <t>home.gadgets1</t>
  </si>
  <si>
    <t>Home Gadgets</t>
  </si>
  <si>
    <t>💥Магазин Уникальных товаров и гаджетов для дома и комфорта🏠
💥Доставка по всему Узбекистану 🚚 
📍Адрес: ЦУМ,ул Ислама Каримова 17Б после магазина Havas</t>
  </si>
  <si>
    <t>https://t.me/alihome_uz</t>
  </si>
  <si>
    <t>macabregadgets</t>
  </si>
  <si>
    <t>Macabre Gadgets</t>
  </si>
  <si>
    <t>Hand sculpted poetic jewelry - online store:</t>
  </si>
  <si>
    <t>https://macabregadgets.com/</t>
  </si>
  <si>
    <t>noocx.gadgets</t>
  </si>
  <si>
    <t>Noocx® - Smart Gadgets</t>
  </si>
  <si>
    <t>🌱 For Healthy Lifestyle
🌟 Smart gadgets that make your life easier
👇 FreeShipping! - Shop Now</t>
  </si>
  <si>
    <t>https://linkourbio.com/noocx/</t>
  </si>
  <si>
    <t>omg.gadget</t>
  </si>
  <si>
    <t>𝐎𝐌𝐆 𝐆𝐀𝐃𝐆𝐄𝐓𝐒 🇺🇸</t>
  </si>
  <si>
    <t>🔌 Daily Cool Tech &amp; Gadgets  
🚀 Future Tech • AI • Smart Life  
📦 Unboxing | Reviews | Deals  
👇 Explore the best in tech 👇</t>
  </si>
  <si>
    <t>rising.tech</t>
  </si>
  <si>
    <t>Technology • Gadgets • Tools</t>
  </si>
  <si>
    <t>🚀 | Posting Daily Tech | Viral | Funny Content 
🤖 | Coolest Inventions &amp; Gadgets</t>
  </si>
  <si>
    <t>smarthomegadgetss</t>
  </si>
  <si>
    <t>Smart Home Gadgets</t>
  </si>
  <si>
    <t>📲 Must-Have Gadgets for Modern Homes
⚙️ Viral Products | Smart Living
⏬ Click the link below🔗👇</t>
  </si>
  <si>
    <t>https://www.kurugadgets.com</t>
  </si>
  <si>
    <t>theamazing_gadgets</t>
  </si>
  <si>
    <t>𝗧𝗵𝗲 𝗔𝗺𝗮𝘇𝗶𝗻𝗴 𝗚𝗮𝗱𝗴𝗲𝘁𝘀</t>
  </si>
  <si>
    <t>🛒For Buy Any Product,🤸
👇 Visit Our Telegram Channel 👇</t>
  </si>
  <si>
    <t>https://telegram.dog/amazinggadgetsavailable</t>
  </si>
  <si>
    <t>unique__gadgets.india</t>
  </si>
  <si>
    <t>Unique gadgets</t>
  </si>
  <si>
    <t>ALL ITEMS LINK👇</t>
  </si>
  <si>
    <t>https://www.wishlink.com/uniquegadgets.india</t>
  </si>
  <si>
    <t>xtechnation</t>
  </si>
  <si>
    <t>gadgets, tech, &amp; inventions 🔌</t>
  </si>
  <si>
    <t>The best place to find new innovative products &amp; tech from entrepreneurs💡
📧 partnerships@xtechnation.xyz
📨 DM for credits/promotions</t>
  </si>
  <si>
    <t>fantech_esports</t>
  </si>
  <si>
    <t>Fantech Gaming Chile</t>
  </si>
  <si>
    <t>Fantech Esports
🏆 Únete al #TeamFantech 
⬇️ Encuentra tu nuevo #SetupGamer en ⬇️
FANTECHESPORTS.CL</t>
  </si>
  <si>
    <t>https://www.fantechesports.cl/</t>
  </si>
  <si>
    <t>Gaming by GAMELANCER</t>
  </si>
  <si>
    <t>Games. Gamers. Gaming. 🎮
Fastest growing gaming community on IG &amp; TT
Powered by Vertiqal Studios 🚀</t>
  </si>
  <si>
    <t>https://linktr.ee/gaming_insta</t>
  </si>
  <si>
    <t>gaminghousetz</t>
  </si>
  <si>
    <t>GAMING HOUSE</t>
  </si>
  <si>
    <t>gaming_storeccs</t>
  </si>
  <si>
    <t>Gaming✨Store🎮</t>
  </si>
  <si>
    <t>👾Tienda de Videojuegos
🎮 Accesorios, Consolas y ➕
📍CC Sambil Chacao, Nivel Autopista, Plaza La Fuente, Kiosko 1-A-J
📲Contáctanos</t>
  </si>
  <si>
    <t>gamingzar</t>
  </si>
  <si>
    <t>Gaming • Memes • Videos • News</t>
  </si>
  <si>
    <t>Your Home Of Gaming News &amp; Entertainment 🎮
Powered by @pubity
‎ 
🏘️ Join The Fastest Growing Gaming Community</t>
  </si>
  <si>
    <t>houseofgaming</t>
  </si>
  <si>
    <t>House Of Gaming</t>
  </si>
  <si>
    <t>All things video games.</t>
  </si>
  <si>
    <t>mathys_gaming</t>
  </si>
  <si>
    <t>mathys</t>
  </si>
  <si>
    <t>🏆9e français de Monopoly 😎
🕹 130K fous sur youtube
🎮 Ma chaîne youtube ⬇️</t>
  </si>
  <si>
    <t>http://bit.ly/2ePEAm7</t>
  </si>
  <si>
    <t>arloguitar</t>
  </si>
  <si>
    <t>Arlo Guitar</t>
  </si>
  <si>
    <t>Guitar tutorials and covers! Any genre, any song.</t>
  </si>
  <si>
    <t>http://tiktok.com/@arloguitar</t>
  </si>
  <si>
    <t>Guitar.com</t>
  </si>
  <si>
    <t>The destination for all things guitar.</t>
  </si>
  <si>
    <t>https://bnd.link/guitar</t>
  </si>
  <si>
    <t>guitaraz0</t>
  </si>
  <si>
    <t>🎸 Guitar Love 💕</t>
  </si>
  <si>
    <t>🎸 | We Love #guitar 💞
💘 | 𝐃𝐚𝐢𝐥𝐲 Pics and Vids 🌞
☀ | Follow uS #followforfollowback 👇 🐾</t>
  </si>
  <si>
    <t>https://zshorten.com/oOy6d</t>
  </si>
  <si>
    <t>guitarcenter</t>
  </si>
  <si>
    <t>Guitar Center</t>
  </si>
  <si>
    <t>Find your sound.</t>
  </si>
  <si>
    <t>https://linkin.bio/guitarcenter</t>
  </si>
  <si>
    <t>guitarsecret</t>
  </si>
  <si>
    <t>Guitar Secret</t>
  </si>
  <si>
    <t>guitarworldmagazine</t>
  </si>
  <si>
    <t>Guitar World</t>
  </si>
  <si>
    <t>The world’s biggest guitar magazine and website. Est. 1980.</t>
  </si>
  <si>
    <t>https://likeshop.me/guitarworldmagazine</t>
  </si>
  <si>
    <t>lz.guitar</t>
  </si>
  <si>
    <t>Adam LZ Guitar</t>
  </si>
  <si>
    <t>My journey playing guitar and progression over time. Hoping to inspire more people to pick up instruments and jam!
*Original riffs unless noted*</t>
  </si>
  <si>
    <t>matteomancuso.guitar</t>
  </si>
  <si>
    <t>Matteo Mancuso</t>
  </si>
  <si>
    <t>#guitarist 📍Palermo 🇮🇹
Management: michele@egealive.com</t>
  </si>
  <si>
    <t>https://www.matteomancuso.net</t>
  </si>
  <si>
    <t>strumlogic</t>
  </si>
  <si>
    <t>Guitar tutorials</t>
  </si>
  <si>
    <t>Music Lessons &amp; Instruction School</t>
  </si>
  <si>
    <t>gymcabin</t>
  </si>
  <si>
    <t>Gym | Fitness | Motivation</t>
  </si>
  <si>
    <t>🔥 | Follow to get stronger💪
🔥 | Getfitness accessories 🏋️‍♂️</t>
  </si>
  <si>
    <t>http://bit.ly/gymcabinstore</t>
  </si>
  <si>
    <t>gym.legends</t>
  </si>
  <si>
    <t>Bodybuilding | Memes | Nutrition | Motivation</t>
  </si>
  <si>
    <t>Daily Viral Content | DM for Collabs | Promo 
👥 Join 1.5M+ Gym Rats Growing Daily</t>
  </si>
  <si>
    <t>http://www.gymlegends.co</t>
  </si>
  <si>
    <t>gymmemesandmotivation</t>
  </si>
  <si>
    <t>Gym Memes Motivation Official</t>
  </si>
  <si>
    <t>💪  Gym Memes page</t>
  </si>
  <si>
    <t>gym_motiivatiion</t>
  </si>
  <si>
    <t>【𝐠𝐲𝐦_𝐦𝐨𝐭𝐢𝐯𝐚𝐭𝐢𝐨𝐧】</t>
  </si>
  <si>
    <t>𝐅𝐢𝐭𝐧𝐞𝐬𝐬🌟𝐖𝐨𝐫𝐤𝐨𝐮𝐭🌟𝐦𝐨𝐭𝐢𝐯𝐚𝐭𝐢𝐨𝐧🌟
𝐃𝐦 𝐅𝐨𝐫 𝐏𝐫𝐨𝐦𝐨𝐭𝐢𝐨𝐧 | 𝐒𝐡𝐨𝐮𝐭𝐨𝐮𝐭🌟</t>
  </si>
  <si>
    <t>gymmotivation</t>
  </si>
  <si>
    <t>Fitness Motivation</t>
  </si>
  <si>
    <t>#GymMotivation
💯The OG Gym Page on IG
Follow 👉 @MuscleNation
Shop The Best Gym Gear + Supps⤵️</t>
  </si>
  <si>
    <t>https://musclenation.org/pages/mens?utm_source=ig&amp;utm_medium=organic&amp;utm_campaign=mn-mens-story-link-03-23</t>
  </si>
  <si>
    <t>gym_motivation_0.2</t>
  </si>
  <si>
    <t>Follow For Free Transformation 
Diet Chart 
Workout Plans 
Customised Plans 
DM For Collaboration 📥</t>
  </si>
  <si>
    <t>gym_motivation021</t>
  </si>
  <si>
    <t>GYM MOTIVATION {20K🎯}</t>
  </si>
  <si>
    <t>Fitness | Motivation | Power 
When life gives you pain, Go to the Gym
© Dm or email for Promo</t>
  </si>
  <si>
    <t>gym__motivation__10</t>
  </si>
  <si>
    <t>Gym Motivation</t>
  </si>
  <si>
    <t>🎯| Real Knowledge For Real Gains
🌟| Sweat Now And Shine Later
ℹ| No BS. Just The Right Way To Train...</t>
  </si>
  <si>
    <t>gym_motivation_64k</t>
  </si>
  <si>
    <t>gym motivation 10k</t>
  </si>
  <si>
    <t>hello gym boys 
        "Transforming one rep at a time 🔥 | Fitness isn’t a goal, it’s a lifestyle"
 "हर एक रेप के साथ खुद को बदल रहा हूं</t>
  </si>
  <si>
    <t>gym_online</t>
  </si>
  <si>
    <t>Fitness/Gym Motivation 💪</t>
  </si>
  <si>
    <t>Ⓜ️Motivation🏋Training🥑Nutrition💫Inspiration
📬Business: advertisingfit@gmail.com
📲KIK: advertisingfit</t>
  </si>
  <si>
    <t>gym_workout_club</t>
  </si>
  <si>
    <t>gym motivation 💪</t>
  </si>
  <si>
    <t>💪gym motivation 💪
 Support for -🎯50k 
💪Motivational video 📽</t>
  </si>
  <si>
    <t>trinityfitnessforwomen</t>
  </si>
  <si>
    <t>Trinity Fitness For Women | Gym Motivation | Humor</t>
  </si>
  <si>
    <t>“We lift weights &amp; curse a-lot, but we do it like f*ckn ladies”
Follow for gym motivation &amp; humor b/c mental health matters
⬇️ Services &amp; Support</t>
  </si>
  <si>
    <t>https://linktr.ee/trinityfitnessforwomen</t>
  </si>
  <si>
    <t>agathem.illustration</t>
  </si>
  <si>
    <t>agathe marty</t>
  </si>
  <si>
    <t>inspired by the sun 🌞
〰️ freelance illustrator from France
〰️ illustration + pattern design
〰️ hello@agathemarty.com
↓shop + brush pack + work with me</t>
  </si>
  <si>
    <t>https://www.agathemarty.com/links</t>
  </si>
  <si>
    <t>aishrillustrations</t>
  </si>
  <si>
    <t>Aishwarya Ravichandran</t>
  </si>
  <si>
    <t>Artist &amp; Illustrations Studio
For my merch &amp; more : @aishrthestore 
Write to us for projects
&amp; for collabs 💌 care@aishrthestore.com</t>
  </si>
  <si>
    <t>https://aishrthestore.com/collections/aishr-500</t>
  </si>
  <si>
    <t>artguide_illustration</t>
  </si>
  <si>
    <t>Artguide illustration</t>
  </si>
  <si>
    <t>❤️How to be featured? Write direct message.</t>
  </si>
  <si>
    <t>hnicholsillustration</t>
  </si>
  <si>
    <t>Holly Nichols</t>
  </si>
  <si>
    <t>Fashion Artist/Author 📍Boston
👩🏼‍🎨 Personal: @hollylivingartfully 
🎥TikTok “Holly_Nichols”, 6mil
🛍 ⬇️ Shop My Art, 📧 gabriela@koshu.co</t>
  </si>
  <si>
    <t>https://hnillustration.etsy.com</t>
  </si>
  <si>
    <t>illustration_best</t>
  </si>
  <si>
    <t>Best illustrations❤️</t>
  </si>
  <si>
    <t>👉Contact: watercolor.guide@gmail.com
Feature info👇</t>
  </si>
  <si>
    <t>https://t.me/vadim_arts</t>
  </si>
  <si>
    <t>lucyclaireillustration</t>
  </si>
  <si>
    <t>Lucy Claire Dunbar</t>
  </si>
  <si>
    <t>For business enquiries please email  contact@lucyclaireillustration.com 
First book available to order now link below.</t>
  </si>
  <si>
    <t>neg_illustration</t>
  </si>
  <si>
    <t>Neg</t>
  </si>
  <si>
    <t>Japanese illustrator
📩negsan101@gmail.com
https://twitter.com/101Neg
https://www.pixiv.net/users/1566023</t>
  </si>
  <si>
    <t>https://youtube.com/@negillustration7151?si=nNMnKCVnZcV_3MkU</t>
  </si>
  <si>
    <t>os.illustration</t>
  </si>
  <si>
    <t>Ollie Smither</t>
  </si>
  <si>
    <t>↟ Illustrator &amp; Adventurer 
↟ dm me for custom artwork 📩 
↟ Tattoos - Branding - illustration 
↟ Devon, UK
↟ 👇🏼 Shop👇🏼 Goods - Clothing &amp; prints</t>
  </si>
  <si>
    <t>https://linktr.ee/Os.illustration</t>
  </si>
  <si>
    <t>rem.illustrations</t>
  </si>
  <si>
    <t>Rem</t>
  </si>
  <si>
    <t>📨 Email: Remillustrations1@gmail.com
✍🏽 GraphicArtist
SHOP BELOW</t>
  </si>
  <si>
    <t>http://rem-illustrations.co.uk/.</t>
  </si>
  <si>
    <t>womenofillustration</t>
  </si>
  <si>
    <t>Women of Illustration: Art Marketing Tips</t>
  </si>
  <si>
    <t>👋 Hi I’m Dean: @lettershoppenation 
🎨 Helping artists make money online
👇 Coaching / Courses / Free Blog</t>
  </si>
  <si>
    <t>https://www.womenofillustration.com/links</t>
  </si>
  <si>
    <t>ceos.circle</t>
  </si>
  <si>
    <t>Investing/mindset/NFT</t>
  </si>
  <si>
    <t>👑 | Become the CEO in your family
👨‍💻 | Learn how to make money online
💰 | Daily money tips</t>
  </si>
  <si>
    <t>https://youtube.com/@ceos.circle</t>
  </si>
  <si>
    <t>goodstudent_investing</t>
  </si>
  <si>
    <t>GS Investing</t>
  </si>
  <si>
    <t>Pioneering the future of #investing 🇺🇸 Analyst 📈 10 years deep 
Founder @268capital.io  Get My Research ↓</t>
  </si>
  <si>
    <t>https://t.mtrbio.com/gsinvesting</t>
  </si>
  <si>
    <t>ianbuildswealth</t>
  </si>
  <si>
    <t>Ian Group | Money &amp; Investing</t>
  </si>
  <si>
    <t>🙌 Helping millennials achieve financial freedom
✨ Paid off $230K debt
DM me “TIPS” to get my weekly newsletter</t>
  </si>
  <si>
    <t>Investing</t>
  </si>
  <si>
    <t>💲 Your Elite Source for Wealth Strategy
🧠 Content for Entrepreneurs &amp; Investors
💰 @investing Starts with YOU!</t>
  </si>
  <si>
    <t>_investing</t>
  </si>
  <si>
    <t>Money talks, let us translate for you. 🎯 
- Best in finance 💸 
- Follow for money management tips 👇🏻</t>
  </si>
  <si>
    <t>investing.asesores</t>
  </si>
  <si>
    <t>Bolsa de valores | Inversión | Finanzas</t>
  </si>
  <si>
    <t>📊 Capacitación y asesoría  
📚 Workshops de Bolsa  
📍Lima/ New York
Información 👇</t>
  </si>
  <si>
    <t>https://linktr.ee/investing.asesores</t>
  </si>
  <si>
    <t>investingcom</t>
  </si>
  <si>
    <t>Investing.com</t>
  </si>
  <si>
    <t>Financial Markets and News for Everyone, Everywhere 📊💸🌏</t>
  </si>
  <si>
    <t>https://linktr.ee/investing.com</t>
  </si>
  <si>
    <t>investingmentors</t>
  </si>
  <si>
    <t>The #1 Investment Page📈</t>
  </si>
  <si>
    <t>📊| The best page to grow your #wealth
📩| DM for inquiries
💸| Follow to achieve Financial Freedom</t>
  </si>
  <si>
    <t>investingportal</t>
  </si>
  <si>
    <t>Investing | Entrepreneurship</t>
  </si>
  <si>
    <t>#1 Page for Investors
📊 | Invest for the Long Term
📩 | Dm for Ads/Promos
💻 | Entrepreneurship &amp; Finance</t>
  </si>
  <si>
    <t>passioninvesting</t>
  </si>
  <si>
    <t>Passion Investing</t>
  </si>
  <si>
    <t>🔥 Entertainment, Humour &amp; Mindset
🌟 CHANGING People Lives Positively
👇 Follow for daily positivity</t>
  </si>
  <si>
    <t>pivotben</t>
  </si>
  <si>
    <t>Investing Tips | Tax Saving Hacks | Ben Nash</t>
  </si>
  <si>
    <t>Financial Planner</t>
  </si>
  <si>
    <t>🤑 Learn how to invest smarter &amp; save tax
🚀 AU’s most followed financial adviser
👨‍💼 Founder @pivotwealth  
👇free content👇 ⚠️ Not Advice ⚠️</t>
  </si>
  <si>
    <t>http://linktr.ee/pivotwealth/</t>
  </si>
  <si>
    <t>shesonthemoneyaus</t>
  </si>
  <si>
    <t>She’s On The Money | Investing + Money Education</t>
  </si>
  <si>
    <t>💸 Finance Tips &amp; Tricks
🎙️ Podcast Eps every week   
💌 300k+ friends in our FB group 
👇🏼Join The Investing Masterclass
by @victoria_devine</t>
  </si>
  <si>
    <t>http://bio.site/shesonthemoney</t>
  </si>
  <si>
    <t>stock_masters_</t>
  </si>
  <si>
    <t>📈Stock Market Investing 🇺🇸</t>
  </si>
  <si>
    <t>📊 Learn the BEST Dividend Stocks
🔥 Achieve Financial Freedom With Stocks
👇 Elevate Your Stock Market Investing Game</t>
  </si>
  <si>
    <t>https://linktr.ee/stock_masters_</t>
  </si>
  <si>
    <t>stocksandsavings</t>
  </si>
  <si>
    <t>Andreea Ion | Investing Education &amp; Money Tips UK</t>
  </si>
  <si>
    <t>👥 Andreea &amp; Jamie 
🇬🇧 Millennial couple helping busy Brits build wealth
🏆 Best Investment Finfluencer 2024
👉 DM "GUIDE" for our free investing guide</t>
  </si>
  <si>
    <t>http://www.stocksandsavings.com</t>
  </si>
  <si>
    <t>thelegacyinvestingshow</t>
  </si>
  <si>
    <t>Preston Seo | Legacy Investing Show 💸</t>
  </si>
  <si>
    <t>📈 8 Figure Investor
🤝 1000+ Entrepreneurs Helped
➡️ Cut Your Tax Bill By $30K+ And Add Six Figures To Your Investment Portfolio👇👇👇</t>
  </si>
  <si>
    <t>https://www.managemoney101.com/2025workshop</t>
  </si>
  <si>
    <t>girl_group1111</t>
  </si>
  <si>
    <t>k-pop 걸그룹</t>
  </si>
  <si>
    <t>걸그룹 모음및 움짤
K-pop girl group</t>
  </si>
  <si>
    <t>kpop.armpit.nation</t>
  </si>
  <si>
    <t>K-Pop Armpit Nation</t>
  </si>
  <si>
    <t>🙋🏻‍♀️ Check out zoomable collections in the link below.</t>
  </si>
  <si>
    <t>https://ganknow.com/k1ptnation</t>
  </si>
  <si>
    <t>kpopdemonhuntersnetflix</t>
  </si>
  <si>
    <t>Kpop Demon Hunters Netflix</t>
  </si>
  <si>
    <t>The official home of KPop Demon Hunters. 💜✨</t>
  </si>
  <si>
    <t>kpopdemonhuntrs</t>
  </si>
  <si>
    <t>Kpop Demon Hunters🎤</t>
  </si>
  <si>
    <t>🎧Kpop groups HUNTR/X • SAJABOYS
🎤 KPop Demon Hunters now on Netflix.
🎶Fan Page l Not Associated With Any Brand Or Compan</t>
  </si>
  <si>
    <t>kpopredict</t>
  </si>
  <si>
    <t>kpopredict | K-POP Tahmin Çevirileri 💫</t>
  </si>
  <si>
    <t>K-POP Prediction "Translation" Page
↪️Subsidiary: @mimi.magazines
💜  | 11.11.2018</t>
  </si>
  <si>
    <t>https://instabio.cc/kpopredictcard</t>
  </si>
  <si>
    <t>kpopunderground</t>
  </si>
  <si>
    <t>K-Pop Underground</t>
  </si>
  <si>
    <t>Daily underground K-pop news</t>
  </si>
  <si>
    <t>k_pop.viral</t>
  </si>
  <si>
    <t>gemini ♊ boyz</t>
  </si>
  <si>
    <t>https://www.instagram.com/k_pop.viral?igsh=cjFlZDQ5ajVlbnZ5</t>
  </si>
  <si>
    <t>livenation.kpop</t>
  </si>
  <si>
    <t>Live Nation KPOP</t>
  </si>
  <si>
    <t>Bringing you the best in KPOP live music &amp; entertainment!</t>
  </si>
  <si>
    <t>https://linkin.bio/livenation-kpop</t>
  </si>
  <si>
    <t>panncafe</t>
  </si>
  <si>
    <t>K-POP NEWS PORTAL</t>
  </si>
  <si>
    <t>Sumber no.1 buat berita terhangat di kalangan netizen Korea Selatan
Partnership/business inq 📩 k.panncafe2@gmail.com</t>
  </si>
  <si>
    <t>thektea</t>
  </si>
  <si>
    <t>K-pop (케이팝 뉴스) | International News</t>
  </si>
  <si>
    <t>• 🌍 | Your Everyday Daily News</t>
  </si>
  <si>
    <t>fwee_makeup_jp</t>
  </si>
  <si>
    <t>フィー fwee 日本公式 official</t>
  </si>
  <si>
    <t>𝐹𝑒𝑒𝑙 𝑦𝑜𝑢𝑟 𝑚𝑜𝑚𝑒𝑛𝑡</t>
  </si>
  <si>
    <t>https://linktr.ee/fwee_makeup_jp</t>
  </si>
  <si>
    <t>idoshohat_makeup</t>
  </si>
  <si>
    <t>Make Up By Ido Shohat</t>
  </si>
  <si>
    <t>מאפר &amp; יוצר IDS Beauty ✨
💄 מוצרי איפור ממכרים שיגרמו לך להתאהב
👨‍🍼אבא לאלי
קישור לחנות :</t>
  </si>
  <si>
    <t>http://www.idoshohat.com/</t>
  </si>
  <si>
    <t>j_make_up</t>
  </si>
  <si>
    <t>Jelena Peric</t>
  </si>
  <si>
    <t>Makeup|Fashion|Lifestyle
Tiktok | @j_make_up
Youtube</t>
  </si>
  <si>
    <t>https://youtube.com/@jelenaperic5254?si=xCiRER__WC0k9Kus</t>
  </si>
  <si>
    <t>lorin_sh_makeupartist</t>
  </si>
  <si>
    <t>Lorin Shukrani MAKE UP</t>
  </si>
  <si>
    <t>Freelance Bridal Makeup artist 
BEAUTY MAKEOVER  . 
For more info - 0522202244 📞
kvital1709@gmail.com
מָה אָשִׁיב לְךָ מָה שֶׁשֶּׁלִּי הֲרֵי שֶׁלְּךָ</t>
  </si>
  <si>
    <t>Your #1 source for makeup tips, tricks, and hacks!💄
📧sales@10pmcurfew.com
By: @10pmcurfew</t>
  </si>
  <si>
    <t>https://linkin.bio/10pmcurfew/</t>
  </si>
  <si>
    <t>makeupforever</t>
  </si>
  <si>
    <t>MAKE UP FOR EVER</t>
  </si>
  <si>
    <t>CO-CREATED WITH OUR PROS.
We are a collective of makeup artists co-creating high-performance products and services to unleash your personal edge.</t>
  </si>
  <si>
    <t>https://www.makeupforever.com</t>
  </si>
  <si>
    <t>makeupsface</t>
  </si>
  <si>
    <t>Newest hacks and makeup trends 💄</t>
  </si>
  <si>
    <t>makeupstore</t>
  </si>
  <si>
    <t>MAKE UP STORE</t>
  </si>
  <si>
    <t>A Swedish cosmetics brand founded in 1996. 
📷 Share your looks and tag us with @makeupstore</t>
  </si>
  <si>
    <t>https://lyko.com/sv/make-up-store</t>
  </si>
  <si>
    <t>makeupwlp</t>
  </si>
  <si>
    <t>Makeupwlp</t>
  </si>
  <si>
    <t>all things beauty🧚🏼✨🎀
@thebloggeragent 
makeupwlp@thebloggeragent.co.uk</t>
  </si>
  <si>
    <t>https://www.tiktok.com/@makeupwlp?_t=8ocAnFHpuE4&amp;_r=1</t>
  </si>
  <si>
    <t>orpazzohar_makeup</t>
  </si>
  <si>
    <t>ORPAZ ZOHAR MAKE UP</t>
  </si>
  <si>
    <t>ORPAZ ZOHAR | 𝖬𝖠𝖪𝖤𝖴𝖯 ARTIST 
___________________________
+𝟫𝟩𝟤𝟧𝟢𝟧𝟩𝟪𝟤𝟩𝟤𝟩
orpazzohar22@gmail.com</t>
  </si>
  <si>
    <t>rcmamakeup</t>
  </si>
  <si>
    <t>RCMA MAKE-UP</t>
  </si>
  <si>
    <t>RCMA was founded in 1963 by renown makeup artist Vincent Kehoe. Considered one of the best by professionals around the world! #rcmamakeup #rcma</t>
  </si>
  <si>
    <t>http://rcmamakeup.com/</t>
  </si>
  <si>
    <t>rikiperetzmakeup</t>
  </si>
  <si>
    <t>Riki Peretz - Bridel &amp; evening makeup</t>
  </si>
  <si>
    <t>Brides • Evening • Fashion
0526126122 📞
Rikiperetz11@gmail.com</t>
  </si>
  <si>
    <t>tali_moas_makeup</t>
  </si>
  <si>
    <t>Tali Moas</t>
  </si>
  <si>
    <t>Tali Moas|טלי מואס 
Makeup artist|מאפרת מקצועית
Brides, Evening &amp; Fashion|כלות, ערב ואופנה
0544712701
🇮🇱</t>
  </si>
  <si>
    <t>comedyslam</t>
  </si>
  <si>
    <t>Memes</t>
  </si>
  <si>
    <t>Funny Videos, Memes, News, &amp; Entertainment 📺 
📧management@slamsocial.biz 📲Telegram: SlamSocial</t>
  </si>
  <si>
    <t>http://slamsocial.biz</t>
  </si>
  <si>
    <t>fruitsnacks</t>
  </si>
  <si>
    <t>MEMES</t>
  </si>
  <si>
    <t>🏅 Voted Best Meme Page of 2025
➕ Follow &amp; Bless your Feed</t>
  </si>
  <si>
    <t>greatbritish.memes</t>
  </si>
  <si>
    <t>Great British Memes 🇬🇧</t>
  </si>
  <si>
    <t>The HOME for Great British Memes, entertainment &amp; news🇬🇧
Submit content via DM!📩
Part of @gbmmediagroup
Business - DM or email contact@gbmgroup.co.uk📧</t>
  </si>
  <si>
    <t>https://linktr.ee/greatbritishmemes</t>
  </si>
  <si>
    <t>hoodmemeclub</t>
  </si>
  <si>
    <t>1️⃣8️⃣+ 😈❗️</t>
  </si>
  <si>
    <t>ight</t>
  </si>
  <si>
    <t>Everyone sends you my memes, but you’re not following me? 😔 @IGHT 
@fashionnova 
ight@heavecorp.com 📧</t>
  </si>
  <si>
    <t>https://www.fashionnova.com/collections/new?utm_source=influencer&amp;utm_medium=promo&amp;utm_campaign=ight</t>
  </si>
  <si>
    <t>memegod</t>
  </si>
  <si>
    <t>If you’re new around here, don’t forget to follow me for more funny memes 🫡</t>
  </si>
  <si>
    <t>meme.ig</t>
  </si>
  <si>
    <t>Memes | News | Entertainment
​🌎The #1 Meme Community On Earth
​📧hello@mememedia.co | tele: memeigbiz @fashionnova @promote</t>
  </si>
  <si>
    <t>https://linktr.ee/meme_ig</t>
  </si>
  <si>
    <t>Memes.com</t>
  </si>
  <si>
    <t>@memes: the universal language of laughter
✉️biz inquiries 👉 memes@memes.com</t>
  </si>
  <si>
    <t>https://linktr.ee/memesmedia</t>
  </si>
  <si>
    <t>memesbrasil</t>
  </si>
  <si>
    <t>Memes Brasil</t>
  </si>
  <si>
    <t>🦜Aqui tem meme, virais, cultura pop e os trending topics
📧 comercial@memesbrasil.com.br
📰 imprensa@memesbrasil.com.br
Por @giancarloalves</t>
  </si>
  <si>
    <t>https://whatsapp.com/channel/0029VaZDzsE5PO0uZo5hyV0N</t>
  </si>
  <si>
    <t>memes_by_oke</t>
  </si>
  <si>
    <t>Alien memes👽</t>
  </si>
  <si>
    <t>&gt;  sent from Memesville ✨
&gt; 30k?💜
&gt;B.UP ACCT @memesbyoke_backup
&gt; a meme god
~if the world was ending 💜 ~
&gt;Check out my memes WhatsApp tv⤵</t>
  </si>
  <si>
    <t>memescollect</t>
  </si>
  <si>
    <t>Memes by Michael</t>
  </si>
  <si>
    <t>Watch the meme collection grow 🔬
Dm @cig for business/credits/removals</t>
  </si>
  <si>
    <t>http://memescollect.com</t>
  </si>
  <si>
    <t>memezar</t>
  </si>
  <si>
    <t>MEMEZAR • MEMES &amp; MEME-CULTURE</t>
  </si>
  <si>
    <t>📺 The No.1 community for internet culture on Instagram 
⠀⠀⠀⠀⠀⠀⠀⠀⠀⠀⠀⠀ ⠀⠀
⬇️ Join Meme Makers &amp; prove you can make memes too</t>
  </si>
  <si>
    <t>slams</t>
  </si>
  <si>
    <t>🃏⇝ NOT your average meme page
📫⇝ dm for promo
👇🏽 backup</t>
  </si>
  <si>
    <t>http://instagr.am/slamsv2</t>
  </si>
  <si>
    <t>uncrustable.memess</t>
  </si>
  <si>
    <t>Uncrustablememess</t>
  </si>
  <si>
    <t>Personal - @zosterday (dm for credit/removals)</t>
  </si>
  <si>
    <t>aminecraftmovie</t>
  </si>
  <si>
    <t>A Minecraft Movie</t>
  </si>
  <si>
    <t>A new kind of block-buster. #MinecraftMovie is Available on Digital and 4K Ultra HD Now!</t>
  </si>
  <si>
    <t>https://fandan.co/MinecraftMovie</t>
  </si>
  <si>
    <t>anilan.dublaj.uz</t>
  </si>
  <si>
    <t>🧨MINECRAFT🧨</t>
  </si>
  <si>
    <t>💀GROX💀</t>
  </si>
  <si>
    <t>https://t.me/grox70</t>
  </si>
  <si>
    <t>crafters.mc</t>
  </si>
  <si>
    <t>MINECRAFT | MEMES | BUILDS</t>
  </si>
  <si>
    <t>🗣️ creeper? aww, man
⛏️ daily crafter content
📈 351.998 / 355.000 following</t>
  </si>
  <si>
    <t>Minecraft</t>
  </si>
  <si>
    <t>Survive the night, or build a work of art.​
Welcome to Minecraft.​
ESRB RATING: EVERYONE 10+ with Fantasy Violence</t>
  </si>
  <si>
    <t>http://linktr.ee/minecraft</t>
  </si>
  <si>
    <t>minecraftbuilddecoration</t>
  </si>
  <si>
    <t>𝗠𝗶𝗻𝗲𝗰𝗿𝗮𝗳𝘁 𝗕𝘂𝗶𝗹𝗱𝘀 &amp; 𝗜𝗻𝘀𝗽𝗶𝗿𝗮𝘁𝗶𝗼𝗻</t>
  </si>
  <si>
    <t>🏆 • Official #1 Minecraft Building Page
🌿 • Daily Builds &amp; Tutorials 
🌎 • Check out the link below for more
════════════</t>
  </si>
  <si>
    <t>https://youtu.be/18WJnoYr6j4</t>
  </si>
  <si>
    <t>minecraft.ice2025</t>
  </si>
  <si>
    <t>ICE</t>
  </si>
  <si>
    <t>Thank you for following. I’m an AE editor from China. 
I love Minecraft.</t>
  </si>
  <si>
    <t>https://www.youtube.com/channel/UCPL1J-xlwna08_tSUhyR-hQ</t>
  </si>
  <si>
    <t>lnsta.nails</t>
  </si>
  <si>
    <t>Insta Nails</t>
  </si>
  <si>
    <t>💅 | Daily Nails photos &amp; videos
💯 | Follow us @lnstanail
📥 | DM for Promotion | Credit | Removal</t>
  </si>
  <si>
    <t>https://divierse.com/products/auto-led-usb-magnetic-wood-wireless-night-light-corridors-porch-lights-pir-motion-sensor-wall-light-cabinet-lamp</t>
  </si>
  <si>
    <t>minea.nails</t>
  </si>
  <si>
    <t>Nails By Minea Bergström</t>
  </si>
  <si>
    <t>Nail Salon</t>
  </si>
  <si>
    <t>ɴᴀɪʟ ᴀʀᴛɪꜱᴛ @mineasofia 🦋
ʙᴀꜱᴇᴅ ɪɴ ꜰɪɴʟᴀɴᴅ, ᴊᴏᴇɴꜱᴜᴜ 🇫🇮
ᴛʀᴀɪɴᴇʀ @jet_set_beauty_nails 
@luxinicrystals ᴄᴏᴅᴇ ”MINEA10”
ᴏɴʟɪɴᴇ ʙᴏᴏᴋɪɴɢ ꜰʀᴏᴍ ᴛɪᴍᴍᴀ.ꜰɪ ↓</t>
  </si>
  <si>
    <t>https://linktr.ee/minea.nails</t>
  </si>
  <si>
    <t>Nails</t>
  </si>
  <si>
    <t>@anothermars_ae 
🏠🌴 Dubai's Relaxation Oasis • Couples Massage •Wellness
📱 Book Now: 04 665 8676
💆‍♀️ New: Japanese Head Spa 
📍 Jumeirah 3, Dubai</t>
  </si>
  <si>
    <t>actress_devotee7</t>
  </si>
  <si>
    <t>OOTD</t>
  </si>
  <si>
    <t>Actress collections available !
DM for Collaboration and Promotions 
Paid works done</t>
  </si>
  <si>
    <t>ebrusootds</t>
  </si>
  <si>
    <t>Ebru Erol-H. |  OOTD</t>
  </si>
  <si>
    <t>📍 MUC
Ebrus Outfit of the day 🐣
Daily modest Outfits 👗
Mommy Content 👶</t>
  </si>
  <si>
    <t>https://amzn.to/4dFg1UX</t>
  </si>
  <si>
    <t>mili2gram___</t>
  </si>
  <si>
    <t>𝐎𝐫𝐝𝐞𝐫 - 𝐎𝐎𝐓𝐃- 𝐎𝐮𝐭𝐟𝐢𝐭 𝐍𝐚𝐦</t>
  </si>
  <si>
    <t>Bag, shoes @mili2gram.bag.shoe___ 
Order ifashion, local brand 
Time : 1-2 tuần 
🌷Ship quốc tế ( Hàn, Nhật )</t>
  </si>
  <si>
    <t>https://s.shopee.vn/3VYOHNZo0r</t>
  </si>
  <si>
    <t>onl_ootd_</t>
  </si>
  <si>
    <t>오뭐입?</t>
  </si>
  <si>
    <t>오늘뭐입지? 
패션 / 뷰티 / 데일리룩 / 제보 및 문의는 DM💌
🔽🔽아이템 구매 좌표 바로가기🔽🔽</t>
  </si>
  <si>
    <t>https://vo.la/mJnuQ</t>
  </si>
  <si>
    <t>ootd.com</t>
  </si>
  <si>
    <t>The official #ootd page 🤍
461 million hashtags &amp; counting! 
NEW: @ootdman</t>
  </si>
  <si>
    <t>http://ootd.com</t>
  </si>
  <si>
    <t>ootd_balqishumaira77</t>
  </si>
  <si>
    <t>BalqisHumaira77</t>
  </si>
  <si>
    <t>Cadanganya @balqishumaira77</t>
  </si>
  <si>
    <t>ootdbychelle</t>
  </si>
  <si>
    <t>Michelle 💌 Carvajal</t>
  </si>
  <si>
    <t>𝐃𝐀𝐈𝐋𝐘 𝐎𝐔𝐓𝐅𝐈𝐓 𝐈𝐍𝐒𝐏𝐎 ✰| lifestyle &amp; beauty 
shop my boutique besties ⬇️
💌: michellec200313@gmail.com</t>
  </si>
  <si>
    <t>https://linktr.ee/michellecarvajal</t>
  </si>
  <si>
    <t>ootdfash</t>
  </si>
  <si>
    <t>ootdfash Boutique</t>
  </si>
  <si>
    <t>Use code “sale20” 🤍
AFTERPAY AVAILABLE! 
New arrivals every week 🤍</t>
  </si>
  <si>
    <t>https://www.ootdfash.com/collections/new-arrivals</t>
  </si>
  <si>
    <t>ootdgals</t>
  </si>
  <si>
    <t>OOTD Gals | Daily Outfit Inspo</t>
  </si>
  <si>
    <t>👗 Find, save &amp; shop viral outfit ideas!
✨ 1.3M+ fashion lovers trust us for style inspo!
👇 Shop the looks here👇🛍️</t>
  </si>
  <si>
    <t>http://shopmy.us/ootdgals</t>
  </si>
  <si>
    <t>ootd_girls_club</t>
  </si>
  <si>
    <t>OOTD Girls Club</t>
  </si>
  <si>
    <t>Daily Outfits and Styling ✨
Our dream wardrobe 🤍📍London, UK
💌Contact - info@ootdgirlsclub.com
Click below to shop our looks ⬇️</t>
  </si>
  <si>
    <t>https://linktr.ee/ootd_girls_club</t>
  </si>
  <si>
    <t>ootd.labubu</t>
  </si>
  <si>
    <t>Ropa Para</t>
  </si>
  <si>
    <t>👚 Showcase labubu daily life
⬇️ Support authentic Labubu seller
💗 use code ootd for 5% off @arttoyfamilia</t>
  </si>
  <si>
    <t>https://arttoyfamilia.com/discount/ootd</t>
  </si>
  <si>
    <t>ootdpie</t>
  </si>
  <si>
    <t>Fashion ╳ Style ╳ Outfit</t>
  </si>
  <si>
    <t>What to wear? Here’s your answer!👇🏻
Featuring fashion bloggers and style tips! ✨</t>
  </si>
  <si>
    <t>ootdsubmit</t>
  </si>
  <si>
    <t>✨ Shop our OOTD Presets/Filters via link in bio ✨
• For inquiries or collaborations:
yourfriends@ootdmagazine.com</t>
  </si>
  <si>
    <t>http://ootdpresets.com</t>
  </si>
  <si>
    <t>outfitdailyoo</t>
  </si>
  <si>
    <t>OOTD👧🏻日常穿搭</t>
  </si>
  <si>
    <t>🇭🇰
Girls’ outfit of the day
隨性而不專業￼
"Freestyle but not professional"</t>
  </si>
  <si>
    <t>zeagoo.official</t>
  </si>
  <si>
    <t>Zeagoo OOTD Fashion (Official Account)</t>
  </si>
  <si>
    <t>✨Be Different, Be You
💖20% off code: IG20(www.zeagoo.com)
📸Tag #zeagoo,@zeagoo.official, @zeagoo.de to get featured!
🛒Shop now👇</t>
  </si>
  <si>
    <t>https://urlgeni.us/amzn/YT1rk</t>
  </si>
  <si>
    <t>a_painting_a_day_</t>
  </si>
  <si>
    <t>A Painting A Day</t>
  </si>
  <si>
    <t>A Painting A Day shares A Painting Every Day</t>
  </si>
  <si>
    <t>daily_paintings</t>
  </si>
  <si>
    <t>EMIL OSKAR ANDERSSON</t>
  </si>
  <si>
    <t>〰 Paintings every day since 2015 ✌🏼
〰 Art quizzes &amp; museum tours in my Stories 👌🏼
〰 Private @emil__oskar 👋🏼
〰 Subscribers gets twice as many quizzes👇🏼</t>
  </si>
  <si>
    <t>https://www.paypal.com/donate?hosted_button_id=LVU6TV7WA9VHC</t>
  </si>
  <si>
    <t>painters.paintings</t>
  </si>
  <si>
    <t>Art History Gallery</t>
  </si>
  <si>
    <t>Arts &amp; Humanities Website</t>
  </si>
  <si>
    <t>An Art History Tour in a Virtual Gallery of Masterpieces of Painting; some well known; some yet to be discovered!</t>
  </si>
  <si>
    <t>painting_hq</t>
  </si>
  <si>
    <t>rca_painting</t>
  </si>
  <si>
    <t>Royal College of Art: Painting</t>
  </si>
  <si>
    <t>This page is run by the students, for the students 
 @royalcollegeofart</t>
  </si>
  <si>
    <t>calmparentingpodcast</t>
  </si>
  <si>
    <t>Calm Parenting Podcast</t>
  </si>
  <si>
    <t>Have a strong-willed or ND child who argues like an attorney and fights you over everything? Listen to the podcast for practical strategies that work!</t>
  </si>
  <si>
    <t>https://linktr.ee/calmparentingpodcast</t>
  </si>
  <si>
    <t>curious.parenting</t>
  </si>
  <si>
    <t>Curious Parenting</t>
  </si>
  <si>
    <t>Children &amp; Parenting</t>
  </si>
  <si>
    <t>🌈  Parents and caregivers raising resilient, liberated kids.
✨ All game, no shame.
👇🏿👇🏻👇🏽 Guides, Printables + Cool Stuff</t>
  </si>
  <si>
    <t>http://www.curiousparenting.net/</t>
  </si>
  <si>
    <t>dr.organicmommy</t>
  </si>
  <si>
    <t>Dr. Natasha Beck | Parenting Expert</t>
  </si>
  <si>
    <t>MPH, Psy.D Pediatric Neuropsychology
Parenting💗Nontoxic Living💗Nutrition💗🤰
Waldorf Mom🔆4 kids, 2🐶&amp;🐥, 1 podcast
🎙️ @whenmillennialsbecomemoms
📍Colorado</t>
  </si>
  <si>
    <t>https://campsite.bio/drorganicmommy</t>
  </si>
  <si>
    <t>hearty_app</t>
  </si>
  <si>
    <t>Hearty • Parenting app • Kids Play Activities</t>
  </si>
  <si>
    <t>Make Spending Time with Your Kids Fun!
#kids #kidsapp #parenting #parentingapp 
Get New Ideas for Activities &amp; Conversation in Hearty mobile app 👇</t>
  </si>
  <si>
    <t>https://hearty-app.com</t>
  </si>
  <si>
    <t>insideparenting</t>
  </si>
  <si>
    <t>Anjali Jagtiani | Certified Conscious Parenting Coach</t>
  </si>
  <si>
    <t>❤️ Conscious Parenting | Mindful Living
❤️ Explore Joys &amp; Challenges of Parenthood
❤️ Prioritise love &amp; connection – raise happy, confident kids.</t>
  </si>
  <si>
    <t>modernparentsguide</t>
  </si>
  <si>
    <t>Intentional Parenting | Psychology-Backed Tips</t>
  </si>
  <si>
    <t>PsyD Candidate in Child Psych
27 tools for calm confident parenting
Chaos to Connection Guide (currently 50% off) 👇</t>
  </si>
  <si>
    <t>https://modernparentsguide.gumroad.com/l/bpnfm/Launch50off</t>
  </si>
  <si>
    <t>natural_born_parenting</t>
  </si>
  <si>
    <t>Dr Alex Homdrum DC | Dr Ann Kristin Homdrum DC</t>
  </si>
  <si>
    <t>Child Development</t>
  </si>
  <si>
    <t>👼🏻 We help new parents with baby life
👶🏼 Play &amp; Development for newborn, infant &amp; toddler
👩🏼‍⚕️👨🏼‍⚕️ Klinikk for Alle Forus Sør 
⬇️ RESOURCES</t>
  </si>
  <si>
    <t>https://anita-johansen.mykajabi.com/0-12-month-milestone-ebook</t>
  </si>
  <si>
    <t>nurturedfirst</t>
  </si>
  <si>
    <t>Jess | Nurtured First Parenting</t>
  </si>
  <si>
    <t>Helping you raise children, and remember what it was like to be little. 🌱 
✨Science backed
🙋‍♀️Child Therapist + Mom of 3
🎤 @robotunicornpodcast</t>
  </si>
  <si>
    <t>https://nurturedfirst.com/insta/</t>
  </si>
  <si>
    <t>parentfocus</t>
  </si>
  <si>
    <t>Parent Focus | Parenting Tips + Family Advice</t>
  </si>
  <si>
    <t>💛 Expert Strategies to Raise Strong, Kind, &amp; Confident Kids 
✨ Master firm boundaries with calm leadership &amp; love
👇🏻 Grab The Current Freebie!👇🏻</t>
  </si>
  <si>
    <t>https://parentfocus.co/getthemap</t>
  </si>
  <si>
    <t>Parenting</t>
  </si>
  <si>
    <t>Modern families. Fresh ideas. Parenting.com</t>
  </si>
  <si>
    <t>https://linktr.ee/parenting</t>
  </si>
  <si>
    <t>parentinghell</t>
  </si>
  <si>
    <t>Parenting Hell Podcast</t>
  </si>
  <si>
    <t>Parenting… just not as you know it… 😬</t>
  </si>
  <si>
    <t>https://linktr.ee/parentinghell</t>
  </si>
  <si>
    <t>parenting_pathways__</t>
  </si>
  <si>
    <t>Parenting Pathways</t>
  </si>
  <si>
    <t>🌟 Simplifying parenthood with tips, hacks &amp; love💖For parents navigating the joy &amp; chaos of raising kids!👶Follow for daily inspiration👨‍👩‍👧</t>
  </si>
  <si>
    <t>parentingteensandtweens</t>
  </si>
  <si>
    <t>Parenting Teens &amp; Tweens</t>
  </si>
  <si>
    <t>👭Raising teens is tough but you don’t have to do it alone
💻Advice from experts and stories from the trenches
🤣Humor required</t>
  </si>
  <si>
    <t>http://www.parentingteensandtweens.com/instagram</t>
  </si>
  <si>
    <t>parentingtranslator</t>
  </si>
  <si>
    <t>Cara Goodwin</t>
  </si>
  <si>
    <t>Psychologist</t>
  </si>
  <si>
    <t>🧠Child psychologist (PhD)
📕 Best-selling author
👶🏼Mother to 4 children
🤓Translating recent scientific research into information that parents can use</t>
  </si>
  <si>
    <t>https://www.parentingtranslator.com/insta</t>
  </si>
  <si>
    <t>parenting.unlocked</t>
  </si>
  <si>
    <t>Parenting Advice &amp; Support
☁️ Expert-backed parenting tips.
☁️ Helping you raise kind, confident kids.
📩 Contact: info.parentingunlocked@gmail.com</t>
  </si>
  <si>
    <t>https://www.amazon.co.uk/shop/parenting.unlocked</t>
  </si>
  <si>
    <t>parentingyouthsports</t>
  </si>
  <si>
    <t>PYS “Elite”</t>
  </si>
  <si>
    <t>Parenting through Youth Sports 🏀 🏈⚾️🥎🏐🏉🥍🏒⚽️</t>
  </si>
  <si>
    <t>readysetparent</t>
  </si>
  <si>
    <t>Parenting Support | Tips &amp; Advice | Child Development</t>
  </si>
  <si>
    <t>💡 Evidence-backed parenting advice that feels doable.
💫 Because good parents learn daily.
👇🏻 Join us and parent smarter, not harder.</t>
  </si>
  <si>
    <t>themompsychologist</t>
  </si>
  <si>
    <t>Dr. Jazmine | Parenting</t>
  </si>
  <si>
    <t>🙋🏽‍♀️Psychologist &amp; Mom of 3
💬Flip the Script on yelling &amp; power struggles
💌Scripts that actually work
👩🏽‍🏫 Live Discipline Class September 17th👇🏽</t>
  </si>
  <si>
    <t>http://www.themompsychologist.com/discipline-class</t>
  </si>
  <si>
    <t>theparentingemporium</t>
  </si>
  <si>
    <t>The Parenting Emporium</t>
  </si>
  <si>
    <t>We’re the support system for all your parenting needs! Contact us📲0917-1774366 | 02-87253723 | 02-77386272, visit our store ⬇️ or click on our links👇🏻</t>
  </si>
  <si>
    <t>https://bit.ly/theparentingemporium</t>
  </si>
  <si>
    <t>labaia.paris</t>
  </si>
  <si>
    <t>La Baia Paris</t>
  </si>
  <si>
    <t>Italian Restaurant</t>
  </si>
  <si>
    <t>Restaurant inspiré de la côte Amalfitaine au cœur du Triangle d’Or parisien.
Ouverture en Septembre
📞+33 (0) 1 89 40 54 35</t>
  </si>
  <si>
    <t>lamour.olya</t>
  </si>
  <si>
    <t>Olya Malinovski | Paris</t>
  </si>
  <si>
    <t>Lifestyle / Travel / Fashion  
💌 lamour.olya@gmail.com</t>
  </si>
  <si>
    <t>Paris</t>
  </si>
  <si>
    <t>#ThisisParis Always Something New to Discover, Taste and Experience @topparisshops @topparisresto &amp; @topparishotels 👇 follow us  !</t>
  </si>
  <si>
    <t>https://instagram.com/TopParisResto</t>
  </si>
  <si>
    <t>paris.explore</t>
  </si>
  <si>
    <t>Paris France 🇫🇷 Travel | Hotels | Food | Tips</t>
  </si>
  <si>
    <t>Tour Agency</t>
  </si>
  <si>
    <t>🏙️ Discover the best of Paris 
💙 The leading Paris community by @hotel
👇 Price drop on Paris direct flights</t>
  </si>
  <si>
    <t>https://skyscanner.pxf.io/PARIS2NYC</t>
  </si>
  <si>
    <t>parisfashionweek</t>
  </si>
  <si>
    <t>Paris Fashion Week</t>
  </si>
  <si>
    <t>Paris Fashion Week® Official account! Follow @hautecoutureweek for news and events related to the Haute Couture Week.</t>
  </si>
  <si>
    <t>https://linkin.bio/parisfashionweek</t>
  </si>
  <si>
    <t>parishilton</t>
  </si>
  <si>
    <t>Paris Hilton</t>
  </si>
  <si>
    <t>Founder of @ParivieBeauty ✨
Stream Infinite Icon: The Remixes now 🎶</t>
  </si>
  <si>
    <t>https://unicef.link/ParisForUNICEF</t>
  </si>
  <si>
    <t>parisjackson</t>
  </si>
  <si>
    <t>𝚙𝚔</t>
  </si>
  <si>
    <t>☉ mediocre thom yorke impersonator ☉
𝚁𝚎𝚙𝚞𝚋𝚕𝚒𝚌 𝚁𝚎𝚌𝚘𝚛𝚍𝚜 / 𝙲𝙰𝙰 / 𝚄𝚗𝚝𝚒𝚝𝚕𝚎𝚍 &amp; 𝚁𝚎𝚍 𝙻𝚒𝚐𝚑𝚝 𝙼𝙶𝙼𝚃
“hit your knees” w @reallindaperry single/video out now 🎼</t>
  </si>
  <si>
    <t>http://shop.parisjacksonofficial.com</t>
  </si>
  <si>
    <t>parissecret</t>
  </si>
  <si>
    <t>Paris Secret</t>
  </si>
  <si>
    <t>🇫🇷Découvrez les secrets les mieux gardés de Paris
🎥 TikTok  : paris__secret 
👶 Famille @secretmediafamilles</t>
  </si>
  <si>
    <t>http://linkin.bio/parissecret/</t>
  </si>
  <si>
    <t>psg</t>
  </si>
  <si>
    <t>Paris Saint-Germain</t>
  </si>
  <si>
    <t>CHAMPIONS D’EUROPE 🏆❤️💙</t>
  </si>
  <si>
    <t>https://fanzone.me/psg</t>
  </si>
  <si>
    <t>velvet_dinner</t>
  </si>
  <si>
    <t>Velvet Paris</t>
  </si>
  <si>
    <t>1920’s inspired festive dinner party 
Back soon…
WhatsApp to book 🥂🍾</t>
  </si>
  <si>
    <t>ad.parody</t>
  </si>
  <si>
    <t>Ad Parody</t>
  </si>
  <si>
    <t>From the real era, trying to make it in the reel era 
Business Inquiries: ad.parody@memedd.in</t>
  </si>
  <si>
    <t>https://solocreators.app/dl</t>
  </si>
  <si>
    <t>nflparody</t>
  </si>
  <si>
    <t>NFL MEMES</t>
  </si>
  <si>
    <t>Your mother’s favorite NFL Meme Page 🔥</t>
  </si>
  <si>
    <t>parody_ceo</t>
  </si>
  <si>
    <t>Nabeel Alamgir</t>
  </si>
  <si>
    <t>ceo of fafo</t>
  </si>
  <si>
    <t>xyzparody</t>
  </si>
  <si>
    <t>xyz parody</t>
  </si>
  <si>
    <t>| Parodic Reels  | Giggles 😊  | Humour 
DM for credit/removal 🎬</t>
  </si>
  <si>
    <t>peta</t>
  </si>
  <si>
    <t>PETA</t>
  </si>
  <si>
    <t>Every animal is someone 🐰🐭🐷🐵🐮🐶</t>
  </si>
  <si>
    <t>http://linkin.bio/petaofficial</t>
  </si>
  <si>
    <t>pete_sabo</t>
  </si>
  <si>
    <t>PETE SABO</t>
  </si>
  <si>
    <t>founder of @sabotage_official       
released by
#BunnyTiger / #SpinninDeep / #NoReduction / #kittballrecords / #moonbotique / #sonymusic /#zatarmusic</t>
  </si>
  <si>
    <t>pet_fiestas</t>
  </si>
  <si>
    <t>Petfiestas</t>
  </si>
  <si>
    <t>#customswearshirt</t>
  </si>
  <si>
    <t>http://petfiestas.com</t>
  </si>
  <si>
    <t>Pets | Official Pets Page</t>
  </si>
  <si>
    <t>Pets Videos 💕</t>
  </si>
  <si>
    <t>petsmart</t>
  </si>
  <si>
    <t>PetSmart</t>
  </si>
  <si>
    <t>When it comes to pets, we’re obsessed! 🐾 Use #PetSmart or #AnythingforPets &amp; tag us for an opportunity to be featured! ❤️</t>
  </si>
  <si>
    <t>http://visitstore.bio/petsmart</t>
  </si>
  <si>
    <t>petwithit</t>
  </si>
  <si>
    <t>Pet With It</t>
  </si>
  <si>
    <t>UAE`s Ultimate Digital Pet Guide!
----
Directory, Events, Things to do, Places to visit with your pet! Click below</t>
  </si>
  <si>
    <t>https://www.petwithit.com/content-creator/</t>
  </si>
  <si>
    <t>benessrd</t>
  </si>
  <si>
    <t>Beness Pilates RD</t>
  </si>
  <si>
    <t>✨ Smart movement. Real wellness.🌿 
📍C/ Max Henríquez Ureña 60. Piantini.
 📞809 542 8404 (SD)
📍Bella Vista. (SD)
📞 (809) 705-2228 
📍🇪🇸 @benesspilates</t>
  </si>
  <si>
    <t>https://api.whatsapp.com/send?phone=18293419886&amp;text=Hola</t>
  </si>
  <si>
    <t>clubpilates</t>
  </si>
  <si>
    <t>Club Pilates</t>
  </si>
  <si>
    <t>✨ Pilates is for Every BODY.
✨ Book Your Free Intro Class</t>
  </si>
  <si>
    <t>http://clubpilates.com/freeclass</t>
  </si>
  <si>
    <t>o2pilateshk</t>
  </si>
  <si>
    <t>O2 Pilates</t>
  </si>
  <si>
    <t>Pilates Studio</t>
  </si>
  <si>
    <t>🇭🇰🇰🇷韓式塑身器械普拉提
.
灣仔 | 中環 | 佐敦 | 觀塘 | 鰂魚涌 | 荔枝角
課堂套票6店通用 
.
嶄新身體 嶄新心靈
#ANewBodyAndSoul
.
私人/團體普拉提
(身體塑型/美臀打造/核心強化/體態矯正）
.
課堂報名@O2 app👇🏻👇🏻</t>
  </si>
  <si>
    <t>https://linktr.ee/O2pilates.hk</t>
  </si>
  <si>
    <t>paola_pilates</t>
  </si>
  <si>
    <t>Paola Pilates | Workouts, Pregnancy &amp; Postpartum</t>
  </si>
  <si>
    <t>Powerful Movements for a Strong Body and Calm Mind.
@paola_pregnancy_pilates
@oysho Trainer
Workout With Me Online ↓ 7-day Free Trial</t>
  </si>
  <si>
    <t>https://paolapilates.com</t>
  </si>
  <si>
    <t>pilatesmarcelapedraza</t>
  </si>
  <si>
    <t>Pilates Terapéutico Marcela Pedraza</t>
  </si>
  <si>
    <t>Mejoramos la calidad de vida
🇨🇴 Bogotá</t>
  </si>
  <si>
    <t>https://m.mtrbio.com/pilates-marcela-pedraza</t>
  </si>
  <si>
    <t>sipilates</t>
  </si>
  <si>
    <t>Si Pilates</t>
  </si>
  <si>
    <t>Pilates, Power Plate &amp; Bailoterapia 
Founder @akarinacorrea.pilates
License Polestar Pilates Bolivia Paraguay Argentina Chile @polestarpilatesbolivia</t>
  </si>
  <si>
    <t>http://www.sipilates.com/</t>
  </si>
  <si>
    <t>wall.pilates</t>
  </si>
  <si>
    <t>WALL PILATES</t>
  </si>
  <si>
    <t>Lose weight, tone booty &amp; look more attractive 🍑
1M+ downloads &amp; a 4.95 rating 🔥
👇  Start the 28-day Wall Pilates Challenge</t>
  </si>
  <si>
    <t>https://quiz.wallpilates.com</t>
  </si>
  <si>
    <t>yoga_senses_pilates</t>
  </si>
  <si>
    <t>Yoga Senses &amp; Pilates</t>
  </si>
  <si>
    <t>Wellness Center</t>
  </si>
  <si>
    <t>✨Body Strong。Mind Calm✨
Download Yoga Senses &amp; Pilates App
〰️
4 locations next to MTR:
📍Causeway Bay
📍Quarry Bay
📍Kwun Tong
📍Lai Chi Kok</t>
  </si>
  <si>
    <t>https://linktr.ee/yogasenses</t>
  </si>
  <si>
    <t>14.rap</t>
  </si>
  <si>
    <t>RAP</t>
  </si>
  <si>
    <t>🥇 La comunidad de rap español más grande en Instagram
👤 @antoniobl_ 
📥 Publi/promo
TikTok @14.RAP (+300.000)</t>
  </si>
  <si>
    <t>https://linktr.ee/14.rap</t>
  </si>
  <si>
    <t>atlantarapnews</t>
  </si>
  <si>
    <t>ATL Rap News</t>
  </si>
  <si>
    <t>• ATL’s Hottest 📈🔥
• Covering Music &amp; News in Atlanta 🎵🚨 
• Tap In if you want to Be featured 📲💰 
• Follow ➡️ @atlienrap</t>
  </si>
  <si>
    <t>RapTV</t>
  </si>
  <si>
    <t>What’s Next in Hip Hop &amp; Culture‼️
🔋 a @lowbattery brand
🌐 @bars @concert @drip 
⬇️Purchase RapTV's "What A Time" Zine</t>
  </si>
  <si>
    <t>https://linkin.bio/raptv</t>
  </si>
  <si>
    <t>rapcaviar</t>
  </si>
  <si>
    <t>RapCaviar</t>
  </si>
  <si>
    <t>The most influential playlist in hip-hop. Only on Spotify.</t>
  </si>
  <si>
    <t>https://visitlink.bio/rapcaviar</t>
  </si>
  <si>
    <t>rap.dab</t>
  </si>
  <si>
    <t>𝙍𝙖𝙥 𝘿𝙖𝙗</t>
  </si>
  <si>
    <t>🇧🇷 Cultura de Rua e Hip Hop
📲 Publi/Contato: 12 99788-4783
🗞️ Administrador: @mateusrapdab 
⬇️ Acesse o nosso site - Playlists!</t>
  </si>
  <si>
    <t>http://www.rapdab.com.br</t>
  </si>
  <si>
    <t>rapeton</t>
  </si>
  <si>
    <t>RPTN</t>
  </si>
  <si>
    <t>Reggaeton &amp; Pop Culture Television Network
🎙️ @generacionrpodcast 
🗞 @rptnnoticias 
🗂 @rapetonapproved</t>
  </si>
  <si>
    <t>https://youtu.be/J9BGl6yNnXM</t>
  </si>
  <si>
    <t>rapgrowing</t>
  </si>
  <si>
    <t>RAP GROWING</t>
  </si>
  <si>
    <t>Cultura em Movimento.
Marketing (47) 991088100
rapgrowing@gmail.com</t>
  </si>
  <si>
    <t>http://www.rapgrowing.com</t>
  </si>
  <si>
    <t>raphinha</t>
  </si>
  <si>
    <t>Raphinha</t>
  </si>
  <si>
    <t>💭"Você sabe meu nome, mas não sabe minha história”
@fcbarcelona 
@brasil 
💍 @taia_belloli 
❌TT / FACE</t>
  </si>
  <si>
    <t>https://open.spotify.com/playlist/37i9dQZF1DWZ86moidW4O4?si=8d2a135b48bd46ee</t>
  </si>
  <si>
    <t>raphmb_</t>
  </si>
  <si>
    <t>Raph</t>
  </si>
  <si>
    <t>Ldn📍 
@chaosmgment | DM or 📩Raph@chaosmgment.co.uk</t>
  </si>
  <si>
    <t>rap_house_official</t>
  </si>
  <si>
    <t>RAP HOUSE</t>
  </si>
  <si>
    <t>rapmusic</t>
  </si>
  <si>
    <t>RapMusic</t>
  </si>
  <si>
    <t>🥇 The #1 Rap Community 
🎙 Hip-Hop News &amp; Videos
🗣 Email Promo@Rap-Music.com For Promo
📲 DM for credit/removal</t>
  </si>
  <si>
    <t>rapnieuwstv</t>
  </si>
  <si>
    <t>RapNieuwsTV</t>
  </si>
  <si>
    <t>📩 DM voor promotie/credit/removal
📬 Contact: info@rapnieuwstv.com
👇 CHECK DE LINK VOOR DE VIDEO</t>
  </si>
  <si>
    <t>https://snapchat.com/t/9Wlwrler</t>
  </si>
  <si>
    <t>raptors</t>
  </si>
  <si>
    <t>Toronto Raptors</t>
  </si>
  <si>
    <t>We The North 
🇫🇷 @raptorsfr</t>
  </si>
  <si>
    <t>https://linktr.ee/TorontoRaptors</t>
  </si>
  <si>
    <t>rapxfit</t>
  </si>
  <si>
    <t>Z</t>
  </si>
  <si>
    <t>.../360 🌎♻️
El  reto de la basura 
Rapero/Deportista/Ambientalista 🎤🏋🏼‍♂️🌳🕊️
Alias donaciones: laletraesmia (a nombre de Z. Z. Farber)</t>
  </si>
  <si>
    <t>https://youtube.com/@rapxfit?si=yArTpojVUXHaVedq</t>
  </si>
  <si>
    <t>5minute.recipes.official</t>
  </si>
  <si>
    <t>5 Minute Recipes</t>
  </si>
  <si>
    <t>Kitchen life hacks and yummy recipes ❤️ 
⬇️ For brand partnership enquires and collabs ⬇️</t>
  </si>
  <si>
    <t>https://www.thesoul-publishing.com/partner</t>
  </si>
  <si>
    <t>airfryer_recipes</t>
  </si>
  <si>
    <t>Air Fryer Recipes</t>
  </si>
  <si>
    <t>🌟 New Year, New Eats! 🥗 Dive into our top airfryer recipes for a healthy start. 🍴Click for the Latest &amp; Greatest ➡️ 🎄 #FreshStart</t>
  </si>
  <si>
    <t>http://www.amazon.com/dp/B073YL925G</t>
  </si>
  <si>
    <t>easyfamilyrecipes</t>
  </si>
  <si>
    <t>Kimber | Easy Family Recipes</t>
  </si>
  <si>
    <t>➡Follow for EASY recipes for BUSY people!
➡️Recipes under 10 ingredients!
➡Tag @easyfamilyrecipes when you try a recipe!
⬇⬇️⬇️⬇️Tap link for more!</t>
  </si>
  <si>
    <t>https://easyfamilyrecipes.kit.com/e438373558</t>
  </si>
  <si>
    <t>fitgreenmind</t>
  </si>
  <si>
    <t>Maya / plant-based food and recipes</t>
  </si>
  <si>
    <t>Plant-based food for EVERYONE🌱
@fitgreenmind.impressum                                             management@fitgreenmind.email  More👇</t>
  </si>
  <si>
    <t>https://linktr.ee/fit.green.mind</t>
  </si>
  <si>
    <t>fitness_recipes</t>
  </si>
  <si>
    <t>Fitness Recipes</t>
  </si>
  <si>
    <t>🍗🍚DIETING MADE EASY
-
Advertising/Eliminations DM @fitness_meals</t>
  </si>
  <si>
    <t>foodyeating</t>
  </si>
  <si>
    <t>FoodyEating | Recipes</t>
  </si>
  <si>
    <t>Food &amp; Drink</t>
  </si>
  <si>
    <t>#1 Page for Food &amp; Drink Inspirations on IG 🥗🍹
🎥 Content Credits to respective Creators 
Shop here ⬇️</t>
  </si>
  <si>
    <t>gymratrecipes</t>
  </si>
  <si>
    <t>High Protein &amp; Low Calorie Recipes</t>
  </si>
  <si>
    <t>🍴 Easy • Tasty • Simple Swaps
👉 Follow @nickkaz.fit + @gymratrecipes
📕 New Cookbook ⬇️</t>
  </si>
  <si>
    <t>https://nickkaz.fit/gym-rat-recipes</t>
  </si>
  <si>
    <t>healthygirlkitchen</t>
  </si>
  <si>
    <t>Danielle Brown | healthy recipes</t>
  </si>
  <si>
    <t>here to help you live your healthiest (plant-based) life. @nytimes best-selling cookbook author
__
links + recipes + order cookbook👇🏼</t>
  </si>
  <si>
    <t>http://lifechangingsalads.com</t>
  </si>
  <si>
    <t>melissajorealrecipes</t>
  </si>
  <si>
    <t>Melissa Kauper</t>
  </si>
  <si>
    <t>Your favorite Italian 🇮🇹 Family Meals and More! TikTok Home Cook 1.5 Million. Amazon Live Host 📽️🛍️
Business: mjk1234@gmail.com</t>
  </si>
  <si>
    <t>http://beacons.page/melissa_jo_xo</t>
  </si>
  <si>
    <t>mintsrecipes</t>
  </si>
  <si>
    <t>Reshu Drolia | Mints Recipes</t>
  </si>
  <si>
    <t>👩‍🍳 Homechef | Mother of 2 | F&amp;B Consultant
🥗 Vegetarian
📷 YT/FB 1.7M | Kolkata
Follow @reshudrolia
✉️ reshu@mintsrecipes.com
👇Recipe link</t>
  </si>
  <si>
    <t>https://culinary.mintsrecipes.com/truffles-fudges-workshop-live/?utm_source=reels</t>
  </si>
  <si>
    <t>purewowrecipes</t>
  </si>
  <si>
    <t>Recipes</t>
  </si>
  <si>
    <t>Equal parts fun and delicious 👩‍🍳
🤳 @recipes on TikTok</t>
  </si>
  <si>
    <t>https://linktr.ee/purewowrecipes</t>
  </si>
  <si>
    <t>quickrecipes.us</t>
  </si>
  <si>
    <t>Quick Recipes US</t>
  </si>
  <si>
    <t>Easy and Quick Recipes</t>
  </si>
  <si>
    <t>recipesbyvictoria</t>
  </si>
  <si>
    <t>Victoria Minell</t>
  </si>
  <si>
    <t>Healthy twists on your favourite recipes!
120K+ substack subscribers ✍️
Behind the food - @torminell</t>
  </si>
  <si>
    <t>https://linktr.ee/victoriaminell</t>
  </si>
  <si>
    <t>recxipes</t>
  </si>
  <si>
    <t>Food | Recipes |</t>
  </si>
  <si>
    <t>Mental health service</t>
  </si>
  <si>
    <t>🍝Just follow us if you love food</t>
  </si>
  <si>
    <t>skinnytaste</t>
  </si>
  <si>
    <t>Gina Homolka - Healthy Recipes</t>
  </si>
  <si>
    <t># 1 NYTBS author of 7 Skinnytaste Cookbooks and Skinnytaste.com. Get healthy high protein recipes, macros, WW, air fryer, etc. Get the free recipes ⬇️</t>
  </si>
  <si>
    <t>https://linktr.ee/skinnytaste</t>
  </si>
  <si>
    <t>stealth_health_recipes</t>
  </si>
  <si>
    <t>Tom Walsh</t>
  </si>
  <si>
    <t>The Most Indulgent Meal Prep Recipes On the Internet, Delivered To Your Inbox Every Week.
✍️ @stealth_health_life 
👇 Join 150,000+ Others Here</t>
  </si>
  <si>
    <t>https://stealthhealthcookbook.com/pages/newsletter</t>
  </si>
  <si>
    <t>tiffy.cooks</t>
  </si>
  <si>
    <t>Tiffy Cooks 🥟 Easy Recipes</t>
  </si>
  <si>
    <t>I post EASY #recipes LOOK AT THAT 😉 
Printable FULL Recipes 👇🏼 
MY OWN SAUCE + NOODLE @kaidongfoods 
🇹🇼🥢</t>
  </si>
  <si>
    <t>https://tiffycooks.com/links/</t>
  </si>
  <si>
    <t>wellplated</t>
  </si>
  <si>
    <t>Erin Clarke | Easy Healthy Recipes</t>
  </si>
  <si>
    <t>✨Easy, healthy recipes that taste 💯
📕2x cookbook author
📩hello@wellplated.com 🙌🏼tag your recipes #wellplated  ⬇️Find my recipes here</t>
  </si>
  <si>
    <t>https://wellplated.komi.io</t>
  </si>
  <si>
    <t>whole30recipes</t>
  </si>
  <si>
    <t>Official Whole30® Recipes</t>
  </si>
  <si>
    <t>Official recipe account for the @whole30 program, as detailed in the NY Times bestselling book The Whole30.</t>
  </si>
  <si>
    <t>https://linktr.ee/whole30</t>
  </si>
  <si>
    <t>adidasrunning</t>
  </si>
  <si>
    <t>adidas Running</t>
  </si>
  <si>
    <t>Through sport, we have the power to change lives.
#YouGotThis</t>
  </si>
  <si>
    <t>https://linktr.ee/adidasrunning</t>
  </si>
  <si>
    <t>gorun.inc</t>
  </si>
  <si>
    <t>Running</t>
  </si>
  <si>
    <t>Follow us &amp; tag pics #GoRun 
Send pic DM for featured
🔹Motivate &amp; Support</t>
  </si>
  <si>
    <t>milerrunning</t>
  </si>
  <si>
    <t>MILER RUNNING</t>
  </si>
  <si>
    <t>Designed, tested and made in New York City
Uniforms @empireelitetrack.club</t>
  </si>
  <si>
    <t>https://milerrunning.com/</t>
  </si>
  <si>
    <t>nbrorunning</t>
  </si>
  <si>
    <t>Amateur Sports Team</t>
  </si>
  <si>
    <t>You'll Never Run Alone</t>
  </si>
  <si>
    <t>http://www.nbro.run</t>
  </si>
  <si>
    <t>nikerunning</t>
  </si>
  <si>
    <t>Nike Running</t>
  </si>
  <si>
    <t>Don't just run. Choose running.
All-new Pegasus, Vomero and Structure are out now.</t>
  </si>
  <si>
    <t>http://empli.fi/nikerunning</t>
  </si>
  <si>
    <t>Fitness Account 💪</t>
  </si>
  <si>
    <t>Daily inspiration for running and runners!</t>
  </si>
  <si>
    <t>running_dept</t>
  </si>
  <si>
    <t>Running Dept</t>
  </si>
  <si>
    <t>Every Mile Matters⚡️
Authentic Running Gears Only💯
Our Offline Store @departmentsports_lab @departmentsports_outlet
Registrasi Pestaporun di sini!👇👇</t>
  </si>
  <si>
    <t>https://running.department.co.id</t>
  </si>
  <si>
    <t>running.igg</t>
  </si>
  <si>
    <t>👍 BEST 🏃 🎥 Daily 🔛 Follow👉 Turn ON post notifications. 💯 🚚 Worldwide shipping. Click to Shop T-Shirts 👕 ⤵👇</t>
  </si>
  <si>
    <t>http://sunnyvolcano.com/running?pr=35</t>
  </si>
  <si>
    <t>runningmemesz</t>
  </si>
  <si>
    <t>RUNNINGMEMES</t>
  </si>
  <si>
    <t>If it’s not on strava did it really happen 🤔</t>
  </si>
  <si>
    <t>runningterritory</t>
  </si>
  <si>
    <t>Running | Runners | Run</t>
  </si>
  <si>
    <t>The best place for running inspiration 🏃‍♂️💨
🔻Apply to be featured🔻</t>
  </si>
  <si>
    <t>https://runningterritory.com/feature</t>
  </si>
  <si>
    <t>worlderunners</t>
  </si>
  <si>
    <t>Your RUNderlust instants around the world.
🔻Apply to be featured🔻</t>
  </si>
  <si>
    <t>https://worlderunners.com/feature</t>
  </si>
  <si>
    <t>dailysingingcontent</t>
  </si>
  <si>
    <t>Pop Culture &amp; Music</t>
  </si>
  <si>
    <t>Music video</t>
  </si>
  <si>
    <t>🎸| Sharing the best music content &amp; pop culture  on the internet 
✉️ | Dm us for paid promotions/enquiries</t>
  </si>
  <si>
    <t>https://open.spotify.com/playlist/5BpEN9XCE7ddSjd46CagOQ?si=9tEwJCPQQjWaSqsfvHD89w&amp;pi=a-oIDWzNpOTtuG</t>
  </si>
  <si>
    <t>indian_singing__</t>
  </si>
  <si>
    <t>𝙄𝙉𝘿𝙄𝘼𝙉_𝙎𝙄𝙉𝙂𝙄𝙉𝙂__ 🇮🇳🎸🎸</t>
  </si>
  <si>
    <t>➡ 𝐌𝐚𝐧𝐚𝐠𝐞𝐝 𝐛𝐲 @nishan_bajpai
➡️𝗗𝗺 𝗺𝗲 𝗳𝗼𝗿 /𝗖𝗿𝗲𝗱𝗶𝘁/𝗥𝗲𝗺𝗼𝘃𝗮l
𝗙𝗼𝗹𝗹𝗼𝘄 :@indian_singing__2.0</t>
  </si>
  <si>
    <t>indian_singing_1</t>
  </si>
  <si>
    <t>singing reality shows</t>
  </si>
  <si>
    <t>🚩 हर हर महादेव 🚩
•𝐦𝐮𝐬𝐢𝐜 𝐢𝐬 𝐭𝐡𝐞 𝐬𝐭𝐫𝐨𝐧𝐠𝐞𝐬𝐭 𝐟𝐨𝐫𝐦 𝐨𝐟 𝐦𝐚𝐠𝐢𝐜."
•𝐈𝐭'𝐬 𝐚𝐥𝐥 𝐚𝐛𝐨𝐮𝐭 𝐦𝐮𝐬𝐢𝐜 🎶 
•𝐒𝐜𝐫𝐨𝐥𝐥 𝐝𝐨𝐰𝐧 𝐚𝐧𝐝 𝐞𝐧𝐣𝐨𝐲 𝐬𝐨𝐦𝐞 𝐠𝐨𝐨𝐝 𝐦𝐮𝐬𝐢𝐜 .
#singing #singer #indian</t>
  </si>
  <si>
    <t>https://www.xt.com/en/trade/luck_usdt</t>
  </si>
  <si>
    <t>indian_singing_2</t>
  </si>
  <si>
    <t>indian singing</t>
  </si>
  <si>
    <t>|| "𝐦𝐮𝐬𝐢𝐜 𝐢𝐬 𝐭𝐡𝐞 𝐬𝐭𝐫𝐨𝐧𝐠𝐞𝐬𝐭 𝐟𝐨𝐫𝐦 𝐨𝐟 𝐦𝐚𝐠𝐢𝐜."✨
|| 𝐈𝐭'𝐬 𝐚𝐥𝐥 𝐚𝐛𝐨𝐮𝐭 𝐦𝐮𝐬𝐢𝐜 🎶 
|| 𝐒𝐜𝐫𝐨𝐥𝐥 𝐝𝐨𝐰𝐧 𝐚𝐧𝐝 𝐞𝐧𝐣𝐨𝐲 𝐬𝐨𝐦𝐞 𝐠𝐨𝐨… more</t>
  </si>
  <si>
    <t>indian_singing.7</t>
  </si>
  <si>
    <t>singing shows</t>
  </si>
  <si>
    <t>🌴 Best Platform For All The Music Lovers 🎼🎶🎧
🎬 Sharing The Beautiful Collection of Songs ❤️</t>
  </si>
  <si>
    <t>mekayla.singing</t>
  </si>
  <si>
    <t>Me’Kayla D</t>
  </si>
  <si>
    <t>Booking: Mekayladesiree25@gmail.com</t>
  </si>
  <si>
    <t>https://mekayla.lnk.to/givemeyou</t>
  </si>
  <si>
    <t>narossingingpizza</t>
  </si>
  <si>
    <t>Naro Vitale</t>
  </si>
  <si>
    <t>Italienischer Sänger&amp;Entertainer🎤🎼🇮🇹
Die einmalige Show als singender Pizzabäcker🇮🇹🍕 auf www.singing-pizza.de #narossingingpizza</t>
  </si>
  <si>
    <t>http://www.singing-pizza.de/</t>
  </si>
  <si>
    <t>onedayofsinging.daily</t>
  </si>
  <si>
    <t>Daily_one_day_of_singing</t>
  </si>
  <si>
    <t>Daily one day of singing. Started from 9/7/2024 didnt upload for a while now back day 59 from 14/2/2025</t>
  </si>
  <si>
    <t>Singing</t>
  </si>
  <si>
    <t>🎤 The best singing videos
🐼 @pan</t>
  </si>
  <si>
    <t>https://linktr.ee/Singing</t>
  </si>
  <si>
    <t>singingandteaching</t>
  </si>
  <si>
    <t>Cindy | Singing&amp;Teaching</t>
  </si>
  <si>
    <t>👩🏻‍🏫I help teachers avoid burnout and trade it for JOY😍
🔑Learn how to get your kids to listen‼️
🔑Master BEST teaching strategies
🚀DM me “READY” 👇🏼</t>
  </si>
  <si>
    <t>https://linktr.ee/singingandteaching</t>
  </si>
  <si>
    <t>singingchefkunal</t>
  </si>
  <si>
    <t>Kunal Lamba</t>
  </si>
  <si>
    <t>Probably the only Pro Chef &amp; Pro Singer in the world   |  New York City   |  🎤Weddings &amp; Events  |  Restaurant  Consultant 
💼 Co-founder @kababculture</t>
  </si>
  <si>
    <t>https://www.manifestmagazine.in/spotlight/on-the-radar/manifest-spotlight-live-wedding-singer-and-chef-kunal-lamba</t>
  </si>
  <si>
    <t>singingdentist</t>
  </si>
  <si>
    <t>Singing Dentist</t>
  </si>
  <si>
    <t>Dr Milad Shadrooh
Dentistry | Music | Entertainment 
🎧- @essdee
📑- @wecreatepopular</t>
  </si>
  <si>
    <t>http://www.singingdentist.com</t>
  </si>
  <si>
    <t>singingslp</t>
  </si>
  <si>
    <t>Speech Pathologist | Sensory Barber | Kevin</t>
  </si>
  <si>
    <t>Speech Pathologist</t>
  </si>
  <si>
    <t>✞  &gt; i
🎵 Rote + Meaningful Learning Through Music
💈 Sensory Friendly Haircuts
📍 Atlanta, Ga
📸 Weekly Vlogs</t>
  </si>
  <si>
    <t>https://linktr.ee/singingslp</t>
  </si>
  <si>
    <t>theesingingbarber</t>
  </si>
  <si>
    <t>Noah Peters</t>
  </si>
  <si>
    <t>The Singing  Barber 💈
I can see your voice season 3 🔥
American idol season 22 🎥</t>
  </si>
  <si>
    <t>https://thesingingbarber.komi.io</t>
  </si>
  <si>
    <t>dvinitiskincare</t>
  </si>
  <si>
    <t>DVINITI Skin Care</t>
  </si>
  <si>
    <t>The Future of Beauty Begins with YOU!
Schedule your consultation &amp; design your botanical blends🌱with a cosmetic chemist 👩🏽‍🔬 
The Sustainable Beauty 🥰</t>
  </si>
  <si>
    <t>https://linktr.ee/DVINITISKINCARE</t>
  </si>
  <si>
    <t>eltamdskincare</t>
  </si>
  <si>
    <t>EltaMD Skin Care</t>
  </si>
  <si>
    <t>The #1 Dermatologist-recommended, trusted and personally used professional sunscreen brand.
Trusted by Dermatologists. Loved by Skin.</t>
  </si>
  <si>
    <t>https://like2b.uy/eltamdskincare</t>
  </si>
  <si>
    <t>moogooskincare</t>
  </si>
  <si>
    <t>MooGoo Skin Care</t>
  </si>
  <si>
    <t>Natural Solutions for Skin &amp; Scalp Problems🌿
Ditch the flakes, soothe the scalp. Our Flake Free Anti-Dandruff range is for sensitive, itchy scalps 💙</t>
  </si>
  <si>
    <t>https://linkin.bio/moogooskincare</t>
  </si>
  <si>
    <t>qvskincare</t>
  </si>
  <si>
    <t>QV Skincare</t>
  </si>
  <si>
    <t>Feel assured with the sensitive skincare brand more healthcare professionals recommend.</t>
  </si>
  <si>
    <t>https://linktr.ee/QVskin</t>
  </si>
  <si>
    <t>Skincare.com by L'Oréal</t>
  </si>
  <si>
    <t>Put your best face forward.</t>
  </si>
  <si>
    <t>http://visitstore.bio/skincaredotcom/</t>
  </si>
  <si>
    <t>skincaregem</t>
  </si>
  <si>
    <t>Skincaregem | Avantika</t>
  </si>
  <si>
    <t>🌸 Beauty and Skincare Illustrator 
✨ DM for commissions</t>
  </si>
  <si>
    <t>https://skincaregem.etsy.com</t>
  </si>
  <si>
    <t>skincarejohn</t>
  </si>
  <si>
    <t>Emre Can Şinikoğlu</t>
  </si>
  <si>
    <t>Biraz cilt bakımı🧴biraz kahkaha☺️e biraz da sevgi🍀
Pr&amp;İşbirlikleri için: menajer@biseyproductions.com</t>
  </si>
  <si>
    <t>http://www.tiktok.com/@skincarejohnn</t>
  </si>
  <si>
    <t>skincare.rebeca</t>
  </si>
  <si>
    <t>Rebeca Miraba | Esthetician</t>
  </si>
  <si>
    <t>Founder @thegoldenhourmedspa
Train with me to master facial massage &amp; luxury facials 💆🏻‍♀️✨
📚 200+ classes sold 
👇 New Class Available</t>
  </si>
  <si>
    <t>https://www.thegoldenhourmedspa.com/facial-massage-class</t>
  </si>
  <si>
    <t>skincare.shop.64</t>
  </si>
  <si>
    <t>چین و چروک| رفع لک | لیفت و بوتاکس طبیعی</t>
  </si>
  <si>
    <t>عطائی | محقق و مشاور تخصصی پوست
👩‍ | سابقه ۷ ساله
☎️ | ۰۹۹۰۶۰۸۲۱۵۰ 👉 مشاوره واتساپ
🎖 | اولین مشاور خصوصی پوست</t>
  </si>
  <si>
    <t>skinnationbeauty</t>
  </si>
  <si>
    <t>Skin Nation Beauty Skin Care</t>
  </si>
  <si>
    <t>Clean, Non Toxic, Affective Skin Care. Top of the line formulas with the highest quality actives to really make a difference in your skin</t>
  </si>
  <si>
    <t>https://linktr.ee/skinnationbeauty</t>
  </si>
  <si>
    <t>tracyhudsonskincare</t>
  </si>
  <si>
    <t>Tracy Hudson | Skin Care Expert</t>
  </si>
  <si>
    <t>📍NYC &amp; LA | Skincare Expert • 20+ Yrs
Acne • Dark Spots • Aging skin  
💻 Training &amp; Webinars for Estheticians  
Book &amp; Shop 👇
Info@tracyspa.com 📧</t>
  </si>
  <si>
    <t>https://schedulingtracyhudsonskincare.as.me/?appointmentType=79601661</t>
  </si>
  <si>
    <t>xskincare</t>
  </si>
  <si>
    <t>Leon | xskincare 🐝</t>
  </si>
  <si>
    <t>• Wissenschaft &amp; Wirkung von Kosmetik 
• Produktentwickler 🧪
• regelmäßige Stories zur Hautpflege 🐝💛</t>
  </si>
  <si>
    <t>yelleskincare</t>
  </si>
  <si>
    <t>YELLE Skincare | Plant Based Skin Care</t>
  </si>
  <si>
    <t>🌟 Stress-Free Skin Glows 🌟 | The Stressed Skin Experts | Merging Topical &amp; Ingestible Solutions for Holistic Skin Health | Your Path to Radiant Skin⬇️</t>
  </si>
  <si>
    <t>http://www.yelleskincare.com/</t>
  </si>
  <si>
    <t>ccstandup</t>
  </si>
  <si>
    <t>Comedy Central Stand-Up</t>
  </si>
  <si>
    <t>@ComedyCentral’s home for stand-up specials &amp; series.</t>
  </si>
  <si>
    <t>http://www.paramountplus.com/ccstandup</t>
  </si>
  <si>
    <t>sahnastandup</t>
  </si>
  <si>
    <t>SAHNA StandUp Club</t>
  </si>
  <si>
    <t>Oʻzbekistondagi birinchi StandUp klub
Первый стендап клуб в Узбекистане
Merch @yoki.uz</t>
  </si>
  <si>
    <t>https://t.me/sahnastandup_bot</t>
  </si>
  <si>
    <t>standup_america</t>
  </si>
  <si>
    <t>Stand Up America</t>
  </si>
  <si>
    <t>A grassroots community of nearly 2 million progressives standing up to corruption &amp; voter suppression &amp; building a more representative democracy.</t>
  </si>
  <si>
    <t>http://linktr.ee/StandUpAmerica</t>
  </si>
  <si>
    <t>standupcomedy.zone</t>
  </si>
  <si>
    <t>Standup Comedy</t>
  </si>
  <si>
    <t>STANDUPS | MEMES | SATIRE
📥 | Dm for credits/removal
📧 For Business: scomedy.zone@gmail.com</t>
  </si>
  <si>
    <t>standupfa</t>
  </si>
  <si>
    <t>بزرگترین مرجع استندآپ کمدی</t>
  </si>
  <si>
    <t>#StandUpComedy #استندآپ #استندآپ_کمدی
📣اعتبار تبلیغات ارتباطی به پیج ندارد.
پیج  دوم 👈 @standfunfa
 کانال تلگرام</t>
  </si>
  <si>
    <t>https://t.me/StandUpFa</t>
  </si>
  <si>
    <t>standupharu</t>
  </si>
  <si>
    <t>Standup</t>
  </si>
  <si>
    <t>Юмор, камеди, стендап 
Лайки и подписки с вас, ролики с нас✌️😅
Делитесь рилсами и зовите друзей, чем больше тем веселее🤣</t>
  </si>
  <si>
    <t>https://t.me/+cU9oNKzpyaA2ZWRi</t>
  </si>
  <si>
    <t>stand_up_hm_</t>
  </si>
  <si>
    <t>Standup Hm</t>
  </si>
  <si>
    <t>✨man’s fashion 
🥇: master quality💫
📸: photo réelle 
📞:+212-624-95-81-93
📍: casablanca , ain chock , boulevard al qods  
en face de qa3at al marassim 🫶</t>
  </si>
  <si>
    <t>https://maps.app.goo.gl/cDGJZ8tdfwLc245CA?g_st=com.google.maps.preview.copy</t>
  </si>
  <si>
    <t>standuplair</t>
  </si>
  <si>
    <t>Comedy shirts ↓</t>
  </si>
  <si>
    <t>http://standuplair.com</t>
  </si>
  <si>
    <t>standupny</t>
  </si>
  <si>
    <t>Stand Up NY</t>
  </si>
  <si>
    <t>Your favorite comics in your favorite city. 🎤🗽
Main stage @bond45nyc in Times Square. 📍
Pop-up shows &amp; comedy festivals coast to coast and beyond.</t>
  </si>
  <si>
    <t>http://standupny.com</t>
  </si>
  <si>
    <t>standup.only</t>
  </si>
  <si>
    <t>Comedy Clips</t>
  </si>
  <si>
    <t>◆ Stand up reels 💯🔥
◆ Comedy | Humour | Memes 
◆ For Business click on the email button</t>
  </si>
  <si>
    <t>standupovka</t>
  </si>
  <si>
    <t>Primul Stand Up Club în Moldova</t>
  </si>
  <si>
    <t>Bilete “Așa, Bună Seara 2.0 Revanșa!” la Arena Chișinău 👇</t>
  </si>
  <si>
    <t>https://iticket.md/ru/event/asa-buna-seara-2-0-revansa</t>
  </si>
  <si>
    <t>standupper7</t>
  </si>
  <si>
    <t>Stand Up</t>
  </si>
  <si>
    <t>"💬 Погрузись в мир стендапа и юмора! Подписывайся на эксклюзивные выступления! 😄🎤
Еще больше выпусков в нашем ТГ👇
Воспользуйся промокодом “INSTA”👇</t>
  </si>
  <si>
    <t>https://t.me/+XGtTkLgRgvM1ODYy</t>
  </si>
  <si>
    <t>standuppshow</t>
  </si>
  <si>
    <t>🎤 Stand-up’un Kalbi Burada Atıyor!
📍 Her sahne bir hikaye, her hikaye bir gülüş.
🎭 Gülmeye hazır mısın?
👀 Kesitler için takip et!</t>
  </si>
  <si>
    <t>standupsh0w</t>
  </si>
  <si>
    <t>"🎤 Добро пожаловать на StandUpShow! Смех - наше второе имя. Подписывайся, чтобы получать дозу позитива каждый день! 😄🌟
Еще больше выпусков у нас в тг👇</t>
  </si>
  <si>
    <t>https://t.me/+2Pj6MS2jyy4wZmYy</t>
  </si>
  <si>
    <t>standupsnippets</t>
  </si>
  <si>
    <t>Standupsnippets-ваш ежедневный дозор смеха! 🎤😄 Веселые нарезки в вашей ленте😂🤣
Еще больше выпусков в нашем ТГ👇</t>
  </si>
  <si>
    <t>https://t.me/+KcotBgmmBDNkNzEy</t>
  </si>
  <si>
    <t>standup_tnt</t>
  </si>
  <si>
    <t>Официальный аккаунт шоу Stand Up на ТНТ.</t>
  </si>
  <si>
    <t>eu_startups</t>
  </si>
  <si>
    <t>EU-Startups</t>
  </si>
  <si>
    <t>The leading online publication about startups in Europe. 🌟 See you at the EU-Startups Summit on May 7-8, 2026 in Malta! 🇲🇹 🚀</t>
  </si>
  <si>
    <t>https://www.eu-startups.com/summit</t>
  </si>
  <si>
    <t>Startups.com</t>
  </si>
  <si>
    <t>#1 Community for Startup Founders. We help startups launch faster! 🚀
🎥 Watch &amp; learn from the #StartupTherapy podcast with @wilschroter and @ryanrutan</t>
  </si>
  <si>
    <t>https://linktr.ee/startupsdotcom</t>
  </si>
  <si>
    <t>startupsbrazil</t>
  </si>
  <si>
    <t>𝗦𝗧𝗔𝗥𝗧𝗨𝗣𝗦 𝗕𝗥𝗔𝗭𝗜𝗟</t>
  </si>
  <si>
    <t>ᴄᴏɴᴇᴄᴛᴀɴᴅᴏ ɪᴅᴇɪᴀꜱ, ɴᴇɢóᴄɪᴏꜱ ᴇ ʟíᴅᴇʀᴇꜱ ǫᴜᴇ ᴛʀᴀɴꜱꜰᴏʀᴍᴀᴍ ᴏ ᴍᴜɴᴅᴏ.
🌍 ꜱᴛᴀʀᴛᴜᴘꜱ • ɪɴᴏᴠᴀçãᴏ • ʙᴜꜱɪɴᴇꜱꜱ</t>
  </si>
  <si>
    <t>http://startupsbrazil.com</t>
  </si>
  <si>
    <t>startups.com.br</t>
  </si>
  <si>
    <t>Startups</t>
  </si>
  <si>
    <t>Conteúdo que movimenta o mercado.
Conexões que geram negócios.
INSCREVA-SE NA NEWS ⬇️</t>
  </si>
  <si>
    <t>https://bento.me/startups-com-br</t>
  </si>
  <si>
    <t>startupselfie_official</t>
  </si>
  <si>
    <t>Startup Selfie</t>
  </si>
  <si>
    <t>Your insider guide to the latest in the world of startups, innovation and technology.</t>
  </si>
  <si>
    <t>https://www.startupselfie.net/</t>
  </si>
  <si>
    <t>startups_media</t>
  </si>
  <si>
    <t>startupsmedia</t>
  </si>
  <si>
    <t>Startups || Enterpreneurship || Business
All about Startups and enterpreneurship
@financeupmedia</t>
  </si>
  <si>
    <t>startupstalkindia</t>
  </si>
  <si>
    <t>Startups Talk India</t>
  </si>
  <si>
    <t>Listen and get knowledge from the best 🚀
For business enquiries - reach out to startupstalkindia@memedd.in</t>
  </si>
  <si>
    <t>bkstreetart</t>
  </si>
  <si>
    <t>Brooklyn Street Art</t>
  </si>
  <si>
    <t>Leading a worldwide conversation about art in the streets. Photos by ©Jaime Rojo/BrooklynStreetArt.com Ask before using photos</t>
  </si>
  <si>
    <t>https://linkin.bio/bkstreetart</t>
  </si>
  <si>
    <t>globalstreetart</t>
  </si>
  <si>
    <t>Global Street Art</t>
  </si>
  <si>
    <t>Visual Arts</t>
  </si>
  <si>
    <t>Our mission: to live in painted cities 💚
Gallery: @LeeBofkinInspo (go check it!) 
Festival: @londonmuralfest
HQ in London | Brussels | Paris | Madrid</t>
  </si>
  <si>
    <t>https://www.globalstreetart.com/</t>
  </si>
  <si>
    <t>karcocha_street_art</t>
  </si>
  <si>
    <t>karcocha</t>
  </si>
  <si>
    <t>Arlequin contemporáneo del planeta tierra.
Tu endorfina es mi combustible.
📩 Colaboracion: karcocha@karcocha.com
🎬 Vídeos completos👇</t>
  </si>
  <si>
    <t>https://youtube.com/c/KarcochaStreetArt</t>
  </si>
  <si>
    <t>londonstreetart</t>
  </si>
  <si>
    <t>streetart</t>
  </si>
  <si>
    <t>Street Art</t>
  </si>
  <si>
    <t>The best and latest in street art, murals and graff. Supporting artists, festivals, galleries, photographers and the urban art community as a whole.</t>
  </si>
  <si>
    <t>streetartglobe</t>
  </si>
  <si>
    <t>StreetArtGlobe ™ 😱</t>
  </si>
  <si>
    <t>Let’s go viral 🌀</t>
  </si>
  <si>
    <t>streetartnews</t>
  </si>
  <si>
    <t>Street Art News Magazine</t>
  </si>
  <si>
    <t>est. 2009 by @romrom - The most popular Urban and Street Art Magazine.
London | Dubai | Hong-Kong | Turin</t>
  </si>
  <si>
    <t>http://streetartnews.net/</t>
  </si>
  <si>
    <t>streetartnyc</t>
  </si>
  <si>
    <t>Street Art NYC</t>
  </si>
  <si>
    <t>http://streetartnyc.org/</t>
  </si>
  <si>
    <t>urban_streetart</t>
  </si>
  <si>
    <t>URBAN STREET ART®️</t>
  </si>
  <si>
    <t>@urban_streetart since 2014 a project created to spread #art and any other #creative content across socials 💥</t>
  </si>
  <si>
    <t>https://urbanstreetart.it</t>
  </si>
  <si>
    <t>stfoodcinema</t>
  </si>
  <si>
    <t>Street Food Cinema</t>
  </si>
  <si>
    <t>🎬 Celebrating 14 years of fantastic movies
🍿 Food trucks, local bands, photo ops and more! 
⭐️ Special events produced by @til.events</t>
  </si>
  <si>
    <t>http://www.streetfoodcinema.com/</t>
  </si>
  <si>
    <t>streetfood.29</t>
  </si>
  <si>
    <t>Fast food restaurant</t>
  </si>
  <si>
    <t>Restaurant les frèrots zarour⭐️
Pizza,sandwich,burger,tacos,plats,pasta,poissons,crêpes,gateaux,jus
0776 29 51 50☎️
livraison gratuite🏍️
Localisation👇</t>
  </si>
  <si>
    <t>https://maps.app.goo.gl/P7xeRpxAdfCWFNe98?g_st=com.google.maps.preview.copy</t>
  </si>
  <si>
    <t>street_food_aj</t>
  </si>
  <si>
    <t>Street food aj</t>
  </si>
  <si>
    <t>🍔 पोच्चज जिओ ला 🍲
 🎥DM FOR  PROMOTION :- ☎️ 6351-773741 
😎FOOD BLOGGER | FOOD | TRAVEL | LIFESTYLE |
📈YOUTUBE 350K Subscribers 
👉🏻 YOUTUBE CHANNEL 👇</t>
  </si>
  <si>
    <t>https://youtube.com/@streetfoodaj?si=blKa5OQMCOaFch3p</t>
  </si>
  <si>
    <t>streetfood_ar</t>
  </si>
  <si>
    <t>Street Food</t>
  </si>
  <si>
    <t>📍Cipolletti, Pacheco 290
📍Cipolletti, Belgrano 283
📍Neuquén, Diag. Alvear 168</t>
  </si>
  <si>
    <t>streetfoodfestivalromania</t>
  </si>
  <si>
    <t>Street Food Festival</t>
  </si>
  <si>
    <t>🥘Food &amp; live music🎼
🤩Good vibes &amp; Pet friendly 🐾
🧘‍♀️Chill &amp; kids zone👫
📍2025 👉 Cluj-Napoca | Brașov | Iași | Botoșani | Timișoara | Galați |</t>
  </si>
  <si>
    <t>https://linktr.ee/streetfoodfestivalromania</t>
  </si>
  <si>
    <t>street_food_finder_82</t>
  </si>
  <si>
    <t>Street Food Finder</t>
  </si>
  <si>
    <t>Daily Food Vlog
Hi Foodie ❤️</t>
  </si>
  <si>
    <t>https://www.facebook.com/streetfoodfinder82</t>
  </si>
  <si>
    <t>streetfoodjourn3y</t>
  </si>
  <si>
    <t>STREET FOOD JOURNEY</t>
  </si>
  <si>
    <t>🌏Travel The World To Show You Interesting Street Foods
🍧Youtube 3.3 Million
🍦TikTok 1.7 Million
🍩 Facebook 1 Million</t>
  </si>
  <si>
    <t>street_foodnation</t>
  </si>
  <si>
    <t>Street Food Nation</t>
  </si>
  <si>
    <t>Exploring Street Food Around The  🌏  
Facebook - 1.2 Million Followers 
Youtube - 2.4 Lakh Subscribers 
DM For Paid Promotions</t>
  </si>
  <si>
    <t>https://www.facebook.com/share/14GjjbRM8Fq/?mibextid=wwXIfr</t>
  </si>
  <si>
    <t>streetfood_officiel</t>
  </si>
  <si>
    <t>American Restaurant</t>
  </si>
  <si>
    <t>streetfood 🍔🍕Nouveau
concept nouveau design nourriture original
☎️ 0523283004
📱0606077813 HASSANIA 1
📱0614041508 PARC
📱0780112447 BERNOUSSI</t>
  </si>
  <si>
    <t>https://g.co/kgs/A2GN38</t>
  </si>
  <si>
    <t>streetfood.suli</t>
  </si>
  <si>
    <t>STREET FOOD</t>
  </si>
  <si>
    <t>Middle Eastern Restaurant</t>
  </si>
  <si>
    <t>Street Food Restaurant
📍 Bakhtiari Kon St - Sulaymaniyah
☎️ 0770 818 8836 
Street Food Shawarma &amp; grill 
☎️ 0770 818 8837</t>
  </si>
  <si>
    <t>https://morinamenu.com/street.food</t>
  </si>
  <si>
    <t>street_food.uka</t>
  </si>
  <si>
    <t>Шаурма 🌯</t>
  </si>
  <si>
    <t>Наш адрес: Сатпаева 14/4 киоск 
Назарбаева 2а
87765710099
87761099989</t>
  </si>
  <si>
    <t>minimalstreetstyle</t>
  </si>
  <si>
    <t>Minimal Streetstyle</t>
  </si>
  <si>
    <t>Daily style inspo co-curated by @lindaljadea and @beigerenegade 
DM for collaborations
Style20 for 20% off @herbalfacefood</t>
  </si>
  <si>
    <t>http://fr.vestiairecollective.com/membres/profil-1597819.shtml</t>
  </si>
  <si>
    <t>streetstyled</t>
  </si>
  <si>
    <t>STREET STYLE</t>
  </si>
  <si>
    <t>A curation of work by talented photographers. We do not take credit for the photos unless stated.</t>
  </si>
  <si>
    <t>streetstyle__daily</t>
  </si>
  <si>
    <t>Women’s Street Fashion, Trends &amp; Finds 👁️‍🗨️</t>
  </si>
  <si>
    <t>📍 Daily Capsule Decode - trends in formulas you can wear 💬 DM “Capsule” → Get your style audit 👁️‍🗨️
Tag us to be featured 🧭
👇🏻 Tap to shop</t>
  </si>
  <si>
    <t>https://larmossi.com</t>
  </si>
  <si>
    <t>street.style.hunter</t>
  </si>
  <si>
    <t>Street Style Hunter</t>
  </si>
  <si>
    <t>Fashion trends as seen on the cobblestones of Lviv Ukraine and elsewhere📸
Інтервʼю для ELLE тут👇🏻</t>
  </si>
  <si>
    <t>https://t.me/streetstylehunter</t>
  </si>
  <si>
    <t>streetstylemvm</t>
  </si>
  <si>
    <t>Men’s Fashion Magazine</t>
  </si>
  <si>
    <t>Your guide to modern men's style
📌 Romania 🇷🇴</t>
  </si>
  <si>
    <t>street_style_paris</t>
  </si>
  <si>
    <t>PAGE FOR SALE</t>
  </si>
  <si>
    <t>street_style_rules</t>
  </si>
  <si>
    <t>street_style_rules (since 2013)</t>
  </si>
  <si>
    <t>slanje POST EXPRESOM sirom Srbije!🚚</t>
  </si>
  <si>
    <t>streetstyle.tmr</t>
  </si>
  <si>
    <t>СТРИТСТАЙЛ/ женская одежда Темиртау</t>
  </si>
  <si>
    <t>• ТД ЕВРАЗИЯ 1 этаж 38 бутик
• KASPI RED/ РАССРОЧКА
• Доставка по KZ 5-6 дней
• Для заказа👇</t>
  </si>
  <si>
    <t>street_stylew</t>
  </si>
  <si>
    <t>street style/استایل خیابانی</t>
  </si>
  <si>
    <t>💎مجله ی مد و استایل💎
🔴چیزی برای فروش نداریم صرفا جهت ایده گرفتن!!!
🔼FASHION
🔼MODEL</t>
  </si>
  <si>
    <t>https://t.me/street_stylew</t>
  </si>
  <si>
    <t>streetstylewu</t>
  </si>
  <si>
    <t>STREETSTYLE</t>
  </si>
  <si>
    <t>WITTY UNPREDICTABLE TALENT AND NATURAL GAME 👐🏼</t>
  </si>
  <si>
    <t>itftennis</t>
  </si>
  <si>
    <t>ITF Tennis</t>
  </si>
  <si>
    <t>The International Tennis Federation on Instagram, home of all tennis players &amp; fans
👉 @itfworldtennistour 
👉 @itfmasterstennis 
👉 @itfwheelchairtennis</t>
  </si>
  <si>
    <t>http://www.itftennis.com</t>
  </si>
  <si>
    <t>royalace.tennis.club</t>
  </si>
  <si>
    <t>ТЕННИС АСТАНА | БОЛЬШОЙ ТЕННИС | ПАДЕЛ | СКВОШ</t>
  </si>
  <si>
    <t>🎾Тренировки по теннису для детей и взрослых 
🏆 Участие в турнирах
📱+7 (707) 952 61 19
↓ Запишись на тренировку</t>
  </si>
  <si>
    <t>http://wa.me/77079526119</t>
  </si>
  <si>
    <t>tennischannel</t>
  </si>
  <si>
    <t>Tennis</t>
  </si>
  <si>
    <t>Hopping on the 7 to Flushing Meadows 🌃🚉 
Our App is the only place to stream every ATP &amp; WTA match for only $9.99 per month!
Download is here ⤵️</t>
  </si>
  <si>
    <t>http://tnns.ch/FB</t>
  </si>
  <si>
    <t>tenniskafsh</t>
  </si>
  <si>
    <t>tennis kafsh تنیس کفش</t>
  </si>
  <si>
    <t>فروشگاه  تنیس کفش @tenniskafsh
فروش تخصصی کفش تنیس 🎾
کفش های اورجینال 💯 
راه ارتباطی 👇 
 شماره تماس :  09905025625</t>
  </si>
  <si>
    <t>tennislegend</t>
  </si>
  <si>
    <t>Tennis Legend</t>
  </si>
  <si>
    <t>🎾The world's largest club for all tennis players and fans
🎥 Anyone can become a legend ➡️ Submit videos by DM for a chance to be one.
Podcast ⬇</t>
  </si>
  <si>
    <t>https://youtube.com/@tlpodcast?si=Ie9j9xe-8UACxEfd</t>
  </si>
  <si>
    <t>tennis_mira</t>
  </si>
  <si>
    <t>전미라</t>
  </si>
  <si>
    <t>전미라테니스아카데미
@jmr_tennis_academy  
☎️01085576914</t>
  </si>
  <si>
    <t>tennistv</t>
  </si>
  <si>
    <t>Tennis TV</t>
  </si>
  <si>
    <t>The best seat in tennis 🎾 Live stream every ATP tournament on your TV, mobile, tablet or computer📲📺💻</t>
  </si>
  <si>
    <t>http://tnn.is/watch</t>
  </si>
  <si>
    <t>tenniswithdylan</t>
  </si>
  <si>
    <t>Dylan Gee 🇬🇧🇳🇿</t>
  </si>
  <si>
    <t>🎾 Tennis coach &amp; content creator 
📚 Helping tennis players improve 1% every day 
🎥 YouTube</t>
  </si>
  <si>
    <t>https://linktr.ee/tenniswithdylan</t>
  </si>
  <si>
    <t>thetennis101</t>
  </si>
  <si>
    <t>Ben Johnson</t>
  </si>
  <si>
    <t>Tennis, travel &amp; lifestyle 🎾</t>
  </si>
  <si>
    <t>https://lightroom.app.link/WaycIYJ7kWb</t>
  </si>
  <si>
    <t>wilsontennis</t>
  </si>
  <si>
    <t>Wilson Tennis</t>
  </si>
  <si>
    <t>Number one brand in 🎾
Keep up with our products &amp; players
#WilsonTennis #TeamWilson</t>
  </si>
  <si>
    <t>http://visitstore.bio/wilsontennis</t>
  </si>
  <si>
    <t>zhengqinwen_tennis</t>
  </si>
  <si>
    <t>Zheng Qinwen</t>
  </si>
  <si>
    <t>professional tennis player from CHINA 🇨🇳
2024 Olympic tennis single gold medal 🥇
未来无法预测
过去不可改变
当下正好追梦
Something is ending, something is coming</t>
  </si>
  <si>
    <t>toddlerscanread</t>
  </si>
  <si>
    <t>Spencer Russell</t>
  </si>
  <si>
    <t>👋🏽Spencer Russell 
📖Head of Literacy @lovevery 
🏡Helping YOU teach YOUR kid to read
👇🏽Click here for reading resources</t>
  </si>
  <si>
    <t>https://linktr.ee/toddlerscanread</t>
  </si>
  <si>
    <t>toddlers_diapers</t>
  </si>
  <si>
    <t>Toddlers_Diapers</t>
  </si>
  <si>
    <t>Imported 🌿organic cotton diapers                                 ⚠️Leak proof | Ultrasoft | comfortable🙂                         Links to order👇</t>
  </si>
  <si>
    <t>http://www.toddlersdiapers.com</t>
  </si>
  <si>
    <t>toddlers_gram</t>
  </si>
  <si>
    <t>Toddlers gram| Content creator</t>
  </si>
  <si>
    <t>Dm for paid promotions or PR
Making some quality content!🎀</t>
  </si>
  <si>
    <t>travelvlogupdate</t>
  </si>
  <si>
    <t>Nathan Martinelli</t>
  </si>
  <si>
    <t>•If you are trying your best, we have a lot in common
•Vanlifer | 4+Years
•Poe and Raven🐾
•Adventure | Travel | Community
Matt. 5:14
📍Bend</t>
  </si>
  <si>
    <t>https://linktr.ee/nathanmartinelli</t>
  </si>
  <si>
    <t>dr.vegan</t>
  </si>
  <si>
    <t>Ahmad Noori</t>
  </si>
  <si>
    <t>⚕️Medical Doctor 
📩management@dr-vegan.com
⬇️ALL MY RECIPES⬇️</t>
  </si>
  <si>
    <t>http://drveganblog.com</t>
  </si>
  <si>
    <t>elavegan</t>
  </si>
  <si>
    <t>Michaela Vais | Vegan Food ♡</t>
  </si>
  <si>
    <t>🌱 Cookbook author 🇬🇧 🇩🇪
🌱 vegan &amp; glutenfree recipes 👉 Elavegan.com
🌱 Recipes, Cookbook &amp; App 👇</t>
  </si>
  <si>
    <t>https://tap.bio/@elavegan</t>
  </si>
  <si>
    <t>fabiolavegmamy</t>
  </si>
  <si>
    <t>Fabiola Di Sotto / Mamma Vegan</t>
  </si>
  <si>
    <t>👩‍🍳 Ti faccio amare i legumi 🫘
🌱Qui trovi la cucina del futuro🔮
📓 Scarica il mio eBook 👩‍🍳
     👇👇👇</t>
  </si>
  <si>
    <t>https://l.instagram.com/?u=https%3A%2F%2Fwww.cucinadelfuturo.it%2F60-ricette&amp;e=AT3S9gmABlVZ14uX36PXArB5-uUHe6WcRNTbb6wN-WwCuVAZkfn8ZYEib5LAy0uhkMoJhdUKB8vBaPtOWVr1X0c_jXqQYw6HWYp85PrgzTranF8ED4NMY7DCGADB</t>
  </si>
  <si>
    <t>pacasveganas</t>
  </si>
  <si>
    <t>Nayari disla 🇩🇴 | Pacas Veganas</t>
  </si>
  <si>
    <t>📲☎️809-539-0828
📍Almacén, La Vega, calle Serapio Reynoso
📌Tienda, Santiago Calle San Luis
⛪️Tienda, La Vega, Quinto Patio 
💜@variedadesnaya</t>
  </si>
  <si>
    <t>vague.vegan</t>
  </si>
  <si>
    <t>Agata | the imperfect vegan&amp;skincare enthusiast</t>
  </si>
  <si>
    <t>tell your dog I said hi
collab: borys@vvelldone.com</t>
  </si>
  <si>
    <t>WORLD OF VEGAN | MICHELLE</t>
  </si>
  <si>
    <t>🌿 Kind Living for 🐷🦃🐋🌎🌻
🎙 Plant-Powered People Podcast
📚 The Friendly Vegan Cookbook
👩🏼‍🌾 Posts by @MichelleCehn</t>
  </si>
  <si>
    <t>http://worldofvegan.com</t>
  </si>
  <si>
    <t>veganbunnyelle</t>
  </si>
  <si>
    <t>Elle 🐇</t>
  </si>
  <si>
    <t>Plant food made fun 🐇🐺💞
🥕 Inquiries: mgmt@veganbunnychef.com 💌
🔗 Tappable links👇🏼</t>
  </si>
  <si>
    <t>http://www.domestika.org/courses/5565/veganbunnyelle</t>
  </si>
  <si>
    <t>vegandale</t>
  </si>
  <si>
    <t>✨️ Largest Vegan Experience in North America ✨️ 
🇨🇦 TO 🇺🇸 CHI, NYC, PHL, LA</t>
  </si>
  <si>
    <t>https://linktr.ee/vegandalefestival</t>
  </si>
  <si>
    <t>veganexchangela</t>
  </si>
  <si>
    <t>LA’s First Free Entry Vegan Market</t>
  </si>
  <si>
    <t>Vegan Exchange is BACK!
NEXT EVENT: September 7 | 4-8pm. All ages.
📍@studiocitycrafthouse 11262 Ventura Blvd, Studio City, CA
⬇️Vendors apply HERE⬇️</t>
  </si>
  <si>
    <t>https://veganexchangeevents.us8.list-manage.com/subscribe?u=c8988813c165cc3949e128c2b&amp;id=c6d43a3356</t>
  </si>
  <si>
    <t>vegan.f.t.a</t>
  </si>
  <si>
    <t>Vegan for the Animals</t>
  </si>
  <si>
    <t>Find out the truth👇👇 👇</t>
  </si>
  <si>
    <t>https://linktr.ee/veganfta</t>
  </si>
  <si>
    <t>vegan.planvn</t>
  </si>
  <si>
    <t>Vegan Plan</t>
  </si>
  <si>
    <t>𝗩𝗲𝗴𝗮𝗻 | 𝐇𝐞𝐚𝐥𝐭𝐡𝐲
🍱 Best Guide to The #veganrecipe
👫⁣ Don't Forget Follow Us
👇Get recipes, cookbooks &amp; more👇</t>
  </si>
  <si>
    <t>http://heylink.me/vegan.planvn/</t>
  </si>
  <si>
    <t>veganrecipesideas</t>
  </si>
  <si>
    <t>Vegan Recipes</t>
  </si>
  <si>
    <t>🌱 Vegan Recipes | Vegan Foods
🍠 Healthy vegan recipes for your daily inspiration</t>
  </si>
  <si>
    <t>vegan_veganfood</t>
  </si>
  <si>
    <t>Vegan Food Recipes</t>
  </si>
  <si>
    <t>Health Food Store</t>
  </si>
  <si>
    <t>Use #vegan_veganfood
📗 100 Vegan Recipes eBook
✍️Created by registered ® Holistic Nutritionist
😋 Detailed recipes for you and your family
👇 BUY NOW👇</t>
  </si>
  <si>
    <t>https://enkistore.com/products/100-vegan-recipes-ebook</t>
  </si>
  <si>
    <t>35_vintage</t>
  </si>
  <si>
    <t>Thirty Five</t>
  </si>
  <si>
    <t>The Obtainable &amp; Sustainable Vintage Shop 🛍️
In-Store &amp; online (click &amp; collect available)
100’s of new items weekly 🫱🏼‍🫲🏽</t>
  </si>
  <si>
    <t>http://35vintage.com</t>
  </si>
  <si>
    <t>oldvintagecartoons</t>
  </si>
  <si>
    <t>Vintage Cartoons</t>
  </si>
  <si>
    <t>🎥 For collaborations: oldvintagecartoon@gmail.com
✨ Rare finds | Nostalgic magic | Retro dreams</t>
  </si>
  <si>
    <t>tabvintage</t>
  </si>
  <si>
    <t>TAB VINTAGE</t>
  </si>
  <si>
    <t>Rare Wearable Designer Vintage
LA Studio — By Appointment Only
💌: hello@tabvintage.com</t>
  </si>
  <si>
    <t>https://linktr.ee/tabvintage</t>
  </si>
  <si>
    <t>the_vintage_bar</t>
  </si>
  <si>
    <t>The Vintage Bar</t>
  </si>
  <si>
    <t>A fashion marketplace where we bond with each other over shared interests for secondhand fashion and a more circular lifestyle 💚♻️</t>
  </si>
  <si>
    <t>https://bit.ly/3x7ph1S</t>
  </si>
  <si>
    <t>viintagedaily</t>
  </si>
  <si>
    <t>Vintage Daily</t>
  </si>
  <si>
    <t>Dedicated to the past 🌺</t>
  </si>
  <si>
    <t>Vintage</t>
  </si>
  <si>
    <t>vintagebazaarpt</t>
  </si>
  <si>
    <t>Vintage Bazaar</t>
  </si>
  <si>
    <t>From Portugal with love ❤️
OEIRAS / CHIADO / PORTO / ALJEZUR
Apoio ao Cliente: 911746229 (Chamada para rede móvel nacional)/vbonline@vintagebazaar.pt</t>
  </si>
  <si>
    <t>http://vintagebazaar.pt/</t>
  </si>
  <si>
    <t>vintageculture</t>
  </si>
  <si>
    <t>LukasRuiz</t>
  </si>
  <si>
    <t>https://onerpm.link/affairs-001</t>
  </si>
  <si>
    <t>vintageculturemood</t>
  </si>
  <si>
    <t>VINTAGE CULTURE MOOD</t>
  </si>
  <si>
    <t>▪️ Cupom na loja @sotrackboa.store: MOOD
▪️ Cupom no @byebadpack: MOODBB
🔘 ADM: @heliveltonoliveira_
🔸 Sigam também: @moodeletronico</t>
  </si>
  <si>
    <t>https://loja.sotrackboa.com</t>
  </si>
  <si>
    <t>vintagedisneys</t>
  </si>
  <si>
    <t>Botanical Garden</t>
  </si>
  <si>
    <t>home of vintage cartoons/ disney
no videos are owned by me ♡</t>
  </si>
  <si>
    <t>vintage.dreamings</t>
  </si>
  <si>
    <t>♡</t>
  </si>
  <si>
    <t>fashion • cartoons • movies</t>
  </si>
  <si>
    <t>https://msha.ke/vintagedreamings</t>
  </si>
  <si>
    <t>vintagefantasymag</t>
  </si>
  <si>
    <t>vintagefantasy</t>
  </si>
  <si>
    <t>the pop retro magazine 
interviews, art prints &amp; the latest volume:</t>
  </si>
  <si>
    <t>http://vintagefantasy.com</t>
  </si>
  <si>
    <t>vintagemodern</t>
  </si>
  <si>
    <t>Vintage (formerly @vintagebroncos)</t>
  </si>
  <si>
    <t>Motor vehicle company</t>
  </si>
  <si>
    <t>⚙️ The only modern classic with safety features
💬 text 470-729-2853 for inventory
❤️ Founded with passion by @chauism
🚫 Not associated w Ford Motor Co</t>
  </si>
  <si>
    <t>http://classic.vintagemodern.co</t>
  </si>
  <si>
    <t>Photos &amp; videos from around the world 🌎 
Tag @wanderlust to be featured.</t>
  </si>
  <si>
    <t>https://www.thevacationclub.co/</t>
  </si>
  <si>
    <t>wanderlustmag</t>
  </si>
  <si>
    <t>Wanderlust travel magazine</t>
  </si>
  <si>
    <t>Taking the road less travelled since 1993.
Tag #wanderlustmag to be featured.</t>
  </si>
  <si>
    <t>https://linkin.bio/ig-wanderlustmag</t>
  </si>
  <si>
    <t>wanderlust.nl</t>
  </si>
  <si>
    <t>WANDER-LUST</t>
  </si>
  <si>
    <t>Hidden Gems &amp; Unique Spots in the 🌍
Writers for JAN &amp; FLAIR
📕 @offthebeatentrack_nl
📧 info@wander-lust.nl</t>
  </si>
  <si>
    <t>https://www.wander-lust.nl/</t>
  </si>
  <si>
    <t>wanderlustparis</t>
  </si>
  <si>
    <t>WANDERLUST</t>
  </si>
  <si>
    <t>Club, lives &amp; food
Jeudi-Samedi
Réservation bouteilles : +33 6 12 74 07 28 (WhatsApp uniquement)</t>
  </si>
  <si>
    <t>http://shotgun.live/venues/wanderlust</t>
  </si>
  <si>
    <t>wanderlust_ufficiale</t>
  </si>
  <si>
    <t>Wanderlust</t>
  </si>
  <si>
    <t>Ti racconto le STORIE MIGLIORI❤️🌍
Collaborazioni ——&gt; Direct💬
YT: Wanderlust Italia (500k+)</t>
  </si>
  <si>
    <t>https://www.tiktok.com/@wanderlust_italy?_t=8ZWBDINYQuk&amp;_r=1</t>
  </si>
  <si>
    <t>beyond_the_wildlife</t>
  </si>
  <si>
    <t>Beyond the Wildlife</t>
  </si>
  <si>
    <t>Together with @thebigcat.project educating and supporting big cats!
Get your daily dose of animal content here📸
Make a difference with every purchase👇</t>
  </si>
  <si>
    <t>https://thebigcatproject.com</t>
  </si>
  <si>
    <t>birds.wildlife.nature</t>
  </si>
  <si>
    <t>Nature birds.Singing and chirping.</t>
  </si>
  <si>
    <t>maysasantoro</t>
  </si>
  <si>
    <t>Maya | Wildlife Photographer</t>
  </si>
  <si>
    <t>Biologist &amp; Storyteller +11 years showing you unique places around the world | From the Arctic to Antarctica 
You, me in Antarctica 2026? 👇🏼❄️</t>
  </si>
  <si>
    <t>https://drive.google.com/file/d/1lFLJZqzgRkgAmPCZmANKOlp6S82xJWWi/view?usp=drivesdk</t>
  </si>
  <si>
    <t>nhm_wpy</t>
  </si>
  <si>
    <t>Wildlife Photographer of the Year</t>
  </si>
  <si>
    <t>💚 We're the world's biggest nature photography competition and touring exhibition, creating advocates for our planet at @natural_history_museum 📸🌍</t>
  </si>
  <si>
    <t>https://linktr.ee/nhm_wpy</t>
  </si>
  <si>
    <t>servalwildlife</t>
  </si>
  <si>
    <t>Serval Wildlife</t>
  </si>
  <si>
    <t>Hotel &amp; Lodging</t>
  </si>
  <si>
    <t>Luxury Safari &amp; Lodge in Tanzania 🇹🇿 Kilimanjaro,
No Animals in Cages | Sustainable
for booking Visit our website</t>
  </si>
  <si>
    <t>http://www.servalwildlife.com</t>
  </si>
  <si>
    <t>Wildlife</t>
  </si>
  <si>
    <t>Beautiful photos of wildlife from around the world.</t>
  </si>
  <si>
    <t>wildlife.ayush</t>
  </si>
  <si>
    <t>Ayush Singh</t>
  </si>
  <si>
    <t>Wildlife | Nature 
2x TEDx speaker l Nikon's youngest creator 
✉️ wildlifeayush@gmail.com</t>
  </si>
  <si>
    <t>wildlife.barbie</t>
  </si>
  <si>
    <t>Joy Evia 🩵🧜‍♀️</t>
  </si>
  <si>
    <t>🐾 animal education &amp; conservation
@joystraveldiary 🪼 @joyevialifting 🪸
🩺 wildlife technician!
⬇️ travel with me!!</t>
  </si>
  <si>
    <t>https://www.worldpackers.com/epic/experiences/costarica-caribe/slots/yLv20251122</t>
  </si>
  <si>
    <t>wildlife.geo</t>
  </si>
  <si>
    <t>WILD LIFE GEOGRAPHIC</t>
  </si>
  <si>
    <t>We share the beauty of our Planet Earth for wildlife and nature.
MAGNETIC CAR PHONE HOLDER👇🏼</t>
  </si>
  <si>
    <t>https://www.rainly.co.uk/products/magnetic-car-phone-holder-stand-magnet-car-mount-support-gps-mobile-bracket-in-car-for-macsafe-iphone-15-14-13-12-samsung-xiaomi</t>
  </si>
  <si>
    <t>wildlifeloverss_</t>
  </si>
  <si>
    <t>Wildlife lovers</t>
  </si>
  <si>
    <t>wildlife.report</t>
  </si>
  <si>
    <t>The Wildlife Report</t>
  </si>
  <si>
    <t>Daily reports from the wild 🌍
Rare moments • Real animals • Raw nature
📍Earth | 📩 DM for features</t>
  </si>
  <si>
    <t>wildliferescuers</t>
  </si>
  <si>
    <t>Wildlife Rescuers</t>
  </si>
  <si>
    <t>Raising awareness, supporting wildlife.
🌎 Support wildlife charities worldwide.
🐾Each purchase makes a difference.
Grab your bracelet today!⬇️</t>
  </si>
  <si>
    <t>https://wildliferescuers.shop</t>
  </si>
  <si>
    <t>wildlife.safari</t>
  </si>
  <si>
    <t>Wildlife Safari</t>
  </si>
  <si>
    <t>Zoo</t>
  </si>
  <si>
    <t>Wildlife Safari is a 600 acre animal drive through park where YOU are captive and THEY roam free. Celebrate #MoreThanWildlife with us today!</t>
  </si>
  <si>
    <t>https://wildlifesafari.net//</t>
  </si>
  <si>
    <t>world_wildlife</t>
  </si>
  <si>
    <t>World Wildlife Fund</t>
  </si>
  <si>
    <t>Without our love, the natural world as we know it can–and will–disappear. So, it’s our choice: Love it or lose it. WWF-US</t>
  </si>
  <si>
    <t>http://sprout.link/world_wildlife</t>
  </si>
  <si>
    <t>bellyworkout</t>
  </si>
  <si>
    <t>Bellyworkout | AbsWorkout | Glutes</t>
  </si>
  <si>
    <t>Sports &amp; Fitness Instruction</t>
  </si>
  <si>
    <t>💪 Empowering Women to Achieve Their Best Shape in the New Year ✨
Transform Your Body Today – Don’t Wait!
👇Incredible Discount👇</t>
  </si>
  <si>
    <t>fitonomyapp</t>
  </si>
  <si>
    <t>Home Workout App</t>
  </si>
  <si>
    <t>🏠 Home workouts that actually get results
👇 Tap the link &amp; start your workouts now!</t>
  </si>
  <si>
    <t>lisafiittworkouts</t>
  </si>
  <si>
    <t>Lisa jean</t>
  </si>
  <si>
    <t>Daily workouts and fitness tips
Train with me on the @strngofficial_ app !👇🏼✨</t>
  </si>
  <si>
    <t>https://www.strngofficial.com/?utm_source=lfwo&amp;utm_medium=igbio&amp;utm_campaign=flash30sale</t>
  </si>
  <si>
    <t>madfit.ig</t>
  </si>
  <si>
    <t>MADDIE | Workout Instructor</t>
  </si>
  <si>
    <t>Founder @madoreathletics 
Co-Founder &amp; Lead Trainer @themadfitapp  
YouTube: MadFit</t>
  </si>
  <si>
    <t>https://linktr.ee/maddielymburner</t>
  </si>
  <si>
    <t>m.fitworkout</t>
  </si>
  <si>
    <t>Mona Kakavand</t>
  </si>
  <si>
    <t>Mona kakavand 
world champion in karate🏅🏆
Entrepreneur|founder of 
@monaiefashion
@monaiefarm 
@monaiehome 
@monaielounge 
@varzeshkonim</t>
  </si>
  <si>
    <t>http://www.monaiefashion.com</t>
  </si>
  <si>
    <t>Workout</t>
  </si>
  <si>
    <t>Entertainment, Tips &amp; Memes! 🎙️
Submit your videos below 👇 
Join our community 🫂</t>
  </si>
  <si>
    <t>work_out_221</t>
  </si>
  <si>
    <t>Street Work Out 221 🇸🇳</t>
  </si>
  <si>
    <t>workout_athletics</t>
  </si>
  <si>
    <t>Amin Hashemi</t>
  </si>
  <si>
    <t>📍Dubai🇦🇪 certificate🇺🇸
 farsi @cardio_fitness.amin 
⚽️ Footballers  
🤼World Wrestling Champions  
🎾  Tennis Players  
Preparing for Great Success🏆</t>
  </si>
  <si>
    <t>https://youtube.com/shorts/sx-H9FjGuHw?si=l_IQW2ZnOQAlSusA</t>
  </si>
  <si>
    <t>workout.ecu</t>
  </si>
  <si>
    <t>WORKOUT Depilación Bronceado</t>
  </si>
  <si>
    <t>Más de 20 años cuidando de tu piel ✨
Haz tu cita 📆 en este link</t>
  </si>
  <si>
    <t>workoutguidemansgym</t>
  </si>
  <si>
    <t>__Gym_work_out__</t>
  </si>
  <si>
    <t>🏋 Daily fitness &amp; health tips
🛑 Fitness is a key in our life 
💲 DM for paid promotion/shoutout 💰</t>
  </si>
  <si>
    <t>workout_landlord</t>
  </si>
  <si>
    <t>Anthony Goodwin | The landlord</t>
  </si>
  <si>
    <t>Realestate 🐐 🏚 Business consulting 🔌financial expert 📈 licensed general contractor🪪owner of @landlordrentals @thered_creativespace</t>
  </si>
  <si>
    <t>https://linktr.ee/GoodWorksLLC</t>
  </si>
  <si>
    <t>workoutonline.se</t>
  </si>
  <si>
    <t>Jacob Hellberg</t>
  </si>
  <si>
    <t>PT sen -98. Onlinecoach👨🏻‍💻
Hjälpt tusentals att komma i form🏆
Grundare av @wellio.se
Ambassadör: @torvallabil.se &amp; @mionetto_se 
Träna med mig?👇🏼</t>
  </si>
  <si>
    <t>https://linktr.ee/workoutonline</t>
  </si>
  <si>
    <t>workoutsbychristina</t>
  </si>
  <si>
    <t>Christina van Solingen</t>
  </si>
  <si>
    <t>founder @voxactivewear 
@upfront “ CHRISTINA “
train with me!!! my exact training split + advice !!!! ↴</t>
  </si>
  <si>
    <t>https://www.solin.stream/workoutsbychristina/program/3374</t>
  </si>
  <si>
    <t>workoutwithgina</t>
  </si>
  <si>
    <t>Gina Amin</t>
  </si>
  <si>
    <t>CLOCK IN 📧 ginaamin@dulcedo.com
@gymshark Athlete 🦈 | ‘GINA10’ 
@pescience code ‘GINA’
1:1 COACHING + HYBRID CHALLENGE ⬇️</t>
  </si>
  <si>
    <t>https://linktr.ee/workout.with.gina</t>
  </si>
  <si>
    <t>wrokout_helper</t>
  </si>
  <si>
    <t>Work Out Helper | 150K 🎯</t>
  </si>
  <si>
    <t>💲DM FOR PROMOTION 
⚡Join The Community
🏋🏽‍♀️ Helping People Achieve Their Goals
📷 Follow for your daily dose of fitness</t>
  </si>
  <si>
    <t>https://fitflownation.com/start-here</t>
  </si>
  <si>
    <t>aloyoga</t>
  </si>
  <si>
    <t>Alo Yoga</t>
  </si>
  <si>
    <t>Inspiring mindful movement, creating community and supporting mind-body wellness on and off the mat.
@alo @alowellnessclub @alomen</t>
  </si>
  <si>
    <t>https://bit.ly/ShopGreenOlive</t>
  </si>
  <si>
    <t>dailyyogaforfitness</t>
  </si>
  <si>
    <t>Daily Yoga: Yoga for Fitness</t>
  </si>
  <si>
    <t>🧘‍♀️📲 Get your yoga on-the-go with DailyYoga - the best yoga app! 🙏 Enjoy hundreds of classes for all levels &amp; goals, anytime, anywhere! 🌟 #yoga</t>
  </si>
  <si>
    <t>http://dailyyoga.com</t>
  </si>
  <si>
    <t>flex.yoga_</t>
  </si>
  <si>
    <t>Fatemeh Ebrahimzadeh</t>
  </si>
  <si>
    <t>Yoga instructor🧘🏻‍♀️ / pilot ✈️👩🏻‍✈️
Online yoga class 👉🏻 @flexyoga.studio 
in-person yoga class 🇨🇦
Links 👇🏻</t>
  </si>
  <si>
    <t>https://linktr.ee/flexyoga</t>
  </si>
  <si>
    <t>Yoga</t>
  </si>
  <si>
    <t>#1 Global #Yoga Community 🙏
Tag @Yoga for a chance to be featured.
Photos and videos belong to their owners</t>
  </si>
  <si>
    <t>https://www.summitofgreatness.com/</t>
  </si>
  <si>
    <t>yogawithkatharine</t>
  </si>
  <si>
    <t>Katharine | Yoga &amp; Mobility</t>
  </si>
  <si>
    <t>Mobility | Flexibility | Home Workouts | Holistic Fitness
I make flexibility and mobility simple 
Inquiries: yogawithkatharine@gmail.com</t>
  </si>
  <si>
    <t>https://linktr.ee/yogawithkatharine</t>
  </si>
  <si>
    <t>3d.artist.yaghoubi</t>
  </si>
  <si>
    <t>محمد حسین یعقوبی / آموزش طراحی داخلی</t>
  </si>
  <si>
    <t>به مدرسه طراحی داخلی من خوش اومدین🫰
،
.
مشاوره ورود‌به بازار کار  👇
09981822221</t>
  </si>
  <si>
    <t>https://www.vraymax.org/shop/</t>
  </si>
  <si>
    <t>3dbox_ec</t>
  </si>
  <si>
    <t>3D BOX EC</t>
  </si>
  <si>
    <t>🎨ARTE EN IMPRESIÓN 3D STUDIO PROFESIONAL🤝🏼🎁 
📲Tienda en línea
🚚PIONEROS EN EL 🇪🇨ENVIOS 🌎
⚙️RESINA 14k-ABS-POLIET
🗓️Proyectos solo bajo pedidos 🙏</t>
  </si>
  <si>
    <t>https://beacons.ai/3dbox</t>
  </si>
  <si>
    <t>3d_diy</t>
  </si>
  <si>
    <t>Магазин N1 3DiY shop | 3D-принтеры | Всё для 3D печати</t>
  </si>
  <si>
    <t>🦾3D-принтеры
⚙️Комплектующие для 3D-принтеров
ЧПУ, робототехники
Расходные материалы
Пластики
📦Доставка по РФ
8 800 500-45-93
Ссылка на сайт/ютуб/тг⬇️</t>
  </si>
  <si>
    <t>https://www.3diy.ru/all-contacts</t>
  </si>
  <si>
    <t>3dgolfdecoded</t>
  </si>
  <si>
    <t>3D Golf Decoded</t>
  </si>
  <si>
    <t>Golf Instructor</t>
  </si>
  <si>
    <t>New Acc: August 2024 - Founder @db.golfcoach
Where Learning Meets Precision. Gain a New Perspective from our 3D Golf Education
HQ 🇸🇬 DB Golf Center</t>
  </si>
  <si>
    <t>http://www.dbgolfcenter.com</t>
  </si>
  <si>
    <t>3dmake3d</t>
  </si>
  <si>
    <t>3D // M A K E // 3D</t>
  </si>
  <si>
    <t>Blender3D // Artist
Here // Is // My // Vision
Commissions // Open
📍France</t>
  </si>
  <si>
    <t>http://www.patreon.com/3dmake3d</t>
  </si>
  <si>
    <t>rodzombie</t>
  </si>
  <si>
    <t>3D</t>
  </si>
  <si>
    <t>Rod
Environment Concept Art. 3D                                                                           - Fluid sim.   Wallpapers &amp; commissions👇🏼</t>
  </si>
  <si>
    <t>https://linktr.ee/rodzombie</t>
  </si>
  <si>
    <t>zeoh.3d</t>
  </si>
  <si>
    <t>Ze Oh | 3D Arts</t>
  </si>
  <si>
    <t>Bringing ideas to life with 3d Printers 🤪
#3dprinting</t>
  </si>
  <si>
    <t>burgaofficial</t>
  </si>
  <si>
    <t>BURGA Fashion Accessories</t>
  </si>
  <si>
    <t>From ordinary to extraordinary #myBURGA
EXPLORE NEW: DOG FRIENDLY OFFICE COLLECTION 🐶💻</t>
  </si>
  <si>
    <t>https://burga.social/dogfriendlyoffice</t>
  </si>
  <si>
    <t>by_nino_accessories</t>
  </si>
  <si>
    <t>Шапки шарфи. Рукавички Панами кепки Бактуси BY NINO SHOP</t>
  </si>
  <si>
    <t>Шапки | шарфи | рукавички | кепки | теплі аксесуари 
◻️твій простір жіночих аксесуарів
◻️Київ| Львів| Біла Церква| Чернівці</t>
  </si>
  <si>
    <t>gh_accessories__</t>
  </si>
  <si>
    <t>GH Accessories</t>
  </si>
  <si>
    <t>𑁍♕︎   نحن لانقلد احد نحن نبدع فقـــط   ♕︎𑁍
🇩🇿 ســـــــــطــيــــــف  🇩🇿
0675107269📞
            ⚜️التوصيل متوفر 58ولاية⚜</t>
  </si>
  <si>
    <t>hairaccessories_bynancy</t>
  </si>
  <si>
    <t>Hair Accessories</t>
  </si>
  <si>
    <t>🌺You ask, We customize 😊
🌼Ships in India Only 🇮🇳 
✨ No refund 
To place an order or for customization👇</t>
  </si>
  <si>
    <t>https://api.whatsapp.com/send/?phone=7668020146&amp;text=Can+you+please+guide+me+on+how+to+place+an+order.+Thank+you%2521&amp;type=phone_number&amp;app_absent=0</t>
  </si>
  <si>
    <t>inaya_accessories</t>
  </si>
  <si>
    <t>Inaya Accessories™️ | 𝗝𝗲𝘄𝗲𝗹𝗹𝗲𝗿𝘆 𝘆𝗼𝘂 𝗟𝗼𝘃𝗲</t>
  </si>
  <si>
    <t>Demi Fine Jewellery | Everyday Waterproof Jewellery💍 
Based in 🇮🇳 &amp; 🇦🇺
Featured in @voguemagazine @bazaarindia @feminaindia</t>
  </si>
  <si>
    <t>https://www.inayaaccessories.com/</t>
  </si>
  <si>
    <t>madine.accessories</t>
  </si>
  <si>
    <t>Madine Accessories ®</t>
  </si>
  <si>
    <t>✧ 𝗖𝗿𝗮𝗾𝘂𝗲𝘇 𝘀𝘂𝗿 𝗺𝗼𝗶, 𝗷𝗲 𝘃𝗼𝘂𝘀 𝗲𝗺𝗯𝗲𝗹𝗹𝗶𝗿𝗮𝗶
✧ Since 2019 
✧ CEO @nes_beauties 
✧ Bijoux inoxydables doré à l’or fin/plaqué Or/Argent
✧ Worldwide delivery</t>
  </si>
  <si>
    <t>https://www.madine-accessories.com/</t>
  </si>
  <si>
    <t>manissaaccessories</t>
  </si>
  <si>
    <t>Manissa Accessories</t>
  </si>
  <si>
    <t>📍Annaba : la rue bugeaud 
en face la pharmacie "KARABAGHLI" 
📱 WhatsApp : 0542171259</t>
  </si>
  <si>
    <t>https://www.tiktok.com/@manissaaccessorie7?_t=8oQGAQ7epuw&amp;_r=1</t>
  </si>
  <si>
    <t>mauve_accessories</t>
  </si>
  <si>
    <t>MAUVE ACCESSORIES</t>
  </si>
  <si>
    <t>A dainty way to show yourself love💌
Anti-tarnish ,Waterproof &amp; Gold plated jewellery ✨
PARTIAL COD available ✨
Dm for international orders🎀
📍India 🇮🇳</t>
  </si>
  <si>
    <t>https://mauveaccessories.com</t>
  </si>
  <si>
    <t>sisters_accessories_2</t>
  </si>
  <si>
    <t>HB accessories ❤</t>
  </si>
  <si>
    <t>Architecte ✨
Créatrice de bijoux traditionnels, et moderne 🇩🇿
owned by @hanane_bouchanane</t>
  </si>
  <si>
    <t>zaaq_accessories</t>
  </si>
  <si>
    <t>زاغ اکسسوری | zaaq accessories</t>
  </si>
  <si>
    <t>Accessories | اکسسوری
By Forugh &amp; Farzane
Site and direct message for order
Whatsapp 09370207373
Shiraz, Iran
sec @mahdi_khdyri 🔐</t>
  </si>
  <si>
    <t>https://zaaqaccessories.com</t>
  </si>
  <si>
    <t>Adventure - Travel</t>
  </si>
  <si>
    <t>Contact us ⬇️
📧: TravelingOurPlanet@gmail.com
Powered by: @vacations</t>
  </si>
  <si>
    <t>adventurernat</t>
  </si>
  <si>
    <t>BadassNugget🍭 (Nat)</t>
  </si>
  <si>
    <t>✨25 / UK✨ edgy katchow candy vibes💜
@badassnugget &lt;other acc :3
stream Like U a Lot🍬 (✿◠‿◠)
⬇️spicy sites &amp; other socials🙈🌟</t>
  </si>
  <si>
    <t>http://beacons.page/badassnugget</t>
  </si>
  <si>
    <t>magazine.of.adventure</t>
  </si>
  <si>
    <t>!! PROMOTION HUB !!</t>
  </si>
  <si>
    <t>𝑵𝑨𝑻𝑼𝑹𝑬✈️𝑻𝑹𝑨𝑽𝑬𝑳🏖️𝑨𝑫𝑽𝑬𝑵𝑻𝑼𝑹𝑬
🏝️𝑾𝑰𝑳𝑫𝑳𝑰𝑭𝑬//𝑷𝑶𝑹𝑻𝑹𝑨𝑰𝑻/ 𝑳𝑨𝑵𝑫𝑺𝑪𝑨𝑷𝑬
🌍𝑴𝑶𝑫𝑬𝑳/𝑷𝑯𝑶𝑻𝑶𝑮𝑹𝑨𝑷𝑯𝒀 𝑾𝑶𝑹𝑳𝑫𝑾𝑰𝑫𝑬 
💌𝑫𝑴 𝑼𝑺 𝑭𝑶𝑹 𝑷𝑹𝑶𝑴𝑶𝑻𝑰𝑶𝑵📥
𝑭. 𝑶. 𝑴: ≈&gt;: @chantalicia @aussie_forbys</t>
  </si>
  <si>
    <t>mr_adventure_comedy</t>
  </si>
  <si>
    <t>comedian 
content creator 
DM 4 promo🤝
@mr_adventure_motivation</t>
  </si>
  <si>
    <t>https://www.tiktok.com/@mr_adventure__?_t=8rwuxx85SKu&amp;_r=1</t>
  </si>
  <si>
    <t>suka__adventure</t>
  </si>
  <si>
    <t>Suka Adventure</t>
  </si>
  <si>
    <t>Eco Tour Agency</t>
  </si>
  <si>
    <t>𝗣𝗧 𝗦𝗨𝗞𝗔 𝗔𝗗𝗩𝗘𝗡𝗧𝗨𝗥𝗘 𝗕𝗘𝗥𝗗𝗜𝗞𝗔𝗥𝗜
ᴏᴘᴇɴ ᴛʀɪᴘ | ᴘʀɪᴠᴀᴛᴇ ᴛʀɪᴘ | ᴏɴᴇ ᴅᴀʏ ᴛʀɪᴘ
ᴇxᴘʟᴏʀᴇ ɪᴅɴ 🇮🇩
📍ʙᴀɴᴅᴜɴɢ 
Part of 
@bandung__outdoor</t>
  </si>
  <si>
    <t>https://openlink.co/suka_adventure</t>
  </si>
  <si>
    <t>animal_facts_11</t>
  </si>
  <si>
    <t>Animal Facts</t>
  </si>
  <si>
    <t>Target 300k🥰🙏 
I love you 😘💓👑
Uttar Pradesh India💞👑</t>
  </si>
  <si>
    <t>https://yt.openinapp.co/5wwk6</t>
  </si>
  <si>
    <t>sadanimalfacts</t>
  </si>
  <si>
    <t>sad animal facts</t>
  </si>
  <si>
    <t>Nature creates them and Brooke Barker draws them. 
This week’s newsletter is about animals in clothes:</t>
  </si>
  <si>
    <t>http://brooke.substack.com</t>
  </si>
  <si>
    <t>theanimal_facts</t>
  </si>
  <si>
    <t>Animal Facts 🔥</t>
  </si>
  <si>
    <t>🐒🐴🦄🐥🦉🦇🪿🦆🐺🐦‍⬛🐝🐞🐌🦟🪳🪲🦋🐛🪰🕷️🦂🐢🐍🦑🐙🦕🦖🦎🐡🦀🦞🦐🪼🐠🐟🐬🐳🐋🐆🐅🐊🦭🦈🦓🦍🦧🦣🐘🦒🐫🐪🦏🦛🐄🐂🐃🦬🦘🫏🐎🐖🐏🐑🐩🐕🦌🐐🦙🦮🐕‍🦺🐈🐈‍⬛🪶🦤🦃🐓🦜🦩🦨🦡🦝🦫🦦🦔🐿️</t>
  </si>
  <si>
    <t>acfanimalrescueofficial</t>
  </si>
  <si>
    <t>ACF Animal Rescue Official</t>
  </si>
  <si>
    <t>Ayesha Chundrigar Foundation (ACF) - Pioneering animal rescue since 2013 Sanctuary to 2,000 souls &amp; daily rescue service 💛 Click 🔗 in bio to support ✨</t>
  </si>
  <si>
    <t>https://www.acfanimalrescue.org/donate/</t>
  </si>
  <si>
    <t>animal_rescue32</t>
  </si>
  <si>
    <t>Animal Rescue</t>
  </si>
  <si>
    <t>wildlife stories 👑
DM for Credit or Removals
READ THIS BEUTIFUL STORY:</t>
  </si>
  <si>
    <t>https://www.droidalerts.com/separated-for-what-felt-like-forever-a-german-shepherd-collapsed-into-his-owners-arms-with-a-whimper-of-pure-joy/</t>
  </si>
  <si>
    <t>animal_rescue_fot</t>
  </si>
  <si>
    <t>✨Animal rescue ✨</t>
  </si>
  <si>
    <t>Animal Rescue Service</t>
  </si>
  <si>
    <t>I run a dog and cat rescue🐾
140+🐈🐾🐾 80% with special needs 
Donate to make a difference 👇👇</t>
  </si>
  <si>
    <t>https://ko-fi.com/donatetomakedifference</t>
  </si>
  <si>
    <t>animal_rescue_funds</t>
  </si>
  <si>
    <t>Compassionate Critters</t>
  </si>
  <si>
    <t>Animal Shelter</t>
  </si>
  <si>
    <t>🐾Saving lives 🌏Mission: Emptying streets &amp; shelters Advocating for the voiceless Rescuing, healing, and rehoming 🐕🦮 in need Help us make a difference</t>
  </si>
  <si>
    <t>https://donorbox.org/help-rescue-paws-2</t>
  </si>
  <si>
    <t>animal_rescue_nikola</t>
  </si>
  <si>
    <t>Nikola Stojković</t>
  </si>
  <si>
    <t>PayPal animal.rescuenikola02@gmail.com
Dinarski 🙏🏽340-1000097381-43 
“Utočište za životinje Nikola”
informacije👇
prmanager.by.animalrescue02@gmail.com</t>
  </si>
  <si>
    <t>https://animalrescuenikola.org/?fbclid=IwZXh0bgNhZW0CMTEAAR4AUVP1lHaAlDBegsx_GtwuDex3z3iJ2000lLHOpkegRG21UH-QjH_TwYbefw_aem_IPXQL6zL6mSKgPjuuLjXsQ</t>
  </si>
  <si>
    <t>animal_rescue_serbia</t>
  </si>
  <si>
    <t>Animal Rescue Serbia</t>
  </si>
  <si>
    <t>🐾 Spasavamo i brinemo o životinjama.
📚 Edukujemo o njihovoj važnosti i zaštiti.
🌟 Zalažemo se za trajne promene.
🤲 Doniraj i podrži naš rad.</t>
  </si>
  <si>
    <t>https://linktr.ee/animalrescueserbia</t>
  </si>
  <si>
    <t>animalrescuesofia</t>
  </si>
  <si>
    <t>Animal Rescue Sofia</t>
  </si>
  <si>
    <t>https://www.facebook.com/events/1712459346055827</t>
  </si>
  <si>
    <t>https://youtu.be/jZpXS82lZBE</t>
  </si>
  <si>
    <t>arlboston</t>
  </si>
  <si>
    <t>Animal Rescue League of Boston</t>
  </si>
  <si>
    <t>A champion for animals. ❤️
Tag us in your rescue pet photos for a chance to be featured!</t>
  </si>
  <si>
    <t>http://hoo.be/arlboston/</t>
  </si>
  <si>
    <t>fundacionanimalrescue</t>
  </si>
  <si>
    <t>Fundación Animal Rescue</t>
  </si>
  <si>
    <t>- 📍🇪🇸Madrid 
- Centro de rescate y recuperación de animales abandonados.</t>
  </si>
  <si>
    <t>https://www.teaming.net/fundacionanimalrescue</t>
  </si>
  <si>
    <t>international_animal_rescue</t>
  </si>
  <si>
    <t>International Animal Rescue</t>
  </si>
  <si>
    <t>Charity Organization</t>
  </si>
  <si>
    <t>Animal Rescue and Conservation Charity. 
SUPPORT OUR PROJECTS: 🦧 🐒 🐻 🌎</t>
  </si>
  <si>
    <t>https://linktr.ee/international_animal_rescue</t>
  </si>
  <si>
    <t>jfkanimalrescueandshelter</t>
  </si>
  <si>
    <t>JFK Animal Rescue And Shelter</t>
  </si>
  <si>
    <t>We Rescue, Treat, Rehabilitate Injured &amp; Sick Animals From Roads. Help wounded animals heal, Your donations can give them a second chance at life.</t>
  </si>
  <si>
    <t>https://gofund.me/9acce1b3</t>
  </si>
  <si>
    <t>manytearsrescue</t>
  </si>
  <si>
    <t>Many Tears Animal Rescue</t>
  </si>
  <si>
    <t>Rescue centre based in South Wales, U.K 🐶
Find out how to help, view the dogs looking for homes and visit our other socials via the link below</t>
  </si>
  <si>
    <t>https://linktr.ee/manytearsanimalrescue</t>
  </si>
  <si>
    <t>tricountyanimalrescuefl</t>
  </si>
  <si>
    <t>Tri-County Animal Rescue</t>
  </si>
  <si>
    <t>100% no-kill, non-profit animal shelter. ⭐️99,000 animals saved since 1996! Donate today ⬇️</t>
  </si>
  <si>
    <t>https://www.tricountyanimalrescue.com</t>
  </si>
  <si>
    <t>wiseanimalrescue</t>
  </si>
  <si>
    <t>Wise Animal Rescue</t>
  </si>
  <si>
    <t>🐾 All-volunteer animal rescue
📍 New Jersey
💜 Foster, adopt, or donate below ⤵️</t>
  </si>
  <si>
    <t>https://linktr.ee/WiseAnimalRescue</t>
  </si>
  <si>
    <t>Animation</t>
  </si>
  <si>
    <t>enjoy our content stress-free 📹
Your daily dose of #animations 🚀</t>
  </si>
  <si>
    <t>animationixx</t>
  </si>
  <si>
    <t>Animationix | انیمیشن</t>
  </si>
  <si>
    <t>💜 رسانه‌ای برای انیمیشن بازها 🩵
برای تبلیغات دایرکت
👇🏼 کانال انیمیشن</t>
  </si>
  <si>
    <t>http://t.me/Animationix</t>
  </si>
  <si>
    <t>animation_media2</t>
  </si>
  <si>
    <t>Animation Media</t>
  </si>
  <si>
    <t>Animator</t>
  </si>
  <si>
    <t>Animation Medium official</t>
  </si>
  <si>
    <t>animationstoryy</t>
  </si>
  <si>
    <t>https://www.gofundme.com/f/hope-through-crohns?utm_campaign=fp_sharesheet&amp;utm_medium=customer&amp;utm_source=copy_link&amp;lang=en_US</t>
  </si>
  <si>
    <t>animation_webs</t>
  </si>
  <si>
    <t>animation Storie Helping people to release stress and give peace and keep smiling
Helping people know power of emotions and feelings through animation</t>
  </si>
  <si>
    <t>branimations1</t>
  </si>
  <si>
    <t>br animations</t>
  </si>
  <si>
    <t>We make short 2d 
animated reels specifically
 to make you laugh 💀👻🤣</t>
  </si>
  <si>
    <t>disneyanimation</t>
  </si>
  <si>
    <t>Walt Disney Animation Studios</t>
  </si>
  <si>
    <t>The only limit is your imagination ✨
Welcome to Walt Disney Animation Studios social</t>
  </si>
  <si>
    <t>https://www.disneyanimation.com/</t>
  </si>
  <si>
    <t>healthytooniverse</t>
  </si>
  <si>
    <t>𝐇𝐞𝐚𝐥𝐭𝐡 | 𝐁𝐨𝐝𝐲 | 𝐀𝐧𝐢𝐦𝐚𝐭𝐢𝐨𝐧</t>
  </si>
  <si>
    <t>🧠 Hear your organs untold stories.
📩 DM for paid promotions &amp; brand collaborations.
👤 Via: @nipunahmed</t>
  </si>
  <si>
    <t>humoranimations0</t>
  </si>
  <si>
    <t>Humor Animations</t>
  </si>
  <si>
    <t>Business:frankcurtis474@gmail.com
Want to start a successful Animation Page? Check link below</t>
  </si>
  <si>
    <t>https://paystack.com/buy/the-no-animators-guide</t>
  </si>
  <si>
    <t>jaiden_animations</t>
  </si>
  <si>
    <t>JaidenAnimations</t>
  </si>
  <si>
    <t>http://youtube.com/@jaidenanimations</t>
  </si>
  <si>
    <t>surgicalanimation</t>
  </si>
  <si>
    <t>Animations</t>
  </si>
  <si>
    <t>Dive into the medical world through animations! 🏥</t>
  </si>
  <si>
    <t>toei_animation</t>
  </si>
  <si>
    <t>Toei Animation</t>
  </si>
  <si>
    <t>Official page of Toei Animation for North America, South Africa, and Australia and New Zealand. 
Join our Broadcast Channel for the latest news!</t>
  </si>
  <si>
    <t>https://linktr.ee/toeianimation</t>
  </si>
  <si>
    <t>ani_mationstudio</t>
  </si>
  <si>
    <t>عنی میشن(استودیو زاغآرت)</t>
  </si>
  <si>
    <t>ناآمدگان اگر بدانند که ما
از دهر چه می‌کشیم نایند دگر</t>
  </si>
  <si>
    <t>animationstudio387</t>
  </si>
  <si>
    <t>Animation studio</t>
  </si>
  <si>
    <t>🎬 Turning Ideas into Motion
🎨 2D | 3D | Motion Graphics
🚀 Animated Stories for Brands &amp; Creators</t>
  </si>
  <si>
    <t>https://youtube.com/@animationstudio-387</t>
  </si>
  <si>
    <t>gonbadcaboud</t>
  </si>
  <si>
    <t>Animation Studio‌</t>
  </si>
  <si>
    <t>WE MAKE MEMORIES 
#gonbadcaboudstudio 
#gonbadcaboud
#animation</t>
  </si>
  <si>
    <t>https://goo.gl/NBTsoU</t>
  </si>
  <si>
    <t>apexaddicts</t>
  </si>
  <si>
    <t>Apex Legends</t>
  </si>
  <si>
    <t>News, Memes, Updates and more
DM for business enquiries 📥
Not affiliated with @playapex</t>
  </si>
  <si>
    <t>apexlegends</t>
  </si>
  <si>
    <t>All things apex 🚀</t>
  </si>
  <si>
    <t>apexlegends.co</t>
  </si>
  <si>
    <t>News, Leaks, Updates and more</t>
  </si>
  <si>
    <t>apexlegendsgame</t>
  </si>
  <si>
    <t>Best Apex page on Instagram
Not affiliated with @respawn
Join my $50,000 tournament 💰⬇️</t>
  </si>
  <si>
    <t>https://battlefy.com/telus?utm_campaign=TES42024&amp;utm_source=community&amp;utm_medium=discord&amp;utm_term=brand&amp;utm_content=lsbhtzia</t>
  </si>
  <si>
    <t>apex.legends.sa</t>
  </si>
  <si>
    <t>ابيكس ليجندز / APEX LEGENDS</t>
  </si>
  <si>
    <t>.
حساب خاص بـ لعبة ابيكس ليجندز ⚔
.
آخر التحديثات والأخبار والمعلومات المهمه باللعبه 📝🎮
.
الستوري خاص بكل مايتعلق اللعبة من ميمز وخلفيات ومقاطع 📱</t>
  </si>
  <si>
    <t>https://discord.gg/qGVKKGAZtB</t>
  </si>
  <si>
    <t>playapex</t>
  </si>
  <si>
    <t>Outplay the world in Apex Legends: Showdown
ESRB Rating T for Teen: Blood and Violence 
Optional in-game purchases (includes random items)</t>
  </si>
  <si>
    <t>https://sprout.link/playapex</t>
  </si>
  <si>
    <t>artificalintelligenceupdates</t>
  </si>
  <si>
    <t>Artificial Intelligence (AI) Updates</t>
  </si>
  <si>
    <t>📧 | aiupdates.collab@gmail.com
📈 | Daily Insights on AI
💁 | Empowering you with AI
🌎 | Building a global AI community</t>
  </si>
  <si>
    <t>https://argil.ai/?via=artificial-intelligence</t>
  </si>
  <si>
    <t>artificial.intelligence16</t>
  </si>
  <si>
    <t>Artificial Intelligence &amp; Video Content Production</t>
  </si>
  <si>
    <t>Technology | News | AI
💼 İş birlikleri &amp; reklam teklifleri için: DM</t>
  </si>
  <si>
    <t>https://linktr.ee/artificial.intelligence16</t>
  </si>
  <si>
    <t>artificialintelligence.co</t>
  </si>
  <si>
    <t>Ai / Artificial Intelligence</t>
  </si>
  <si>
    <t>Fastest Growing Ai Publication on Earth!</t>
  </si>
  <si>
    <t>artificialintelligencecountry</t>
  </si>
  <si>
    <t>Artificial intelligence (AI) Country</t>
  </si>
  <si>
    <t>🎯| AI isn’t coming, it’s already here!
📈| Serving daily AI updates you can’t miss
👇| Follow for more updates</t>
  </si>
  <si>
    <t>https://youtu.be/OhI005_aJkA?si=ygm6YkZicdKVSOqw</t>
  </si>
  <si>
    <t>artificialintelligenceee</t>
  </si>
  <si>
    <t>Artificial Intelligence (AI)</t>
  </si>
  <si>
    <t>✦︎ Follow: ֎ @uncover.ai |🤖 @uncover.robotics | ⚛️ @uncover.quantum
✦ Collabs &amp; Marketing: @uncovernews.co
✦ Join 35,000 weekly readers ⤵️</t>
  </si>
  <si>
    <t>http://uncoverai.beehiiv.com/subscribe</t>
  </si>
  <si>
    <t>artificialintelligencefacts</t>
  </si>
  <si>
    <t>ARTIFICIAL INTELLIGENCE AI ML 🎯200k</t>
  </si>
  <si>
    <t>Join our tribe
🔥 Artificial Intelligence | AI Agents | ML
🤖  Data Science | Python
👇 Educational Materials and Recommendati</t>
  </si>
  <si>
    <t>https://shikhars-newsletter-bacc9d.beehiiv.com/subscribe</t>
  </si>
  <si>
    <t>artificialintelligencenews.in</t>
  </si>
  <si>
    <t>Artificial Intelligence | AI</t>
  </si>
  <si>
    <t>🧠 Exploring the world of AI &amp; Tech
🤖 AI | ML | Robotics
💡 Curated by @engage_loom 
📨 Collab: contact@artificialintelligencenews.in</t>
  </si>
  <si>
    <t>https://artificial-intelligencee.beehiiv.com/subscribe</t>
  </si>
  <si>
    <t>artificialintelligencewing</t>
  </si>
  <si>
    <t>Artificial Intelligence (AI) Wing</t>
  </si>
  <si>
    <t>📈 Daily Updates on Artificial Intelligence
📧 aiwing.partnerships@gmail.com
💁 Helping you stay productive
🌎 On a Journey of building AI community</t>
  </si>
  <si>
    <t>https://t.me/artificialintelligenceWing</t>
  </si>
  <si>
    <t>artificial_intelligence_zone</t>
  </si>
  <si>
    <t>Artificial Intelligence | ChatGPT | AI Tools</t>
  </si>
  <si>
    <t>💡AI Simplified
🚀 Empowering you with AI knowledge
🔓 AI Tools and ChatGPT Tips &amp; Tricks 
📩 DM For Paid Promotion or Collaboration</t>
  </si>
  <si>
    <t>chatgptricks</t>
  </si>
  <si>
    <t>Artificial Intelligence (AI) • ChatGPT</t>
  </si>
  <si>
    <t>🤖 All about AI and ChatGPT. Not from OpenAI
🌎 The world’s largest AI community (25M+)
📩 Collab: hello@chatgptricks.com
👇 Free ChatGPT Playbook</t>
  </si>
  <si>
    <t>http://chatgptricks.store</t>
  </si>
  <si>
    <t>dailyprompter</t>
  </si>
  <si>
    <t>Artificial Intelligence | Prompts | Technology</t>
  </si>
  <si>
    <t>⚡️ | Owned by @foundermatas 
📩 | thedailychatgpt@gmail.com
👇 | Free AI Toolkit | 700+ AI Tools for Every Task</t>
  </si>
  <si>
    <t>https://dailychatgpt.beehiiv.com/c/toolkit</t>
  </si>
  <si>
    <t>eluna.ai</t>
  </si>
  <si>
    <t>Artificial Intelligence</t>
  </si>
  <si>
    <t>Keeping you updated on the fast-moving world of AI.</t>
  </si>
  <si>
    <t>getintoai</t>
  </si>
  <si>
    <t>🤖 The AI revolution is here...  
⏳ In 2 years you’ll wish you paid more attention to this page  
👇 AI newsletter 📈</t>
  </si>
  <si>
    <t>https://getintoai.beehiiv.com/</t>
  </si>
  <si>
    <t>power.ai</t>
  </si>
  <si>
    <t>⚡️ 1 Million+ TikTok, Facebook, YouTube
🤖 Sharing the BEST AI Tools to save you time &amp; money
👇 Access 5,000+ AI tools(Free)</t>
  </si>
  <si>
    <t>https://www.powerfulai.tools/</t>
  </si>
  <si>
    <t>yourchatgptguide</t>
  </si>
  <si>
    <t>ChatGPT Tips | Artificial Intelligence</t>
  </si>
  <si>
    <t>👇| Follow me on X (Link in Bio) for free courses.
🤖| Exploring AI and its potential to shape the future
🦾| Follow to be updated with AI trends</t>
  </si>
  <si>
    <t>https://yourdigitalagency.gumroad.com/l/ChatGPT-Prompts-Handbook</t>
  </si>
  <si>
    <t>giraf_art</t>
  </si>
  <si>
    <t>Art lessons</t>
  </si>
  <si>
    <t>⏬ Творческий клуб для детей и их родителей⏬</t>
  </si>
  <si>
    <t>https://taplink.cc/giraf_art</t>
  </si>
  <si>
    <t>asmr by @slime 💫</t>
  </si>
  <si>
    <t>http://instagram.com/slime</t>
  </si>
  <si>
    <t>asmr.a9</t>
  </si>
  <si>
    <t>🤤....asmr</t>
  </si>
  <si>
    <t>‏💥Here is fun 
‏💪🏼 baking soda 
‏◽️chalk
‏You can watch my YouTube channel</t>
  </si>
  <si>
    <t>https://youtube.com/@asmra9?si=RIUFyNAJYo0jtKZy</t>
  </si>
  <si>
    <t>asmrjade_yt</t>
  </si>
  <si>
    <t>ASMR JADE / Jade</t>
  </si>
  <si>
    <t>ASMR girl
🍒💗🍒💗
YouTube ~ asmrjade ⭐️
📬 PO BOX 4279
Robina Town Centre
QLD Australia 4230</t>
  </si>
  <si>
    <t>https://linktr.ee/asmrjade</t>
  </si>
  <si>
    <t>celainesasmr</t>
  </si>
  <si>
    <t>Celaine's Asmr</t>
  </si>
  <si>
    <t>🌸 Celaine - ASMR, Beauty, Wellness, Tech ❤️
📲Inquiries: celainemanagement@comcast.net 
⬇️YouTube &amp; TikTok Below⬇️
Francophone et Anglophone</t>
  </si>
  <si>
    <t>https://linktr.ee/celainesasmr</t>
  </si>
  <si>
    <t>dajaasmr</t>
  </si>
  <si>
    <t>Daja ASMR</t>
  </si>
  <si>
    <t>ASMR creator 
YouTube &amp; TikTok @dajaasmr 
contact: dajaasmr@gmail.com</t>
  </si>
  <si>
    <t>https://beacons.ai/dajaasmr</t>
  </si>
  <si>
    <t>daridrea_asmr</t>
  </si>
  <si>
    <t>ASMRtist 💤
✨TikTok (1.7M)
✨Coop: saenkoulia605@gmail.com
✨YouTube: Daridrea ASMR</t>
  </si>
  <si>
    <t>ivybasmr</t>
  </si>
  <si>
    <t>Ivy B ASMR</t>
  </si>
  <si>
    <t>Content Creator, ASMR for sleep &amp; relaxation 😴 Deserve Co-Founder</t>
  </si>
  <si>
    <t>http://www.tiktok.com/@ivybasmr</t>
  </si>
  <si>
    <t>jojo_asmr_</t>
  </si>
  <si>
    <t>Jojo Singer</t>
  </si>
  <si>
    <t>Founder of White Noise @whitenoise.studios 
ASMR Whisper Bozo
Sit back, relax and enjoy! 🤫
💌partnerships@whitenoisestudios.co
💖JL</t>
  </si>
  <si>
    <t>https://linktr.ee/jojo_asmr</t>
  </si>
  <si>
    <t>kevin.asmr_</t>
  </si>
  <si>
    <t>Kevin ASMR</t>
  </si>
  <si>
    <t>Autism 🩵
Youtube : Link in bio ⬇️
TikTok : Kevin.asmrytb_ (4M)
Another IG account : @kselimtch77_
Contact : kevin.tachon.pro@gmail.com 📩</t>
  </si>
  <si>
    <t>https://www.tiktok.com/@kevin.asmrytb_</t>
  </si>
  <si>
    <t>lisandra_asmr</t>
  </si>
  <si>
    <t>Hello, I'm Alina, I'm 21 years old💫
TikTok 900k
Сooperation: asmrlisandra@gmail.com
YouTube👇🏼🩷</t>
  </si>
  <si>
    <t>https://youtube.com/@asmr_lisandraa?si=QJ4qTLsRtZGDZ2qN</t>
  </si>
  <si>
    <t>mariams_asmr</t>
  </si>
  <si>
    <t>MARIAM'S ASMR</t>
  </si>
  <si>
    <t>1.8million on TikTok, 108k subscribers on YouTube. The first ASMR ARTIST (SLEEP DOCTOR) IN NIGERIA Send Dm To book appointment</t>
  </si>
  <si>
    <t>https://www.facebook.com/share/1HRknQDjry/?mibextid=wwXIfr</t>
  </si>
  <si>
    <t>raccoon.asmr</t>
  </si>
  <si>
    <t>Raccoon ASMR</t>
  </si>
  <si>
    <t>YouTube 500K+
TikTok 1,6M+
Cooperation: alinaraccoon.asmr@gmail.com</t>
  </si>
  <si>
    <t>https://youtube.com/@raccoonasmr1?si=GomhHC_KzP5FnXlJ</t>
  </si>
  <si>
    <t>rebeccas.asmr</t>
  </si>
  <si>
    <t>just happy to be here 🌱
I make ASMR 🔊</t>
  </si>
  <si>
    <t>https://linktr.ee/asmrebecca</t>
  </si>
  <si>
    <t>safespaceasmr</t>
  </si>
  <si>
    <t>Safe Space ASMR</t>
  </si>
  <si>
    <t>Personal: @haleygutzz 
Email💌: haleygutzz@gmail.com
youtube, tiktok, merch &amp; more 👇🏼</t>
  </si>
  <si>
    <t>http://linktr.ee/haleygutz</t>
  </si>
  <si>
    <t>sleep_asmrtist</t>
  </si>
  <si>
    <t>Inna</t>
  </si>
  <si>
    <t>ASMR creator📍LA
Tiktok 630k✨ YouTube 500k 🤗
1sleepasmrtist@gmail.com
YouTube, Tiktok, Patreon link below ⬇️</t>
  </si>
  <si>
    <t>https://beacons.ai/sleepasmrtist</t>
  </si>
  <si>
    <t>tom.asmr</t>
  </si>
  <si>
    <t>TomASMR</t>
  </si>
  <si>
    <t>Youtuber [980K] 
Tiktok [1.6M]
Collab 📩: tomasmrteam@gmail.com</t>
  </si>
  <si>
    <t>https://www.youtube.com/channel/UCKJ372LK4er3akRX_3dNF0w?app=desktop</t>
  </si>
  <si>
    <t>whispering.willow.asmr</t>
  </si>
  <si>
    <t>Whispering Willlow ASMR</t>
  </si>
  <si>
    <t>Personal : @willowasmr  
Hi Im Willow and I whisper! 🪴 
Ty for 2M+ on TikTok and 1M+ on YouTube! 💛
📧 whisperingwillow@select.co</t>
  </si>
  <si>
    <t>https://linktr.ee/whisperingwillowasmr?utm_source=linktree_profile_share&amp;ltsid=a6d612e2-96b3-418e-ace6-1f304165fb4c</t>
  </si>
  <si>
    <t>zenheads_asmr</t>
  </si>
  <si>
    <t>ZenHeads ASMR</t>
  </si>
  <si>
    <t>📍Knoxville, TN
🎥BTS: @zenheads_bts
✉️ hello@zenheads.co
⬇️ Book an Appointment &amp; Shop Tools</t>
  </si>
  <si>
    <t>http://bio.site/zenheads</t>
  </si>
  <si>
    <t>augmentedxreality</t>
  </si>
  <si>
    <t>Augmented Reality</t>
  </si>
  <si>
    <t>backcountry_foodie</t>
  </si>
  <si>
    <t>Aaron | Ultralight Backpacking Recipes &amp; Meal Plans</t>
  </si>
  <si>
    <t>🥾Check out our dietitian-created, trail tested recipes and meal planning tools👇</t>
  </si>
  <si>
    <t>Travel | Earth | Vacations</t>
  </si>
  <si>
    <t>Inspiring people to travel the world 🌍✈️
Powered by @pubity
 ⠀⠀⠀⠀⠀⠀⠀⠀⠀⠀⠀
🎒Follow to join our community</t>
  </si>
  <si>
    <t>backpackingkitty</t>
  </si>
  <si>
    <t>Simon Yosh</t>
  </si>
  <si>
    <t>🔺I'm an adventure cat. 
🔺I kayak, swim, rock climb, hike</t>
  </si>
  <si>
    <t>backpackinglight</t>
  </si>
  <si>
    <t>Backpacking Light</t>
  </si>
  <si>
    <t>We provide access to trusted expertise so you can enjoy the backcountry with safety, comfort, &amp; confidence. 👇</t>
  </si>
  <si>
    <t>https://linkin.bio/backpackinglight</t>
  </si>
  <si>
    <t>backpackingluis</t>
  </si>
  <si>
    <t>Luis Peña Crescioni</t>
  </si>
  <si>
    <t>◈Boricua 🇵🇷 viajero ✈️
◈Turismo sostenible @backpackpr_
◈Mostrando culturas del 🗺️ 85/197
◈MNGT: @rjtorito/ @bleucco backpackingluis@gmail.com
↯ LINKS</t>
  </si>
  <si>
    <t>https://linktr.ee/backpackingluis</t>
  </si>
  <si>
    <t>backpackingpr</t>
  </si>
  <si>
    <t>Backpacking Puerto Rico</t>
  </si>
  <si>
    <t>Explore our Island &amp; Nature. 
Beaches | Rivers | Camping | Hiking
Book Your Tour! 🍃</t>
  </si>
  <si>
    <t>http://www.backpackingpr.com/</t>
  </si>
  <si>
    <t>backpacking_russia</t>
  </si>
  <si>
    <t>Походы | С РЮКЗАКОМ ПО РОССИИ | Яна Аюнц</t>
  </si>
  <si>
    <t>Леди и бродяга в одном флаконе 🥂
В копилке: 81 регион 🇷🇺 
📍Эльбрус, Казбек, 3 марафона 42.2 💪🏼
Мать лучших походов с заботой о 
комфорте, расписание ↓</t>
  </si>
  <si>
    <t>https://backpacking-russia.ru/tours/</t>
  </si>
  <si>
    <t>dominiquetravelsss</t>
  </si>
  <si>
    <t>Dominique Mills | 𝑺𝒐𝒍𝒐 𝑻𝒓𝒂𝒗𝒆𝒍 &amp; 𝑩𝒂𝒄𝒌𝒑𝒂𝒄𝒌𝒊𝒏𝒈 🌴📸</t>
  </si>
  <si>
    <t>🐚 i go on worldwide adventures alone
🌺 full-time content creator | uk based | tiktok (150k) 
📧 collab@dominique-travels.com
🎬 Watch my new YT video 👇</t>
  </si>
  <si>
    <t>https://stan.store/DominiqueTravels</t>
  </si>
  <si>
    <t>erinexploring_</t>
  </si>
  <si>
    <t>Erin Dietsche 🏔️ Hiking, Backpacking, Outdoor Adventure</t>
  </si>
  <si>
    <t>🌿 go where you feel most alive
⛰️ hike ↟ backpack ↟ thruhike ↟ outdoors ↟ ski
🌲 washington
🥾 pct’22•azt’22•cdt’23•wt’24
💌 erinexploringphoto@gmail.com</t>
  </si>
  <si>
    <t>http://www.erinexploring.com/links</t>
  </si>
  <si>
    <t>kalihikes</t>
  </si>
  <si>
    <t>Kali Myers | Backpacking &amp; Adventure Travel 🌲</t>
  </si>
  <si>
    <t>🍄Inspiring you to explore the wild side of life
🏕️Backpacking, camping, &amp; road trips with my dog
🚐 Renovating a 90s RV 
🪩kali@kalihikes.com</t>
  </si>
  <si>
    <t>https://linktr.ee/Kalihikes</t>
  </si>
  <si>
    <t>piaeliza</t>
  </si>
  <si>
    <t>Pia Eliza | Solo Backpacking Latin America</t>
  </si>
  <si>
    <t>🧳 outdoorgirly from Germany
💛 I hike, love horses, take photos and go on road trips around the world
🏕️ currently in Bolivia 🇧🇴🌵
↓ blog • TikTok ↓</t>
  </si>
  <si>
    <t>http://piaeliza.de</t>
  </si>
  <si>
    <t>thebackpackingmom</t>
  </si>
  <si>
    <t>Stephanie | Family Adventure &amp; Backpacking with Kids</t>
  </si>
  <si>
    <t>🏔️ Backpacking &amp; climbing mountains w/kids (but REAL)  
📍Epic itineraries: Idaho &amp; beyond 
💉RN, outfitter &amp; guide
💌 thebackpackingmom@select.co
👇Trips</t>
  </si>
  <si>
    <t>https://creative-architect-2262.ck.page/47b3949b4e</t>
  </si>
  <si>
    <t>_thehungryhiker</t>
  </si>
  <si>
    <t>Kathleen Neves | Hiking, Backpacking &amp; Outdoor Adventures</t>
  </si>
  <si>
    <t>Food motivated hiker, solo backpacker, The Hungry Hiker on YouTube &amp; backpacking coach for women in The Confident Solo Female Backpacker System</t>
  </si>
  <si>
    <t>https://thehungryhiker.myclickfunnels.com/bio-page</t>
  </si>
  <si>
    <t>withthemurfs</t>
  </si>
  <si>
    <t>SARAH &amp; JOE 👫🏻 | Adventure Backpacking 🎒 | World Tour 🗺️</t>
  </si>
  <si>
    <t>👫🏻 56/195 🌎
📍 Currently in England 🇬🇧
📸 TikTok: withthemurfs</t>
  </si>
  <si>
    <t>http://linktr.ee/theworldbeforethirty</t>
  </si>
  <si>
    <t>badminton_ak</t>
  </si>
  <si>
    <t>Badminton Ak</t>
  </si>
  <si>
    <t>Building a community of badminton lovers🏅
📌Badminton Influencer🏸/ fan page 
Badminton reels,strategies✨
Commited to rise badminton🚀
DM to collab📥</t>
  </si>
  <si>
    <t>https://yt.openinapp.co/a52fl</t>
  </si>
  <si>
    <t>badminton.blood</t>
  </si>
  <si>
    <t>BADMINTON 🏸🩸</t>
  </si>
  <si>
    <t>DM for orders📲
➡️ADMIN:@coach_kamal.shuttler🤗
💯BEST BADMINTON CONTENT😍#daily
😎Follow me🤗</t>
  </si>
  <si>
    <t>https://youtube.com/@Coachkamalshuttler</t>
  </si>
  <si>
    <t>badmintonmalaysia._</t>
  </si>
  <si>
    <t>𝘽𝙖𝙙𝙢𝙞𝙣𝙩𝙤𝙣 🇲🇾</t>
  </si>
  <si>
    <t>Official Account of Badminton Malaysia (F) 🇲🇾
.All about #MalaysiaBadmintonPlayers 
Support MBP tak kira apa jua💪🏻</t>
  </si>
  <si>
    <t>https://whatsapp.com/channel/0029VbArWCOG3R3ihcLqYP1n</t>
  </si>
  <si>
    <t>badmintonmumbai</t>
  </si>
  <si>
    <t>Badminton Mumbai Academy 🏸</t>
  </si>
  <si>
    <t>Badminton Mumbai Sion Crickshot Court🏸
Professional MULTI Sports Court Promoting Coaching Organising Badminton Tournament's
📞9137591008 FOR BOOKINGS</t>
  </si>
  <si>
    <t>badvinton</t>
  </si>
  <si>
    <t>Badvinton | BADMINTON VIDEOS</t>
  </si>
  <si>
    <t>Sharing All about Badminton 
Review raket and stuff
Tips and Trick 
LINK RAKET</t>
  </si>
  <si>
    <t>https://msha.ke/badvinton</t>
  </si>
  <si>
    <t>fuzionsbadminton</t>
  </si>
  <si>
    <t>Fuzions badminton</t>
  </si>
  <si>
    <t>Laurent Constantin 
Ex badminton player best 37 mondial 
Coach badminton, préparateur physique, coach fitness 
Je t’aide à progresser au bad 👊</t>
  </si>
  <si>
    <t>https://www.fuzions-badminton.com/fullbadfuzions</t>
  </si>
  <si>
    <t>sgbadminton</t>
  </si>
  <si>
    <t>Singapore Badminton Association</t>
  </si>
  <si>
    <t>🏸🇸🇬
Official account of Singapore Badminton Association</t>
  </si>
  <si>
    <t>https://linktr.ee/sgbadminton</t>
  </si>
  <si>
    <t>thebadmintonzonehq</t>
  </si>
  <si>
    <t>The Badminton Zone</t>
  </si>
  <si>
    <t>2 full time coaches and Ex-International players helping you take your game to the next level 🏸
@yonex_uk Coaches 
Online coaching platform ⬇️</t>
  </si>
  <si>
    <t>https://www.thebadmintonzone.com</t>
  </si>
  <si>
    <t>Baking 🍰</t>
  </si>
  <si>
    <t>A daily dose of beautiful baked goods &amp; sweet treats. 🍰 
Follow our other accounts:  @futureoffoodisnow @uglyproduceisbeautiful</t>
  </si>
  <si>
    <t>bakingbossbabe</t>
  </si>
  <si>
    <t>Mel Asseraf</t>
  </si>
  <si>
    <t>🥇 2X @foodnetwork CHOPPED CHAMP
👩‍🍳 Your butter half @melasseraf daily fun
📕 signed cookbooks SHIP OCT 
245k + Tiktok ⬇️</t>
  </si>
  <si>
    <t>https://beacons.ai/bakeitwithmel</t>
  </si>
  <si>
    <t>baking_buddyy</t>
  </si>
  <si>
    <t>베이킹 버디 | baking buddyy</t>
  </si>
  <si>
    <t>🥨 버디의 홈베이킹 공간 🥨
📩문의는 DM📩</t>
  </si>
  <si>
    <t>https://linktr.ee/baking_buddyy</t>
  </si>
  <si>
    <t>bakingthursdays</t>
  </si>
  <si>
    <t>Amanda Cooper</t>
  </si>
  <si>
    <t>Thank you for 2.8M+ on TikTok and 1.3M+ on YouTube❤️
booking: tiffany@undercurrent.net 🎂</t>
  </si>
  <si>
    <t>http://onlybakingfans.com</t>
  </si>
  <si>
    <t>bakingwithblondie</t>
  </si>
  <si>
    <t>Mandy Merriman - Baking with Blondie</t>
  </si>
  <si>
    <t>🎂 Helping you bake with confidence and joy!
📚 Author: Cake Confidence &amp; I’ll Bring the Cake
⬇️ Simple Recipes | Helpful Tutorials | Delicious Results</t>
  </si>
  <si>
    <t>https://bakingwithblondie.com/cookbook/</t>
  </si>
  <si>
    <t>bakingwithstephy</t>
  </si>
  <si>
    <t>Stephany ✨🍰🎀 Los Angeles, CA</t>
  </si>
  <si>
    <t>Scratch Made Custom Cakes 🎀🍰
Los Angeles, CA 
Fully booked August/ September ✨
Order Link Below:</t>
  </si>
  <si>
    <t>https://linktr.ee/bakingwithstephy</t>
  </si>
  <si>
    <t>fooduice.baking</t>
  </si>
  <si>
    <t>Baking desserts</t>
  </si>
  <si>
    <t>By @fooduice
👩‍🍳Whisk, bake, repeat!</t>
  </si>
  <si>
    <t>natashas_baking</t>
  </si>
  <si>
    <t>Natalya Syanova</t>
  </si>
  <si>
    <t>Sourdough and the Science Behind Baking
Learn more ⬇️⬇️⬇️</t>
  </si>
  <si>
    <t>https://natashasbaking.com/panettone-recipe/</t>
  </si>
  <si>
    <t>passionforbaking</t>
  </si>
  <si>
    <t>Manuela Kjeilen</t>
  </si>
  <si>
    <t>My #1 focus? That it tastes really good.🍒
Scandinavian-style baking &amp; more — all recipes in my baking app LOVE MANUELA 🍰</t>
  </si>
  <si>
    <t>https://linkinbio.expert/manuelak</t>
  </si>
  <si>
    <t>teakandthyme</t>
  </si>
  <si>
    <t>gail ng ✿ baking &amp; desserts</t>
  </si>
  <si>
    <t>✨ go bake something unnecessary but wonderful ◝(ᵔᵕᵔ)◜
🇨🇦 hello@teakandthyme.com
🍧 recipes ↓ ↓ ↓</t>
  </si>
  <si>
    <t>https://teakandthyme.com/links/</t>
  </si>
  <si>
    <t>thebakingprincess._</t>
  </si>
  <si>
    <t>𝒯𝒽𝑒 𝐵𝒶𝓀𝒾𝓃𝑔 𝒫𝓇𝒾𝓃𝒸𝑒𝓈𝓈 🧚🏻‍♀️✨💕🍰</t>
  </si>
  <si>
    <t>Bakery</t>
  </si>
  <si>
    <t>💕 𝒜𝒸𝒸𝑒𝓅𝓉𝒾𝓃𝑔 𝒪𝓇𝒹𝑒𝓇𝓈 𝒻𝑜𝓇 𝒮ℯ𝓅𝓉-𝒪𝒸𝓉
📍𝒟𝓊𝓇𝒽𝒶𝓂 𝒜𝓇𝑒𝒶 𝟤𝟩𝟩𝟣𝟥
✨𝒟𝑀 𝓉𝑜 𝑜𝓇𝒹𝑒𝓇</t>
  </si>
  <si>
    <t>https://linktr.ee/Thebakingprincess._</t>
  </si>
  <si>
    <t>Bali 🇮🇩 Travel | Vacation | Hotels | Indonesia</t>
  </si>
  <si>
    <t>🇮🇩 Discover the best of Bali
✈️ @Travly Network 
🌴 Save on your next trip to Bali ⬇️</t>
  </si>
  <si>
    <t>https://travly.com/app</t>
  </si>
  <si>
    <t>balialdn</t>
  </si>
  <si>
    <t>Balia Adare</t>
  </si>
  <si>
    <t>@girlvrse
Creator @yemayathelabel 
London 
History &amp; fashion lover &lt;3
Socials @amorthetalent</t>
  </si>
  <si>
    <t>http://yemayathelabel.com</t>
  </si>
  <si>
    <t>balibody</t>
  </si>
  <si>
    <t>BALI BODY™ Official</t>
  </si>
  <si>
    <t>Australian Made Self Tan, Suncare &amp; Skincare ✨ 
JUST LAUNCHED CLEAR SELF TANNING GEL💧
CLEAR, CLEAN, FLAWLESS
Shop our glossiest tan yet👇🏼</t>
  </si>
  <si>
    <t>https://balibodyco.com/products/</t>
  </si>
  <si>
    <t>bali.indonesia.explore</t>
  </si>
  <si>
    <t>Bali 🇮🇩🏝 | Travel | Hotels | Food | Tips</t>
  </si>
  <si>
    <t>🏙️ Discover the best of Bali
💙 The leading Bali community by @hotel
👇 Save up to 40% on hotels in Bali!</t>
  </si>
  <si>
    <t>http://athotel.com/l/Bali-hotel-deals</t>
  </si>
  <si>
    <t>bali.sunnypeople</t>
  </si>
  <si>
    <t>Street style Bali photographer / reels</t>
  </si>
  <si>
    <t>Sunny place with sunny people create by @disaim 
•for cooperation/shooting- DM✉️
•@plemya.concept</t>
  </si>
  <si>
    <t>https://taplink.cc/sunnypeople</t>
  </si>
  <si>
    <t>di_diianaa</t>
  </si>
  <si>
    <t>Diana B. | ГЛАВНАЯ ПО БАЛИ | Бали Гайд</t>
  </si>
  <si>
    <t>🦠 СММ | Создание короновирусных рилс
🌎 Живу на Бали 3 года
🌴 Делюсь топовыми местами острова
 ⬇️САМЫЙ ПОЛНЫЙ ГАЙД ПО БАЛИ 2.0⬇️
pr: @di_diianaa.pr</t>
  </si>
  <si>
    <t>https://app.leadteh.ru/w/cuNBA</t>
  </si>
  <si>
    <t>jepunbalitr</t>
  </si>
  <si>
    <t>Jepun Balı Therapy</t>
  </si>
  <si>
    <t>Spa</t>
  </si>
  <si>
    <t>💪Ek işimiz Değil-Tek İşimizdir💪
Profesyonel ve Sertifikalı terapistler😇
50 Çeşit Masaj 💆‍♂️
Kişiye Özel VİP Hamam 🛀
Kayserinin En Kaliteli Hizmeti 🤩</t>
  </si>
  <si>
    <t>https://maps.app.goo.gl/qhYGFhdqDvj2FxAc9?g_st=com.google.maps.preview.copy</t>
  </si>
  <si>
    <t>barbecue.az</t>
  </si>
  <si>
    <t>barbecuemafia</t>
  </si>
  <si>
    <t>BARBECUE MAFIA™️</t>
  </si>
  <si>
    <t>Traditional Hand Crafted Texas BBQ, Birria Tacos at @coorparooseniorafc . 
THURSDAY TO SUNDAY EVERY WEEK. 
PRO TIP. BOOK TABLE AND PREORDER</t>
  </si>
  <si>
    <t>https://shorturl.at/ghLWZ</t>
  </si>
  <si>
    <t>barbecue.tour</t>
  </si>
  <si>
    <t>Barbecue Tour</t>
  </si>
  <si>
    <t>Desde 2018, a maior experiência de churrasco no Brasil! ♨️
OPEN BAR &amp; OPEN FOOD
2ª edição de 2025: 08 de novembro em Ribeirão Preto!</t>
  </si>
  <si>
    <t>http://www.barbecuetour.com.br</t>
  </si>
  <si>
    <t>bark_barbecue</t>
  </si>
  <si>
    <t>Bark Barbecue 🇩🇴</t>
  </si>
  <si>
    <t>Dominican flavors cooked with Texas techniques. 
📍@timeoutmarketnewyork
55water st, Brooklyn, NY
Mon-Thu 11-8
Fri-Sun 11-9
Catering@barkbarbecueny.com</t>
  </si>
  <si>
    <t>bbqdelights</t>
  </si>
  <si>
    <t>Barbecue Delights UAE</t>
  </si>
  <si>
    <t>🏆 Award winning Charcoal Grill &amp; Curry House
📍The Walk in JBR | MotorCity
👇Order now for fast &amp; fresh delivery</t>
  </si>
  <si>
    <t>http://linktr.ee/bbqdelights</t>
  </si>
  <si>
    <t>dinehallaz</t>
  </si>
  <si>
    <t>DineHall Barbecuѐ &amp; Brasserie</t>
  </si>
  <si>
    <t>https://monyo.az/?r=dinehall.az</t>
  </si>
  <si>
    <t>grillcityabuja</t>
  </si>
  <si>
    <t>GRILLED/BARBECUE FISH IN ABUJA/ABUJA GRILLED FISH</t>
  </si>
  <si>
    <t>Barbecue Restaurant</t>
  </si>
  <si>
    <t>🔴Abuja best fish experience❗️
🔴Open for Events, pick ups and Touchless DELIVERY
🔴Texas-Style Grill house 
⏰Mon—Sun:1PM-late
Click here to order⤵️</t>
  </si>
  <si>
    <t>https://linktr.ee/grillcityabuja</t>
  </si>
  <si>
    <t>hantablebarbecue</t>
  </si>
  <si>
    <t>Han Table Barbecue Coreano</t>
  </si>
  <si>
    <t>🔥 Especialistas em Wagyu, a melhor carne do mundo
📍 Lisboa, Setúbal, Porto, Açores &amp; Madrid 
👇🏼 Vê os highlights
🔗 Reservas no link da bio</t>
  </si>
  <si>
    <t>https://www.hantablebarbecue.com</t>
  </si>
  <si>
    <t>ilmondodelbarbecue</t>
  </si>
  <si>
    <t>Il Mondo del Barbecue</t>
  </si>
  <si>
    <t>Specialisti nella vendita di barbecue e cucine da esterno. Corsi di cottura al barbecue🍔🍖🍗🍢🍺
💥 UN MONDO DA SCOPRIRE - TUTTI I LINK ⬇️ 💥</t>
  </si>
  <si>
    <t>http://linktr.ee/ilmondodelbarbecue</t>
  </si>
  <si>
    <t>kings_barbecue</t>
  </si>
  <si>
    <t>King’s Barbecue</t>
  </si>
  <si>
    <t>A empresa do churrasco.
Pioneira na fabricação dos tradicionais Pitsmokers, Smokers e Grills Texanos. Conheça nossa linha completa.</t>
  </si>
  <si>
    <t>https://linktr.ee/KingsBarbecue</t>
  </si>
  <si>
    <t>melt_slow_smoked_barbecue</t>
  </si>
  <si>
    <t>MELT | slow smoked barbecue</t>
  </si>
  <si>
    <t>SMOKE MEAT EVERY-DAY 
Open 7/7 - Everything is homemade
Locations &amp; booking ⬇️
📍Batignolles
📍Oberkampf
📍Cambronne
📍Châtelet DELI
📍Rochechouart DELI</t>
  </si>
  <si>
    <t>https://linktr.ee/melt_slow_smoked_barbecue1</t>
  </si>
  <si>
    <t>terryblacks_bbq</t>
  </si>
  <si>
    <t>Terry Black’s Barbecue</t>
  </si>
  <si>
    <t>•Austin, Dallas, Lockhart, Waco, Fort Worth
•A @blackfamilyhospitality concept
•Pre-Order Online &amp; Catering 👇</t>
  </si>
  <si>
    <t>http://linktr.ee/terryblacksbarbecue/</t>
  </si>
  <si>
    <t>Norge R Bayarre</t>
  </si>
  <si>
    <t>Barber</t>
  </si>
  <si>
    <t>🤴💈
📍 Broward County, FL
📅 Appointments Only
✉️ DM</t>
  </si>
  <si>
    <t>celestebarber</t>
  </si>
  <si>
    <t>Celeste Barber</t>
  </si>
  <si>
    <t>Celestebarber.com</t>
  </si>
  <si>
    <t>https://celestebarber.com</t>
  </si>
  <si>
    <t>elboribarber</t>
  </si>
  <si>
    <t>Luis Andres Rivera</t>
  </si>
  <si>
    <t>*BELIEVE IN YOURSELF*
⚫️ @louivver
Seminario en  San Juan Puerto Rico 29 de septiembre boletos 👇🏾31% de descuento. Código BIY31</t>
  </si>
  <si>
    <t>https://boletos.prticket.com/events/en/believeinyourself</t>
  </si>
  <si>
    <t>only_barber_promotion</t>
  </si>
  <si>
    <t>barber 💥</t>
  </si>
  <si>
    <t>||PROMOTION FECTORY||
DM FOR PROMO
 !!Promotion Hub!! 
GROW YOUR ACCOUNT ✂️💯 We promote barber/hairstyle  Talents Podcast+tiktok +YouTube</t>
  </si>
  <si>
    <t>pesar.barber</t>
  </si>
  <si>
    <t>Mahdi Fakhari</t>
  </si>
  <si>
    <t>skilled #barbers are not cheap 💲
and 
cheap #barbers are not skilled 💈
Founder of @cellbarbershop</t>
  </si>
  <si>
    <t>stjamesbarbershop</t>
  </si>
  <si>
    <t>St. James Barber Shop</t>
  </si>
  <si>
    <t>Barber Shop &amp; Gentlemen's Supply
Agende pelo link do WhatsApp
_____
📞1733635741
📩contato@stjamesbarbearia.com.br</t>
  </si>
  <si>
    <t>xanjjj</t>
  </si>
  <si>
    <t>⠀ ⚜️ барбер рабочего характера | МОСКВА</t>
  </si>
  <si>
    <t>• ʙᴀʀʙᴇʀ ᴀɴᴅ ʜᴀɪʀᴄᴏʟᴏᴜʀ
• на страже твоей @хуенности💅
• ᴍᴏꜱᴄᴏᴡ, ʀᴜꜱꜱɪᴀ
• сотрудничество @pr.xanjjj</t>
  </si>
  <si>
    <t>https://t.me/xanjjjj</t>
  </si>
  <si>
    <t>barber_hani_</t>
  </si>
  <si>
    <t>barber shop</t>
  </si>
  <si>
    <t>اینجا هم‌ قراره بخندی و‌‌ هم‌ قراره کلی کار خفن ببینی 
اجرای تخصصیه میکاپ داماد، کوتاهی،رنگ،پاکسازی پوست و بافت
💈
📍آمل
تماس: 09115291200
🦊💍</t>
  </si>
  <si>
    <t>barber__shop__99</t>
  </si>
  <si>
    <t>barber shop ❤️‍🔥</t>
  </si>
  <si>
    <t>73890 44389
@barber__shop__08
@mr__om__panwar__99
Barber are the artist 
Whose drawing on
Someone's head become the
Trend and fashion💺💇https://t.me/</t>
  </si>
  <si>
    <t>https://youtube.com/@Barber__shop__99?si=7OD2wENBszjdhLY</t>
  </si>
  <si>
    <t>barbershop_co</t>
  </si>
  <si>
    <t>바버샵 Barbershop</t>
  </si>
  <si>
    <t>서울 종로구 자하문로12길 17(창성동 100)1F 
- Open 11:00 A.M. Close 8:00 P.M. 
- 일요일 휴무, 공휴일 별도 휴무 안내 시만 휴무</t>
  </si>
  <si>
    <t>http://www.barbershop.co.kr/</t>
  </si>
  <si>
    <t>barbershophaircutdaily</t>
  </si>
  <si>
    <t>Barbershop Haircut</t>
  </si>
  <si>
    <t>a barbershop haircut that costs a quarter daily
goal 25k</t>
  </si>
  <si>
    <t>barbershop_unclechill</t>
  </si>
  <si>
    <t>Барбершоп Дядя Chill 💈</t>
  </si>
  <si>
    <t>💈 СТРИЖКИ | БОРОДА | МАНИКЮР | ПЕДИКЮР
🕙 Ежедневно 10:00–22:00
📍 Tashkent City — +998 97 776-66-92
📍Broadway — +998 77 010-66-66
📲 Бронь ниже ⬇️</t>
  </si>
  <si>
    <t>https://barbershopunclechill.taplink.ws/</t>
  </si>
  <si>
    <t>heirbarbershop</t>
  </si>
  <si>
    <t>Heir Barber Shop</t>
  </si>
  <si>
    <t>𝐎𝐔𝐕𝐄𝐑𝐓 𝐓𝐎𝐔𝐒 𝐋𝐄𝐒 𝐉𝐎𝐔𝐑𝐒 : 𝟏𝟎𝐇 - 𝟐𝟐𝐇⌚️
𝐎𝐔𝐌 𝐑𝐀𝐁𝐈𝐈 𝐎𝐔𝐋𝐅𝐀 | 𝐂𝐀𝐒𝐀𝐁𝐋𝐀𝐍𝐂𝐀🇲🇦
𝐎𝐖𝐍𝐄𝐑 : @reda_ennaouri💈
𝐓𝐄𝐋𝐄 : 𝟎𝟔.𝟓𝟔.𝟕𝟗.𝟖𝟗.𝟖𝟏📞
𝐋𝐎𝐂𝐀𝐋𝐈𝐒𝐀𝐓𝐈𝐎𝐍📍⬇️</t>
  </si>
  <si>
    <t>https://maps.app.goo.gl/9V4nwGZYi4awXwGP8?g_st=ic</t>
  </si>
  <si>
    <t>m3barbershop_dubai</t>
  </si>
  <si>
    <t>M3 Barbershop Dubai</t>
  </si>
  <si>
    <t>Barber Shop</t>
  </si>
  <si>
    <t>Dubai’s #1 Barbershop 💈
👑 Join 29K men in M3 fam
⏳ Only followers get secret perks
💯 AED OFF your first visit ⬇</t>
  </si>
  <si>
    <t>https://t.me/m3barbershop_bot?start=partnership_R6XHCDZV3MLQ08O</t>
  </si>
  <si>
    <t>the.premium.barbershop</t>
  </si>
  <si>
    <t>The.premium.barbershop</t>
  </si>
  <si>
    <t>📲 0661625110
☎️ 0522945308
🏅Best in Town 🏅
💈the.premium.barbershop💈
↘️⬇️WhatsApp &amp; Localisation &amp; Application⬇️↙️</t>
  </si>
  <si>
    <t>https://linktr.ee/the_premium_barbershop</t>
  </si>
  <si>
    <t>1baseballtv</t>
  </si>
  <si>
    <t>One Baseball Network</t>
  </si>
  <si>
    <t>El mejor beisbol del mundo en un solo canal 
MLB 🇺🇸 NPB 🇯🇵 LVBP 🇻🇪 LMB 🇲🇽 LPBC 🇨🇴
¡Ahora conectados con el Mundial de Softball! ⬇️</t>
  </si>
  <si>
    <t>https://www.1baseball.com/</t>
  </si>
  <si>
    <t>⚾ Baseball on Instagram ⚾
Inquiries: BaseballShouts@gmail.com
Tag @baseball to get featured ⚾</t>
  </si>
  <si>
    <t>baseballdugout</t>
  </si>
  <si>
    <t>Baseball Dugout</t>
  </si>
  <si>
    <t>The Official Baseball Dugout Instagram Account.
@HoldMyBallPodcast 🎙️</t>
  </si>
  <si>
    <t>https://m.youtube.com/@baseballdugout</t>
  </si>
  <si>
    <t>baseballforbaddies</t>
  </si>
  <si>
    <t>Baseball for Baddies</t>
  </si>
  <si>
    <t>🎙️👀 @askkait
baseball is fun here
kmaniscalco12@gmail.com</t>
  </si>
  <si>
    <t>https://youtu.be/AK5ynDy77Dk</t>
  </si>
  <si>
    <t>baseballlaxtar</t>
  </si>
  <si>
    <t>Baseball ~ บอลดี</t>
  </si>
  <si>
    <t>Contact  @baseballhair  064-987-4662</t>
  </si>
  <si>
    <t>baseball_lifestyle101</t>
  </si>
  <si>
    <t>Baseball Lifestyle 101</t>
  </si>
  <si>
    <t>The one and only Baseball Lifestyle apparel brand. Baseball is more than a game; it’s a lifestyle.</t>
  </si>
  <si>
    <t>http://bl101.com</t>
  </si>
  <si>
    <t>baseball_player_latinos</t>
  </si>
  <si>
    <t>Peloteros latinos</t>
  </si>
  <si>
    <t>Promo dm 
Ceo:@jrcastillo02
El depurador de los peloteros ⚾️🔥
Tiktok: 400,000mil ❤️ 
@eldepuradordelospeloteros01 segunda cuenta</t>
  </si>
  <si>
    <t>https://youtu.be/QSq7qdzENj8?si=QvWnPqaYVihbwJMd</t>
  </si>
  <si>
    <t>bobabreubaseballacademy53</t>
  </si>
  <si>
    <t>Summit Baseball Academy</t>
  </si>
  <si>
    <t>Formamos el futuro del baseball profesional 🥎
Experiencia deportiva con resultados 👊🏼
Nos vemos en la cima ⛰️</t>
  </si>
  <si>
    <t>kbz_baseball</t>
  </si>
  <si>
    <t>크보짤 | 야구</t>
  </si>
  <si>
    <t>⚾ 모두가 야구를 좋아하는 날까지!
👜 비즈니스 문의 : KBZ_baseball@naver.com
🌟 분실물 → 프로필 링크 참고!</t>
  </si>
  <si>
    <t>https://open.kakao.com/me/KBZ_baseball</t>
  </si>
  <si>
    <t>kubaseball</t>
  </si>
  <si>
    <t>Kansas Baseball</t>
  </si>
  <si>
    <t>Official Instagram of Kansas Baseball.
#KUBaseball #RockChalk</t>
  </si>
  <si>
    <t>http://bit.ly/KUBaseballPostseason</t>
  </si>
  <si>
    <t>mbcbaseballtonight</t>
  </si>
  <si>
    <t>베이스볼 투나잇</t>
  </si>
  <si>
    <t>MBC SPORTS+ 베이스볼 투나잇 공식 인스타그램</t>
  </si>
  <si>
    <t>http://www.facebook.com/btmbc</t>
  </si>
  <si>
    <t>midlandbasebal</t>
  </si>
  <si>
    <t>Midland Baseball</t>
  </si>
  <si>
    <t>Helping kids chase their dreams! #MidlandFamily #OneFamily</t>
  </si>
  <si>
    <t>http://midlandbaseball.net/</t>
  </si>
  <si>
    <t>samsunglions_baseballclub</t>
  </si>
  <si>
    <t>삼성 라이온즈</t>
  </si>
  <si>
    <t>🦁 삼성 라이온즈 공식 인스타그램
Official Instagram of the Samsung Lions
삼성 라이온즈 공식 유튜브 라이온즈tv</t>
  </si>
  <si>
    <t>http://samsunglions.com</t>
  </si>
  <si>
    <t>talkinbaseball_</t>
  </si>
  <si>
    <t>Talkin’ Baseball</t>
  </si>
  <si>
    <t>Brought to you by @jomboymedia | Hosted by @talkinjake and @trevorplouffe</t>
  </si>
  <si>
    <t>https://linktr.ee/TalkinBaseball</t>
  </si>
  <si>
    <t>texasbaseball</t>
  </si>
  <si>
    <t>Texas Baseball ⚾️🤘</t>
  </si>
  <si>
    <t>Most College World Series appearances of all time. 
At least one player selected in every year of the MLB Draft. 
#HookEm</t>
  </si>
  <si>
    <t>http://linktr.ee/TexasBSB</t>
  </si>
  <si>
    <t>usabaseball</t>
  </si>
  <si>
    <t>USA Baseball</t>
  </si>
  <si>
    <t>The official Instagram profile of USA Baseball, the national governing body of baseball. Check out the @USABaseballShop.</t>
  </si>
  <si>
    <t>https://linktr.ee/usabaseball</t>
  </si>
  <si>
    <t>barrabeachtz</t>
  </si>
  <si>
    <t>Barra Beach | Resort, Bar &amp; Restaurant</t>
  </si>
  <si>
    <t>Beach Resort</t>
  </si>
  <si>
    <t>Experience the Beautiful Indian Ocean Views, Served with Delicious Cuisines &amp; Great Vibes, 7 days a week. @barrakidspark 🛝
📍Bahari Beach, Kunduchi.</t>
  </si>
  <si>
    <t>https://barrabeach.tz</t>
  </si>
  <si>
    <t>barstoolbeachhouse</t>
  </si>
  <si>
    <t>Barstool Beach House</t>
  </si>
  <si>
    <t>Down On The Shore All August</t>
  </si>
  <si>
    <t>https://barstool.link/barstool-beach-house</t>
  </si>
  <si>
    <t>beaccchhoussse</t>
  </si>
  <si>
    <t>Beach House</t>
  </si>
  <si>
    <t>BAND</t>
  </si>
  <si>
    <t>https://linktr.ee/beachhousebaltimore</t>
  </si>
  <si>
    <t>BEACH</t>
  </si>
  <si>
    <t>🏖️ Your top guide for the world's best coastal getaways &amp; unforgettable stays
📸 Tag @beach to get featured
⬇️ Check out travel inspo &amp; cleanups</t>
  </si>
  <si>
    <t>https://www.beach.com/</t>
  </si>
  <si>
    <t>beachplumfarm</t>
  </si>
  <si>
    <t>Beach Plum Farm</t>
  </si>
  <si>
    <t>Farm &amp; Cottages by the Sea in Cape May
Market Daily 8–3 | Kitchen Daily 8–2:30
Walk-ins only for breakfast &amp; lunch
1 MICHELIN Key 2024</t>
  </si>
  <si>
    <t>https://linkin.bio/beachplumfarm</t>
  </si>
  <si>
    <t>beachreadsandbubbly</t>
  </si>
  <si>
    <t>Beach Reads &amp; Bubbly</t>
  </si>
  <si>
    <t>Katie 💘 your book BFF
Currently Reading: The Academy
📍Chicago
Buzzed on Books🍾 📚</t>
  </si>
  <si>
    <t>http://beachreadsandbubbly.com/links</t>
  </si>
  <si>
    <t>beachretreats</t>
  </si>
  <si>
    <t>Beach Retreats</t>
  </si>
  <si>
    <t>Self-catered holidays on the Cornish shoreline, all within walking distance to the beach. #YourBeachFound</t>
  </si>
  <si>
    <t>https://britishtravelawards.com/btaform.php?nomLink=112</t>
  </si>
  <si>
    <t>bebeachdxb</t>
  </si>
  <si>
    <t>Be Beach DXB</t>
  </si>
  <si>
    <t>Beach</t>
  </si>
  <si>
    <t>BE sun-kissed - We’ll see you soon ☀️
An @addmindhospitality  &amp; @sohogardendxb concept.</t>
  </si>
  <si>
    <t>https://linktr.ee/bebeach</t>
  </si>
  <si>
    <t>boma.beach</t>
  </si>
  <si>
    <t>Böma Beach</t>
  </si>
  <si>
    <t>✨ Bien plus qu’un lieu… une philosophie ✨ 
L' île de La Réunion, comme vous ne l’avez jamais vécue | du mercredi au dimanche | 8h - 23h30
#BömaBeach</t>
  </si>
  <si>
    <t>https://bomabeach.re/</t>
  </si>
  <si>
    <t>bravococo_beach</t>
  </si>
  <si>
    <t>Bravo Coco Beach</t>
  </si>
  <si>
    <t>Dar es salaam’s premium beachfront restaurant
Fine dining • Ocean views • Private events
Cashless | Open daily from 12PM
🔗 Reserve your table below</t>
  </si>
  <si>
    <t>https://linktr.ee/Bravococo</t>
  </si>
  <si>
    <t>bungalow_beach_resort</t>
  </si>
  <si>
    <t>Bungalow Beach Resort</t>
  </si>
  <si>
    <t>We are Bungalow Beach Resort on Anna Maria Island</t>
  </si>
  <si>
    <t>http://www.bungalowbeach.com</t>
  </si>
  <si>
    <t>ivybeachcollection</t>
  </si>
  <si>
    <t>Fashion Inspo</t>
  </si>
  <si>
    <t>rorosbeachbartz</t>
  </si>
  <si>
    <t>RORO’s Beach 🏖️ Bar</t>
  </si>
  <si>
    <t>Bar &amp; Grill</t>
  </si>
  <si>
    <t>We do food delivery.
Call 0748 553 333
A good place for Seafood 🦞, Sunset Beach 🏝️ and much more 🍾</t>
  </si>
  <si>
    <t>https://roro.menu.tz</t>
  </si>
  <si>
    <t>sunnysbeach.mq</t>
  </si>
  <si>
    <t>☀️ SUNNY’S BEACH ☀️</t>
  </si>
  <si>
    <t>Cuisine caribbéene 🌴
Restaurant 🍽 Bar🍹Plage Anse Figuier 🏝️
Ouvert du Mardi au Dimanche
Lien de réservation et Menu ⬇️Site internet</t>
  </si>
  <si>
    <t>https://bookings.zenchef.com/results?rid=370535&amp;pid=1001</t>
  </si>
  <si>
    <t>beautyhackcs</t>
  </si>
  <si>
    <t>Beauty Hacks</t>
  </si>
  <si>
    <t>💄Daily Makeup Posts
🤔Dm for Credit/Removel
📩 Email/Dm for Business</t>
  </si>
  <si>
    <t>beautyhacks</t>
  </si>
  <si>
    <t>A beauty &amp; lifestyle community for trending hacks and everything nice 💜 
📥 partnerships@wearebluefoxes.com
Beauty Hacks is a @wearebluefoxes brand.</t>
  </si>
  <si>
    <t>beautyhacks823</t>
  </si>
  <si>
    <t>Beauty_ Hacks</t>
  </si>
  <si>
    <t>Makeup Artist
-Makeup Educator💄👈🏻
-DM for collabration
-Email- trishlasingh1234@gmail.com</t>
  </si>
  <si>
    <t>https://www.youtube.com/@Beauty_Hacks823</t>
  </si>
  <si>
    <t>beauty_hacks.diy</t>
  </si>
  <si>
    <t>خودت بساز زیبا شو</t>
  </si>
  <si>
    <t>🌿 آموزش ماسک‌های خونگی + کرم‌های دست‌ساز
✨ بدون خرج اضافی، بدرخش مثل الماس
📍نسخه‌های طب‌خانگی + ترفندهای ناب زیبایی
🎥 ویدیوهای کوتاه + وایرال + کار</t>
  </si>
  <si>
    <t>_beauty__hackss</t>
  </si>
  <si>
    <t>Beauty hacks</t>
  </si>
  <si>
    <t>👉Turn on post notification 👉
👉Non stop dose of everything👈
👉best beauty tips👈
👉Dm for paid 💰promotion or shoutout👈
👉 100k goal👈</t>
  </si>
  <si>
    <t>http://earthysimplycosmetics.com/</t>
  </si>
  <si>
    <t>beauty reviews</t>
  </si>
  <si>
    <t>beauty_reviews70</t>
  </si>
  <si>
    <t>توصيات روز ✨</t>
  </si>
  <si>
    <t>اول حساب لتجميع تجارب منتجات العنايه و الجمال 
كود خصم ايهرب ‏YOM4793</t>
  </si>
  <si>
    <t>https://t.me/roserecommendations</t>
  </si>
  <si>
    <t>beautyroutine08</t>
  </si>
  <si>
    <t>Certified skincare advisor💐
Scientific natural💯
100% satisfaction  quarantee 
Skin Care|Hair Care
No return 
No Cod🚫</t>
  </si>
  <si>
    <t>ek_beautyroutine</t>
  </si>
  <si>
    <t>[mini beauty products, finds, hacks, routine]</t>
  </si>
  <si>
    <t>https://linktr.ee/ekbeautyroutine</t>
  </si>
  <si>
    <t>behindthescenes_miami</t>
  </si>
  <si>
    <t>Behind The Scenes Miami</t>
  </si>
  <si>
    <t>BTS Miami | 🎥 Culture &amp; community
Swipeit 📊 Our ERP to create, manage &amp; scale.</t>
  </si>
  <si>
    <t>https://behindthescenesmiami.com/</t>
  </si>
  <si>
    <t>behindthescenesvibe</t>
  </si>
  <si>
    <t>Behind The Scene</t>
  </si>
  <si>
    <t>Just two people figuring out life taking you guys along! DM for collab 🇵🇰 Khi
Food, Travel, Fashion, Coffee
#BTS  @chandnaapunjabi @manishkumar9797</t>
  </si>
  <si>
    <t>http://www.tiktok.com/@behindthescenesvibe</t>
  </si>
  <si>
    <t>audreymieuxvivre.nutrition</t>
  </si>
  <si>
    <t>Audrey Vigne | Recettes Bien-être</t>
  </si>
  <si>
    <t>🥣Recettes avoine ventre plat 🫶🏼Perte de poids 🌀Routines simples
Je t'aide à être maman &amp; femme active bien dans son corps!
🙌🏼 Bilan OFFERT en MP</t>
  </si>
  <si>
    <t>https://linktr.ee/audreyvigne</t>
  </si>
  <si>
    <t>bien_etre_france</t>
  </si>
  <si>
    <t>Bien-Être France</t>
  </si>
  <si>
    <t>Les meilleurs conseils santé naturel 🌱
Retrouve tes produits ici👇🏻</t>
  </si>
  <si>
    <t>https://wellnessnest.co/fr/products/extraits-de-shilajit-a-base-deau?country=FR&amp;ref=gorhhzki</t>
  </si>
  <si>
    <t>bienetre.maison</t>
  </si>
  <si>
    <t>BIEN-ETRE MAISON</t>
  </si>
  <si>
    <t>カフェとお菓子の工房。
テイクアウトは @bienetre.patisserie にて
営業時間| 11:00-19:30（※L.O.並びに最終入店は閉店の１時間前まで)
店休日｜毎週木曜(祝日を除く)
ご予約はURLから☟
＊お電話・DM等でのご予約不可</t>
  </si>
  <si>
    <t>https://www.tablecheck.com/shops/bien-etre/reserve</t>
  </si>
  <si>
    <t>laboucle_est_bouclee</t>
  </si>
  <si>
    <t>Belly | Maman Mindset &amp; Bien-Être 🌸</t>
  </si>
  <si>
    <t>🌻 Entraide • entre maman &amp; confiance en soi
🤎 –18 kg ➝ en 3 mois
🧠 Mindset | 🍽 Nutrition simple |</t>
  </si>
  <si>
    <t>la_roche_perma</t>
  </si>
  <si>
    <t>Permaculture et bien-être</t>
  </si>
  <si>
    <t>Jeune, passionné de nature 😊 Permaculture 🧑🏽‍🌾 Respect de la biodiversité / journée bien-être et découverte 🌴 Jardin créole 🌿 Martinique 📍0696739397</t>
  </si>
  <si>
    <t>les_tresors_phyto_de_sophie</t>
  </si>
  <si>
    <t>Sophie | Perte de poids et bien-être</t>
  </si>
  <si>
    <t>🔥J’ai perdu 12kg en 4 mois SANS RÉGIME 
👩🏼‍🍳Recettes Saines et Gourmandes 
🌱Boost ta perte de poids grâce à la phytothérapie
📲Envoi BILAN</t>
  </si>
  <si>
    <t>_piel_kanela</t>
  </si>
  <si>
    <t>INSTITUT DE BIEN ÊTRE</t>
  </si>
  <si>
    <t>SOINS MINCEUR ET BIEN ÊTRE  
Nous prenons soin de vous ⤵️
📍Immeuble Luc Elisabeth zone de jambette 
📲0696 69 40 30</t>
  </si>
  <si>
    <t>puissante_</t>
  </si>
  <si>
    <t>Puissante, la marque de bien-être féminin</t>
  </si>
  <si>
    <t>❤️ Vibros, cures &amp; Co.
✨ Par des femmes, pour les femmes 
🇫🇷 Marque française
📺 Vue à la télé #QVEMA2</t>
  </si>
  <si>
    <t>https://puissante.co</t>
  </si>
  <si>
    <t>birds__bees</t>
  </si>
  <si>
    <t>Birds &amp; Bees | Online Course | Megan Michelson</t>
  </si>
  <si>
    <t>👋🏼 We’re Megan and Mary Flo
🐦 how to talk to your kids about sex 
🐝 the “talk” is outdated 
⬇️ free guides + online course + podcast</t>
  </si>
  <si>
    <t>https://birds-bees.com/products/birds-bees-video-bundle</t>
  </si>
  <si>
    <t>birds.being.birds</t>
  </si>
  <si>
    <t>birdiepop</t>
  </si>
  <si>
    <t>just birds
doing bird things 🐦
i don’t film them, i just know where to look
✨ curated chaos — dm for collab &amp; promo ✨</t>
  </si>
  <si>
    <t>birdseyeviewpod</t>
  </si>
  <si>
    <t>Bird's Eye View</t>
  </si>
  <si>
    <t>Your home for all things WNBA by @sbird10 🎙️</t>
  </si>
  <si>
    <t>https://link.chtbl.com/bev</t>
  </si>
  <si>
    <t>birds_of_universe</t>
  </si>
  <si>
    <t>Birds Universe</t>
  </si>
  <si>
    <t>DM for Paid Promotion
Hashtag: #birds_of_universe 
Daily Bird Content 🐧🐤🐥🐔🦆🦅🦉🐦🐣
👇🏻Follow to explore the bird of Universe 🌍</t>
  </si>
  <si>
    <t>birds_perfection</t>
  </si>
  <si>
    <t>Birds Perfection</t>
  </si>
  <si>
    <t>🐦We share the most beautiful birds from around the world.
📧: birds_perfection@outlook.com
nadhirgh34@gmail.com
d7c9a2</t>
  </si>
  <si>
    <t>deuxbirds</t>
  </si>
  <si>
    <t>DEUX BIRDS</t>
  </si>
  <si>
    <t>Everyday and Luxury Vintage</t>
  </si>
  <si>
    <t>http://www.deuxbirds.shop</t>
  </si>
  <si>
    <t>hatim.birds</t>
  </si>
  <si>
    <t>Hatim Birds</t>
  </si>
  <si>
    <t>We love birds 🐦 😘</t>
  </si>
  <si>
    <t>http://www.hatimbirds.com</t>
  </si>
  <si>
    <t>help_birds_krd</t>
  </si>
  <si>
    <t>Помощь диким животным Краснодар</t>
  </si>
  <si>
    <t>Реабилитация хищных птиц🦅
☎️телефон:89280399272
При поддержке «ZOOГРАФИЯ»</t>
  </si>
  <si>
    <t>sarabirds</t>
  </si>
  <si>
    <t>Sara Birds</t>
  </si>
  <si>
    <t>De los Birds de toda la vida.
@diariosdeserotonina
intimidad en
@santaursula</t>
  </si>
  <si>
    <t>thebirdspapaya</t>
  </si>
  <si>
    <t>Sarah Nicole Landry</t>
  </si>
  <si>
    <t>🇨🇦 | 17 year creator | Mom | Writer | Host🎙@thepapayapodcast
App✨ @pinkpapayaapp
NEED LINKS / CODES?⬇️</t>
  </si>
  <si>
    <t>https://hoo.be/thebirdspapaya</t>
  </si>
  <si>
    <t>travisbirds</t>
  </si>
  <si>
    <t>Travis Birds</t>
  </si>
  <si>
    <t>Playwright</t>
  </si>
  <si>
    <t>Jardín del Deseo Tour
👇🏽 entradas ✨</t>
  </si>
  <si>
    <t>http://www.travisbirds.com</t>
  </si>
  <si>
    <t>aura.boardgames</t>
  </si>
  <si>
    <t>Aura Board Games</t>
  </si>
  <si>
    <t>🎲 Board games 
🇱🇧📍Jounieh 🏠📍Batroun 🏠📞 70 158 058
🎯For your events:📞 71 802 128
⏰From 3:00PM Till 1:00AM  
👨‍👩‍👧‍👦 @auraboardgames.kids</t>
  </si>
  <si>
    <t>https://cdn.me-qr.com/pdf/5323472.pdf?time=1697704789</t>
  </si>
  <si>
    <t>board_games_cards_kenya</t>
  </si>
  <si>
    <t>Board Games and Cards Kenya</t>
  </si>
  <si>
    <t>Games/toys</t>
  </si>
  <si>
    <t>Your best Gamenight plug
+254 755676314
We are located  Sonalux building 7th Floor shop 12 Moi Avenue,
Paybill 880100
Ac no 592551</t>
  </si>
  <si>
    <t>https://boardgamescards.com/</t>
  </si>
  <si>
    <t>boardgamesq8</t>
  </si>
  <si>
    <t>🎲 Board Games Panda 🐼</t>
  </si>
  <si>
    <t>تحصلون العابنا في كوزي دن
أسواق القرين
@cozyden.kw
التواصل وتساب
+965 69022595
شحن جميع دول العالم ✈️</t>
  </si>
  <si>
    <t>https://boardgamesq8.com/index.php?route=product%2Fcategory&amp;path=66</t>
  </si>
  <si>
    <t>boardgameswithcouple</t>
  </si>
  <si>
    <t>Board Games with Couple</t>
  </si>
  <si>
    <t>🇵🇱Thomas &amp; Sharon🇳🇱
▶️ Join us for our adventures ⏯️ 
🎲Gaming Couple🎲
🎯 Promotional Materials 🎯 
🌎 Sent us a msg for collaboration 🌍</t>
  </si>
  <si>
    <t>https://www.facebook.com/boardgameswithcouple</t>
  </si>
  <si>
    <t>geekandpink</t>
  </si>
  <si>
    <t>Board Games/ Juegos de mesa 💕</t>
  </si>
  <si>
    <t>Board Game</t>
  </si>
  <si>
    <t>I'm Elena, I love board games 💓
Here you'll find reviews, pictures of board games and reels 💜 #geekandpinkchallenge 💜</t>
  </si>
  <si>
    <t>https://linktr.ee/geekandpink?utm_source=linktree_profile_share&amp;ltsid=5e645bc0-9850-4fa6-b7d9-8ff074d34927</t>
  </si>
  <si>
    <t>jeysagames_</t>
  </si>
  <si>
    <t>Board games/Drinking games/Card games/Educational toys/Games</t>
  </si>
  <si>
    <t>Most entertaining adult game store.
Best educational and entertaining kids games.
Board games, Card games &amp; Drinking games. 
Call/WhatsApp 0672918816</t>
  </si>
  <si>
    <t>https://maps.google.com/?q=-6.776223%2C39.226784</t>
  </si>
  <si>
    <t>woosung.boardgames</t>
  </si>
  <si>
    <t>WoosunG 🎲 Board Game Geek</t>
  </si>
  <si>
    <t>🎲 Board Games | UNO | Geek Culture
📍 MN Creator | 550K+ Fans
🎥 Fun Reviews • Quick Recs • How-To’s
🎉 Play More. Laugh More
📬 DM for Collabs &amp; Features</t>
  </si>
  <si>
    <t>http://woosung.bio</t>
  </si>
  <si>
    <t>8.bodybuilding</t>
  </si>
  <si>
    <t>Fitness tips 💪💥
🌍 Worldwide network 🇺🇸
Followers for daily motivation
DM before reporting post 🙏
Dm for paid shoutout 📩</t>
  </si>
  <si>
    <t>BODYBUILDING MOTIVATION</t>
  </si>
  <si>
    <t>#BodyBuilding
💯𝗧𝗵𝗲 𝗢𝗚 𝗕𝗼𝗱𝘆𝗯𝘂𝗶𝗹𝗱𝗶𝗻𝗴 𝗣𝗮𝗴𝗲 𝗼𝗻 𝗜𝗚
Follow 👉 @MuscleNation
Shop the best gym apparel &amp; supps⤵️</t>
  </si>
  <si>
    <t>body_building_190</t>
  </si>
  <si>
    <t>GYM LIFE</t>
  </si>
  <si>
    <t>Information Technology Company</t>
  </si>
  <si>
    <t>जय श्री राम 🙏🧡
GYM LOVERS 💪🚩
𝐅𝐨𝐫 𝐜𝐨𝐥𝐥𝐚𝐛𝐨𝐫𝐚𝐭𝐢𝐨𝐧 𝐝𝐦 😶‍🌫️</t>
  </si>
  <si>
    <t>bodybuildingbs</t>
  </si>
  <si>
    <t>Nick Trigili | Biohacking Coach</t>
  </si>
  <si>
    <t>🧬I Help Men over 30 Get Shredded w/Biohacking
🏆IFBB Pro | 6000+ Clients Transformed
👇 Start with My Free Unfiltered Peptide+TRT Masterclass</t>
  </si>
  <si>
    <t>https://linktw.in/nqkMvq</t>
  </si>
  <si>
    <t>bodybuildingcom</t>
  </si>
  <si>
    <t>Bodybuilding.com</t>
  </si>
  <si>
    <t>Build Your Body. Build Your Mind. Build Your Life.™️
Download our new fitness app ⬇️</t>
  </si>
  <si>
    <t>https://bbcom.me/4gtHj2I</t>
  </si>
  <si>
    <t>bodybuilding.hero</t>
  </si>
  <si>
    <t>بدنسازی/بهترین کلیپ‌های مسترالمپیا</t>
  </si>
  <si>
    <t>Mr Olympia Champions🥇
🔴 YouTube / کانال یوتیوب 👇</t>
  </si>
  <si>
    <t>https://www.youtube.com/channel/UCc4dqLzQYDpoYfYK19isspw</t>
  </si>
  <si>
    <t>body_buildingheroes</t>
  </si>
  <si>
    <t>BodybuildingHeroes</t>
  </si>
  <si>
    <t>Bodybuilding ❤️
Dm for collaborations &amp; promotions 📬</t>
  </si>
  <si>
    <t>https://www.patreon.com/BodyBuildingHeroes?utm_medium=unknown&amp;utm_source=join_link&amp;utm_campaign=creatorshare_creator&amp;utm_content=copyLink</t>
  </si>
  <si>
    <t>bodybuildingnation</t>
  </si>
  <si>
    <t>Bodybuilding Nation 🇺🇸</t>
  </si>
  <si>
    <t>🌎 Professional Bodybuilding 💪
#️⃣ Hashtag #BodybuildingNation On Your
Worthy Posts For A Chance To Be Featured❗️</t>
  </si>
  <si>
    <t>body_building_russia</t>
  </si>
  <si>
    <t>BodyBuildingRussia</t>
  </si>
  <si>
    <t>- Принимаю спортпит и БАДы, перед применением сдаю на экспертизу
- Полный обзор продуктов на VK, Дзен и YouTube
- По всем вопросам в директ или email</t>
  </si>
  <si>
    <t>https://www.bodybuildingrussia.com/site/supplements/promokody-na-sportivnoe-pitanie-i-bady.aspx</t>
  </si>
  <si>
    <t>fitnesswarriiors</t>
  </si>
  <si>
    <t>Body Building | Fitness Hub | Home Workout</t>
  </si>
  <si>
    <t>🏋️🏋️‍♀️| Daily Quality Workout Contents!</t>
  </si>
  <si>
    <t>thegoldenbodybuilding</t>
  </si>
  <si>
    <t>Golden Bodybuilding</t>
  </si>
  <si>
    <t>The Golden Times 💪🏻🏅
Follow for Pictures, Videoclips, Food and Lifestyle
- everything Oldschool 💥
🏅Train like Arnold and make progress:🏅</t>
  </si>
  <si>
    <t>https://linktr.ee/thegoldenbodybuilding</t>
  </si>
  <si>
    <t>book_recommendations_official</t>
  </si>
  <si>
    <t>Book Recommendations Official</t>
  </si>
  <si>
    <t>Daily Book Recommendations 📖
DM for book review ✍️
Visit my Amazon shop via the associate link 👇</t>
  </si>
  <si>
    <t>https://www.amazon.com/shop/book_recommendations_official?ref=ac_inf_tb_vh</t>
  </si>
  <si>
    <t>booktokbookclub</t>
  </si>
  <si>
    <t>Booktok Bookclub</t>
  </si>
  <si>
    <t>A group of Aussie booktokers in one place 💕
September BOTM: The Locked Door by @fmcfaddenauthor 🗝️
📧 please email all enquires 📧</t>
  </si>
  <si>
    <t>http://booktokbookclub.carrd.co/</t>
  </si>
  <si>
    <t>booktokfrance</t>
  </si>
  <si>
    <t>Le meilleur de Booktok France</t>
  </si>
  <si>
    <t>💌 Le repère de tous les lecteurs
📮 Je partage les meilleurs TikToks de la communauté</t>
  </si>
  <si>
    <t>https://m.facebook.com/booktokfrance?mibextid=LQQJ4d</t>
  </si>
  <si>
    <t>booktok.inc</t>
  </si>
  <si>
    <t>BookTok.Inc</t>
  </si>
  <si>
    <t>📚: #BookLibrary #booklover 
⚡️: Uncovering #Literary Gems 💎
🧚🏻: Explore captivating Books with us! 📖🌟📚
🍃: Ping us to make your Book Shine 🦅
#book</t>
  </si>
  <si>
    <t>booktokjournal</t>
  </si>
  <si>
    <t>The #BookTok Journal</t>
  </si>
  <si>
    <t>• Hi! I’m Cassidy 👋🏼
• Creator of The #BookTok Journal
• Co-Creator of @bookjournal.app📱
• Journals available on Amazon! 📚</t>
  </si>
  <si>
    <t>http://beacons.ai/booktokjournal/</t>
  </si>
  <si>
    <t>booktok_reels</t>
  </si>
  <si>
    <t>🎀Just a girl &amp; her books</t>
  </si>
  <si>
    <t>Sharing my favorite books 
And bookish things that make me laugh. 
ARC reader💕 please DM</t>
  </si>
  <si>
    <t>booktok.reviews</t>
  </si>
  <si>
    <t>✨🧚‍♀️ Jade 📚</t>
  </si>
  <si>
    <t>📍Brisbane 🇦🇺 
📚RG: 55/ 52 
✨ARC reader. Safe Space✨
💌: booktok.reviews@hotmail.com
CR: Rewind It Back by @liztomforde.author</t>
  </si>
  <si>
    <t>https://linktr.ee/booktok.reviews</t>
  </si>
  <si>
    <t>leitor.booktok</t>
  </si>
  <si>
    <t>Philipe 📚</t>
  </si>
  <si>
    <t>falando sobre minhas leituras
+55k no tiktok
📧: philiperod.94@gmail.com</t>
  </si>
  <si>
    <t>https://beacons.ai/leitor.booktok</t>
  </si>
  <si>
    <t>meghans.booktok</t>
  </si>
  <si>
    <t>Meghan</t>
  </si>
  <si>
    <t>Hi my lovelies🫶🏼
📚romance &amp; fantasy📚
All things books :) 
TikTok: meghans.booktok</t>
  </si>
  <si>
    <t>webboh.booktokk</t>
  </si>
  <si>
    <t>quelle del booktok📚✨</t>
  </si>
  <si>
    <t>🗣️aggiornamenti e gossip sul booktok
💭admin @lattinabooks e @lalibreriadiale.5
📩: webboh.booktok13@gmail.com o dm</t>
  </si>
  <si>
    <t>aliboxingclub420</t>
  </si>
  <si>
    <t>Boxing🐺</t>
  </si>
  <si>
    <t>𝐛𝐞 𝐲𝐨𝐮𝐫 𝐨𝐰𝐧 𝐡𝐞𝐫𝐨🥇
#boxing 
@muhammadali 🗣️𝒎𝒚 𝒓𝒐𝒍𝒆 𝒎𝒐𝒅𝒆𝒍</t>
  </si>
  <si>
    <t>https://www.youtube.com/@aliboxing420</t>
  </si>
  <si>
    <t>atsboxing</t>
  </si>
  <si>
    <t>All the Smoke Boxing</t>
  </si>
  <si>
    <t>Fighters at heart. Champions in the ring. Straight from the source. Telling stories that only those who have walked that walk can tell.</t>
  </si>
  <si>
    <t>http://youtube.com/@atsfight</t>
  </si>
  <si>
    <t>@boxing 
We live boxing.</t>
  </si>
  <si>
    <t>boxingband6</t>
  </si>
  <si>
    <t>Boxing</t>
  </si>
  <si>
    <t>我們是Boxing樂團🎤🎸🎶 
榮獲2015年26th金曲獎「最佳新人獎」
※學校，活動邀約請洽：
Lapatty0615@gmail.com 小毛</t>
  </si>
  <si>
    <t>https://www.facebook.com/Boxing6/</t>
  </si>
  <si>
    <t>boxingego1</t>
  </si>
  <si>
    <t>Eric Gomes</t>
  </si>
  <si>
    <t>💻 Online Full-Time Content Creator 
🥊 Boxing &amp; Sports Entertainment
📺 YouTube over 200 million views 
📈Half a million Subscribers</t>
  </si>
  <si>
    <t>https://youtube.com/@boxingego?si=YT5IbJMZg5kUd7JN</t>
  </si>
  <si>
    <t>boxing_fight100</t>
  </si>
  <si>
    <t>Boxing🥊</t>
  </si>
  <si>
    <t>Fighter with a Lion’s Heart 🦁🥊
💥 Life is a battle — not a retreat.
👊 Never give up. Never
🇩🇪🇮🇷</t>
  </si>
  <si>
    <t>boxing_is__life</t>
  </si>
  <si>
    <t>boxing 🥊</t>
  </si>
  <si>
    <t>no boxing no life 🧬
please like &amp; follow for this channel 🙏🏻
@wahbi_amine_
#goal_is_100k_
tiktok.com/@boxing_is__life0</t>
  </si>
  <si>
    <t>boxing.media</t>
  </si>
  <si>
    <t>Boxing.media</t>
  </si>
  <si>
    <t>UNDISPUTED HOME OF BOXING 🥊
📧 partnerships@boxing-media.com</t>
  </si>
  <si>
    <t>daznboxing</t>
  </si>
  <si>
    <t>DAZN Boxing</t>
  </si>
  <si>
    <t>The global home of boxing. 🥊</t>
  </si>
  <si>
    <t>https://lnk.bio/daznboxing</t>
  </si>
  <si>
    <t>dirtyboxing</t>
  </si>
  <si>
    <t>Dirty Boxing Championship</t>
  </si>
  <si>
    <t>Dirty Boxing is owned by @jonnybones &amp; @platinummikeperry 
DBX 3 - REWATCH ALL THE ACTION FREE ON YOUTUBE  ⬇️</t>
  </si>
  <si>
    <t>https://www.youtube.com/live/0dVnU0dnTU8?si=pzLOVYjxqsiegx6P</t>
  </si>
  <si>
    <t>gsu_boxing</t>
  </si>
  <si>
    <t>GeorgiaState🥊BOXINGSU</t>
  </si>
  <si>
    <t>“Boxing is about the ability to learn from mistakes and fix them mid-fight.”</t>
  </si>
  <si>
    <t>https://recreation.gsu.edu/programs/fitness-classes/%252523atlanta</t>
  </si>
  <si>
    <t>murat.boxing</t>
  </si>
  <si>
    <t>Organization</t>
  </si>
  <si>
    <t>Training doesn’t require conditions it requires you  🫵</t>
  </si>
  <si>
    <t>premierboxing</t>
  </si>
  <si>
    <t>Premier Boxing Champions</t>
  </si>
  <si>
    <t>🥊 FUNDORA vs THURMAN: Oct. 25 | PBC PPV on Prime Video</t>
  </si>
  <si>
    <t>qb.boxing</t>
  </si>
  <si>
    <t>🥷🏻</t>
  </si>
  <si>
    <t>1:  discipline ♾️ Work ♾️ believe 🔝
2: Every day #boxing and #ufc
If you actually try ur best 
You can’t lose ♾️ 🇦🇫🇵🇸</t>
  </si>
  <si>
    <t>https://app.temu.com/k/ez3dfgj9b6o</t>
  </si>
  <si>
    <t>sourceofboxing</t>
  </si>
  <si>
    <t>Source of Boxing</t>
  </si>
  <si>
    <t>The Source of Boxing 🥊
📧 Hello@BoxingMedia.com</t>
  </si>
  <si>
    <t>toprank</t>
  </si>
  <si>
    <t>Top Rank Boxing</t>
  </si>
  <si>
    <t>This is Boxing. This is Top Rank. 
En Español | @TRBoxeo</t>
  </si>
  <si>
    <t>https://linktr.ee/trboxing</t>
  </si>
  <si>
    <t>wbcboxing</t>
  </si>
  <si>
    <t>World Boxing Council</t>
  </si>
  <si>
    <t>WBC Cares @wbccares
WBC en Español @wbcboxeo
WBC President @wbcmoro</t>
  </si>
  <si>
    <t>https://webook.com/en/events/wbc-boxing-grand-prix-tickets-564783</t>
  </si>
  <si>
    <t>amusedesignstudio</t>
  </si>
  <si>
    <t>Kara | Branding + Showit Web Designer</t>
  </si>
  <si>
    <t>🌷 Bold, colorful branding + websites that align with your biz’s next level
🍒 For the business owners who were never meant to blend in
LET’S CHAT👇🏼</t>
  </si>
  <si>
    <t>https://linktr.ee/amusedesignstudio</t>
  </si>
  <si>
    <t>Branding | Marketing | Business</t>
  </si>
  <si>
    <t>🔥 The #1 Resource For Branding, Marketing &amp; Growth!</t>
  </si>
  <si>
    <t>br.and.ing</t>
  </si>
  <si>
    <t>BR&amp;ING</t>
  </si>
  <si>
    <t>Branding, Logos  and Design Inspiration.
Copyright of all work belongs to their respective owners.</t>
  </si>
  <si>
    <t>https://qurrv.com/submit-your-brand-design-for-global-exposure-in-2-minutes</t>
  </si>
  <si>
    <t>branding.source</t>
  </si>
  <si>
    <t>Branding Source</t>
  </si>
  <si>
    <t>Branding is the reason people choose you over all the others.
• Email: brandingsource@gmail.com</t>
  </si>
  <si>
    <t>cacaudesigncreative</t>
  </si>
  <si>
    <t>Cacau®• Branding e Projeção de Marcas</t>
  </si>
  <si>
    <t>Estúdio especializado na execução de projetos para negócios de alto nível, unindo marketing, psicologia e branding.
Método Autoral | Diagnóstico ⤵︎</t>
  </si>
  <si>
    <t>https://cacaudesign.com</t>
  </si>
  <si>
    <t>erinondemand</t>
  </si>
  <si>
    <t>Erin | Branding &amp; Biz</t>
  </si>
  <si>
    <t>Biz-gal whose bio doesn’t start with “I help” 
📈Scaling a life I love
⏰ Chief Retired Procrastinator @top3today
💌 erinwhite@ikonicfox.com</t>
  </si>
  <si>
    <t>https://linktr.ee/erinondemand</t>
  </si>
  <si>
    <t>excelbranding</t>
  </si>
  <si>
    <t>Excel Branding - Marketing and Branding</t>
  </si>
  <si>
    <t>📱 | Content Marketing and Branding
📩 | Email for collaborations/partnerships
👇🏻| FREE Business ideas &amp; Marketing Hacks</t>
  </si>
  <si>
    <t>https://excelbranding.mykajabi.com/newsletter</t>
  </si>
  <si>
    <t>logos.ai</t>
  </si>
  <si>
    <t>Logos Design &amp; Branding Ideas</t>
  </si>
  <si>
    <t>Inspiring designers &amp; agencies with daily logo &amp; branding ideas.
.
All rights reserved to respected creatives
View the links to submit</t>
  </si>
  <si>
    <t>https://shor.by/logosai</t>
  </si>
  <si>
    <t>markaworks</t>
  </si>
  <si>
    <t>Marka Works Branding Agency</t>
  </si>
  <si>
    <t>Decode. Design. Deliver.
MW — unique branding experience.
🌍 projects@markaworks.com
🧭 Founded by @mustafaakulker</t>
  </si>
  <si>
    <t>https://www.markaworks.com/</t>
  </si>
  <si>
    <t>reputeforge</t>
  </si>
  <si>
    <t>Repute Forge - Branding &amp; Marketing</t>
  </si>
  <si>
    <t>Social Media Growth + Digital Marketing 
Scaling brands with organic social media 
Click below for partnerships/collaborations</t>
  </si>
  <si>
    <t>https://linktr.ee/reputeforge</t>
  </si>
  <si>
    <t>thehouseof.social</t>
  </si>
  <si>
    <t>Emma | Social Media | Marketing | Branding</t>
  </si>
  <si>
    <t>🧚🏼Grow your IG + your income
💌Digital + irl product sales
❤️‍🔥Your brand &amp; marketing BFF’s
💸Create content that SELLS
Join the wealthy women club 💸⤵️</t>
  </si>
  <si>
    <t>https://stan.store/thehouseofsocial</t>
  </si>
  <si>
    <t>thesocialpaige</t>
  </si>
  <si>
    <t>Paige Burton | Branding &amp; Marketing Studio</t>
  </si>
  <si>
    <t>Working with premium brands globally 
Award-winning Brand Designer
Clients in Vogue &amp; Marie Claire +
Join The PlayBook Membership below</t>
  </si>
  <si>
    <t>https://thesocialpaige.co.uk/the-playbook-membership</t>
  </si>
  <si>
    <t>welovebranding</t>
  </si>
  <si>
    <t>Branding Inspiration</t>
  </si>
  <si>
    <t>Our goal is to get YOU inspired
All designs © of their respective owner
-
Submit your work 👇</t>
  </si>
  <si>
    <t>https://tally.so/r/3N6oZp</t>
  </si>
  <si>
    <t>bobalubasv</t>
  </si>
  <si>
    <t>Bubble Tea</t>
  </si>
  <si>
    <t>Say hi to your new best tea 🧋✨  
Bubble Tea Shop 🧋✨
📲🛵: ¡Ya disponibles en Pedidos Ya, Hifumi y UberEats!</t>
  </si>
  <si>
    <t>https://foodysv.com/bobabula/</t>
  </si>
  <si>
    <t>bubblebar.al</t>
  </si>
  <si>
    <t>Bubble Tea Albania</t>
  </si>
  <si>
    <t>Bubble Tea Shop</t>
  </si>
  <si>
    <t>All the rights reserved @ Bubble Tea Albania
📍Qtu📍Teg 📍Green Coast
Email: bubblebaralbania@gmail.com
Bubble magjike, shije fantastike! 🥰</t>
  </si>
  <si>
    <t>bubble_bliss.tj</t>
  </si>
  <si>
    <t>Bubble tea Khujand</t>
  </si>
  <si>
    <t>Мы первые с бабл ти в Худжанде - уют, вкус и любимые топпинги
🕐 с 09:00 до 22:30 | 📍Напротив ТГУКА
Заказ 📞: 926181862</t>
  </si>
  <si>
    <t>bubbleteaandcigarettes</t>
  </si>
  <si>
    <t>BUBBLE TEA AND CIGARETTES</t>
  </si>
  <si>
    <t>songs when we can’t fall asleep
see u soon 🇬🇧🇩🇪🇳🇱🇫🇷🇺🇸</t>
  </si>
  <si>
    <t>http://bubbleteaandcigarettes.com</t>
  </si>
  <si>
    <t>bubble_tea_drinkss</t>
  </si>
  <si>
    <t>Bubble Tea Drinks</t>
  </si>
  <si>
    <t>Best Authentic Bubble Tea (Boba) in Iraq, with Original Tapioca Pearls.
Open from 10:00am till 1:00am or later
Click for the shop location👇📍</t>
  </si>
  <si>
    <t>https://maps.app.goo.gl/E7HKWEg8Dj93c4wy6</t>
  </si>
  <si>
    <t>bubbleteagye</t>
  </si>
  <si>
    <t>Bubble Team | Bebidas y Postres Asiáticos</t>
  </si>
  <si>
    <t>💜Una Experiencia divertida🩷
🧋Somos Importadores de insumos para Bubble Tea y productores artesanales de postres asiáticos🍡🐟🧋
⬇️Ventas⬇️</t>
  </si>
  <si>
    <t>https://linktr.ee/bubbleteamarketing</t>
  </si>
  <si>
    <t>bubble.teale</t>
  </si>
  <si>
    <t>Boba Tea🧋بابِل تیله🧋</t>
  </si>
  <si>
    <t>نوشیدن جهانی دیگر🔮
بابِل تیله 🧋Bubble Teale🧋
جدیدترین کانسپت نوشیدنی ایران🧋💜
New Taste 😉New Sense ☺️
📞امور نمایندگی: ۰۹۱۰۷۵۰۰۹۷۲</t>
  </si>
  <si>
    <t>https://bubbleteale.com</t>
  </si>
  <si>
    <t>bubble.tea.ua</t>
  </si>
  <si>
    <t>🍉🍓🍒 Bubble Tea / Бабл Ті 🍉🍓🍒</t>
  </si>
  <si>
    <t>🍏 Бабл Ті 😋 Бабл Ти
🍓 Виробництво кульок для БАБЛ ТІ
🥭 Роздріб та ОПТ продаж
🍒 Дніпро, вул. Січнева, б.30Б 🏠</t>
  </si>
  <si>
    <t>tudo_bubbletea</t>
  </si>
  <si>
    <t>TỤDO - Bubble Tea Berlin</t>
  </si>
  <si>
    <t>💃🏻 Visit us at TỤDO Alex + Zoo
🔥 For the first ever bubble tea Hot Pot in Germany!</t>
  </si>
  <si>
    <t>http://tudo.berlin</t>
  </si>
  <si>
    <t>budgettravel</t>
  </si>
  <si>
    <t>Budget Travel</t>
  </si>
  <si>
    <t>Helping and inspiring travelers save money for 23+ years!</t>
  </si>
  <si>
    <t>https://tap.bio/@budgettravel</t>
  </si>
  <si>
    <t>budget_travel_bangalore</t>
  </si>
  <si>
    <t>Adarsh Shetty</t>
  </si>
  <si>
    <t>FOOD &amp; TRAVEL || PR || EMCEE || ಕನ್ನಡಿಗ || BANGALORE BLOGGER / INFLUENCER  
BOI Certified Creator 
🗺️ Google Level 8 DM for Collaboration</t>
  </si>
  <si>
    <t>https://yt.openinapp.co/bcwlq</t>
  </si>
  <si>
    <t>budgettravelcommunity</t>
  </si>
  <si>
    <t>Budget Travel Community</t>
  </si>
  <si>
    <t>🌍Travel UK &amp; Europe with Group - @ritikamalik03 
🚌 Budget Trips every month
📞07919519078
📩 Join Budget Travel Community Group 🔗👇🏻</t>
  </si>
  <si>
    <t>https://chat.whatsapp.com/DQmmF3qQLSMFC2JY1CEtwL?mode=ac_t</t>
  </si>
  <si>
    <t>budget.travel.hr</t>
  </si>
  <si>
    <t>Laura Rogina</t>
  </si>
  <si>
    <t>🌍Travel Content Creator 🇭🇷
✈️Travel Planner - individualizirane ponude tvojeg savršenog putovanja 🩵
📩 budget.travel.hr@gmail.com
➕TikTok: 11K 
📍Zagreb</t>
  </si>
  <si>
    <t>budget.travel.ireland</t>
  </si>
  <si>
    <t>🫱🏻‍🫲🏼 Low Deposits 
📆 Monthly Payment Options 
Secure your holiday from only €25pp👇🏼</t>
  </si>
  <si>
    <t>https://linkin.bio/budget-travel-ireland</t>
  </si>
  <si>
    <t>budget_traveller_01</t>
  </si>
  <si>
    <t>Budget Traveller | Travel Budget Plans</t>
  </si>
  <si>
    <t>💸 Paid Promotion Available 
Plan your journey with us👇
📍Manali📍Kashmir📍Kedarnath 
📍Haridwar📍Jaisalmer 📍Dubai 
📩 WhatsApp DM +918824800925</t>
  </si>
  <si>
    <t>budget_traveller_tour</t>
  </si>
  <si>
    <t>Travel travelee | Budget Traveller</t>
  </si>
  <si>
    <t>🚩मेरे पास बजट प्लान है 💸 
♦️Dm For Paid Promotion♦️
हर रोज बजट प्लान 
♦️𝐍𝐨 𝐂𝐨𝐩𝐲𝐫𝐢𝐠𝐡𝐭 𝐈𝐧𝐟𝐫𝐢𝐧𝐠𝐞𝐦𝐞𝐧</t>
  </si>
  <si>
    <t>https://whatsapp.com/channel/0029VbBG6t4AjPXVAcAvEI3A</t>
  </si>
  <si>
    <t>globetrotadventures</t>
  </si>
  <si>
    <t>Budget Travel &amp; Deals</t>
  </si>
  <si>
    <t>🩵 Helping travelers save money
🌍 11K+ booked stays &amp; essentials!
📩 advseeker25@gmail.com
👇 Reserve &amp; shop now!</t>
  </si>
  <si>
    <t>https://www.amazon.com/shop/globetrotadventures?ref_=cm_sw_r_cp_ud_aipsfshop_Y06Q8WBFEHDJR8WFV0R1</t>
  </si>
  <si>
    <t>business_grow_1</t>
  </si>
  <si>
    <t>Business_growth</t>
  </si>
  <si>
    <t>~ don’t giveup just keep going 
~ be patient until our time comes
~ empowering business💵
~ business content💰</t>
  </si>
  <si>
    <t>https://yt.openinapp.co/e9yee</t>
  </si>
  <si>
    <t>business__growth0</t>
  </si>
  <si>
    <t>business growth ideas 0</t>
  </si>
  <si>
    <t>🇧‌🇺‌🇸‌🇮‌🇳‌🇪‌🇸‌🇸‌
𝘽𝙪𝙨𝙞𝙣𝙚𝙨𝙨 𝙂𝙧𝙤𝙬𝙩𝙝 📉
𝘽𝙪𝙨𝙞𝙣𝙚𝙨𝙨 𝙄𝙙𝙚𝙖𝙨 💡
𝘽𝙪𝙨𝙞𝙣𝙚𝙨𝙨 𝙏𝙞𝙥𝙨 🤔</t>
  </si>
  <si>
    <t>business__growth__01</t>
  </si>
  <si>
    <t>BUSINESS || GROWTH || MINDSET</t>
  </si>
  <si>
    <t>|| 𝐈𝐧𝐝𝐢𝐚𝐧 𝐍𝐨. 𝟏 𝐁𝐮𝐬𝐢𝐧𝐞𝐬𝐬 𝐓𝐡𝐞𝐦𝐞𝐬 𝐏𝐚𝐠𝐞 
|| 𝐓𝐫𝐚𝐢𝐧𝐞𝐝 𝟒𝟎𝟎+ 𝐒𝐭𝐮𝐝𝐞𝐧𝐭𝐬 
|| 𝐌𝐬𝐠 𝐌𝐞 𝐖𝐡𝐚𝐭𝐬𝐀𝐩𝐩 👇</t>
  </si>
  <si>
    <t>https://alvo.chat/6jVp</t>
  </si>
  <si>
    <t>business_growth_mantra</t>
  </si>
  <si>
    <t>BUSINESS | MONEY | MOTIVATION</t>
  </si>
  <si>
    <t>🏆| Helping You Achieve 10X Growth
😍| Learn | Earn | Grow
🔔| DM For Paid Promotion...</t>
  </si>
  <si>
    <t>businessgrowthmentor</t>
  </si>
  <si>
    <t>Business Growth Mentor ™</t>
  </si>
  <si>
    <t>⭐ Join Us for a Daily Dose of Inspiration and Power
🎯 Let's Empower Each Other to Achieve Great Things</t>
  </si>
  <si>
    <t>businessgrowthsquare</t>
  </si>
  <si>
    <t>JULIET ORJI | BUSINESS GROWTH AND MARKETING EXPERT 🇬🇧</t>
  </si>
  <si>
    <t>📌 I help you grow your business
💯 Trained over 31k business owners.
🏅 MSc Marketing 🎓🇬🇧
👇 HOW I CAN HELP YOU👇</t>
  </si>
  <si>
    <t>https://businessgrowthsquare.com/p/f668b8/</t>
  </si>
  <si>
    <t>business__message</t>
  </si>
  <si>
    <t>BUSINESS GROWTH 📈</t>
  </si>
  <si>
    <t>&gt; Business stories
&gt; Success message
&gt; Short talks
&gt; Start-up joke</t>
  </si>
  <si>
    <t>daily_business4u</t>
  </si>
  <si>
    <t>Business Growth</t>
  </si>
  <si>
    <t>📈 | AP AND TELENGANA NO 1 BUSINESS THEME PAGE  |
💌 | DM FOR PAID PROMOTION 💰🤑 |
🎯 | TARGET 30K FOLLOWERS |</t>
  </si>
  <si>
    <t>https://www.youtube.com/@daily_business4u</t>
  </si>
  <si>
    <t>mentorship.ai</t>
  </si>
  <si>
    <t>Business | Growth | Motivation</t>
  </si>
  <si>
    <t>🏆 | Daily Source of your Quality Content</t>
  </si>
  <si>
    <t>andreabusinesshacks</t>
  </si>
  <si>
    <t>Andrea De La Flor | Make Money Online</t>
  </si>
  <si>
    <t>👩🏽‍💻From 9-5 to 7 figures online
💸 I help corporate workers leave their job
💸 and reach 10k+ months with IG
🚀 Easiest way to get started👇🏼</t>
  </si>
  <si>
    <t>https://affiliatesmind.com/social</t>
  </si>
  <si>
    <t>business_hacks4u</t>
  </si>
  <si>
    <t>𝐁𝐮𝐬𝐢𝐧𝐞𝐬𝐬 𝐂𝐨𝐚𝐜𝐡|| 𝐀𝐟𝐟𝐢𝐥𝐢𝐚𝐭𝐞 𝐌𝐚𝐫𝐤𝐞𝐭𝐢𝐧𝐠</t>
  </si>
  <si>
    <t>Educational Consultant</t>
  </si>
  <si>
    <t>🔥||𝐆𝐚𝐢𝐧𝐞𝐝 𝟏𝟎𝟎𝐤 𝐅𝐨𝐥𝐥𝐨𝐰𝐞𝐫𝐬 𝐢𝐧 𝐣𝐮𝐬𝐭 𝟏𝐃𝐚𝐲🎯
💡||👇"నీ Business జర్నీ కి Shortcut ఇదే"👇</t>
  </si>
  <si>
    <t>https://superprofile.bio/vp/100-business-ideas-atoz-blueprint-telugu</t>
  </si>
  <si>
    <t>businessman.hacks</t>
  </si>
  <si>
    <t>STOCK MARKET | BUSINESS | FINANCE</t>
  </si>
  <si>
    <t>📚Best Stock Market, Finance Knowledge
🧠 Boost Your Money Mindset s
🏫 कुछ ऐसा सीखें जो स्कूल और कॉलेज नहीं सिखाते
🔥 Discipline Builds Your Future</t>
  </si>
  <si>
    <t>she.talks.business</t>
  </si>
  <si>
    <t>Lynn Noppen ✦ Canva hacks + Digital products</t>
  </si>
  <si>
    <t>▪️I help you master + monetize Canva 💸
▪️1.500+ students &amp; members | Canva Creator
▪️Owner of @soughtafterstock
▪️Free Canva templates ⤵</t>
  </si>
  <si>
    <t>https://shetalksbusiness.co/free</t>
  </si>
  <si>
    <t>barelcairo</t>
  </si>
  <si>
    <t>El Cairo</t>
  </si>
  <si>
    <t>Las más ricas historias☕️
Reservas solo por Whatsapp 3413201236 
🇦🇷</t>
  </si>
  <si>
    <t>https://linktr.ee/elcairobar</t>
  </si>
  <si>
    <t>Cairo | Travel | Hotels | Food | Guides</t>
  </si>
  <si>
    <t>🇪🇬 Discover Cairo
✈️ Network @explorepage
🏜️ Pyramids of Giza, Egyptian Museum, Khan El Khalili, Al-Azhar Mosque</t>
  </si>
  <si>
    <t>cairo.jewellery</t>
  </si>
  <si>
    <t>CĀIRO</t>
  </si>
  <si>
    <t>The Vanguard of Muslim Jewellery.
‎🇵🇸 1x Meal Donated For Every Order
📦 Free Shipping Worldwide
🤍 Buy 1 + Get 1 Free Now!</t>
  </si>
  <si>
    <t>http://cairojewellery.com</t>
  </si>
  <si>
    <t>cairokee</t>
  </si>
  <si>
    <t>Cairokee</t>
  </si>
  <si>
    <t>Cairokee's official Instagram account. Any other account does not represent the band.</t>
  </si>
  <si>
    <t>https://linktr.ee/cairokee</t>
  </si>
  <si>
    <t>cairo__lc</t>
  </si>
  <si>
    <t>Cairo Berg</t>
  </si>
  <si>
    <t>🧠💡Empresário 
Co- founder @lojaphonelc 🇧🇷</t>
  </si>
  <si>
    <t>cineelcairo</t>
  </si>
  <si>
    <t>El Cairo Cine Público 🎞</t>
  </si>
  <si>
    <t>Organismo perteneciente al Ministerio de Cultura de la provincia de Santa Fe @gobsantafe
Por consultas sobre entradas comunicarse al 3414721851</t>
  </si>
  <si>
    <t>https://elcairocinepublico.gob.ar/</t>
  </si>
  <si>
    <t>shiba.cairo</t>
  </si>
  <si>
    <t>Sultan and Cairo</t>
  </si>
  <si>
    <t>Cairo: 🐶🦊 Shiba Inu (May 27, 2017)
Sultan: 😼👑 British Shorthair (June 20, 2020)
📍 San Diego, CA</t>
  </si>
  <si>
    <t>https://youtube.com/c/SultanandCairo</t>
  </si>
  <si>
    <t>thisiscairo</t>
  </si>
  <si>
    <t>Cairo, Egypt 🇪🇬 القاهرة Travel | Hotels | Tips</t>
  </si>
  <si>
    <t>🌍 Discover Cairo like never before!
🇪🇬 Your ultimate guide to Egypt’s vibrant capital
👇 Price drop on Cairo direct flights</t>
  </si>
  <si>
    <t>https://skyscanner.pxf.io/CairotoAthens</t>
  </si>
  <si>
    <t>aljneibi1455</t>
  </si>
  <si>
    <t>Ahmed Calisthenics 🇦🇪🤸🏽‍♂️</t>
  </si>
  <si>
    <t>🔷Be Humble 🙏🏼
🔷Calisthenics 🤸🏽‍♂️
🔷 185 cm 📏</t>
  </si>
  <si>
    <t>http://links.swavy.app/DarDoc%255FAhmed</t>
  </si>
  <si>
    <t>andry_strong</t>
  </si>
  <si>
    <t>Andry Strong | Calisthenics Coach</t>
  </si>
  <si>
    <t>Help You unlock calisthenics skills faster
📩DM “Coach” for 1:1 coaching
💪🏻Strong but stuck?
FREE program to Unlock Progress👇🏻</t>
  </si>
  <si>
    <t>https://www.andrystrong.world/</t>
  </si>
  <si>
    <t>calisthenics_4evr</t>
  </si>
  <si>
    <t>ᴄᴀʟɪꜱᴛʜᴇɴɪᴄꜱ 4ᴇᴠʀ™</t>
  </si>
  <si>
    <t>Calisthenics | Self improvement | Fitness
Help Men Achieve Their Dream Physique
Grab Your Calisthenics Program ⬇️</t>
  </si>
  <si>
    <t>https://www.captainkalo.com/products/ultimate-calisthenics-program</t>
  </si>
  <si>
    <t>calisthenics.academy</t>
  </si>
  <si>
    <t>Calisthenics Academy</t>
  </si>
  <si>
    <t>🌐🇬🇷International Calisthenics Academy 
🔸 𝗦𝗲𝗺𝗶𝗻𝗮𝗿𝘀 🔸 𝗕𝗼𝗼𝘁 𝗖𝗮𝗺𝗽𝘀
🔸 𝗦𝗲𝘀𝘀𝗶𝗼𝗻𝘀 🔸𝗦𝗵𝗼𝘄
📩For Business: calisthenicsacad@gmail.com</t>
  </si>
  <si>
    <t>https://www.tiktok.com/@calisthenics_academy?_t=8gm8EHjf20n&amp;_r=1</t>
  </si>
  <si>
    <t>calisthenics.bypaulina</t>
  </si>
  <si>
    <t>Paulina Roquett</t>
  </si>
  <si>
    <t>🤸🏽‍♂️sharing my calisthenics journey
🦈@gornation &amp; @gymshark athlete | PAULINA10
🎧calisthenics.bypaulina@gmail.com
⇩ BEGINNERS APP &amp; GUIDE NOW OUT⇩</t>
  </si>
  <si>
    <t>https://calisthenicsbypaulina.com/links/</t>
  </si>
  <si>
    <t>calisthenics_state</t>
  </si>
  <si>
    <t>CALISTHENICS &amp; STREET WORKOUT</t>
  </si>
  <si>
    <t>Transform your body in 2024! ⚡️                                          𝗙𝗥𝗘𝗘 Beginner Calisthenics E-book 🔽</t>
  </si>
  <si>
    <t>https://shorturl.at/DHQ02</t>
  </si>
  <si>
    <t>calisthenicsty</t>
  </si>
  <si>
    <t>Calisthenics Ty</t>
  </si>
  <si>
    <t>Mind, Body, And Core! Positive, Inspirational, Personal Trainer 🏋🏽‍♂️🦍 | !!Subscribe To My YouTube Channel ⤵️⤵️ 🚂💨🧨🔥🦍 #RipRight</t>
  </si>
  <si>
    <t>https://youtube.com/channel/UCaxyaK8gYuvvqNsAB_0vulQ</t>
  </si>
  <si>
    <t>calisthncs</t>
  </si>
  <si>
    <t>Calisthenics Division</t>
  </si>
  <si>
    <t>💪 Helping you progress at calisthenics!
🌍 Join The Newsletter For Free Tips.
👇 Best Calisthenics Program.</t>
  </si>
  <si>
    <t>https://gramworkouts.com/products/ultimate-calisthenics-program</t>
  </si>
  <si>
    <t>ctcalisthenics</t>
  </si>
  <si>
    <t>CT Calisthenics</t>
  </si>
  <si>
    <t>ASSISTA OS STORIES 👀🔥
Centro de Treinamento Calisthenics
+ de 15.000 alunos 👥🌎
Quer aprender Calistenia do ZERO? 💪🏻
Me mande um direct!! 🤝</t>
  </si>
  <si>
    <t>https://linktr.ee/ctcalisthenics</t>
  </si>
  <si>
    <t>drillsthenics</t>
  </si>
  <si>
    <t>Drillsthenics | Learn Calisthenics</t>
  </si>
  <si>
    <t>🗽 The Culture of Calisthenics 
🤸‍♂️ Master Your Bodyweight
Building the ultimate calisthenics tool.</t>
  </si>
  <si>
    <t>https://linktr.ee/drillsthenics</t>
  </si>
  <si>
    <t>hybrid.calisthenics</t>
  </si>
  <si>
    <t>Hampton</t>
  </si>
  <si>
    <t>🌱 Fitness | Motivation | Comedy
🎨 Webtoon: @travelingmerchantchronicles
👇 NEW - Fitness App, Webtoon, &amp; More</t>
  </si>
  <si>
    <t>https://www.hybridcalisthenics.com/app</t>
  </si>
  <si>
    <t>learn_calisthenics</t>
  </si>
  <si>
    <t>Learn Calisthenics</t>
  </si>
  <si>
    <t>𝗭𝗘𝗥𝗢 𝗚𝘂𝗲𝘀𝘀𝘄𝗼𝗿𝗸⚡️
Tailored workouts with the Smart Coach that adapts to YOU every step of the way 🔽🔽</t>
  </si>
  <si>
    <t>https://apps.apple.com/pl/app/learncalisthenics/id6738701530</t>
  </si>
  <si>
    <t>littletfitness</t>
  </si>
  <si>
    <t>TAYLOR | CALISTHENICS &amp; MOBILITY</t>
  </si>
  <si>
    <t>2 x IFBB Pro Champ | ⭕️ 🥈🥉 
@transparentlabs | “LITTLETFITNESS”
@younglaforher @youngla | “LITTLET” 
📱| My Training App</t>
  </si>
  <si>
    <t>https://hoo.be/littletfitness</t>
  </si>
  <si>
    <t>start_calisthenics</t>
  </si>
  <si>
    <t>Start Calisthenics</t>
  </si>
  <si>
    <t>annerobincallig</t>
  </si>
  <si>
    <t>Anne Robin Calligraphy + Design</t>
  </si>
  <si>
    <t>Fine wedding and event invitations, stationery and calligraphy
Please email with inquiries rather than DM!
Personal account: @theoandcharlie</t>
  </si>
  <si>
    <t>http://linktr.ee/annerobincallig</t>
  </si>
  <si>
    <t>bahr.calligraphy</t>
  </si>
  <si>
    <t>أحمد البحراوي</t>
  </si>
  <si>
    <t>Egyptian Calligraphy Artist
🌟
لا أقتبس إلا ما يروق لي 
🌟
Maritime Logistics Manager
🌟
📩 DM للكتابات الخاصة</t>
  </si>
  <si>
    <t>https://www.facebook.com/bahr.calligraphy/</t>
  </si>
  <si>
    <t>calligkatrina</t>
  </si>
  <si>
    <t>Calligraphy Katrina</t>
  </si>
  <si>
    <t>Live Corporate/Brand Events &amp; Activations • Hollywood’s Celebrity Calligrapher &amp; Engraver • LVMH, Dior, Chanel, Hermes, Gucci +• Queen of Mirrors</t>
  </si>
  <si>
    <t>http://www.calligraphykatrina.com/</t>
  </si>
  <si>
    <t>calligraphilic</t>
  </si>
  <si>
    <t>Paola Gallegos ✶ Calligraphy &amp; Lettering</t>
  </si>
  <si>
    <t>✍🏼 Comunico con letras✨
📚 Autora del libro «Aprende con Calligraphilic»
📍🇵🇪
@paolagallegosm</t>
  </si>
  <si>
    <t>https://calligraphilic.com/</t>
  </si>
  <si>
    <t>calligraphy.by.maya</t>
  </si>
  <si>
    <t>𝕄𝕒𝕪𝕒 𝕋𝕖𝕝𝕙𝕒𝕞𝕚</t>
  </si>
  <si>
    <t>Self-taught Calligrapher.
Tattoo artist.
Huge fan of space, both outer and personal.</t>
  </si>
  <si>
    <t>https://linktr.ee/callimaya</t>
  </si>
  <si>
    <t>calligraphymasters</t>
  </si>
  <si>
    <t>Calligraphy Masters</t>
  </si>
  <si>
    <t>✨️Join our global calligraphy &amp; lettering community! #KeepWriting as we inspire each other. Explore letters &amp; connect with artists worldwide.✍️
⬇️❤️</t>
  </si>
  <si>
    <t>https://linktr.ee/calligraphymasters</t>
  </si>
  <si>
    <t>calligraphyti_</t>
  </si>
  <si>
    <t>Calligraphyti</t>
  </si>
  <si>
    <t>Resident @insight.people
TikTok: calligraphyti 2.4m+
Second : @i_write_every_day</t>
  </si>
  <si>
    <t>https://youtube.com/@Calligraphyti</t>
  </si>
  <si>
    <t>calligraphyvideoa</t>
  </si>
  <si>
    <t>Calligraphy</t>
  </si>
  <si>
    <t>Where ink flows and creativity shines. Words like you’ve never seen before.
Letters come alive, words transform into art.Every curve tells a story.</t>
  </si>
  <si>
    <t>craftirisy</t>
  </si>
  <si>
    <t>𝐂𝐑𝐀𝐅𝐓𝐈𝐑𝐈𝐒𝐘 | 𝐂𝐚𝐥𝐥𝐢𝐠𝐫𝐚𝐩𝐡𝐲 &amp; 𝐈𝐥𝐥𝐮𝐦𝐢𝐧𝐚𝐭𝐢𝐨𝐧 𝐀𝐫𝐭𝐢𝐬𝐭</t>
  </si>
  <si>
    <t>Writing Service</t>
  </si>
  <si>
    <t>𝐂𝐚𝐥𝐥𝐢𝐠𝐫𝐚𝐩𝐡𝐞𝐫 &amp; 𝐆𝐢𝐥𝐝𝐞𝐫🇬🇧🇫🇷🇺🇸🇭🇰
Est.2015
@iampethofficial Penman’s Legacy Scholar’25
𝙇𝙚𝙩𝙩𝙚𝙧𝙞𝙣𝙜| 𝘾𝙧𝙖𝙛𝙩| 𝙀𝙣𝙜𝙧𝙖𝙫𝙞𝙣𝙜| 𝙋𝙖𝙞𝙣𝙩𝙞𝙣𝙜
⬇️𝘉𝘰𝘰𝘬 𝘕𝘰𝘸</t>
  </si>
  <si>
    <t>https://linktr.ee/craftirisy</t>
  </si>
  <si>
    <t>nhuandaocalligraphy</t>
  </si>
  <si>
    <t>Nhuan Dao✨Calligraphy &amp; Lettering❤️</t>
  </si>
  <si>
    <t>❤️️ Helping you find joy, relax, &amp; create beauty with calligraphy
❤️️ Over 3.000+ students
👇 Free Guide, Best Tools, Workbooks, Exclusive Club</t>
  </si>
  <si>
    <t>http://nhuandaocalligraphy.gumroad.com</t>
  </si>
  <si>
    <t>tjcalligraphy</t>
  </si>
  <si>
    <t>Taylor Jones // Tulsa Calligrapher &amp; Engraver</t>
  </si>
  <si>
    <t>✨ calligraphy + luxury engraving 
▪️ for weddings, live events &amp; everything in between
💌 taylor@tjcalligraphy.com
📍Tulsa, OK</t>
  </si>
  <si>
    <t>http://linktr.ee/tjcalligraphy</t>
  </si>
  <si>
    <t>blackops7intel</t>
  </si>
  <si>
    <t>Call of Duty: Black Ops 6 Intel</t>
  </si>
  <si>
    <t>THE #1 CALL OF DUTY ACCOUNT ON INSTAGRAM! 
#BlackOps7 Content, news, leaks and info.
Not affiliated with the @callofduty account</t>
  </si>
  <si>
    <t>callofduty</t>
  </si>
  <si>
    <t>Call of Duty</t>
  </si>
  <si>
    <t>Play Call of Duty Warzone and Black Ops 6 now 🔥 ESRB Rating: MATURE</t>
  </si>
  <si>
    <t>https://a.atvi.com/PreOrder-BlackOps7</t>
  </si>
  <si>
    <t>callofduty.ar</t>
  </si>
  <si>
    <t>CALL OF DUTY | بالعربي</t>
  </si>
  <si>
    <t>كل الي تبيه عن (سلسلة كود)
.
• آخر الأخبار والتىىىريبات التي تخص لعبة كود 🎮
.
• مناقشات ❗️
.
• حلول للمشاكل  🟢
.
• فعل التنبيهات ليصلك كل جديد 🔔</t>
  </si>
  <si>
    <t>callofdutyara</t>
  </si>
  <si>
    <t>Call of Duty Middle East</t>
  </si>
  <si>
    <t>اعتنق الجنون 🦋
 #BlackOps7</t>
  </si>
  <si>
    <t>http://clicklinkin.bio/callofdutyara</t>
  </si>
  <si>
    <t>callofdutybrasil</t>
  </si>
  <si>
    <t>Call of Duty Brasil</t>
  </si>
  <si>
    <t>Jogue Call of Duty #Warzone e #BlackOps6 Agora 🔥 Classificação ESRB: MATURE</t>
  </si>
  <si>
    <t>http://a.atvi.com/PreOrder-BlackOps7</t>
  </si>
  <si>
    <t>callofdutyde</t>
  </si>
  <si>
    <t>Call of Duty Deutschland</t>
  </si>
  <si>
    <t>Stürz dich ins Chaos 🦋 #BlackOps7</t>
  </si>
  <si>
    <t>http://clicklinkin.bio/callofdutyde</t>
  </si>
  <si>
    <t>callofdutyes</t>
  </si>
  <si>
    <t>Call of Duty España</t>
  </si>
  <si>
    <t>Abraza la locura 🦋 #BlackOps7</t>
  </si>
  <si>
    <t>http://clicklinkin.bio/callofdutyes</t>
  </si>
  <si>
    <t>callofdutyfr</t>
  </si>
  <si>
    <t>Call of Duty France</t>
  </si>
  <si>
    <t>Plongez au cœur de la folie 🦋 #BlackOps7</t>
  </si>
  <si>
    <t>http://clicklinkin.bio/callofdutyfr</t>
  </si>
  <si>
    <t>callofdutyit</t>
  </si>
  <si>
    <t>Call of Duty Italia</t>
  </si>
  <si>
    <t>Abbraccia la follia 🦋 #BlackOps7</t>
  </si>
  <si>
    <t>http://clicklinkin.bio/callofdutyit</t>
  </si>
  <si>
    <t>callofdutylatam</t>
  </si>
  <si>
    <t>Call of Duty LATAM</t>
  </si>
  <si>
    <t>Juega Call of Duty #Warzone y #BlackOps6 ahora 🔥 Clasificación ESRB: MATURE</t>
  </si>
  <si>
    <t>callofdutymobile</t>
  </si>
  <si>
    <t>Call of Duty: Mobile</t>
  </si>
  <si>
    <t>Season 8: Twilight Heist is live now! 🚨</t>
  </si>
  <si>
    <t>https://linktr.ee/playcodmobile</t>
  </si>
  <si>
    <t>callofdutymobilelatam</t>
  </si>
  <si>
    <t>Call of Duty: Mobile LATAM</t>
  </si>
  <si>
    <t>💥Click aquí para iniciar el reto 10/14💥</t>
  </si>
  <si>
    <t>https://codmatvi.onelink.me/jYL7/3pat4xts</t>
  </si>
  <si>
    <t>callofduty.om</t>
  </si>
  <si>
    <t>كود بالعربي 🎮 | COD</t>
  </si>
  <si>
    <t>اخبار جميع العاب كول اوف ديوتي بالعربية 📑
Black Ops 7 | Black Ops 6 | Warzone
للدعاية والاعلان : arabcod.ad@gmail.com 📧</t>
  </si>
  <si>
    <t>https://linktr.ee/cod.om</t>
  </si>
  <si>
    <t>cod_esports</t>
  </si>
  <si>
    <t>Call of Duty Esports</t>
  </si>
  <si>
    <t>Esports League</t>
  </si>
  <si>
    <t>The official home of Call of Duty Esports on Instagram covering World Series of Warzone and Challengers</t>
  </si>
  <si>
    <t>http://worldseriesofwarzone.com</t>
  </si>
  <si>
    <t>codleague</t>
  </si>
  <si>
    <t>Call of Duty League</t>
  </si>
  <si>
    <t>The official home of the Call of Duty League on Instagram | #CDL2025</t>
  </si>
  <si>
    <t>http://youtube.com/codleague</t>
  </si>
  <si>
    <t>codm.vng.games</t>
  </si>
  <si>
    <t>Call of Duty: Mobile VN</t>
  </si>
  <si>
    <t>Tựa game bắn súng nhập vai kinh điển được yêu thích trên toàn thế giới đã được phát hành tại Việt Nam bởi VNG.</t>
  </si>
  <si>
    <t>playcodmesports</t>
  </si>
  <si>
    <t>Call of Duty: Mobile Esports</t>
  </si>
  <si>
    <t>Official account of the @Callofdutymobile Esports and 2025 Call of Duty®: Mobile World Championship.</t>
  </si>
  <si>
    <t>http://fce.gg/codm-discord</t>
  </si>
  <si>
    <t>aranglamping</t>
  </si>
  <si>
    <t>Aran Islands Camping&amp;Glamping</t>
  </si>
  <si>
    <t>Beachside Camping &amp; Glamping on Inis Mór, The Aran Islands ⛱️
Enjoy an authentic Irish experience with a modern twist ☘️
#Galway #DiscoverIreland ❤️</t>
  </si>
  <si>
    <t>http://www.irelandglamping.ie/</t>
  </si>
  <si>
    <t>CAMPING.com™</t>
  </si>
  <si>
    <t>🌍 | Explore the world with us 
🌴 | Daily travel posts
👇 | Your product here</t>
  </si>
  <si>
    <t>https://www.camping.com</t>
  </si>
  <si>
    <t>campingazespana</t>
  </si>
  <si>
    <t>Campingaz España</t>
  </si>
  <si>
    <t>Cuenta oficial de Campingaz en España.
Celebrando 75 años 🎉 acompañándote en tus mejores momentos de cocina al aire libre.</t>
  </si>
  <si>
    <t>https://www.campingaz.es/</t>
  </si>
  <si>
    <t>campingfailss</t>
  </si>
  <si>
    <t>Camping Fails</t>
  </si>
  <si>
    <t>We only post camping fails , that's it!
Want to grow? 📩@brown_derrek</t>
  </si>
  <si>
    <t>campingkayla</t>
  </si>
  <si>
    <t>@outdoekay
I make YouTube videos ⬇️</t>
  </si>
  <si>
    <t>https://youtu.be/XheNzTn5yV8?si=cbMD7rfza4j2lIc5</t>
  </si>
  <si>
    <t>campingmuineira</t>
  </si>
  <si>
    <t>Camping&amp;Glamping Muiñeira ©️</t>
  </si>
  <si>
    <t>Campground</t>
  </si>
  <si>
    <t>BEST #GLAMPING 🥇
#UnParaisoPorDescubrir                                                     Comparte tus fotos en #CampingMuineira</t>
  </si>
  <si>
    <t>http://www.campingmuineira.es</t>
  </si>
  <si>
    <t>camping_turiscampo</t>
  </si>
  <si>
    <t>Turiscampo - Yelloh! Village</t>
  </si>
  <si>
    <t>Férias inesquecíveis todo o ano! 🏕
📞+351 282 789 265 (chamada para a rede fixa nacional)
📧 info@turiscampo.com</t>
  </si>
  <si>
    <t>https://www.turiscampo.com/</t>
  </si>
  <si>
    <t>campingwithdogs</t>
  </si>
  <si>
    <t>Camping With Dogs®</t>
  </si>
  <si>
    <t>Inspiring the world to go Camping With Dogs® and Hiking With Dogs® 🐕 🏕</t>
  </si>
  <si>
    <t>https://linkin.bio/campingwithdogs</t>
  </si>
  <si>
    <t>campingworld</t>
  </si>
  <si>
    <t>Camping World</t>
  </si>
  <si>
    <t>Recreational Vehicle Dealership</t>
  </si>
  <si>
    <t>America's Recreation Dealer
Making RVing Fun &amp; Easy Since 1966.</t>
  </si>
  <si>
    <t>http://go.campingworld.com/bio/</t>
  </si>
  <si>
    <t>campingworldstadium</t>
  </si>
  <si>
    <t>Camping World Stadium</t>
  </si>
  <si>
    <t>Home to the Pop-Tarts Bowl, Citrus Bowl and NFL Pro Bowl Games 🏟️</t>
  </si>
  <si>
    <t>https://linktr.ee/campingworldstadium</t>
  </si>
  <si>
    <t>haileyoutside</t>
  </si>
  <si>
    <t>Hailey Terry | Utah Hiking, Camping, and Travel Mom</t>
  </si>
  <si>
    <t>🏔 Motherhood in the Mountains
🏕 Tips for Hiking, Camping, and Traveling with Kids
💌 hello@haileyoutside.com</t>
  </si>
  <si>
    <t>http://www.haileyoutside.com/my-links</t>
  </si>
  <si>
    <t>letscamptogether</t>
  </si>
  <si>
    <t>Camping⛺️•Outdoor🌳•Travel🌍</t>
  </si>
  <si>
    <t>🌲The official @hotel camping account
👇 Book our unbeatable hotel deals</t>
  </si>
  <si>
    <t>http://athotel.com/l/Hotel-deals</t>
  </si>
  <si>
    <t>ryu_camping_</t>
  </si>
  <si>
    <t>Ryu / Jimny Camper</t>
  </si>
  <si>
    <t>🎥 映像で “自然とジムニーの時間” を
🏕️ キャンプ / ワーケーション / カメラと旅
🙋‍♂️ Kochi / 27 / Videographer
📩 Work▶︎ DM or Mail
🎬 PR事例 ▶︎ 固定ハイライト</t>
  </si>
  <si>
    <t>https://www.youtube.com/@ryu_travell</t>
  </si>
  <si>
    <t>vanlifezone</t>
  </si>
  <si>
    <t>Vanlifezone | vanlife stories &amp; camping resources</t>
  </si>
  <si>
    <t>Vanlife adventures &amp; overland stories – the ultimate camping resource
use #vanlifezone &amp; tag us
inspiration &amp; informative resources on vanlifezone.com</t>
  </si>
  <si>
    <t>https://www.vanlifezone.com/links</t>
  </si>
  <si>
    <t>capsule_wardrobe_diary</t>
  </si>
  <si>
    <t>Capsule wardrobe 👕🧥👚📌 Sweden</t>
  </si>
  <si>
    <t>I want to use my clothes smarter and more sustainably by creating a CAPSULE WARDROBE.💫 Proud #outfitrepeater ♻️🌍💚No more hunting for new trendy items.</t>
  </si>
  <si>
    <t>capsulewardrobemen</t>
  </si>
  <si>
    <t>Capsule Wardrobe For Men | New Outfits For Men</t>
  </si>
  <si>
    <t>Outfits to help men dress well
Dress better than your friends 👇</t>
  </si>
  <si>
    <t>https://lifestylebyps.com/products/free-ebook-build-your-capsule-wardrobe</t>
  </si>
  <si>
    <t>capsulewardrobeplanning</t>
  </si>
  <si>
    <t>Capsule Wardrobe Guide</t>
  </si>
  <si>
    <t>ownmuse.com 
+ Mindful Shopping
+ Sustainable Clothing  
+ Eco Fashion + Consume less buy better
+ Conscious Closet
Capsule Wardrobe eBooks &amp; Guides</t>
  </si>
  <si>
    <t>https://www.patreon.com/CapsuleWardrobeCollective</t>
  </si>
  <si>
    <t>capsulewd_</t>
  </si>
  <si>
    <t>Capsule Wardrobe</t>
  </si>
  <si>
    <t>[ Capsule - Wardrobe ]
Every wear. Everywhere.
Shop now</t>
  </si>
  <si>
    <t>https://capsulewd.com</t>
  </si>
  <si>
    <t>larytales</t>
  </si>
  <si>
    <t>Lary | Capsule Wardrobe &amp; Wohlfühlen</t>
  </si>
  <si>
    <t>🤝🏼 Hier um dich zu hypen
☕️ Das hier ist dein Safespace
💭 Für alle Overthinker-Mäuse
👋🏼 Realistische Outfits zum nachstylen</t>
  </si>
  <si>
    <t>https://larytales.com/shop/</t>
  </si>
  <si>
    <t>stylewithmechristamarie</t>
  </si>
  <si>
    <t>Christa | Petite Fashion | Capsule Wardrobes</t>
  </si>
  <si>
    <t>Jesus first 👆🏼Mom | Wife
Walmart | Target | Amazon
Capsule Wardrobes | Petite 5”1
Affordable finds 
stylewithmechristamarie@gmail.com
SHOP MY LOOKS👇🏽</t>
  </si>
  <si>
    <t>https://www.shopltk.com/explore/stylewithmechristamarie</t>
  </si>
  <si>
    <t>useless_dk</t>
  </si>
  <si>
    <t>Signe | capsule wardrobe</t>
  </si>
  <si>
    <t>Your capsule wardrobe guide 🫡 Mum of 2 navigating corporate life 👩‍💼 Helping you relove your wardrobe ♻️ Outfit repeater + #secondhandfirst ✨ Denmark📍</t>
  </si>
  <si>
    <t>https://substack.com/@uselessdk</t>
  </si>
  <si>
    <t>withalexstyle</t>
  </si>
  <si>
    <t>Alexandra | basic and capsule wardrobe tips | UGC creator</t>
  </si>
  <si>
    <t>MY WARDROBE GUIDE 28 Pieces 80 Outfits is out now 👇🏼 
Babblar om stil 🎙️ @garderobssnack 
Gothenburg, Sweden
Contact withalexstyle@gmail.com</t>
  </si>
  <si>
    <t>https://stan.store/withalexstyle</t>
  </si>
  <si>
    <t>advicewitherin</t>
  </si>
  <si>
    <t>AdviceWithErin | Career &amp; Life Advice</t>
  </si>
  <si>
    <t>👩🏼‍💻 career + life advice 
👇 Pre-Order my BOOK
📖 The Secret Language of Work
〰️ forbes 30u30 2025 ⚡️ nyc + dc
💬 DM me “QUIZ”</t>
  </si>
  <si>
    <t>https://advicewitherin.komi.io</t>
  </si>
  <si>
    <t>career_bishnu</t>
  </si>
  <si>
    <t>Bishnu Parida - Resume Writer | Career Advice</t>
  </si>
  <si>
    <t>🧾 Certified LinkedIn Coach | Speaker
💼 Senior HR Recruiter | ATS Resume Expert
🎯 Career, Interview &amp; Salary Tips
📌 BOOK 1:1 Call👇</t>
  </si>
  <si>
    <t>https://topmate.io/bishnu_parida/</t>
  </si>
  <si>
    <t>careercontessa</t>
  </si>
  <si>
    <t>Career Contessa | Job Search + Career Advice</t>
  </si>
  <si>
    <t>⚡️Helping you get hired + get paid + advance at work
🖥️ 4M+ visitors  🎧Career Contessa Podcast
📲DM “FLASHCARDS” for 30+ sample interview answers</t>
  </si>
  <si>
    <t>https://linkin.bio/careercontessa</t>
  </si>
  <si>
    <t>cda_ipb</t>
  </si>
  <si>
    <t>Career Development and Assessment IPB University</t>
  </si>
  <si>
    <t>Sub Direktorat Pengembangan Karier dan Kewirausahaan DPKKHA IPB
Pusat Info Magang, Lowongan Kerja, dan Training Persiapan Karier
💬 CS CDA 081235547966</t>
  </si>
  <si>
    <t>https://ipb.link/integrated-link-cda</t>
  </si>
  <si>
    <t>bodegacatsofinstagram</t>
  </si>
  <si>
    <t>Bodega Cats</t>
  </si>
  <si>
    <t>https://linktr.ee/bodegacats</t>
  </si>
  <si>
    <t>catfans</t>
  </si>
  <si>
    <t>👉 Follow for more funny and cute cats videos 😻
👉 DM for business inquiries 🙆</t>
  </si>
  <si>
    <t>catofworlds</t>
  </si>
  <si>
    <t>Pet Store</t>
  </si>
  <si>
    <t>❥Cat Lovers Club
❥Cutest cats and kittens of Insta
We ❤️ Cats 🐱 Best Daily Pics !
👑The best Cat Site - videos, stories, pictures</t>
  </si>
  <si>
    <t>https://zshorten.com/b2Krk</t>
  </si>
  <si>
    <t>catsofinstagram</t>
  </si>
  <si>
    <t>Cats Of Instagram</t>
  </si>
  <si>
    <t>Ambassacats: @bing_clawsby &amp; @paw_mccartney 
Tag #COICommunity &amp; #COIBowTie
For business inquiries hit the “email” button to get us directly.</t>
  </si>
  <si>
    <t>https://linktr.ee/Catsofinstagram</t>
  </si>
  <si>
    <t>cats_of_world_</t>
  </si>
  <si>
    <t>Advertising: 
📩instadvertising5@gmail.com 
👇Dogs lovers🐶🫶🏻👇</t>
  </si>
  <si>
    <t>http://instagram.com/dogs_of_world_</t>
  </si>
  <si>
    <t>catsofyear</t>
  </si>
  <si>
    <t>Sweet Cats Of Instagram</t>
  </si>
  <si>
    <t>Order Jumbo Cat Nest from our 9Lives store today ⭐️👇</t>
  </si>
  <si>
    <t>https://9lives-store.com/products/jumbo-cat-nest</t>
  </si>
  <si>
    <t>dailycatclub</t>
  </si>
  <si>
    <t>Cute Cats Of Instagram</t>
  </si>
  <si>
    <t>Our Cat Store. 🛒😌</t>
  </si>
  <si>
    <t>https://9livesstore.com/collections/all</t>
  </si>
  <si>
    <t>Chocolate</t>
  </si>
  <si>
    <t>Follow before its too late 🍫</t>
  </si>
  <si>
    <t>discotecachocolate</t>
  </si>
  <si>
    <t>CHOCOLATE</t>
  </si>
  <si>
    <t>Bienvenidos al perfil oficial de la catedral de la música,
bienvenidos a Chocolate. Fabricamos fiesta desde 1980.</t>
  </si>
  <si>
    <t>http://linkr.bio/discotecachocolate</t>
  </si>
  <si>
    <t>nwchocolate</t>
  </si>
  <si>
    <t>Northwest Chocolate Festival</t>
  </si>
  <si>
    <t>Welcome to the #1 event for artisan Chocolate in the USA ✨🍫⁣ ✨🍫 ✨🍫
Chocolate Lovers Unite!
October 4-5, 2025</t>
  </si>
  <si>
    <t>https://www.nwchocolate.com/schedule/</t>
  </si>
  <si>
    <t>bestofclassicalpiano</t>
  </si>
  <si>
    <t>Best of Classical</t>
  </si>
  <si>
    <t>Unlocking the World of Classics: Exploring Musical Frontiers</t>
  </si>
  <si>
    <t>http://ludwig.plus</t>
  </si>
  <si>
    <t>classicalaf</t>
  </si>
  <si>
    <t>Classical As Fuck By 9GAG</t>
  </si>
  <si>
    <t>Classical As Fuck By 9GAG. We love memes. We love classical arts.
“Shit’s on fire, yo”</t>
  </si>
  <si>
    <t>classical_conversations</t>
  </si>
  <si>
    <t>CC Homeschooling &amp; Curriculum</t>
  </si>
  <si>
    <t>Helping families homeschool with confidence alongside a classical Christian community.</t>
  </si>
  <si>
    <t>https://linktr.ee/classicalconversations</t>
  </si>
  <si>
    <t>classicallearner</t>
  </si>
  <si>
    <t>Brett Pike</t>
  </si>
  <si>
    <t>Classical Learner Homeschooling 
“Homeschools Connected” Curriculum ($30 monthly) 
Cubs to Bears books 🐻 
Click below for link to books and website</t>
  </si>
  <si>
    <t>https://classicallearner.com</t>
  </si>
  <si>
    <t>classical_mahler3512</t>
  </si>
  <si>
    <t>Classicismylife</t>
  </si>
  <si>
    <t>클래식 명곡 추천
DM 환영입니다.</t>
  </si>
  <si>
    <t>https://music.apple.com/profile/junClassic3512</t>
  </si>
  <si>
    <t>classicalsarcasm</t>
  </si>
  <si>
    <t>Classical sarcasm</t>
  </si>
  <si>
    <t>🖌️Classical memes by</t>
  </si>
  <si>
    <t>classicalshits</t>
  </si>
  <si>
    <t>Classicalshits - Memes and Gossip</t>
  </si>
  <si>
    <t>POV: You're the funniest in the group chat
By @roughshits</t>
  </si>
  <si>
    <t>classicalvines</t>
  </si>
  <si>
    <t>Daily Vines</t>
  </si>
  <si>
    <t>Vines on repeat</t>
  </si>
  <si>
    <t>classicast_</t>
  </si>
  <si>
    <t>Classicast | Classical music</t>
  </si>
  <si>
    <t>🎧 Discover new classical music daily. 
📱 Follow for timeless melodies.
💬 DM for collaborations.</t>
  </si>
  <si>
    <t>pwa.pilatesapp</t>
  </si>
  <si>
    <t>Pilates With Ashlea | Classical Pilates App</t>
  </si>
  <si>
    <t>Experience expert-led Classical Pilates classes online with @pilateswithashlea
NOW LIVE: Back To The Mat Challenge
Join us ↓ 7 𝘥𝘢𝘺 𝘧𝘳𝘦𝘦 𝘵𝘳𝘪𝘢𝘭</t>
  </si>
  <si>
    <t>https://www.pilateswithashlea.com/pilateswithashlea-app</t>
  </si>
  <si>
    <t>domesticdaydreams</t>
  </si>
  <si>
    <t>Cheyenne | Audio Cleaning Routines, ADHD friendly cleaning hacks</t>
  </si>
  <si>
    <t>🕵️‍♀️Radio Show Cleaning Routines (New Episodes Daily!)
🤠 Kids Cowboy cleaning routines!
PR: Hello@domesticdaydreams.com
⬇️Get your free routine!⬇️</t>
  </si>
  <si>
    <t>https://radio.domesticdaydreams.com/links</t>
  </si>
  <si>
    <t>jillcomesclean</t>
  </si>
  <si>
    <t>Jill Koch | Cleaning • Home Organization • Hacks</t>
  </si>
  <si>
    <t>🩷Your Partner in Grime 😉
A clean &amp; organized home in less time
Easy tips &amp; habits | Less Toxins | Best Finds
✨Choregasms™️(satisfying cleans)
⬇️ Links</t>
  </si>
  <si>
    <t>https://linkin.bio/jillcomesclean</t>
  </si>
  <si>
    <t>coding.life</t>
  </si>
  <si>
    <t>coding_life;</t>
  </si>
  <si>
    <t>💻Hello Programmers, nice to see you
💻Hope you're doing great!</t>
  </si>
  <si>
    <t>blackdropcoffeechile</t>
  </si>
  <si>
    <t>Blackdrop Coffee Chile</t>
  </si>
  <si>
    <t>DRINK GOOD COFFEE
📍Mall Parque Arauco
📍Mall Marina
📍Mall Costanera Center 
📍Mall Alto Las Condes</t>
  </si>
  <si>
    <t>https://linktr.ee/blackdropcoffee</t>
  </si>
  <si>
    <t>coffee_house_co</t>
  </si>
  <si>
    <t>Coffee House Co</t>
  </si>
  <si>
    <t>🥤 Առաջին և ամենամեծ takeaway սուրճի ցանցը Հայաստանում
📍 47 մասնաճյուղ
Changing coffee culture since 2015 ♥️</t>
  </si>
  <si>
    <t>http://coffeehouse.am</t>
  </si>
  <si>
    <t>coffee_lovers_at_heart</t>
  </si>
  <si>
    <t>Coffee Lovers At Heart</t>
  </si>
  <si>
    <t>Nothing too complicated we love coffee! ☕️ ❣</t>
  </si>
  <si>
    <t>https://www.perfectdailygrind.com/</t>
  </si>
  <si>
    <t>colattao</t>
  </si>
  <si>
    <t>Colattao Coffee House</t>
  </si>
  <si>
    <t>Hours
Tuesday-Friday: 7-4
Saturday &amp; Sunday: 8-4
Mondays: Closed</t>
  </si>
  <si>
    <t>issi.coffee</t>
  </si>
  <si>
    <t>Кофейня ISSI COFFEE</t>
  </si>
  <si>
    <t>Первая и самая высокогорная А-frame кофейня в Европе- 2100 m ⛰️ Est. 2016</t>
  </si>
  <si>
    <t>thecoffeeparty</t>
  </si>
  <si>
    <t>The Coffee Party</t>
  </si>
  <si>
    <t>Redefining Your Morning Ritual ☕️
Coffee, Music, Community ™️
Back Soon...☕️</t>
  </si>
  <si>
    <t>https://community.admitone.com/the-coffee-party-festival-end-of-summer-pour-2025-08-30/F2T3D2</t>
  </si>
  <si>
    <t>tsilicoffeeshop6</t>
  </si>
  <si>
    <t>ΤΣΙΛΙ ΚΑΦΕΝΕΙΟ</t>
  </si>
  <si>
    <t>LIMITED ΣΡΕΝΤΕΡ ΜΕΡΤΣ 👇</t>
  </si>
  <si>
    <t>https://stockers.gr/p/srenter-gtchs/</t>
  </si>
  <si>
    <t>yourcoffeedude</t>
  </si>
  <si>
    <t>Coffee Recipes &amp; more</t>
  </si>
  <si>
    <t>Coffee Recipes to level up your home café ☕️
➡️ DM me “book” to get my Free Coffee Guide</t>
  </si>
  <si>
    <t>http://yourcoffeedude.com</t>
  </si>
  <si>
    <t>COMEDY</t>
  </si>
  <si>
    <t>https://bit.ly/BIGOAppFH</t>
  </si>
  <si>
    <t>comedybyday</t>
  </si>
  <si>
    <t>Day</t>
  </si>
  <si>
    <t>Just jokes ✌🏻 
Wanna buy me a coffee? ☕️❤️⬇️</t>
  </si>
  <si>
    <t>https://linktr.ee/comedybyday</t>
  </si>
  <si>
    <t>comedycentral</t>
  </si>
  <si>
    <t>Comedy Central</t>
  </si>
  <si>
    <t>Add us to your close friends, you cowards.</t>
  </si>
  <si>
    <t>https://linktr.ee/comedycentral</t>
  </si>
  <si>
    <t>comedycentralla</t>
  </si>
  <si>
    <t>Comedy Central Latinoamérica</t>
  </si>
  <si>
    <t>Chistes buenos y otros no tanto
(pero siempre lo intentamos)</t>
  </si>
  <si>
    <t>https://bit.ly/CCSnacks</t>
  </si>
  <si>
    <t>comedyclubru</t>
  </si>
  <si>
    <t>Камеди Клаб | Comedy Club</t>
  </si>
  <si>
    <t>Официальный аккаунт
⬇️Переходи в Telegram⬇️</t>
  </si>
  <si>
    <t>https://t.me/comedyclubru</t>
  </si>
  <si>
    <t>comedy.com</t>
  </si>
  <si>
    <t>Comedy.com</t>
  </si>
  <si>
    <t>Your resource for the best memes and funniest content online. Seriously.</t>
  </si>
  <si>
    <t>http://comedy.com/</t>
  </si>
  <si>
    <t>comedy_restobar</t>
  </si>
  <si>
    <t>Comedy_Restobar</t>
  </si>
  <si>
    <t>📍El primer  bar de 🇨🇱 100% dedicado al stand up.
🎟️Entradas aquí 👇</t>
  </si>
  <si>
    <t>https://comedypass.online/comedy-restobar/</t>
  </si>
  <si>
    <t>funpostingdaily</t>
  </si>
  <si>
    <t>Laughing for 30 seconds burns 1 calorie! Follow me for a intense workout (;</t>
  </si>
  <si>
    <t>gw_comedy</t>
  </si>
  <si>
    <t>Gary Walsh</t>
  </si>
  <si>
    <t>Majority shareholder of @clap_back_to_reality 
Founder of @you_about_comedy</t>
  </si>
  <si>
    <t>inscomedy</t>
  </si>
  <si>
    <t>A space to laught</t>
  </si>
  <si>
    <t>mikescomedy</t>
  </si>
  <si>
    <t>Mikescomedy</t>
  </si>
  <si>
    <t>Take A Laughing 💊 Mikesola08@hotmail.com</t>
  </si>
  <si>
    <t>nicocapone.comedy</t>
  </si>
  <si>
    <t>Nicocapone</t>
  </si>
  <si>
    <t>📍Paris 🇫🇷 - Lausanne 🇨🇭 
Collab : nico@gisele-paris.fr
Facebook | TikTok | Snapchat | Youtube 🫵🏼
Our family account : @daninicofamily</t>
  </si>
  <si>
    <t>https://youtube.com/channel/UCgrdZm9Nx3rCj8WenIoSIqw</t>
  </si>
  <si>
    <t>rscomedy</t>
  </si>
  <si>
    <t>Rickey Smiley</t>
  </si>
  <si>
    <t>That salt life!!!!!</t>
  </si>
  <si>
    <t>http://www.rickeysmiley.com/</t>
  </si>
  <si>
    <t>rui.comedy</t>
  </si>
  <si>
    <t>Rui Barbosa</t>
  </si>
  <si>
    <t>Macho ALPHA
TERROR DOS ENZO
Stories 🚫 Nutellas 
Caxias do Sul .RS
🎙️ @polentacomedy 
💍 @oliveira28marcia</t>
  </si>
  <si>
    <t>http://polentacomedy.com.br</t>
  </si>
  <si>
    <t>thecomedycab</t>
  </si>
  <si>
    <t>Taking You One Laugh To The Next, stay awhile.
DM for possible features</t>
  </si>
  <si>
    <t>https://youtu.be/_gvMJki5sbY</t>
  </si>
  <si>
    <t>thecomedystore</t>
  </si>
  <si>
    <t>The Comedy Store</t>
  </si>
  <si>
    <t>World Famous Comedy Club
🎟️ Check Highlights For Upcoming Shows 🎟️</t>
  </si>
  <si>
    <t>https://thecomedystore.com/links/</t>
  </si>
  <si>
    <t>comedy_bites01</t>
  </si>
  <si>
    <t>Comedy_Bites01</t>
  </si>
  <si>
    <t>📩 Business inquiries &amp; collabs → DM
🎯 Paid promos | Brand collabs → DM
💼 Promotions &amp; partnerships → DM or email: comedybites1710@gmail.com</t>
  </si>
  <si>
    <t>https://youtube.com/@comedy_bites01</t>
  </si>
  <si>
    <t>comfort_foodies_</t>
  </si>
  <si>
    <t>Comfort Foodies</t>
  </si>
  <si>
    <t>Dominican Soul Food🇩🇴
Best Empanadas📍HTX
Order Frozen Empanadas in our Shop!
Where Southern Soul, Meets The Caribbean
Tue- Sat:11AM-8PM
Sun:11AM - 7PM</t>
  </si>
  <si>
    <t>http://comfortfoodieshop.com</t>
  </si>
  <si>
    <t>comfort.food_mm</t>
  </si>
  <si>
    <t>https://www.youtube.com/@MyComfortFood</t>
  </si>
  <si>
    <t>comfort_food.recipes</t>
  </si>
  <si>
    <t>Comfort Food Recipes</t>
  </si>
  <si>
    <t>🇲🇦 Cooking Multicultural Recipes 🌍</t>
  </si>
  <si>
    <t>https://comfortfoodrecipes.net</t>
  </si>
  <si>
    <t>abbeyroadmdp</t>
  </si>
  <si>
    <t>ABBEY ROAD Concert Bar</t>
  </si>
  <si>
    <t>Comida 🍔, música 🎶 y la mejor experiencia
El lugar ideal para conciertos 🎸 y buena compañía 😉</t>
  </si>
  <si>
    <t>https://linktr.ee/abbeyroad.concertbar</t>
  </si>
  <si>
    <t>beloinconcertshow</t>
  </si>
  <si>
    <t>Belo InConcert</t>
  </si>
  <si>
    <t>🌟 Página Oficial do Belo In Concert 🌟
♥️ | O show mais romântico do planeta.</t>
  </si>
  <si>
    <t>c4concerthouse</t>
  </si>
  <si>
    <t>C4 Concert House</t>
  </si>
  <si>
    <t>El nuevo recinto multi cultural de eventos en Guadalajara. #MusicIsInfinite #GrupoC3</t>
  </si>
  <si>
    <t>http://c4concerthouse.com</t>
  </si>
  <si>
    <t>candlelight.concerts</t>
  </si>
  <si>
    <t>Candlelight Concerts by Fever</t>
  </si>
  <si>
    <t>🕯 Classical and modern music in a new light
📍 Stunning venues worldwide
💛 Get tickets for our summer concerts</t>
  </si>
  <si>
    <t>https://fvrup.com/concertsbycandlelight?tab=ig</t>
  </si>
  <si>
    <t>cinema.in.concert</t>
  </si>
  <si>
    <t>Cinema in Concert</t>
  </si>
  <si>
    <t>𝘞𝘢𝘢𝘳 𝘧𝘪𝘭𝘮𝘴 𝘵𝘰𝘵 𝘭𝘦𝘷𝘦𝘯 𝘬𝘰𝘮𝘦𝘯...
Bekijk onze volledige concertagenda via:</t>
  </si>
  <si>
    <t>https://linktr.ee/CinemainConcert</t>
  </si>
  <si>
    <t>Concert</t>
  </si>
  <si>
    <t>The #1 live music community in the world.
🔌 powered by @lowbattery</t>
  </si>
  <si>
    <t>https://music.apple.com/us/station/apple-music-1/ra.978194965</t>
  </si>
  <si>
    <t>concertcrap</t>
  </si>
  <si>
    <t>Concert Crap</t>
  </si>
  <si>
    <t>#1 concert,music + tix giveaways on earth😉🎶
Daily giveaways in IG STORY
‘SUPPORT’ on Patreon
Venmo: @ConcertCrap
⬇️Visit website⬇️</t>
  </si>
  <si>
    <t>https://linktr.ee/concertcrap</t>
  </si>
  <si>
    <t>concertipop</t>
  </si>
  <si>
    <t>Concerti Pop</t>
  </si>
  <si>
    <t>🏟️ La più grande community sui concerti  
📥 per collabo e promo in DM
🎫 Non riesci a trovare i biglietti?👇🏻</t>
  </si>
  <si>
    <t>https://t.me/ConcertiRap</t>
  </si>
  <si>
    <t>concertmusicfestival</t>
  </si>
  <si>
    <t>Concert Music Festival</t>
  </si>
  <si>
    <t>🌅 Sancti Petri, Chiclana De La Fra. (Spain)</t>
  </si>
  <si>
    <t>https://linktr.ee/concertmusicfestival</t>
  </si>
  <si>
    <t>iranconcertofficial</t>
  </si>
  <si>
    <t>Iran Concert | ایران کنسرت</t>
  </si>
  <si>
    <t>Ticket Sales</t>
  </si>
  <si>
    <t>تنها صفحه رسمی سايت ايران كنسرت
فروش آنلاين بليت كنسرت، تئاتر و همايش
Online Ticket Sale Website</t>
  </si>
  <si>
    <t>http://iranconcert.com/</t>
  </si>
  <si>
    <t>la.concerts</t>
  </si>
  <si>
    <t>LA’s Hottest Concerts</t>
  </si>
  <si>
    <t>Concert Tour</t>
  </si>
  <si>
    <t>Follow us for the biggest concerts in LA!</t>
  </si>
  <si>
    <t>http://divercityconcerts.com</t>
  </si>
  <si>
    <t>livenation</t>
  </si>
  <si>
    <t>Live Nation Concerts</t>
  </si>
  <si>
    <t>We bring artists and fans together around the 🌎 through the power of live events 🎤 🎸🎶
Get your 🎟 ↴</t>
  </si>
  <si>
    <t>http://livemu.sc/instagram</t>
  </si>
  <si>
    <t>sdconcerts</t>
  </si>
  <si>
    <t>Instagram oficial de la empresa líder en entretenimiento.</t>
  </si>
  <si>
    <t>https://linktr.ee/sdconcerts</t>
  </si>
  <si>
    <t>tstheerastourfilm</t>
  </si>
  <si>
    <t>Taylor Swift | The Eras Tour concert film</t>
  </si>
  <si>
    <t>✨ Our songs, our film, united we stand. ✨
Taylor Swift | The Eras Tour (Taylor’s Version) out now on @disneyplus!</t>
  </si>
  <si>
    <t>http://disneyplus.com/TSTheErasTourTaylorsVersion</t>
  </si>
  <si>
    <t>concert.moscow</t>
  </si>
  <si>
    <t>IGOR POWERFUL 🌟 BLOGGER, CREATIVE PRODUCER</t>
  </si>
  <si>
    <t>Cooperation 👉 @igoryamba.2024</t>
  </si>
  <si>
    <t>africansafariconservation</t>
  </si>
  <si>
    <t>African Safari Conservation</t>
  </si>
  <si>
    <t>Dedicated to environmental philanthropy. Raising awareness for wildlife conservation &amp; sustainable safaris in Africa. 🌍 #savetheplanet</t>
  </si>
  <si>
    <t>https://www.reteti.org/world-elephant-day?fbclid=PAQ0xDSwMIM-dleHRuA2FlbQIxMQABpy0T5rY1UMPoJmmKlwiqchYdmxN60zgM4cHMMwU5EjXGxs5bf8KUAOy-YOiF_aem_kMhEmd3g0kuTF3-DgNafCA</t>
  </si>
  <si>
    <t>conservationcanines</t>
  </si>
  <si>
    <t>Conservation Canines @ UW</t>
  </si>
  <si>
    <t>We rescue shelter dogs &amp; put their noses to work for wildlife conservation! 🐾🐕🌎 Donate today to support the pups and the incredible research they do 👇</t>
  </si>
  <si>
    <t>http://giving.uw.edu/ck9</t>
  </si>
  <si>
    <t>conservationfisheries</t>
  </si>
  <si>
    <t>Conservation Fisheries</t>
  </si>
  <si>
    <t>Saving imperiled native fish since 1986. 𓆝 𓆟 𓆞
📍 Southeast United States. 
501(c)3 non-profit.</t>
  </si>
  <si>
    <t>https://www.conservationfisheries.org</t>
  </si>
  <si>
    <t>conservationflorida</t>
  </si>
  <si>
    <t>Conservation Florida</t>
  </si>
  <si>
    <t>☀️Florida land conservation
🌴We’re protecting our water, wildlife and wild places — for the LOVE of Florida!</t>
  </si>
  <si>
    <t>https://linktr.ee/ConservationFlorida</t>
  </si>
  <si>
    <t>conservation_kate</t>
  </si>
  <si>
    <t>Kate Sheridan</t>
  </si>
  <si>
    <t>🤓 conservation biologist 
🦏 tips to work with wildlife
💌 kateconservation@gmail.com</t>
  </si>
  <si>
    <t>https://youtube.com/@conservation_kate?si=_XqSk0ueBoqhiFKr</t>
  </si>
  <si>
    <t>conservationorg</t>
  </si>
  <si>
    <t>Conservation International</t>
  </si>
  <si>
    <t>Spotlighting and securing the most important places in nature for the climate, for biodiversity and for people.</t>
  </si>
  <si>
    <t>https://www.conservation.org/act/instagram-link-in-bio</t>
  </si>
  <si>
    <t>ggconservation</t>
  </si>
  <si>
    <t>GG Conservation</t>
  </si>
  <si>
    <t>Our mission: to love, protect and preserve the magnificent lions in our care: www.ggconservation.org NON PROFIT ORG registration no:- 2015/251644/08.</t>
  </si>
  <si>
    <t>http://www.paypal.me/GGLions</t>
  </si>
  <si>
    <t>iiconservation</t>
  </si>
  <si>
    <t>IIC</t>
  </si>
  <si>
    <t>INTERNATIONAL INSTITUTE FOR CONSERVATION OF HISTORIC AND ARTISTIC WORKS</t>
  </si>
  <si>
    <t>https://linktr.ee/iiconservation</t>
  </si>
  <si>
    <t>osaconservation</t>
  </si>
  <si>
    <t>Osa Conservation</t>
  </si>
  <si>
    <t>Working to protect Costa Rica’s wildest region, one of the most biodiverse places on Earth.</t>
  </si>
  <si>
    <t>https://linktr.ee/osaconservation</t>
  </si>
  <si>
    <t>posterconservation</t>
  </si>
  <si>
    <t>Poster Conservation</t>
  </si>
  <si>
    <t>Art Restoration Service</t>
  </si>
  <si>
    <t>Trust the best in the business! Linen Backing and restoring vintage posters &amp; paper for over 30 years.</t>
  </si>
  <si>
    <t>http://www.posterconservation.com/</t>
  </si>
  <si>
    <t>thewcs</t>
  </si>
  <si>
    <t>Wildlife Conservation Society</t>
  </si>
  <si>
    <t>At WCS, we harness the power of our field conservation programs around the world and zoos and aquarium in New York to save wildlife and wild places.</t>
  </si>
  <si>
    <t>https://news.mongabay.com/2025/08/mongabay-shark-meat-expose-sparks-call-for-hearing-and-industry-debate/</t>
  </si>
  <si>
    <t>console_jocuri_romania</t>
  </si>
  <si>
    <t>Console + Jocuri</t>
  </si>
  <si>
    <t>❗️| Eviți riscul țepelor SH 
👌| Toate produsele sunt VERIFICATE
✈️| Livrare oriunde in țară (Fan Curier cu VERIFICARE COLET)
🤝| DM pt. COMENZI</t>
  </si>
  <si>
    <t>gaurav1337_</t>
  </si>
  <si>
    <t>✨🚀</t>
  </si>
  <si>
    <t>https://t.me/idkconsole</t>
  </si>
  <si>
    <t>lojagrinelstore</t>
  </si>
  <si>
    <t>XIAOMI | NOTEBOOK | APPLE | CONSOLES | JBL</t>
  </si>
  <si>
    <t>• 𝔹𝕖𝕞 𝕧𝕚𝕟𝕕𝕠𝕤 𝕒 𝕟𝕠𝕤𝕤𝕒 𝕝𝕠𝕛𝕒🏬
• ℂ𝕠𝕟𝕗𝕚𝕒𝕟ç𝕒 𝕖 ℂ𝕣𝕖𝕕𝕚𝕓𝕚𝕝𝕚𝕕𝕒𝕕𝕖
• 𝔼𝕟𝕧𝕚𝕒𝕞𝕠𝕤 𝕡𝕒𝕣𝕒 𝕥𝕠𝕕𝕠 𝕠 𝔹𝕣𝕒𝕤𝕚𝕝 🚛
• ℂ𝕠𝕞𝕡𝕣𝕒 ℙ𝕣𝕠𝕥𝕖𝕘𝕚𝕕𝕒 𝕖 𝔾𝕒𝕣𝕒𝕟𝕥𝕚𝕕𝕒
• ℝ𝕖𝕗𝕖𝕣ê𝕟𝕔𝕚𝕒 𝕖𝕞 𝕥𝕖𝕔𝕟𝕠𝕝𝕠𝕘𝕚𝕒/𝕡𝕣𝕖ç𝕠</t>
  </si>
  <si>
    <t>myhigh_loja</t>
  </si>
  <si>
    <t>IPHONE | JBL | XIAOMI | CONSOLES | NOTEBOOK</t>
  </si>
  <si>
    <t>E-commerce website</t>
  </si>
  <si>
    <t>📍 Loja Física | REVENDA AUTORIZADA
🥇+ de 6.500 clientes ao ano!
✈️ ENVIOS PARA TODO BRASIL 🇧🇷 
💎 On-line e presencial 
📤 Atendimento pelo WhatsApp👇🏻</t>
  </si>
  <si>
    <t>thgamesusados</t>
  </si>
  <si>
    <t>Consoles/Celulares</t>
  </si>
  <si>
    <t>Endereço da loja: 
Av. Ayrton Senna da Silva, 1512 - Xixová, Praia Grande - SP, 11726-900</t>
  </si>
  <si>
    <t>andrescooking</t>
  </si>
  <si>
    <t>ANDRES DE OLIVEIRA</t>
  </si>
  <si>
    <t>🍣 Restaurant @soyamiami 
🎙️ Podcast @mananitaslive
📧 hi@andrescooking.com</t>
  </si>
  <si>
    <t>Cooking</t>
  </si>
  <si>
    <t>All things food and drinks, from the editors @bustle @elitedaily @nylonmag @inverse 
👩‍🍳
Brought to you by @almondbreeze</t>
  </si>
  <si>
    <t>https://linkin.bio/bdgcooking</t>
  </si>
  <si>
    <t>cookingforgains_</t>
  </si>
  <si>
    <t>Cameron Dukes</t>
  </si>
  <si>
    <t>@hardbodylabs code cookingforgains 20% off🤝
Meal plans, peptides and cookbooks ⬇️</t>
  </si>
  <si>
    <t>https://link.me/cookingforgains_</t>
  </si>
  <si>
    <t>cookinginthemidwest</t>
  </si>
  <si>
    <t>Luke Brown</t>
  </si>
  <si>
    <t>🏡 Family-friendly comfort food
🛒 Easy recipes with pantry staples
🥘 One pan meals, crockpot recipes, &amp; 30-min dinners
📲 Save recipes ⬇️</t>
  </si>
  <si>
    <t>http://www.cookinginthemidwest.com</t>
  </si>
  <si>
    <t>cookingnutri</t>
  </si>
  <si>
    <t>Nutricionista Belen Isuani</t>
  </si>
  <si>
    <t>Lifestyle•Fitness•Nutrición flexible
Founder @nutrifoodscl .  
En Clínica Las Condes•Máster Nut.Oncológica🇪🇸Dip. Nutrición PUC• Belenisuani@gmail.com</t>
  </si>
  <si>
    <t>https://www.clinicalascondes.cl/MOVIL/Hora/RESERVA/P3_calendario.aspx</t>
  </si>
  <si>
    <t>cooking_warda</t>
  </si>
  <si>
    <t>Warda Omri 🇹🇳</t>
  </si>
  <si>
    <t>🌸 Rosa 🌸 
💌 wardacooking@gmail.com</t>
  </si>
  <si>
    <t>https://ngl.link/cooking_warda2</t>
  </si>
  <si>
    <t>cookingwith_darryl</t>
  </si>
  <si>
    <t>Darryl Postelnick</t>
  </si>
  <si>
    <t>Darryl Postelnick   Dad who loves to cook, drink and have fun!  2.9m  followers on Tiktok   @rhoback  @webergrills</t>
  </si>
  <si>
    <t>https://keychain.club/cookingwithdarryl</t>
  </si>
  <si>
    <t>cookingwithdestiny</t>
  </si>
  <si>
    <t>Destiny symone</t>
  </si>
  <si>
    <t>I make simple, easy &amp; delicious recipes 🫶🏼
Collabs ✉️ Contact@destinycookware.com</t>
  </si>
  <si>
    <t>https://linktr.ee/cookingwithdestiny</t>
  </si>
  <si>
    <t>cooking_with_fire___</t>
  </si>
  <si>
    <t>Miguel Raya| Food, bbq, recipes</t>
  </si>
  <si>
    <t>🔥Fire up your appetite—delicious recipes, all cooked in my backyard 
🔥 my recipes⬇️⬇️⬇️</t>
  </si>
  <si>
    <t>http://cwfeats.com</t>
  </si>
  <si>
    <t>cookingwithkian</t>
  </si>
  <si>
    <t>Kian Hiatt</t>
  </si>
  <si>
    <t>kian@juggernautmp.com</t>
  </si>
  <si>
    <t>http://hoo.be/cookingwithkian</t>
  </si>
  <si>
    <t>cookingwithlynja</t>
  </si>
  <si>
    <t>Lynja</t>
  </si>
  <si>
    <t>📍 NYC
😁 Just a regular mom with killer cooking skills  😁
👇Lynja’s Salts &amp; Sugar👇</t>
  </si>
  <si>
    <t>https://glnk.io/4x159/cookingwithlynja</t>
  </si>
  <si>
    <t>katia_cooking_</t>
  </si>
  <si>
    <t>Катерина🌶️|ФУДБЛОГЕР👩🏼‍🍳| UGC creator 🎀</t>
  </si>
  <si>
    <t>•Шеф Кухар в Європейському ресторані👩🏼‍🍳
•знімаю відео для брендів✨
•🇺🇦 🇩🇰 🇵🇱🇩🇪🇧🇪🇫🇷🇮🇹🇻🇦🇳🇴🇹🇷🇪🇸🇮🇪🇬🇷…..
•В свої 22 готую на 122%
👇🏼
@_katia_cooperation_</t>
  </si>
  <si>
    <t>https://t.me/katia_cooking</t>
  </si>
  <si>
    <t>nytcooking</t>
  </si>
  <si>
    <t>NYT Cooking</t>
  </si>
  <si>
    <t>All the food that's fit to cook. 
Tap the link below for recipes👇</t>
  </si>
  <si>
    <t>https://nytimes.com/cooking-instagram</t>
  </si>
  <si>
    <t>rb_cooking</t>
  </si>
  <si>
    <t>Robiya Sulaymonova</t>
  </si>
  <si>
    <t>✨Фудблогер
✨Tурли хил рецептлар 
✨15 йиллик тажриба
✨Ҳамкорлик учун @rb_cooking_pr</t>
  </si>
  <si>
    <t>https://t.me/rb_cooking_rb</t>
  </si>
  <si>
    <t>cosmetiques_bfk</t>
  </si>
  <si>
    <t>Cosmétiques</t>
  </si>
  <si>
    <t>Produit cosmétique Outils de beauté 💄💎
📍Boufarik blida داخل لفوار امين الوزري تحت محطة القطار 
0541484085
مرحبا 💙
💎🛵التوصيل متوفر 58 ولاية 📦💎</t>
  </si>
  <si>
    <t>cosmetiques_msili_ain_benian</t>
  </si>
  <si>
    <t>📍l’adresse : Aïn Benian 
📍Livraison disponible58 wilaya📦
📍numéro 📞:0559744791/0552171976/0772471031/0781647025</t>
  </si>
  <si>
    <t>https://maps.apple.com/place?coordinate=36.802892%2C2.912078&amp;name=Lieu%2520marqu%25C3%25A9%2520d%25E2%2580%2599un%2520rep%25C3%25A8re&amp;map=h</t>
  </si>
  <si>
    <t>cosmetiques_outh</t>
  </si>
  <si>
    <t>Cosmétiques Othman</t>
  </si>
  <si>
    <t>Bonjour mes cool amateurs de cosmétiques 💄🧴📍Casablanca oulfa 🚚📦livraison partout Maroc 🛍️🛍️commander sur whatsapp📲</t>
  </si>
  <si>
    <t>https://maps.app.goo.gl/8dFCArxzy2u4Hwhx9?g_st=com.google.maps.preview.copy</t>
  </si>
  <si>
    <t>cossmy_tique</t>
  </si>
  <si>
    <t>cosmétiques</t>
  </si>
  <si>
    <t>echfak_cosmetiques</t>
  </si>
  <si>
    <t>Youssef echfak</t>
  </si>
  <si>
    <t>https://maps.app.goo.gl/p6Zp9okPLmFVN2236</t>
  </si>
  <si>
    <t>rb.cosmetique_</t>
  </si>
  <si>
    <t>RB COSMÉTIQUES 🇫🇷</t>
  </si>
  <si>
    <t>Worldwide Shipping ✈️🌏
• Hair Products / Skin Care  
📍Boissy-Saint-Léger (RER A)
06 59 97 04 54 (Sms Uniquement)</t>
  </si>
  <si>
    <t>https://rbcosmetiques.fr/</t>
  </si>
  <si>
    <t>coverartmatters</t>
  </si>
  <si>
    <t>COVER ART MATTERS</t>
  </si>
  <si>
    <t>What You See Before You Hear
#DM To Feature Artwork &amp; Music</t>
  </si>
  <si>
    <t>http://coverartmatters.com</t>
  </si>
  <si>
    <t>cover_me_id</t>
  </si>
  <si>
    <t>Coverme Berkah</t>
  </si>
  <si>
    <t>𝐂𝐨𝐯𝐞𝐫 𝐌𝐞 𝐎𝐟𝐟𝐢𝐜𝐢𝐚𝐥 𝐀𝐜𝐜𝐨𝐮𝐧𝐭</t>
  </si>
  <si>
    <t>https://linktr.ee/cover_me_id</t>
  </si>
  <si>
    <t>coverthreeathletics</t>
  </si>
  <si>
    <t>Cover Three Athletics</t>
  </si>
  <si>
    <t>Sports Media Outlet📸🎥📲💻
📍Pittsburgh, PA</t>
  </si>
  <si>
    <t>covery_eg</t>
  </si>
  <si>
    <t>Covery®</t>
  </si>
  <si>
    <t>Made and printed in 𝗘𝗚𝗬𝗣𝗧 🇪🇬 
Worldwide shipping 🌎
#MadeWithLove</t>
  </si>
  <si>
    <t>https://coveryofficial.com</t>
  </si>
  <si>
    <t>hqdis_cover</t>
  </si>
  <si>
    <t>HQDiscover</t>
  </si>
  <si>
    <t>🎥 Handmade art • Ancient skills • Lost crafts
✨ Preserving tradition, one reel at a time
🤝 DM for collab &amp; features</t>
  </si>
  <si>
    <t>https://www.youtube.com/@HQDiscover-v6h</t>
  </si>
  <si>
    <t>indo.musiccover</t>
  </si>
  <si>
    <t>INDO.MUSICCOVER</t>
  </si>
  <si>
    <t>Temukan inspirasi musik kalian disini.
Promosi Single/Lagu, Cover, Campaign &amp; Iklan. Klik link dibawah👇🏼</t>
  </si>
  <si>
    <t>https://linktr.ee/indomusiccover</t>
  </si>
  <si>
    <t>one.day.one.cover</t>
  </si>
  <si>
    <t>One Day One Cover</t>
  </si>
  <si>
    <t>otabek_cover1</t>
  </si>
  <si>
    <t>Otabek Adixamov</t>
  </si>
  <si>
    <t>Reklama, to’y va marosimlar uchun
+998(99)9146257</t>
  </si>
  <si>
    <t>https://t.me/Adhamov_Otabek</t>
  </si>
  <si>
    <t>craft__ideas__</t>
  </si>
  <si>
    <t>Craft ideas</t>
  </si>
  <si>
    <t>⭐ Art🎨| Craft✂️| Gift ideas
⭐ My YouTube channel👇🏻</t>
  </si>
  <si>
    <t>https://youtu.be/EbP_ffyDKGA</t>
  </si>
  <si>
    <t>craftideas2088</t>
  </si>
  <si>
    <t>Craft Ideas</t>
  </si>
  <si>
    <t>Crafts</t>
  </si>
  <si>
    <t>paper_craft_ideas_</t>
  </si>
  <si>
    <t>Paper Craft Ideas</t>
  </si>
  <si>
    <t>Best and Easy Paper Craft Ideas.</t>
  </si>
  <si>
    <t>https://papercraftideas.com/collections/latest</t>
  </si>
  <si>
    <t>2211_crafts</t>
  </si>
  <si>
    <t>Ashmita...😊</t>
  </si>
  <si>
    <t>Arts &amp; Crafts Store</t>
  </si>
  <si>
    <t>Diy beaded crafts 🩷
 Madhya Pradesh 
DM for order, classes, promotion &amp; collabs 
Email- ashmitap898@gmail.com 
Channel👇</t>
  </si>
  <si>
    <t>https://youtube.com/@ashmita_art_and_craft?si=WodXtfnUZIDs96zI</t>
  </si>
  <si>
    <t>5.min.crafts</t>
  </si>
  <si>
    <t>5-Minute Crafts</t>
  </si>
  <si>
    <t>Fun DIY projects, crafts, life hacks and more! 💙</t>
  </si>
  <si>
    <t>https://bit.ly/5mcstoreig</t>
  </si>
  <si>
    <t>crafts.feed</t>
  </si>
  <si>
    <t>crafts_inspire</t>
  </si>
  <si>
    <t>CRAFTS INSPIRE</t>
  </si>
  <si>
    <t>🎨 We are here too @findviralart 
📥 DM for Ad/Promotion  
©️Copyright issue? DM us</t>
  </si>
  <si>
    <t>https://maxoutletstore.com/products/solar-power-bank?_pos=2&amp;_psq=solar&amp;_ss=e&amp;_v=1.0&amp;fbclid=PAVERFWAMiq15leHRuA2FlbQIxMAABp25SJKsRkeFE02EtByjvYZQ-x-kA14WntwH96nKcA6-T1C6gyiMo9OnQNc-B_aem_1CxO0E4p-Krj0rWWnKYtow</t>
  </si>
  <si>
    <t>craftsmagazine</t>
  </si>
  <si>
    <t>The international authority on contemporary craft for 50 years. Become a member today.</t>
  </si>
  <si>
    <t>https://feedlink.io/craftsmagazine</t>
  </si>
  <si>
    <t>craftspells</t>
  </si>
  <si>
    <t>jpv</t>
  </si>
  <si>
    <t>[in.passing]</t>
  </si>
  <si>
    <t>https://x.com/subliminalcalm</t>
  </si>
  <si>
    <t>girlcraftss</t>
  </si>
  <si>
    <t>Girl Crafts</t>
  </si>
  <si>
    <t>Girl Crafts Official Account
Youtube: Girl Crafts
Tiktok : Girlcraftss
🔽New Video!🔽</t>
  </si>
  <si>
    <t>https://youtu.be/qFrEeAxZMRM?si=YaDPkI0g59Wv_tLJ</t>
  </si>
  <si>
    <t>karocrafts</t>
  </si>
  <si>
    <t>KARO</t>
  </si>
  <si>
    <t>NYC artist &amp; designer 
@studio___karo *ੈ✩‧₊
karo@select.co</t>
  </si>
  <si>
    <t>http://karocrafts.com</t>
  </si>
  <si>
    <t>packs_and_crafts_</t>
  </si>
  <si>
    <t>Food Packaging|Cups|bowl|cake packs||caketools|kano state</t>
  </si>
  <si>
    <t>Wholesale &amp; Supply Store</t>
  </si>
  <si>
    <t>📦 wholesale/Retail store  
📦 We help spice up your business With high-quality  packaging products at budget-friendly prices.
10am -6pm
Delivery only</t>
  </si>
  <si>
    <t>http://wa.me/2348135319186</t>
  </si>
  <si>
    <t>paper.crafts.in</t>
  </si>
  <si>
    <t>paper crafts creator</t>
  </si>
  <si>
    <t>"Crafting dreams one fold at a time, just like me! 🎨✂️ #CraftyMe #PaperCrafts #DIY"
 👇click here to order 👇</t>
  </si>
  <si>
    <t>https://www.deanity.com/products/nasal-stick-4-pcs?sca_ref=8755555.UCI6fB4oZdTlQ</t>
  </si>
  <si>
    <t>tokyocrafts_jp</t>
  </si>
  <si>
    <t>TOKYO CRAFTS (トウキョウクラフト)</t>
  </si>
  <si>
    <t>【言語化できない満足感を。】
TOKYO CRAFTS オフィシャルアカウント
初心者から上級者まで対応の高品質なキャンプ道具を提供。
KOREA→ @tokyocrafts_kr</t>
  </si>
  <si>
    <t>https://tokyocrafts.jp/</t>
  </si>
  <si>
    <t>creativeprocessdiy</t>
  </si>
  <si>
    <t>CreativeProcessDIY</t>
  </si>
  <si>
    <t>Business inquires: lichmanvn@gmail.com
Check out the latest YouTube video 👇</t>
  </si>
  <si>
    <t>https://www.youtube.com/@CreativeProcessDIY</t>
  </si>
  <si>
    <t>CrossFit</t>
  </si>
  <si>
    <t>F*ck the Quick Fix. CrossFit Is the Cure.
Find a gym near you ↓</t>
  </si>
  <si>
    <t>https://www.crossfit.com/?utm_source=social&amp;utm_medium=insta&amp;utm_campaign=crossfit</t>
  </si>
  <si>
    <t>crossfitespana</t>
  </si>
  <si>
    <t>CrossFit España</t>
  </si>
  <si>
    <t>Basta de atajos. CrossFit es la solución.</t>
  </si>
  <si>
    <t>https://linktr.ee/CrossFitEspana</t>
  </si>
  <si>
    <t>crossfit_fitnes_club</t>
  </si>
  <si>
    <t>Crossfit</t>
  </si>
  <si>
    <t>Crossfit_fergana obuna bolin 1oylik vaucher yutvolin
Ish vaqti: 06:00-23:00
Manzil: Fargona shahar Mediapark yonida 📍
 +998972109777</t>
  </si>
  <si>
    <t>crossfitgames</t>
  </si>
  <si>
    <t>CrossFit Games</t>
  </si>
  <si>
    <t>Welcome to the Sport of Fitness: a competition season designed to find the Fittest on Earth.</t>
  </si>
  <si>
    <t>https://cf.games/the-cure</t>
  </si>
  <si>
    <t>crossfitgoals</t>
  </si>
  <si>
    <t>KAIDEN HOGAN</t>
  </si>
  <si>
    <t>@crossfitgames Athlete
UGA 
@strike_mvmnt @victorygrips @rusterfitness @baracus_fitness @321podium @nocco.usa 
@trainingthinktank @thefittestmanagers</t>
  </si>
  <si>
    <t>https://linktr.ee/Crossfitgoals</t>
  </si>
  <si>
    <t>invictus_fitness</t>
  </si>
  <si>
    <t>CrossFit Invictus</t>
  </si>
  <si>
    <t>Train anywhere. Belong everywhere.
Online and in-gym coaching built to help you rise—with expert guidance and a worldwide community.</t>
  </si>
  <si>
    <t>https://linktr.ee/invictus_fitness</t>
  </si>
  <si>
    <t>lapizarradelcoach</t>
  </si>
  <si>
    <t>Abraham | Crossfit  y Halterofilia</t>
  </si>
  <si>
    <t>🥇Pierde grasa y gana músculo 
🍏Revienta tus WODs sin dietas aburridas 
🏷️Prozis %“PIZARRA”
🏋🏻‍♂️Program de Crossfit 9€/mes👇🏼</t>
  </si>
  <si>
    <t>https://www.lapizarradelcoach.com/entrenamientos-de-cross/</t>
  </si>
  <si>
    <t>mj.crossfit</t>
  </si>
  <si>
    <t>Mj | Mohammadjavad</t>
  </si>
  <si>
    <t>Member of the national team 🇮🇷 
Crossfiter / Coach 
🥈🥈🥈🥈🥈🥇🥇🥇🥉🥉🥉
Iran.Mashhad 
Physical education📚
Business:@mashhad.crossfithome
🩶</t>
  </si>
  <si>
    <t>https://mashhadcrossfit.ir</t>
  </si>
  <si>
    <t>rhinobox_</t>
  </si>
  <si>
    <t>Fitness Club - Crossfit | Funcional | Fitness</t>
  </si>
  <si>
    <t>Fitness, Health, Fun 💥
👉 Vení a probar una clase sin cargo
📍 RHINO BOX CATAN (Magnasco 6989)
📍 RHINO BOX SAN JUSTO  (Rincon 2960)</t>
  </si>
  <si>
    <t>thecrossfitmayhem</t>
  </si>
  <si>
    <t>Crossfit Mayhem</t>
  </si>
  <si>
    <t>Faith // Family // Fitness // Service
CrossFit gym of 10x CrossFit
Games Champion @richfroning
Get 7 Days of Free Training ⬇️</t>
  </si>
  <si>
    <t>https://linktr.ee/thecrossfitmayhem</t>
  </si>
  <si>
    <t>crypto_banter</t>
  </si>
  <si>
    <t>Crypto Banter</t>
  </si>
  <si>
    <t>World's Fastest Growing Crypto Media Channel Building the Most Profitable Community in the World  🌎</t>
  </si>
  <si>
    <t>https://linktr.ee/crypto.banter</t>
  </si>
  <si>
    <t>crypto_byk</t>
  </si>
  <si>
    <t>Crypto Bull</t>
  </si>
  <si>
    <t>💵 Money Maker
💎 Luxury Lifestyle 
🛡 Crypto Signals</t>
  </si>
  <si>
    <t>https://t.me/cryptajokes</t>
  </si>
  <si>
    <t>cryptocomofficial</t>
  </si>
  <si>
    <t>Crypto.com</t>
  </si>
  <si>
    <t>We build products, services and tools with a focus on security and simplicity to achieve our vision: Cryptocurrency in Every Wallet.</t>
  </si>
  <si>
    <t>https://crypto.onelink.me/xxPI/joinus</t>
  </si>
  <si>
    <t>cryptodaily</t>
  </si>
  <si>
    <t>Crypto Daily | Crypto News | Trading</t>
  </si>
  <si>
    <t>🏆 | The #1 Page in Crypto News
📰 | Giving you the BEST crypto content!
📝 | Consistent post!</t>
  </si>
  <si>
    <t>http://cryptodaily.bio</t>
  </si>
  <si>
    <t>crypto.dreams</t>
  </si>
  <si>
    <t>Crypto Dreams | Crypto Trading</t>
  </si>
  <si>
    <t>💰We help people make big $$$$ in the crypto markets.
🚀 10x Memecoins and Gems
🌎 Largest and Oldest Crypto Trading Group.
🔥 VIP Trading Group ⤵️⤵️</t>
  </si>
  <si>
    <t>https://www.cryptodreams.io/</t>
  </si>
  <si>
    <t>cryptonary</t>
  </si>
  <si>
    <t>Crypto | Bitcoin</t>
  </si>
  <si>
    <t>Research, analysis and tools for crypto investors</t>
  </si>
  <si>
    <t>https://cryptonary.com/research/the-next-multibillion-dollar-meme-movement/</t>
  </si>
  <si>
    <t>cryptopump_signals_</t>
  </si>
  <si>
    <t>Crypto Pumps</t>
  </si>
  <si>
    <t>The #1 Pump and Dump group for Crypto 🔥🏆</t>
  </si>
  <si>
    <t>https://t.me/Crypto_Pump_Signal_Binance</t>
  </si>
  <si>
    <t>intelligentcryptocurrency</t>
  </si>
  <si>
    <t>Dirk - Bitcoin | Crypto | Trading Education</t>
  </si>
  <si>
    <t>💎 | The Only Crypto Page You Need!
📲 | Learn to trade &amp; profit bull or bear 
👇 | Up to $199k USDT cashback on Blofin</t>
  </si>
  <si>
    <t>https://intelligentcryptocurrency.com/blofin-bonus/</t>
  </si>
  <si>
    <t>coingecko</t>
  </si>
  <si>
    <t>CoinGecko | Cryptocurrency</t>
  </si>
  <si>
    <t>World’s largest independent cryptocurrency data aggregator.
Tag @CoinGecko to share the 💚</t>
  </si>
  <si>
    <t>https://gcko.io/research</t>
  </si>
  <si>
    <t>cryptoworld2020</t>
  </si>
  <si>
    <t>Cryptocurrency World</t>
  </si>
  <si>
    <t>Currency Exchange</t>
  </si>
  <si>
    <t>All about crypto currencies &amp; digital assets. Updates, news, analysis and advertising. 
ADVERT ENQUIRIES, DM  or EMAIL: worldpublicityblog@gmail.com</t>
  </si>
  <si>
    <t>its_crypto_currency_</t>
  </si>
  <si>
    <t>Crypto currency</t>
  </si>
  <si>
    <t>In this informative video, we delve into the world of cryptocurrency, exploring its origins, key concepts, and the technology that underpins it. Viewe</t>
  </si>
  <si>
    <t>https://www.youtube.com/@Next-GencryptoFinance</t>
  </si>
  <si>
    <t>thegccoin</t>
  </si>
  <si>
    <t>GCC |  Cryptocurrency</t>
  </si>
  <si>
    <t>$GCC is an innovative decentralized cryptocurrency To Power a Fastest And Easiest Way To Buy, Sell And Trade</t>
  </si>
  <si>
    <t>https://bio.link/gccoin</t>
  </si>
  <si>
    <t>acewitdaspade</t>
  </si>
  <si>
    <t>Ace | Cybersecurity💻</t>
  </si>
  <si>
    <t>💻 HelpingVets, GS employees, Tech Pros &amp; CareerChangers Level Up w Govtech🌎
📆JOIN MY FREE DISCORD ⬇️
📧: Acewitdaspade@gmail.com</t>
  </si>
  <si>
    <t>https://linktr.ee/acewitdaspade</t>
  </si>
  <si>
    <t>addielamarr.sh</t>
  </si>
  <si>
    <t>addie | hacking &amp; cybersecurity</t>
  </si>
  <si>
    <t>🧠 Quantum security x cyber resistance  
💌 Privacy, surveillance &amp; autonomy  
📚 Guides they don’t want you to find
🌷 Join the Cyber Resistance ↓</t>
  </si>
  <si>
    <t>https://addie-clark.mykajabi.com/offers/ezpjgaN5/checkout</t>
  </si>
  <si>
    <t>cisagov</t>
  </si>
  <si>
    <t>Cybersecurity &amp; Infrastructure Security Agency</t>
  </si>
  <si>
    <t>America's Cyber Defense Agency and National Coordinator for critical infrastructure security &amp; resilience. Likes, reshares, follows ≠ endorsements.</t>
  </si>
  <si>
    <t>http://sprout.link/cisagov/</t>
  </si>
  <si>
    <t>_.cybersecurity_</t>
  </si>
  <si>
    <t>ماتريكس سايبر</t>
  </si>
  <si>
    <t>تبسيط الأمن السيبراني  
حماية جهازك • خصوصيتك • معلوماتك  
محتوى توعوي تقني بأسلوب سهل وبسيط  
من العراق | هدفنا: وعي رقمي حقيقي</t>
  </si>
  <si>
    <t>https://t.me/matrix_cyber</t>
  </si>
  <si>
    <t>cybersecurity_01</t>
  </si>
  <si>
    <t>CyberSecurity📲🔧</t>
  </si>
  <si>
    <t>THR33MA: 4F T7 T3 EU
T3L3GRAM: @CyberSecurityy001
📲 ‪ +52 311 120 5888
⬇️WEB⬇️ @cybersecurityy_02 @cybersecurityy_03</t>
  </si>
  <si>
    <t>cybersecurity_career</t>
  </si>
  <si>
    <t>Cybersecurity_Career</t>
  </si>
  <si>
    <t>Consejero en Ciberseguridad</t>
  </si>
  <si>
    <t>cybersecuritygirl</t>
  </si>
  <si>
    <t>Caitlin Sarian | Cybersecurity Girl | Online Security | AI</t>
  </si>
  <si>
    <t>🔐Helping you stay safe online
🧠 Simple Cyber &amp; Privacy tips
🌍#1 Cybersecurity creator in 🌎
👇 Start your career, DM FREE for intro course</t>
  </si>
  <si>
    <t>https://www.cybersecuritygirl.com/tools</t>
  </si>
  <si>
    <t>cybersecurityhub</t>
  </si>
  <si>
    <t>Cybersecurity hub</t>
  </si>
  <si>
    <t>Best cybersecurity memes 🐧
✉️ cysechub1@gmail.com</t>
  </si>
  <si>
    <t>https://discord.gg/YEDmPEB5</t>
  </si>
  <si>
    <t>cybersecurityup</t>
  </si>
  <si>
    <t>CybersecurityUP</t>
  </si>
  <si>
    <t>Computer Company</t>
  </si>
  <si>
    <t>👨‍💻L’unica azienda che forma professionisti in cybersecurity 
🔥Dagli hacker per gli hacker 
📲 Scrivici al 3755931011
👇🏻tutto ciò che devi sapere</t>
  </si>
  <si>
    <t>https://linktr.ee/cybersecurityup</t>
  </si>
  <si>
    <t>cyberwithben</t>
  </si>
  <si>
    <t>Ben 👨🏻‍💻 Cybersecurity Analyst</t>
  </si>
  <si>
    <t>⚡️ I Help Beginners Break into Cybersecurity
👨🏻‍💻 Career • Lifestyle • Motivation
🦾 @cyberxtraining 
📧 cyberwithben@smoothmedia.co
📲 95k+ YT ⤵️</t>
  </si>
  <si>
    <t>https://linktr.ee/cyberwithben</t>
  </si>
  <si>
    <t>hack_snack</t>
  </si>
  <si>
    <t>CyberSecurity | Hacking | Tech</t>
  </si>
  <si>
    <t>⚔️ | Cybersecurity
🛡️ | Ethical H*cking  
👨‍💻 | Technology
Keeping you #secure ! 
#cybersecurity #technology #hacking
#️⃣ #hack_snack
🔗 Link 👇</t>
  </si>
  <si>
    <t>http://linktr.ee/hacksnack</t>
  </si>
  <si>
    <t>hackwithpratik</t>
  </si>
  <si>
    <t>Pratik Gaikwad | Cybersecurity and Hacking Expert</t>
  </si>
  <si>
    <t>📝| Helping Techies to Earn Millions through BugBounty
🏆| 100+ Bounties Recognitions from Apple, Facebook,etc
⬇️ | Start Ethical Hacking Today!</t>
  </si>
  <si>
    <t>https://superprofile.bio/bookings/hackwithpratik</t>
  </si>
  <si>
    <t>thecybersecuritybabe</t>
  </si>
  <si>
    <t>Kourtney Hayes, MBA | Cybersecurity Leader| Tech Content Creator</t>
  </si>
  <si>
    <t>DC📍Helping women thrive in tech, faith &amp; lifestyle
💻CyberSec Leader @ AWS| CEH•SEC+
💌Collabs: info@thecybersecuritybabe.com
📅Book a Coaching with me⬇️</t>
  </si>
  <si>
    <t>https://stan.store/thecybersecuritybabe</t>
  </si>
  <si>
    <t>bestcycling</t>
  </si>
  <si>
    <t>Bestcycling 🚴‍♂️🤙 Generando felicidad, practica Bestcycling</t>
  </si>
  <si>
    <t>Miles de clases de #cicloindoor, fitness online y nutrición
Prueba gratis 📲👇</t>
  </si>
  <si>
    <t>https://mtr.bio/bestcycling</t>
  </si>
  <si>
    <t>cyclingbears</t>
  </si>
  <si>
    <t>Cycling Bears</t>
  </si>
  <si>
    <t>Wellness Space &amp; Luxury Gym Designer
Buy Luxury Fitness Equipment - PENT. NOHRD Stil-Fit Ciclotte
Recovery Equipment
Global Shipping</t>
  </si>
  <si>
    <t>http://www.cyclingbears.com</t>
  </si>
  <si>
    <t>cyclingbrat</t>
  </si>
  <si>
    <t>J E N</t>
  </si>
  <si>
    <t>Full time brat, part time cyclist 
Supported by @attaquer | @insta360 | @strava | @thefeedme 
📍 Miami, FL</t>
  </si>
  <si>
    <t>https://linktr.ee/Cyclingbrat</t>
  </si>
  <si>
    <t>cyclingdeath</t>
  </si>
  <si>
    <t>𝗞 𝗜 𝗥 𝗜 𝗟 𝗟</t>
  </si>
  <si>
    <t>🌶️ The spiciest cycling content on the gram
📸 @insta360 
🌴 Miami, FL
💪🏻 Cycling / Gym Fitness Plans👇🏻
📩 info@cyclingdeath.com</t>
  </si>
  <si>
    <t>https://linktr.ee/cyclingdeath</t>
  </si>
  <si>
    <t>cyclingfrogcbd</t>
  </si>
  <si>
    <t>Cycling Frog</t>
  </si>
  <si>
    <t>🎉 Life’s short. Enjoy the ride.
🌱 based products for the masses 
👉 Must be of legal age in your state</t>
  </si>
  <si>
    <t>https://linktr.ee/cyclingfrog</t>
  </si>
  <si>
    <t>cyclingnews_feed</t>
  </si>
  <si>
    <t>Cyclingnews</t>
  </si>
  <si>
    <t>The world centre of cycling
Racing, news, tech, interviews, analysis and more from the world’s largest road cycling website</t>
  </si>
  <si>
    <t>https://likeshop.me/cyclingnews_feed</t>
  </si>
  <si>
    <t>cycling.sina</t>
  </si>
  <si>
    <t>Sabrina Fischer</t>
  </si>
  <si>
    <t>𝗙𝗼𝗿𝗺𝗲𝗿 𝗠𝗼𝘁𝗼𝗿𝘀𝗽𝗼𝗿𝘁 𝗘𝗻𝗴𝗶𝗻𝗲𝗲𝗿 𝗴𝗼𝗻𝗲 𝗿𝗼𝗴𝘂𝗲.
𝗦𝗽𝗼𝗿𝘁𝘆 𝘀𝗽𝗶𝗰𝗲 𝗮𝗻𝗱 𝗺𝘆 𝘀𝘁𝗮𝗿𝘁𝘂𝗽 @flite.bike
🟢 FLITEDECK DROP 3 IS LIVE👇🏼 Secure yours for 2026 now!</t>
  </si>
  <si>
    <t>https://linktr.ee/sabrina_fischer</t>
  </si>
  <si>
    <t>cyclingspy</t>
  </si>
  <si>
    <t>Cycling Spy</t>
  </si>
  <si>
    <t>Uncovering the tech secrets of the cycling world. 🕵️</t>
  </si>
  <si>
    <t>http://cyclingspy.substack.com</t>
  </si>
  <si>
    <t>cyclingstigram</t>
  </si>
  <si>
    <t>Cycling</t>
  </si>
  <si>
    <t>🌎 Cycling World 🌎
➡️ Best Cycling community on IG
️🛒 Click to Shop 👕👇</t>
  </si>
  <si>
    <t>https://zshorten.com/qOLxa</t>
  </si>
  <si>
    <t>cyclingweeklymagazine</t>
  </si>
  <si>
    <t>Cycling Weekly</t>
  </si>
  <si>
    <t>📰 In print every week since 1891
💻 Online
🎥 Join us on YouTube
Get inspired to ride with our product tests, race coverage and expert fitness advice</t>
  </si>
  <si>
    <t>https://www.cyclingweekly.com/</t>
  </si>
  <si>
    <t>globalcyclingnetwork</t>
  </si>
  <si>
    <t>GCN - Global Cycling Network</t>
  </si>
  <si>
    <t>The Global Cycling Network is the fastest growing online cycling community. Join us for skills, maintenance, cycling adventures and much more!</t>
  </si>
  <si>
    <t>http://gcn.eu/LinkinBio</t>
  </si>
  <si>
    <t>tntsportscycling</t>
  </si>
  <si>
    <t>TNT Sports Cycling</t>
  </si>
  <si>
    <t>The Home of Cycling 
🚴🚲🚵</t>
  </si>
  <si>
    <t>https://youtube.com/@TNTSportsCycling</t>
  </si>
  <si>
    <t>uci_cycling</t>
  </si>
  <si>
    <t>UCI</t>
  </si>
  <si>
    <t>🚲 Official UCI account
🎬 Follow the action on UCI YouTube 👇</t>
  </si>
  <si>
    <t>https://linktr.ee/uci_cycling</t>
  </si>
  <si>
    <t>usacycling</t>
  </si>
  <si>
    <t>USA Cycling</t>
  </si>
  <si>
    <t>Welcome to the official account of USA Cycling, the national governing body for cycling in the United States. 🇺🇸🚲 #RideWithUS</t>
  </si>
  <si>
    <t>http://linktr.ee/usacycling</t>
  </si>
  <si>
    <t>dadlifejason</t>
  </si>
  <si>
    <t>Jason Linton</t>
  </si>
  <si>
    <t>Foster/Adoptive Dad| Hubby| Fun guy| Talkboxer. Email: Dadlifejason@gmail.com</t>
  </si>
  <si>
    <t>tsa</t>
  </si>
  <si>
    <t>Travel Tips &amp; Dad Joke Hits 🎶</t>
  </si>
  <si>
    <t>🤣 Princess of Puns
🐶 King of K9s
🧳 Teller of Travel Tips
🚫 Passion for Prohibited Items
❤️ Admirer of Alliteration
📥 DMs are automated</t>
  </si>
  <si>
    <t>https://www.tsa.gov/linkinbio</t>
  </si>
  <si>
    <t>dailycardsinspiration</t>
  </si>
  <si>
    <t>Daily inspiration</t>
  </si>
  <si>
    <t>🌟Daily inspirational messages from the angels!    
⭐️Theta Healing Practitioner
👇 Book 1-1 Healing Session 
 #dailyinspiration#healingvibrations</t>
  </si>
  <si>
    <t>https://linktr.ee/eranova</t>
  </si>
  <si>
    <t>daily_inspiration65</t>
  </si>
  <si>
    <t>Daily Inspirations</t>
  </si>
  <si>
    <t>Bismillah..നല്ലത് മാത്രം ചിന്തിക്കുകയും പ്രവർത്തിക്കുകയും ചെയ്യുക. 
https://www.facebook.com/pr</t>
  </si>
  <si>
    <t>daily_inspiration926</t>
  </si>
  <si>
    <t>Daily_inspiration</t>
  </si>
  <si>
    <t>▪️Turning dreams into goals, and goals into reality. 🌟 🫡 Dm for paid promotion 📌
▪️In the pursuit of excellence and achievements</t>
  </si>
  <si>
    <t>daily_inspirational_</t>
  </si>
  <si>
    <t>Daily Inspiration</t>
  </si>
  <si>
    <t>Posts to get you through your day 💯</t>
  </si>
  <si>
    <t>daily_inspirationalhub</t>
  </si>
  <si>
    <t>DailyInspirationalHub</t>
  </si>
  <si>
    <t>🕉 namah shivay🙇‍♀️
🔷️ "Dream big, work hard, stay focused"
🔷️motivational quotes/student life quotes</t>
  </si>
  <si>
    <t>daily_inspirational_thought</t>
  </si>
  <si>
    <t>inspirational_thoughts</t>
  </si>
  <si>
    <t>👉 Motivation || Inspiration 
👉 Be positive and spread positivity 
👉 DM for logo, promo at cheap rate.</t>
  </si>
  <si>
    <t>hennainspire</t>
  </si>
  <si>
    <t>Daily Henna Inspiration</t>
  </si>
  <si>
    <t>🔸Henna inspiration page only
🔹Say no to chemical/black henna cones 
🔸Promotional advertising available #hennainspire</t>
  </si>
  <si>
    <t>https://linktr.ee/hennainspire</t>
  </si>
  <si>
    <t>bwbyaz</t>
  </si>
  <si>
    <t>DAILY OUTFIT</t>
  </si>
  <si>
    <t>📍 IDN 🇮🇩 
LIVE ON SHOPEE &amp; TIKTOK EVERYDAY
—
@bwbyazmomkids 
@bwbyazstudio 
Shipping worldwide🌏
Operational hours 08.00-16.00
order klik link👇🏻</t>
  </si>
  <si>
    <t>https://linktr.ee/bwbyaz</t>
  </si>
  <si>
    <t>caryslouisebrandon</t>
  </si>
  <si>
    <t>Carys Louise Brandon | Daily Outfit Ideas</t>
  </si>
  <si>
    <t>Your mam friend for confidence, style &amp; fashion tips to make getting dressed fun &amp; effortless again ✨ 
💌 carys@redetalent.com
Founder: @wearesundies 💕</t>
  </si>
  <si>
    <t>https://www.shopltk.com/explore/caryslouisebrandon</t>
  </si>
  <si>
    <t>daily_outfit_share</t>
  </si>
  <si>
    <t>DAILY OUTFIT SHARE | VIRTUAL STYLING | Emilia</t>
  </si>
  <si>
    <t>Daily outfit inspo with timeless pieces from high street. And with a bit of luxury. 🩶
#daily_outfit_share
🛍 Shop my outfits here:⤵️</t>
  </si>
  <si>
    <t>https://www.shopltk.com/explore/daily_outfit_share?web_share_path=creator-shop-share</t>
  </si>
  <si>
    <t>dailyoutfits.ks</t>
  </si>
  <si>
    <t>𝐃 𝐀 𝐈 𝐋 𝐘</t>
  </si>
  <si>
    <t>📍𝐅𝐮𝐬𝐡𝐞̈ 𝐊𝐨𝐬𝐨𝐯𝐞̈ – 𝐚𝐟𝐞̈𝐫 𝐀𝐀𝐁  { 10:00 - 22:00 }
📍𝐏𝐫𝐢𝐬𝐡𝐭𝐢𝐧𝐞̈ – 𝐔𝐥𝐩𝐢𝐚𝐧𝐞̈ { 9:00 - 21:00 }</t>
  </si>
  <si>
    <t>daily__outfitt</t>
  </si>
  <si>
    <t>Daily outfit</t>
  </si>
  <si>
    <t>Inspo outfit e nuovi trend ogni giorno
Seguimi per non perderti nessuna novità!🖤</t>
  </si>
  <si>
    <t>https://www.amazon.it/ideas/amzn1.account.AHNEBFXI5IDGXAOXV2SQV5HCPF6A?ref=idea_yil_tab</t>
  </si>
  <si>
    <t>summerjadestyle</t>
  </si>
  <si>
    <t>Summer Jade | Daily Outfit Inspo | Brighton 🍓</t>
  </si>
  <si>
    <t>the dress girl 🎀 
info.summerjade@gmail.com
Brighton / London
Shop my looks &gt;&gt;</t>
  </si>
  <si>
    <t>https://linktr.ee/summerjadestyle</t>
  </si>
  <si>
    <t>bhabhi.pari</t>
  </si>
  <si>
    <t>👇🥵exclusive content 💦👇</t>
  </si>
  <si>
    <t>http://t.me/deepika3312</t>
  </si>
  <si>
    <t>daily_vlog_2424</t>
  </si>
  <si>
    <t>Sr_mondal</t>
  </si>
  <si>
    <t>আমি সবাই কে সাহায্য করতে চাই"।💯🙏
I want to help everyone</t>
  </si>
  <si>
    <t>https://www.youtube.com/@Dailyvlog_2424</t>
  </si>
  <si>
    <t>vlog_world_01</t>
  </si>
  <si>
    <t>Daily_vlog</t>
  </si>
  <si>
    <t>public figure✨
40k+ sub on YouTube 🔱
DM for paid promotion 
जय श्री राम 🙏</t>
  </si>
  <si>
    <t>@Dance</t>
  </si>
  <si>
    <t>Welcome to @dance empowered by global dance community @dybrkr
Apply to perform with us here.👇💃🏻🕺</t>
  </si>
  <si>
    <t>https://linktr.ee/daybreaker</t>
  </si>
  <si>
    <t>dancegavindance</t>
  </si>
  <si>
    <t>Dance Gavin Dance</t>
  </si>
  <si>
    <t>Space Cow Initiation Ritual OUT NOW 🍓 
PANTHEON 9.12.25 ♾️</t>
  </si>
  <si>
    <t>https://dancegavindance.lnk.to/Pantheon</t>
  </si>
  <si>
    <t>dancejoy</t>
  </si>
  <si>
    <t>Dance Videos</t>
  </si>
  <si>
    <t>A community of Dancers</t>
  </si>
  <si>
    <t>dancemomstv</t>
  </si>
  <si>
    <t>Dance Moms</t>
  </si>
  <si>
    <t>The official show page for Dance Moms on @lifetimetv.✨</t>
  </si>
  <si>
    <t>https://www.mylifetime.com/shows/dance-moms</t>
  </si>
  <si>
    <t>dancemovestudio</t>
  </si>
  <si>
    <t>Dance&amp;Move</t>
  </si>
  <si>
    <t>👟 Clases de baile.
✨ Carrera de intérprete en #streetdance @carreradancemove 
🎬 Agencia de bailarines.
📹 Alquiler de salones.</t>
  </si>
  <si>
    <t>https://forms.gle/h2G9XRYQMcP1xhA6A</t>
  </si>
  <si>
    <t>dance.y.dance</t>
  </si>
  <si>
    <t>sintia.dance.y.dance</t>
  </si>
  <si>
    <t>the best of dance. Latin dance. ballroom dance
.• Divulgações e parcerias via direct
If you want to support me:
PayPal: motasantostina@gmail.com</t>
  </si>
  <si>
    <t>harmony_dance_studio</t>
  </si>
  <si>
    <t>𝐇𝐚𝐫𝐦𝐨𝐧𝐲 𝐃𝐚𝐧𝐜𝐞 𝐒𝐭𝐮𝐝𝐢𝐨</t>
  </si>
  <si>
    <t>Dance School</t>
  </si>
  <si>
    <t>🔹️High Level Rəqs Studiyası
🔹️ТОP MÜƏLLİMLƏR
🔹️28 May metrosundan 5 dəq yol
📲 +99455 600 55 86/+994 55 700 55 86
Rəqsin dilində danışırıq!💃🏻❤️‍🔥🕺🏻</t>
  </si>
  <si>
    <t>https://m.facebook.com/HarmonyDanceStudio1?ref=bookmark</t>
  </si>
  <si>
    <t>nadjamarina.dance</t>
  </si>
  <si>
    <t>Nadja Marina</t>
  </si>
  <si>
    <t>𝑭𝒆𝒆𝒍 𝒊𝒕, 𝒅𝒂𝒏𝒄𝒆 𝒊𝒕
I teach women to dance with emotions &amp; 
build confidence • self-love • resilience
@nadjamarina.classes 💃 only ladies</t>
  </si>
  <si>
    <t>http://link.me/nadjamarina</t>
  </si>
  <si>
    <t>q_dance</t>
  </si>
  <si>
    <t>Q-dance</t>
  </si>
  <si>
    <t>The official Q-dance Instagram account.
Representing the harder styles in dance music.</t>
  </si>
  <si>
    <t>https://linktr.ee/q_dance</t>
  </si>
  <si>
    <t>bosschickdanceworkout</t>
  </si>
  <si>
    <t>The Boss Chick Dance Workout®</t>
  </si>
  <si>
    <t>🏆 1st All-Female Twerk Fitness Worldwide Brand
👑 Hip-Hop, Dancehall, Afrobeats Twerkout 👑
🧠 Created by @SimoneSobers 
7 Day Beginner Twerk Program 👇🏾</t>
  </si>
  <si>
    <t>https://linktr.ee/bosschickdanceworkout</t>
  </si>
  <si>
    <t>kukuwafitness</t>
  </si>
  <si>
    <t>KUKUWA FITNESS AFRICAN DANCE WORKOUT</t>
  </si>
  <si>
    <t>We help ordinary people get extraordinary results and happiness
🌍 Join our global community 
👇🏼 FREE 7-Day trial!</t>
  </si>
  <si>
    <t>http://linktr.ee/kukuwafitness/</t>
  </si>
  <si>
    <t>vanessadanceworkout</t>
  </si>
  <si>
    <t>Vanessa S. | Dance Workouts</t>
  </si>
  <si>
    <t>🤸🏼Dance-inspired workouts to look &amp; feel good 
🩰 Ballet &amp; Heels dancer 
📍 Potsdam, Germany
💻 @reinhardtundsommer</t>
  </si>
  <si>
    <t>https://www.youtube.com/@vanessadanceworkout</t>
  </si>
  <si>
    <t>data_science__</t>
  </si>
  <si>
    <t>Python • ML • AI</t>
  </si>
  <si>
    <t>Artificial Intelligence | 🤖 | Machine Learning
Deep learning | 🧠 | Neural networks
Python | 🐍</t>
  </si>
  <si>
    <t>data.science</t>
  </si>
  <si>
    <t>Data Science</t>
  </si>
  <si>
    <t>#DataScience #MachineLearning #AI</t>
  </si>
  <si>
    <t>data.science.beginners</t>
  </si>
  <si>
    <t>DATA SCIENCE</t>
  </si>
  <si>
    <t>Data Scientist | 4 Yrs Experience | Gen AI
Specializing in Python, SQL, ML, and career guidance</t>
  </si>
  <si>
    <t>https://rzp.io/rzp/notesDSB</t>
  </si>
  <si>
    <t>datasciencebrain</t>
  </si>
  <si>
    <t>Deepak Jose | Data Science &amp; Gen AI</t>
  </si>
  <si>
    <t>Empowering 450K+ learners to master AI + Data Science
Free training | PDF guides | Insider tips  
⬇️  What’s your next skill?</t>
  </si>
  <si>
    <t>https://linktr.ee/datasciencebrain</t>
  </si>
  <si>
    <t>datascienceindo</t>
  </si>
  <si>
    <t>Data Science Indonesia</t>
  </si>
  <si>
    <t>Komunitas pegiat teknologi-data terbesar di Indonesia sejak tahun 2015</t>
  </si>
  <si>
    <t>https://linktr.ee/datascienceid</t>
  </si>
  <si>
    <t>data_science_learn</t>
  </si>
  <si>
    <t>Data Science | Machine Learning | AI</t>
  </si>
  <si>
    <t>🤖 Simplifying AI and Data Science! 
✨Join our community and DM for collaborations! 
📝Explore our courses ⬇️</t>
  </si>
  <si>
    <t>https://forms.gle/wfqxEYQv157GuXSC9</t>
  </si>
  <si>
    <t>datasciencepe</t>
  </si>
  <si>
    <t>Data Science Research Perú</t>
  </si>
  <si>
    <t>🚀 Programas y cursos 80% prácticos en ciencia de datos.
🧑‍💻 Hemos capacitado + 6000 profesionales en Latam.</t>
  </si>
  <si>
    <t>https://bit.ly/datascienceperu</t>
  </si>
  <si>
    <t>datasciencepocket</t>
  </si>
  <si>
    <t>Data Science in your Pocket</t>
  </si>
  <si>
    <t>YouTube : https://www.youtube.com/@datascienceinyourpocket</t>
  </si>
  <si>
    <t>https://youtube.com/@datascienceinyourpocket?si=Naje9MBj6MPmi9jp</t>
  </si>
  <si>
    <t>dsacademybr</t>
  </si>
  <si>
    <t>Data Science Academy</t>
  </si>
  <si>
    <t>Portal Brasileiro de Capacitação Profissional Online em Data Science, Big Data, Machine Learning, Inteligência Artificial, RPA e Blockchain.</t>
  </si>
  <si>
    <t>https://blog.dsacademy.com.br/guia-de-carreira-analista-de_dados/</t>
  </si>
  <si>
    <t>meglovesdata</t>
  </si>
  <si>
    <t>Megan Lieu • Tech &amp; Data Science</t>
  </si>
  <si>
    <t>📍 Washington, DC
🤝 Your tech career and LinkedIn advice girly
💌 Collabs at hello@meganlieu.com
👇 Join the Mastering LinkedIn waitlist</t>
  </si>
  <si>
    <t>https://bit.ly/ml-waitlist-instagram</t>
  </si>
  <si>
    <t>the.datascience.gal</t>
  </si>
  <si>
    <t>Aishwarya Srinivasan | LinkedIn AI Top Voice | AI Advisor</t>
  </si>
  <si>
    <t>I help you break into AI
SF 🇺🇸
760k+ (LinkedIn,IG,YT)⭐️
Global Speaker(100+ sessions)
Ex @microsoft @google @ibm
📩 partnerships@illuminate-ai.org</t>
  </si>
  <si>
    <t>https://youtube.com/@aishwaryasrinivasan?si=nwqZ_JvwI5l-qFH0</t>
  </si>
  <si>
    <t>architectanddesign</t>
  </si>
  <si>
    <t>Architecture &amp; Design</t>
  </si>
  <si>
    <t>🌍 The best Architecture &amp; Design platform.
📩 Contact: info@architectanddesign.net</t>
  </si>
  <si>
    <t>https://youtube.com/shorts/w5NEMv-TSyY?feature=shared</t>
  </si>
  <si>
    <t>base_design</t>
  </si>
  <si>
    <t>Consulting agency</t>
  </si>
  <si>
    <t>Singular ideas, strong brands.
Brussels | New York | Geneva | Melbourne
Base Group is @bcorporation certified.</t>
  </si>
  <si>
    <t>https://www.basedesign.com</t>
  </si>
  <si>
    <t>caffe_design</t>
  </si>
  <si>
    <t>Caffè Design</t>
  </si>
  <si>
    <t>La tua gang di Designer preferita 😈
Parliamo di design in modo facile.
Facciamo il design che ti fa discutere.
Ambassador @milanocortina2026</t>
  </si>
  <si>
    <t>https://www.caffe.design</t>
  </si>
  <si>
    <t>Instagram’s @design</t>
  </si>
  <si>
    <t>Discover design through the eyes of creators ✨</t>
  </si>
  <si>
    <t>https://apps.apple.com/us/app/edits-an-instagram-app/id6738967378</t>
  </si>
  <si>
    <t>designmilk</t>
  </si>
  <si>
    <t>Design Milk</t>
  </si>
  <si>
    <t>Dedicated to modern design</t>
  </si>
  <si>
    <t>https://sprout.link/designmilk</t>
  </si>
  <si>
    <t>design.only</t>
  </si>
  <si>
    <t>Design.Only</t>
  </si>
  <si>
    <t>Business Inquiries:
• 📩 [ contactonly@icloud.com ]
•Tag [ #Design_Only ]</t>
  </si>
  <si>
    <t>http://instagram.com/product.only</t>
  </si>
  <si>
    <t>designoostende</t>
  </si>
  <si>
    <t>DesignOostende</t>
  </si>
  <si>
    <t>http://www.designoostende.be</t>
  </si>
  <si>
    <t>diellzadesign_</t>
  </si>
  <si>
    <t>Diellza Design</t>
  </si>
  <si>
    <t>Fashion &amp; Design 
📍 Prishtine , Arberi 
WORLDWIDE SHIPPING 🌍
•Contact for online orders 
Whatsapp +38344836942 or DM 
📧 diellzadesign@gmail.com</t>
  </si>
  <si>
    <t>haydesign</t>
  </si>
  <si>
    <t>HAY</t>
  </si>
  <si>
    <t>#HAY #HAYdesign</t>
  </si>
  <si>
    <t>https://linkin.bio/haydesign/</t>
  </si>
  <si>
    <t>interiordesignmag</t>
  </si>
  <si>
    <t>Interior Design</t>
  </si>
  <si>
    <t>Interior Design Media is the definitive resource for all things design.⁣⁣
Get samples overnight with @MaterialBank⁣.
A @sandow company.⁣</t>
  </si>
  <si>
    <t>https://linkin.bio/interiordesignmag</t>
  </si>
  <si>
    <t>moonsol.design</t>
  </si>
  <si>
    <t>moonsolstice designs</t>
  </si>
  <si>
    <t>Cupcake Shop</t>
  </si>
  <si>
    <t>templates • designs • digital scrapbook
is a 🎨🖼🎀🎞📚 girl
💌 inq: mooonsstudio@gmail.com
click link in bio for more templates 👇</t>
  </si>
  <si>
    <t>https://msha.ke/moonsolstice</t>
  </si>
  <si>
    <t>notable__design</t>
  </si>
  <si>
    <t>NotableⓇ</t>
  </si>
  <si>
    <t>DESIGN EXPERIENCE
﹂ Diseño de interiores
﹂ Fabricación de Mobiliario contemporáneo</t>
  </si>
  <si>
    <t>http://www.notable.mx</t>
  </si>
  <si>
    <t>dedesserts</t>
  </si>
  <si>
    <t>Dē Desserts</t>
  </si>
  <si>
    <t>BOLOS PARA CELEBRAR A VIDA!
Sob encomenda - 4 dias úteis de antec
Linha Celebrar dia a dia - 1 dia útil
Por @deandreoti
📲 CONTATO NO LINK👇</t>
  </si>
  <si>
    <t>https://linktr.ee/DE_DESSERTS</t>
  </si>
  <si>
    <t>dessert.s</t>
  </si>
  <si>
    <t>Delicious Desserts</t>
  </si>
  <si>
    <t>Burn calories with Matcha 🍵 👇🏻👇🏻👇🏻</t>
  </si>
  <si>
    <t>http://www.matchamachine.co/</t>
  </si>
  <si>
    <t>dessert_sy</t>
  </si>
  <si>
    <t>Dessert</t>
  </si>
  <si>
    <t>📌 Specialists in food, sweets and decorations
📌  We bake 👨🏻‍🍳👩🏻‍🍳 your cake 🎂
📌  Aleppo 🇸🇾
📌  ☎️ 2639669 - 📱0966712222</t>
  </si>
  <si>
    <t>https://www.facebook.com/we.bake.your.cake?mibextid=LQQJ4d</t>
  </si>
  <si>
    <t>dollys.desserts</t>
  </si>
  <si>
    <t>Dolly’s Desserts</t>
  </si>
  <si>
    <t>ORDER OUR COOKBOOK 📚🥳 (Link Below) 
📍S70, Email:dollysdessertscustomerhelp@gmail.com
@charlie.smark 
@janined76  
💌 Collabs:imogen@pwrmanagement.co.uk</t>
  </si>
  <si>
    <t>https://lnk.bio/AllSocials</t>
  </si>
  <si>
    <t>gigi.desserts</t>
  </si>
  <si>
    <t>Gigi desserts | Kattia Lagunas</t>
  </si>
  <si>
    <t>Cakes, Desserts &amp; Sweets 
Wedding &amp; Quinceañera cakes 
Desserts table &amp; charcuterie
Utah, USA</t>
  </si>
  <si>
    <t>littledessertshop</t>
  </si>
  <si>
    <t>UK’s Most Viral Desserts</t>
  </si>
  <si>
    <t>🥞 waffles, crepes, pancakes, cookie doughs and more!
🇬🇧 50+ UK locations of pure indulgence
👀 dine-in, collection, takeaway and delivery available</t>
  </si>
  <si>
    <t>https://linktr.ee/littledessertshop</t>
  </si>
  <si>
    <t>stephs_desserts</t>
  </si>
  <si>
    <t>Steph | cheesecake expert + vintage style cakes</t>
  </si>
  <si>
    <t>🍰Home baker &amp; online baking instructor
✨2,000+ students world wide
🧁Grab your FREE recipe cards ⬇️
📍Kerman, CA
🖤James 2:17</t>
  </si>
  <si>
    <t>https://stan.store/stephs_desserts</t>
  </si>
  <si>
    <t>avoccatt_art</t>
  </si>
  <si>
    <t>🤍Digital Artist 🤍</t>
  </si>
  <si>
    <t>🤍Alex🤍
☁️Commissions closed till September 15th(12am UTC+3)
☁️ @avoccatt 
‼️⬇️These links are NOT for booking a slot, just DM me to place a commission</t>
  </si>
  <si>
    <t>https://app.lava.top/avoccattart</t>
  </si>
  <si>
    <t>cyborg.digitalart</t>
  </si>
  <si>
    <t>Cyborg.DigitalArt</t>
  </si>
  <si>
    <t>Motion/Graphics Designer
Imagineart Ambassador | AI enthusiast 🎨🖌️
DM for commissions 💌💌
Checkout the store/apps link  👇👇</t>
  </si>
  <si>
    <t>https://linktr.ee/vampirosapien</t>
  </si>
  <si>
    <t>darya.mist.art</t>
  </si>
  <si>
    <t>✨Digital artist✨</t>
  </si>
  <si>
    <t>Darya•🇷🇺 
@daryamist.art 
Covers 🔸 Character art 🔸 NSFW 
❗️COMMISSIONS FOR 2026 ARE OPEN❗️
💌 DM to save a spot
Procreate✍🏼</t>
  </si>
  <si>
    <t>https://hipolink.me/darja.mist.art</t>
  </si>
  <si>
    <t>digiartprod</t>
  </si>
  <si>
    <t>DIGITAL ART PRODUCTION</t>
  </si>
  <si>
    <t>Welcome to Digiartprod
Partnership with Luna Art</t>
  </si>
  <si>
    <t>digitalartistery</t>
  </si>
  <si>
    <t>Sophia | Digital Art | Illustrations</t>
  </si>
  <si>
    <t>🌐 Best in Digital Art, Start Learning 🎨
📦 Message Us to To Order Your Digital Art♥ 
💠 Join my Channel👇 
💠 Fastest delivery 🚚 
💠 High reviews 🌟🌟🌟</t>
  </si>
  <si>
    <t>digital.art.junky</t>
  </si>
  <si>
    <t>Anna Markowitz</t>
  </si>
  <si>
    <t>Tutorials and brushes for digital artists
Click the link below to download our FREE Brush pack!</t>
  </si>
  <si>
    <t>https://linktr.ee/digitalartjunky</t>
  </si>
  <si>
    <t>digitalartsensei</t>
  </si>
  <si>
    <t>Digital Art Sensei</t>
  </si>
  <si>
    <t>AI Art Creator | Kling AI | Freepik AI|
#digitalartsensei #aiart|
👇🏻Wallpapers, Tutorials,👇🏻
Free Image &amp;Video Generator tool👇</t>
  </si>
  <si>
    <t>https://linktr.ee/digitalartsensei</t>
  </si>
  <si>
    <t>digitally.art</t>
  </si>
  <si>
    <t>Digitally Art</t>
  </si>
  <si>
    <t>DIGITALLY ART 
Tag and #digitallyart to be featured!
The best community of creatives!</t>
  </si>
  <si>
    <t>madie_arts</t>
  </si>
  <si>
    <t>Madie | Digital Artist</t>
  </si>
  <si>
    <t>Illustrator/ Game Artist/ Comic Artist
📚my book “Aylin” OUT NOW @lelombard
🛍️SHOP: prints, stickers, pins &amp; more
Collabs/Business inquires via email 📥</t>
  </si>
  <si>
    <t>http://www.madiearts.com/</t>
  </si>
  <si>
    <t>nois7</t>
  </si>
  <si>
    <t>Robert Jahns | Digital Artist &amp; Photographer</t>
  </si>
  <si>
    <t>Discover global magic with an award-winning Artist &amp; Photographer. Join my journeys.
🌍Traveled the World 3x
✉️contact@nois7.com
👇🏼Prints, Book &amp; More</t>
  </si>
  <si>
    <t>https://www.nois7.com/the-art-of-noticing</t>
  </si>
  <si>
    <t>thisprocreate</t>
  </si>
  <si>
    <t>Digital Art</t>
  </si>
  <si>
    <t>✍️ Artwork with procreate application
🔔Turn on Notifications &amp; get daily updates.
🎨 Custom Brush &amp; Tutorial 👇</t>
  </si>
  <si>
    <t>https://linktr.ee/mgof</t>
  </si>
  <si>
    <t>bakyt_abdishov</t>
  </si>
  <si>
    <t>DIGITAL NOMAD</t>
  </si>
  <si>
    <t>Tech enthusiast👨🏻‍💻
Co-Founder @esalclub @alga.mortgage @choyrocom @murasclub @kyrgyz_town
DM for collab 📩
YouTube/Telegram⬇️</t>
  </si>
  <si>
    <t>http://myurls.co/kg_usa</t>
  </si>
  <si>
    <t>daisystraveldiaries</t>
  </si>
  <si>
    <t>Daisy 🌼| Digital Nomad &amp; Solo Travel Tips</t>
  </si>
  <si>
    <t>Chaotic reality of full time travel &amp; life in your 30s  
14 years of travel to 68 countries:📍🇬🇧
💌 daisystraveldiaries@gmail.com
Baby: @globe.strutters</t>
  </si>
  <si>
    <t>https://stan.store/daisystraveldiaries</t>
  </si>
  <si>
    <t>_digital_nomad</t>
  </si>
  <si>
    <t>I STAND WITH ISRAEL 🇮🇱 🎗️</t>
  </si>
  <si>
    <t>Proud Zionist 🇮🇱 ✡️</t>
  </si>
  <si>
    <t>digitalnomad_dz</t>
  </si>
  <si>
    <t>Digital Nomad</t>
  </si>
  <si>
    <t>🎬 Welcome to the Nomad Squad 🏴‍☠️
Canon Enthusiast 💯 Hyprid Shooter 📷
My body is here 🇩🇿 My soul is there 🇵🇸</t>
  </si>
  <si>
    <t>digital.nomad.info</t>
  </si>
  <si>
    <t>Digital Nomad Info</t>
  </si>
  <si>
    <t>🌎 Nomad news, tips and information. 
👇 Free city guides.</t>
  </si>
  <si>
    <t>http://nomadinfo.io</t>
  </si>
  <si>
    <t>digitalnomadpov</t>
  </si>
  <si>
    <t>POV: Digital Nomad</t>
  </si>
  <si>
    <t>Learn the Skills to achieve True Freedom working remotely from anywhere 🌏 👇👇👇</t>
  </si>
  <si>
    <t>https://povdigitalnomad.com/</t>
  </si>
  <si>
    <t>doch_severa</t>
  </si>
  <si>
    <t>|Books|    |P.M/analyst|</t>
  </si>
  <si>
    <t>jaden.versluis</t>
  </si>
  <si>
    <t>Jaden Versluis | AirBnB &amp; Hotels, Digital Nomad | Travel</t>
  </si>
  <si>
    <t>✈️Learn how to travel the world and work from anywhere
📈Founder: @triibetalents 
✉️: jaden@triibetalents.com
LEARN HOW⬇️</t>
  </si>
  <si>
    <t>https://stan.store/jaden</t>
  </si>
  <si>
    <t>maryamdigitalnomad</t>
  </si>
  <si>
    <t>Helping #Women #FeelGreat Again 🌟
More #Energy. Fewer #Cravings.
Better #Health — One Simple System.
Save 20% ⤵️</t>
  </si>
  <si>
    <t>https://linktr.ee/maryamalj</t>
  </si>
  <si>
    <t>mynomadfarm</t>
  </si>
  <si>
    <t>Digital Nomad Farm 🌞👩🏻‍🌾🧑🏽‍💻 Coliving meets Farm</t>
  </si>
  <si>
    <t>🪱Meet your Soilmates
🌎Regenerative Living for Digital Nomads
🌈 Coliving and immersions in farms &amp; ecovillages
🔜 Join us at the next farm 🇧🇷🇨🇷👇</t>
  </si>
  <si>
    <t>https://linktr.ee/nomadfarm</t>
  </si>
  <si>
    <t>nomacollectivehq</t>
  </si>
  <si>
    <t>Digital Nomad Community ⚡️</t>
  </si>
  <si>
    <t>Bring your job 💻 we'll bring the world. We curate 3-4 week trips for remote workers featuring co-living, extraordinary experiences and community 🌎</t>
  </si>
  <si>
    <t>https://www.noma-collective.com/location</t>
  </si>
  <si>
    <t>digitalpainting_art</t>
  </si>
  <si>
    <t>Digital Painting</t>
  </si>
  <si>
    <t>Digital painting Art Portrait :  
#Call &amp; #Watsapp :📲 9080541482 
 DIGITAL PAINTING | OIL PAINTING
#DM #Order
All over India delivery 🚚🚚</t>
  </si>
  <si>
    <t>digitalpaintingschool</t>
  </si>
  <si>
    <t>🎨 École de Digital Painting</t>
  </si>
  <si>
    <t>École en ligne &amp; communauté de +30k de passionnés, axée sur l’apprentissage du digital painting !</t>
  </si>
  <si>
    <t>http://digitalpainting.school/lp-blender-sculpting-3d</t>
  </si>
  <si>
    <t>digital_painting_thangam_art</t>
  </si>
  <si>
    <t>NEW THANGAM ART</t>
  </si>
  <si>
    <t>🎁Surprise Your Loved ones with Unique &amp; Customized Gifts 
🖼️We Picture Your Beautiful Memories
🎉Spread Happiness with Your Gifts
📞WhatsApp 7904128959</t>
  </si>
  <si>
    <t>https://newthangamart.com/shop/</t>
  </si>
  <si>
    <t>diy.amazing.diy</t>
  </si>
  <si>
    <t>Tag A Friend&amp;Share This Page!</t>
  </si>
  <si>
    <t>📧 Make.up.vines.promos@gmail.com    
Telegram: MakeupVines
Order here 👇 Link for bio👇</t>
  </si>
  <si>
    <t>diy.malennachzahlen</t>
  </si>
  <si>
    <t>DIY - Malen nach Zahlen 🖌️</t>
  </si>
  <si>
    <t>🎨|Kreativ mit #malennachzahlen
🖼️|Über 3000 Motive
🎁|Wunschmotive
📦|KOSTENLOSER Versand
🔒|Sichere Zahlung &amp; 100% Geld-zurück-Garantie
⬇️Zum Shop</t>
  </si>
  <si>
    <t>https://www.diy-malennachzahlen.de/</t>
  </si>
  <si>
    <t>hairs.diy</t>
  </si>
  <si>
    <t>Daily Hair Tutorials 💇‍♀️</t>
  </si>
  <si>
    <t>💇‍♀️The Best Hair Videos
💆‍♀️Inspiration &amp; Tips, Follow Us If You Love Your Hair!
✊Credit To Owners
📧Business- DM</t>
  </si>
  <si>
    <t>https://maxoutletstore.com/products/aurece-car-cymbal-air-vent-mini-drum-beatride-pro?_pos=1&amp;_psq=car&amp;_ss=e&amp;_v=1.0</t>
  </si>
  <si>
    <t>hellostoredediy</t>
  </si>
  <si>
    <t>HELLO STORE DE DIY💖</t>
  </si>
  <si>
    <t>#1 Tienda DIY en Panamá
📍Condado Mall piso 2.
📍Obarrio, Calle 61 este. 
🎨Manualidades 
🥳Celebra tu cumpleaños
🌈Deja Volar tu creatividad y diviértete</t>
  </si>
  <si>
    <t>https://biolink.info/HelloStore</t>
  </si>
  <si>
    <t>diy_fashion_collection</t>
  </si>
  <si>
    <t>Sewing &amp; Alterations Service</t>
  </si>
  <si>
    <t>#upcycling 
#اعادة_تدوير 
#instagram</t>
  </si>
  <si>
    <t>https://youtube.com/@fatimazahraoff?si=wmuOQJ2OX_vfAtVN</t>
  </si>
  <si>
    <t>diy_fashion_collection2</t>
  </si>
  <si>
    <t>🇲🇦🇲🇦🇲🇦🇲🇦🇲🇦
#youtubevideos #influenceuse 
رابط قناتي على اليوتوب</t>
  </si>
  <si>
    <t>https://www.youtube.com/channel/UCQ1UL4iuw1rmL-oUXVmjPhw</t>
  </si>
  <si>
    <t>diyfshop</t>
  </si>
  <si>
    <t>Diy Fashion Shop | Maquillaje</t>
  </si>
  <si>
    <t>📍| Caracas: Sambil La Candelaria P-30
📍| San Cristóbal: Barrio Obrero C.C casa los mangos
🛍️| www.diyfshop.com
🇻🇪| Envíos a todo el país</t>
  </si>
  <si>
    <t>https://beacons.ai/diyfshop</t>
  </si>
  <si>
    <t>jgw_atelier</t>
  </si>
  <si>
    <t>DIY Fashion / Sewing Creator [정겨운작업실]</t>
  </si>
  <si>
    <t>💙구독자 12만 소잉유튜버⠀
💛17차 재봉틀 공구 9/9~9/17
👇🏻재봉틀공구 / PDF패턴 / Youtube / 원데이 클래스</t>
  </si>
  <si>
    <t>https://link.inpock.co.kr/jgw_atelier</t>
  </si>
  <si>
    <t>angelarosehome</t>
  </si>
  <si>
    <t>Angela Rose | DIY and Design</t>
  </si>
  <si>
    <t>Fearless DIY! Using power tools, design, and heart…to transform our homes! Stop pinning. START DOING.
👇🏼links👇🏼</t>
  </si>
  <si>
    <t>https://msha.ke/angelarosehome</t>
  </si>
  <si>
    <t>athomewithvee_</t>
  </si>
  <si>
    <t>E Okodaso - Vee |Home Decor || DIY Home Projects || Gardening</t>
  </si>
  <si>
    <t>🛠️ Beginner-friendly DIY Home Projects 
🏠 Solo Homeowner making home improvement easy and affordable
📩 Work with me: Vee@86talent.com
📍UK</t>
  </si>
  <si>
    <t>https://www.wickes.co.uk/kimberley-walsh</t>
  </si>
  <si>
    <t>barefoot___wanderer</t>
  </si>
  <si>
    <t>Barefoot Jas  |  DIY  |  Home Builds</t>
  </si>
  <si>
    <t>Building a container house🛠️
Owner Builder learning on the go ✏️
Sustainable &amp; economical approach ♻️
Jango 🐾</t>
  </si>
  <si>
    <t>https://linktr.ee/barefoot___wanderer</t>
  </si>
  <si>
    <t>cozydiyhome</t>
  </si>
  <si>
    <t>Christina Dennis</t>
  </si>
  <si>
    <t>Home &amp; Garden Website</t>
  </si>
  <si>
    <t>🛠️ DIY + Budget-Friendly Decor + Hacks
✨ Make Your Home Cozy + Beautiful 🇨🇦
🛍️ Shop: @cozydiyhomefinds @cozyprairielinens
Get your free guide 👇</t>
  </si>
  <si>
    <t>https://cozydiyhome.com/instagram</t>
  </si>
  <si>
    <t>delineateyourdwelling</t>
  </si>
  <si>
    <t>Amy - DIY, Home Decor + Plants</t>
  </si>
  <si>
    <t>@dominomag DIY blog finalist, Content Creator for @hgtv 🏠 NM 🌱 Happy Houseplant Ebook 👊🏻 Just Start Ebook</t>
  </si>
  <si>
    <t>https://www.delineateyourdwelling.com/links/</t>
  </si>
  <si>
    <t>diy_homdecor</t>
  </si>
  <si>
    <t>DIY HOME DECOR</t>
  </si>
  <si>
    <t>DIY Blog</t>
  </si>
  <si>
    <t>https://www.youtube.com/@diy.homedecor</t>
  </si>
  <si>
    <t>fromhousetohomediy</t>
  </si>
  <si>
    <t>Jenna Rutherford // DIY &amp; Home Renovations 🇨🇦</t>
  </si>
  <si>
    <t>From city skylines to wide open skies🌾🚜
✨Faith-filled mama of 3 DIYing a life from the ground up✨
1.1M TikTok 🫶🏻
📍Join me in turning chaos into cozy⬇️</t>
  </si>
  <si>
    <t>http://www.fhthdiy.com/links</t>
  </si>
  <si>
    <t>houseandhens</t>
  </si>
  <si>
    <t>Emily Haufler | DIY &amp; Home Design</t>
  </si>
  <si>
    <t>DIY | Home | Parties 🎉 | Holidays 🎃 | Creative Builds
🔨 How-to’s
🦆 Family &amp; Farm
 LINKS 👇🏼</t>
  </si>
  <si>
    <t>https://amzlink.to/az0WFn6VdJNF7</t>
  </si>
  <si>
    <t>huntersofhappiness</t>
  </si>
  <si>
    <t>Elise Hunter | DIY &amp; HOME</t>
  </si>
  <si>
    <t>Home Improvement</t>
  </si>
  <si>
    <t>🏠 Cookie Cutter to Custom 
Builder 🔨 Artist 🎨 Mom 🩷
Finding Happiness Everyday</t>
  </si>
  <si>
    <t>http://www.huntersofhappiness.com</t>
  </si>
  <si>
    <t>spetrichhome</t>
  </si>
  <si>
    <t>Stephanie Petrich | DIY+Home</t>
  </si>
  <si>
    <t>Home DIY inspiration• Relatable mom life
🛠Power tool home projects+ mommin x 4 
blog tutorials 👇🏻</t>
  </si>
  <si>
    <t>https://spetrichhome.com/spetrichhome-links/</t>
  </si>
  <si>
    <t>swayandsarahbuild</t>
  </si>
  <si>
    <t>Sarah Gonzalez  | DIY  Home Projects</t>
  </si>
  <si>
    <t>+ Husband and Wife DIYers Renovating our 1970’s home in MN
+ First time parents
Contact: hello@swayandsarahbuild.com
+ Shop our home 👇🏻</t>
  </si>
  <si>
    <t>http://linktr.ee/swayandsarahbuild/</t>
  </si>
  <si>
    <t>therenegadehome</t>
  </si>
  <si>
    <t>Molly Miller | DIY Home Improvement</t>
  </si>
  <si>
    <t>Sharing Home Hacks, budget friendly DIY &amp; Furniture Flips. Learning as I go and bringing you along in stories✨</t>
  </si>
  <si>
    <t>https://linktr.ee/Therenegadehome</t>
  </si>
  <si>
    <t>diyprojects_</t>
  </si>
  <si>
    <t>!   Do-It-Yourself Projects</t>
  </si>
  <si>
    <t>≫ sıɴcɛ 1/13/13🎈🎂
✔{тʊтoʀıɑƖs🔎 ıԀɛɑs💡&amp; ıɴsƿıʀɑтıoɴ🔅}
🌟Tag DIYs to⇒ #diyprojects_
▪Questions? Suggestions? Requests?🔻</t>
  </si>
  <si>
    <t>diyprojectsdotcom</t>
  </si>
  <si>
    <t>DIY Projects</t>
  </si>
  <si>
    <t>🛠 Want us to feature your #DIYProjects? Tag us in your photos!
🎁Click the link in bio for a free gift bundle.
💻 diyprojects.com
👧 Follow @devondiy!</t>
  </si>
  <si>
    <t>https://mylogin.site/application/site/1Vc7s33nAJ?fbclid=IwAR0WAQ0qv-DmHxyZnnsloov5bD3HuFYuG68qgCgTQozmTUXWZ2OUynHY5Is</t>
  </si>
  <si>
    <t>akademiks</t>
  </si>
  <si>
    <t>DJ Akademiks</t>
  </si>
  <si>
    <t>Official Hip Hop / News Page for AkademiksTV. 
For Influencer/ Streamer News Coverage —&gt;  @theakademytv 
Owned &amp; curated by @iamakademiks</t>
  </si>
  <si>
    <t>http://youtube.com/djakademikstv2</t>
  </si>
  <si>
    <t>mishdj</t>
  </si>
  <si>
    <t>MISH DJ 🩷</t>
  </si>
  <si>
    <t>AUSSIE🇦🇺+🏴󠁧󠁢󠁳󠁣󠁴󠁿 &amp;✨RAWEST DJANE✨
🎧 Book me: bookings@mostwanted.dj
💿 @aggressiverecords
ALL SOCIALS &amp; SHOWS HERE 👇🏼</t>
  </si>
  <si>
    <t>https://eventix.shop/x9da3fy8</t>
  </si>
  <si>
    <t>promill.dj</t>
  </si>
  <si>
    <t>Mateusz Hutnik</t>
  </si>
  <si>
    <t>Promill
house/tech music producer &amp; dj 🎧
born in Katowice 🇵🇱 live in Manchester 🇬🇧 
my music: https://soundcloud.com/promill</t>
  </si>
  <si>
    <t>dogslifestagram</t>
  </si>
  <si>
    <t>Dogs of Instagram</t>
  </si>
  <si>
    <t>👇Get Yours Here👇</t>
  </si>
  <si>
    <t>dogsofinstagram</t>
  </si>
  <si>
    <t>DogsOfInstagram by GreatPetCare</t>
  </si>
  <si>
    <t>Bringing together the dogs of Instagram 🐾
Submit To Be Featured, Support Animal Rescues, Read Pet Parenting Tips, and More ⤵️</t>
  </si>
  <si>
    <t>https://www.eventbrite.com/e/the-new-york-city-pawetry-festival-tickets-1376318669189?aff=oddtdtcreator</t>
  </si>
  <si>
    <t>instadogclubs</t>
  </si>
  <si>
    <t>Dogs Of Instagram</t>
  </si>
  <si>
    <t>🌍Free Shipping Worldwide🌍
👇Cute Dog Lovers Store👇</t>
  </si>
  <si>
    <t>https://cutecatnation.com/collections/pug</t>
  </si>
  <si>
    <t>dropship.india</t>
  </si>
  <si>
    <t>Dropshipping Products India</t>
  </si>
  <si>
    <t>👍Free Shopify Store Set-up DM
🚀Facebook Ads 
📤Product research for E-Commerce India 
📌Target to Use in ADS
📦Everyday New Products</t>
  </si>
  <si>
    <t>https://t.me/dropshipproducts</t>
  </si>
  <si>
    <t>dropshiping.masters</t>
  </si>
  <si>
    <t>Dropshipping Masters</t>
  </si>
  <si>
    <t>💰 | I help beginners turn dropshipping into income
👨‍💻 | DM me “MENTOR” to learn
Apply to work with me👇</t>
  </si>
  <si>
    <t>https://form.typeform.com/to/wU4PzXa6</t>
  </si>
  <si>
    <t>dropshipping.products</t>
  </si>
  <si>
    <t>Dropshipping Products</t>
  </si>
  <si>
    <t>Educational Research Center</t>
  </si>
  <si>
    <t>🏆| Product research for dropshippers
👇 Get 1000+ product links for FREE</t>
  </si>
  <si>
    <t>https://www.dropshipbetter.com/free</t>
  </si>
  <si>
    <t>ecombomb17</t>
  </si>
  <si>
    <t>Alberto Ramirez |  Dropshipping &amp; Ecommerce</t>
  </si>
  <si>
    <t>💻Hago que personas sin experiencia vivan de vender productos Online                           
🪄10m Facturados+2000 Alumnos Exitosos
Plazas abiertas👇🏼</t>
  </si>
  <si>
    <t>https://ecombombprograma.com/official-website?utm_plataforma=Instagram&amp;utm_canal=Organic_Social&amp;utm_tipo=social&amp;utm_funnel=official_website</t>
  </si>
  <si>
    <t>ecomcadeee</t>
  </si>
  <si>
    <t>CC | Ecom x App Dropshipping👨🏽‍💻</t>
  </si>
  <si>
    <t>@ecom.cade 
💰| $30k/month Dropshipping
📊| Ecom x App Dropshipping
📲| SUPPLIERS⤵️</t>
  </si>
  <si>
    <t>https://ecomcade.com/</t>
  </si>
  <si>
    <t>getrichorgetdrunktrying</t>
  </si>
  <si>
    <t>Asia~ TikTok Shop &amp; Dropshipping Coach</t>
  </si>
  <si>
    <t>💰Helping You Quit a 9-5 &amp; Make $ Anywhere
🌴 Miami, FL
👩🏾‍🏫3000 + Dropshipping Students 
💸 FREE TikTok Shop Masterclass👇🏾</t>
  </si>
  <si>
    <t>https://www.scrolltosales.com/</t>
  </si>
  <si>
    <t>klerybaron</t>
  </si>
  <si>
    <t>Klery Barón | Dropshipping</t>
  </si>
  <si>
    <t>📌| Genera $1.5K - 3K USD con tu Tienda de
Dropshipping en 90 días.
🧠| +1M facturados con mi sistema 21D.
🏆| He ayudado a +100 tiendas.
Empieza aquí👇🏻</t>
  </si>
  <si>
    <t>https://yt.openinapp.co/x8yjn</t>
  </si>
  <si>
    <t>netododrop</t>
  </si>
  <si>
    <t>Neto Dropshipping</t>
  </si>
  <si>
    <t>💰4 meses no negativo pra virar o game
🦈 Multimilionário aos 23 anos
💻 Mentoria Fechada 🔒</t>
  </si>
  <si>
    <t>urbanhouse.ok</t>
  </si>
  <si>
    <t>Zapatillas • Mayorista • Dropshipping 📦</t>
  </si>
  <si>
    <t>BUENOS AIRES |  ARG 🇦🇷
🛍️ @proveedores.ar 
📦 ENVÍOS GRATIS A TODO EL PAÍS 
🛒 ¡YA LLEGÓ URBAN SALE! 🎁👇🏼</t>
  </si>
  <si>
    <t>http://urbanhouse.ar</t>
  </si>
  <si>
    <t>winning_products_</t>
  </si>
  <si>
    <t>Dropshipping products</t>
  </si>
  <si>
    <t>| Product research done for you 📈
| Connecting dropshippers with winning products 📦 
| Find. Sell. Scale. 🚀
| Follow us on YouTube 👇</t>
  </si>
  <si>
    <t>drumsheds</t>
  </si>
  <si>
    <t>DRUMSHEDS</t>
  </si>
  <si>
    <t>Cultural Center</t>
  </si>
  <si>
    <t>The dancefloor is always bigger than the DJ.
London, UK</t>
  </si>
  <si>
    <t>https://linktr.ee/drumsheds</t>
  </si>
  <si>
    <t>drumstick</t>
  </si>
  <si>
    <t>Drumstick</t>
  </si>
  <si>
    <t>another day another drumstick
the SNACKDOWN champ is here 💪⬇️</t>
  </si>
  <si>
    <t>https://linktr.ee/drumstick</t>
  </si>
  <si>
    <t>dwdrums</t>
  </si>
  <si>
    <t>DW Drums</t>
  </si>
  <si>
    <t>Share your drumming moments with us for a chance to be featured on our page. #MyDW</t>
  </si>
  <si>
    <t>https://linktr.ee/dwdrums</t>
  </si>
  <si>
    <t>gretschdrums</t>
  </si>
  <si>
    <t>Gretsch Drums</t>
  </si>
  <si>
    <t>The Iconic American Drum Brand. #GretschDrums</t>
  </si>
  <si>
    <t>https://www.gretschdrums.com</t>
  </si>
  <si>
    <t>mapexdrums</t>
  </si>
  <si>
    <t>Mapex Drums</t>
  </si>
  <si>
    <t>Mapex has drums for everyone. #mapexdrums</t>
  </si>
  <si>
    <t>https://linktr.ee/mapexdrums</t>
  </si>
  <si>
    <t>ovyonthedrums</t>
  </si>
  <si>
    <t>OVY</t>
  </si>
  <si>
    <t>DR. DRUMS
 If GOD is with me, who is against me?</t>
  </si>
  <si>
    <t>https://wml.link/YOyTU</t>
  </si>
  <si>
    <t>sjcdrums</t>
  </si>
  <si>
    <t>SJC Custom Drums</t>
  </si>
  <si>
    <t>Be Different 🥁 
Turning your dreams into drums since 2000
www.sjcdrums.com</t>
  </si>
  <si>
    <t>https://form.jotform.com/252373768949173</t>
  </si>
  <si>
    <t>coach_emanuela_dubai</t>
  </si>
  <si>
    <t>Emanuela Costea -Private Coach 📍Dubai</t>
  </si>
  <si>
    <t>Lean for Life. Pain-Free for Good ✨
VIP Rehab &amp; Weight Loss Coaching
Knee • Back • Hormones • Fat Loss
📍Dubai | Private Clients Only</t>
  </si>
  <si>
    <t>Dubai</t>
  </si>
  <si>
    <t>Some of what the City has to offer #Dubai</t>
  </si>
  <si>
    <t>dubailifestyle</t>
  </si>
  <si>
    <t>The Ultimate Guide to Expat Life Style in Dubai.
For enquiries | infodubailifestyle@gmail.com
#Dubailifestyle
Website Relaunching</t>
  </si>
  <si>
    <t>dubai.travelers</t>
  </si>
  <si>
    <t>Dubai دبي | Travel | Hotels | Food | UAE Tips 🇦🇪</t>
  </si>
  <si>
    <t>🏙️ Discover the best of Dubai 
💙 The leading Dubai community by @hotel
👇 Price drop on Dubai direct flights</t>
  </si>
  <si>
    <t>https://skyscanner.pxf.io/DubaitoCairo</t>
  </si>
  <si>
    <t>dubai.uae.dxb</t>
  </si>
  <si>
    <t>🇦🇪 
My mission is to Create happiness and positivity by capturing the beautiful moments and places in The beautiful UAE 🇦🇪📸🙂</t>
  </si>
  <si>
    <t>lovindubai</t>
  </si>
  <si>
    <t>Lovin Dubai | لوڤن دبي</t>
  </si>
  <si>
    <t>Lovin' Dubai is a local news &amp; entertainment channel capturing the best of our city. Lovin’ Dubai Community Awards 👉 @lovinbrand_ 
0529072654</t>
  </si>
  <si>
    <t>https://lovin.co/lovins</t>
  </si>
  <si>
    <t>mydubai</t>
  </si>
  <si>
    <t>#MyDubai</t>
  </si>
  <si>
    <t>A glimpse of Dubai’s community, by the people for the people. 
Use #MyDubai and be a part of it!</t>
  </si>
  <si>
    <t>https://mydubaicommunities.com</t>
  </si>
  <si>
    <t>safa_dubai</t>
  </si>
  <si>
    <t>Safa/صفا Siddiqui</t>
  </si>
  <si>
    <t>🎥 #DubaiBling  #Netflix                                                  @safadubai.ae 
‘Reality TV Star of the Year’ 🏆 
🇮🇶🇬🇧 in🇦🇪 👩🏻‍❤️‍👨🏻 🇮🇳</t>
  </si>
  <si>
    <t>https://l.lichi.com/m6LX</t>
  </si>
  <si>
    <t>timeoutdubai</t>
  </si>
  <si>
    <t>Time Out Dubai</t>
  </si>
  <si>
    <t>Dubai’s best things to do, restaurants and attractions, curated by local experts</t>
  </si>
  <si>
    <t>https://lnk.bio/timeoutdubai</t>
  </si>
  <si>
    <t>untoldfestivaldubai</t>
  </si>
  <si>
    <t>UNTOLD DUBAI</t>
  </si>
  <si>
    <t>✨Dubai's Mega Festival 
⚡️6 - 9 November 2025</t>
  </si>
  <si>
    <t>https://linktr.ee/untoldfestivaldubai</t>
  </si>
  <si>
    <t>ushuaiadubai</t>
  </si>
  <si>
    <t>Ushuaïa Dubai Harbour Experience</t>
  </si>
  <si>
    <t>A New Era in Nightlife ✨ 
Adriatique present X - Nov 15 - Sign up now ⬇️</t>
  </si>
  <si>
    <t>https://lnk.bio/ushuaiadubai</t>
  </si>
  <si>
    <t>xdubai</t>
  </si>
  <si>
    <t>XDubai</t>
  </si>
  <si>
    <t>Adrenaline brought to you by XDubai. Ready to find the X in you? #XLine #XPark #XParkJr #XDubaiPumpTrack #MXRide</t>
  </si>
  <si>
    <t>http://xdubai.com/</t>
  </si>
  <si>
    <t>avanieco</t>
  </si>
  <si>
    <t>Avani | Eco-Friendly Packaging</t>
  </si>
  <si>
    <t>🇮🇩 From Bali to the World
🌱 Compostable 🌱 Biodegradable 🌱Customizable
✨ Tag us! #iamnotplastic #avanifriends
⬇️ Info | Catalog l Price List</t>
  </si>
  <si>
    <t>https://linktr.ee/avanieco</t>
  </si>
  <si>
    <t>ecofriendlybharat</t>
  </si>
  <si>
    <t>Eco Friendly Bharat</t>
  </si>
  <si>
    <t>🌿 Promoting Natural Building Worldwide🌎
📚 Workshops | Courses | House Tours🏠
🏠 Eco-House Consultations &amp; Expert Connect
📖 DM for Books | More 👇</t>
  </si>
  <si>
    <t>https://linktr.ee/ecofriendlybharat</t>
  </si>
  <si>
    <t>espaco_up</t>
  </si>
  <si>
    <t>Eco Friendly</t>
  </si>
  <si>
    <t>Conforto e elegância em peças éticas e autorais ✨
Fábrica própria 🧵| Atacado &amp; Varejo 🛒
Enviamos para todo Brasil 📦
Por @fetroyack</t>
  </si>
  <si>
    <t>https://beacons.ai/espacoup</t>
  </si>
  <si>
    <t>theshavestfrance</t>
  </si>
  <si>
    <t>Le Rasoir Éco-Friendly | Shavest 🪒</t>
  </si>
  <si>
    <t>Le rasoir écologique qu'il vous faut
✨ Pas d'irritation
🍓 Pas de poils incarnés
♻️ Pas de plastique
💰 + de 100 € par an d'économie</t>
  </si>
  <si>
    <t>https://linktr.ee/shavest</t>
  </si>
  <si>
    <t>trele_morele_design</t>
  </si>
  <si>
    <t>🌱 Eco-Friendly Wooden Toys | Handmade in Poland</t>
  </si>
  <si>
    <t>Toy Store</t>
  </si>
  <si>
    <t>✨ Modular Dollhouses, Shelves &amp; Tiny Furniture 
Safe&amp;Educational 📚 For creative minds 🌍 From Poland to the world 🛒 DM to order | webshop soon!</t>
  </si>
  <si>
    <t>vivaia_official</t>
  </si>
  <si>
    <t>VIVAIA | Eco-Friendly Footwear</t>
  </si>
  <si>
    <t>VIVAIA | Eco-Friendly Footwear
Step into Conscious Comfort
Join our community @vivaiaclub
↓ Discover our latest collection</t>
  </si>
  <si>
    <t>https://bit.ly/45OLfah</t>
  </si>
  <si>
    <t>EDM.com</t>
  </si>
  <si>
    <t>Your trusted EDM media source 🗞️
The definitive voice of electronic dance music 🎶
👇Click the link below for the latest EDM news👇</t>
  </si>
  <si>
    <t>https://linkin.bio/edm</t>
  </si>
  <si>
    <t>edm_maniac</t>
  </si>
  <si>
    <t>EDM Maniac</t>
  </si>
  <si>
    <t>⚡️FOLLOW now for Rave Culture, FREE TIX &amp; more 
🤝Artist, brand, &amp; festival news and promo
💌Partnerships@EDMManiac.com</t>
  </si>
  <si>
    <t>http://edmmaniac.com</t>
  </si>
  <si>
    <t>edmnew</t>
  </si>
  <si>
    <t>🔥 EDM</t>
  </si>
  <si>
    <t>🎧 Electronic Dance Music
🔥 EDM news, tracks and festivals</t>
  </si>
  <si>
    <t>_edmondx</t>
  </si>
  <si>
    <t>eddy</t>
  </si>
  <si>
    <t>inquiries - edmondxeddy@gmail.com</t>
  </si>
  <si>
    <t>edmresidence</t>
  </si>
  <si>
    <t>EDM Residence</t>
  </si>
  <si>
    <t>Welcome to our residence 🏠
Home to all things EDM 🎵
Content of your favorite DJs, music, and so much more!
@beltran INTERVIEW LINK BELOW ⬇️</t>
  </si>
  <si>
    <t>https://linktr.ee/edmresidence</t>
  </si>
  <si>
    <t>edmtrain</t>
  </si>
  <si>
    <t>Electronic Music 🎵 
Discover Artist Tours, Concerts, Festivals &amp; News
"My Only Source for Dance Music Shows" 
Download our APP NOW! ⤵️ iOS &amp; Android</t>
  </si>
  <si>
    <t>https://edmtrain.com/bio</t>
  </si>
  <si>
    <t>edm.us</t>
  </si>
  <si>
    <t>EDM US</t>
  </si>
  <si>
    <t>Finding you the best rave locations, festivals and news daily
Contact via Email or DMs</t>
  </si>
  <si>
    <t>https://open.spotify.com/playlist/5aI94zk1jcE6kGHQi7luxJ?si=zDVuhDCjQWqn7rmF3JmXng&amp;pi=_TSfXXv5Q9u8O</t>
  </si>
  <si>
    <t>ecomtushar</t>
  </si>
  <si>
    <t>Tushar Thapar | Ecom Entrepreneur</t>
  </si>
  <si>
    <t>Building AI-backed Indian ecom brands.
– Shopify, Meta ads, scaling
– Real case studies
– 5K+ students → ₹50 CR+ sales
Apply here👇</t>
  </si>
  <si>
    <t>https://ecomtushar.typeform.com/BrandedEcom?utm_source=IG&amp;utm_medium=Bio</t>
  </si>
  <si>
    <t>entrepreneurbible</t>
  </si>
  <si>
    <t>Business &amp; Entrepreneur</t>
  </si>
  <si>
    <t>World’s #1 Business Blog For Entrepreneurs
📈 Your Journal To Be Successful In Life
📚 Build Your Business, Brand and Mindset</t>
  </si>
  <si>
    <t>entrepreneurind</t>
  </si>
  <si>
    <t>Entrepreneur India</t>
  </si>
  <si>
    <t>Information, insights and inspiration for entrepreneurs.</t>
  </si>
  <si>
    <t>https://www.entrepreneurindia.com/conference-registration.php</t>
  </si>
  <si>
    <t>entrepreneurscom</t>
  </si>
  <si>
    <t>Entrepreneurs community</t>
  </si>
  <si>
    <t>Curating content for entrepreneurs 🇺🇸
⬇️ Follow to learn something new everyday ⬇️</t>
  </si>
  <si>
    <t>entrepreneursindia</t>
  </si>
  <si>
    <t>Entrepreneurs India</t>
  </si>
  <si>
    <t>India’s daily dose of startup energy ⚡
From funding rounds to founder wisdom — all in one scroll.
Built for entrepreneurs, makers, and believers.</t>
  </si>
  <si>
    <t>entrepreneursorg</t>
  </si>
  <si>
    <t>Entrepreneurs' Organization</t>
  </si>
  <si>
    <t>We are the world’s largest and most diverse membership network exclusively by entrepreneurs, for entrepreneurs, everywhere.</t>
  </si>
  <si>
    <t>https://taplink.cc/entrepreneursorg</t>
  </si>
  <si>
    <t>entrepreneursquote</t>
  </si>
  <si>
    <t>🎓News about business, AI &amp; technology
🤖Get the free AI Evals FAQ 👇</t>
  </si>
  <si>
    <t>https://maven.com/p/412512/frequently-asked-questions-and-answers-about-ai-evals?utm_medium=lead_magnet_share_link&amp;utm_source=entrepreneursquote</t>
  </si>
  <si>
    <t>entreprenur</t>
  </si>
  <si>
    <t>Entrepreneur | Business | Motivation</t>
  </si>
  <si>
    <t>Working to make YOU the best 💰 💵
Psychology and Life tips everyday 🤝🏻
🔛Wanna hire me as an editor ? DM now!</t>
  </si>
  <si>
    <t>billionairedirector</t>
  </si>
  <si>
    <t>Business | Entrepreneurship | Mindset</t>
  </si>
  <si>
    <t>#1 Instagram Page For Business, Mindset and News Content - Est. 2022
Follow For Daily New Content</t>
  </si>
  <si>
    <t>http://skool.com/atconsulting</t>
  </si>
  <si>
    <t>entrepreneurdominate</t>
  </si>
  <si>
    <t>Entrepreneurship | Business | Wealth</t>
  </si>
  <si>
    <t>🚀 Sharing #1 Wealth Insights to Dominate as an Entrepreneur
💸 Daily Strategies to Scale Your Income
⬇️ Join Us to Learn Something New Every Day ⬇️</t>
  </si>
  <si>
    <t>entrepreneur.dose</t>
  </si>
  <si>
    <t>Entrepreneurship | Business | AI</t>
  </si>
  <si>
    <t>Your 𝗱𝗼𝘀𝗲 𝗼𝗳 𝗲𝗻𝘁𝗿𝗲𝗽𝗿𝗲𝗻𝗲𝘂𝗿 wisdom, 𝗲𝗺𝗽𝗼𝘄𝗲𝗿𝗶𝗻𝗴 minds &amp; fueling 𝘀𝘂𝗰𝗰𝗲𝘀𝘀
𝗙𝗼𝗹𝗹𝗼𝘄 for actionable 𝗶𝗻𝘀𝗶𝗴𝗵𝘁𝘀</t>
  </si>
  <si>
    <t>NFT | Crypto | Metaverse</t>
  </si>
  <si>
    <t>●Featuring the Hottest 🔥 #NFTs
●Daily NFT &amp; Crypto Related News 🚀
●Follow to Join our Community 👇🏻
owner: snifeling (tg)</t>
  </si>
  <si>
    <t>entreprneurinsights</t>
  </si>
  <si>
    <t>• Sharing #1 Insights For Entrepreneurs
• Top 10 Side Hustles You Can Start Today
• Get Your FREE Guide Here👇</t>
  </si>
  <si>
    <t>http://entreprneurinsights.com/subscribe</t>
  </si>
  <si>
    <t>fountainofmoney</t>
  </si>
  <si>
    <t>#1 Choice If You Want To Level Up 💡
👑| Become the CEO in your family
💰I Daily health tips</t>
  </si>
  <si>
    <t>hustlersnthehood</t>
  </si>
  <si>
    <t>Motivation | Entrepreneurship</t>
  </si>
  <si>
    <t>💎 Where Hustlers Find Inspiration
🔥 Home of @TheMovezShow
🎬 New YouTube Doc Out Now 👇</t>
  </si>
  <si>
    <t>https://youtu.be/Y0id5ZyOkHA</t>
  </si>
  <si>
    <t>hustlingentreprenuers</t>
  </si>
  <si>
    <t>Success | Entrepreneurship</t>
  </si>
  <si>
    <t>#1 Business &amp; Entrepreneurship Page
💰 Helping You Become Successful 📈
💯 Follow Now for Daily Motivation
👉 DM for Business Inquiry</t>
  </si>
  <si>
    <t>keyforsuccessmind</t>
  </si>
  <si>
    <t>Success | Business | Entrepreneurship</t>
  </si>
  <si>
    <t>The #1 Source of Life-Changing Insights
🎯 | Helping you to build better habits and create the life you’ve always wanted
📚 | Checkout our E-book👇</t>
  </si>
  <si>
    <t>https://keyforsuccessmind.com/l/the-habit-manifesto</t>
  </si>
  <si>
    <t>liveyourimpossible</t>
  </si>
  <si>
    <t>Entrepreneurship • Business</t>
  </si>
  <si>
    <t>🏴 Chasing the Impossible
🧠 Mindset and mentality enthusiast
📚 Checkout our E-book 👇🏻</t>
  </si>
  <si>
    <t>http://liveyourimpossible.co/l/self-discipline</t>
  </si>
  <si>
    <t>millionairessteps</t>
  </si>
  <si>
    <t>Business | Entrepreneurship | Technology</t>
  </si>
  <si>
    <t>• Curating the best of health, wealth, and business in one place.
• Founder @thekunalshah 
👇🏻 Free Training to start an online side hustle</t>
  </si>
  <si>
    <t>https://themepageinsiders.com/join</t>
  </si>
  <si>
    <t>outtstanding</t>
  </si>
  <si>
    <t>Curating the best of business, technology, and breaking news in one place.</t>
  </si>
  <si>
    <t>simplyougrow</t>
  </si>
  <si>
    <t>Entrepreneurship | Business | Startup Culture</t>
  </si>
  <si>
    <t>For Entrepreneurs,  
By Entrepreneurs.</t>
  </si>
  <si>
    <t>entrevistabebe</t>
  </si>
  <si>
    <t>Entrevista Bebê 🎤</t>
  </si>
  <si>
    <t>🎤 Os bebês mais sinceros da internet
👶 Respostas inesperadas e hilárias</t>
  </si>
  <si>
    <t>https://pay.kiwify.com.br/YGrZEVT?afid=74R5IDRG</t>
  </si>
  <si>
    <t>entrevistapol</t>
  </si>
  <si>
    <t>EntrevistaPOL</t>
  </si>
  <si>
    <t>👮‍♂️Preparación de entrevista, biodata y test de personalidad de FCS
👩‍🎓Equipo de FCS y psicólogas forenses
🥇NoPassNoPay
💙💚Online o presencial Sevilla</t>
  </si>
  <si>
    <t>http://www.entrevistapol.es</t>
  </si>
  <si>
    <t>entrevistasec</t>
  </si>
  <si>
    <t>Entre Vistas | Noticias, Entretenimiento y Deportes</t>
  </si>
  <si>
    <t>📺Últimas noticias
🎙️ Entre | 👀 👀
📲 Tendencias 
🎭 Entretenimiento
⚽️ Deportes</t>
  </si>
  <si>
    <t>https://www.tiktok.com/@entrevistasec?_t=ZM-8tSbDGmYVeg&amp;_r=1</t>
  </si>
  <si>
    <t>potterentrevista</t>
  </si>
  <si>
    <t>Potter Entrevista</t>
  </si>
  <si>
    <t>Todos os sábados às 20h na Rádio Gaúcha, Spotify e YouTube.</t>
  </si>
  <si>
    <t>http://youtube.com/@PotterEntrevista</t>
  </si>
  <si>
    <t>escaladeco</t>
  </si>
  <si>
    <t>• ESCALA DECO &amp; ARQ ® • Cuadros, Diseño &amp; Asesoramiento</t>
  </si>
  <si>
    <t>Arq. @cele_solano y equipo👷🏽‍♀️👩🏽‍💻🙋🏽‍♂️
Transformamos tu casa en el hogar de tus sueños ✨
Somos Fabricantes / Envíos a toda 🇦🇷 
Elegí el tuyo HOY👇🏾</t>
  </si>
  <si>
    <t>http://www.escaladeco.com.ar</t>
  </si>
  <si>
    <t>escalade.id</t>
  </si>
  <si>
    <t>ESCALADE</t>
  </si>
  <si>
    <t>Empowering Hair Solutions 💪
🌿 Natural Ingredients | 🚫 No Harsh Chemicals
#ESCALADEyourlife
📩 DM or visit our link for inquiries and orders!</t>
  </si>
  <si>
    <t>https://linktr.ee/escalade.id</t>
  </si>
  <si>
    <t>escaladeink</t>
  </si>
  <si>
    <t>Escalade Ink | Dövme &amp; Piercing Stüdyosu</t>
  </si>
  <si>
    <t>🏆 Ödüllü Dövme Sanatçıları
📍 Bağdat Caddesi’nde Profesyonel Stüdyo
💉 Dövme • Piercing • Kalıcı Makyaj
🅿️ Ücretsiz Otopark
📩 Randevu için DM!</t>
  </si>
  <si>
    <t>https://escaladeink.randevu.tc/</t>
  </si>
  <si>
    <t>escalade_new</t>
  </si>
  <si>
    <t>Эскалейд2021</t>
  </si>
  <si>
    <t>Cadillac Escalade Best SUV Ever</t>
  </si>
  <si>
    <t>ffmontagne_escalade</t>
  </si>
  <si>
    <t>FFME</t>
  </si>
  <si>
    <t>Sports &amp; Recreation Venue</t>
  </si>
  <si>
    <t>Compte officiel de la Fédération française de la montagne et de l'escalade 🏔️🧗‍♂️
1000+ clubs en France, il y en a forcément un près de chez vous !</t>
  </si>
  <si>
    <t>https://linktr.ee/ffmontagne_escalade</t>
  </si>
  <si>
    <t>ju_escalade</t>
  </si>
  <si>
    <t>Juliette</t>
  </si>
  <si>
    <t>💫 Du bloc forcément
💫 ju_escalade aussi sur TikTok 
💫 @juliette_cse en privé</t>
  </si>
  <si>
    <t>https://www.tiktok.com/@ju_escalade?_t=ZN-8weC1mclFZu&amp;_r=1</t>
  </si>
  <si>
    <t>433esports</t>
  </si>
  <si>
    <t>433 Esports</t>
  </si>
  <si>
    <t>⁣The Home of Gaming 🎮 ⁣⁣⁣⁣
Powered by @433⁣
⁣
Get the 433 app 📲</t>
  </si>
  <si>
    <t>https://get.433app.com/433esports</t>
  </si>
  <si>
    <t>aue.sports</t>
  </si>
  <si>
    <t>Aue Sports</t>
  </si>
  <si>
    <t>AUE SPORTS é uma marca esportiva para você que é vencedor. Sports brand for you who are winners.</t>
  </si>
  <si>
    <t>easportsfc</t>
  </si>
  <si>
    <t>EA SPORTS FC</t>
  </si>
  <si>
    <t>Pre-order #FC26 now. Rated (E) for Everyone. Includes In-Game Purchases (Includes Random Items).</t>
  </si>
  <si>
    <t>https://linktr.ee/easportsfc</t>
  </si>
  <si>
    <t>easportsufc</t>
  </si>
  <si>
    <t>EA SPORTS UFC</t>
  </si>
  <si>
    <t>#UFC5 🎮 Rated M for Mature
UFC TM ®️  &amp; ©️  2023 Zuffa, LLC. All Rights Reserved
⬇️ Available Now ⬇️</t>
  </si>
  <si>
    <t>http://linktr.ee/easportsufc</t>
  </si>
  <si>
    <t>eeisports</t>
  </si>
  <si>
    <t>EEI SPORTS</t>
  </si>
  <si>
    <t>Official account of Eeisports
📩Reklam Ve Sponsorluklar İcin DM</t>
  </si>
  <si>
    <t>esportsfrags</t>
  </si>
  <si>
    <t>Esports Clips</t>
  </si>
  <si>
    <t>🎮 CS2 Highlights &amp; Clutches</t>
  </si>
  <si>
    <t>g2esports</t>
  </si>
  <si>
    <t>G2 Esports</t>
  </si>
  <si>
    <t>Esports Team</t>
  </si>
  <si>
    <t>The greatest esports org #G2ARMY</t>
  </si>
  <si>
    <t>http://g2esports.com/</t>
  </si>
  <si>
    <t>knd.e.sports</t>
  </si>
  <si>
    <t>KND E SPORTS</t>
  </si>
  <si>
    <t>KND ESPORT
Time de espots
🕹️ organização profissional de @ffesportsbr
📧 william_0885@hotmail.com
💛 A torcida que conduz</t>
  </si>
  <si>
    <t>https://youtube.com/channel/UCPx_Q8zHlRGG_xlz5U85f0g</t>
  </si>
  <si>
    <t>md_esportss</t>
  </si>
  <si>
    <t>𝐌𝐃-𝐄𝐒𝐏𝐎𝐑𝐓𝐒🇦🇷🇨🇱</t>
  </si>
  <si>
    <t>𝗖𝗟𝗨𝗕 𝗗𝗘 𝗘𝗦𝗣𝗢𝗥𝗧𝗦
✨▫️𝗙𝗖 𝟮𝟱 
✨▫️𝗟𝗘𝗔𝗚𝗨𝗘 𝗢𝗙 𝗟𝗘𝗚𝗘𝗡𝗗𝗦
✨▫️𝙈𝙊𝙍𝙏𝘼𝙇 𝙆𝙊𝙈𝘽𝘼𝙏 𝟭 
#GoMD</t>
  </si>
  <si>
    <t>https://linktr.ee/mdesportsoficial</t>
  </si>
  <si>
    <t>ulfesports</t>
  </si>
  <si>
    <t>ULF Esports</t>
  </si>
  <si>
    <t>Official Instagram Account of ULF Esports 
#HUNTBEGINS🐺</t>
  </si>
  <si>
    <t>http://ulfesports.com</t>
  </si>
  <si>
    <t>exoticpetscv</t>
  </si>
  <si>
    <t>Exotic Pets Clínica Veterinária</t>
  </si>
  <si>
    <t>Veterinarian</t>
  </si>
  <si>
    <t>Aberta 24h. Medicina especializada no atendimento de pets não convencionais!
Inscreva-se no COVEP 2025 👇
CRMV-SP: 26071 - PJ</t>
  </si>
  <si>
    <t>https://eventos.congresse.me/covep2025/edicoes/COVEP2025</t>
  </si>
  <si>
    <t>exoticpetshop701</t>
  </si>
  <si>
    <t>Exoticpetshop701</t>
  </si>
  <si>
    <t>514 McHenry ave Modesto ca 
Monday to Sunday 10am to 8pm
Dog food and bird food and more
📲323-345-3810
Exotic birds 🐦 🐦‍⬛ 
Exotic reptiles 🪱🕷🦂🐜</t>
  </si>
  <si>
    <t>https://www.tiktok.com/@exoticpetshop701?_t=ZT-8wSyk4AUDx0&amp;_r=1</t>
  </si>
  <si>
    <t>exoticpetstoronto</t>
  </si>
  <si>
    <t>EXOTIC PETS TORONTO</t>
  </si>
  <si>
    <t>Welcome to our page! We’re just a little pet store in Toronto! 
Birds &amp; Sugar Gliders only!
Contact: (416)-826-7079</t>
  </si>
  <si>
    <t>njexoticpets</t>
  </si>
  <si>
    <t>NJ Exotic Pets</t>
  </si>
  <si>
    <t>🦨 Largest selection of exotic pets in NJ
🏪 Open to the public! Walk-ins welcome!
📬 corporate@njexoticpets.com</t>
  </si>
  <si>
    <t>https://www.njexoticpets.com/</t>
  </si>
  <si>
    <t>amanda.exploring</t>
  </si>
  <si>
    <t>Travel | Points &amp; Miles Expert ✈️ Amanda Keane</t>
  </si>
  <si>
    <t>Teaching YOU how to travel on points! 
Bucket list experiences &amp; luxury travel✈️🌎
💌ask.amanda.exploring@gmail.com
38 countries ✈️ credit cards ⬇️</t>
  </si>
  <si>
    <t>https://amandaexploring.com/social/</t>
  </si>
  <si>
    <t>exploringcostarica</t>
  </si>
  <si>
    <t>Exploring Costa Rica</t>
  </si>
  <si>
    <t>Costa Rica inspires us! So we want to share with you all the places, people, food, and culture that make us so unique 🇨🇷 @exploringcostarica</t>
  </si>
  <si>
    <t>http://facebook.com/exploringcr</t>
  </si>
  <si>
    <t>exploring.italy</t>
  </si>
  <si>
    <t>Exploring Italy 🇮🇹</t>
  </si>
  <si>
    <t>🇮🇹 Exploring Italy One Region At A Time!
Tiktok: 410K
👇🏻Inquiries &amp; Partnerships👇🏻 
📬exploringitalia@gmail.com or DM</t>
  </si>
  <si>
    <t>http://facebook.com/exploringitalia/</t>
  </si>
  <si>
    <t>exploringnewzealand</t>
  </si>
  <si>
    <t>Exploring New Zealand</t>
  </si>
  <si>
    <t>Celebrating New Zealand, through sustainable and connected experiences. Tag #ExploringOurGlobe to be featured.
Start Exploring👇🏽</t>
  </si>
  <si>
    <t>exploring.therapy</t>
  </si>
  <si>
    <t>Dr.Therese | Psychologist, Author, Speaker</t>
  </si>
  <si>
    <t>Love your life so you never want to leave it 💜 wellness + joy + memes | Top 25 Mental Health Influencer in Vice, USA TODAY | Book + newsletter👇🏼</t>
  </si>
  <si>
    <t>http://www.exploringtherapy.com</t>
  </si>
  <si>
    <t>exploringwithgreen</t>
  </si>
  <si>
    <t>Exploring the UK &amp; beyond 🩵</t>
  </si>
  <si>
    <t>Sharing my love for the UK 🩵 🥾 
My own photos 📸</t>
  </si>
  <si>
    <t>exploringwithjosh</t>
  </si>
  <si>
    <t>Josh</t>
  </si>
  <si>
    <t>I make youtube videos as I travel the world exploring the unknown! 
Sometimes on TV
Boston/the world 
Business inquiries - exploringwithjosh@gmail.com</t>
  </si>
  <si>
    <t>http://exploringwithjosh.com</t>
  </si>
  <si>
    <t>fromnewenglandwithkids</t>
  </si>
  <si>
    <t>KATHERINE 🌲 Exploring New England with kids</t>
  </si>
  <si>
    <t>✮ Best things to do, see, &amp; explore in MA &amp; New England 
⋒ Day Trips, Adventures, Experiences, &amp; Itineraries 
❊ Family of 4 using weekends to explore</t>
  </si>
  <si>
    <t>jessicaexploring</t>
  </si>
  <si>
    <t>Jessica Traina</t>
  </si>
  <si>
    <t>Discovering Canada, the world, and life in my 20s
📍 Based in Ottawa
🍁 City guides, travels, gems &amp; events
🗺️ Travel Agent
✉️ info@jessicaexploring.com</t>
  </si>
  <si>
    <t>https://www.jessicaexploring.ca</t>
  </si>
  <si>
    <t>raisinglittleshoots</t>
  </si>
  <si>
    <t>Exploring Nature With Children</t>
  </si>
  <si>
    <t>• Slow &amp; seasonal nature study 
• Charlotte Mason inspired ✨🌈🍄🌱
• Please email for customer service 💌
#exploringnaturewithchildren</t>
  </si>
  <si>
    <t>https://linktr.ee/raisinglittleshoots</t>
  </si>
  <si>
    <t>riexploring</t>
  </si>
  <si>
    <t>R&amp;I Exploring | VanLife</t>
  </si>
  <si>
    <t>Roman &amp; Ioana making memories on the road 🚌 🏍 
based in Switzerland 🇨🇭 
👇Van Tour Video👇</t>
  </si>
  <si>
    <t>https://youtu.be/8XrVesLRTDM</t>
  </si>
  <si>
    <t>bringyourkidout</t>
  </si>
  <si>
    <t>BYKidO: Discover More Family Fun</t>
  </si>
  <si>
    <t>Discover your next family fun with us &amp; bring your kids out - SG and beyond!
Main: @bringyourkidout
Eat: @bringyoutoeat
MY: @bykido.my
AU @bykido.au</t>
  </si>
  <si>
    <t>https://www.bykido.com/pages/discover-family-kids-friendly-singapore</t>
  </si>
  <si>
    <t>dunnfamilyfun</t>
  </si>
  <si>
    <t>Kaelin Dunn</t>
  </si>
  <si>
    <t>Mom of 6👦🏼🧑🏼👧🏽🧒🏽👦🏻👶🏻
📧Let’s Collab: Dunnfamilyfun@gmail.com 
📍Louisville Kentucky 
Sharing family friendly content!</t>
  </si>
  <si>
    <t>https://barkparentalcontrols.pxf.io/c/5433721/3226684/17000?sharedid=dunnfamily</t>
  </si>
  <si>
    <t>family_fun_0009</t>
  </si>
  <si>
    <t>Family fun</t>
  </si>
  <si>
    <t>700K+ YouTube Family 🥰
 ☺️ અમે હસાવતા રહેશું અને તમે હસતા રહેજો...♥️
For collobration and promotion DM and mail us on :-
familyfunn0009@gmail.com</t>
  </si>
  <si>
    <t>https://wa.link/ajho55</t>
  </si>
  <si>
    <t>familyfun5</t>
  </si>
  <si>
    <t>Sofia Pavel</t>
  </si>
  <si>
    <t>🎥𝚈𝚘𝚞𝚝𝚞𝚋𝚎𝚛𝚜 + 𝟷𝙼 🌽 
🇧🇷𝙻𝚒𝚟𝚒𝚗𝚐 𝚒𝚗 𝙾𝚛𝚕𝚊𝚗𝚍𝚘🇺🇸
📧 contatofamilyfun5@gmail.com
📍𝙼𝚘𝚗𝚒𝚝𝚘𝚛𝚊𝚍𝚘 𝚙𝚘𝚛 @familiapaveloficial 
✨ Família Pável ✨
𝚄́𝚕𝚝𝚒𝚖𝚘 𝚟𝚒𝚍𝚎𝚘👇🏻</t>
  </si>
  <si>
    <t>https://m.youtube.com/@FamilyFun5</t>
  </si>
  <si>
    <t>familyfunerbil</t>
  </si>
  <si>
    <t>Family Fun Erbil</t>
  </si>
  <si>
    <t>ENJOY YOUR TIME!🥳</t>
  </si>
  <si>
    <t>http://www.familyfun-land.com/</t>
  </si>
  <si>
    <t>familyfunkw</t>
  </si>
  <si>
    <t>Family Fun</t>
  </si>
  <si>
    <t>الأول في الكويت لعرض أنشطة النوادي للرجال والنساء والأطفال والحضانات أيضاً في دولة الكويت🇰🇼
الإعلان عبر الخاص مجاناً.since 2014</t>
  </si>
  <si>
    <t>familyfunpack</t>
  </si>
  <si>
    <t>Kristine • Family Fun Pack</t>
  </si>
  <si>
    <t>Let's collab! askfamilyfunpack@gmail.com
•10 Million strong on YouTube‼️
•mom of 8🩵
•wife @mattfunpack 
•travel enthusiast
•musician🎵</t>
  </si>
  <si>
    <t>https://youtube.com/@familyfunpack?si=ioT1xKj17PTrXxPh</t>
  </si>
  <si>
    <t>familyfunyyc</t>
  </si>
  <si>
    <t>Family Fun Calgary</t>
  </si>
  <si>
    <t>Events and activities your family will love in and around Calgary, AB!</t>
  </si>
  <si>
    <t>http://linktr.ee/familyfuncalgary/</t>
  </si>
  <si>
    <t>family.time22</t>
  </si>
  <si>
    <t>Family sport time</t>
  </si>
  <si>
    <t>Family Time Gym –Men and children ✨
- A safe and stimulating environment
- Jeddah</t>
  </si>
  <si>
    <t>familytimesa</t>
  </si>
  <si>
    <t>وقت العائلة الرياضي-Family Sport Time</t>
  </si>
  <si>
    <t>Sports Club</t>
  </si>
  <si>
    <t>📍Jeddah.
•The perfect place for you and your family 💪🏻✨.
للتواصل والاستفسار:</t>
  </si>
  <si>
    <t>https://iwtsp.com/966537344660</t>
  </si>
  <si>
    <t>familycantravel</t>
  </si>
  <si>
    <t>Family Can Travel</t>
  </si>
  <si>
    <t>👨‍👩‍👧‍👦Family of 4 living in the 🇨🇦🏔
🏔Outdoor enthusiasts &amp; nature lovers🌿
🌎Exploring the world one hike at a time
👇Follow along as we chase adventure</t>
  </si>
  <si>
    <t>https://www.familycantravel.com/21-day-iceland-itinerary-for-families/</t>
  </si>
  <si>
    <t>lana_family_trip</t>
  </si>
  <si>
    <t>Family Travel Agent 🏝️</t>
  </si>
  <si>
    <t>Эксперт по семейным путешествиям 🛩️
На личном опыте проверяю семейные отели и рестораны  🎭
✍️ @lana_home_pr</t>
  </si>
  <si>
    <t>letstraveltalk</t>
  </si>
  <si>
    <t>Annie Hall | Points &amp; Miles • Family Travel Tips</t>
  </si>
  <si>
    <t>💳 Points &amp; Miles Expert 
 ✈️ Learn how to vacation for nearly free!
👇🏼FREE Beginner’s Guide</t>
  </si>
  <si>
    <t>http://linktr.ee/letstraveltalk</t>
  </si>
  <si>
    <t>meldrumtravels</t>
  </si>
  <si>
    <t>Family Travel</t>
  </si>
  <si>
    <t>Where we’ve been ❣️
where we’re going ✨
where’s on the bucket list 🪣</t>
  </si>
  <si>
    <t>nellecreations</t>
  </si>
  <si>
    <t>Jenelle | Canada | Mom | Motherhood | Family | Travel</t>
  </si>
  <si>
    <t>daily dose of mom content  
also follow me @mapsnsnacks
🇨🇦 Canada Girl Mom x2 
💌 nellecreations@gmail.com
✨26k TT  🎥14k YT
Hamilton Burlington Niagara</t>
  </si>
  <si>
    <t>thefamilytravelclub</t>
  </si>
  <si>
    <t>Sally &amp; Rob | The Family Travel Club 🇮🇪✈</t>
  </si>
  <si>
    <t>❤️ Created by Mom &amp; Dad
✨ Travel Deals, Discounts &amp; Guides
🌴 Receive 150+ Travel Deals Per Month
✈️ Deals From UK &amp; Ireland</t>
  </si>
  <si>
    <t>https://www.thefamilytravelclub.com</t>
  </si>
  <si>
    <t>thetravelmum</t>
  </si>
  <si>
    <t>The Travel Mum | Cheap Family Travel</t>
  </si>
  <si>
    <t>Helping Families Travel More - For Less 💷
Jen, João, Leo and Baby Luca 🦹‍♀️🦹‍♂️👦🏻👶🏻
We email you deals for free!
Tips, Deals and Info ⬇️</t>
  </si>
  <si>
    <t>https://linktr.ee/thetravelmum</t>
  </si>
  <si>
    <t>thiswildpassport</t>
  </si>
  <si>
    <t>Juliana Loewen | Luxe Family Travel Creator 🌴</t>
  </si>
  <si>
    <t>•Luxury Family Travel &amp; Unique Stays 
•Events &amp; Adventures
•Sustainable Fashion &amp; Beauty
📩  Partnerships: loewenlifestyle@gmail.com</t>
  </si>
  <si>
    <t>https://msha.ke/loewenlifestyle</t>
  </si>
  <si>
    <t>vancitywild</t>
  </si>
  <si>
    <t>Brie Evans • VancityWild | Family Travel &amp; Lifestyle</t>
  </si>
  <si>
    <t>Brie, Reuben, Oliver⁣, Daisy &amp; Mae
👨‍👩‍👧‍👦 A family of west coasters 
🇨🇦 Victoria | Vancouver 
⇩  Find your next adventure</t>
  </si>
  <si>
    <t>http://linktree.com/vancitywild</t>
  </si>
  <si>
    <t>familyvlogs_</t>
  </si>
  <si>
    <t>familyvlogs</t>
  </si>
  <si>
    <t>Youtuber ❤️
This is my youtube channel
👇🏻👇🏻👇🏻👇🏻👇🏻👇🏻👇🏻👇🏻</t>
  </si>
  <si>
    <t>https://www.youtube.com/@Family_vlogs_1</t>
  </si>
  <si>
    <t>family_vlog_video_</t>
  </si>
  <si>
    <t>Mangal Bhai Patel</t>
  </si>
  <si>
    <t>Jai Hind Jai Bharat 🇮🇳</t>
  </si>
  <si>
    <t>https://youtube.com/@mangalbhaipatel?si=VRi6ETx0GpLdTsTJ</t>
  </si>
  <si>
    <t>ilovefarmanimals</t>
  </si>
  <si>
    <t>Farm Animals !!!</t>
  </si>
  <si>
    <t>Here to prove that animals are friends not food 💞🐄✨ by @crmnzz &amp; @livin.my.veg.life</t>
  </si>
  <si>
    <t>duzzledress</t>
  </si>
  <si>
    <t>Fashion Tips</t>
  </si>
  <si>
    <t>Fashion,Unboxing, Styling &amp; More
I will change your lifestyle 💯😎
DM FOR PAID PROMOTION</t>
  </si>
  <si>
    <t>fashaion2024</t>
  </si>
  <si>
    <t>Tailor</t>
  </si>
  <si>
    <t>https://www.youtube.com/@fashiontipsbyakhilesh</t>
  </si>
  <si>
    <t>fashionartdiy</t>
  </si>
  <si>
    <t>Fashion| Art| Diy| Beauty Tips</t>
  </si>
  <si>
    <t>𝗪𝗘 𝗕𝗨𝗬 𝗕𝗟𝗔𝗖𝗞 ✌🏿
💖 | Fashion tips💊Beautytips💄
📧 | DM For business enquiry
🎯 | Managed By @wafflebyteshq</t>
  </si>
  <si>
    <t>https://amzn.to/47Vi0lZ</t>
  </si>
  <si>
    <t>fashion_tips_9</t>
  </si>
  <si>
    <t>🕴️FASHION DAILY STYLE.                                     GROOMING TIPS👈 Men's helpful🤝 
Best offer deal  👇👇</t>
  </si>
  <si>
    <t>https://telegram.me/fashion_tips_9</t>
  </si>
  <si>
    <t>fashiontipssahil</t>
  </si>
  <si>
    <t>Sahil Singh  | fashion &amp; grooming tips |</t>
  </si>
  <si>
    <t>Professional fashion model
  MODEL , CHOREOGRAPHER , DESIGNER &amp; MENTOR /
Mumbai 📍  
Managed by - @runwaylifestyl &amp; @payaltanna 
📩 DM FOR COLLABORATION</t>
  </si>
  <si>
    <t>petitelife_incolors</t>
  </si>
  <si>
    <t>Natalia| Fashion Tips</t>
  </si>
  <si>
    <t>Where Fashion Makes Sense| Styled Outfits
Helping Women to Dress Better 📍NJ
📧 petitelifeincolors@gmail.com
Founder @hat_of_a_kind</t>
  </si>
  <si>
    <t>http://liketoknow.it/petitelife_incolors/</t>
  </si>
  <si>
    <t>tjasmineee_</t>
  </si>
  <si>
    <t>Fashion tips &amp; trick | pear body</t>
  </si>
  <si>
    <t>📍Solo
Fashion tips&amp;trick 
BB/TB : 67/160
Pear body shape outfit
Click here ⬇️</t>
  </si>
  <si>
    <t>https://collshp.com/just.in.stuff</t>
  </si>
  <si>
    <t>a.fashiontrends</t>
  </si>
  <si>
    <t>Fashion Trends</t>
  </si>
  <si>
    <t>🌍 ‎نتجول لنلتقط لكم جديد الموضة 
We share the latest fashion trends ✨
▪️الصور للعرض فقط ‎▪️
📬 For business inquiries: DM
👇🏽👻 SnapChat: fashiontrend.55</t>
  </si>
  <si>
    <t>https://t.snapchat.com/ZuTDxcLg</t>
  </si>
  <si>
    <t>f.a.s.h.i.o.n__t.r.e.n.d.s</t>
  </si>
  <si>
    <t>fashion trends (imbella)🛍️👗👠</t>
  </si>
  <si>
    <t>La mode se démode, le style jamais...
📞:0556290612
Adresse: Café Chergui, route Bordj El Bahri
Facebook 
⬇️</t>
  </si>
  <si>
    <t>https://www.facebook.com/profile.php?id=100056872402463&amp;mibextid=LQQJ4d</t>
  </si>
  <si>
    <t>_fashion_trends_0</t>
  </si>
  <si>
    <t>Girls things</t>
  </si>
  <si>
    <t>Hairstyles | Dresses | Makeup 
Need a change of ur looks and style 
Follow for more updates 💯💯
DM for promotion and collaboration 💗😇</t>
  </si>
  <si>
    <t>fashion__trends09</t>
  </si>
  <si>
    <t>✨Me: @__.heer__09 
✨Men’s store:- @attirever.in 
✨Offline and online store 
✨Time:- 11am- 9pm, OPEN EVERYDAY</t>
  </si>
  <si>
    <t>https://chat.whatsapp.com/Gk65eS5d7oQ1RArPoqlEIP</t>
  </si>
  <si>
    <t>fashion.trends4u</t>
  </si>
  <si>
    <t>Fashion trends</t>
  </si>
  <si>
    <t>Deliver latest and simple fashion trends to our beauties!
Delivery all over Pakistan 
No free delivery 
DM/whatsApp 03204731265</t>
  </si>
  <si>
    <t>http://fashiontrends4u.store</t>
  </si>
  <si>
    <t>fashion_trends86</t>
  </si>
  <si>
    <t>ⒻⒶⓈⒽⒾⓄⓃ ⓉⓇⒺⓃⒹⓈ👗</t>
  </si>
  <si>
    <t>▪PROMOTION PAGE 🦋
▪Keeping you inspired with the latest fashion ideas!
▪For Collaboration DM 📩</t>
  </si>
  <si>
    <t>elementsfestival</t>
  </si>
  <si>
    <t>Elements Music &amp; Arts Festival</t>
  </si>
  <si>
    <t>An Escape Unlike Any Other ✨
Long Pond, PA | August 7-9, 2026 🌄
LOYALTY SALE SOLD OUT!</t>
  </si>
  <si>
    <t>https://linktr.ee/elementsfestival</t>
  </si>
  <si>
    <t>elfestivaldevina</t>
  </si>
  <si>
    <t>Festival de Viña del Mar</t>
  </si>
  <si>
    <t>Somos el Festival Latino más grande del Mundo. Revive los mejores momentos de la edición 64 a través de @mega.tv @disneyplusla @megago.cl 🎤🎶</t>
  </si>
  <si>
    <t>evolutions_festival</t>
  </si>
  <si>
    <t>Evolutions Festival</t>
  </si>
  <si>
    <t>#EvolutionsFestival #Evolutions🌲#independentfestival</t>
  </si>
  <si>
    <t>http://evolutionsfestival.com</t>
  </si>
  <si>
    <t>festereopicnic</t>
  </si>
  <si>
    <t>Festival Estéreo Picnic</t>
  </si>
  <si>
    <t>El ahora es para siempre: Parque Simón Bolívar 
20, 21 y 22 de marzo de 2026.</t>
  </si>
  <si>
    <t>http://festivalestereopicnic.com</t>
  </si>
  <si>
    <t>hive_festival</t>
  </si>
  <si>
    <t>HIVE FESTIVAL</t>
  </si>
  <si>
    <t>HIVE Festival 2026 🐝
⇩</t>
  </si>
  <si>
    <t>https://linktr.ee/hivefestival</t>
  </si>
  <si>
    <t>nologofestival</t>
  </si>
  <si>
    <t>No Logo Festival</t>
  </si>
  <si>
    <t>à l’année prochaine ❤️
📍 Ornans.</t>
  </si>
  <si>
    <t>https://linktr.ee/nologofestival</t>
  </si>
  <si>
    <t>parklife_festival</t>
  </si>
  <si>
    <t>Parklife</t>
  </si>
  <si>
    <t>@rockstarenergyuk presents Parklife</t>
  </si>
  <si>
    <t>http://parklife.uk.com</t>
  </si>
  <si>
    <t>shifted_festival</t>
  </si>
  <si>
    <t>𝙎𝙃𝙄𝙁𝙏𝙀𝘿 𝙁𝙀𝙎𝙏𝙄𝙑𝘼𝙇</t>
  </si>
  <si>
    <t>Thank you for the crazy energy in 2025
⬇️🚨2026 BLIND TICKET ONLINE🚨⬇️</t>
  </si>
  <si>
    <t>https://www.shifted-festival.com/de/tickets</t>
  </si>
  <si>
    <t>submersionfestival</t>
  </si>
  <si>
    <t>Submersion Festival</t>
  </si>
  <si>
    <t>@AspireHigherPA, @TransmitPHL, &amp; @TheRustMusic present Submersion Festival at Paradise Lakes Campground in Hammonton, NJ | October 2nd - 4th</t>
  </si>
  <si>
    <t>https://linktr.ee/submersionfestival</t>
  </si>
  <si>
    <t>tiendafestival</t>
  </si>
  <si>
    <t>•FESTIVAL•</t>
  </si>
  <si>
    <t>Muebles + Deco 
🎉20% off por transferencia!
💳 6 cuotas s/interes TC
festival@tiendafestival.com ⭐️
Chateá con nosotras!📲113.249.6322</t>
  </si>
  <si>
    <t>https://linktr.ee/tiendafestival</t>
  </si>
  <si>
    <t>filmatic</t>
  </si>
  <si>
    <t>Filmatic - Movies &amp; Cinema</t>
  </si>
  <si>
    <t>Your Daily Dose of Cinema 🍿
📩 Partnerships: info@itsfilmatic.com</t>
  </si>
  <si>
    <t>filmthusiast</t>
  </si>
  <si>
    <t>Filmthusiast</t>
  </si>
  <si>
    <t>⁣Celebrating Cinema.</t>
  </si>
  <si>
    <t>handsonfilm</t>
  </si>
  <si>
    <t>Hands On Film</t>
  </si>
  <si>
    <t>Camera Store</t>
  </si>
  <si>
    <t>OPEN 11AM - 7PM DAILY
Drop off box available 24/7!</t>
  </si>
  <si>
    <t>https://form.jotform.com/251630702044445</t>
  </si>
  <si>
    <t>kukaj.to</t>
  </si>
  <si>
    <t>Raj filmov a seriálov</t>
  </si>
  <si>
    <t>Stránka plná zábavy zo sveta filmov a seriálov 👀
Fanúšikovská stránka 🔥</t>
  </si>
  <si>
    <t>thefilmthusiasts</t>
  </si>
  <si>
    <t>The Film Enthusiast</t>
  </si>
  <si>
    <t>Made by Film Enthusiasts for Film Enthusiasts.
✉️ partnership@thefilmenthusiast.com</t>
  </si>
  <si>
    <t>https://beacons.ai/filmenthusiast</t>
  </si>
  <si>
    <t>thefilmzone</t>
  </si>
  <si>
    <t>The Film Zone</t>
  </si>
  <si>
    <t>What to watch 🫶</t>
  </si>
  <si>
    <t>valvey_film</t>
  </si>
  <si>
    <t>Life like a film | 조경민🇰🇷</t>
  </si>
  <si>
    <t>🎬영화 같았던 날들 / 게시물 소니, 캐논 촬영
✨스마트폰 촬영 계정 -&gt; @valvey_daily
📩문의 : valveyfilm@gmail.com[DM X]
🎬내 일상을 한편의 영화처럼 포토클래스 신청 / 브러시필름 프리셋 신청🔻</t>
  </si>
  <si>
    <t>https://valvey.myportfolio.com</t>
  </si>
  <si>
    <t>budgetdog</t>
  </si>
  <si>
    <t>Brennan Schlagbaum, CPA - Personal Finance Expert</t>
  </si>
  <si>
    <t>💰 Helping 🇺🇸/🇨🇦 parents build wealth
📘 CPA &amp; National Best Selling Author
👨‍🏫 2,200+ @budgetdogacademy families
👇🏻 Get started today</t>
  </si>
  <si>
    <t>http://budgetdogacademy.com/ig-get-started</t>
  </si>
  <si>
    <t>dmj_finance</t>
  </si>
  <si>
    <t>David Martínez</t>
  </si>
  <si>
    <t>📍Dubai 🇦🇪
👉🏼Creo TODO tu contenido orgánico de 3 meses en 6h de tu tiempo</t>
  </si>
  <si>
    <t>finance_god</t>
  </si>
  <si>
    <t>Finance God</t>
  </si>
  <si>
    <t>Curated finance memes
Find me on X and discord</t>
  </si>
  <si>
    <t>https://linktr.ee/financegod</t>
  </si>
  <si>
    <t>finance_god_trading</t>
  </si>
  <si>
    <t>Finance God Trading</t>
  </si>
  <si>
    <t>For the memes: @finance_god 
Triple digit yearly returns for the last 4 years. Join our 8,000+ member casino :)</t>
  </si>
  <si>
    <t>https://linktr.ee/finance_god_trading</t>
  </si>
  <si>
    <t>financegoldenera</t>
  </si>
  <si>
    <t>Finance Golden Era</t>
  </si>
  <si>
    <t>Showcasing the elegance of retro finance and entrepreneurship. 📰
Powered by: @overheardonwallstreet
Wall Street’s #1 newsletter, read by 200k+👇</t>
  </si>
  <si>
    <t>https://www.shortsqueez.co/subscribe/?utm_source=fge</t>
  </si>
  <si>
    <t>financeguypeter</t>
  </si>
  <si>
    <t>Finance Peter</t>
  </si>
  <si>
    <t>Follow for daily financial advice from yours truly!
⬇️ Download Bloom and learn to invest! ⬇️</t>
  </si>
  <si>
    <t>https://app.adjust.com/1p6pu3zu</t>
  </si>
  <si>
    <t>_financetalks</t>
  </si>
  <si>
    <t>Finance Talks</t>
  </si>
  <si>
    <t>🎓Making you aware about FINANCE | TAXES
💸Simplify finance under 1 minuet everyday
💫Best financial tips from the creators 
❗️Email us for business</t>
  </si>
  <si>
    <t>https://www.mstock.com/open-demat-account?utm_adgroup=Smarkerz_BAU&amp;utm_source=Smarkerz&amp;utm_medium=Affiliates&amp;utm_campaign=Smarkerz__influencer__2022&amp;utm_content=qqr7m1h3&amp;smarkerzid=qqr7m1h3</t>
  </si>
  <si>
    <t>hoseini.finance</t>
  </si>
  <si>
    <t>محمد حسینی | آموزش ترید ، اقتصاد و بازارهای مالی</t>
  </si>
  <si>
    <t>Financial Consultant</t>
  </si>
  <si>
    <t>اقتصاد ، بازارهای مالی و‌ معرفی بهترین فرصتهای سرمایه گذاری
.
کانال تلگرام 👇</t>
  </si>
  <si>
    <t>https://hoseinifinance.com</t>
  </si>
  <si>
    <t>indianfinance.in</t>
  </si>
  <si>
    <t>Indian Finance 🇮🇳 | #1 News &amp; Market updates</t>
  </si>
  <si>
    <t>India’s Biggest Finance Page 🇮🇳
📊 Stock Market | Business | Global Updates
✉️ Biz: connect@onevisionmedia.in
🧠 Simplifying Finance for 1M+ Indians</t>
  </si>
  <si>
    <t>laurent.cosmos.finance</t>
  </si>
  <si>
    <t>Laurent Pignot</t>
  </si>
  <si>
    <t>🎙️ | L’actualité économique en 1 minute
📱 | 300k abonnés sur TikTok
🤝 | Partenaire de @zonebourse
📮 | Ma newsletter gratuite qui décrypte l’économie 👇</t>
  </si>
  <si>
    <t>https://laurentcosmosfinance.kessel.media/</t>
  </si>
  <si>
    <t>shewolfeofwallstreet</t>
  </si>
  <si>
    <t>Amanda Wolfe | Personal Finance Education</t>
  </si>
  <si>
    <t>Education &amp; Learning</t>
  </si>
  <si>
    <t>💸Helping you increase your financial literacy
📚Education: not advice
👇🏽Free investing class Tues 9/16🎉</t>
  </si>
  <si>
    <t>http://iteachyoutoinvest.com</t>
  </si>
  <si>
    <t>startingfinance</t>
  </si>
  <si>
    <t>Starting Finance</t>
  </si>
  <si>
    <t>La startup che sta rivoluzionando l’informazione e l’educazione finanziaria in Italia.
Per i nostri corsi e lo SFIM ⬇️</t>
  </si>
  <si>
    <t>https://bit.ly/financeinvestmentssf</t>
  </si>
  <si>
    <t>themarkethustle</t>
  </si>
  <si>
    <t>The Market Hustle - Finance &amp; Investing</t>
  </si>
  <si>
    <t>Stack Assets &amp; Enjoy Life
Financial Growth Podcast @markethustlepodcast 
Investing Anything &gt; Investing Nothing
No more feeling lost:</t>
  </si>
  <si>
    <t>https://linktr.ee/themarkethustle</t>
  </si>
  <si>
    <t>worldyfinance</t>
  </si>
  <si>
    <t>Worldy Finance</t>
  </si>
  <si>
    <t>Visione a 360°, sulla finanza.
🌍 @worldy.it</t>
  </si>
  <si>
    <t>https://finance.worldy.com/</t>
  </si>
  <si>
    <t>youraveragefinancebro</t>
  </si>
  <si>
    <t>Finance Bro</t>
  </si>
  <si>
    <t>Maximizer of Shareholder Value 📈
Freak in the Spreadsheets 🔥
Got that EBITDawg in me 😤
If you can’t DCF, I’m not DTF 👀 
Brands: bro@averageteam.com</t>
  </si>
  <si>
    <t>https://linktr.ee/financebro</t>
  </si>
  <si>
    <t>your_finance_brother</t>
  </si>
  <si>
    <t>Jonathan Tristan</t>
  </si>
  <si>
    <t>Not Your Typical Finance Bro</t>
  </si>
  <si>
    <t>https://linktr.ee/jonathantristan?utm_source=linktree_profile_share&amp;ltsid=21077c5a-6b0e-48ea-9990-e61e1f787cb1</t>
  </si>
  <si>
    <t>zarch_finance</t>
  </si>
  <si>
    <t>ZARCH</t>
  </si>
  <si>
    <t>Pierre Chartier
📍 Founder of @derivatives_finance 
✉️ Mail Pro : zarch@nuggets-influence.com
PnL Maker👇🏼</t>
  </si>
  <si>
    <t>https://linktr.ee/zarch_finance</t>
  </si>
  <si>
    <t>fi.freedomtoday</t>
  </si>
  <si>
    <t>Financial Freedom Today</t>
  </si>
  <si>
    <t>منصة إعلامية مستقلة
تهتم بمال المستقبل والتحفيز على الحرية المالية
00971562762701</t>
  </si>
  <si>
    <t>https://linktr.ee/FI.Freedomtoday</t>
  </si>
  <si>
    <t>financial_freedom0115</t>
  </si>
  <si>
    <t>我是陪你成長的大嬸</t>
  </si>
  <si>
    <t>💰年配息300萬讓生活變主業
🛫在有限的生命裡玩出無限可能
⬇️了解如何提早退休</t>
  </si>
  <si>
    <t>https://portaly.cc/financial_freedom0115</t>
  </si>
  <si>
    <t>financialfreedom.us</t>
  </si>
  <si>
    <t>Financial Freedom US | How To Make Money Online</t>
  </si>
  <si>
    <t>🌐 Learn To Make Money Online
🧑‍💻 Beginner-Friendly Ways To Make Money Online
✨ Start Here ⬇️</t>
  </si>
  <si>
    <t>https://www.xfinancialfreedom.com/high-paying-remote-jobs-for-complete-beginners</t>
  </si>
  <si>
    <t>yourfinancepal</t>
  </si>
  <si>
    <t>#1 Page For Financial Freedom</t>
  </si>
  <si>
    <t>💵 Learn How To Make Money
📈 Assist You Achieve Financial Freedom
💡 DM Me For Free Finance Consultation 💡</t>
  </si>
  <si>
    <t>fitness_challenge_l</t>
  </si>
  <si>
    <t>Lasta Fitness</t>
  </si>
  <si>
    <t>A personalized health &amp; wellness app 💪
📲 1 000 000 installs</t>
  </si>
  <si>
    <t>http://linktr.ee/LastaApp</t>
  </si>
  <si>
    <t>_runtheedge_</t>
  </si>
  <si>
    <t>Run The Edge | Walk + Run Fitness Challenges</t>
  </si>
  <si>
    <t>Celebrate the incredible range of people who make up the RTE community - real people moving in real ways (see what we did there?)</t>
  </si>
  <si>
    <t>http://runtheedge.com/2026-challenge-final</t>
  </si>
  <si>
    <t>f1tness_goals</t>
  </si>
  <si>
    <t>Fitness Goals</t>
  </si>
  <si>
    <t>Page for sale. 
DO IT for the people who want to see you FAIL.</t>
  </si>
  <si>
    <t>fitness_goals._____</t>
  </si>
  <si>
    <t>🄻🄴🄶🄴🄽🄳</t>
  </si>
  <si>
    <t>🏆Our Goal is to promote fitness🏆
🎯 Men 🌀Women Fitness 🎯
🇮🇳
🏆No pain 🤕 No gain💪
📺DM for Promotions😍
❤ Playing in millions ❤</t>
  </si>
  <si>
    <t>fitness_goals_ig_</t>
  </si>
  <si>
    <t>FITNESS GOALS</t>
  </si>
  <si>
    <t>motivation and inspiration
💪 Follow For Some Amazing Fitness Related Content
💪 @fitness_goals_ig_  to Get Featured.
Follow this page @fitness_bytes</t>
  </si>
  <si>
    <t>fiftyfitnessjourney</t>
  </si>
  <si>
    <t>Denise Kirtley</t>
  </si>
  <si>
    <t>✨50 Is The New 50✨
Transformation Coach helping Midlife Women find their strength!
@rebellion_body Founder
Get my FITNESS APP ⬇️</t>
  </si>
  <si>
    <t>https://linktr.ee/fiftyfitnessjourney</t>
  </si>
  <si>
    <t>igfitnessjourney</t>
  </si>
  <si>
    <t>FITNESS JOURNEY</t>
  </si>
  <si>
    <t>❤️DM US FOR PROMOTION 
𝗣𝗿𝗼𝗺𝗼𝘁𝗶𝗻𝗴 FITNESS 🏡 MODELS 𝗽𝗲𝗼𝗽𝗹𝗲 &amp; 𝗛𝗲𝗹𝗽𝗶𝗻𝗴 𝗰𝗿𝗲𝗮𝘁𝗼𝗿𝘀 
MAIN PAGE 👉 @ig__fitnessjourney</t>
  </si>
  <si>
    <t>ig_fitnessjourney</t>
  </si>
  <si>
    <t>❤️DM US FOR PROMOTION 
𝗣𝗿𝗼𝗺𝗼𝘁𝗶𝗻𝗴 FITNESS 🏡 MODELS 𝗽𝗲𝗼𝗽𝗹𝗲 &amp; 𝗛𝗲𝗹𝗽𝗶𝗻𝗴 𝗰𝗿𝗲𝗮𝘁𝗼𝗿𝘀 &amp;  MAIN PAGE- 👉 @ig__fitnessjourney</t>
  </si>
  <si>
    <t>http://womensaihealthhub.com</t>
  </si>
  <si>
    <t>ig__fitnessjourney</t>
  </si>
  <si>
    <t>❤️DM US FOR PROMOTION 
𝗣𝗿𝗼𝗺𝗼𝘁𝗶𝗻𝗴 FITNESS🏡 MODEL,FITNESS JOURNEY. 𝗽𝗲𝗼𝗽𝗹𝗲 &amp; 𝘃𝗶𝗯𝗲𝘀 
𝗛𝗲𝗹𝗽𝗶𝗻𝗴 𝗰𝗿𝗲𝗮𝘁𝗼𝗿𝘀 &amp; BUSINESS</t>
  </si>
  <si>
    <t>http://swospa.com</t>
  </si>
  <si>
    <t>ig_fitnessjourneyy</t>
  </si>
  <si>
    <t>❤️DM US FOR PROMOTION 
𝗣𝗿𝗼𝗺𝗼𝘁𝗶𝗻𝗴 FITNESS 🏡 MODELS 𝗽𝗲𝗼𝗽𝗹𝗲 &amp; 𝗛𝗲𝗹𝗽𝗶𝗻𝗴 𝗰𝗿𝗲𝗮𝘁𝗼𝗿𝘀
MAIN PAGE ❤️👉 @ig__fitnessjourney</t>
  </si>
  <si>
    <t>maris.fitnessjourney</t>
  </si>
  <si>
    <t>mari</t>
  </si>
  <si>
    <t>a very unserious person on a very serious fitness journey! 🇲🇽
@cleansimpleeats | MARI 
📍long beach, ca</t>
  </si>
  <si>
    <t>https://linktr.ee/marissabeldiaz</t>
  </si>
  <si>
    <t>ayya_flowers_tm</t>
  </si>
  <si>
    <t>Ayya Flowers | Güller</t>
  </si>
  <si>
    <t>Флорист 🌹  
Создаем уникальные букеты и цветочные композиции в Ашхабаде Russia 🇷🇺 kartymyz badyr 15 tapgyr😍
📞 Заказы: +99361717641  +99364484447</t>
  </si>
  <si>
    <t>Flower Shops</t>
  </si>
  <si>
    <t>Empowering local flower shops through delivery 🌸 Order @flowers today!</t>
  </si>
  <si>
    <t>https://tinyurl.com/cwcy6nvf</t>
  </si>
  <si>
    <t>flowers.accessories_</t>
  </si>
  <si>
    <t>Flowers| accesorios y más.</t>
  </si>
  <si>
    <t>📍Santiago,RD.
✨Tienda Virtual
🔹Delivery, Envíos nacionales.🇩🇴
EST. 2021✨
👇🏻Descubre más aquí👇🏻</t>
  </si>
  <si>
    <t>https://linktr.ee/flowers.accessories_</t>
  </si>
  <si>
    <t>loft.flowers</t>
  </si>
  <si>
    <t>ЦВЕТЫ ДОСТАВКА СМОЛЕНСК БУКЕТ ДЕКОР ПОДАРОК</t>
  </si>
  <si>
    <t>🌿Доставка по городу от 5000₽ БЕСПЛАТНО 
🌿ПН-ПТ 8.00-20.00 СБ-ВС 9.00-20.00
⬇️ЗАКАЗАТЬ⬇️</t>
  </si>
  <si>
    <t>https://taplink.cc/loftflowers67</t>
  </si>
  <si>
    <t>whynot.flowers</t>
  </si>
  <si>
    <t>Цветы Москва</t>
  </si>
  <si>
    <t>• Доставка день в день 
• Гарантия качества
• Тот самый цветочный на Патриках 
Трёхпрудный пер 11/13 стр 2</t>
  </si>
  <si>
    <t>https://t.me/flowerswhynot?utm_source=inst&amp;utm_medium=social&amp;utm_campaign=zakaz</t>
  </si>
  <si>
    <t>x.flowers4</t>
  </si>
  <si>
    <t>Zay Flowers</t>
  </si>
  <si>
    <t>WR @ravens 
11 outta 14🌹
LLMama❤️ LLMarty🕊LLTyler♥️</t>
  </si>
  <si>
    <t>https://twitch.tv/zayyflowers4</t>
  </si>
  <si>
    <t>f00d__art</t>
  </si>
  <si>
    <t>Food Art</t>
  </si>
  <si>
    <t>Transforming ordinary ingredients into edible masterpieces  | 
Join me on a visual feast of food artistry! 🎭
 #foodcarving #edibleart #foodart</t>
  </si>
  <si>
    <t>foodartchefs</t>
  </si>
  <si>
    <t>Foodart Chefs</t>
  </si>
  <si>
    <t>"One cannot think well, love well, sleep well, if one has not dined well." Virginia Woolf
Tag #foodartchefs</t>
  </si>
  <si>
    <t>food.art_officiel</t>
  </si>
  <si>
    <t>Food’Art®</t>
  </si>
  <si>
    <t>L’art de la Food🥘 et la Pâtisserie🍰
Dans une ambiance StreetArt🎨
By @mohamed_patissier 
📍2 rue Teddy Riner 92600 Asnieres sur Seine</t>
  </si>
  <si>
    <t>https://foodartofficiel.fr/</t>
  </si>
  <si>
    <t>foodartproject</t>
  </si>
  <si>
    <t>Food Art Project | Mridul Kawatra</t>
  </si>
  <si>
    <t>FOOD. ART. TRAVEL. EXPLORE
—Global Photography Community
—Immersive Retreats for Artistic Minds &amp; Curious Travelers
—Worldwide Photography Challenges</t>
  </si>
  <si>
    <t>foodartstore</t>
  </si>
  <si>
    <t>𝗙𝗼𝗼𝗱 𝗔𝗿𝘁</t>
  </si>
  <si>
    <t>Convenient &amp; No-Cook vegetarian nourishing soup perfects for your daily consume 🌱
No-Cook Recipes, Souper Easy!
Check out 🔗 to begin your Souper Life!</t>
  </si>
  <si>
    <t>https://linktr.ee/foodartstore</t>
  </si>
  <si>
    <t>foodatory</t>
  </si>
  <si>
    <t>Foodatory 🍔 Los Angeles / AZ</t>
  </si>
  <si>
    <t>💯  🍕🍫Los Angeles -&gt; Arizona  👀diet destroyer!🤣😂😋👌👍✌🔥</t>
  </si>
  <si>
    <t>foodchallengesisters</t>
  </si>
  <si>
    <t>Food Challenge Sisters</t>
  </si>
  <si>
    <t>ASMR | MUKBANG | FOODIE | Food Challenge
📩 Dm - Invites / Collaboration
Full videos in Youtube⤵️</t>
  </si>
  <si>
    <t>https://youtube.com/@foodchallengesisters?si=D3d__2uXs7acM-Mw</t>
  </si>
  <si>
    <t>foodiegirltour</t>
  </si>
  <si>
    <t>Cat | Food &amp; Travel</t>
  </si>
  <si>
    <t>🍴 NYC Hidden Gems &amp; Global Eats
✈️ Taking you on a journey of flavors &amp; destinations
📸 @catwhereyouatt 🇩🇴
💻 Need Social Media Management? →@eatztour</t>
  </si>
  <si>
    <t>https://linktr.ee/foodiegirltour</t>
  </si>
  <si>
    <t>___foodtour</t>
  </si>
  <si>
    <t>푸드투어_맛집 여행</t>
  </si>
  <si>
    <t>▫️숨어있는 맛집 대신 찾아드려요
▫️팔로우하고 맛집 정보 빠르게 알아가세요! 
👇🏻소개한 제품은 아래 링크 클릭👇🏻</t>
  </si>
  <si>
    <t>https://link.inpock.co.kr/foodtour</t>
  </si>
  <si>
    <t>foodtourgdl</t>
  </si>
  <si>
    <t>Food Tour GDL</t>
  </si>
  <si>
    <t>Aquí puedes encontrar lugares y recomendaciones de a donde ir a comer en Gdl. ✉️food.tour.gdl@gmail.com #foodtourgdl</t>
  </si>
  <si>
    <t>foodtour_la</t>
  </si>
  <si>
    <t>Food Tour 🍣 Los Angeles</t>
  </si>
  <si>
    <t>Only the BEST Food finds in Los Angeles! 😋🍕 🍔 🥘 🍗🌮🌯
—————————
Dm for Promo</t>
  </si>
  <si>
    <t>foodtour_nyc</t>
  </si>
  <si>
    <t>Food Tour 🍕New York City</t>
  </si>
  <si>
    <t>Only the  best food finds in New York City! 🍔🍕🥩🍜🥓🧀🥯
Dm for promo</t>
  </si>
  <si>
    <t>foodtoursaigon</t>
  </si>
  <si>
    <t>Food Tour</t>
  </si>
  <si>
    <t>no_diet_club</t>
  </si>
  <si>
    <t>NO DIET CLUB FOOD TOURS</t>
  </si>
  <si>
    <t>👧🏻 : @clauclaubouffetrop
🥷 : @goro_nyudo
Des food tours dans plein de villes / pays
Booking, merch  ⬇</t>
  </si>
  <si>
    <t>https://bio.site/nodietclub</t>
  </si>
  <si>
    <t>dzen.forest</t>
  </si>
  <si>
    <t>Ретрит-отель в Налибокской пуще</t>
  </si>
  <si>
    <t>🌲 лесной ретрит-отель нового времени
🌲 90 км от Минска
🌲 йога, внутренняя тишина и дофаминовая перезагрузка
🌲 16 лесных шале</t>
  </si>
  <si>
    <t>https://dzenforest.by/yogatheraphycamp2</t>
  </si>
  <si>
    <t>Forest ↟</t>
  </si>
  <si>
    <t>Social Club</t>
  </si>
  <si>
    <t>Let's get lost in the woods🎒🌲</t>
  </si>
  <si>
    <t>forestinkclothing</t>
  </si>
  <si>
    <t>Forest Ink</t>
  </si>
  <si>
    <t>Doll Parts Collection Is Live!  
🖤 XXS - 5XL 
🖤 Sweatshop-Free (SA8000 Certified)</t>
  </si>
  <si>
    <t>https://www.forestinkclothing.com</t>
  </si>
  <si>
    <t>forest_park95</t>
  </si>
  <si>
    <t>Форест Парк</t>
  </si>
  <si>
    <t>Recreation Spot</t>
  </si>
  <si>
    <t>🌸15 минут - и вы за городом! 
🌸• Уютные домики 
🌸• беседки
🌸• качели
8938 894 16 16 📲
https://t.me/basa_forest_park95</t>
  </si>
  <si>
    <t>https://t.me/basa_forest_park95</t>
  </si>
  <si>
    <t>officialnffc</t>
  </si>
  <si>
    <t>Nottingham Forest</t>
  </si>
  <si>
    <t>Wearing the Garibaldi with pride since 1865.</t>
  </si>
  <si>
    <t>https://www.nottinghamforest.co.uk</t>
  </si>
  <si>
    <t>la_frenchcuisine</t>
  </si>
  <si>
    <t>La French Cuisine</t>
  </si>
  <si>
    <t>Caterer</t>
  </si>
  <si>
    <t>👨‍🍳 Traiteur Marseillais 
🐟 Produits frais &amp; préparés avec passion
📍 @lebonair.ndg &amp; @le.restaurant.ndg</t>
  </si>
  <si>
    <t>https://flow.page/frenchcuisine</t>
  </si>
  <si>
    <t>epicfunnypage</t>
  </si>
  <si>
    <t>Funny Memes</t>
  </si>
  <si>
    <t>• Funny Memes &amp; Videos 🤣
• Just follow us because your friend does
Telegram: @ EpicSales 📲
Email: epicfunnypage@gmail.com 📧</t>
  </si>
  <si>
    <t>Funny</t>
  </si>
  <si>
    <t>@funny: laughter is our language 🤣🌐
✉️biz inquiries: funny@memes.com
👇 Kanye West investigated for battery after alleged assault on wife.</t>
  </si>
  <si>
    <t>https://bit.ly/4d57iwk</t>
  </si>
  <si>
    <t>funnyhoodvidz</t>
  </si>
  <si>
    <t>FunnyHoodVidz</t>
  </si>
  <si>
    <t>📬↠ Telegram: funnyhoodvidzpromo
🗣↠ Beware of fakes. Only ⬆️
🎰↠ Use code “FHV” @stake</t>
  </si>
  <si>
    <t>http://stake.com/?c=fhv</t>
  </si>
  <si>
    <t>funny.jobs</t>
  </si>
  <si>
    <t>FunnyJobs</t>
  </si>
  <si>
    <t>Electronics Store</t>
  </si>
  <si>
    <t>📱 Техника / Ремонт
🔥Скупка / Trade In
👉🏼 Apple / XIAOMI / Samsung
💥 Нашли дешевле? Снизим цену!
📍 ТД «Русь» / ТРЦ «Мармелад» 10:00-21:00
☎️ 90-98-88</t>
  </si>
  <si>
    <t>https://vk.com/funnyjobs</t>
  </si>
  <si>
    <t>funny.li.1</t>
  </si>
  <si>
    <t>לצחוק זה בריא 😄</t>
  </si>
  <si>
    <t>http://chatlon.com/landing</t>
  </si>
  <si>
    <t>funnysalesman</t>
  </si>
  <si>
    <t>Kenny Brooks</t>
  </si>
  <si>
    <t>🚀 Sales Is My Game 
🧼👟Get PM Here👇
🎤 Comedian/Actor 
📚 Always Learning
🚪 Always Teaching 
👨🏾‍💼 Viral D2D Salesman
🎥 2.8M on Tiktok
🎬 TROI Podcast</t>
  </si>
  <si>
    <t>https://direct.me/funnysaleman</t>
  </si>
  <si>
    <t>funny.animal_2025</t>
  </si>
  <si>
    <t>Funny.animals</t>
  </si>
  <si>
    <t>@craftnamesign.store</t>
  </si>
  <si>
    <t>https://craftnamesign.com/?s=Animal&amp;post_type=product</t>
  </si>
  <si>
    <t>funny.animals_1</t>
  </si>
  <si>
    <t>Amazing animals</t>
  </si>
  <si>
    <t>The home of animals 🏠🐺</t>
  </si>
  <si>
    <t>funny.animals1_</t>
  </si>
  <si>
    <t>funny.animals</t>
  </si>
  <si>
    <t>👍
Day Forever 
Funny Animals Video
😺🐺🐻🐅🐆🐀🐇🐈🐁🐂🐉🐊🐃🐋🐄🐓🐌🐔🐍🐎🐕🐖🐏🐐🐗🐘🐑🐒🐙🐡🐚🐛🐢🐣🐜🐝🐤🐥🐞🐟🐦🐧🐠🐯🐨🐩🐰🐱🐪🐫🐲🐳🐬🐭🐴🐵🐮</t>
  </si>
  <si>
    <t>funny_animals_6</t>
  </si>
  <si>
    <t>funny animal videos</t>
  </si>
  <si>
    <t>Wanna laugh everyday? 😂
Stick around for daily drops of funny animal videos 🥰</t>
  </si>
  <si>
    <t>funnyanimalsdoingstuff</t>
  </si>
  <si>
    <t>Funny Animals Doing Stuff</t>
  </si>
  <si>
    <t>Animal Humor Headquarters🦚🦭🦕
Use #funnyanimalsdoingstuff and tag us to get your furry friends featured!🐾😹</t>
  </si>
  <si>
    <t>funnyanimalshub_</t>
  </si>
  <si>
    <t>Funny Animals hub</t>
  </si>
  <si>
    <t>Great Pet Products 👇</t>
  </si>
  <si>
    <t>https://linktr.ee/funnyanimalshub</t>
  </si>
  <si>
    <t>funny_animals_l8l</t>
  </si>
  <si>
    <t>Funny animals</t>
  </si>
  <si>
    <t>I love watching animals videos 🥰</t>
  </si>
  <si>
    <t>http://www.tiktok.com/@funny_animals_lol8</t>
  </si>
  <si>
    <t>funny_animalss_2</t>
  </si>
  <si>
    <t>😹 | daily drops of funny animal videos 🤣
🤗 | to make you relax and laugh always 😂</t>
  </si>
  <si>
    <t>funny_animals.videos</t>
  </si>
  <si>
    <t>FUNNY ANIMALS</t>
  </si>
  <si>
    <t>https://youtu.be/Px8Lmfu8bSU</t>
  </si>
  <si>
    <t>funnyanimals_videos</t>
  </si>
  <si>
    <t>Funny animals videos</t>
  </si>
  <si>
    <t>#</t>
  </si>
  <si>
    <t>funnyhoodanimals</t>
  </si>
  <si>
    <t>Funny Animals</t>
  </si>
  <si>
    <t>⏰ | Daily Adorable Animals 🐾🧡
🔔 | Turn on post notifications</t>
  </si>
  <si>
    <t>theanimalsbeingfunny</t>
  </si>
  <si>
    <t>😹 | Daily dose of funny animals videos 
😻 | Follow us to enjoy the animals being funny</t>
  </si>
  <si>
    <t>funny.kiddsss</t>
  </si>
  <si>
    <t>Funny Kids</t>
  </si>
  <si>
    <t>We post funny kids. That's it!
For business inquiries, DM us at 👉 @100xmedias</t>
  </si>
  <si>
    <t>funnykidsbaku</t>
  </si>
  <si>
    <t>Baby &amp; children's clothing store</t>
  </si>
  <si>
    <t>📍28 may m.st. Azadlıq 77 a (22-ci polis bölməsiylə üzbə üz)📌10 DƏQİQƏYƏ KREDİT⏱️
📍Sifariş ücün👇</t>
  </si>
  <si>
    <t>http://wa.me/994553068468</t>
  </si>
  <si>
    <t>funny_kids_moments</t>
  </si>
  <si>
    <t>FunnyKidsMoments</t>
  </si>
  <si>
    <t>We post funny kids moments 🫡</t>
  </si>
  <si>
    <t>futuristic.25</t>
  </si>
  <si>
    <t>Future of AI</t>
  </si>
  <si>
    <t>futuretech</t>
  </si>
  <si>
    <t>Future Tech</t>
  </si>
  <si>
    <t>The Future is Now!
Business: @robert</t>
  </si>
  <si>
    <t>future_tech595</t>
  </si>
  <si>
    <t>Future_Tech</t>
  </si>
  <si>
    <t>Unlock Tomorrow’s Opportunities today with our cutting-edge Tech courses designed to equip you with the skills of the future</t>
  </si>
  <si>
    <t>http://futuretech.institute/</t>
  </si>
  <si>
    <t>futuretech.exe</t>
  </si>
  <si>
    <t>Science &amp; Tech</t>
  </si>
  <si>
    <t>🔬 Research • 🤖 AI • 🦾 Robotics • 🛰 Astronautics
Business inquiries: @robert
Powered by: @drinkjungl</t>
  </si>
  <si>
    <t>futuretechphone</t>
  </si>
  <si>
    <t>Retail company</t>
  </si>
  <si>
    <t>🔮O FUTURO EM SUAS MÃOS 
 ❌ COBRIMOS QUALQUER PREÇO 🤩
 📍SHOPPING POPULAR BOX 451/452
📲 Toda Linha Apple
🥇 Aparelhos Com Garantia
🛠️ Assistência Técnica</t>
  </si>
  <si>
    <t>http://wa.me/5565996423526</t>
  </si>
  <si>
    <t>gadgetmaxs</t>
  </si>
  <si>
    <t>Unboxing &amp; Review Gadget</t>
  </si>
  <si>
    <t>Untuk informasi hub
✉️ gadgetmaxinfo@gmail.com
Barang Review bisa beli di link dibawah yo..</t>
  </si>
  <si>
    <t>https://msha.ke/gadgetmax</t>
  </si>
  <si>
    <t>game_developer_unity</t>
  </si>
  <si>
    <t>Game_Developer_Unity</t>
  </si>
  <si>
    <t>Video Game Programmer</t>
  </si>
  <si>
    <t>Unity Game Developer 🕹</t>
  </si>
  <si>
    <t>https://linktr.ee/GameDeveloperUnity</t>
  </si>
  <si>
    <t>gamedev.tv</t>
  </si>
  <si>
    <t>GameDev.tv</t>
  </si>
  <si>
    <t>College &amp; university</t>
  </si>
  <si>
    <t>Proud to have helped 1 million+ people start their game dev journey👾Learn to code video games with C#, C++, Unity, Unreal, Blender. Join at GameDev.tv</t>
  </si>
  <si>
    <t>https://www.gamedev.tv/</t>
  </si>
  <si>
    <t>thegamedevclub</t>
  </si>
  <si>
    <t>gamedev | 3dart</t>
  </si>
  <si>
    <t>DM for business</t>
  </si>
  <si>
    <t>https://store.steampowered.com/app/3751720/Dungeon_Directive/?beta=0</t>
  </si>
  <si>
    <t>gameplayspixels</t>
  </si>
  <si>
    <t>Game Plays Pixels🎮</t>
  </si>
  <si>
    <t>🪽Art Toy Enthusiast🦄
👾Sell, Trade &amp; Search😁
Contact : https://linktr.ee/gameplayspixels</t>
  </si>
  <si>
    <t>gamesweplay</t>
  </si>
  <si>
    <t>GAMES WE PLAY</t>
  </si>
  <si>
    <t>Emmyn Joel Calleiro</t>
  </si>
  <si>
    <t>https://linktr.ee/gamesweplay</t>
  </si>
  <si>
    <t>fluidgame</t>
  </si>
  <si>
    <t>Fluid Game | Gaming News</t>
  </si>
  <si>
    <t>Filmes, Séries, Humor &amp; Games. ⚡️
💬 Parcerias via direct.
⤵️ Para mais.</t>
  </si>
  <si>
    <t>https://linktr.ee/fluidgame</t>
  </si>
  <si>
    <t>dopegamingsetup</t>
  </si>
  <si>
    <t>Gaming Setups and Design 🔵</t>
  </si>
  <si>
    <t>🎱 Game room designer and 3D artist
👔 Sponsored by @adata_global 
📥 Visit the link below for an enquiry
Build and Installation in USA</t>
  </si>
  <si>
    <t>http://dopegamingsetup.com</t>
  </si>
  <si>
    <t>gamin_setups</t>
  </si>
  <si>
    <t>Gaming Setups</t>
  </si>
  <si>
    <t>💻 | PC Builder and Gamer
🫵🏻 | Follow us for Giveaways
💳buy here👇</t>
  </si>
  <si>
    <t>https://maxoutletstore.com/products/nasal-stick-4-pcs?_pos=2&amp;_psq=nasal&amp;_ss=e&amp;_v=1.0&amp;fbclid=PAVERFWAMpM0tleHRuA2FlbQIxMAABpxYtgzgT-FjQnEEeT38T_NshcyYhwmiajgBc6bepsEnvKjjeqrlRMNizBv16_aem_n8Vlkm6uTzspDoaWP2BLbQ</t>
  </si>
  <si>
    <t>playstation_n3rd</t>
  </si>
  <si>
    <t>PlayStation | Gaming | Setup</t>
  </si>
  <si>
    <t>⭐️ 𝙹𝚞𝚜𝚝 𝙿𝚒𝚌𝚜 𝚘𝚏 𝚖𝚢 𝚘𝚠𝚗 𝙲𝚘𝚕𝚕𝚎𝚌𝚝𝚒𝚘𝚗 ⭐️ 
𝙿𝚜𝚗: In_flu3ncer 🎮
𝙿𝚕𝚊𝚝𝚒𝚗𝚞𝚖: 329 𝙶𝚘𝚕𝚍: 1660 𝚂𝚒𝚕𝚟𝚎𝚛: 3516 𝙱𝚛𝚘𝚗𝚣𝚎: 8400
▶️𝙵𝚘𝚛 𝙲𝚘𝚕𝚕𝚊𝚋 𝙲𝚘𝚗𝚝𝚊𝚌𝚝 𝚖𝚎 𝙳𝚖 𝚘𝚛 𝙴𝚖𝚊𝚒𝚕◀️</t>
  </si>
  <si>
    <t>burpeegardening</t>
  </si>
  <si>
    <t>Burpee Gardening</t>
  </si>
  <si>
    <t>Highest quality seeds &amp; plants 🌱
Garden breakthroughs since 1876 🍅
100% satisfaction guarantee 🙌
Non-GMO | Heirloom | Hybrid 🪴
Pennsylvania, USA 📍</t>
  </si>
  <si>
    <t>http://sprout.link/burpeegardening</t>
  </si>
  <si>
    <t>epicgardening</t>
  </si>
  <si>
    <t>We help you grow.</t>
  </si>
  <si>
    <t>🌱 We exist to help you grow.
🌻 Our seeds: @botanical_interests</t>
  </si>
  <si>
    <t>https://growepic.co/shop</t>
  </si>
  <si>
    <t>epicgardeningteam</t>
  </si>
  <si>
    <t>Epic Gardening Team</t>
  </si>
  <si>
    <t>👩🏼‍🤝‍👨🏽 The @epicgardening team account
👨🏽‍🌾 Outreach, behind the scenes, memes, and more!</t>
  </si>
  <si>
    <t>https://beacons.ai/epicgardening</t>
  </si>
  <si>
    <t>Nature's Temples</t>
  </si>
  <si>
    <t>Creation with nature
@producersmarket</t>
  </si>
  <si>
    <t>https://producersmarket.com/</t>
  </si>
  <si>
    <t>gardening6886</t>
  </si>
  <si>
    <t>Gardening Soul</t>
  </si>
  <si>
    <t>🌷All Gardening inspiration in one page🌷
🌳Follow for Daily Inspiration🌳
--------
🛒 CLICK TO SHOP ⤵️⤵️⤵️</t>
  </si>
  <si>
    <t>https://linktr.ee/happygarden888</t>
  </si>
  <si>
    <t>gardening.999</t>
  </si>
  <si>
    <t>Home Gardening</t>
  </si>
  <si>
    <t>🌷All Gardening inspiration in one page🌷🌳Check out our brand 😊 Fast Delivery 🚚 🛒 Below is the link to our STORE ⤵️</t>
  </si>
  <si>
    <t>_gardening_for_beginner_</t>
  </si>
  <si>
    <t>Gardening | Housewife | Farm</t>
  </si>
  <si>
    <t>📷 | Follow for more gardening content
✉ | DM us for proper credit or remove any content 🙏
🛒 CLICK TO SHOP ⤵️⤵️⤵️</t>
  </si>
  <si>
    <t>https://linktr.ee/zenleestore</t>
  </si>
  <si>
    <t>gardening_tips68</t>
  </si>
  <si>
    <t>Gardening Tips</t>
  </si>
  <si>
    <t>🌷All Gardening inspiration in one page🌷
🌳Follow for Daily Inspiration🌳</t>
  </si>
  <si>
    <t>gardening.tipss</t>
  </si>
  <si>
    <t>Garden Design Ideas</t>
  </si>
  <si>
    <t>gardeninguk18</t>
  </si>
  <si>
    <t>Fashion home gardening</t>
  </si>
  <si>
    <t>Gardening ideas &amp; Gardening home creativity ideas
Dm for Collabs &amp; Promotions
📩 psrmp88@gmail.com</t>
  </si>
  <si>
    <t>https://www.youtube.com/@Fashion-homegardening</t>
  </si>
  <si>
    <t>gardeningwithgoo</t>
  </si>
  <si>
    <t>Goowatitdew</t>
  </si>
  <si>
    <t>Big Veggie Steppa🫑🥬👑  Gardening with Goo is focused on contributing to communities by helping them to grow their own food. Love the land plant a seed🌱</t>
  </si>
  <si>
    <t>https://youtu.be/6heEvL_Ne5E?si=fX2ld27v9pW9sPr6</t>
  </si>
  <si>
    <t>gardeningwithmom_</t>
  </si>
  <si>
    <t>Gardening With Mom</t>
  </si>
  <si>
    <t>Hi 👋🏻! Happy you’re here! I’m a mom who loves gardening. Here to share tips and grow together! 🌸🌱</t>
  </si>
  <si>
    <t>http://seedsconnect.org</t>
  </si>
  <si>
    <t>learngardning</t>
  </si>
  <si>
    <t>Learn Gardening | Sasa</t>
  </si>
  <si>
    <t>Gardener</t>
  </si>
  <si>
    <t>Gardening tips &amp; plant care for your green haven! 🌿
👇🏻Join a community of gardeners</t>
  </si>
  <si>
    <t>https://t.me/learngardning</t>
  </si>
  <si>
    <t>man_about_gardening</t>
  </si>
  <si>
    <t>Luke Newnes | The Pink Gardener</t>
  </si>
  <si>
    <t>Content Creator | New Build Gardener | Gardening Tips | Home Inspo | Places To Visit 🇬🇧 🌸
💫DM for Garden Consultations💫</t>
  </si>
  <si>
    <t>https://taplink.cc/manaboutgardening</t>
  </si>
  <si>
    <t>morethangardening</t>
  </si>
  <si>
    <t>Sam | More than Gardening</t>
  </si>
  <si>
    <t>Michigan - Zone 6a 👩🏼‍🌾
Gardening, canning, &amp; more 🤠
My YouTube channel &amp; favorite things ⤵️</t>
  </si>
  <si>
    <t>https://youtube.com/@MorethanGardening?si=Yo82iM1dv_OYriiT</t>
  </si>
  <si>
    <t>phsgardening</t>
  </si>
  <si>
    <t>PA Horticultural Society</t>
  </si>
  <si>
    <t>🌱 Your resource for all things gardening
🍻 @PHSPopUpGardens
🌸 Philadelphia Flower Show</t>
  </si>
  <si>
    <t>https://linktr.ee/phsgardening</t>
  </si>
  <si>
    <t>thegardeninggrant</t>
  </si>
  <si>
    <t>Grant Minkhorst</t>
  </si>
  <si>
    <t>A Canadian Master Gardener-in-Training finding his groove 🪴 Zone 6b [Toronto, 🇨🇦] 🌷 🏳️‍🌈 TikTok gardeninggrant | native plants, learning, flowers, fun</t>
  </si>
  <si>
    <t>https://linktr.ee/GardeningGrant</t>
  </si>
  <si>
    <t>thehappygardeninglife</t>
  </si>
  <si>
    <t>The Happy Gardening Life™ 🌞</t>
  </si>
  <si>
    <t>🌱 Celebrate the joy of gardening with us!
🌱 Sister account @thehappygreenhouselife
🌱 #thehappygardeninglife to be featured
🌱 Favorite Book Here 👇</t>
  </si>
  <si>
    <t>https://independentbackyard.com/my-book</t>
  </si>
  <si>
    <t>youcandoitgardening</t>
  </si>
  <si>
    <t>Jess Zander, The Garden Coach🌺</t>
  </si>
  <si>
    <t>Empowering and inspiring gardeners at all levels to have fun, learn and get their hands dirty. Anyone can do this!
Consultations and more!👇</t>
  </si>
  <si>
    <t>https://linktr.ee/youcandoitgardening</t>
  </si>
  <si>
    <t>gardenlifearg</t>
  </si>
  <si>
    <t>+gardenlife</t>
  </si>
  <si>
    <t>+ Diseño y Practicidad a tu vida+
📍Tortugas Open Mall
📍Córdoba- Av Bernardo O'Higgins y Av Circunvalación
📍Parque Avellaneda 
Shopping</t>
  </si>
  <si>
    <t>http://www.gardenlife.com.ar/</t>
  </si>
  <si>
    <t>gardenoflife</t>
  </si>
  <si>
    <t>Garden of Life®</t>
  </si>
  <si>
    <t>Real about our ingredients. Real about wellness. Real about empowering extraordinary health.
🌱 USDA Organic
🌱 Non-GMO Verified
🌱 Certified B-Corp</t>
  </si>
  <si>
    <t>http://visitstore.bio/gardenoflife</t>
  </si>
  <si>
    <t>makse.life</t>
  </si>
  <si>
    <t>MäksēLife Goal Setting + Planner System</t>
  </si>
  <si>
    <t>Life Coach created all-in-one Goal-Setting Planner. 
JOIN SEASON OF YES ON OUR NEW APP—AVAILABLE NOW👇🏼</t>
  </si>
  <si>
    <t>https://makselife.com/products/clubmakse-2025-sign-up-and-recurring-membership</t>
  </si>
  <si>
    <t>planwithlaken</t>
  </si>
  <si>
    <t>Laken | Goal Setting Coach</t>
  </si>
  <si>
    <t>Learn how to actually achieve your personal goals!
🎥 YouTube Channel with 3M views!
🎙️ @sisterslikeuspod 
⬇️ Need help with your goals?</t>
  </si>
  <si>
    <t>http://planwithlaken.teachable.com/p/goals-with-laken-birthday-party</t>
  </si>
  <si>
    <t>augusta.gp</t>
  </si>
  <si>
    <t>Augusta/o  ~  Golf Palermo</t>
  </si>
  <si>
    <t>🍽️ Augusto | Restobar exclusivo 
🍱 Jueves a Sábado 21:00 hs | Ingreso con reserva
🥂 Augusta | Open bar 00hs 
RESERVAS 👇🏽</t>
  </si>
  <si>
    <t>https://linktr.ee/augusta.augusto</t>
  </si>
  <si>
    <t>GOLF</t>
  </si>
  <si>
    <t>GOLF WANG</t>
  </si>
  <si>
    <t>http://golfwang.com/</t>
  </si>
  <si>
    <t>golf_com</t>
  </si>
  <si>
    <t>GOLF.com // GOLF Magazine</t>
  </si>
  <si>
    <t>The official Instagram account for GOLF.com and GOLF Magazine. ⛳️</t>
  </si>
  <si>
    <t>https://golf.com/</t>
  </si>
  <si>
    <t>golfcuties</t>
  </si>
  <si>
    <t>Golf Cuties</t>
  </si>
  <si>
    <t>Golf cuties on the golf course ❤🏌#golfcuties
👇👇</t>
  </si>
  <si>
    <t>golfdigest</t>
  </si>
  <si>
    <t>Golf Digest</t>
  </si>
  <si>
    <t>How to play, what to play, where to play.
Link in bio ⬇️</t>
  </si>
  <si>
    <t>https://likeshop.me/golfdigest</t>
  </si>
  <si>
    <t>golf_gods</t>
  </si>
  <si>
    <t>Golf Gods II Golf Content &amp; Fashion</t>
  </si>
  <si>
    <t>⛳ Golf Without Limits™
🎙️ Tee Baggers Podcast
🏌️‍♂️ Events, Chaos &amp; Content</t>
  </si>
  <si>
    <t>https://golfgodsonline.com/pages/all-links</t>
  </si>
  <si>
    <t>golfnewzealand_</t>
  </si>
  <si>
    <t>Golf New Zealand</t>
  </si>
  <si>
    <t>The official Golf New Zealand Instagram account 🇳🇿⛳️</t>
  </si>
  <si>
    <t>https://linktr.ee/golfnewzealand</t>
  </si>
  <si>
    <t>golf_q_coach</t>
  </si>
  <si>
    <t>GOLF Q COACH</t>
  </si>
  <si>
    <t>Golf Q Coach, tu entrenador online estés donde estés. 
Idiomas: 🇪🇸🇬🇧🇩🇪
@moxi_swingmotion Ambassador
@ping.espana Ambassador
@tgolfacademy Head Coach</t>
  </si>
  <si>
    <t>https://golfqcoach.com/mentoria/</t>
  </si>
  <si>
    <t>golfwang</t>
  </si>
  <si>
    <t>350 N FAIRFAX LOS ANGELES 🇺🇸
35 HOWARD NYC 🇺🇸
57-59 BEAK ST. LONDON 🇬🇧
58 OXFORD ST. SYDNEY 🇦🇺</t>
  </si>
  <si>
    <t>lefleur</t>
  </si>
  <si>
    <t>GOLF le FLEUR*</t>
  </si>
  <si>
    <t>for the sunseekers</t>
  </si>
  <si>
    <t>http://golflefleur.com</t>
  </si>
  <si>
    <t>skysportsgolf</t>
  </si>
  <si>
    <t>Sky Sports Golf</t>
  </si>
  <si>
    <t>The official Sky Sports Golf Instagram account</t>
  </si>
  <si>
    <t>http://skysports.com/golf</t>
  </si>
  <si>
    <t>tittiesgolf</t>
  </si>
  <si>
    <t>Titties Golf Company</t>
  </si>
  <si>
    <t>The best Titties &amp; merch in all of golf ⛳️🏌️‍♀️</t>
  </si>
  <si>
    <t>http://tittiesgolf.co/</t>
  </si>
  <si>
    <t>tubes_ange_golflife</t>
  </si>
  <si>
    <t>Golf Life</t>
  </si>
  <si>
    <t>For work enquires - terry@elevatesportandentertainment.com</t>
  </si>
  <si>
    <t>https://youtube.com/@golflifecrew</t>
  </si>
  <si>
    <t>usga</t>
  </si>
  <si>
    <t>United States Golf Association</t>
  </si>
  <si>
    <t>For the Good of the Game</t>
  </si>
  <si>
    <t>http://sprout.link/usga</t>
  </si>
  <si>
    <t>ziregolf</t>
  </si>
  <si>
    <t>ZIRE GOLF</t>
  </si>
  <si>
    <t>For the people by the people 🤝
@ziregoods</t>
  </si>
  <si>
    <t>https://ziregolf.com</t>
  </si>
  <si>
    <t>1up_crew_official</t>
  </si>
  <si>
    <t>BERLIN | KREUZBERG | GRAFFITI</t>
  </si>
  <si>
    <t>Welcome to the official OneUnitedPower IG.  
One Crew One Love.</t>
  </si>
  <si>
    <t>graff.0ne</t>
  </si>
  <si>
    <t>GRAFFITI.ONE</t>
  </si>
  <si>
    <t>everything graffiti related
⬇️| Get your @dirtyhandssupply markers right here!</t>
  </si>
  <si>
    <t>https://dirtyhandssupply.com</t>
  </si>
  <si>
    <t>Graffiti</t>
  </si>
  <si>
    <t>Highlighting graffiti culture from all over the world.</t>
  </si>
  <si>
    <t>gra.ffi.ti_</t>
  </si>
  <si>
    <t>AB$TER ✍🏼</t>
  </si>
  <si>
    <t>#WAVYCONTENTONLY
WELCOME TO MY ART WORLD🌎🎨
BabyPicasso🔥
❌Dm to book
❌NYC🗽Harlem
❌GOD first💫</t>
  </si>
  <si>
    <t>graffiti.alphabet_</t>
  </si>
  <si>
    <t>Graffiti Alphabet</t>
  </si>
  <si>
    <t>▫️Reposting your letters and alphabets 
▫️Send us your ABC
▫️For cooperation➡️Email/DM📨
@graffitialphabet.shop</t>
  </si>
  <si>
    <t>https://graffitialphabet.shop</t>
  </si>
  <si>
    <t>graffitibydave</t>
  </si>
  <si>
    <t>Dave</t>
  </si>
  <si>
    <t>✍🏼 Graffiti/Lettering
📤 DM me for digital designs</t>
  </si>
  <si>
    <t>graffiti_legends</t>
  </si>
  <si>
    <t>Graffiti Legends</t>
  </si>
  <si>
    <t>graffiti.skills</t>
  </si>
  <si>
    <t>GRAFFITI SKILLS</t>
  </si>
  <si>
    <t>🌐 𝗪𝗢𝗥𝗟𝗗𝗪𝗜𝗗𝗘 𝗚𝗥𝗔𝗙𝗙𝗜𝗧𝗜
📖 “𝘘𝘶𝘪𝘤𝘬 𝘨𝘳𝘢𝘧𝘧𝘪𝘵𝘪 𝘴𝘵𝘰𝘳𝘪𝘦𝘴” 
✉️ instagramgraffitiskills@gmail.com</t>
  </si>
  <si>
    <t>graffiti_vm</t>
  </si>
  <si>
    <t>GRAFFITI VĂN MINH</t>
  </si>
  <si>
    <t>Graffiti Văn Minh là 1 tổ chức hướng đến cộng đồng Graffiti Việt Nam ❤️+🔥=❤️‍🔥</t>
  </si>
  <si>
    <t>https://www.etsy.com/shop/VanminhGraffiti</t>
  </si>
  <si>
    <t>graffiti.wildstyle</t>
  </si>
  <si>
    <t>graffiti | streetart</t>
  </si>
  <si>
    <t>🎨| improve your skills
📣| our message? Art Is Not A Crime.
🔎| looking for good cans? 👉 @montanacans</t>
  </si>
  <si>
    <t>http://www.youtube.com/@GraffitiWildstyle</t>
  </si>
  <si>
    <t>muralgraffitis</t>
  </si>
  <si>
    <t>Mural Graffitis</t>
  </si>
  <si>
    <t>🎨 Your favorite graffiti &amp; street art page
✉️ DM for paid promo
⬇️ Graffiti clothes @b.different_clothing</t>
  </si>
  <si>
    <t>https://bdifferent.clothing</t>
  </si>
  <si>
    <t>museumofgraffiti</t>
  </si>
  <si>
    <t>Museum of Graffiti</t>
  </si>
  <si>
    <t>World’s only museum dedicated exclusively to graffiti, open in Miami &amp; @coralspringsmoa. Also check us out at @the.art.of.hip.hop &amp; @wynwoodartgallery</t>
  </si>
  <si>
    <t>https://linktr.ee/museumofgraffiti</t>
  </si>
  <si>
    <t>passivecrime</t>
  </si>
  <si>
    <t>GRAFFITI</t>
  </si>
  <si>
    <t>Best from around the world
‎
ㅤby @mopaone</t>
  </si>
  <si>
    <t>http://passivecrime.com</t>
  </si>
  <si>
    <t>pornograffiti</t>
  </si>
  <si>
    <t>Pornograffiti</t>
  </si>
  <si>
    <t>Lançamento collab @negromia + @pornograffiti 10/09/2k25 12:00
+ guerrilha – indústria (feat. @budfire.on )
@caiodandrea.exe
Lado B @username_proibido</t>
  </si>
  <si>
    <t>http://pornograffiti.xxx</t>
  </si>
  <si>
    <t>grwm246</t>
  </si>
  <si>
    <t>💕Charlotte💕</t>
  </si>
  <si>
    <t>PARENT MANAGED ACCOUNT                                                      💌:grwm246@yahoo.com Dance account: icon_dancer_13 TikTok:grwm.2.4.6</t>
  </si>
  <si>
    <t>grwmcosmetics</t>
  </si>
  <si>
    <t>Get Ready With Me Cosmetics</t>
  </si>
  <si>
    <t>🤍 beauty on your own terms® 
🤍 beauty is personal
🐰 PETA Certified #crueltyfree &amp; Vegan
✨ Created by the GRWM Team for the #goalgetters</t>
  </si>
  <si>
    <t>https://forms.gle/v86EvYPitWBVNw1E6</t>
  </si>
  <si>
    <t>grwm_haul_auri_noemi_</t>
  </si>
  <si>
    <t>Grwm</t>
  </si>
  <si>
    <t>grwm.haya</t>
  </si>
  <si>
    <t>My new account 💕
حسابي جديد 🤍
📍🇦🇪
Starting with 0️⃣ followers !
💌hayaramy@icloud.com</t>
  </si>
  <si>
    <t>grwm._isaaa</t>
  </si>
  <si>
    <t>Isaaa</t>
  </si>
  <si>
    <t>tt:grwm._isaaa (5,7M+🤍)
youtube:grwm._isaaa (400mil+❤️)
💌:grwm.isaaa@gmail.com 
HOLUUUU GIRL!!💁🏻‍♀️💞</t>
  </si>
  <si>
    <t>http://www.tiktok.com/@grwm._isaaa</t>
  </si>
  <si>
    <t>life.w.bex</t>
  </si>
  <si>
    <t>B E X 🤩🌈💗⚡️GRWM</t>
  </si>
  <si>
    <t>life • makeup • style
𝚓𝚞𝚜𝚝 𝚍𝚘𝚒𝚗𝚐 𝚖𝚢 𝚋𝚎𝚜𝚝🫶
Collaboration inquiry • life.w.bex@gmail.com
CINCINNATI, OH
you didn’t see me at Sephora 
ᴀᴄᴄᴏᴜɴᴛ ʀᴜɴ ʙʏ mom</t>
  </si>
  <si>
    <t>https://linktr.ee/life.w.bex</t>
  </si>
  <si>
    <t>mashylkins_s</t>
  </si>
  <si>
    <t>Машуля | GRWM | Саратов</t>
  </si>
  <si>
    <t>💄 GRWM на все случаи жизни
350+ в TikTok ❤️‍🔥
По вопросам сотрудничества в direct 💌</t>
  </si>
  <si>
    <t>https://l.likee.video/p/TZm0He</t>
  </si>
  <si>
    <t>andreaaragon_hairstyle</t>
  </si>
  <si>
    <t>Andrea Aragon</t>
  </si>
  <si>
    <t>🎖hairstyle artist 
💇‍♀️colorista diseñadora de imagen🇲🇽
Slogan POR SUPUESTO ELLA SE FUE FELIZ 
WhatsApp📲5514318275 
andyaragon.makeup@hotmail.com</t>
  </si>
  <si>
    <t>https://www.youtube.com/@andreaaragonstudio</t>
  </si>
  <si>
    <t>boys_hairs_style</t>
  </si>
  <si>
    <t>hair Style's for boys 🔵</t>
  </si>
  <si>
    <t>Follow me for amazing new hair styles for men...✂
Comic lover 🔥</t>
  </si>
  <si>
    <t>edges_curlyys</t>
  </si>
  <si>
    <t>𝐇𝐚𝐢𝐫 • 𝐬𝐭𝐲𝐥𝐞</t>
  </si>
  <si>
    <t>💛 
Ideas💡 hairstyles
• since 2020</t>
  </si>
  <si>
    <t>hairmanstyles</t>
  </si>
  <si>
    <t>Hairmanstyles</t>
  </si>
  <si>
    <t>Hair Man Styles 
Business promotion  : DM</t>
  </si>
  <si>
    <t>hairstyleguys</t>
  </si>
  <si>
    <t>HairstyleGuys | Men's Haircuts, Hairstyles, Trends for Men.</t>
  </si>
  <si>
    <t>🥇 Bringing you the best in Men’s Grooming daily!
‼️ Join the @hairstyleguys for daily posts!
📧 Promo &amp; Business : Hairstyleguys@gmail.com</t>
  </si>
  <si>
    <t>hairstyle_jihye</t>
  </si>
  <si>
    <t>Jihye</t>
  </si>
  <si>
    <t>Azh house헤어샵운영중인
애둘키우는 워킹맘 실시간일기.
‼️공구제안 받지 않습니다‼️
제품문의는 @azh_korea
예약문의는 010-3589-2551
@laangpapazone</t>
  </si>
  <si>
    <t>https://linktr.ee/azhkorea</t>
  </si>
  <si>
    <t>hairstylemens</t>
  </si>
  <si>
    <t>▪️Here you can find the perfect hairstyle for you ✂️
▪️Ambassador of @lipfisbarbershop
SHOP HERE 👇</t>
  </si>
  <si>
    <t>hairstyle_story</t>
  </si>
  <si>
    <t>AI creativity hairstyle</t>
  </si>
  <si>
    <t>ai fan</t>
  </si>
  <si>
    <t>inspirehairstyles</t>
  </si>
  <si>
    <t>Hairstyles</t>
  </si>
  <si>
    <t>💘 Email: inspirehairstyles@gmail.com
💘 Business Kik: inspirehairstyles! 
💖 #hair #hairstyles
Want a shout-out?👇</t>
  </si>
  <si>
    <t>http://shoutcloud.co/</t>
  </si>
  <si>
    <t>mens_hairstyle</t>
  </si>
  <si>
    <t>Men's Hairstyles ✂️💈</t>
  </si>
  <si>
    <t>Are you interested in Haircuts &amp; Hairstyles?
If you are so follow us! 💇‍♂️💇🏻‍♂️💇🏼‍♂️💇🏽‍♂️💇🏾‍♂️💇🏿‍♂️</t>
  </si>
  <si>
    <t>menshairstylegoals</t>
  </si>
  <si>
    <t>Men’s Hairstyle Goals</t>
  </si>
  <si>
    <t>💈| Men's Haircuts 
🙏| Mens Hairstyle Inspiration</t>
  </si>
  <si>
    <t>mr.rus.hairstyle</t>
  </si>
  <si>
    <t>Mr Rus Hair Style</t>
  </si>
  <si>
    <t>poppy_hairstyles</t>
  </si>
  <si>
    <t>Poppy ✨️♏️</t>
  </si>
  <si>
    <t>Creative DIY hairstyles inspired from authentic moments of my life 🏋🏼‍♀️🎼🎸☀️ I don't follow trends but my own vibe
📍Strasbourg, France</t>
  </si>
  <si>
    <t>https://linktr.ee/poppy_hairstyles</t>
  </si>
  <si>
    <t>style_hair_tips_</t>
  </si>
  <si>
    <t>hair style</t>
  </si>
  <si>
    <t>@style_hair_tips_ ✨🥀👸🌟
👸🥀✨beauty #hairstylist &amp; dazzling clips
🥀🌟 daily hair &amp; clips tips 🥰👌❣️👸
and tricks girls fashion ✨ stylish ✨ clips🥀</t>
  </si>
  <si>
    <t>https://yt.openinapp.co/wgjms</t>
  </si>
  <si>
    <t>allmodernhair</t>
  </si>
  <si>
    <t>MODERN HAIR TUTORIALS</t>
  </si>
  <si>
    <t>🎥 Featuring the best hairstyles &amp; trends
#️⃣ #allmodernhair to be featured
💌 Email: allmodernmail@gmail.com</t>
  </si>
  <si>
    <t>hair.killa</t>
  </si>
  <si>
    <t>Hair Tutorials 💕🌈</t>
  </si>
  <si>
    <t>Amazing Hairstyle and Hairtips 💖💇🏽‍♀️💇🏼‍♂️💖</t>
  </si>
  <si>
    <t>hairs</t>
  </si>
  <si>
    <t>Best Hair Tutorials</t>
  </si>
  <si>
    <t>• Daily posts for you
• Good vibes only
• Follow to Join the Club 👥
📨: hairs.promos@gmail.com</t>
  </si>
  <si>
    <t>hairtuber</t>
  </si>
  <si>
    <t>Hair Tutorials</t>
  </si>
  <si>
    <t>This page is dedicated to hair tutorial videos.
#naturalhair #hairtutorial 
💌Business inquiry: DM only</t>
  </si>
  <si>
    <t>hairtutorials</t>
  </si>
  <si>
    <t>∞ Hαιr </t>
  </si>
  <si>
    <t>I post pictures of hair and tutorials for hair.💁 
Tag me in pictures you think I should post.! 😘  
S4S Kik me same user name 2k+ ⅈɴ 3 2 Տωᵃɢ</t>
  </si>
  <si>
    <t>hair_tutorials</t>
  </si>
  <si>
    <t>(none of these photos are mines)</t>
  </si>
  <si>
    <t>hair.tutorials.and.lifestyle</t>
  </si>
  <si>
    <t>Olivia Chukwu</t>
  </si>
  <si>
    <t>Star Mum Undisputed⭐️
Hairstylist 💇‍♀️ 
Dm for promotion 💜
TikTok 5M+ following (Olivia_Chukwu)</t>
  </si>
  <si>
    <t>https://youtube.com/@oliviachukwu?si=A-QKsP2T5uAKMvJ1</t>
  </si>
  <si>
    <t>howtohair</t>
  </si>
  <si>
    <t>💖 hair tutorials for all hair types 💖
Bad hair days don’t exist if you follow me 😉</t>
  </si>
  <si>
    <t>afroyla.handbags</t>
  </si>
  <si>
    <t>Afroyla - Leather Handbags Inspired by Black Women</t>
  </si>
  <si>
    <t>Style that speaks before you do</t>
  </si>
  <si>
    <t>http://afroyla.com/pages/rise-slay-fund</t>
  </si>
  <si>
    <t>christieshandbags</t>
  </si>
  <si>
    <t>Christie's Handbags</t>
  </si>
  <si>
    <t>The official Instagram account of @christiesinc Handbags &amp; Accessories Department</t>
  </si>
  <si>
    <t>https://linkin.bio/ig-christieshandbags</t>
  </si>
  <si>
    <t>clutcheeet</t>
  </si>
  <si>
    <t>Clutch-It Handbags</t>
  </si>
  <si>
    <t>Your Perfect Plus One™
Luxury clutches you MUST have
PR friendly
📺 @wedluxetoronto @cityline @bazaarvietnam @allure @ctvtoronto @buzzfeed @yourmorning</t>
  </si>
  <si>
    <t>http://www.clutcheeet.com</t>
  </si>
  <si>
    <t>dallasdesignerhandbags</t>
  </si>
  <si>
    <t>Dallas Designer Handbags | Frisco, TX</t>
  </si>
  <si>
    <t>🛍️Your destination for pre-loved designer handbags
🌟Quality luxury finds at unbeatable prices 
♻️buy/sell with us to give your bags a second life</t>
  </si>
  <si>
    <t>http://www.dallasdesignerhandbags.com/</t>
  </si>
  <si>
    <t>elahandbags</t>
  </si>
  <si>
    <t>ela</t>
  </si>
  <si>
    <t>Handbags &amp; Jewelry
Vegan ~ Cruelty Free ~ Recycled  ~ 🍎 Leather
Share how you wear your elas #BabesWithBeltBags</t>
  </si>
  <si>
    <t>https://linkin.bio/elahandbags</t>
  </si>
  <si>
    <t>handbagsbymoksh</t>
  </si>
  <si>
    <t>Handbags By Moksh</t>
  </si>
  <si>
    <t>🏬#walkinstore in #delhi 
🚚#freedelivery across #india 📦
🚀#samedaydelivery in #delhincr 
☎️+91-8800115218 | 7042558788
💸 #codavailable 
🛍️#luxurybags</t>
  </si>
  <si>
    <t>http://www.bymoksh.com</t>
  </si>
  <si>
    <t>_haute_sauce_</t>
  </si>
  <si>
    <t>Haute Sauce | Handbags | Belts | Sunglasses | Watches | Hats |</t>
  </si>
  <si>
    <t>We make bags with more attitude than your ex 😎 Bold, weird (in a cute way), and zero chill. Haute Sauce = main character energy.</t>
  </si>
  <si>
    <t>https://hautesauce.taplink.ws</t>
  </si>
  <si>
    <t>hollyclosetcase</t>
  </si>
  <si>
    <t>HollyClosetCase | Vintage Luxury Handbags</t>
  </si>
  <si>
    <t>Luxury redefined
Unique &amp; trendy vintage designer
NYC Sept 13-14th @ 477 broadway
USA based | Worldwide shipping
Not affiliated with any brands shown</t>
  </si>
  <si>
    <t>http://www.hollyclosetcase.com/</t>
  </si>
  <si>
    <t>house_of_.handbags</t>
  </si>
  <si>
    <t>House of Handbags|| Tote || Laptop &amp; Sling  Bags</t>
  </si>
  <si>
    <t>Online store.
Same day delivery.
. 📍Free pick-up: CBD (Kimathi Chambers)
•🚚 Nationwide delivery (fee applies)
 ☎️ 0722426308</t>
  </si>
  <si>
    <t>keekshandbags</t>
  </si>
  <si>
    <t>Keeks Designer Handbags</t>
  </si>
  <si>
    <t>👜 Pre-owned. Authentic. Luxury.
🚀 Revolutionizing Resale since 2010
🛍️ Visit our flagship store in Plano or shop online!</t>
  </si>
  <si>
    <t>https://www.keeksdesignerhandbags.com/</t>
  </si>
  <si>
    <t>sarahharanuk</t>
  </si>
  <si>
    <t>Sarah Haran Luxury Handbags</t>
  </si>
  <si>
    <t>Bags of Joy for life’s every moment 🩷👜 
Join our community &amp; tag #sarahharan</t>
  </si>
  <si>
    <t>https://sarahharan.com/pages/get-started</t>
  </si>
  <si>
    <t>shopbeachhaus</t>
  </si>
  <si>
    <t>BEACH HAUS | Beach Handbags and Apparel</t>
  </si>
  <si>
    <t>A curated collection of resort apparel and accessories</t>
  </si>
  <si>
    <t>http://www.shopbeachhaus.com/</t>
  </si>
  <si>
    <t>tanandloom</t>
  </si>
  <si>
    <t>Tan &amp; Loom® | Handbags &amp; Accessories</t>
  </si>
  <si>
    <t>Artisanal leather bags that are made to last
Made in Bengal // Shipping worldwide
Founded by @rukminion</t>
  </si>
  <si>
    <t>https://www.tanandloom.com</t>
  </si>
  <si>
    <t>Haul</t>
  </si>
  <si>
    <t>ʙᴇ ᴀ ᴍᴀᴠᴇʀɪᴄᴋ ᴛᴏ ʙɪɢ ғᴀsʜɪᴏɴ. Join us
👇Huge wave of new collections ready by Aug 20. Follow us to get informed!</t>
  </si>
  <si>
    <t>https://haul.shop/</t>
  </si>
  <si>
    <t>haul_now</t>
  </si>
  <si>
    <t>haul now</t>
  </si>
  <si>
    <t>•Daily hauls videos ✨
•👇🏻$750 Sephora Card 👇🏻</t>
  </si>
  <si>
    <t>http://girlsclaim.com</t>
  </si>
  <si>
    <t>haul.pack</t>
  </si>
  <si>
    <t>HaulPack</t>
  </si>
  <si>
    <t>Join 15K+ influencers earning with 50k + brands 🔥
India’s largest creator monetization platform
👇 Start your #HaulPack journey</t>
  </si>
  <si>
    <t>https://bit.ly/407ANJw</t>
  </si>
  <si>
    <t>haulswithmiaa</t>
  </si>
  <si>
    <t>mia!!</t>
  </si>
  <si>
    <t>I post hauls, vlogs, and grwms !! 💖💖
💌:mia.coulston@gmail.com
love you 
🎀🛍️👼🌷💐🩰🦩🌟📣</t>
  </si>
  <si>
    <t>uhaul</t>
  </si>
  <si>
    <t>U-Haul</t>
  </si>
  <si>
    <t>Moving &amp; Storage Service</t>
  </si>
  <si>
    <t>Industry leader in DIY moving &amp; storage 🧡
Tag us to catch our 👀</t>
  </si>
  <si>
    <t>https://linktr.ee/uhaul</t>
  </si>
  <si>
    <t>wavy_boats</t>
  </si>
  <si>
    <t>Haulover Inlet</t>
  </si>
  <si>
    <t>🌊 Boat Action Media
🌎 Location: South Florida
🎥 Largest Boat Action Network / 3M Subs!
🚤 Haulover Inlet - Boca Inlet - Jersey - Boynton</t>
  </si>
  <si>
    <t>https://wavyboats.net/pages/find-your-boat</t>
  </si>
  <si>
    <t>ye_haul</t>
  </si>
  <si>
    <t>haul gemoy stuff</t>
  </si>
  <si>
    <t>.
☆ﾟ.*･｡ﾟ🛍 ｡.:*♡
. 
⤵️Semua link beli disini⤵️</t>
  </si>
  <si>
    <t>https://mycollection.shop/tokoci</t>
  </si>
  <si>
    <t>haute_couture_bride</t>
  </si>
  <si>
    <t>HAUTE COUTURE BRIDE  |  هوت كتور</t>
  </si>
  <si>
    <t>‎الموصل | المجموعة الثقافية | مقابل مدخل الاندلس
‎أوقات العمل من 1:00 مساءاً إلى 10:00
 07704196666
BY :  hasan  aljadir</t>
  </si>
  <si>
    <t>https://www.facebook.com/profile.php?id=100087856935962&amp;mibextid=LQQJ4d</t>
  </si>
  <si>
    <t>hautecouture.cc</t>
  </si>
  <si>
    <t>Hautecouture CC</t>
  </si>
  <si>
    <t>⊰•⊱•⊰•⊱
More on our bio link
⊰•⊱•⊰•⊱
Fan account. No photos copyright infringement intended. Please contact us for removals.
⊰•⊱•⊰•⊱</t>
  </si>
  <si>
    <t>http://hautecouture.cc</t>
  </si>
  <si>
    <t>haute.couture.jana</t>
  </si>
  <si>
    <t>Maison Jana</t>
  </si>
  <si>
    <t>Fashion designer of Moroccan caftan 
Maison Jana by Fatima Zahra &amp; Kaouthar
📞 : +2120628524863
       : +2120648812822
📍 : FES, rue al wafae 🇲🇦</t>
  </si>
  <si>
    <t>haute_couture_jewellery</t>
  </si>
  <si>
    <t>𝗛𝗮𝘂𝘁𝗲_𝗰𝗼𝘂𝘁𝘂𝗿𝗲®️| lmitation jewellery</t>
  </si>
  <si>
    <t>💌Order whatsapp/DM 👉🏻 #6379156116
📦Return for damages 
💯Opening video is must for return…
✈️ DM for International orders!</t>
  </si>
  <si>
    <t>https://hautecouturejewellery.in/</t>
  </si>
  <si>
    <t>hautecoutureweek</t>
  </si>
  <si>
    <t>Haute Couture Week</t>
  </si>
  <si>
    <t>Haute Couture Week Official account ! Follow @parisfashionweek for news and events related to the Paris Fashion Week. Our platform ⬇️</t>
  </si>
  <si>
    <t>https://linkin.bio/hautecoutureweek/</t>
  </si>
  <si>
    <t>instahautecouture</t>
  </si>
  <si>
    <t>Haute Couture</t>
  </si>
  <si>
    <t>- Daily Haute couture inspiration 
-📍Cali &amp; Dubai  
- 📧 For inquiries contact: instahautecouture@outlook.com</t>
  </si>
  <si>
    <t>mla_couture1</t>
  </si>
  <si>
    <t>ᴴᵃᵘᵗᵉ ᶜᵒᵘᵗᵘʳᵉ 🪡</t>
  </si>
  <si>
    <t>Bespoke designer/🇸🇳🥂🌍
 Call: ⤵️
  📞: ‪+221 77 472 87 87‬ 
 📞 : +221 78 759 51 51
👇🏾click here to chat with us 📥 on WhatsApp</t>
  </si>
  <si>
    <t>nh_hautecouture</t>
  </si>
  <si>
    <t>NH Haute Couture</t>
  </si>
  <si>
    <t>Rent, Own,&amp; Customize Stylish Dresses’ &amp; FREE ‘Headpiece Rental’
Fast Worldwide Shipping 🌍
Wholesale Available
📞  76 733 210/ 03 477 488</t>
  </si>
  <si>
    <t>http://wa.me/76733210</t>
  </si>
  <si>
    <t>eatinghealthyfeed</t>
  </si>
  <si>
    <t>Eating Healthy Feed | Healthy Food &amp; Lifestyle</t>
  </si>
  <si>
    <t>🥗 High Protein . Fat Loss . Period Health
📈Trending Wellness + Weight Loss Hacks
🍳 Quick Recipes | Hormone-Smart Nutrition
⬇️ Facial Massager ⬇️</t>
  </si>
  <si>
    <t>http://aurece.com/products/facialmassager</t>
  </si>
  <si>
    <t>eatinghealthygram</t>
  </si>
  <si>
    <t>Healthy Eating</t>
  </si>
  <si>
    <t>🥗 Healthy Food Videos Daily!
✨ Eat Well, Live Well, Love Well
🌱 Nutritional Recipes &amp; Advice</t>
  </si>
  <si>
    <t>eatinghealthymag</t>
  </si>
  <si>
    <t>Healthy Eating Magazine</t>
  </si>
  <si>
    <t>🥑 Healthy Meals
🌸 Daily Recipes
🤤 Delicious &amp; Healthy
👇 Facial Massager 👇</t>
  </si>
  <si>
    <t>eatinghealthytoday</t>
  </si>
  <si>
    <t>Eating Healthy Today</t>
  </si>
  <si>
    <t>🥑 Healthy Recipes
🔪 Food and Cooking Hacks</t>
  </si>
  <si>
    <t>healthyeating</t>
  </si>
  <si>
    <t>Healthy Eating 🥑🥘🍎🥗</t>
  </si>
  <si>
    <t>💚 It’s Not a Diet, It’s Simply #healthyeating
🌟 Healthy Food 👉 Healthy Life
🍒 DM For Credits/Removal</t>
  </si>
  <si>
    <t>healthyeatingfeed</t>
  </si>
  <si>
    <t>Healthy Eating Feed | Best Nutrition Tips</t>
  </si>
  <si>
    <t>🥦 Nourish Your Body, Elevate Your Life
🍓 Wholesome Meals &amp; Healthy Living Tips
🌎 Trusted by 1M+ Wellness Seekers
⬇️ Facial Massager ⬇️</t>
  </si>
  <si>
    <t>healthy_eating_habit</t>
  </si>
  <si>
    <t>Healthy Eating Habbit</t>
  </si>
  <si>
    <t>Food 🍛Puppies🐶Garden🌺
Tiktok: Little Bicky In Usa
Youtube: Bích Vlog Ở Mỹ
To share many aspects of my life</t>
  </si>
  <si>
    <t>https://youtube.com/channel/UCiW3_AcnUh-rL15eZ2-UZ5A</t>
  </si>
  <si>
    <t>healthyeatingme</t>
  </si>
  <si>
    <t>healthy eating</t>
  </si>
  <si>
    <t>Healthy eating recipes and best restaurants around the UAE</t>
  </si>
  <si>
    <t>healthy_eating_today_</t>
  </si>
  <si>
    <t>Healthy_eating_today_</t>
  </si>
  <si>
    <t>World traveler✈️- Entrepreneur 💰- Vegetable lover 🌶🥦🍅🥕🥑I am a resourceful home cook I enjoy creating nutritious meals while being mindful of my budget</t>
  </si>
  <si>
    <t>healthyeating.today</t>
  </si>
  <si>
    <t>healthy eating today</t>
  </si>
  <si>
    <t>Empowering you to eat for energy &amp; longevity 💚
🥑 Nutrition tips | 🌾 Whole foods | 🥦 Healthy habits</t>
  </si>
  <si>
    <t>healthymealgram</t>
  </si>
  <si>
    <t>Heathy Eating</t>
  </si>
  <si>
    <t>🥗Eat well for Good Life
🤤 Daily Healthy Recipes
🙏 Healthy Living made Easy
📩 DM for Promotions/Shoutouts</t>
  </si>
  <si>
    <t>https://blyserco.com/products/deepflow</t>
  </si>
  <si>
    <t>healthyy_eating1</t>
  </si>
  <si>
    <t>HEALTHY EATING 🌱</t>
  </si>
  <si>
    <t>Since 2020 Online 📩 WhatsApp 01007002268
 Fo: @ms.abeerhesham 
أول مطعم صحي في العريش( شيف طعام صحي و متخصص تغذية )</t>
  </si>
  <si>
    <t>genuinely.healthy</t>
  </si>
  <si>
    <t>Health | Wellbeing | Lifestyle</t>
  </si>
  <si>
    <t>🔆 Holistic tips, support, and inspiration for a healthy lifestyle.</t>
  </si>
  <si>
    <t>https://genuinelyhealthy.beehiiv.com/</t>
  </si>
  <si>
    <t>healthy_lifestyle0023</t>
  </si>
  <si>
    <t>Healthylifestyle</t>
  </si>
  <si>
    <t>Cooking is Love made visible</t>
  </si>
  <si>
    <t>https://www.amazon.com/shop/healthy_lifestyle0023</t>
  </si>
  <si>
    <t>healthy.lifestyle_17</t>
  </si>
  <si>
    <t>Healthy Lifestyle</t>
  </si>
  <si>
    <t>💡 O que ninguém te conta sobre saúde
❌ Dicas simples, sem modinhas e sem frescura
🥗 Vida saudável de um jeito fácil
👇 Conteúdo que muda vidas</t>
  </si>
  <si>
    <t>healthy_lifestyle.34</t>
  </si>
  <si>
    <t>Healthy lifestyle 🥰❤️</t>
  </si>
  <si>
    <t>İstanbul 📍
REKLAM İÇİN DM💌
‼️Postlarımı izinsiz alanlar ,paylaşanlar için cezai işlem başlatılacaktır‼️
🥰 sağlıklı yaşamaya, büyümeye, aile olmaya 💕</t>
  </si>
  <si>
    <t>https://www.instagram.com/healtly_lifestyle34?igsh=MXMwM3QyenV0OGNkcg%3D%3D</t>
  </si>
  <si>
    <t>healthy_lifestyle_community</t>
  </si>
  <si>
    <t>❤️DM US FOR PROMOTION 
WE PROMOTE 👉HEALTH,,WELLNESS,FOOD, , ✨ face off week 👉 @</t>
  </si>
  <si>
    <t>https://www.perriconemd.com/?utm_source=Google&amp;utm_medium=CPC&amp;utm_campaign=Branded&amp;utm_content=Branded&amp;gclsrc=aw.ds&amp;gad_source=1&amp;gad_campaignid=14854529916&amp;gclid=Cj0KCQjwkILEBhDeARIsAL--pjx17WLPY5Du-8sV3jubp5oK5RWfIEvm-cNQVs7qDWDYmqQD1p07Yn0aAgVREALw_wcB</t>
  </si>
  <si>
    <t>healthy_lifestyle__community</t>
  </si>
  <si>
    <t>HEALTHY LIFESTYLE COMMUNITY</t>
  </si>
  <si>
    <t>❤️DM US FOR PROMOTION
WE PROMOTE 👉WELLNESS,MENTAL HEALTH,YOGA, ✨SELF LOVE 🌠</t>
  </si>
  <si>
    <t>healthylifestyle.elisaarroyo</t>
  </si>
  <si>
    <t>Elisa Arroyo</t>
  </si>
  <si>
    <t>Personal Trainer-Nutrición</t>
  </si>
  <si>
    <t>healthy_lifestyle_rola</t>
  </si>
  <si>
    <t>HL By Rola FAWAZ official✨</t>
  </si>
  <si>
    <t>" شركتنا مسجلة في وزارة الاقتصاد". ORIGINAL PRODUCTS ✨Believing In What I Do, Creates Magic  
📞 DM or Whatsapp on 03664552 .81 795 860‬...We Deliver</t>
  </si>
  <si>
    <t>healthy_style72</t>
  </si>
  <si>
    <t>Healthy lifestyle</t>
  </si>
  <si>
    <t>"🌿 Prioritizing Health &amp; Wellness | Balanced Living 🌞 Fitness | Nutrition | Mindfulness | Self-care 💪✨ #HealthyLifestyle #MindBodySoul"</t>
  </si>
  <si>
    <t>stayhealthy_.lifestyle__</t>
  </si>
  <si>
    <t>Healthy..lifestyle</t>
  </si>
  <si>
    <t>🌿 **Stay Healthy ** 🌸
✨ Health &amp; Beauty with Natural Recipes ✨
🌱 Embrace nature's gifts 🌱
💚 Follow for tips, tutorials &amp; more! 💚</t>
  </si>
  <si>
    <t>timeinvestors</t>
  </si>
  <si>
    <t>Business | Mindset &amp; Healthy Lifestyle</t>
  </si>
  <si>
    <t>A Community of Leaders, Visionaries, Innovators, and Thinkers.</t>
  </si>
  <si>
    <t>courtneydblack</t>
  </si>
  <si>
    <t>Courtney Black / Home Workouts / Healthy Recipes</t>
  </si>
  <si>
    <t>Your pocket PT 
Train with me @courtneyblackapp
Live workouts, home and gym and healthy recipes
14 DAY FREE TRIAL⬇️</t>
  </si>
  <si>
    <t>https://linktr.ee/courtneyblack</t>
  </si>
  <si>
    <t>doctorbowl</t>
  </si>
  <si>
    <t>Divya Sharma | Healthy &amp; Easy Recipes</t>
  </si>
  <si>
    <t>👩🏽‍🍳Simple, quick and delicious recipes 
🌱 Vegan/Veggie recipes &lt; 10 ingredients 
👩‍⚕️Doctor - GP
📧 Email: doctorbowl@hypedmgt.co
📕 Buy my cook book👇🏽</t>
  </si>
  <si>
    <t>https://www.amazon.co.uk/Doctor-Bowl-Simply-Delicious-Improve/dp/1914239091</t>
  </si>
  <si>
    <t>fitfoodieselma</t>
  </si>
  <si>
    <t>Selma | easy healthy recipes</t>
  </si>
  <si>
    <t>🍓Healthy Eats That Taste Like Treats 
⬇️GET MY EBOOKS WITH 180 RECIPES😋</t>
  </si>
  <si>
    <t>https://youtu.be/x6ocWHEwhSU</t>
  </si>
  <si>
    <t>fithealthyrecipes</t>
  </si>
  <si>
    <t>Healthy Recipes</t>
  </si>
  <si>
    <t>Healthy Recipes that fit into your lifestyle 🍽️
@shonda1020 🙋‍♀️</t>
  </si>
  <si>
    <t>healthy_floflo</t>
  </si>
  <si>
    <t>FloFlo|Healthy Recipes</t>
  </si>
  <si>
    <t>Healthy, easy and buonissimo recipes for busy people👩🏻‍🍳
Find recipes and links👇🏼</t>
  </si>
  <si>
    <t>https://linktr.ee/healthy.floflo</t>
  </si>
  <si>
    <t>healthyminutemeals</t>
  </si>
  <si>
    <t>Healthy recipes for healthy people!
🍎Quick, Easy Recipes | Videos
🍔A few treats, too!
📲Features? Send me a DM! 📧 
👇🏼For more ideas &amp; meals:</t>
  </si>
  <si>
    <t>http://www.withpeanutbutterontop.com/</t>
  </si>
  <si>
    <t>heartinabowl.co</t>
  </si>
  <si>
    <t>Healthy Recipes 🥑</t>
  </si>
  <si>
    <t>🍳Helping you cook delicious, stress-free meals.
✨ Discover 240+ recipes in the new e-books! ✨
👇 Get your recipes here! (🎁 Limited-Time Bundle)</t>
  </si>
  <si>
    <t>https://heartinabowl.com/?utm_source=instagram&amp;utm_medium=social&amp;utm_campaign=heartinabowl.co</t>
  </si>
  <si>
    <t>jazzleaf_</t>
  </si>
  <si>
    <t>Easy Healthy Recipes by Jazz Leaf</t>
  </si>
  <si>
    <t>Easy, healthy recipes for busy people! 
Under 30 mins, less than 10 ingredients (air fryer lover). 
Stop spending so much time in the kitchen!</t>
  </si>
  <si>
    <t>https://jazz-leaf.com/start-here</t>
  </si>
  <si>
    <t>learnlively</t>
  </si>
  <si>
    <t>Learn Lively | Arti Sahani | Healthy Recipes</t>
  </si>
  <si>
    <t>🌱 Healthy Veg Recipe For Weight Loss
💪High-Protein,Low-Calorie
🍽️Calories &amp; Nutritional Info Included
🇮🇳Lucknow</t>
  </si>
  <si>
    <t>https://amzn.to/3uU1p3D</t>
  </si>
  <si>
    <t>meal.recipess</t>
  </si>
  <si>
    <t>Food Recipes and Healthy 🌱🥦🍗🥩</t>
  </si>
  <si>
    <t>🥘 Health, Requires Healthy Food
🌱 A Healthy Outside, Starts From The Inside
💫 Get my freebies below 👇🏻</t>
  </si>
  <si>
    <t>https://meals-and-recipes.beehiiv.com/subscribe</t>
  </si>
  <si>
    <t>nutrition_planet</t>
  </si>
  <si>
    <t>Healthy Recipes + Snacks</t>
  </si>
  <si>
    <t>🌯 Delicious Snack + Recipe Ideas 
🍳Healthy Recipes 
Need a detox? Save 15% off @smtofficial with the code “PLANET15” ☕️💫</t>
  </si>
  <si>
    <t>https://www.skinnymetea.com.au/</t>
  </si>
  <si>
    <t>selfloverecipes.ig</t>
  </si>
  <si>
    <t>Healthy Recipes 🥗Snack Ideas</t>
  </si>
  <si>
    <t>💕Love yourself one bite at a time. 
FOLLOW ➡️ @selfloverecipes.ig for Healthy Recipes &amp; Self-love Inspiration!
👇Download FREE Recipes!</t>
  </si>
  <si>
    <t>https://beacons.ai/selfloverecipes.ig</t>
  </si>
  <si>
    <t>tastyhealthy_recipes</t>
  </si>
  <si>
    <t>Tasty Healthy Recipes</t>
  </si>
  <si>
    <t>🎥 1.1M on TikTok @ tastyhealthy_recipes
✉️ tastyhealthy_recipes@outlook.com</t>
  </si>
  <si>
    <t>thedishonhealthy</t>
  </si>
  <si>
    <t>Aleyda | Easy and Healthy Recipes</t>
  </si>
  <si>
    <t>📖 Author | Deliciously Nourishing Eats
🥑 Feel good recipes 
Ethan, Grace &amp; Miles’s mama
Get My Cookbook👇🏼
partnerships 💌 thedishonhealthy@gmail.com</t>
  </si>
  <si>
    <t>https://www.thedishonhealthy.com/order-my-cookbook/</t>
  </si>
  <si>
    <t>thehealthy_version</t>
  </si>
  <si>
    <t>healthy recipes &amp; lifestyle | become the best you!</t>
  </si>
  <si>
    <t>🌱healthy recipes &amp; motivation
🧘🏼‍♀️helping you become the best version of yourself!
“If you don’t try, you fail by default.”
⭐️Join THV below⭐️👇🏼</t>
  </si>
  <si>
    <t>https://payhip.com/b/iIbAB</t>
  </si>
  <si>
    <t>thepracticalprep</t>
  </si>
  <si>
    <t>Kelsey Sherman | meal prep + healthy recipes</t>
  </si>
  <si>
    <t>Fast meal prep for busy lives 👌
🍽️ NEW Weekly Recipes, Meal Plans, &amp; Grocery Lists delivered to your inbox
⤵️ JUST $1.50 A WEEK</t>
  </si>
  <si>
    <t>https://practicalmealprep.substack.com</t>
  </si>
  <si>
    <t>veganmonarchy</t>
  </si>
  <si>
    <t>Healthy | Plantbased | Recipes</t>
  </si>
  <si>
    <t>🥗| Healthy &amp; Tasty Vegan Recipes 
🌱| The Greatest Wealth is Health 
🙏| Follow Us For Daily Posts!
DM me for collaborations 📩</t>
  </si>
  <si>
    <t>https://amzn.to/4jPNyzo</t>
  </si>
  <si>
    <t>whole.30.family</t>
  </si>
  <si>
    <t>Healthy Eating Family Recipes</t>
  </si>
  <si>
    <t>Whole Eating + Healthy Living
Delicious recipes to satisfy your entire family #whole30 #paleo</t>
  </si>
  <si>
    <t>_hidden.gems__</t>
  </si>
  <si>
    <t>HIDDEN GEMS - HANDMADE • WATERPROOF</t>
  </si>
  <si>
    <t>+ sterling silver &amp; 14k gold filled
+ Permanent Jewelry⚡️
+ small batch jewelry brand  
📍Georgia State Fair- Sep 26 - Oct. 5</t>
  </si>
  <si>
    <t>hiddengems.bylove</t>
  </si>
  <si>
    <t>Hidden Gems By Love | JAIPUR | RAJASTHAN | INDIA</t>
  </si>
  <si>
    <t>Curating India’s Most Exclusive Retreats 
5-Star Stays | Soulful Escapes | Hidden Gems
Jaipur | Rajasthan | India 🇮🇳 
Managed by @buzzwithshree</t>
  </si>
  <si>
    <t>hiddengems.me</t>
  </si>
  <si>
    <t>Hiddengems</t>
  </si>
  <si>
    <t>Wandering around to bring new gems for you💎
Brand influencer @snoonu 
🙋🏽‍♀️: @meerakaakani</t>
  </si>
  <si>
    <t>hiddenjemmmig</t>
  </si>
  <si>
    <t>SG HIDDEN GEMS 💎</t>
  </si>
  <si>
    <t>Uncovering good food &amp; fun things to do in Singapore! 🇸🇬 
Drop your recommendations here👇🏻
hiddenjemmm@gmail.com</t>
  </si>
  <si>
    <t>hiddenukgems</t>
  </si>
  <si>
    <t>Hidden UK Gems</t>
  </si>
  <si>
    <t>Uncovering the gems of the UK 💎
STAY | EAT | DRINK | DO
As featured on BBC 📻 
Visit our website👇</t>
  </si>
  <si>
    <t>https://linktr.ee/hidden.uk.gems</t>
  </si>
  <si>
    <t>london_hiddengems</t>
  </si>
  <si>
    <t>London Hidden Gems</t>
  </si>
  <si>
    <t>Explore the hidden gems of London🇬🇧
DM to have your post featured 
#LondonHiddenGems 
📍London, United Kingdom</t>
  </si>
  <si>
    <t>ukhiddengems</t>
  </si>
  <si>
    <t>UK Hidden Gems</t>
  </si>
  <si>
    <t>Discover the hidden beauties of the UK 🇬🇧💎
📲 Explore with our mobile app @hiddengem.app
👇 Tap here to read more about our gems.</t>
  </si>
  <si>
    <t>https://linkin.bio/ukhiddengems</t>
  </si>
  <si>
    <t>vietnam.hiddengems</t>
  </si>
  <si>
    <t>Vietnam's Hidden Gems | Iconic | Unique | Authentic Tours</t>
  </si>
  <si>
    <t>🇻🇳Top #1 Hidden Gems in Vietnam 🏆
✨ Featuring only luxury stays 
| Secret spots | Off-the-beaten-path
For more assistance, please Ws +84.984.172.199</t>
  </si>
  <si>
    <t>elizabeth_zolotova</t>
  </si>
  <si>
    <t>HIGH HEELS Dance Tutorials</t>
  </si>
  <si>
    <t>Pro Dancer | 30K+ Students Worldwide
📍 Classes in NL @elizabeth.inheels
💃🏽 ONLINE LESSONS ↓</t>
  </si>
  <si>
    <t>https://linktr.ee/elizabeth.inheels</t>
  </si>
  <si>
    <t>high_heels.100pc.sexy</t>
  </si>
  <si>
    <t>High Heels</t>
  </si>
  <si>
    <t>#highheelshoes #sandals #highheels #heels #fashion #talons #escarpins #mules #stockings #shoeplay #dangling #stilettos #pumps #longlegs #sexy</t>
  </si>
  <si>
    <t>highheelsandcartwheels</t>
  </si>
  <si>
    <t>High Heels &amp; Cartwheels | Shannon Rehlinger + Stephanie Sperb</t>
  </si>
  <si>
    <t>Your TALL + MIDSIZE fashion besties! Follow for affordable outfits &amp; daily deals in stories ❤️
✨5’9 + 5’10
✨Size 10/12 + 12/14
📍WI + FL</t>
  </si>
  <si>
    <t>https://www.shopltk.com/explore/highheelsandcartwheels</t>
  </si>
  <si>
    <t>highheelsart</t>
  </si>
  <si>
    <t>High Heel</t>
  </si>
  <si>
    <t>All photos are my own.  
"Art is the expression of imagination, not the duplication of reality" by Henry Moore.</t>
  </si>
  <si>
    <t>highheels_by_fusswolfgang</t>
  </si>
  <si>
    <t>💙 Fuss-Schuhe &amp; High Heels 💙</t>
  </si>
  <si>
    <t>👠 own brand: "FUSS - Made in Italy"
👠 Heels-Shop shoes &amp; art gallery
👠 "The 2nd best feeling of the world"</t>
  </si>
  <si>
    <t>https://www.fuss-schuhe-shop.de</t>
  </si>
  <si>
    <t>high.heels_convention</t>
  </si>
  <si>
    <t>High Heels Workshops&amp;Convention</t>
  </si>
  <si>
    <t>🔥Мощнейшие классы по HIGH HEELS🔥
Москва
От организаторов @frameup_official
👇👇👇 👇👇👇</t>
  </si>
  <si>
    <t>http://frameup-events.ru/highheels</t>
  </si>
  <si>
    <t>highheels.ru</t>
  </si>
  <si>
    <t>СТРИПЫ | ХИЛСЫ | ОБУВЬ ДЛЯ ТАНЦЕВ | HIGH HEELS</t>
  </si>
  <si>
    <t>Обувь для горячих танцев 🔥
PRO Стиль. Характер. Качество 
Магазин с 11:00 до 21:00
Доставка по всему миру 📍</t>
  </si>
  <si>
    <t>https://highheels.pro/taplink</t>
  </si>
  <si>
    <t>high_heelss_</t>
  </si>
  <si>
    <t>HIGH_HEELS</t>
  </si>
  <si>
    <t>Get Your Best Heels👠 At Affordable Price🦋 
☎️=  8425017386 / 98332 74735</t>
  </si>
  <si>
    <t>https://chat.whatsapp.com/KTM3UdkmkbNI2WJjc8oDGC?mode=ems_copy_c</t>
  </si>
  <si>
    <t>high.heelsshoes</t>
  </si>
  <si>
    <t>HIGH HEELS SHOES</t>
  </si>
  <si>
    <t>Zapatos profesionales para baile ♡           
📍Encuéntranos en @wgang_studio 🛍️ 
Av. Larco 680 - Int 301 Miraflores/ Lima 
No se generan devoluciones</t>
  </si>
  <si>
    <t>high.heels.shoes</t>
  </si>
  <si>
    <t>Hanieh Mirabolhassani</t>
  </si>
  <si>
    <t>Luxury High Heeled Shoes
IF You Feel Sexy,You Look Sexy
کفش های پاشنه بلند لوکس
هانیه ام و ساکن انگلیس 🇬🇧 
💞با من همراه باشید</t>
  </si>
  <si>
    <t>http://linktr.ee/haniabolhasani</t>
  </si>
  <si>
    <t>high_heels_work_daily</t>
  </si>
  <si>
    <t>high heels work daily</t>
  </si>
  <si>
    <t>12/6/2024
i also post my art and commissions r open :))
posts via timezone GMT+8</t>
  </si>
  <si>
    <t>onlyskyhighheels</t>
  </si>
  <si>
    <t>High Heels Lover</t>
  </si>
  <si>
    <t>Posting shoots from girls that love High Heels.</t>
  </si>
  <si>
    <t>http://twitter.com/onlyskyheels/</t>
  </si>
  <si>
    <t>skyhigh_heels</t>
  </si>
  <si>
    <t>HIGH HEELS 👠</t>
  </si>
  <si>
    <t>CHASE YOUR DREAMS..In high #heels of course..💃
Promote your BRAND'S 👉 DM</t>
  </si>
  <si>
    <t>thegirlinskyhighheels</t>
  </si>
  <si>
    <t>Prerna Mehra</t>
  </si>
  <si>
    <t>Making sure my 7-year-old-self is proud of who I am becoming 🫶🏼
Fashion | Beauty | Lifestyle | Luxury
Founder @labelprernamehra &amp; @plungebyprernamehra</t>
  </si>
  <si>
    <t>http://labelprernamehra.com/</t>
  </si>
  <si>
    <t>hiitacademia</t>
  </si>
  <si>
    <t>Hiit Live It</t>
  </si>
  <si>
    <t>📍Aldeia Mall
📍Orla 14
Seja HIIT, Seja Exclusivo</t>
  </si>
  <si>
    <t>https://linktr.ee/hiitliveit</t>
  </si>
  <si>
    <t>hiit.academia</t>
  </si>
  <si>
    <t>HIIT ACADEMIA</t>
  </si>
  <si>
    <t>⚡️O novo começa aqui 
🥇Eleita Melhor Academia 
📍Santo Antônio de Jesus - BA
⤵️Conheça nossos Planos</t>
  </si>
  <si>
    <t>hiit_fitwear</t>
  </si>
  <si>
    <t>Fitness e Beach tennis</t>
  </si>
  <si>
    <t>Atacado e Varejo 
🎨 Há 10 anos colorindo o esporte com qualidade
📦Confecção própria e a pronta entrega
📲 Acesse o link abaixo</t>
  </si>
  <si>
    <t>https://linktr.ee/hiit</t>
  </si>
  <si>
    <t>hiitlouv</t>
  </si>
  <si>
    <t>HIIT LOUV</t>
  </si>
  <si>
    <t>✝️ | PRIMEIRA plataforma a oferecer TREINOS ONLINE para mulheres com músicas EXCLUSIVAMENTE CRISTÃS
💃 | + de 25.000 alunas
SE INSCREVA AGORA👇</t>
  </si>
  <si>
    <t>http://planos.portalhiitlouv.com.br</t>
  </si>
  <si>
    <t>thestudio.perth</t>
  </si>
  <si>
    <t>Yoga, Pilates + HIIT Studios</t>
  </si>
  <si>
    <t>🔥HEATED YOGA + MAT PILATES
💥REFORMER PILATES
📍Butler | East Vic Park | Joondalup
🙌🏼20 Days unlimited Mat + Reformer $59</t>
  </si>
  <si>
    <t>https://linktr.ee/thestudioperth</t>
  </si>
  <si>
    <t>2f.hiking</t>
  </si>
  <si>
    <t>Federica Figliuolo | Trekking &amp; Outdoor 🇮🇹</t>
  </si>
  <si>
    <t>💻Digital Marketer | Outdoor Content Creator
🥾Esperta di Trekking e Cammini 
🏔️Nel dubbio, mi trovi in Montagna🧗‍♀️
📌Founder @hikersitalia  @guidapro_</t>
  </si>
  <si>
    <t>https://2f-hiking.it/scopri-tutto</t>
  </si>
  <si>
    <t>hiking_of_insta</t>
  </si>
  <si>
    <t>Hiking</t>
  </si>
  <si>
    <t>Hiking !!! 🌲🏔️ 🌎
 T-Shirts 👇 Click to Shop 👇</t>
  </si>
  <si>
    <t>https://sunnyvolcano.com/hikingofinsta?pr=35</t>
  </si>
  <si>
    <t>hiking_vibe99</t>
  </si>
  <si>
    <t>Hiking Vibe</t>
  </si>
  <si>
    <t>#Hiker sharing my love of the #outdoors. I love exploring new trails and getting lost in nature.</t>
  </si>
  <si>
    <t>sarah_hiking</t>
  </si>
  <si>
    <t>⛰ SARAH PIGNAUD | OUTDOOR ADVENTURE ⛰</t>
  </si>
  <si>
    <t>🌍 Auvergnate toujours en vadrouille
📸 Compte photo pro @sarah_pignaud_photographie 
⛰️ Rando - Bivouac
👩🏼‍💻 Collab : sarah.hiking15@gmail.com</t>
  </si>
  <si>
    <t>https://linktr.ee/sarahhiking</t>
  </si>
  <si>
    <t>tanner.price_</t>
  </si>
  <si>
    <t>Tanner Price | Photography, Hiking, Travel</t>
  </si>
  <si>
    <t>Peace, Love, and Positivity
Hoping to inspire others to get outdoors!!🏔️
✉️Email: bignaturecollectiveco@gmail.com</t>
  </si>
  <si>
    <t>coolrap.tv</t>
  </si>
  <si>
    <t>RAP | HIP-HOP | MUSIC</t>
  </si>
  <si>
    <t>🎤 The best Hip - Hop content on IG!
📥 DM  for Promos</t>
  </si>
  <si>
    <t>hip_hop_ankit_</t>
  </si>
  <si>
    <t>Pop Ankit</t>
  </si>
  <si>
    <t>📍Jharkhand 📍
🚩Hindu 🙏
DM FOR PAID COLLABORATIONS 
 ankitkr6201@gmail.com</t>
  </si>
  <si>
    <t>hiphopcaption</t>
  </si>
  <si>
    <t>HIP HOP CAPTION</t>
  </si>
  <si>
    <t>hiphopde</t>
  </si>
  <si>
    <t>HIPHOP.DE</t>
  </si>
  <si>
    <t>Impressum: hiphop.de/impressum ⠀
Deutschlands größtes Hiphop Culture Magazin</t>
  </si>
  <si>
    <t>https://lnk.bio/hiphopde</t>
  </si>
  <si>
    <t>hip_hop.era</t>
  </si>
  <si>
    <t>Vashu</t>
  </si>
  <si>
    <t>Radhe Radhe 😌🤌
No copyright intended |
Edits made for entertainment &amp; vibe only |
All clips re-edited | DM for credit/removal.</t>
  </si>
  <si>
    <t>hiphopofthe90s</t>
  </si>
  <si>
    <t>HipHopOfThe90s | Hip-Hop &amp; Rap Music</t>
  </si>
  <si>
    <t>🎙️ | Hip-Hop News, Culture &amp; Content
🥇 | #1 Hip-Hop Community
©️ | No copyright intended
📥 | DM for promo/enquiries</t>
  </si>
  <si>
    <t>https://beacons.ai/hiphopofthe90s</t>
  </si>
  <si>
    <t>hip_hop_store01</t>
  </si>
  <si>
    <t>Aman baghel</t>
  </si>
  <si>
    <t>🍊NAGPUR📍
For watches 👉@nagpur_hip_hop_07 
🚛(CASH ON DELIVERY)All over India🇮🇳
📲WhatsAppno.(8830323423/9209950965)
☎️calling:-(9322728026/9226436356)</t>
  </si>
  <si>
    <t>https://maps.app.goo.gl/g3KuSi3awr9JUXwSA?g_st=ic</t>
  </si>
  <si>
    <t>hiphoptvoriginal</t>
  </si>
  <si>
    <t>Hip Hop TV</t>
  </si>
  <si>
    <t>𝘼𝙨 𝙢𝙚𝙡𝙝𝙤𝙧𝙚𝙨 𝙙𝙤 𝙃𝙞𝙥 𝙃𝙤𝙥 🔥
𝘼𝙨𝙨𝙞𝙨𝙩𝙖 𝙤𝙨 𝙍𝙚𝙚𝙡𝙨 𝙚 𝙎𝙩𝙤𝙧𝙮 📌
𝙋𝙖𝙧𝙘𝙚𝙧𝙞𝙖𝙨 📩</t>
  </si>
  <si>
    <t>hiphopzije</t>
  </si>
  <si>
    <t>HIP HOP ŽIJE | HHŽ</t>
  </si>
  <si>
    <t>🔥 HHŽ 2026 / 26.-27. 6.
🎫 Lístky na @ticketportalsk / cz</t>
  </si>
  <si>
    <t>https://www.ticketportal.sk/event/HIP-HOP-ZIJE-BRATISLAVA-2026?imedium=search</t>
  </si>
  <si>
    <t>hungria_oficial</t>
  </si>
  <si>
    <t>Hungria</t>
  </si>
  <si>
    <t>Brazilian Singer
Sócio:@tropadogorilla 
Shows: Márcio Rolim(11)981960396
“Cara Metade” ⬇️</t>
  </si>
  <si>
    <t>https://youtu.be/JGjaXgNu0KU</t>
  </si>
  <si>
    <t>museuhiphoprs</t>
  </si>
  <si>
    <t>Museu da Cultura Hip Hop RS</t>
  </si>
  <si>
    <t>Museum</t>
  </si>
  <si>
    <t>1º Museu da Cultura Hip Hop na América Latina. Conexões, memória e patrimônio do Hip Hop Gaúcho. Gestão: @achesteio. Patrocínio máster: @petrobras</t>
  </si>
  <si>
    <t>https://linktr.ee/muchrs</t>
  </si>
  <si>
    <t>thehiphopwolf</t>
  </si>
  <si>
    <t>THE HIP-HOP WOLF®</t>
  </si>
  <si>
    <t>🏡 The home of interactive discussion focused on all forms of Hip-Hop/Rap
📬 DM for promo
📧 submissions.hhw@gmail.com</t>
  </si>
  <si>
    <t>worldstar</t>
  </si>
  <si>
    <t>WorldStar Hip Hop / WSHH</t>
  </si>
  <si>
    <t>The #1 Entertainment and HipHop community in the world!
🎮 @worldstar.gaming 
🏆 @worldstar.sport 
📩 sales@worldstarhiphop.com for promo</t>
  </si>
  <si>
    <t>https://linktr.ee/wshh</t>
  </si>
  <si>
    <t>hockeycanada</t>
  </si>
  <si>
    <t>Hockey Canada</t>
  </si>
  <si>
    <t>Governing body for grassroots hockey and the home of Team Canada. 🏒 | Organisme de régie du hockey amateur et domicile d’Équipe Canada au hockey. 🏒</t>
  </si>
  <si>
    <t>https://linkin.bio/hockeycanada</t>
  </si>
  <si>
    <t>hockey_fra</t>
  </si>
  <si>
    <t>Équipes France Hockey</t>
  </si>
  <si>
    <t>Compte officiel des Équipes de France de Hockey-sur-Glace et de la FFHG  🏒🇫🇷 #HockeyFamily
📺 Hockeyfrance.tv
⬇️ Liens utiles 🔗</t>
  </si>
  <si>
    <t>https://linktr.ee/hockeyfrance</t>
  </si>
  <si>
    <t>hockeystickman</t>
  </si>
  <si>
    <t>HockeyStickMan</t>
  </si>
  <si>
    <t>Sporting Goods Store</t>
  </si>
  <si>
    <t>Providing players with top quality Pro Stock sticks &amp; gear is the name of our game 🏒</t>
  </si>
  <si>
    <t>http://hockeystickman.com/linkinbio</t>
  </si>
  <si>
    <t>usahockey</t>
  </si>
  <si>
    <t>USA Hockey</t>
  </si>
  <si>
    <t>The National Governing Body of Ice Hockey in the United States. 🇺🇸</t>
  </si>
  <si>
    <t>https://linktr.ee/USAHockey</t>
  </si>
  <si>
    <t>dilijan_holiday_home</t>
  </si>
  <si>
    <t>Dilijan Holiday Home🇦🇲|Հանգստյան տուն Դիլիջանում/</t>
  </si>
  <si>
    <t>📞033999344
🌐Ընտանեկան հանգստի գոտի/հյուրատուն 🛏️9 սենյակ
🏊🏻‍♂️Լողավազան,տաղավարներ,բիլիարդ
🧘🏻Կատարյալ հանգստություն
⛰️Գեղեցիկ բնություն և մաքուր օդ</t>
  </si>
  <si>
    <t>Holiday</t>
  </si>
  <si>
    <t>Personal account for Jon.</t>
  </si>
  <si>
    <t>holidaygym</t>
  </si>
  <si>
    <t>Holiday Gym | Gimnasios</t>
  </si>
  <si>
    <t>We are Holiday, we are the gym.
Since 1984, the place to be #strong #fit #happy
📍Madrid -  Alicante - Zaragoza - Toledo -   Ibiza - Benicarló 🏝️</t>
  </si>
  <si>
    <t>http://www.holidaygym.es/</t>
  </si>
  <si>
    <t>holidayinnperth</t>
  </si>
  <si>
    <t>Holiday Inn Perth City Centre</t>
  </si>
  <si>
    <t>Stay in the heart of Perth CBD at #HolidayInnPerth; surrounded by the best attractions, shopping &amp; entertainment🏨
Plus, Kids Stay &amp; Eat Free!💚</t>
  </si>
  <si>
    <t>https://bit.ly/m/holidayinnperth</t>
  </si>
  <si>
    <t>holidayinnsd</t>
  </si>
  <si>
    <t>Holiday Inn Santo Domingo</t>
  </si>
  <si>
    <t>📍En el corazón del Distrito Financiero. A minutos de centros comerciales. 
🤝🏽Únete a nuestro programa de lealtad @ihgonerewards 
●Pet Friendly 💚🐾</t>
  </si>
  <si>
    <t>https://www.holidayinn.com/sdqdominicana</t>
  </si>
  <si>
    <t>holiday__paris</t>
  </si>
  <si>
    <t>Holiday Paris</t>
  </si>
  <si>
    <t>Holiday X Sezane out now.</t>
  </si>
  <si>
    <t>https://www.holiday-paris.fr/</t>
  </si>
  <si>
    <t>holidayplatform</t>
  </si>
  <si>
    <t>Holiday Platform</t>
  </si>
  <si>
    <t>Founder &amp; Director holidayplatform  Holiday Hotels Apartments and Villa Rentals Platform</t>
  </si>
  <si>
    <t>med.holidaycar</t>
  </si>
  <si>
    <t>Mohamed Aqachmar</t>
  </si>
  <si>
    <t>Famous Luxury Traveler in the Wourld
Hotels Reviewer
Founder @alloholidays
contact@alloholidays.com</t>
  </si>
  <si>
    <t>ryanholiday</t>
  </si>
  <si>
    <t>Ryan Holiday</t>
  </si>
  <si>
    <t>#1 NYT Bestselling Author
@dailystoic @dailydad @dailystoicpodcast 
Sign up for my free daily newsletter:</t>
  </si>
  <si>
    <t>http://store.dailystoic.com/pages/wisdom-takes-work</t>
  </si>
  <si>
    <t>bakingtosurvive_</t>
  </si>
  <si>
    <t>Emily🌾 Sourdough &amp; Home Baking</t>
  </si>
  <si>
    <t>•Bringing you the art of home baking
•Sourdough| Yeast Breads| Desserts &amp; More
•Links &amp; Discounts⬇️</t>
  </si>
  <si>
    <t>https://linktr.ee/bakingwithem</t>
  </si>
  <si>
    <t>homebakingdayusa</t>
  </si>
  <si>
    <t>Home Baking Day USA</t>
  </si>
  <si>
    <t>🧁DIY Baking Studio👩‍🍳
📍15345 Culver Dr, Irvine, CA 92604
 ☎️949-668-8000
🔗 Make a reservation using the link in our bio!</t>
  </si>
  <si>
    <t>http://www.homebakingday.com/menu/en/?page=1&amp;store=14</t>
  </si>
  <si>
    <t>home_baking_vladikavkaz</t>
  </si>
  <si>
    <t>Торты (БЕНТО ТОРТЫ) Владикавказ (Беслан)</t>
  </si>
  <si>
    <t>Моя новая страничка🎂Торты любой сложности:фототорты,детские,свадебные,кендибар и многое другое. Не дорого 😇Доставка по Влад-зу 200₽ ссылка на Whats ⬇️</t>
  </si>
  <si>
    <t>homebrewingexperience</t>
  </si>
  <si>
    <t>Homebrewing Experience</t>
  </si>
  <si>
    <t>Decades of Homebrewing Experience and Craft Beer Enthusiast 🍻
GIN &amp; Kombucha producer 🍸
Originally and resident in Italy 🇮🇹🍕</t>
  </si>
  <si>
    <t>https://beacons.ai/homebrewingexperience</t>
  </si>
  <si>
    <t>homebrewinglovers</t>
  </si>
  <si>
    <t>Homebrewing Page</t>
  </si>
  <si>
    <t>❤❤Follow us if you love Homebrewing❤❤
👕Get a T-shirt with link below 
👇👇👇</t>
  </si>
  <si>
    <t>https://p2glstore.com/homebrewing-tshirt?pr=FREE60</t>
  </si>
  <si>
    <t>homebrewingonly</t>
  </si>
  <si>
    <t>Homebrewing Only</t>
  </si>
  <si>
    <t>The best of homebrewing by @hazyandhoppyblog 
Use #homebrewingonly to be featured</t>
  </si>
  <si>
    <t>http://linkinprofile.com/homebrewingonly</t>
  </si>
  <si>
    <t>am.homedecor</t>
  </si>
  <si>
    <t>AM HOME DECOR</t>
  </si>
  <si>
    <t>Transformando sua casa, em um lar🤍
Especialistas em cama posta/ Almofadas, peseiras, mantas e itens personalizados
Compre online aqui⬇️
Hortolândia Sp</t>
  </si>
  <si>
    <t>https://linktr.ee/amhomedecor</t>
  </si>
  <si>
    <t>arredato.do</t>
  </si>
  <si>
    <t>ARREDATO | Home &amp; Decor</t>
  </si>
  <si>
    <t>Exclusivos Mobiliarios y Decoración
Lunes a Viernes 9:00 AM a 7:00 PM
Sábados 9:00 AM a 6:00 PM</t>
  </si>
  <si>
    <t>https://wa.link/vflq4r</t>
  </si>
  <si>
    <t>becominghomebody</t>
  </si>
  <si>
    <t>Jeanne Zamith | Affordable Home Decor</t>
  </si>
  <si>
    <t>affordable decor for fams w kids &amp; pets 🌼
custom build coming 2026 🏡
cozy finds &amp; daily life in stories 🤎☕️
 ⇩ links &amp; codes ⇩</t>
  </si>
  <si>
    <t>http://bio.site/becominghomebody</t>
  </si>
  <si>
    <t>beehomedecordr</t>
  </si>
  <si>
    <t>Bee Home Decor | Ebanistería • Muebles • Decoración</t>
  </si>
  <si>
    <t>Industrial Company</t>
  </si>
  <si>
    <t>Muebles hechos para durar ✨
🪚Handmade Designs
📍Santo Domingo | Punta Cana 
Solicita tu Cotización ⬇️</t>
  </si>
  <si>
    <t>cortinajerd</t>
  </si>
  <si>
    <t>Cortinaje Home Decor &amp; Wallpapers</t>
  </si>
  <si>
    <t>Luxury home decor &amp; textiles.</t>
  </si>
  <si>
    <t>http://cortinaje.com.do/</t>
  </si>
  <si>
    <t>decor.snippets</t>
  </si>
  <si>
    <t>Rue | Home Decor | Lifestyle</t>
  </si>
  <si>
    <t>🤍  thedecorsnippets@gmail.com
🤍  💍 Mom of 4
🤍  Jer 29:11
🤍 📍TX</t>
  </si>
  <si>
    <t>https://urlgeni.us/amazon/cx2SS</t>
  </si>
  <si>
    <t>_designhomedecor</t>
  </si>
  <si>
    <t>Home Decor Inspiration</t>
  </si>
  <si>
    <t>Inspiration for Interior Design and Home
✉ Contact us to collaborate</t>
  </si>
  <si>
    <t>homedecor_byka</t>
  </si>
  <si>
    <t>Kerien Antigua | Home Decor</t>
  </si>
  <si>
    <t>🛋️ 𝑨𝒔𝒆𝒔𝒐𝒓í𝒂𝒔💫
✨ ¡𝑇𝑟𝑎𝑛𝑠𝑓𝑜𝑟𝑚𝑎𝑚𝑜𝑠 ℎ𝑜𝑔𝑎𝑟𝑒𝑠, 𝑐𝑟𝑒𝑎𝑚𝑜𝑠 𝑏𝑖𝑒𝑛𝑒𝑠𝑡𝑎𝑟!
🏡 Espacios acogedores que impactan vidas.
📩 DM para más información
📍Santo Domingo, RD🇩🇴</t>
  </si>
  <si>
    <t>home_decor_daily</t>
  </si>
  <si>
    <t>Home Decor</t>
  </si>
  <si>
    <t>🏡 All about #HomeDesign and #HomeDecor 
💌 DM For More</t>
  </si>
  <si>
    <t>homedecor_em</t>
  </si>
  <si>
    <t>Comedor- lamparas -credenzas ,abanicos sillas,mesas</t>
  </si>
  <si>
    <t>🟤TIENDA FÍSICA 
📍 calle Barney  N. Morgan #228
(Casi esquina Josefa brea )
ENSANCHE LUPERON D.N
🟤 CEO. @yohanna22_08 🧿🦋
🟤 ❌ devoluciones 🚫 cambios 
⬇️</t>
  </si>
  <si>
    <t>https://wa.link/c5sy3d</t>
  </si>
  <si>
    <t>home_decorrd</t>
  </si>
  <si>
    <t>HomeDecor•Comedores•Lámparas•Abanicos•Apliques•Adornos</t>
  </si>
  <si>
    <t>CONVIRTIENDO LO SIMPLE EN DELICADO 
👩🏽‍💻|TIENDA VIRTUAL
💁🏽‍♀️|CEO: @alondra_santana_ 
🔴|❌ CAMBIOS ❌DEVOLUCIONES 
💸|PAGO CONTRA ENTREGA en Sto. Dgo. 📍</t>
  </si>
  <si>
    <t>https://api.whatsapp.com/send?phone=18293996967</t>
  </si>
  <si>
    <t>inspire_me_home_decor</t>
  </si>
  <si>
    <t>Interior Design &amp; Home Decor</t>
  </si>
  <si>
    <t>Inspire Me! Home Decor ™ Official Page by
Helping You Make Your House, Your Home</t>
  </si>
  <si>
    <t>jensgatheringnest</t>
  </si>
  <si>
    <t>Jen Alvarez • Home Decor</t>
  </si>
  <si>
    <t>Your Pinterest board, brought to life 🤍
Home Decor • Seasonal inspo • Entertaining Tips
Miami /  ✉️: Jensgatheringnest@gmail.com
Shop my posts here ↓</t>
  </si>
  <si>
    <t>https://campsite.bio/jensgatheringnest</t>
  </si>
  <si>
    <t>kinsey_walsh</t>
  </si>
  <si>
    <t>Kinsey Walsh | Home Decor • Design</t>
  </si>
  <si>
    <t>🔹Affordable Home Decor + a few splurges
🔹Daily finds/inspo in stories
🔹“link in bio” below 👇 to Shop AFFILIATE LINKS</t>
  </si>
  <si>
    <t>https://urlgeni.us/amzn/KinseyWalsh_AmazonStoreFront_Instagram</t>
  </si>
  <si>
    <t>myhomelydecors</t>
  </si>
  <si>
    <t>Welcome To myhomelydecors 💖
Get your Inspiration with us 
Kindly DM us for copyright issues ❤️
SHOP HERE 👇</t>
  </si>
  <si>
    <t>https://lnk.bio/myhomelydecors</t>
  </si>
  <si>
    <t>ori.home.decor</t>
  </si>
  <si>
    <t>ORI Home Decor | Importadora • desde 2010</t>
  </si>
  <si>
    <t>Compre pelo site: www.oridecor.com.br
Fale conosco: 16 99757.4783
Importadora: Vasos Vietnamitas • Decoração • Arte • Design
Varejo • Atacado</t>
  </si>
  <si>
    <t>http://linktr.ee/ori.home.decor</t>
  </si>
  <si>
    <t>popsofcolorlifestyle</t>
  </si>
  <si>
    <t>Kerry Harris | Home Decor &amp; Lifestyle</t>
  </si>
  <si>
    <t>Inspiring you one post at a time 
📩 teampopsofcolor@gersh.com
📍🇯🇲 in Houston, TX 💙mom
Shop My Posts👇🏽</t>
  </si>
  <si>
    <t>https://amzlink.to/az0xVYoSNM29m</t>
  </si>
  <si>
    <t>sagephillipshome</t>
  </si>
  <si>
    <t>SAGE PHILLIPS | home decor + diy</t>
  </si>
  <si>
    <t>creating a cozy, lived-in home filled with warmth, curated finds, easy home tips &amp; DIYs.
nova scotia, canada 
shop my home ↓</t>
  </si>
  <si>
    <t>https://sagephillips.my.canva.site/home</t>
  </si>
  <si>
    <t>trellishomedecor</t>
  </si>
  <si>
    <t>Trellis Home Decor</t>
  </si>
  <si>
    <t>Luxury Home Decor, Tabletop &amp; Wedding list 💍 EST. 1992 
📍Piantini | Santiago | Punta Cana
☎️809.541.2104
📲1809.899.3003 
Compra Online 👇🏼</t>
  </si>
  <si>
    <t>https://linktr.ee/trellishomedecor</t>
  </si>
  <si>
    <t>velvet_rd</t>
  </si>
  <si>
    <t>Velvet Wallpapers &amp; Home Decor</t>
  </si>
  <si>
    <t>• Max Henriquez Ureña No.77 | Piantini 
• Calle A, No.6B Villa Olga | Santiago 
Tel. 809-792-4019 
Ws. 809-958-4109</t>
  </si>
  <si>
    <t>https://linktr.ee/velvetcasona</t>
  </si>
  <si>
    <t>home.fitness09</t>
  </si>
  <si>
    <t>Home fitness</t>
  </si>
  <si>
    <t>ID for sale if interested DM me!</t>
  </si>
  <si>
    <t>home_fitness72</t>
  </si>
  <si>
    <t>Home 🏠 Fitness</t>
  </si>
  <si>
    <t>Fitness 💪🏠</t>
  </si>
  <si>
    <t>home_fitness_code</t>
  </si>
  <si>
    <t>Home Fitness Code</t>
  </si>
  <si>
    <t>"High-Quality, Aesthetics, Portability" is our goal! Our fitness products have competitive prices, we always dedicated ourselves to integrity.</t>
  </si>
  <si>
    <t>http://linktr.ee/homefitnesscode</t>
  </si>
  <si>
    <t>london_fitness_guy</t>
  </si>
  <si>
    <t>James Stirling - HOME WORKOUTS 💪🏻</t>
  </si>
  <si>
    <t>Qualified PT / Run Coach
Wellness Ambassador @technogym 
JOIN MY APP @the_pwer (7 DAYS FREE) 💪
1-1 - COACHING APPLY HERE ⬇️
James@Londonfitnessguy.com</t>
  </si>
  <si>
    <t>https://londonfitnessguy.komi.io/</t>
  </si>
  <si>
    <t>homeandgarden</t>
  </si>
  <si>
    <t>Home &amp; Garden Co. 🇰🇼</t>
  </si>
  <si>
    <t>Garden Center</t>
  </si>
  <si>
    <t>‎Landscape Design &amp; Build 
‎شركةهوم اند جاردن/الكويت/منطقة المشاتل
☎️1815858
📱91112505/4/3/2
Landscape inquires
📱 90920889
📱  91112527
Shop online⬇️</t>
  </si>
  <si>
    <t>https://shopping.homeandgarden.com.kw</t>
  </si>
  <si>
    <t>homeandgardendecomx</t>
  </si>
  <si>
    <t>Home and Garden</t>
  </si>
  <si>
    <t>Para más información:
📍Suc. Valle
    Calzada del Valle #298, del Valle, SPGG</t>
  </si>
  <si>
    <t>https://www.facebook.com/HomeandGardenDeco?mibextid=ZbWKwL</t>
  </si>
  <si>
    <t>home_garden_br</t>
  </si>
  <si>
    <t>Casa e Jardim | Dicas, Descontos, Cupons</t>
  </si>
  <si>
    <t>🏡  Transformando espaços com estilo,  do lar ao jardim
🍀Cupons de desconto todos os dias nos stories
🪷 Para as melhores ofertas, clique aqui 👇🏻</t>
  </si>
  <si>
    <t>https://bio.site/casaejardim</t>
  </si>
  <si>
    <t>homegardenyt</t>
  </si>
  <si>
    <t>Home Garden</t>
  </si>
  <si>
    <t>Gardener | Farmer | Motivator
Mail for collaboration / Review / Pramotion 👇</t>
  </si>
  <si>
    <t>https://youtube.com/c/HomeGarden26</t>
  </si>
  <si>
    <t>homes_</t>
  </si>
  <si>
    <t>Inspired Home &amp; Garden</t>
  </si>
  <si>
    <t>🍃Est. 2012 @Homes_ is the original Home, Garden &amp; Venue collective! Follow us for unique, creative inspiration and joy! 🍃</t>
  </si>
  <si>
    <t>patinahomeandgarden</t>
  </si>
  <si>
    <t>Patina Home &amp; Garden</t>
  </si>
  <si>
    <t>By the Giannetti’s at @patinameadow
A shop and gathering place in historic Leiper’s Fork, TN inspired by our love of community, nature and history.</t>
  </si>
  <si>
    <t>https://patinahomeandgarden.com</t>
  </si>
  <si>
    <t>do_it_with_hewitt</t>
  </si>
  <si>
    <t>Lauren Hewitt | Cleaning  | Home Organization | Amazon</t>
  </si>
  <si>
    <t>🧼Helping make life’s “to do’s” more manageable with cleaning tips, tricks &amp; hacks🧼
📧lauren@doitwithhewitt.com
🫧Shop My Links | Amazon Storefront🫧</t>
  </si>
  <si>
    <t>https://www.doitwithhewitt.com/links</t>
  </si>
  <si>
    <t>home_organization.1</t>
  </si>
  <si>
    <t>Home Organization</t>
  </si>
  <si>
    <t>Check out my other accounts:
 @kitchen.deco1 &amp; @daily_gadgets1 
📩 DM for collaboration</t>
  </si>
  <si>
    <t>https://amzn.to/45oD45D</t>
  </si>
  <si>
    <t>homerevolution_</t>
  </si>
  <si>
    <t>HOME ORGANIZATION</t>
  </si>
  <si>
    <t>💡 @myclipit by Home Revolution
🧺 Laundry Made Easy 
🧦 No More Mismatched or Lost Socks!
👇 Order Yours Today</t>
  </si>
  <si>
    <t>https://homerevolution.co/</t>
  </si>
  <si>
    <t>organizewithkylie</t>
  </si>
  <si>
    <t>KYLIE MORTON | Home Organization + Decluttering</t>
  </si>
  <si>
    <t>• Stress-free decluttering in 30 minutes a day
• Helping overwhelmed women create calm 
👇🏼Take back your space &amp; sanity here</t>
  </si>
  <si>
    <t>http://stan.store/organizewithkylie</t>
  </si>
  <si>
    <t>organizingways1</t>
  </si>
  <si>
    <t>Home organization</t>
  </si>
  <si>
    <t>Helping you create a clutter-free, stylish, and stress-free American home Easy hacks |Amazon finds | Real-life solutions #usa #unitedstates #newyork</t>
  </si>
  <si>
    <t>https://bit.ly/Organizedhacks</t>
  </si>
  <si>
    <t>reset_your_nest</t>
  </si>
  <si>
    <t>Jennifer Martin | Professional Home Organization</t>
  </si>
  <si>
    <t>Professional home organizer serving ALL of Utah
Concierge moves, garages, decluttering, and more
⬇️ Schedule your free virtual consultation today!</t>
  </si>
  <si>
    <t>http://www.resetyournest.com/social</t>
  </si>
  <si>
    <t>smart_home_organization</t>
  </si>
  <si>
    <t>Smart Home Organization</t>
  </si>
  <si>
    <t>▫️ organization, interiors, Amazon finds &amp; more
▫️click below to shop all of my videos</t>
  </si>
  <si>
    <t>https://beacons.ai/hometips</t>
  </si>
  <si>
    <t>thatorganizedhome</t>
  </si>
  <si>
    <t>HOME ORGANIZATION &amp; DECOR</t>
  </si>
  <si>
    <t>Helping you bring calm to your home
🕊Organizing &amp; Decluttering Tips
🏠Decor Ideas
☘️Storage solutions
📲DM for business 
Shop now🔽🔽🔽</t>
  </si>
  <si>
    <t>https://lnk.bio/Thatorganizedhome</t>
  </si>
  <si>
    <t>thetidycitrus</t>
  </si>
  <si>
    <t>🍊CURRENTLY OFF IG  
🍊please email thetidycitrus@gmail.com</t>
  </si>
  <si>
    <t>http://linktr.ee/thetidycitrus/</t>
  </si>
  <si>
    <t>tidystylehome</t>
  </si>
  <si>
    <t>Heather Bifulco | Tidy Style™️| Professional Home Organization</t>
  </si>
  <si>
    <t>🩵Functional &amp; Pretty Spaces
🩵Concierge Moves &amp; Unpacking
🩵Personal Assistants
🩵Boise | Idaho Falls | Will Travel ✈️</t>
  </si>
  <si>
    <t>https://tidystylehome.com/contact-us/?fbclid=PAQ0xDSwLlGGxleHRuA2FlbQIxMAABp9vNQEe57UV5gng63SJluKXugF1sxhiZ-YX_bV5U-2pm4x47-sLzf0gadopD_aem_V6mMa-qDkn9r9BCE0NNf9w</t>
  </si>
  <si>
    <t>coach.latif</t>
  </si>
  <si>
    <t>Home workout Losweight</t>
  </si>
  <si>
    <t>Based MUNICH 📍
PERSONAL TRAINER مدرب خاص 
 ‪+971 0506849221 ‬ 📩 WhatsApp
FOR PROGRAM DETAILS
⬇️VISIT OUR WEBSITE⬇️ at</t>
  </si>
  <si>
    <t>https://coachlatif.com/</t>
  </si>
  <si>
    <t>healthfitnessguide_</t>
  </si>
  <si>
    <t>Home Workout Guide</t>
  </si>
  <si>
    <t>🌸Healthy habits🌸
🌸Fitness &amp; motivation🌸
🌸Consistency is key🌸
👇Solar Power Bank👇</t>
  </si>
  <si>
    <t>https://ezonn.shop/products/solar-power-bank</t>
  </si>
  <si>
    <t>home.exercises</t>
  </si>
  <si>
    <t>Home Workouts For You</t>
  </si>
  <si>
    <t>💁Can't make it to the gym?
📧Igcontactinfo@gmail.com</t>
  </si>
  <si>
    <t>homeworkoutday</t>
  </si>
  <si>
    <t>Weight Loss Tips 🇺🇸</t>
  </si>
  <si>
    <t>Weight Loss Center</t>
  </si>
  <si>
    <t>Everything You Need To Become Fit
🛒Shop Now👇</t>
  </si>
  <si>
    <t>https://amzn.to/3XcNv8e</t>
  </si>
  <si>
    <t>homeworkouts_4u</t>
  </si>
  <si>
    <t>Women Over 40, 50, 60+ Fitness Inspiration</t>
  </si>
  <si>
    <t>Sharing challenging and creative workouts w/ little to no equipment! 💪
Women 40+, we wanna collab with you! 💌</t>
  </si>
  <si>
    <t>https://phaseitup.com/</t>
  </si>
  <si>
    <t>homeworkoutttt</t>
  </si>
  <si>
    <t>Home workout</t>
  </si>
  <si>
    <t>🏋️|Daily Workout Contents
🎯. Collab - rahul92884@gmail.com
📧. DM Me For Paid Promotion</t>
  </si>
  <si>
    <t>homeworkout_videos_</t>
  </si>
  <si>
    <t>Workout videos</t>
  </si>
  <si>
    <t>🤸Join us for Workout videos
🏋️Fitness Motivation
 📧 DM me for Credits / Removal</t>
  </si>
  <si>
    <t>homeworkoutvideos_</t>
  </si>
  <si>
    <t>Home Workout 💙</t>
  </si>
  <si>
    <t>➡️Best Home Workout Videos for Females
➡️Follow us for Home Workouts
💥Motivation
💥Ideas</t>
  </si>
  <si>
    <t>katb_fit</t>
  </si>
  <si>
    <t>Kat Boley | Home Workouts for Women</t>
  </si>
  <si>
    <t>Get FIT with 20 Min QUICK &amp; Effective HOME Workouts
Food &amp; Nutrition Tips in Stories
Former Gymnast, RN &amp; Mama
Signup Reboot Challenge → Sept 15</t>
  </si>
  <si>
    <t>https://my.playbookapp.io/kateryna-nikitina/programs/back-to-school-reboot-challenge/35663</t>
  </si>
  <si>
    <t>khushi.workout</t>
  </si>
  <si>
    <t>#fit_with_me
#homeworkout 
💌DM for paid collaboration 💌 
daily home exercise 
daily tips &amp; workout videos</t>
  </si>
  <si>
    <t>__candicewebster__</t>
  </si>
  <si>
    <t>Candice Webster - Healing with Horses</t>
  </si>
  <si>
    <t>M A M A  &amp;  F A R M W I F E
Medicine Horse Woman
Priestess • Oracle • Horse Witch
www.candicewebster.com
info@candicewebster.com
🇿🇦</t>
  </si>
  <si>
    <t>https://www.paypal.me/CLWebster1</t>
  </si>
  <si>
    <t>horselegant</t>
  </si>
  <si>
    <t>Elegant Horses</t>
  </si>
  <si>
    <t>🐎 | Elegant Horses
❤️ | High Quality Daily Content</t>
  </si>
  <si>
    <t>Horses</t>
  </si>
  <si>
    <t>Horses, just horses ❤️
Email for business enquiries</t>
  </si>
  <si>
    <t>horsesoldierbourbon</t>
  </si>
  <si>
    <t>Horse Soldier Bourbon</t>
  </si>
  <si>
    <t>Wine/spirits</t>
  </si>
  <si>
    <t>All-American, award-winning bourbons. What we don’t drink ourselves, we proudly serve to you.🥃 #DrinkHorseSoldier #HorseSoldierBourbon | 21+ to follow</t>
  </si>
  <si>
    <t>http://linktr.ee/horsesoldierbourbon2015</t>
  </si>
  <si>
    <t>horsesplanet</t>
  </si>
  <si>
    <t>Horsesplanet</t>
  </si>
  <si>
    <t>Equestrian Center</t>
  </si>
  <si>
    <t>Horsesplanet is an official account for horse community lovers.
@ahmedakbar 
▫️Featuring Equestrian Videos &amp; Events🐎
▫️Use #Horsesplanet</t>
  </si>
  <si>
    <t>hsbresort</t>
  </si>
  <si>
    <t>Horseshoe Bay Resort</t>
  </si>
  <si>
    <t>Texas Lake and Hill Country resort. Enjoy award-winning golf, world class tennis and pickleball, marina on Lake LBJ, spa, kids club, and more!</t>
  </si>
  <si>
    <t>https://linktr.ee/hsbresort</t>
  </si>
  <si>
    <t>victoria__wk</t>
  </si>
  <si>
    <t>FOOD | FITNESS | HORSES</t>
  </si>
  <si>
    <t>YOUR WEIGHT LIFTING COWGIRL!
🐴 Western Horse Training 
💪🏼 Workouts for Riders
🥑 Healthy Food Inspiration
📍 Costa Brava</t>
  </si>
  <si>
    <t>https://www.lopinonataco.com/lt-academy</t>
  </si>
  <si>
    <t>wildhorsesfestival</t>
  </si>
  <si>
    <t>Wild Horses Festival</t>
  </si>
  <si>
    <t>🔊 4 Days of Music,Arts &amp; Dreams
🌿 In The Magical Nature
🐎 Let’s Go, Run 𝗪𝗜𝗟𝗗 With Us
🧲13-16 of November 2025</t>
  </si>
  <si>
    <t>https://triniq.com/wildhorses2025</t>
  </si>
  <si>
    <t>adictosdelhumor</t>
  </si>
  <si>
    <t>💥AdictosDelHumor💥</t>
  </si>
  <si>
    <t>📥 Rico en Memes 24/7
💰 Publicidad al Dm
📍Servicios de Comunnity Manager
🪶Creditos y eliminaciones al DM
🎶 Himno de nuestra pagina 👇🏻</t>
  </si>
  <si>
    <t>allandeivisonmemes</t>
  </si>
  <si>
    <t>𝘼𝙡𝙡𝙖𝙣 𝘿𝙚𝙞𝙫𝙞𝙨𝙤𝙣 | 𝙝𝙪𝙢𝙤𝙧 𝙘𝙤𝙢 𝙖𝙢𝙤𝙧 🦋✨️</t>
  </si>
  <si>
    <t>Ator , Roteirista , Produtor , Editor , Diretor , Compositor  @moviefromhome 🤫
😂  2memes todos os dias • zero vaidades</t>
  </si>
  <si>
    <t>https://youtu.be/6IX6EN4PIPw?si=-bZGdYo3nsjNMGW3</t>
  </si>
  <si>
    <t>bestofhumors</t>
  </si>
  <si>
    <t>Humor</t>
  </si>
  <si>
    <t>⇝ Your friend sent you my meme for a reason🤷🏻‍♂️
⇝ Fresh Memes &amp; Videos Daily🔌
⇝ DM for Biz/Credits/Promos💸</t>
  </si>
  <si>
    <t>http://www.strivesubmissions.com</t>
  </si>
  <si>
    <t>dalgona.humor</t>
  </si>
  <si>
    <t>달고나유머</t>
  </si>
  <si>
    <t>달달한 즐거움이 있는 계정
광고문의는 DM 부탁드려요
@dalgona.humor</t>
  </si>
  <si>
    <t>darkhumor</t>
  </si>
  <si>
    <t>Dark Humor</t>
  </si>
  <si>
    <t>The Home of Dark Humor 🔞
💀 Only Offensive Memes!
🔒 Follow to Join Our Community</t>
  </si>
  <si>
    <t>🤝”Who controls the memes controls the Universe”
📧 hey@Humortv.co
⇣</t>
  </si>
  <si>
    <t>http://www.humortv.co</t>
  </si>
  <si>
    <t>humorbagel</t>
  </si>
  <si>
    <t>HumorBagel</t>
  </si>
  <si>
    <t>creating core memories one toot at a time🕺🏻💨
📩 humorbagel@apollomgmt.co
NEW Merch 🤩👇🏼</t>
  </si>
  <si>
    <t>https://crowdmade.com/collections/humorbagel</t>
  </si>
  <si>
    <t>humor_funfuning</t>
  </si>
  <si>
    <t>유머퍼닝</t>
  </si>
  <si>
    <t>재밌는거 나눠 보는게 취미입니다🧡
팔로우 Pick Me👆
문제되는 게시물 DM 부탁드립니다!</t>
  </si>
  <si>
    <t>igor_humor</t>
  </si>
  <si>
    <t>Igor Oskin</t>
  </si>
  <si>
    <t>menshumor</t>
  </si>
  <si>
    <t>Men's Humor</t>
  </si>
  <si>
    <t>⬇️⬇️ Submit Original Content @ Email Below ⬇️⬇️ For Credit/Removal, Email us too 
👇 👇</t>
  </si>
  <si>
    <t>http://menshumor.com</t>
  </si>
  <si>
    <t>sandiegohumor</t>
  </si>
  <si>
    <t>San Diego Humor</t>
  </si>
  <si>
    <t>🏝San Diego Memes
Watch our stories for the latest news around SD.
Tag us in your story for reposts.
San Diego Merch👇</t>
  </si>
  <si>
    <t>http://shop.sandiegohumor.com/</t>
  </si>
  <si>
    <t>indianfood121</t>
  </si>
  <si>
    <t>Food and lifestyle creator.
Wait kis baat ka follow kar lo sab 😋 
Open for pr/collaboration
✉️- priyabansal1900@gmail.com
Location - uttarpradesh</t>
  </si>
  <si>
    <t>indian__food_hub</t>
  </si>
  <si>
    <t>Indian Food Hub | Safira 🍴🌍</t>
  </si>
  <si>
    <t>✨ Street Food | Travel Vibes
G.mail : safiranaik1@gmail.com
📍 Exploring India one bite at a time
🤝 Paid Promotion | Collabs DM
👇 Follow</t>
  </si>
  <si>
    <t>https://youtube.com/@pahadikokan?si=t-zLqJcZTzZ0rYYi</t>
  </si>
  <si>
    <t>indian__food__recipes</t>
  </si>
  <si>
    <t>Indian_Food_Recipes</t>
  </si>
  <si>
    <t>Simple cooking recipes💥
Follow us for more updates💥
Dm us for promotions/collab💥</t>
  </si>
  <si>
    <t>https://youtube.com/@healthy_lifestyle_202iv?si=ICZN78szhCASUbhw</t>
  </si>
  <si>
    <t>indian_tasty_food</t>
  </si>
  <si>
    <t>indian food</t>
  </si>
  <si>
    <t>Bhukkad log 😋
Follow 👉@indian_tasty_foods_
Stay hungry stay healthy 🤗
Famous Indian dishes 🥘
Collaborate with us🍟
Share your recipe 🍭</t>
  </si>
  <si>
    <t>https://www.youtube.com/@indian_tasty_food</t>
  </si>
  <si>
    <t>foroindierocks</t>
  </si>
  <si>
    <t>Foro Indie Rocks!</t>
  </si>
  <si>
    <t>Venue independiente en CDMX.
Dos escenarios: Sala (A) • Sala (B)  
Taquillas de lunes a domingo de 1 pm a 9 pm 🕘</t>
  </si>
  <si>
    <t>https://linktr.ee/foroindierocks</t>
  </si>
  <si>
    <t>indie505_</t>
  </si>
  <si>
    <t>Indie 505</t>
  </si>
  <si>
    <t>Contacto:  prensa_indie505@outlook.com.</t>
  </si>
  <si>
    <t>http://www.indie505.com.mx</t>
  </si>
  <si>
    <t>indiebeachpampelonne</t>
  </si>
  <si>
    <t>INDIE BEACH</t>
  </si>
  <si>
    <t>An energy by @indiegroup_fr ☀️</t>
  </si>
  <si>
    <t>https://www.indiegroup.fr/indiebeach</t>
  </si>
  <si>
    <t>indie.cafe</t>
  </si>
  <si>
    <t>Domingo a jueves de 8 a 01 am
Viernes y sábado de 8 a 02 am</t>
  </si>
  <si>
    <t>indieclubargentina</t>
  </si>
  <si>
    <t>Indie Club</t>
  </si>
  <si>
    <t>Tu dosis diaria de indie 📢</t>
  </si>
  <si>
    <t>http://www.indieclubargentina.com/</t>
  </si>
  <si>
    <t>indieclubcervia</t>
  </si>
  <si>
    <t>𝗜𝗻𝗱𝗶𝗲 𝗖𝗹𝘂𝗯 𝗖𝗲𝗿𝘃𝗶𝗮</t>
  </si>
  <si>
    <t>⬇️ Ticket &amp; prenotazioni</t>
  </si>
  <si>
    <t>https://linktr.ee/indieclubofficial</t>
  </si>
  <si>
    <t>indiefolks</t>
  </si>
  <si>
    <t>Indie Folks</t>
  </si>
  <si>
    <t>¡MUSIC WINS 2025! 👁️
🍄 Your Music &amp; Festival Production Family.
💽 Label (IF Records) | EST. 2010.
TICKET LINKS 👇🔗🌀</t>
  </si>
  <si>
    <t>https://linktr.ee/indie.folks</t>
  </si>
  <si>
    <t>indie_home</t>
  </si>
  <si>
    <t>Kimiko Willgress | lifestyle | home decor | family</t>
  </si>
  <si>
    <t>⋒ OLYMPIAN 🇨🇦 
⋒ MOM 👶🏻👧🏼👦🏻
⋒ TRAVEL
⋒ CREATOR
⋒ HOME DECOR
📍Halifax, NS
Kimiko Zakreski</t>
  </si>
  <si>
    <t>https://blog.allstate.ca/precious-cargo-car-pet-safety-on-the-road?utm_source=instagram&amp;utm_medium=social&amp;utm_campaign=preciouscargo&amp;utm_id=kimikowillgress</t>
  </si>
  <si>
    <t>indiehoy</t>
  </si>
  <si>
    <t>Indie Hoy</t>
  </si>
  <si>
    <t>Indie Hoy es un medio cultural, online desde 2008.
👉 En @comunidadindiehoy ofrecemos descuentos en #recitales, #sorteos exclusivos y más.</t>
  </si>
  <si>
    <t>https://lnk.bio/indiehoy</t>
  </si>
  <si>
    <t>indie_italy</t>
  </si>
  <si>
    <t>Indieitaly®</t>
  </si>
  <si>
    <t>Founded by @diodelmarketing 
Represented by @californiagency 
Non seguiamo le tendenze, le creiamo.</t>
  </si>
  <si>
    <t>https://linktr.ee/Indieitaly</t>
  </si>
  <si>
    <t>indiemagazine</t>
  </si>
  <si>
    <t>INDIE MAGAZINE</t>
  </si>
  <si>
    <t>http://linkin.bio/indiemagazine/</t>
  </si>
  <si>
    <t>indiemags</t>
  </si>
  <si>
    <t>INDIECON</t>
  </si>
  <si>
    <t>Independent Publishing Festival
Sep 5-7 2025 Hamburg, Oberhafen 
powered by @bruedercoop</t>
  </si>
  <si>
    <t>https://linktr.ee/indieconfestival</t>
  </si>
  <si>
    <t>indiemen_</t>
  </si>
  <si>
    <t>𝗜𝗡𝗗𝗜𝗘𝗠𝗘𝗡 • Il party Indie che ti cambierà la Domenica 🌎</t>
  </si>
  <si>
    <t>• Siamo il tuo party indie dal 2018 • 
Domenica 14 Settembre - SUMMER CLOSING
PRENOTA QUI ⬇️</t>
  </si>
  <si>
    <t>https://t.me/+Tx2erd2tAhY1ZjBk</t>
  </si>
  <si>
    <t>indierocksmagazine</t>
  </si>
  <si>
    <t>Indie Rocks!</t>
  </si>
  <si>
    <t>Medio independiente especializado en música increíble de todo el mundo. 
Escríbenos a editorial@indierocks.mx</t>
  </si>
  <si>
    <t>https://linktr.ee/indierocks</t>
  </si>
  <si>
    <t>_itsindiegold</t>
  </si>
  <si>
    <t>Indie</t>
  </si>
  <si>
    <t>https://beacons.ai/indiegold</t>
  </si>
  <si>
    <t>indiegamesart</t>
  </si>
  <si>
    <t>Art of Indie Games</t>
  </si>
  <si>
    <t>🎮 Sharing the best art directions, one game at a time! 
🇨🇵 Based in France
📩 indiegamesart.contact@gmail.com</t>
  </si>
  <si>
    <t>indiegamespotlights</t>
  </si>
  <si>
    <t>IndieGame Spotlights</t>
  </si>
  <si>
    <t>🕹️ Showcasing Indie Games for Free
🎮 Steam / Consoles 
✉️ DM: for Free game promotion</t>
  </si>
  <si>
    <t>https://www.youtube.com/@IndieGameSpotlights</t>
  </si>
  <si>
    <t>amazoninfluencerprogram</t>
  </si>
  <si>
    <t>Amazon Influencer Program</t>
  </si>
  <si>
    <t>✨ Your favorite influencer’s favorite influencer ✨
Tag @amazoninfluencerprogram for a chance to be featured!</t>
  </si>
  <si>
    <t>https://likeshop.me/amazoninfluencerprogram</t>
  </si>
  <si>
    <t>cubanbabiieats</t>
  </si>
  <si>
    <t>Lesly | Influencer/Foodie</t>
  </si>
  <si>
    <t>🌴 SoFLo
💻 Social media management
🎥 Content creation
💊 Pharmacy tech
🍩 Food • Travel • Lifestyle • Disney</t>
  </si>
  <si>
    <t>emilypellegrini</t>
  </si>
  <si>
    <t>Emily Pellegrini | AI Influencer</t>
  </si>
  <si>
    <t>• 23 y/o | L.A 🇺🇸📍 
• fun loving girlie✨
• Created by @professor.ep</t>
  </si>
  <si>
    <t>https://superlink.io/emilypellegrini</t>
  </si>
  <si>
    <t>emily.yoo_</t>
  </si>
  <si>
    <t>Emily Yoo | Influencer</t>
  </si>
  <si>
    <t>😍𝑬𝒎𝒊𝒍𝒚 = 𝒗𝒊𝒓𝒕𝒖𝒂𝒍 𝒄𝒓𝒆𝒂𝒕𝒊𝒐𝒏 𝒑𝒂𝒓𝒐𝒅𝒚
😍𝑺𝒐𝒄𝒊𝒂𝒍 𝒎𝒆𝒅𝒊𝒂 𝒊𝒏𝒇𝒍𝒖𝒆𝒏𝒄𝒆𝒓
📢𝑭𝒐𝒓 𝒂𝒅𝒗𝒆𝒓𝒕𝒊𝒔𝒆𝒎𝒆𝒏𝒕, 𝒑𝒓𝒐𝒎𝒐𝒕𝒊𝒐𝒏 𝒂𝒏𝒅 𝒄𝒐𝒍𝒍𝒂𝒃𝒐𝒓𝒂𝒕𝒊𝒐𝒏, 𝒑𝒍𝒆𝒂𝒔𝒆 𝒄𝒍𝒊𝒄𝒌👇</t>
  </si>
  <si>
    <t>http://emiliyo.disha.page/</t>
  </si>
  <si>
    <t>influencericono_</t>
  </si>
  <si>
    <t>INFLUENCER ICONO</t>
  </si>
  <si>
    <t>La Convención Latinoamericana
Quito, CDMX, Medellín 
➡️ Miami Nov 6, 2025 
POSTULATE ⤵️</t>
  </si>
  <si>
    <t>https://iconopay.co/</t>
  </si>
  <si>
    <t>influencermarketing.ar</t>
  </si>
  <si>
    <t>INFLUENCER MARKETING</t>
  </si>
  <si>
    <t>By Stephanie Demner &amp; Agus Casal
Todos nuestros cursos, programas y proyectos acá.</t>
  </si>
  <si>
    <t>https://influencermarketing.com.ar/</t>
  </si>
  <si>
    <t>loopingpark</t>
  </si>
  <si>
    <t>Empresa Influencer del año 🏆 Instafest X2 años consecutivos</t>
  </si>
  <si>
    <t>Dios tuya es la gloria
📍Armenia ¡Ya abrimos! Boletos en el parque o en el enlace👇🏻
Somos el parque móvil que trae atracciones nuevas y diferentes a 🇨🇴</t>
  </si>
  <si>
    <t>https://www.mundoboletos.com/event/show/LOOPINGPARKARMENIA</t>
  </si>
  <si>
    <t>theresesorenes</t>
  </si>
  <si>
    <t>Therese Sørenes 🤍 Influencer • ugc creator</t>
  </si>
  <si>
    <t>23y, first time girl mom trying to figure out life 🎀
💌 therese@sorenesmedia.no
Everydaylife on snap | Tiktok | Other 👇🏼</t>
  </si>
  <si>
    <t>https://linktr.ee/Theresesorenes</t>
  </si>
  <si>
    <t>babyroom.inspiration</t>
  </si>
  <si>
    <t>Baby Room Inspiration Gallery</t>
  </si>
  <si>
    <t>Disclaimer : All picts are cred to owners
📩 babyroominspiration.ofcl@gmail.com (Paid Promote Business Inquiry) Available for ww too! 🌏
📌 ID 🇮🇩</t>
  </si>
  <si>
    <t>http://instagram.com/babyroom.inspiration</t>
  </si>
  <si>
    <t>goal.cast</t>
  </si>
  <si>
    <t>Goalcast | Motivation | Inspiration</t>
  </si>
  <si>
    <t>🌎 | Inspiring the world through stories.
💪 | LIVE THE IMPOSSIBLE.
Connect with us ⤵</t>
  </si>
  <si>
    <t>https://beacons.ai/goalcast</t>
  </si>
  <si>
    <t>gyminspirationpage</t>
  </si>
  <si>
    <t>Gym Inspiration</t>
  </si>
  <si>
    <t>👻 Snapchat: Gymspire
👇 Black Friday | Up to 70% OFF Sportswear &amp; Nutrition</t>
  </si>
  <si>
    <t>http://womensbest.com/BlackFriday_Sale</t>
  </si>
  <si>
    <t>inspirationation00</t>
  </si>
  <si>
    <t>Motivation | Mindset | Mentality</t>
  </si>
  <si>
    <t>Your source of inspiration⚜️
Become part of the community.</t>
  </si>
  <si>
    <t>inspirationbyblanca</t>
  </si>
  <si>
    <t>Blanca Alonso</t>
  </si>
  <si>
    <t>👩🏻 Blanca Alonso
🛋 Home Decor Inspiration
🏠 Get Ideas for your Home
🤍FOLLOW👇🏻👇🏻
🗣 Collaborations and issues: DM</t>
  </si>
  <si>
    <t>http://linktr.ee/inspirationbyblanca</t>
  </si>
  <si>
    <t>inspiration.hz</t>
  </si>
  <si>
    <t>Inspiration.Hz | Inspire your Mind</t>
  </si>
  <si>
    <t>💡 Reprogram yourself | Master Your Mindset
✨ Law of Attraction &amp; Personal Growth
🔥 Be part of the movement! Tap here ⬇️</t>
  </si>
  <si>
    <t>https://innertune.com/inspiration.hz</t>
  </si>
  <si>
    <t>mindsetoftherich</t>
  </si>
  <si>
    <t>News, Motivation &amp; Inspiration</t>
  </si>
  <si>
    <t>Join the club and develop a Rich Mindset.
Stay prepared and protect yourself today👇🏻</t>
  </si>
  <si>
    <t>http://survival-hub.com</t>
  </si>
  <si>
    <t>sissyshome</t>
  </si>
  <si>
    <t>Seyda Taygur | Interior &amp; Home Inspiration</t>
  </si>
  <si>
    <t>🏠 Schöner wohnen | Interior 
✨ Putzroutinen mit Mehrwert
☁️ Main Account @sissyssecrets</t>
  </si>
  <si>
    <t>http://shopltk.com/explore/Sissyssecrets</t>
  </si>
  <si>
    <t>spiritualinspiration1</t>
  </si>
  <si>
    <t>Spiritual Inspiration</t>
  </si>
  <si>
    <t>Church</t>
  </si>
  <si>
    <t>Welcome to the official page of Spiritual Inspiration🔥
🙏A page filled with hope and inspiration🙏
Treat us to a cup of coffee🍮
$spiritualinspiration</t>
  </si>
  <si>
    <t>https://shorturl.at/mQ8HU</t>
  </si>
  <si>
    <t>stylemefresh</t>
  </si>
  <si>
    <t>Inspiration</t>
  </si>
  <si>
    <t>weddingdecorinspiration</t>
  </si>
  <si>
    <t>Wedding Decor Inspiration</t>
  </si>
  <si>
    <t>~
𝐂𝐞𝐥𝐞𝐛𝐫𝐚𝐭𝐢𝐧𝐠 𝐓𝐡𝐞 𝐀𝐫𝐭 𝐎𝐟 𝐄𝐯𝐞𝐧𝐭 𝐃𝐞𝐬𝐢𝐠𝐧
~
Endless inspiration for event designers, florists &amp; brides
~
#WeddingDecorInspiration</t>
  </si>
  <si>
    <t>pavan_realestate</t>
  </si>
  <si>
    <t>Pavan | Real Estate Investment &amp; Tips</t>
  </si>
  <si>
    <t>📍 Based in Pune | Affordable to Ultra-Luxury Homes
🔑 DM for inquiries or property tours</t>
  </si>
  <si>
    <t>share_bazar_tips</t>
  </si>
  <si>
    <t>Share Bazar Tips | Stocks • Trading • Investment • Money</t>
  </si>
  <si>
    <t>📊 शेयर बाजार का ज्ञान एकदम आसान 
🚀 सही तरीके से शेयर बाजार में इन्वेस्ट करने के लिए हमें फॉलो करें 👇🏼</t>
  </si>
  <si>
    <t>https://walink.online/r/STOX049</t>
  </si>
  <si>
    <t>destinazione_istanbul</t>
  </si>
  <si>
    <t>Federica Busana</t>
  </si>
  <si>
    <t>🧿 Un’italiana dalla Turchia all’Olanda
💌 destinazioneistanbul@gmail.com</t>
  </si>
  <si>
    <t>https://linktr.ee/destinazioneistanbul</t>
  </si>
  <si>
    <t>emreciftcio</t>
  </si>
  <si>
    <t>Istanbul hairdresser EMRE Çiftçi</t>
  </si>
  <si>
    <t>🇹🇷ISTANBUL🇹🇷 
Founder of @themoonlyhairpalace📍
We have private room for hijab 
👇🏻 hair analysis 🌸
Book emreciftcio :+90 544 528 38 46</t>
  </si>
  <si>
    <t>http://wa.me/905445283846</t>
  </si>
  <si>
    <t>go__istanbul</t>
  </si>
  <si>
    <t>Go İstanbul</t>
  </si>
  <si>
    <t>Official Instagram account of İstanbul ©️
To connect the continents, to touch the culture of the world ✨#goistanbul</t>
  </si>
  <si>
    <t>https://istanbul.goturkiye.com/homepage</t>
  </si>
  <si>
    <t>hairofistanbul</t>
  </si>
  <si>
    <t>Hair of İstanbul</t>
  </si>
  <si>
    <t>Hair Replacement Service</t>
  </si>
  <si>
    <t>Hair Transplant | Hair of istanbul
𝐖𝐇𝐀𝐓𝐒𝐀𝐏𝐏
🇺🇸🇬🇧🇩🇪+90(530)4524414
🇦🇪🇶🇦🇸🇦+971(50)8484247 
🇮🇹🇪🇸🇧🇷+90(530)4085200
🇫🇷+90(554)4425430
🇹🇷+90(530)6622110</t>
  </si>
  <si>
    <t>https://www.hairofistanbul.com</t>
  </si>
  <si>
    <t>hammasiga_istanbul_aybdor</t>
  </si>
  <si>
    <t>Toliq serial qoyib boriladi</t>
  </si>
  <si>
    <t>https://www.youtube.com/@Hammasiga_Istanbul_aybdorr</t>
  </si>
  <si>
    <t>#istanbul - i̇stanbul</t>
  </si>
  <si>
    <t>Join us in exploring the enchanting world of Istanbul🇹🇷
DM for collaboration ✨</t>
  </si>
  <si>
    <t>istanbul.belle</t>
  </si>
  <si>
    <t>hassan salmani</t>
  </si>
  <si>
    <t>Real Estate Investment Firm</t>
  </si>
  <si>
    <t>زندگی در ترکیه به سبک کاپیتان 🇹🇷 🌎 🇮🇷 👨‍✈️
مشاور خرید ملک و سرمایه گذاری در ترکیه 
کشف جاهای دیدنی و اخبار روز  ترکیه</t>
  </si>
  <si>
    <t>https://linktr.ee/istanbul.belle</t>
  </si>
  <si>
    <t>istanbul_bride_jo</t>
  </si>
  <si>
    <t>Istanbul Bride</t>
  </si>
  <si>
    <t>معرضنا لفساتين الزفاف والسواريه (بيع ، ايجار ، تفصيل خاص )  
اربد-بجانب صالة حياة اربد-مجمع جوهرة اربد-الطابق الثالث-مكتب ٣٠
للاستفسار : 0795006584</t>
  </si>
  <si>
    <t>https://www.facebook.com/Istanbulbridejo/</t>
  </si>
  <si>
    <t>istanbul.etkinlik</t>
  </si>
  <si>
    <t>İstanbul’u Keşfet</t>
  </si>
  <si>
    <t>🌟 İstanbul’un hiç bilmediğin yerlerini ve onların hikayelerini bizimle keşfet!
📬 berk@haagency.co</t>
  </si>
  <si>
    <t>https://www.bubilet.com.tr/istanbul</t>
  </si>
  <si>
    <t>istanbul.ev1</t>
  </si>
  <si>
    <t>istanbul.home</t>
  </si>
  <si>
    <t>اجاره هتل آپارتمان در استانبول
🏪هتل،رزیدانس،هتل آپارتمان
💥👈کلیه فایلها مستقیم از مالک ، کمترین قیمت 
❤️ کلیه تورهای داخلی استانبول با نازلترین قیمت</t>
  </si>
  <si>
    <t>nidua_istanbul</t>
  </si>
  <si>
    <t>Merkez İstanbul</t>
  </si>
  <si>
    <t>🌐 Online Order  
🌏 طلب الشراء عبر الإنترنت
Europa WhatsApp +90 543 108 9110
Türkiye WhatsApp +90 541 217 5150
💎NİDUA GELİNLİK  GENEL MERKEZİ💎</t>
  </si>
  <si>
    <t>http://nidua.com.tr/</t>
  </si>
  <si>
    <t>serefvural_istanbul</t>
  </si>
  <si>
    <t>ŞerefVural_istanbul</t>
  </si>
  <si>
    <t>Tasarım,imalat ve toptan satış firması
Design, manufacturing and wholesale company   
📞+90 (531) 583 58 56 
PERAKENDE SATIŞ YOK! WHOLE SALE ONLY!</t>
  </si>
  <si>
    <t>viki_in_istanbul</t>
  </si>
  <si>
    <t>Viktoriia Ülker / ГИД В СТАМБУЛЕ 🇹🇷 ЭКСКУРСИИ 🇹🇷 АРЕНДА ЯХТЫ</t>
  </si>
  <si>
    <t>⛴ Ночной Босфор • Яхты • Трансферы
🕌 Авторские экскурсии по Стамбулу
✨ Со мной легко и интересно
📍 Лицензия TURSAB A1961 | Everest tour
Запись 👇🏻</t>
  </si>
  <si>
    <t>https://taplink.cc/gidvstambule</t>
  </si>
  <si>
    <t>ahungryitalian</t>
  </si>
  <si>
    <t>Italian Food</t>
  </si>
  <si>
    <t>In collaboration with @Italy ✨
Join us in celebrating Italian cuisine … 🍝🍕🍷🍨
📌 Tag @ahungryitalian to be featured</t>
  </si>
  <si>
    <t>italian_food</t>
  </si>
  <si>
    <t>Best Food by Marco Conforti</t>
  </si>
  <si>
    <t>Richiedi la nostra visita in Hotel e Ristoranti🇮🇹
Follow us also on @italian_places @hotel_places
Founder: @markoconforti</t>
  </si>
  <si>
    <t>http://www.italianplaces.it/</t>
  </si>
  <si>
    <t>italianfooddaily</t>
  </si>
  <si>
    <t>Italian Food Daily</t>
  </si>
  <si>
    <t>Here to bless your feed with delicious Italian food 😋
🇮🇹 Powered by @hardcoreitalians 
🍝 Daily Clips, Recipes, &amp; Recommendations
⬇️ Recipes</t>
  </si>
  <si>
    <t>https://hardcoreitalians.blog/category/culture/food-wine/</t>
  </si>
  <si>
    <t>italianfoodtherapy</t>
  </si>
  <si>
    <t>Manuela Donatone I italian food &amp; food styling in Texas</t>
  </si>
  <si>
    <t>• moved from Italy to Texas
• home cook by passion, food stylist by profession 
• follow for authentic Italian cooking &amp; culture!</t>
  </si>
  <si>
    <t>https://www.italianfoodtherapy.com/</t>
  </si>
  <si>
    <t>vincenzosplate</t>
  </si>
  <si>
    <t>ITALIAN FOOD RECIPES 🇮🇹🍝🎥</t>
  </si>
  <si>
    <t>🇮🇹 Food Ambassador Living in 🇦🇺😍
📺YouTube 1.5m Subs
❤FaceBook 2.7m followers
✈ FoodTours Italy
🍝500+#Italianrecipes
Enter my Foodie World⤵️</t>
  </si>
  <si>
    <t>https://linktr.ee/vincenzosplate</t>
  </si>
  <si>
    <t>japanese.foods_</t>
  </si>
  <si>
    <t>JAPANESE FOOD</t>
  </si>
  <si>
    <t>\\日本のグルメの魅力を世界との"架け箸"に//
🍣Bringing Japanese Gourmet Food to the World🍜
・TikTokフォロワー102万人💡
・YouTube フォロワー2.4万人💡
・小紅書 フォロワー4.6万人💡
⁡
📧お仕事のご依頼はDMへお願いします</t>
  </si>
  <si>
    <t>http://www.tiktok.com/@japanesefoods_</t>
  </si>
  <si>
    <t>osaka_japanesefood</t>
  </si>
  <si>
    <t>大阪ごはん【大阪グルメ・難波グルメ】</t>
  </si>
  <si>
    <t>🐙大阪の魅力を世界へ🌏
📸気まぐれで旅先グルメも🇯🇵
🌈皆さんのタメになる情報発信頑張ります😊
📩撮影依頼はDMお願いします🤲</t>
  </si>
  <si>
    <t>https://www.tiktok.com/@osaka_japanesefood?_t=ZS-8wOoZicXtEw&amp;_r=1</t>
  </si>
  <si>
    <t>shumiyajp</t>
  </si>
  <si>
    <t>Japanese Food🍣</t>
  </si>
  <si>
    <t>Bringing you the specialities of Japan🇯🇵
Daily Japanese Travel Videos</t>
  </si>
  <si>
    <t>coding.stella</t>
  </si>
  <si>
    <t>Stella • Coding • HTML • CSS • JAVASCRIPT</t>
  </si>
  <si>
    <t>🤯 Coding can be stressful
😇 I'm here to relieve your stress
📧 codingstella@gmail.com
👇 Join Our Secret Group</t>
  </si>
  <si>
    <t>https://beacons.ai/codingstella</t>
  </si>
  <si>
    <t>javascript.js</t>
  </si>
  <si>
    <t>JavaScript</t>
  </si>
  <si>
    <t>📥 DM for promo || removal in case of missed credits,
❌ Do not give us !credits for memes/content,
ℹ️ Javascript for Beginners: Getting started 👇</t>
  </si>
  <si>
    <t>javascriptmastery</t>
  </si>
  <si>
    <t>JavaScript Mastery</t>
  </si>
  <si>
    <t>💻 Web Development &amp; Coding 
🎥 YouTube - JavaScript Mastery
✉️ Business Inquiries - Email or DM
👇 JS Mastery Pro, new video and more</t>
  </si>
  <si>
    <t>https://www.jsmastery.pro/hub</t>
  </si>
  <si>
    <t>javascript.tips</t>
  </si>
  <si>
    <t>Javascript Tips And Tricks</t>
  </si>
  <si>
    <t>Software</t>
  </si>
  <si>
    <t>Bite-sized tutorials👨‍💻, insightful books📚, &amp; a dash of humor with coding memes😂 
Celebrating 100K+ code warriors🏆
#javascript #coding</t>
  </si>
  <si>
    <t>https://discord.gg/dkv2z678</t>
  </si>
  <si>
    <t>antarajj</t>
  </si>
  <si>
    <t>Antara Jiu Jitsu Academy Dubai</t>
  </si>
  <si>
    <t>Martial Arts School</t>
  </si>
  <si>
    <t>Empowering individuals through Jiu Jitsu with Confidence, Discipline, and Excellence.
👨‍👩‍👧 For all ages &amp; family members
👩‍🦰 🧕🏽Ladies-only classes</t>
  </si>
  <si>
    <t>http://www.antarajj.com</t>
  </si>
  <si>
    <t>artofjiujitsu</t>
  </si>
  <si>
    <t>ART OF JIU JITSU</t>
  </si>
  <si>
    <t>Creating a positive impact in the world through the Art of Jiu Jitsu</t>
  </si>
  <si>
    <t>https://artofjiujitsu.com</t>
  </si>
  <si>
    <t>gordonlovesjiujitsu</t>
  </si>
  <si>
    <t>Gordon Ryan 👑</t>
  </si>
  <si>
    <t>Austin📍🇺🇲
GOAT of No Gi BJJ🐐👑🐐👑 
Technique breakdowns 👉🏻@gordonlovesjiujitsu_
Owner of @kingsway_hq
Worlds best Jiu Jitsu instructionals⬇️</t>
  </si>
  <si>
    <t>https://linktr.ee/Gordonlovesjiujitsu</t>
  </si>
  <si>
    <t>jiujitsucon</t>
  </si>
  <si>
    <t>Jiu-Jitsu Con</t>
  </si>
  <si>
    <t>Jiu-Jitsu Con 2025
August 28-30
Las Vegas, NV</t>
  </si>
  <si>
    <t>http://www.jiujitsucon.com/</t>
  </si>
  <si>
    <t>jiujitsufive_o</t>
  </si>
  <si>
    <t>JIU JITSU FIVE-O</t>
  </si>
  <si>
    <t>Jiu Jitsu for life. On-demand training, instructor certification &amp; community for those who live it. Explore training, courses &amp; gear here 👇</t>
  </si>
  <si>
    <t>http://linktr.ee/jiujitsufive_o</t>
  </si>
  <si>
    <t>jiu_jitsu_girls_</t>
  </si>
  <si>
    <t>jiujitsugirls🥋🚺®️</t>
  </si>
  <si>
    <t>❗️:𝖩𝖨𝖴-𝖩𝖨𝖳𝖲𝖴 𝖭𝖤𝖶𝖲 🗞
📸: 𝖣𝖺𝗂𝗅𝗒 𝗉𝗂𝖼𝗌 , 𝗏𝗂𝖽𝖾𝗈𝗌 📽
𝖶𝖾𝗅𝖼𝗈𝗆𝖾 𝖳𝗈𝗈 𝗃𝗂𝗎-𝗃𝗂𝗍𝗌𝗎 𝗁𝗈𝗆𝖾 🏡
Follow us 🍻</t>
  </si>
  <si>
    <t>jiu_jitsu_lifestyle</t>
  </si>
  <si>
    <t>Jiu-Jitsu Lifestyle ®</t>
  </si>
  <si>
    <t>Para os amantes da Arte Suave
🥋 Notícias/Lutas/Posições
🔔 Ative as notificações
📢 DIVULGAÇÃO LINK ABAIXO 👇
👀 Acompanhe nossos stories</t>
  </si>
  <si>
    <t>https://keepo.io/jiujitsulifestyle</t>
  </si>
  <si>
    <t>jiu_jitsu_page_</t>
  </si>
  <si>
    <t>Jiu Jitsu</t>
  </si>
  <si>
    <t>️🥋Daily life with Jiu Jitsu️🥋
📚Share your story 💫Daily uploads 💫
️🥋Keep supporting we love it❤️
〰️〰️〰️〰️〰️〰️
🎁 Visit our WEB-STORE 👇</t>
  </si>
  <si>
    <t>https://mantostore.com/jiujitsu?pr=SALEOFF</t>
  </si>
  <si>
    <t>jiu_jitsu_reels</t>
  </si>
  <si>
    <t>jiu_jitsuwomen</t>
  </si>
  <si>
    <t>I am a male who promote jiu jitsu girls, I am trying to post daily.
Dms are welcome.</t>
  </si>
  <si>
    <t>koraijiujitsu</t>
  </si>
  <si>
    <t>KŌRAI JIU JITSU</t>
  </si>
  <si>
    <t>THE ART OF CONTROL
#TeamRenzoGracie
Head instructor @stormdeanconrad
Beginners/Advanced: Kids 5+ | Teens |Adults 
DM us ‘TRIAL’ for a free BJJ class!</t>
  </si>
  <si>
    <t>https://graciebarra.co.za/</t>
  </si>
  <si>
    <t>ambitiouslyalexa</t>
  </si>
  <si>
    <t>alexa | self care • journaling • lifestyle</t>
  </si>
  <si>
    <t>🕊️ balance your ambitions + healing
💌 partnerships: alexa@ambitiouslyalexa.com
↓ free journaling workshop! save your seat!</t>
  </si>
  <si>
    <t>https://linktr.ee/ambitiouslyalexa</t>
  </si>
  <si>
    <t>happycreativity_</t>
  </si>
  <si>
    <t>Jeanne Poittevin | art therapie, journaling &amp; créativité</t>
  </si>
  <si>
    <t>🌈 Art-thérapeute certifiée
📍 Reims - Paris I Ateliers créatifs
🤝 Collaborations : culture, art &amp; bien-être
💌 Des projets ? contact@jeanne-poittevin.fr</t>
  </si>
  <si>
    <t>https://sy.jeanne-poittevin.fr/ebook-summer-25</t>
  </si>
  <si>
    <t>irene.martinho</t>
  </si>
  <si>
    <t>Irene | Journaling + Mindful Self Growth</t>
  </si>
  <si>
    <t>digital journal of a mindful go-getter
~ soft discipline, growth, journaling (15+yrs)
⟡ @wavesofthoughts.co | ⚲ lis+zgb
↓ join our next event on sep13</t>
  </si>
  <si>
    <t>https://www.wavesofthoughts.com/link-in-bio</t>
  </si>
  <si>
    <t>journalingdani</t>
  </si>
  <si>
    <t>Daniela 📒 (journalingdan)</t>
  </si>
  <si>
    <t>JournalingDan on TikTok (84k)
I like #stationery and I #journal 
📍 NYC</t>
  </si>
  <si>
    <t>https://www.tiktok.com/@journalingdan</t>
  </si>
  <si>
    <t>journaling_faith_</t>
  </si>
  <si>
    <t>Sharing daily truth + hope in Jesus 🌿
Follow and save what speaks to you 💬</t>
  </si>
  <si>
    <t>https://www.amazon.com/shop/influencer-be8febb0?ref_=cm_sw_r_mwn_aipsfshop_WTF5MKF03F23HVE45HFV&amp;language=en-US</t>
  </si>
  <si>
    <t>journalinghome</t>
  </si>
  <si>
    <t>Anna • journalinghome</t>
  </si>
  <si>
    <t>planners &amp; things that matter to me ♡
passport travelers notebook ♡
↓ journal prompts / kits since 2021 ♡</t>
  </si>
  <si>
    <t>https://linktr.ee/journalinghome</t>
  </si>
  <si>
    <t>journaling__tips</t>
  </si>
  <si>
    <t>ژورنال نویسی | توسعه فردی، فاطمه ملک پور</t>
  </si>
  <si>
    <t>توسعه فردی| مرجع تخصصی ژورنالینگ زندگی و‌کسب و کار
اگه میخوای از صفر با ۴۰ قسمت آموزش رایگان قدم به قدم شروع کنی کلمه "ژورنال" دایرکت کن</t>
  </si>
  <si>
    <t>https://t.me/living_by_design</t>
  </si>
  <si>
    <t>kaylees.bible.journaling</t>
  </si>
  <si>
    <t>kaylee | bible journaling</t>
  </si>
  <si>
    <t>▫️HE &gt; i 
▫️God loves you !!
▫️make heaven crowded :)
💌 kayleesbiblejournaling@gmail.com</t>
  </si>
  <si>
    <t>https://linktr.ee/kayleesbiblejournaling</t>
  </si>
  <si>
    <t>natashainyourphone</t>
  </si>
  <si>
    <t>natasha | books &amp; journaling</t>
  </si>
  <si>
    <t>hey 👋🏻 welcome to the wild side 🦋 
• creative &amp; playful journaling
• sparking curiosity 
• animal &amp; bug adventures 🐞</t>
  </si>
  <si>
    <t>https://linktr.ee/natashainyourphone</t>
  </si>
  <si>
    <t>paperwrldshop</t>
  </si>
  <si>
    <t>PAPERWRLD | Journaling &amp; Scrapbooking</t>
  </si>
  <si>
    <t>💫 Supplying creativity to journalers &amp; scrapbookers
🎨 Join 500k+ creative souls worldwide
🎁 Shop now &amp; grab your freebie!</t>
  </si>
  <si>
    <t>http://paperwrld.com/shopnow</t>
  </si>
  <si>
    <t>peekmybook</t>
  </si>
  <si>
    <t>Peekmybook | Mindful Journaling and Self-care</t>
  </si>
  <si>
    <t>Empowering mental health, creativity, self-love, and mindful growth through drawing &amp; journaling 💖</t>
  </si>
  <si>
    <t>https://linktr.ee/peekmybook</t>
  </si>
  <si>
    <t>jpopmanga</t>
  </si>
  <si>
    <t>J-POP Manga</t>
  </si>
  <si>
    <t>Siamo tra i migliori editori di manga in Italia, ma non solo. Siamo una grande community! #WeAreManga 
News e uscite qui👇🏻</t>
  </si>
  <si>
    <t>https://linkin.bio/jpopmanga</t>
  </si>
  <si>
    <t>karatecombat</t>
  </si>
  <si>
    <t>Karate Combat 🥋</t>
  </si>
  <si>
    <t>#KCMiami | Fri 7/18 + Sat 7/19 | Live and free on YouTube</t>
  </si>
  <si>
    <t>https://www.universe.com/events/kc-55-56-miami-2-day-event-tickets-H6XDKS?ref=Insta</t>
  </si>
  <si>
    <t>karate_hoseinabadi</t>
  </si>
  <si>
    <t>•سنسی فروغ حسین آبادی•</t>
  </si>
  <si>
    <t>آکادمی تخصصی کاراته■
مربی و داور درجه یک فدراسیون کاراته▪︎
قهرمان آسیا▪︎دان ۶ کاراته▪︎
📍𝑇𝑒ℎ𝑟𝑎𝑛-𝑁𝑎𝑧𝑖𝑎𝑏𝑎𝑑</t>
  </si>
  <si>
    <t>karatehottiemma</t>
  </si>
  <si>
    <t>Michelle Waterson GOMEZ!</t>
  </si>
  <si>
    <t>💥 UFC Vet | 2x Black Belt
💪 Professional Badass 
Biz Owner
🥋 @smartjits_ 
🍜 Thai Street
🌮 @takotenrestaurant 
🏡 @sagehavenproperties</t>
  </si>
  <si>
    <t>https://kick.site/zdy1mfdv</t>
  </si>
  <si>
    <t>karate__ins</t>
  </si>
  <si>
    <t>Karate</t>
  </si>
  <si>
    <t>️🥋Karate love️🥋
📚Discover many new things about Karate📚
🔥Update pictures/videos daily📸
💌Follow us if you like️️️🥋
👇Click to Shop T-Shirts👇</t>
  </si>
  <si>
    <t>https://mantostore.com/karate?pr=SALEOFF</t>
  </si>
  <si>
    <t>karate.jewels</t>
  </si>
  <si>
    <t>Jewelianna Ramos</t>
  </si>
  <si>
    <t>💫🎥 SAG-AFTRA Stunt Actress
💮🥋World Champion Martial Artist
•Cobra Kai •Black Panther •Beetlejuice •Mortal Kombat •Bad Boys •Ms.Marvel •Jackpot! &amp; More</t>
  </si>
  <si>
    <t>https://www.imdb.com/name/nm13371872/?ref_=ext_shr_lnk</t>
  </si>
  <si>
    <t>karatekidmovie</t>
  </si>
  <si>
    <t>Karate Kid: Legends</t>
  </si>
  <si>
    <t>Karate Kid: Legends is now available on 4K UHD, Blu-ray &amp; Digital 🥋 #KarateKidMovie</t>
  </si>
  <si>
    <t>https://bit.ly/WatchKarateKidLegends</t>
  </si>
  <si>
    <t>karate_thug</t>
  </si>
  <si>
    <t>김승연</t>
  </si>
  <si>
    <t>종합격투기 레슨 신청-프로필 링크
Kyokushin karate Champion
Crying fist season4 Champion
Rokmc force recon 70th
Road fc-4W(4KO)2L(2KO)
@deep.makai</t>
  </si>
  <si>
    <t>https://forms.gle/mxXsP9aGMrQt4jTXA</t>
  </si>
  <si>
    <t>karate_world__</t>
  </si>
  <si>
    <t>TRADITIONAL KARATE ❤️🥋
- FOR SPONSOR CONTACT IN DM 
- Youtube channel Karate WORLD
- Link 👇👇</t>
  </si>
  <si>
    <t>https://youtube.com/channel/UCz_i6ecsCYD7bCCJbtziTMQ</t>
  </si>
  <si>
    <t>thekarateshrimp</t>
  </si>
  <si>
    <t>The Karate Shrimp</t>
  </si>
  <si>
    <t>Sabrina Bliem 🇨🇦👋
Helping you perform your best in life &amp; martial arts</t>
  </si>
  <si>
    <t>https://youtube.com/@TheKarateShrimp</t>
  </si>
  <si>
    <t>keto_adapted</t>
  </si>
  <si>
    <t>Keto Adapted</t>
  </si>
  <si>
    <t>🥩 keto lifestyle 🥓 high fat low carb 🍳 TAG US with your keto kreations for a repost! 🙌</t>
  </si>
  <si>
    <t>keto_bhaii</t>
  </si>
  <si>
    <t>Mashrur Enan</t>
  </si>
  <si>
    <t>A Bong Entertainer 🇧🇩 
Managed by: @agentnextdoorbd</t>
  </si>
  <si>
    <t>https://momentswithmaa.com/</t>
  </si>
  <si>
    <t>keto.diet.recipe_</t>
  </si>
  <si>
    <t>Keto Diet Recipes</t>
  </si>
  <si>
    <t>KETO | LOWCARB 
Join our 28-day Keto Challenge with 370 easy-to-cook #Ketogenic recipes.
CHECK IT NOW👇👇👇</t>
  </si>
  <si>
    <t>https://lnk.bio/keto.diet.recipe</t>
  </si>
  <si>
    <t>keto_dr_chauchard</t>
  </si>
  <si>
    <t>Claude Chauchard</t>
  </si>
  <si>
    <t>Vivre 100 ans énergétique heureux 
Ensemble transformons votre corps plus mince /plus jeune 
📞 01.45.04.68.92
📅 Doctolib
Commandez votre e-book ⬇️</t>
  </si>
  <si>
    <t>https://linktr.ee/claudechauchard</t>
  </si>
  <si>
    <t>ketofitjanet</t>
  </si>
  <si>
    <t>Janet Osborne</t>
  </si>
  <si>
    <t>Personal Trainer Nutritionist
I’m on a mission to help midlife &amp; senior women be mobile, strong &amp; confident💪
All level strength classes via my website</t>
  </si>
  <si>
    <t>https://janetosbornefitness.com/</t>
  </si>
  <si>
    <t>ketogrid</t>
  </si>
  <si>
    <t>KETO GRID</t>
  </si>
  <si>
    <t>- Keto &amp; Low Carb Recipes 🍽
- Keto seasonings👉🏼 @flavorgod</t>
  </si>
  <si>
    <t>http://linktr.ee/ketogrid</t>
  </si>
  <si>
    <t>keto_iraq_</t>
  </si>
  <si>
    <t>Costume Shop</t>
  </si>
  <si>
    <t>شركه كيتو الامريكيه</t>
  </si>
  <si>
    <t>ketomadesimple</t>
  </si>
  <si>
    <t>Julie Rose | Keto Made Simple</t>
  </si>
  <si>
    <t>👑 Your Keto BFF since 2017
🥑 Easy keto recipes
🛍️ Amazon obsessed
🍽️ Weekly Keto Meal Plans</t>
  </si>
  <si>
    <t>https://www.withme.so/ketomadesimple</t>
  </si>
  <si>
    <t>ketomealrecipe</t>
  </si>
  <si>
    <t>Keto Meal Recipe 🥑🥥</t>
  </si>
  <si>
    <t>Keto Collection
🥗 FREE KETO RECIPES in the link bio⬇️
👌5000+ user benefit of my recipes</t>
  </si>
  <si>
    <t>http://linktr.ee/ketonationrecipe</t>
  </si>
  <si>
    <t>keto.recipes_</t>
  </si>
  <si>
    <t>Keto Recipes</t>
  </si>
  <si>
    <t>❤️ Complete Guide To Start With Keto
👇(Click link below) ⤵️</t>
  </si>
  <si>
    <t>https://lnk.bio/keto.recipe_</t>
  </si>
  <si>
    <t>keto_s_ermenkova</t>
  </si>
  <si>
    <t>𝐃𝐚𝐧𝐢𝐞𝐥𝐚 𝐄𝐫𝐦𝐞𝐧𝐤𝐨𝐯𝐚</t>
  </si>
  <si>
    <t>Сертифициран нутриционист 🪪 
13 международни дипломи по хранене 🇬🇧🇺🇸🇦🇪
📲 ЗАПОЧНИ РЕЖИМ ТУК ⬇️</t>
  </si>
  <si>
    <t>https://keto-s-ermenkova.com/rejimi/</t>
  </si>
  <si>
    <t>ketosnackz</t>
  </si>
  <si>
    <t>iRick Wiggins</t>
  </si>
  <si>
    <t>* Simple &amp; delicious recipes 😋
* Lost 80 lbs with Low Carb 💪
* Email: Irick@ViralNationTalent.com
* Get my book “Care Free Keto” here ⬇️</t>
  </si>
  <si>
    <t>https://linktr.ee/Ketosnackz</t>
  </si>
  <si>
    <t>keto_vivian</t>
  </si>
  <si>
    <t>비비안 건강밥상_슬림탄탄8년유지어터</t>
  </si>
  <si>
    <t>🎓CHA의대 통합의학 석사
📕Naturopathy_YOGA TTC
🔗Fitness | Healthy Food #비비안감량식
📧광고 및 협업 e-mail or DM</t>
  </si>
  <si>
    <t>https://litt.ly/vivian</t>
  </si>
  <si>
    <t>lowcarb_alice</t>
  </si>
  <si>
    <t>Keto l Lowcarb</t>
  </si>
  <si>
    <t>The Ultimate Custom #Keto Meal Plan to make Delicious and easy #Ketogenic recipes for achieving your Body Goals! 🥑🧀🥚🥓🥗
Fill the Quiz👇🏽</t>
  </si>
  <si>
    <t>https://many.link/lowcarb_alice</t>
  </si>
  <si>
    <t>eattherainbow_kids</t>
  </si>
  <si>
    <t>Kelly Pfeiffer | easy colorful kid-friendly food</t>
  </si>
  <si>
    <t>🌈 Feeding kids the rainbow… one color at a time.
🍱 Lunchboxes, snacks &amp; more with lots of fruits &amp; veggies. 🍉🍓🍊🍑🍌🍋🥒🥦🫐🍇
💌: kelly@eattherainbowkids.com</t>
  </si>
  <si>
    <t>https://eattherainbowkids.com/</t>
  </si>
  <si>
    <t>kidfriendlymaryland</t>
  </si>
  <si>
    <t>Sara Reimers</t>
  </si>
  <si>
    <t>Maryland Mom exploring MD, East Coast, Disney, National Parks and more!
.
Tag #kidfriendlymaryland or #kidfriendlytravels to be featured!!</t>
  </si>
  <si>
    <t>https://smart.bio/kidfriendlymaryland</t>
  </si>
  <si>
    <t>kidfriendly.meals</t>
  </si>
  <si>
    <t>Min Kwon • Baby and Toddler Recipes</t>
  </si>
  <si>
    <t>🙋🏻‍♀️🇰🇷Pediatric Dietitian mom
✨Helping busy parents raise JOYous eaters with EASY, healthy meals 
⬇️ BLW, Toddler Recipes &amp; meal plan</t>
  </si>
  <si>
    <t>https://kidfriendlymeals.com/</t>
  </si>
  <si>
    <t>kid.friendly.pdx</t>
  </si>
  <si>
    <t>Katrina | Kid-Friendly Portland recs + more</t>
  </si>
  <si>
    <t>👦👧 Toddler/kindergarten mom 
🌲 PNW adventures/recs 
💖 Local business supporter
📖 Author ‘111 Places PDX’
💚 PDX native
💌 Email/DM for partnership opps</t>
  </si>
  <si>
    <t>https://linktr.ee/kidfriendlypdx</t>
  </si>
  <si>
    <t>kidfriendlyphilly</t>
  </si>
  <si>
    <t>Brittany Delgado | Family Adventures</t>
  </si>
  <si>
    <t>Family Fun &amp; Travel | Philly 🥨
2025 Parenting Influencer of the Year @phillymag 🏆
Seen on FOX29 + PHL17 📺 
brittanydelgado@socialmediacollabs.com</t>
  </si>
  <si>
    <t>https://linktr.ee/kidfriendlyphilly</t>
  </si>
  <si>
    <t>kidfriendlystays</t>
  </si>
  <si>
    <t>Jess Pawl | Kid-Friendly Stays 🗺️ Family Travel + Lodging Inspo</t>
  </si>
  <si>
    <t>✨ Hidden-gem hotels/rentals that kids AND moms love
🧳 Left corporate to travel with the kids
✉️ hey@kidfriendlystays.com
👇🏼 Website and newsletter</t>
  </si>
  <si>
    <t>http://www.kidfriendlystays.com</t>
  </si>
  <si>
    <t>momscoveries</t>
  </si>
  <si>
    <t>Kid-friendly places to PLAY / STAY / EAT in the Bay Area!</t>
  </si>
  <si>
    <t>Adventuring mom sharing fun family-friendly things in the Bay Area and beyond, while supporting local businesses!      momscoveries@gmail.com</t>
  </si>
  <si>
    <t>https://feld.ly/9nql7v</t>
  </si>
  <si>
    <t>my_kids_lick_the_bowl</t>
  </si>
  <si>
    <t>KID FRIENDLY RECIPES - Stacey</t>
  </si>
  <si>
    <t>I help parents feed their kids real life food and laugh
🥑 RECIPES
👩🏻‍🎓Qualified Nutrition Writer
🇳🇿 NZ Based
💕 Also @my_fuller_bowl protein focused</t>
  </si>
  <si>
    <t>http://linktr.ee/my_kids_lick_the_bowl</t>
  </si>
  <si>
    <t>keep.kids.busy</t>
  </si>
  <si>
    <t>Best Kids Activities</t>
  </si>
  <si>
    <t>Parents, Caretakers and Educators #kidsactivities from around the world 🌍 
DM for promotions 💫
keepkidsbusy20@gmail.com</t>
  </si>
  <si>
    <t>https://amzn.to/45p4ln8</t>
  </si>
  <si>
    <t>kids_activities_56</t>
  </si>
  <si>
    <t>Alaa Medhat | kids Activities</t>
  </si>
  <si>
    <t>أهتم بنقل كل ما هو مفيد لاطفالنا ينمي عقولهم و اذهانهم</t>
  </si>
  <si>
    <t>https://www.facebook.com/kids.activities.123053?mibextid=LQQJ4d</t>
  </si>
  <si>
    <t>kidsactivitiesblog</t>
  </si>
  <si>
    <t>Holly Homer</t>
  </si>
  <si>
    <t>Fun things to do with kids and resources for parents. 
Follow #kidsactivitiesblog</t>
  </si>
  <si>
    <t>https://kidsactivitiesblog.com</t>
  </si>
  <si>
    <t>kids_activities_dz</t>
  </si>
  <si>
    <t>hassan_lina_tv</t>
  </si>
  <si>
    <t>Preschool</t>
  </si>
  <si>
    <t>عالم الأطفال 
أنقل لكم كل ما هو مفيد و يساعدك في تربية و تنمية مهارات طفلك
أم ل حسن، لينا، أيوب 
♓🇩🇿📍 Béjaïa</t>
  </si>
  <si>
    <t>https://t.me/sissoulina</t>
  </si>
  <si>
    <t>heather.happykidskitchen</t>
  </si>
  <si>
    <t>👩‍🍳Heather: Recipes + Cooking with Kids</t>
  </si>
  <si>
    <t>Helping you raise JOYful eaters!
And have more FUN in the kitchen.
Mama. Cookbook author X2
📚Kid Kitchen and links👇</t>
  </si>
  <si>
    <t>https://linktr.ee/heather.happykidskitchen</t>
  </si>
  <si>
    <t>kidscookingclub</t>
  </si>
  <si>
    <t>Kids Cooking Club©</t>
  </si>
  <si>
    <t>Σχολή μαγειρικής για παιδιά©
🥇@kidscookingclub.eu🇪🇺
👨‍🍳classes 2-16 y
🏆food nutrition edu
🥗yummy recipes
🍿cooking parties
👨‍🏫school programs
🌍eshop</t>
  </si>
  <si>
    <t>https://youtube.com/@kidscookingclubtv8763?si=Y4GWcTYjlWkfeTqc</t>
  </si>
  <si>
    <t>kids_cookinging</t>
  </si>
  <si>
    <t>kids cooking 40歳園長だよ</t>
  </si>
  <si>
    <t>◆40歳保育園・園長♪
◆保育園給食・おやつレシピ公開・保育園遊び
◆誤飲・誤嚥やアレルギーなど食べ物の注意点を解説
📚「おうちで給食ベストレシピ」書籍を出版中
🌟園長朝ご飯や夜ご飯も宜しくね🌟
給食作ったらタグ付けや#保育園給食研究所 で教えてね
⭐︎保育園で使用してる食材も販売中⭐︎</t>
  </si>
  <si>
    <t>https://kids-cookinging.myshopify.com/</t>
  </si>
  <si>
    <t>tovlajr</t>
  </si>
  <si>
    <t>Tovla Jr | Montessori Kids Cooking + Baking</t>
  </si>
  <si>
    <t>👩‍🍳 Empowering Kids Through Cooking
🥇 Amazon’s #1 Kids Baking Supplies
📰 Award-winning @forbes @todayparents
💪 Mama-owned 👧👧👦👧👦
👇Cookbook</t>
  </si>
  <si>
    <t>https://linktr.ee/TOVLAJR</t>
  </si>
  <si>
    <t>cats_presidency</t>
  </si>
  <si>
    <t>Cute cats and kittens</t>
  </si>
  <si>
    <t>😻 best cat pics and videos
🕛 daily post
❤️ follow us to bless your TL with kitties</t>
  </si>
  <si>
    <t>clan_real.kittens_oficial</t>
  </si>
  <si>
    <t>𝐑𝐄𝐀𝐋 𝐊𝐈𝐓𝐓𝐄𝐍𝐒</t>
  </si>
  <si>
    <t>ㅤ
“𝘾𝙊𝙉𝙁𝙄𝘼 𝙀𝙉 𝙇𝘼 𝙈𝘼𝙂𝙄𝘼 𝘿𝙀 𝙇𝙊𝙎 𝙉𝙐𝙀𝙑𝙊𝙎 𝘾𝙊𝙈𝙄𝙀𝙉𝙕𝙊𝙎” 💫
🔴 𝙇𝙄𝘿𝙀𝙍: @xnxx.isadora 
𝙇𝙄𝙉𝙆 𝘿𝙀 𝙍𝙀𝘾𝙇𝙐𝙏𝘼𝙈𝙄𝙀𝙉𝙏𝙊 ✍🏻</t>
  </si>
  <si>
    <t>https://chat.whatsapp.com/GFEykuBoyZcACSusLbDEFa?mode=ac_t</t>
  </si>
  <si>
    <t>erinkittens</t>
  </si>
  <si>
    <t>Erin Kittens</t>
  </si>
  <si>
    <t>👩‍💻 Advertising Exec
🐈‍⬛ CEO of KillingKittensForMoney
👠 YouTube Hosiery Reviews @theofficetease</t>
  </si>
  <si>
    <t>https://erinkittens.com/about</t>
  </si>
  <si>
    <t>fosterkittendiary</t>
  </si>
  <si>
    <t>Barbra’s Foster Kittens</t>
  </si>
  <si>
    <t>Foster Kitten Cottage 🏡 Contact:fosterkittendiary@gmail.com 
Amazon wishlist ⬇️</t>
  </si>
  <si>
    <t>http://tinyurl.com/fosterKD</t>
  </si>
  <si>
    <t>kitten_shan</t>
  </si>
  <si>
    <t>shan.</t>
  </si>
  <si>
    <t>🇨🇳</t>
  </si>
  <si>
    <t>kittensneeze</t>
  </si>
  <si>
    <t>Robin 🦇</t>
  </si>
  <si>
    <t>A horror-loving clown making tunes ‘n toons! 👻
Biz: kittensneezebusiness@gmail.com</t>
  </si>
  <si>
    <t>https://youtu.be/PycGT7Ub-Ng?si=E70CROdJSU4pO9uu</t>
  </si>
  <si>
    <t>kittens.puppies.cuties</t>
  </si>
  <si>
    <t>Kittens &amp; Puppies</t>
  </si>
  <si>
    <t>#cute #cats &amp; #Dogs  #kitten #puppies 
to brighten our Days</t>
  </si>
  <si>
    <t>kittens_q8</t>
  </si>
  <si>
    <t>KITTENS Q8</t>
  </si>
  <si>
    <t>Specialized in importing pure breeds 🐾
worldwide shipping available
Get pure cat's &gt;&gt;&gt;  +96594035006
@pet_castle 
نستورد اجود فصائل القطط و الكلاب</t>
  </si>
  <si>
    <t>https://reach.link/pet_castle</t>
  </si>
  <si>
    <t>kittens_toshkentn1</t>
  </si>
  <si>
    <t>kittens_toshkent</t>
  </si>
  <si>
    <t>+5000 dan ortiq mijoz 
Bizada faqat toza parodali mushuklar 🐈
Kafolat beriladi💯
Dakument qilib beriladi📄
+998998412828</t>
  </si>
  <si>
    <t>kittens_uz</t>
  </si>
  <si>
    <t>🥇Eng ishonchli zottor va sogʻlom mushuklar. Original profil 📌</t>
  </si>
  <si>
    <t>• 17 yillik tajribam bor 🏆
• Mushuklar sifatiga va sogʻlomligiga kafolat bor📝
• Olib sotarlardan extiyot boʻling☝🏻
• Сертифицированнo📕
• (99)6111163</t>
  </si>
  <si>
    <t>thatcatspage</t>
  </si>
  <si>
    <t>Cats and Kittens</t>
  </si>
  <si>
    <t>🎥| Cute #cat videos
😻| Average cat lover 
❤️| Follow if You also Love Cats!
🛍️| Order Here 👇</t>
  </si>
  <si>
    <t>https://linktr.ee/thatcatspage</t>
  </si>
  <si>
    <t>dakgalbi_resto</t>
  </si>
  <si>
    <t>Korean Food</t>
  </si>
  <si>
    <t>1st Authentic KoreanBBQ in MALANG
🛵 Availabe on Shopee, Grab &amp; GoFood
⏲️ Everyday 11.00-21.00
📍Seberang Ps. Buku Wilis</t>
  </si>
  <si>
    <t>https://linktr.ee/dakgalbiresto</t>
  </si>
  <si>
    <t>eden_table</t>
  </si>
  <si>
    <t>한식사랑 ♡korean food♡</t>
  </si>
  <si>
    <t>THE HAPPY LIFE IN JESUS
-
⭐️OPEN 인생식사 감자탕 
-
•8일 #육수원  에덴테이블 분말육수
•11일 #인생쪽갈비
•13일 배추김치, 파김치, 갓김치
-
◽️추석맞이 
🔜제주은갈치, la갈비, 떡갈비반죽, 명란, 간장게장</t>
  </si>
  <si>
    <t>http://link.inpock.co.kr/eden_table</t>
  </si>
  <si>
    <t>koreanfood</t>
  </si>
  <si>
    <t>Food_collecter</t>
  </si>
  <si>
    <t>the Korean food story</t>
  </si>
  <si>
    <t>https://www.youtube.com/channel/UCdmDVfzQWkUle4Qsh1vhENg</t>
  </si>
  <si>
    <t>korean_foodman</t>
  </si>
  <si>
    <t>맛집남자 foodmanㅣ블루리본 엠베서더ㅣ</t>
  </si>
  <si>
    <t>🦋블루리본 공식 자문위원
🥈유튜브 44만 : 틱톡 7.8만 : 셀러비 5.8만
✍️틱톡 공식 인플루언서  + ‘맛집 유튜버’
🏆맛집리뷰 토탈 12억뷰</t>
  </si>
  <si>
    <t>korean_food_om_</t>
  </si>
  <si>
    <t>korean_food🇰🇷🇴🇲</t>
  </si>
  <si>
    <t>▪السناكات اللذيذه بتحصلوها هنا😋💖💖💖.
▪متجر كوريان فود🇰🇷🤍
▪المتوفرين مع الاسعار في الهايلايت 
▪نوصل لجميع مناطق السلطنة🇴🇲    
▪للتواصل دايركت📥</t>
  </si>
  <si>
    <t>korean_food_recipe</t>
  </si>
  <si>
    <t>Koreanfood 🍜 آشپزی غذا کره ای</t>
  </si>
  <si>
    <t>😋🍙 آموزش هر خوراکی کره ای که بخوای اینجا پیدا میشه
🎎🎐فرهنگ مردم کره جنوبی</t>
  </si>
  <si>
    <t>foxterradesign</t>
  </si>
  <si>
    <t>FOXTERRA Design | Luxury Landscape &amp; Pool Design</t>
  </si>
  <si>
    <t>We design luxury backyards and pools.
You get custom plans + help finding the right builder.
Serving 36+ states. 
⬇️ Book your FREE consultation</t>
  </si>
  <si>
    <t>https://foxterradesign.com/links/</t>
  </si>
  <si>
    <t>gardenstudiodesign</t>
  </si>
  <si>
    <t>Garden Studio | Southern California Landscape Design</t>
  </si>
  <si>
    <t>Residential &amp; Commercial Landscape Design/Build
𝘊𝘳𝘦𝘢𝘵𝘪𝘯𝘨 𝘓𝘢𝘴𝘵𝘪𝘯𝘨 𝘔𝘰𝘮𝘦𝘯𝘵𝘴 for Clients Nation-wide 
Connect With Us 👇🏼</t>
  </si>
  <si>
    <t>https://www.gardenstudiodesign.com/quick-links/</t>
  </si>
  <si>
    <t>giuliogroebert</t>
  </si>
  <si>
    <t>Travel &amp; Landscape - Photography</t>
  </si>
  <si>
    <t>🙋‍♂️ Giulio Gröbert 
🖌 Presets | @giuliogroebertpresets 
👇 Travel Guides | My Camera Gear | How I Edit🧑‍🎨⬇️</t>
  </si>
  <si>
    <t>http://www.giuliogroebert.com/links</t>
  </si>
  <si>
    <t>greengenielandscapes</t>
  </si>
  <si>
    <t>Jake &amp; Ethan genie Brother's 💚 🧞‍♂️</t>
  </si>
  <si>
    <t>Landscape Company</t>
  </si>
  <si>
    <t>Luxury landscaping specialist Bristol 
for all media enquiries contact: enquires@mcsaatchimerlin.com 
Brand ambassador for :@dewalttoolsuk</t>
  </si>
  <si>
    <t>http://link.me/greengenielandscapes</t>
  </si>
  <si>
    <t>hhobby_landscape</t>
  </si>
  <si>
    <t>ШКОЛА ЛАНДШАФТНОГО ДИЗАЙНА</t>
  </si>
  <si>
    <t>✨ Создай грамотный проект своего участка
👩🏻‍🎓 35000 учеников сделали это, ты тоже сможешь!
⬇️ Запишись тут</t>
  </si>
  <si>
    <t>https://hhobby.ru/hh_landscape</t>
  </si>
  <si>
    <t>landscapes</t>
  </si>
  <si>
    <t>Landscapes</t>
  </si>
  <si>
    <t>Curating content that inspires you to get outdoors 🏞️
Tag @landscapes or send us a DM for a chance to get reposted with credit</t>
  </si>
  <si>
    <t>https://lostin.com/products/lost-in-venice-beach</t>
  </si>
  <si>
    <t>landscapes_sisiswiss</t>
  </si>
  <si>
    <t>📍SWITZERLAND🇨🇭</t>
  </si>
  <si>
    <t>𝙿𝚕𝚞𝚜 𝚘𝚗 𝚜'𝚎𝚖𝚎𝚛𝚟𝚎𝚒𝚕𝚕𝚎 𝚍𝚎𝚟𝚊𝚗𝚝 𝚕𝚊 𝚗𝚊𝚝𝚞𝚛𝚎, 𝚙𝚕𝚞𝚜 𝚎𝚕𝚕𝚎 𝚗𝚘𝚞𝚜 𝚘𝚏𝚏𝚛𝚎 𝚜𝚎𝚜 𝚖𝚎𝚛𝚟𝚎𝚒𝚕𝚕𝚎𝚜🌱
Welcome to my page 𝓢𝓲𝓼𝓲𝓼𝔀𝓲𝓼𝓼 🇨🇭
🏔Addicted to Mountains🏔</t>
  </si>
  <si>
    <t>landscape.stories.magazine</t>
  </si>
  <si>
    <t>Landscape_Stories</t>
  </si>
  <si>
    <t>Contemporary Photography Magazine</t>
  </si>
  <si>
    <t>https://www.landscapestories.net/en</t>
  </si>
  <si>
    <t>landscapetattoo_oberkampf</t>
  </si>
  <si>
    <t>Landscape Tattoo Oberkampf</t>
  </si>
  <si>
    <t>🇫🇷PARIS - FRANCE
🕰Mar / sam de 12H à 19H
⛏️TATTOO &amp; PIERCING
🖤MADE WITH LOVE
😎Walk-ins welcome
🌐PLUS D’INFOS SUR NOS ARTISTES
⬇️VIA NOTRE SITE</t>
  </si>
  <si>
    <t>http://landscapetattoo.com/</t>
  </si>
  <si>
    <t>maah.landscape</t>
  </si>
  <si>
    <t>Mahnaz.khazaei</t>
  </si>
  <si>
    <t>landscape designer☘️                                                                  طراحي و اجراي فضاي سبز ماه لنداسكيپ</t>
  </si>
  <si>
    <t>poorfazel_landscape_design</t>
  </si>
  <si>
    <t>مصطفی پورفاضل|طراح|مجری|فضای سبز|لنداسکیپ</t>
  </si>
  <si>
    <t>پورفاضل لنداسکیپ دیزاین 
فضای سبز لنداسکیپ روفگاردن پایدار
طراحی،اجرا 
Landscaping
۲۱سال تجربه.تهران
کاری که شروع نشه هیچ وقت تموم نمی شه
📞09123435719</t>
  </si>
  <si>
    <t>https://t.me/poorfazel_landscape_design</t>
  </si>
  <si>
    <t>terremoto_landscape</t>
  </si>
  <si>
    <t>TERREMOTO LANDSCAPE</t>
  </si>
  <si>
    <t>Radical Gardens of Love and Interconnectedness // SF + LA.</t>
  </si>
  <si>
    <t>http://terremoto.la</t>
  </si>
  <si>
    <t>viveloelqui</t>
  </si>
  <si>
    <t>HOTEL VIVELO ELQUI LANDSCAPE</t>
  </si>
  <si>
    <t>Somos el primer hotel paisaje de la Región de Coquimbo🌿 
Te invitamos a vivir la magia de lo simple.
Adults Only</t>
  </si>
  <si>
    <t>http://www.viveloelqui.cl//</t>
  </si>
  <si>
    <t>@LAUGH</t>
  </si>
  <si>
    <t>Active 2024</t>
  </si>
  <si>
    <t>http://t.me/Grateful</t>
  </si>
  <si>
    <t>laughfactoryhw</t>
  </si>
  <si>
    <t>The Laugh Factory</t>
  </si>
  <si>
    <t>The Official Instagram of The World Famous Laugh Factory in Hollywood, CA 🎭</t>
  </si>
  <si>
    <t>https://linktr.ee/thelaughfactory</t>
  </si>
  <si>
    <t>laughmail</t>
  </si>
  <si>
    <t>TEXT | MESSAGES | MAIL</t>
  </si>
  <si>
    <t>#1 text messages page on Instagram 😆🔥
Inquiries/Ads: DM/Email/Instagram</t>
  </si>
  <si>
    <t>laugh_of_artist</t>
  </si>
  <si>
    <t>Victoria Gasperi</t>
  </si>
  <si>
    <t>Founder @laugh_of_the_moon ☾
Host Podcast ‘Rue des Dames’🎙️
contact@laugh-of-artist.com</t>
  </si>
  <si>
    <t>http://www.laugh-of-artist.com/</t>
  </si>
  <si>
    <t>workmemesoffical</t>
  </si>
  <si>
    <t>Work Sucks, lets laugh about it</t>
  </si>
  <si>
    <t>Memes related to #work #jobs #retail #coworkers
@fashionnova 
Partnerships: thetinderblog2@gmail.com
Incohearent card game 👇🛍️</t>
  </si>
  <si>
    <t>https://www.fashionnova.com/collections/new?division=women&amp;utm_source=influencer&amp;utm_medium=promo&amp;utm_campaign=workmemesoffical</t>
  </si>
  <si>
    <t>laura.herde</t>
  </si>
  <si>
    <t>Laura Herde | MINDSET &amp; LEADERSHIP MENTOR</t>
  </si>
  <si>
    <t>☼ Helping female CEOs 10x their lifestyle, biz &amp; love life by fusing masc + fem energy
CERT @embodiedcoachacademy
🎙️ @unfuckyourlifepodcast
FREE GIFT⇣</t>
  </si>
  <si>
    <t>https://www.lauraherde.com/links</t>
  </si>
  <si>
    <t>leadershipfirst</t>
  </si>
  <si>
    <t>Leadership First</t>
  </si>
  <si>
    <t>Our 6.5M+ leaders trust Leadership First for their daily inspiration and motivation. Click the link below for more inspiration.</t>
  </si>
  <si>
    <t>https://www.leadershipfirst.net/</t>
  </si>
  <si>
    <t>leadership_monhla</t>
  </si>
  <si>
    <t>ASHIRUS MONHLA</t>
  </si>
  <si>
    <t>Turning dreams into reality, one step at a time 🐐.
CEO &amp; Founder of @wealth_kings_sa 
🏦: @rcgmarkets – @comit_capital</t>
  </si>
  <si>
    <t>https://linktr.ee/Leadership_monhla</t>
  </si>
  <si>
    <t>leadership_ofc</t>
  </si>
  <si>
    <t>Ailton Miguel</t>
  </si>
  <si>
    <t>Master Oil Refining in HSE 🥼
Elected Foreign Student 17-c🇦🇪
 Nomated for Mipad UN 20/21🇺🇳
 Nomated for Mipad UN 15/24🇺🇳</t>
  </si>
  <si>
    <t>https://chat.whatsapp.com/GaKbSu1hBga5Ysylq3Hd7v</t>
  </si>
  <si>
    <t>maxwellleadership</t>
  </si>
  <si>
    <t>Maxwell Leadership</t>
  </si>
  <si>
    <t>Find Purpose And Make An Impact.
Get to know Maxwell Leadership 👇🏼</t>
  </si>
  <si>
    <t>https://lnk.bio/maxwellleadership</t>
  </si>
  <si>
    <t>pm.leadership</t>
  </si>
  <si>
    <t>Project Management Leadership</t>
  </si>
  <si>
    <t>Project Manager &amp; Leadership Coaching
🚀 | Accelerate your PM career
🧠 | Follow for PM &amp; Leadership insights
👇 | Tap here for coaching and extras</t>
  </si>
  <si>
    <t>https://linktr.ee/pm.leadership</t>
  </si>
  <si>
    <t>thrivewithcass</t>
  </si>
  <si>
    <t>Executive Leadership Coach For Women</t>
  </si>
  <si>
    <t>Mentoring Execs &amp; Badass Corporate Leaders.
Ex-VP ➡️ Redefining success for high-achieving women.
Embodied leadership. Real impact.
👇 Work with me</t>
  </si>
  <si>
    <t>https://linkin.bio/thrivewithcass</t>
  </si>
  <si>
    <t>brokenleague</t>
  </si>
  <si>
    <t>League of Legends Source (250k)</t>
  </si>
  <si>
    <t>The leading source for all league of legends, news, stats, clips
Get featured: DM &amp; Mail 
Not affiliated w Riot Games</t>
  </si>
  <si>
    <t>juegalol</t>
  </si>
  <si>
    <t>League of Legends LATAM</t>
  </si>
  <si>
    <t>¡Cuenta oficial de #LeagueOfLegends para Latinoamérica! |</t>
  </si>
  <si>
    <t>https://www.leagueoflegends.com/es-mx/news/game-updates/patch-25-17-notes/</t>
  </si>
  <si>
    <t>leaguearabia</t>
  </si>
  <si>
    <t>League of Legends - Arabia</t>
  </si>
  <si>
    <t>حساب League of Legends
 الرسمي بالعربي</t>
  </si>
  <si>
    <t>https://linktr.ee/leaguearabia</t>
  </si>
  <si>
    <t>league_italia</t>
  </si>
  <si>
    <t>League of Legends Italia 🎯</t>
  </si>
  <si>
    <t>I vantaggi di un account ufficiale, senza i difetti di un account ufficiale.
FTW https://ftw.riotgames.com/it-it
WILD RIFT 👉 @wildriftit
TFT 👉 @tft_it</t>
  </si>
  <si>
    <t>https://www.leagueoflegends.com/it-it/</t>
  </si>
  <si>
    <t>leagueoflegends</t>
  </si>
  <si>
    <t>League of Legends</t>
  </si>
  <si>
    <t>#LeagueOfLegends is a free competitive action-strategy video game ⚔️ Made by @riotgames</t>
  </si>
  <si>
    <t>https://linktr.ee/leagueoflegends</t>
  </si>
  <si>
    <t>leagueoflegendsbrasil</t>
  </si>
  <si>
    <t>League of Legends Brasil</t>
  </si>
  <si>
    <t>Perfil oficial de League of Legends no Brasil. 🇧🇷 #LeagueOfLegendsBR</t>
  </si>
  <si>
    <t>https://riot.com/41uaxcl</t>
  </si>
  <si>
    <t>leagueoflegendsde</t>
  </si>
  <si>
    <t>League of Legends DE</t>
  </si>
  <si>
    <t>Der offizielle deutschsprachige Instagram-Account für #LeagueOfLegends!</t>
  </si>
  <si>
    <t>http://tiktok.com/@leagueoflegendsde</t>
  </si>
  <si>
    <t>leagueoflegendsfr</t>
  </si>
  <si>
    <t>League of Legends France</t>
  </si>
  <si>
    <t>Retrouvez tous nos réseaux et les dernières actualités ci-dessous !</t>
  </si>
  <si>
    <t>https://beacons.ai/lol_france</t>
  </si>
  <si>
    <t>leagueoflegendsid</t>
  </si>
  <si>
    <t>League of Legends Indonesia</t>
  </si>
  <si>
    <t>Game MOBA Strategi PC, berbasis tim 5V5 dengan lebih dari 160 champion dari Riot Games.</t>
  </si>
  <si>
    <t>https://www.leagueoflegends.com/id-id/</t>
  </si>
  <si>
    <t>leagueoflegendskorea</t>
  </si>
  <si>
    <t>리그 오브 레전드(롤)</t>
  </si>
  <si>
    <t>Game Publisher</t>
  </si>
  <si>
    <t>리그 오브 레전드 한국 공식 인스타그램
*리그 오브 레전드는 확률형 아이템이 포함된 게임입니다.</t>
  </si>
  <si>
    <t>https://linkin.bio/leagueoflegendskorea</t>
  </si>
  <si>
    <t>leagueoflegends_polska</t>
  </si>
  <si>
    <t>League Of Legends Polska</t>
  </si>
  <si>
    <t>Witajcie na oficjalnym profilu League of Legends Polska!</t>
  </si>
  <si>
    <t>leagueofstuckers</t>
  </si>
  <si>
    <t>League Of Legends</t>
  </si>
  <si>
    <t>🔥 League of Legends 🔥
🏆 Live Streams &amp; Highlights
🌟 Join the Community – Follow for More!
DM for credit / copyright</t>
  </si>
  <si>
    <t>https://discord.gg/qE4w8kZjcQ</t>
  </si>
  <si>
    <t>lol_es</t>
  </si>
  <si>
    <t>League of Legends ES ⚔️</t>
  </si>
  <si>
    <t>Lo bueno de una cuenta oficial sin lo malo de una cuenta oficial. Administrada por el equipo de comunidad española.</t>
  </si>
  <si>
    <t>lolturkiye</t>
  </si>
  <si>
    <t>League of Legends Türkiye</t>
  </si>
  <si>
    <t>League of Legends hakkında en yeni haberler için bizi takip et! 👊</t>
  </si>
  <si>
    <t>https://www.leagueoflegends.com/tr-tr/news/game-updates/patch-25-17-notes/</t>
  </si>
  <si>
    <t>playwildrift</t>
  </si>
  <si>
    <t>League of Legends: Wild Rift</t>
  </si>
  <si>
    <t>Official account of League of Legends: Wild Rift, your favorite mobile MOBA from @riotgames</t>
  </si>
  <si>
    <t>https://linktr.ee/wildrift</t>
  </si>
  <si>
    <t>ukleagueoflegends</t>
  </si>
  <si>
    <t>League of Legends UK 🥀</t>
  </si>
  <si>
    <t>The one and only official Instagram for League of Legends in the UK, Ireland &amp; Nordics! Click here for all the latest news! 👇</t>
  </si>
  <si>
    <t>https://www.leagueoflegends.com/en-gb/</t>
  </si>
  <si>
    <t>hacksify</t>
  </si>
  <si>
    <t>Life Hacks • DIYs • Crafts</t>
  </si>
  <si>
    <t>💡Helpful Life Hacks and DIYs
💥Turn on Post Notifications</t>
  </si>
  <si>
    <t>lifehacks</t>
  </si>
  <si>
    <t>The best lifehacks on IG 🥇</t>
  </si>
  <si>
    <t>lifehacks.de</t>
  </si>
  <si>
    <t>Life Hacks®</t>
  </si>
  <si>
    <t>Bei uns bekommst du die beste Unterhaltung 🌈
Ganzer Chat⬇️</t>
  </si>
  <si>
    <t>https://bit.ly/3jk1Qyh</t>
  </si>
  <si>
    <t>life_hacks_labs</t>
  </si>
  <si>
    <t>Ievgen Rabotyagov</t>
  </si>
  <si>
    <t>✨ Мы – Женя и Таня, и у нас всегда есть повод для улыбки! 😃🎉
💡 Здесь про лайфхаки, жизненные фишки и хорошее настроение. 🚀😄</t>
  </si>
  <si>
    <t>bucataria.localfood</t>
  </si>
  <si>
    <t>B U C Ă T Ă R I A</t>
  </si>
  <si>
    <t>Good local comfort food, a fizzy selection of local sparkling wines&amp;friendly vibes anytime
Ion Slatineanu 30
0755551245
Miercuri 13-22
Joi - Dum 12-22</t>
  </si>
  <si>
    <t>http://bucataria-localfood.ialoc.ro</t>
  </si>
  <si>
    <t>localfoodstexas</t>
  </si>
  <si>
    <t>Local Foods</t>
  </si>
  <si>
    <t>Open Daily / Catering Available
#localfoodstexas 
4 HTX + 1 Downtown ATX Local Foods
2 Markets: HTX’s Rice Village + Rice U
From @localfoodsgroup</t>
  </si>
  <si>
    <t>https://www.localfoodstexas.com/</t>
  </si>
  <si>
    <t>local_life_f</t>
  </si>
  <si>
    <t>local Food 🥑</t>
  </si>
  <si>
    <t>#food.villager like always</t>
  </si>
  <si>
    <t>pawonniang_bali</t>
  </si>
  <si>
    <t>LOCAL FOOD</t>
  </si>
  <si>
    <t>Tasty and Spicy Homemade Food
MON-SAT 8 am - 4.30 pm
(Closed Sunday)
DM / Whatsapp : 085738234598
💯 HALAL</t>
  </si>
  <si>
    <t>clubllondon</t>
  </si>
  <si>
    <t>Club L London</t>
  </si>
  <si>
    <t>For every occasion. 
Premium womenswear, worn globally. 
@clubllondon_me</t>
  </si>
  <si>
    <t>http://www.clubllondon.com</t>
  </si>
  <si>
    <t>crunch.london</t>
  </si>
  <si>
    <t>Crunch</t>
  </si>
  <si>
    <t>Sandwich [up]rising.
•
📍@oldspitalfieldsmarket
📍60 Dean St, London</t>
  </si>
  <si>
    <t>http://www.sandwichuprising.com</t>
  </si>
  <si>
    <t>fuse.london</t>
  </si>
  <si>
    <t>FUSE London</t>
  </si>
  <si>
    <t>(EST.) 2008 ➔ LDN ®
👇Events &amp; Music</t>
  </si>
  <si>
    <t>https://linktr.ee/fuselondon</t>
  </si>
  <si>
    <t>jaded_man</t>
  </si>
  <si>
    <t>Jaded London</t>
  </si>
  <si>
    <t>FAITHLESS | Online now</t>
  </si>
  <si>
    <t>https://jadedldn.com/collections/faithless</t>
  </si>
  <si>
    <t>laurenlondon</t>
  </si>
  <si>
    <t>Lauren London</t>
  </si>
  <si>
    <t>TMC</t>
  </si>
  <si>
    <t>locus.london</t>
  </si>
  <si>
    <t>LOCUS</t>
  </si>
  <si>
    <t>By the ravers, for the ravers. Tickets, releases &amp; mixes👇</t>
  </si>
  <si>
    <t>http://linktr.ee/locuslondon</t>
  </si>
  <si>
    <t>@LONDON • #ThisIsLondon</t>
  </si>
  <si>
    <t>Presented by @MrLondon + @Alice.Sampo
🇬🇧 TELLING LONDON’S STORY BEAUTIFULLY 🇬🇧
🚂 LNR SUMMER SAVINGS:</t>
  </si>
  <si>
    <t>https://bit.ly/45kAFHK</t>
  </si>
  <si>
    <t>london.travelers</t>
  </si>
  <si>
    <t>London UK 🇬🇧 Travel | Hotels | Food | Tips</t>
  </si>
  <si>
    <t>🏙️ Discover the best of London
💙 The leading London community by @hotel
👇 Price drop on London direct flights</t>
  </si>
  <si>
    <t>https://skyscanner.pxf.io/LondontoBarca</t>
  </si>
  <si>
    <t>london.ukcrime</t>
  </si>
  <si>
    <t>London.ukcrime</t>
  </si>
  <si>
    <t>Tip us with reports images &amp; video.
✉️ Send DM (DMs open) Or tag us @london.ukcrime</t>
  </si>
  <si>
    <t>https://youtube.com/@londonukstreetnews?si=2RZea4S87HYjklLR</t>
  </si>
  <si>
    <t>perplex_london</t>
  </si>
  <si>
    <t>Perplex</t>
  </si>
  <si>
    <t>Creators of alternate playgrounds 🦚</t>
  </si>
  <si>
    <t>https://www.perplexlondon.com/</t>
  </si>
  <si>
    <t>russiansinlondon</t>
  </si>
  <si>
    <t>Russians in London</t>
  </si>
  <si>
    <t>A meme artist by day, an alcoholic by night
@londoninrussians</t>
  </si>
  <si>
    <t>https://linktr.ee/russiansinlondon</t>
  </si>
  <si>
    <t>secret.london</t>
  </si>
  <si>
    <t>Secret London</t>
  </si>
  <si>
    <t>🇬🇧 Uncovering London’s best kept secrets
🤫 @secretclubglobal 
🎥 TikTok @secret.london
👅 Food @london.mouthful 
👶🏻 Family @secretmediafamilyuk</t>
  </si>
  <si>
    <t>http://linkin.bio/secret-london/</t>
  </si>
  <si>
    <t>solacelondon</t>
  </si>
  <si>
    <t>Solace London</t>
  </si>
  <si>
    <t>Designed by Laura Taylor and Ryan Holliday-Stevens</t>
  </si>
  <si>
    <t>https://www.solacelondon.com/</t>
  </si>
  <si>
    <t>visitlondon</t>
  </si>
  <si>
    <t>VISIT LONDON</t>
  </si>
  <si>
    <t>Sharing the best of London ❤️
🇬🇧 Official account for London
📸 Tag #VisitLondon for the chance to be featured</t>
  </si>
  <si>
    <t>https://linkin.bio/visitlondon</t>
  </si>
  <si>
    <t>alena_sanaeva_designer</t>
  </si>
  <si>
    <t>Interior designer &amp; decorator Los Angeles</t>
  </si>
  <si>
    <t>Alena Sanaeva
🏩 Interior designer
💃🏻Model
🥸Standup comedian
📌USA Los Angeles
Pinterest:</t>
  </si>
  <si>
    <t>http://fashionhomedesign.com</t>
  </si>
  <si>
    <t>angelesazulesmx</t>
  </si>
  <si>
    <t>Los Ángeles Azules</t>
  </si>
  <si>
    <t>#ElDespertador con @manuelturizo ⏰ ¡Ya disponible!
10 y 11 de Diciembre Auditorio Nacional</t>
  </si>
  <si>
    <t>https://sml.lnk.to/ElDespertador</t>
  </si>
  <si>
    <t>btblosangeles</t>
  </si>
  <si>
    <t>BTB Los Angeles</t>
  </si>
  <si>
    <t>Discover the Summer collection:</t>
  </si>
  <si>
    <t>https://btblosangeles.com/collections/summer-25</t>
  </si>
  <si>
    <t>chargers</t>
  </si>
  <si>
    <t>Los Angeles Chargers</t>
  </si>
  <si>
    <t>#noelevators</t>
  </si>
  <si>
    <t>https://chrg.rs/m/LinkInBio</t>
  </si>
  <si>
    <t>dodgers</t>
  </si>
  <si>
    <t>Los Angeles Dodgers</t>
  </si>
  <si>
    <t>2024 World Series Champions 🏆</t>
  </si>
  <si>
    <t>http://linktree.com/dodgers/</t>
  </si>
  <si>
    <t>lafc</t>
  </si>
  <si>
    <t>Los Angeles Football Club</t>
  </si>
  <si>
    <t>🏆 2024 U.S. Open Cup Champions
🏆 2022 MLS Cup Champions
🏆🏆 2019 &amp; 2022 Supporters’ Shield Champions
Español: @SomosLAFC
🏟️ @BMOStadium</t>
  </si>
  <si>
    <t>https://linkin.bio/lafc</t>
  </si>
  <si>
    <t>lakers</t>
  </si>
  <si>
    <t>Los Angeles Lakers</t>
  </si>
  <si>
    <t>Welcome to the #LakeShow
🏆 17x Champions
Want more? @LakersScene @loslakers @lakersarabic @lakersbrasil</t>
  </si>
  <si>
    <t>http://www.lakers.com</t>
  </si>
  <si>
    <t>losangelesapparel</t>
  </si>
  <si>
    <t>Los Angeles Apparel</t>
  </si>
  <si>
    <t>LA Factory Store open every Wed-Sun 10am to 7:30. 812 E 59th. / NYC SoHo Flagship store NOW OPEN. 480 Broadway. 10am-8pm daily. 11-8pm Sunday.</t>
  </si>
  <si>
    <t>https://linktr.ee/Losangelesapparel</t>
  </si>
  <si>
    <t>losangelesconfidential</t>
  </si>
  <si>
    <t>The Game</t>
  </si>
  <si>
    <t>#TheCoastGuard 
My NEW IG: @startmylifefromscratch
GRATITUDE is GANGSTER.</t>
  </si>
  <si>
    <t>losangeleskurd</t>
  </si>
  <si>
    <t>Ahmet Yılmaz</t>
  </si>
  <si>
    <t>🇨🇦(iyi ki varsınız Instagram ailesi ❤️iş birliği (@losangeleskurdis) 👈 Yedek Hesabım ( hi can I get a double double extra larc please🇺🇸</t>
  </si>
  <si>
    <t>losdodgers</t>
  </si>
  <si>
    <t>Dodgers de Los Ángeles</t>
  </si>
  <si>
    <t>Campeones de la Serie Mundial 2024 // Instagram oficial de Los Dodgers de Los Ángeles en español</t>
  </si>
  <si>
    <t>http://losdodgers.com/</t>
  </si>
  <si>
    <t>rams</t>
  </si>
  <si>
    <t>Los Angeles Rams</t>
  </si>
  <si>
    <t>we’re so back</t>
  </si>
  <si>
    <t>https://www.therams.com/tickets/single-game-tickets?utm_source=ig&amp;utm_medium=bio&amp;utm_campaign=schedule_release_launch</t>
  </si>
  <si>
    <t>dominaluxury_suite</t>
  </si>
  <si>
    <t>Domina Luxury Suite &amp; Spa</t>
  </si>
  <si>
    <t>Luxury Suites con formula Pernotto o Day Use per un soggiorno romantico! ✨
📍Settimo viale Parco della Noce, n.23A 80014 Varcaturo, NA
📲 351 8159308</t>
  </si>
  <si>
    <t>https://dominasuiteluxuryespa.it</t>
  </si>
  <si>
    <t>insaneluxurylife</t>
  </si>
  <si>
    <t>INSANE LUXURY</t>
  </si>
  <si>
    <t>Tracking the timepieces worn by global icons.
Vintage watches → @insaneluxuryvintage</t>
  </si>
  <si>
    <t>loveluxury</t>
  </si>
  <si>
    <t>𝙇𝙤𝙫𝙚 𝙇𝙪𝙭𝙪𝙧𝙮</t>
  </si>
  <si>
    <t>Buy &amp; Sell Hermès 👜✨ Watches ⌚💎 Jewellery 💍 LDN 🇬🇧 DXB 🇦🇪 Trusted by Collectors &amp; Celebs 🌟 Luxury 🛥️ Travel ✈️ Lifestyle 🌍</t>
  </si>
  <si>
    <t>https://linktr.ee/loveluxury</t>
  </si>
  <si>
    <t>luxury.escapes</t>
  </si>
  <si>
    <t>Luxury Escapes</t>
  </si>
  <si>
    <t>The World's Best Holidays
NEW VIP Travel Club, LuxPlus+
#luxescaping #luxuryescapes</t>
  </si>
  <si>
    <t>https://linkin.bio/luxury.escapes</t>
  </si>
  <si>
    <t>luxury_homes</t>
  </si>
  <si>
    <t>Luxury Homes</t>
  </si>
  <si>
    <t>Tyler Van Twist  - @vantwist 
📧: tylervtwist@gmail.com
Huntington Beach, CA 📍</t>
  </si>
  <si>
    <t>luxurylaw</t>
  </si>
  <si>
    <t>Law Roach</t>
  </si>
  <si>
    <t>•Image Architect®️</t>
  </si>
  <si>
    <t>https://www.schoolofstyle.com</t>
  </si>
  <si>
    <t>luxurylifestylemagazine</t>
  </si>
  <si>
    <t>The Luxury Lifestyle Magazine</t>
  </si>
  <si>
    <t>Media Agency &amp; Publication
Sharing the latest in luxury since 2013. 
By: @michaellouisny 
Check out our latest article below ↴</t>
  </si>
  <si>
    <t>http://theluxurylifestylemagazine.com/</t>
  </si>
  <si>
    <t>luxury_listings</t>
  </si>
  <si>
    <t>Luxury Listings</t>
  </si>
  <si>
    <t>Welcome to the premier platform showcasing top luxury assets internationally; connecting you with your dreams.</t>
  </si>
  <si>
    <t>luxury.residences</t>
  </si>
  <si>
    <t>Luxury Residences</t>
  </si>
  <si>
    <t>Luxury Homes and Listings Worldwide 🌍
@luxurylifestylemagazine partner</t>
  </si>
  <si>
    <t>luxuryworldtraveler</t>
  </si>
  <si>
    <t>Luxury Travel Community</t>
  </si>
  <si>
    <t>🔹We Create Custom Tailored Vacations
🔹We Turn Followers Into Bookings For Clients
🔹 Creators of New IG “AI” Hospitality Software
Contact us below 👇</t>
  </si>
  <si>
    <t>http://www.luxwt.com/main</t>
  </si>
  <si>
    <t>modernluxury</t>
  </si>
  <si>
    <t>Modern Luxury</t>
  </si>
  <si>
    <t>The largest luxury media company 
Interiors: @modernluxuryinteriors 
Streaming: @mluxnetwork</t>
  </si>
  <si>
    <t>https://linkin.bio/modernluxury</t>
  </si>
  <si>
    <t>sydneyluxuryhire_</t>
  </si>
  <si>
    <t>Sydney Luxury Hire</t>
  </si>
  <si>
    <t>Biggest High End Luxury Car Collection Available 💥
Self Drive 🏎 Number 1 Exotic Car Hire ⚠️
🔽 Book in Now 🔽</t>
  </si>
  <si>
    <t>http://www.sydneyluxhire.com.au</t>
  </si>
  <si>
    <t>theluxfind</t>
  </si>
  <si>
    <t>Luxury Goods New / Consignment</t>
  </si>
  <si>
    <t>💯AUTHENTIC ITEMS ONLY
Backup Account @theluxfind_ 
⏰11:00am - 8:00pm
⭐️Not affiliated with the brands we sell</t>
  </si>
  <si>
    <t>https://wa.link/theluxfind</t>
  </si>
  <si>
    <t>tuxury</t>
  </si>
  <si>
    <t>Luxury Lifestyle</t>
  </si>
  <si>
    <t>⊰ A collection of the finer things in life
 ⊰ Follow for daily motivation &amp; inspiration
 ⊰ Sweden📍Est. 2017</t>
  </si>
  <si>
    <t>birdtravelpr</t>
  </si>
  <si>
    <t>BIRD | Luxury Travel PR</t>
  </si>
  <si>
    <t>Beautiful hotels with heart, soul &amp; integrity; experiential travel; sustainable tourism; spa &amp; wellbeing; brands that inspire us and make us proud.</t>
  </si>
  <si>
    <t>https://birdtravelpr.com</t>
  </si>
  <si>
    <t>laxtoluxury</t>
  </si>
  <si>
    <t>Michelle González 🏝 Luxury Travel</t>
  </si>
  <si>
    <t>🏝️ luxury travel
✈️ planes, places and properties
✍️ actionable travel tips with all the details
⏰ 1.2M on TT
📍LAX (to Luxury)
✨ team@laxtoluxury.com</t>
  </si>
  <si>
    <t>http://laxtoluxury.com/linktree/</t>
  </si>
  <si>
    <t>lch.luxurytravel</t>
  </si>
  <si>
    <t>LCH LUXURY TRAVEL</t>
  </si>
  <si>
    <t>🌍 Diseñamos experiencias únicas | Letty Chomer
✈️ Somos LCH Luxury Travel y creamos el viaje de sus sueños
📩 Cotizaciones por DM o WhatsApp ⬇️</t>
  </si>
  <si>
    <t>https://www.tiktok.com/@lettychomer_luxurytravel?_t=8coIluIwwfW&amp;_r=1</t>
  </si>
  <si>
    <t>luxurishq</t>
  </si>
  <si>
    <t>Luxury | Travel | Growth |</t>
  </si>
  <si>
    <t>🍷| 𝐄𝐦𝐩𝐨𝐰𝐞𝐫𝐢𝐧𝐠 𝐁𝐚𝐛𝐞𝐬
💸| Create A Life On Your Own Terms
📩| Dm for Feature &amp; collaboration
💌| luxurishq@gmail.com</t>
  </si>
  <si>
    <t>luxurytravelandhotels</t>
  </si>
  <si>
    <t>Luxury Travel and Hotels</t>
  </si>
  <si>
    <t>Curating the world's most exquisite hotels &amp; villas.
Partner with us: DM for collaborations</t>
  </si>
  <si>
    <t>luxurytravelermedia</t>
  </si>
  <si>
    <t>Luxury Traveler</t>
  </si>
  <si>
    <t>✈️ I don’t just post trips.
📩 I plan yours with the perks you didn’t know existed… Email me.</t>
  </si>
  <si>
    <t>https://www.luxurytravelermedia.com/</t>
  </si>
  <si>
    <t>luxurytravelexpert</t>
  </si>
  <si>
    <t>Luxury Travel Expert</t>
  </si>
  <si>
    <t>🌍 Doctor &amp; travel enthusiast
✈️ Next: New York, Maldives, Bali, Peru
🎬 New YouTube video each week (1M+ followers)
👇🏻 Follow my travel blog &amp; vlog</t>
  </si>
  <si>
    <t>https://bio.site/luxurytravelexpert</t>
  </si>
  <si>
    <t>luxurytravelmagazine.vip</t>
  </si>
  <si>
    <t>Luxury Travel Magazine</t>
  </si>
  <si>
    <t>Travel agency</t>
  </si>
  <si>
    <t>Luxury Travel Magazinel is a 20 years old publication that promotes the best destinations, hotels, services and products for the discerning travelers.</t>
  </si>
  <si>
    <t>http://www.luxurytravelgroup.net</t>
  </si>
  <si>
    <t>luxurytravelwithpoints</t>
  </si>
  <si>
    <t>Kati &amp; Tom ✈️ | 𝙇𝙪𝙭𝙪𝙧𝙮 𝙏𝙧𝙖𝙫𝙚𝙡, 𝙋𝙤𝙞𝙣𝙩𝙨+𝙈𝙞𝙡𝙚𝙨, 𝘾𝙧𝙚𝙙𝙞𝙩 𝘾𝙖𝙧𝙙𝙨</t>
  </si>
  <si>
    <t>💳 Travel nearly free using points &amp; miles
✈️ Luxury Travel/Family Travel 
⬇️Emirates 1st Class Masterclass ⤵️ 
💌Kati@luxurytravelswithpoints.com</t>
  </si>
  <si>
    <t>https://stan.store/luxurytravelswithpoints/p/emirates-1st-class-biz-masterclass</t>
  </si>
  <si>
    <t>luxury_travely</t>
  </si>
  <si>
    <t>Luxury | Travel | Lifestyle</t>
  </si>
  <si>
    <t>Luxury 💎 Life 
💸Success
DM for cheap followers ❤️</t>
  </si>
  <si>
    <t>mason_rose</t>
  </si>
  <si>
    <t>Luxury Travel | Sales, PR &amp; Marketing Agency</t>
  </si>
  <si>
    <t>International Sales, PR &amp; Marketing for hotels, luxury lifestyle, travel &amp; wellness brands. 30 Years of Creating Connections.</t>
  </si>
  <si>
    <t>https://masonrose.com</t>
  </si>
  <si>
    <t>oriontravel_</t>
  </si>
  <si>
    <t>Orión Travel / Luxury Travel</t>
  </si>
  <si>
    <t>Luxury Travel | Vacatión Rentals | Glamping | Resort |  Hotels
📍Colombia.
ᴇxᴘʟᴏʀᴇ. ᴅʀᴇᴀᴍ. ᴅɪꜱᴄᴏᴠᴇʀ.”</t>
  </si>
  <si>
    <t>https://atom.bio/oriontraveluxury</t>
  </si>
  <si>
    <t>scottdunn_travel</t>
  </si>
  <si>
    <t>Scott Dunn | Luxury Travel</t>
  </si>
  <si>
    <t>Travel that takes you further✨
London | Singapore | San Diego | New York City📍</t>
  </si>
  <si>
    <t>http://sprout.link/scottdunn_travel</t>
  </si>
  <si>
    <t>learn.machinelearning</t>
  </si>
  <si>
    <t>Machine learning</t>
  </si>
  <si>
    <t>🦾 • I help you to get started with machine learning 
☕ • learn by sharing
😊 • Dm for collaborations 
We are now part of @aiplanet_community</t>
  </si>
  <si>
    <t>https://aiplanet.com/</t>
  </si>
  <si>
    <t>machinelearning</t>
  </si>
  <si>
    <t>Intuitive Machine Learning</t>
  </si>
  <si>
    <t>Intuitive way to Deliver Machine Learning concept.</t>
  </si>
  <si>
    <t>https://youtube.com/c/IntuitiveMachineLearning</t>
  </si>
  <si>
    <t>machine_learning_samane</t>
  </si>
  <si>
    <t>Samane | Iranian ML/AI Engineer | Liverpool</t>
  </si>
  <si>
    <t>Samane Sharifi Monfared | Iranian Dancer | Machine Learning Engineer | Comedian 📍 Liverpool. Lets Dance and Talk
For ML projects book me at samane.uk</t>
  </si>
  <si>
    <t>https://youtube.com/@samane_life</t>
  </si>
  <si>
    <t>neuralnine</t>
  </si>
  <si>
    <t>Machine Learning &amp; Coding 💻🧠</t>
  </si>
  <si>
    <t>🧠 Educational AI &amp; Coding Content
📺 YouTube: NeuralNine (400K+)
👇🏼📚 Python Bible Series 📚👇🏼</t>
  </si>
  <si>
    <t>https://neuralnine.com/books</t>
  </si>
  <si>
    <t>ar.makeupartist</t>
  </si>
  <si>
    <t>makeup artist</t>
  </si>
  <si>
    <t>Makeup dan hairdo.
Open PO melati imitasi
Terima jahit kebaya pesta 
INFO PRICELIST 👇👇</t>
  </si>
  <si>
    <t>https://api.whatsapp.com/send?phone=628111181821</t>
  </si>
  <si>
    <t>gossmakeupartist</t>
  </si>
  <si>
    <t>Wayne Goss - Makeup Artist</t>
  </si>
  <si>
    <t>Youtuber. Makeup artist.</t>
  </si>
  <si>
    <t>hellamakeupartist</t>
  </si>
  <si>
    <t>Hella Make UP Artist</t>
  </si>
  <si>
    <t>Make UP Artist :
📌Novias 📌Quinceañeras 📌Sociales 📌T.V📌Fotos 📌Comerciales 📌Pasarela       👩‍🎓Certificada en 🇵🇪🇨🇴🇲🇽
💬Citas al 979902307 o al DM.</t>
  </si>
  <si>
    <t>khun.lp.makeup</t>
  </si>
  <si>
    <t>Make Up Artist</t>
  </si>
  <si>
    <t>🍑ลูกพีช เมคอัพ💄
0896929465 
Thank you for Like &amp; Support❤️
#ช่างแต่งหน้า #ช่างแต่งหน้าเจ้าสาว</t>
  </si>
  <si>
    <t>lulumakeupartistry</t>
  </si>
  <si>
    <t>Lulu MUA | Wedding Makeup Artist &amp; Makeup Course Jakarta</t>
  </si>
  <si>
    <t>👇🏻 (no dm) click “whatsapp” button/the link below
💍 2025/26 brides — free accessories
💎 pro class gift — 1,5mill worth of products</t>
  </si>
  <si>
    <t>makeupby.stella</t>
  </si>
  <si>
    <t>Wedding Make Up Artist Jakarta Bali</t>
  </si>
  <si>
    <t>𝘴𝘰𝘧𝘵 𝘨𝘭𝘢𝘮 𝘢𝘯𝘥 𝘯𝘰𝘵 𝘵𝘰𝘰 𝘮𝘶𝘤𝘩.
Hi I’m Stella Noviani, mua since 2015.🤍
Ask for self makeup class.
Pricelist inquiry only by whatsapp.</t>
  </si>
  <si>
    <t>mukul.makeupartist</t>
  </si>
  <si>
    <t>Mukul ✨</t>
  </si>
  <si>
    <t>📍 Delhi
DM For collaboration
client work @makeupbymukulverma</t>
  </si>
  <si>
    <t>https://hypd.store/mukulmakeupartist?utm_medium=creator_app&amp;utm_source=iOS&amp;utm_campaign=app</t>
  </si>
  <si>
    <t>nihola_hayotova_style</t>
  </si>
  <si>
    <t>MAKE UP ARTIST 💄</t>
  </si>
  <si>
    <t>▪️Introvert Professional Vizajist💄
Online Va Offline kursga yozilish telegram orqali 👇🏼
Tashkent 📍</t>
  </si>
  <si>
    <t>https://t.me/nihola_hayotova</t>
  </si>
  <si>
    <t>shradhaluthra</t>
  </si>
  <si>
    <t>Shradha Luthra 🧿 | Bridal Make Up Artist</t>
  </si>
  <si>
    <t>• 5 Day Pro Course 📲 +917901908008
The Roseate, New Delhi 13th to 17th September
———
• Bridal Bookings : +919152008008
💄@glammsquadbyshradhaluthra</t>
  </si>
  <si>
    <t>shrouk.adel_makeupartist</t>
  </si>
  <si>
    <t>Shrouk Adel Make up artist</t>
  </si>
  <si>
    <t>طنطا-الاستاد اعلي هارت اتاك : Address
Contact : 01225634603 - 01559949400
𝐏𝐫𝐢𝐯𝐚𝐭𝐞 𝐚𝐜𝐜𝐨𝐮𝐧𝐭:@shroukadelpvt
@makeup_by_team_shrouk.adel</t>
  </si>
  <si>
    <t>https://www.facebook.com/shrouk.adel.makeup.artist</t>
  </si>
  <si>
    <t>sisymakeupartist</t>
  </si>
  <si>
    <t>Sisy Make up Artist</t>
  </si>
  <si>
    <t>Jakarta Based 
Official Team :
@jocelynmakeupartist @diandianty_makeup @janetmakeupartist 
#SisyMakeupTeam
Pricelist &amp; Booking (Livi) :</t>
  </si>
  <si>
    <t>stylechannel</t>
  </si>
  <si>
    <t>MAKEUP ARTIST</t>
  </si>
  <si>
    <t>✨ Professional Makeup Artist | As seen on BET+ Fighting to Be Me
💄 Enhancing beauty 
📍✈️ Available for travel
📲 @stylechannel2 | (202) 792-4700</t>
  </si>
  <si>
    <t>https://stylechannelbeauty.com/products/perfect-finish-spray?fbclid=PAQ0xDSwManldleHRuA2FlbQIxMAABpxdkLoi4PbO1VBnW3GBRk79nPZssuX763xZB2z_TzTIGZzIoTLtcK4qsLECJ_aem_1MOomUce6qL0IRdMJHvvmw</t>
  </si>
  <si>
    <t>amillamaldives</t>
  </si>
  <si>
    <t>Amilla Maldives</t>
  </si>
  <si>
    <t>Luxury island escape in a UNESCO Biosphere, with sustainability, family-friendly experiences, and accessibility.</t>
  </si>
  <si>
    <t>https://linktr.ee/amillamaldives</t>
  </si>
  <si>
    <t>cinnamondhonvelimaldives</t>
  </si>
  <si>
    <t>Cinnamon Dhonveli Maldives</t>
  </si>
  <si>
    <t>Hotel resort</t>
  </si>
  <si>
    <t>Enjoy an unforgettable getaway in the tropics! 🏝🌊</t>
  </si>
  <si>
    <t>https://linktr.ee/CinnamonDhonveliMaldives</t>
  </si>
  <si>
    <t>conrad_maldives</t>
  </si>
  <si>
    <t>Conrad Maldives Rangali Island</t>
  </si>
  <si>
    <t>Escape to our sanctuary of serene luxury and rare natural beauty. #ConradMaldives</t>
  </si>
  <si>
    <t>https://survey.destinasian.com/?fbclid=PAQ0xDSwMBKixleHRuA2FlbQIxMQABp9mc8CHpFINpvf9NbHuyRSko0Mgdb2Pu4sQorOhsc-v7Gx5h1dtsb_us1C8n_aem_BC-G_QZFfOtTqLLdPrKZ5g</t>
  </si>
  <si>
    <t>fsmaldives</t>
  </si>
  <si>
    <t>Four Seasons Resorts Maldives</t>
  </si>
  <si>
    <t>Welcome to the Maldives collection, featuring Kuda Huraa, Landaa Giraavaru and Four Seasons Private Island at Voavah.</t>
  </si>
  <si>
    <t>https://sprout.link/fsmaldives</t>
  </si>
  <si>
    <t>Maldives</t>
  </si>
  <si>
    <t>Maldives is the perfect holiday destination with luxury resorts, hotels, beaches &amp; amazing underwater world</t>
  </si>
  <si>
    <t>maldives.explore_</t>
  </si>
  <si>
    <t>Maldives Explore 💫</t>
  </si>
  <si>
    <t>For those who live to explore &amp; chase adventure 🌍📸  
Crystal waters, golden sunsets &amp; unforgettable journeys 🌊
DM us to get featured ✉️</t>
  </si>
  <si>
    <t>https://www.instagram.com/travel.nirvana_?igsh=MXBibjJsMm90MmQ5MA%3D%3D</t>
  </si>
  <si>
    <t>maldives.explores</t>
  </si>
  <si>
    <t>Maldives 🇲🇻 🏝 Travel | Hotels | Food | Tips</t>
  </si>
  <si>
    <t>🏙️ Discover the best of The Maldives
💙 The leading Maldives community by @hotel
👇 Save up to 40% on hotels in Maldives!</t>
  </si>
  <si>
    <t>http://athotel.com/l/maldives-hotel-deals</t>
  </si>
  <si>
    <t>maldives.g80</t>
  </si>
  <si>
    <t>Ahsan</t>
  </si>
  <si>
    <t>‘25 BMW G80 M3 6MT 🕹️
Maldives Blue II on Tartufo
#savethemanuals #exqzm3</t>
  </si>
  <si>
    <t>https://carbuild.co/u/maldives.g80</t>
  </si>
  <si>
    <t>maldives_thailand</t>
  </si>
  <si>
    <t>Недвижимость Паттайя &amp; Мальдивы</t>
  </si>
  <si>
    <t>Эксперт в:
🚩Продаже
🚩Аренде
🚩Бронирую отели 5* на Мальдивах
🚩Свадебные церемонии на Мальдивах 
ОТЗЫВЫ👉#отзывы2559
☎️+66-905-81-94-64(WhatsApp)</t>
  </si>
  <si>
    <t>https://www.epicenterpro.com/</t>
  </si>
  <si>
    <t>maldives___travel</t>
  </si>
  <si>
    <t>ТУРЫ НА МАЛЬДИВЫ | СЕЙШЕЛЫ | МАВРИКИЙ | Ксения Целоусова</t>
  </si>
  <si>
    <t>🏆ТОП20 компаний России. Посетили более 100 резортов
💲Оплата ₽, $, €, AED. Прямые контракты и связи
▪️Выгодней Booking, вылет из всех стран
📩 Запрос ↓</t>
  </si>
  <si>
    <t>http://wa.me/79526478894</t>
  </si>
  <si>
    <t>online.maldives</t>
  </si>
  <si>
    <t>Туры на Мальдивы•Гладкая Виктория</t>
  </si>
  <si>
    <t>Летаю✈️ на Мальдивы с 3 детьми и без
CEO турагентства MALDIVES ONLINE
Делаю честные обзоры отелей
Купить тур из любой точки🌎в ₽,$
В офисе или онлайн⤵️</t>
  </si>
  <si>
    <t>http://maldivesonline.ru</t>
  </si>
  <si>
    <t>ritzcarltonmaldives</t>
  </si>
  <si>
    <t>The Ritz-Carlton Maldives, Fari Islands</t>
  </si>
  <si>
    <t>100 elegantly designed villas in North Malé Atoll #RCMemories #EmbraceIslandLife #Maldives
Discover more:</t>
  </si>
  <si>
    <t>https://linktr.ee/theritzcarltonmaldives</t>
  </si>
  <si>
    <t>shadowpalmmaldives</t>
  </si>
  <si>
    <t>Shadowpalm Tours</t>
  </si>
  <si>
    <t>Boat Tour Agency</t>
  </si>
  <si>
    <t>Organizing Tours from Maafushi📍&amp; nearby islands. Group retreats for Czech, Slovak &amp; Spanish travelers.
@shadowpalmhouse 🇪🇸 
@shadowpalmmaledivy  🇨🇿 🇸🇰</t>
  </si>
  <si>
    <t>https://www.shadowpalm.com/</t>
  </si>
  <si>
    <t>so.maldives</t>
  </si>
  <si>
    <t>SO/ Maldives</t>
  </si>
  <si>
    <t>#IslandCouture 🏝️
Part of @ennismore and @accor 
Enjoy exclusive savings, join @all.accor @dis_loyalty_</t>
  </si>
  <si>
    <t>https://so-hotels.com/en/maldives/</t>
  </si>
  <si>
    <t>visitmaldives</t>
  </si>
  <si>
    <t>Visit Maldives</t>
  </si>
  <si>
    <t>Regional Website</t>
  </si>
  <si>
    <t>The official Instagram account of Maldives Tourism Board. Tag your pictures with @visitmaldives or #VisitMaldives for a chance to be featured.</t>
  </si>
  <si>
    <t>https://visitmaldives.com/en/experience/the-maldives-the-ultimate-luxury-winter-destination-for-sun-seekers</t>
  </si>
  <si>
    <t>wmaldives</t>
  </si>
  <si>
    <t>W Maldives</t>
  </si>
  <si>
    <t>#TheOriginalWavemaker
Meet us at #WMaldives.
Part of @whotels @marriottbonvoy 
🌐 wmaldives.com</t>
  </si>
  <si>
    <t>https://linktr.ee/wmaldives</t>
  </si>
  <si>
    <t>youandmemaldives</t>
  </si>
  <si>
    <t>You &amp; Me Maldives</t>
  </si>
  <si>
    <t>#YouAndMeMaldives, love is in the air.
Discover @TheCocoonCollection Luxury Resorts
▫️ Maldives
▫️ Zanzibar</t>
  </si>
  <si>
    <t>https://www.youandmemaldives.com/</t>
  </si>
  <si>
    <t>archimarathon</t>
  </si>
  <si>
    <t>Archimarathon</t>
  </si>
  <si>
    <t>Exploring incredible architecture all over the world. Videos and tours hosted by @kevinhui_archimarathon and @maynardarchitect.</t>
  </si>
  <si>
    <t>https://www.archimarathon.com/links</t>
  </si>
  <si>
    <t>berlinmarathon</t>
  </si>
  <si>
    <t>BMW BERLIN-MARATHON</t>
  </si>
  <si>
    <t>💙Official Account: Follow Now 
🫵September 21, 2025
 #BerlinMarathon #Berlinlegend
▶️ Organized by @scc_events
⬇️ Find out more ✨</t>
  </si>
  <si>
    <t>https://linktr.ee/berlinmarathon</t>
  </si>
  <si>
    <t>bostonmarathon</t>
  </si>
  <si>
    <t>Boston Marathon</t>
  </si>
  <si>
    <t>Home of the #BostonMarathon managed by the Boston Athletic Association (#BAA) @TeamBAA 🦄🏅#Boston129</t>
  </si>
  <si>
    <t>https://linkin.bio/bostonmarathon</t>
  </si>
  <si>
    <t>cdmarathonhn_oficial</t>
  </si>
  <si>
    <t>Club Deportivo Marathón</t>
  </si>
  <si>
    <t>Cuenta Oficial de Instagram 
Primer equipo de fútbol profesional en Honduras.
#MonstruoVerde #YoSoyFuriaVerde</t>
  </si>
  <si>
    <t>http://www.clubdeportivomarathon.com/</t>
  </si>
  <si>
    <t>franziskaschoebel</t>
  </si>
  <si>
    <t>Franzi | Running + Marathon Training</t>
  </si>
  <si>
    <t>Realistic running content as a marathon girl 🏃🏽‍♀️
training for my 13th marathon in Berlin   ◡̈
@mybraineffect: FRANZISKA
Imprint: @fyndafit</t>
  </si>
  <si>
    <t>https://youtube.com/@franziska.schoebel?si=l2IlBhj10eRRylEt</t>
  </si>
  <si>
    <t>londonmarathon</t>
  </si>
  <si>
    <t>TCS London Marathon</t>
  </si>
  <si>
    <t>The world’s greatest marathon. 🌍
The 2026 TCS London Marathon will take place on Sunday 26 April.
#LondonMarathon</t>
  </si>
  <si>
    <t>http://sprout.link/londonmarathon</t>
  </si>
  <si>
    <t>marathonbuoy</t>
  </si>
  <si>
    <t>Pooja Singh</t>
  </si>
  <si>
    <t>Dr Pooja Nadkarni Singh
Gynaecologist and IVF specialist.
More than 25,000+ IVF babies in 18 YRS
🌱 @nimaaya_health 
Surat/Vadodara/Ahmedabad/ Mumbai</t>
  </si>
  <si>
    <t>marathonburger</t>
  </si>
  <si>
    <t>Marathon Burger</t>
  </si>
  <si>
    <t>🍔LA’s Favorite Burger
🛍️📍7507 Melrose Ave, Los Angeles
🏝️📍1827 Ocean Front Walk, Venice
🍽️Dine-In &amp; Delivery/Pick Up 11AM-10PM
🛵Delivery Only 10PM-3AM</t>
  </si>
  <si>
    <t>https://linktr.ee/marathonburger</t>
  </si>
  <si>
    <t>marathondeportes</t>
  </si>
  <si>
    <t>Marathon Deportes</t>
  </si>
  <si>
    <t>Acompañándote en tu deporte
📦 Envíos a todo el pais
🔥 6 cuotas sin interes
⬇️ COMPRAS ONLINE ⬇️</t>
  </si>
  <si>
    <t>http://marathon.com.ar/</t>
  </si>
  <si>
    <t>marathon_peru</t>
  </si>
  <si>
    <t>Marathon Perú</t>
  </si>
  <si>
    <t>Especialistas en deporte ⚽️🎾🏀
Ingresa a la web aquí👇🏻</t>
  </si>
  <si>
    <t>https://www.marathon.store/pe/</t>
  </si>
  <si>
    <t>mmusicworks</t>
  </si>
  <si>
    <t>Marathon Music Works</t>
  </si>
  <si>
    <t>A turn-of-the-century auto factory turned Nashville’s most unique concert &amp; event venue.
🎫  Box Office: Friday 10am-4pm</t>
  </si>
  <si>
    <t>https://www.marathonmusicworks.com/tickets/</t>
  </si>
  <si>
    <t>nycmarathon</t>
  </si>
  <si>
    <t>TCS New York City Marathon</t>
  </si>
  <si>
    <t>📅 November 2, 2025
🏅The premier event of @NYRR
Link in bio ⬇️</t>
  </si>
  <si>
    <t>https://sprout.link/nycmarathon</t>
  </si>
  <si>
    <t>philly_marathon</t>
  </si>
  <si>
    <t>Philadelphia Marathon Weekend</t>
  </si>
  <si>
    <t>Home of Philly Marathon Weekend🔔
Registration for 2025 Rothman Ortho 8k still OPEN: #pmw2025 is Nov 21-23, 2025</t>
  </si>
  <si>
    <t>https://mtr.bio/philadelphia-marathon</t>
  </si>
  <si>
    <t>themarathonclothing</t>
  </si>
  <si>
    <t>The Marathon Clothing</t>
  </si>
  <si>
    <t>📫 service@themarathonclothing.com
☎️ (562)296-1818 (Mon-Fri/9am-5pm PST)
📺 Youtube.com/@themarathonclothing</t>
  </si>
  <si>
    <t>https://www.themarathonclothing.com</t>
  </si>
  <si>
    <t>thesfmarathon</t>
  </si>
  <si>
    <t>The SF Marathon</t>
  </si>
  <si>
    <t>🌉 SF Marathon | Est. 1977
🏃‍♂️ 52.4, 26.2, 13.1, 10K, 5K, Family 1K
🗓️ July 25-26, 2026
👇 Secure your spot now</t>
  </si>
  <si>
    <t>https://linkin.bio/thesfmarathon</t>
  </si>
  <si>
    <t>boring.marketing</t>
  </si>
  <si>
    <t>Boring Marketing GmbH</t>
  </si>
  <si>
    <t>💰Strategieberatung
📱Social Media Management
🚀Viral Content
📸Content creation 
🎥Umsetzung von Kampagnen
⬇️Kostenloses Erstgespräch</t>
  </si>
  <si>
    <t>http://boringmarketing.de</t>
  </si>
  <si>
    <t>lookeotuperfil</t>
  </si>
  <si>
    <t>Romina Fuentes | Marketing Digital &amp; Redes Sociales</t>
  </si>
  <si>
    <t>〰️ Te ayudo a crecer en Redes Sociales 
🎙️ Speaker &amp; Capacitadora
🚀 + de 10.000 alumnos 
Adquirí tus cursos y asesorías 👇🏼</t>
  </si>
  <si>
    <t>https://linktr.ee/lookeo.tuperfil</t>
  </si>
  <si>
    <t>madovermarketing_mom</t>
  </si>
  <si>
    <t>Mad Over Marketing (M.O.M)</t>
  </si>
  <si>
    <t>📞 8092447224 for Campaign Features
👇🏻 Join the Chitthi fam!</t>
  </si>
  <si>
    <t>https://mailchi.mp/mad-over-marketing.com/chitthi</t>
  </si>
  <si>
    <t>@marketing</t>
  </si>
  <si>
    <t>The #1 source for Marketing, Culture, News on Instagram
DM for promo</t>
  </si>
  <si>
    <t>marketingconmelissa</t>
  </si>
  <si>
    <t>Melissa Arria</t>
  </si>
  <si>
    <t>Creadora de Contenido, Speaker y Emprendedora Digital 💻
@boostacademy.io
Contáctame: ✉️ hola@marketingconmelissa.com</t>
  </si>
  <si>
    <t>https://www.marketingconmelissa.com</t>
  </si>
  <si>
    <t>marketingmentor.in</t>
  </si>
  <si>
    <t>Marketing Mentor</t>
  </si>
  <si>
    <t>World's largest marketing platform, featuring the best ads campaigns &amp; brands work! 
A Part of @GiantMediaHouse
Collab: connect@giantmediahouse.com</t>
  </si>
  <si>
    <t>marketingmind.in</t>
  </si>
  <si>
    <t>Marketing Mind</t>
  </si>
  <si>
    <t>Discover the latest trends in Marketing, Advertising, Startups &amp; Media.
For Paid Collab👇</t>
  </si>
  <si>
    <t>https://linktr.ee/marketing.mind</t>
  </si>
  <si>
    <t>masterhermindset</t>
  </si>
  <si>
    <t>Tiarra | Digital Marketing</t>
  </si>
  <si>
    <t>✞ by Him, for Him 
🧸 Helping regular people make money online
🤍 Selling digital products 
💸 Dm READY or start here ↓</t>
  </si>
  <si>
    <t>https://stan.store/masterhermindset</t>
  </si>
  <si>
    <t>marketiing.strategy</t>
  </si>
  <si>
    <t>Marketing Strategy</t>
  </si>
  <si>
    <t>The premium instagram page for strategies in marketing and business</t>
  </si>
  <si>
    <t>market.ing_strategy</t>
  </si>
  <si>
    <t>Մարքեթինգ | SMM | Content Creation | Copywriting | Գովազդ</t>
  </si>
  <si>
    <t>📊Բիզնես էջերի վերլուծություն, խորհրդատվություն
💡Վաճառքներ և հաճախորդներ Instagram-ից
📈SMM ծառայություններ, գովազդ
📩Գրիր հիմա կամ զանգահարիր 041084481📱</t>
  </si>
  <si>
    <t>marketing_strategys</t>
  </si>
  <si>
    <t>Business | Finance | Marketing</t>
  </si>
  <si>
    <t>🔥𝐟𝐨𝐫 𝐝𝐚𝐢𝐥𝐲 𝐢𝐧𝐬𝐩𝐢𝐫𝐚𝐭𝐢𝐨𝐧
💡𝐥𝐞𝐚𝐫𝐧 𝐦𝐚𝐫𝐤𝐞𝐭𝐢𝐧𝐠 𝐢𝐧 𝐇𝐢𝐧𝐝𝐢
🧐𝐃𝐢𝐬𝐜𝐨𝐯𝐞𝐫 𝐧𝐞𝐰 𝐛𝐮𝐬𝐢𝐧𝐞𝐬𝐬 𝐢𝐝𝐞𝐚𝐬
💜𝐬𝐮𝐩𝐩𝐨𝐫𝐭 𝐮𝐬 𝐛𝐲 𝐟𝐨𝐥𝐥𝐨𝐰𝐢𝐧𝐠
👇𝐞𝐚𝐫𝐧 𝐰𝐢𝐭𝐡𝐨𝐮𝐭 𝐢𝐧𝐯𝐞𝐬𝐭𝐦𝐞𝐧𝐭</t>
  </si>
  <si>
    <t>https://www.youtube.com/@HustleToEarn8</t>
  </si>
  <si>
    <t>rico.incarnati</t>
  </si>
  <si>
    <t>Enrico Incarnati | Social Media Strategy | Content Marketing</t>
  </si>
  <si>
    <t>📈Strategy-first content that grows your brand, not just your views
🚀You’re One Video Away
👇🏼Join The 5-Day Viral Content Blueprint</t>
  </si>
  <si>
    <t>https://stan.store/enricoincarnati</t>
  </si>
  <si>
    <t>cammis.mealprep</t>
  </si>
  <si>
    <t>Carmen K. || Meal Prep-Expertin</t>
  </si>
  <si>
    <t>🔥Jede Woche Meal Prep Inspo für dich!
🍀Durch Meal Prep zu mehr Leichtigkeit im Berufs- und Familienleben✨
Meal Prep-Helfer shoppen⬇️</t>
  </si>
  <si>
    <t>http://amzn.to/4p4FNsO</t>
  </si>
  <si>
    <t>how2mealprep</t>
  </si>
  <si>
    <t>How To Meal Prep</t>
  </si>
  <si>
    <t>#1 Meal Prep Page on Instagram 🍱 
Ingredients and instructions with every recipe 📝</t>
  </si>
  <si>
    <t>marc.mealprep</t>
  </si>
  <si>
    <t>Marc Mealprep</t>
  </si>
  <si>
    <t>▫️Erleichtere dir deinen Alltag durch gesundes Meal Prep - stressfrei, gesund und lecker 😍
▫️Maximaler Rabatt bei MORE - „MARC“</t>
  </si>
  <si>
    <t>https://riva-store.de/marc-mealprep/</t>
  </si>
  <si>
    <t>mealprepchamp</t>
  </si>
  <si>
    <t>👊 Plan &amp; Prep with Ease
🥗 Daily Recipes
💚 Cook Easy, Live Easy</t>
  </si>
  <si>
    <t>mealprepera</t>
  </si>
  <si>
    <t>MEALPREPERA michelle | 煮理人的廚房日常</t>
  </si>
  <si>
    <t>🏆 20萬訂閱 YouTube 頻道【MEALPREPERA】
📨 商業合作請聯絡：mealprepera@gmail.com
📚 《一鍵開煮：電飯煲懶人料理》現正熱賣中！
📍YouTube 頻道每週定期更新，歡迎訂閱⤵️</t>
  </si>
  <si>
    <t>http://youtube.com/@mealpreperawithmichelle</t>
  </si>
  <si>
    <t>mealprepgram</t>
  </si>
  <si>
    <t>Meal Prepping</t>
  </si>
  <si>
    <t>🍲 Meal Prepping
🔥Daily Recipes
👭 Simple &amp; Healthy</t>
  </si>
  <si>
    <t>mealpreponfleek</t>
  </si>
  <si>
    <t>Meal Prep - Nick Quintero</t>
  </si>
  <si>
    <t>Don’t get bored with your food! 
📍 SoCal ✈️ CLT
📝 Meal Plans @workweeklunch 
👇🏽Tips, Recipes, and Free ebook</t>
  </si>
  <si>
    <t>https://workweeklunch.com/weekly-meal-plans/?utm_source=IG&amp;utm_medium=Bio&amp;utm_campaign=Meal+Prep+on+Fleek</t>
  </si>
  <si>
    <t>mealprepsandmacros</t>
  </si>
  <si>
    <t>Jess Estrella | Meal Preps &amp; Macros</t>
  </si>
  <si>
    <t>Easy and Delicious Meal Prep Recipes
High Protein without sacrificing taste
Online Coach helping you achieve your body composition goals</t>
  </si>
  <si>
    <t>https://msha.ke/jessestrellafitness</t>
  </si>
  <si>
    <t>mealprepster</t>
  </si>
  <si>
    <t>🍴Meal Prep Plans &amp; Ideas</t>
  </si>
  <si>
    <t>💪🏼 Meal Prep &amp; Chill with the Best!
🙌🏼 Goals + Inspiration
💯 Recipes + Tips
📩 hello@mealprepster.com
👣 Get Started w/ the Essentials 
🔽 Click Below! 🔽</t>
  </si>
  <si>
    <t>http://www.mealprepster.com/containers</t>
  </si>
  <si>
    <t>mealprepsundayservice</t>
  </si>
  <si>
    <t>Meal Prep Sunday</t>
  </si>
  <si>
    <t>Food delivery service</t>
  </si>
  <si>
    <t>🔥All-in-One Service for Your Fitness Goal🔥
Meals + Training App + Snack + Supplement
👇 Order Now - $4.90/ Meal + Free Delivery 👇</t>
  </si>
  <si>
    <t>https://mealprepsundayservice.com</t>
  </si>
  <si>
    <t>mealpreptutorial</t>
  </si>
  <si>
    <t>Mealprep Tutorial | Daily Healthy Recipes</t>
  </si>
  <si>
    <t>Follow for Healthy Recipes 🥦 
Nutrition Facts 🥑 | Meal Prep Guides 🍳</t>
  </si>
  <si>
    <t>prepandrally</t>
  </si>
  <si>
    <t>Prep + Rally™ | Meal Prep Mom</t>
  </si>
  <si>
    <t>Dini Klein
Cookbook Author | Food Host | DIY-er |📍 LA
📧 dini@prepandrally.com
Meal Prep with us👇🏼</t>
  </si>
  <si>
    <t>https://shopmy.us/diniklein</t>
  </si>
  <si>
    <t>sc.mealprep</t>
  </si>
  <si>
    <t>Steph Richards - Meal Prep/Nutrition Coach🩵</t>
  </si>
  <si>
    <t>🔥 Macro Friendly Recipes, 42kg⬇️
🩵 1:1 Coaching @sc.nutritioncoaching 
💙 @musclenation Athlete ‘STEPH’ 10% off
👇 COACHING + Codes</t>
  </si>
  <si>
    <t>https://linktr.ee/sc.mealprep</t>
  </si>
  <si>
    <t>themealprepking</t>
  </si>
  <si>
    <t>John Clark</t>
  </si>
  <si>
    <t>Sunday Times Bestselling Cookery Author x2 | Lost 9 stone, kept my attitude | No-nonsense. Cook. Rebel. Repeat. As seen on the BBC and RADIO1</t>
  </si>
  <si>
    <t>https://direct.me/themealprepking</t>
  </si>
  <si>
    <t>7mind_meditation_de</t>
  </si>
  <si>
    <t>7Mind Meditation, Entspannung, Konzentration &amp; Schlaf</t>
  </si>
  <si>
    <t>Erleb dich neu ✨
App, Podcast &amp; Magazin für mehr Achtsamkeit im Alltag 
↓ Starte jetzt deine Reise zu weniger Stress &amp; mehr Klarheit</t>
  </si>
  <si>
    <t>https://linkin.bio/7mind</t>
  </si>
  <si>
    <t>buddha__meditation</t>
  </si>
  <si>
    <t>Akash Kumar</t>
  </si>
  <si>
    <t>Meditation Center</t>
  </si>
  <si>
    <t>Promoting mindfulness, meditation, and spiritual growth. 
For business inquiries:
📧:-buddhameditation471@gmail.com</t>
  </si>
  <si>
    <t>davy_meditation</t>
  </si>
  <si>
    <t>Davy Harsanyi ☯︎ Méditation</t>
  </si>
  <si>
    <t>🎯 PORTES OUVERTES du Club des Nouveaux Éveillés ✨ Gratuit cette semaine :
→ Défi 7j émotions 
→ 80+ méditations/soins/yoga
→ Programme personnalisé 👇👇</t>
  </si>
  <si>
    <t>https://www.davy-meditation.fr/challenge-reveil-interieur</t>
  </si>
  <si>
    <t>meditation_and_mindfulness</t>
  </si>
  <si>
    <t>Meditation &amp; Mindfulness</t>
  </si>
  <si>
    <t>✨ Sharing peace, presence, and practice
💫 Tools to deepen your meditation, for those ready to explore
👇 Find mindful essentials here!</t>
  </si>
  <si>
    <t>http://lnk.bio/s/meditationstudio/essentials</t>
  </si>
  <si>
    <t>meditation_mag</t>
  </si>
  <si>
    <t>Méditation Magazine</t>
  </si>
  <si>
    <t>🧘🏻‍♀️ Le magazine de méditation et de bien-être
📍 En kiosque tous les 3 mois
💫 Dispo en format papier et digital sur notre site ⬇️</t>
  </si>
  <si>
    <t>http://www.turbulencespresse.fr/</t>
  </si>
  <si>
    <t>meditation_mg_</t>
  </si>
  <si>
    <t>Moustalina MG</t>
  </si>
  <si>
    <t>𝕬 𝖕𝖊𝖗𝖘𝖔𝖓 𝖜𝖍𝖔 𝖙𝖗𝖚𝖑𝖞 𝖑𝖔𝖛𝖊𝖘 𝖞𝖔𝖚 𝖜𝖎𝖑𝖑 𝖜𝖆𝖎𝖙 𝖋𝖔𝖗 𝖞𝖔𝖚, 𝖕𝖗𝖔𝖙𝖊𝖈𝖙 𝖞𝖔𝖚 𝖚𝖓𝖙𝖎𝖑 𝖒𝖆𝖗𝖗𝖎𝖆𝖌𝖊 𝖆𝖓𝖉 𝖒𝖆𝖐𝖊 𝖙𝖍𝖊 𝖈𝖆𝖚𝖘𝖊𝖘 𝖙𝖔 𝖒𝖆𝖗𝖗𝖞 𝖞𝖔𝖚.
M.A.Y.🥥.🌴.🌴.E 🌺🇾🇹
📚: se rappeler d’Allah</t>
  </si>
  <si>
    <t>meditationsecrets</t>
  </si>
  <si>
    <t>Meditation &amp; Spiritual Secrets</t>
  </si>
  <si>
    <t>🌍Meditation is your superpower!
✍️Discover the free secret tool that helps you manifest your wildest dreams &amp; desires.
⤵️Tap the link below to claim.</t>
  </si>
  <si>
    <t>https://www.thesecretmanifestation.com/subscribe</t>
  </si>
  <si>
    <t>meditation.with.eli</t>
  </si>
  <si>
    <t>فروش طراحی مدیتیشن</t>
  </si>
  <si>
    <t>❌ این پیج خدماتی در زمینه ارائه فال شخصی ندارد ❌
رزرو نوبت فقط در تلگرام 👇🏼
09911189196
دارنده ی مدرک مربی گری درجه ۳ یوگا/ مدرک مدیتیشن یوگا الاینس</t>
  </si>
  <si>
    <t>https://t.me/cometoheavenwitheli</t>
  </si>
  <si>
    <t>meditationyam</t>
  </si>
  <si>
    <t>انرژی ارتعاش آگاهی /مدیتیشن یام</t>
  </si>
  <si>
    <t>💎 جایی برای ذهن‌های آگاه و متفاوت
🚪 فقط برای کسانی که آماده‌ی تغییر واقعی‌اند
✨ اگر حس کردی وقتشه... همراه شو
👇 استوری‌ها رو از دست نده</t>
  </si>
  <si>
    <t>momeditation</t>
  </si>
  <si>
    <t>Mo Meditation, Sleep, Recovery</t>
  </si>
  <si>
    <t>Join our community of 3 million happy users.</t>
  </si>
  <si>
    <t>https://momeditation.onelink.me/d21L/f7143599</t>
  </si>
  <si>
    <t>nkbmeditation</t>
  </si>
  <si>
    <t>NKB Divine Meditation Foundation</t>
  </si>
  <si>
    <t>Free Meditation Centre inspired by Neem Karoli Baba. Daily Hanuman Chalisa &amp; Ram Ram Jaap. अन्नदान |Bhandara | Donation eligible for 80G tax exemption</t>
  </si>
  <si>
    <t>https://nkbmeditation.org/donations</t>
  </si>
  <si>
    <t>prosto.meditation</t>
  </si>
  <si>
    <t>Prosto: медитация и сон — твоя внутренняя опора</t>
  </si>
  <si>
    <t>Prosto App by @irenaponaroshku 
Обои на сентябрь по ссылке в профиле 🍁</t>
  </si>
  <si>
    <t>https://t.me/+oZtn3FMJVmk3Yzli</t>
  </si>
  <si>
    <t>serenity.meditaction</t>
  </si>
  <si>
    <t>San Serenity - Méditation &amp; Bien-être quotidien</t>
  </si>
  <si>
    <t>🌕 Guide de voyage méditatif destination 🚀 Lune
🎥 YouTube +57k abonnés 
⬇️ RITUELS DE LIBÉRATION ⬇️</t>
  </si>
  <si>
    <t>http://linktr.ee/serenity.meditaction</t>
  </si>
  <si>
    <t>shiv_dhun_meditation</t>
  </si>
  <si>
    <t>Shiv Dhun Meditation</t>
  </si>
  <si>
    <t>#ShriRam #shiv #mahadev #hanuman #ganesh #jaishreeram #bholenath #krishna #radhakrishna #radha #durgapuja #mahakal #harharmahadev #om #hanumanji #maa</t>
  </si>
  <si>
    <t>kings_menswear_official</t>
  </si>
  <si>
    <t>Kings menswear</t>
  </si>
  <si>
    <t>रोज काहीतरी नवीन....💯
स्वत : कष्ट करून मोठं  व्हायचं💯
True seller 
No - 7083994802  
• पत्ताः सिद्धीविनायक हॉस्प्टिल समोर नसरापुर, ता. भोर, जि. पुणे</t>
  </si>
  <si>
    <t>labelmenswear</t>
  </si>
  <si>
    <t>Label Menswear</t>
  </si>
  <si>
    <t>- Designer Labels Below RRP
- Buy Now, Pay Later with Klarna
- Rated 5 ⭐️ on Trustpilot</t>
  </si>
  <si>
    <t>http://label-menswear.com</t>
  </si>
  <si>
    <t>lessisworestyle</t>
  </si>
  <si>
    <t>Menswear</t>
  </si>
  <si>
    <t>Visit our gallery to get style inspiration from people around the world &amp; more.
lessiswore@gmail.com</t>
  </si>
  <si>
    <t>menfashiondeluxe</t>
  </si>
  <si>
    <t>Men's Fashion | Menswear</t>
  </si>
  <si>
    <t>Fashion, Inspiration, Innovation
Whatsapp: +44 7306 858967</t>
  </si>
  <si>
    <t>http://antoniosclothing.com/discount/MFD</t>
  </si>
  <si>
    <t>MensWear</t>
  </si>
  <si>
    <t>💻📱Reviewing the latest items, trends &amp; looks from the world of Men’s Luxury Fashion.
📩 DM for all Collaboration Requests.</t>
  </si>
  <si>
    <t>https://menswearteam.com/</t>
  </si>
  <si>
    <t>menswearbn</t>
  </si>
  <si>
    <t>Menswear😍</t>
  </si>
  <si>
    <t>Men's clothing store</t>
  </si>
  <si>
    <t>👔👖👟👕🧢
Based in 🇧🇳🇧🇳
Clothing are designed by korea🇰🇷 
Shirts that turn you hot🙈 
We look for anything you need!
Legit seller 💯</t>
  </si>
  <si>
    <t>menswearplease</t>
  </si>
  <si>
    <t>Jordan Maurin</t>
  </si>
  <si>
    <t>Décomplexer les hommes en leur montrant qu’on peut s’amuser avec ses vêtements.
🎧 Hôte du podcast "Menswear Family"
🤳 TikTok @menswearplease</t>
  </si>
  <si>
    <t>https://uplf-eyewear.com/products/maury</t>
  </si>
  <si>
    <t>moulay_menswear</t>
  </si>
  <si>
    <t>Moulay menswear</t>
  </si>
  <si>
    <t>Bienvenue chez Moulay menswear ❤️.
📍Address: طريق فاميلي شوب مقابل نادي الفروسية.ولاية البليدة
0794032074 ☎️</t>
  </si>
  <si>
    <t>https://maps.apple.com/place?coordinate=36.489522%2C2.841391&amp;name=Position%2520d%25E2%2580%2599Amir%2520Ezzeroug&amp;map=h</t>
  </si>
  <si>
    <t>olivemenswear</t>
  </si>
  <si>
    <t>Olive Menswear</t>
  </si>
  <si>
    <t>Contemporary Menswear • United Kingdom • No DMs: for customer services, please use the ? button on our website.</t>
  </si>
  <si>
    <t>http://www.oliveclothing.com/men</t>
  </si>
  <si>
    <t>__smartlook_menswear__</t>
  </si>
  <si>
    <t>👑MENSWEAR 👑</t>
  </si>
  <si>
    <t>NO CASH ON DELIVERY 🚫
:-PAYMENT OPTION:-Gpay:-PhonePay:-PayTm:-📱
:-SHIPPING:-ALL:-OVER:-INDIA:🇮🇳
:-WHATSAAP NO -</t>
  </si>
  <si>
    <t>the_boyz_menswear</t>
  </si>
  <si>
    <t>𝗧𝗵𝗲 𝗕𝗼𝘆𝘀 𝗠𝗲𝗻𝘀𝘄𝗲𝗮𝗿</t>
  </si>
  <si>
    <t>𝙎𝙝𝙞𝙥𝙥𝙞𝙣𝙜 𝘼𝙡𝙡 𝙤𝙫𝙚𝙧 𝙄𝙣𝙙𝙞𝙖🛍️
Branch 2 @the_boys_menswear2 
🇴​​​​​🇷​​​​​🇩​​​​​🇪​​​​​🇷​​​​​  📲  𝟳𝟴𝟰𝟱𝟳𝟳𝟮𝟲𝟮𝟱
NO COD❌
👇🏻👇🏻Shop 𝐀𝐝𝐝𝐫𝐞𝐬𝐬 👇🏻👇🏻</t>
  </si>
  <si>
    <t>https://maps.app.goo.gl/qJMoMGk8UHNfNTRR8</t>
  </si>
  <si>
    <t>wmenswear</t>
  </si>
  <si>
    <t>W'menswear</t>
  </si>
  <si>
    <t>Hard-hitting garments for hard-hitting women. We work with artisans to weave stories of trailblazing women into our garments. Independent, since 2015.</t>
  </si>
  <si>
    <t>http://wmenswear.com/</t>
  </si>
  <si>
    <t>xq_menswear</t>
  </si>
  <si>
    <t>XQ-اكس كيو</t>
  </si>
  <si>
    <t>اعلي خامة باقل سعر</t>
  </si>
  <si>
    <t>betterme.mental_health</t>
  </si>
  <si>
    <t>BetterMe: Mental Health</t>
  </si>
  <si>
    <t>Gentle tools for real struggles — all in one app.
Breathe, reflect, and grow daily with BetterMe: Mental Health 💙</t>
  </si>
  <si>
    <t>https://bit.ly/HealYourChildhoodTrauma</t>
  </si>
  <si>
    <t>fightthroughmentalhealth</t>
  </si>
  <si>
    <t>Fight Through Mental Health</t>
  </si>
  <si>
    <t>Worldwide Mental Health Movement. 🧠🌎
Founder: @hannahamakeup.
Shop Our 5⭐️ Anxiety Journal Below!👇</t>
  </si>
  <si>
    <t>https://fightthroughmentalhealth.com/</t>
  </si>
  <si>
    <t>howmental</t>
  </si>
  <si>
    <t>How Mental | Health Wellbeing</t>
  </si>
  <si>
    <t>Get the right support for your mind 😇
Care for the people you love most 👫
Make wellbeing THE global priority ✊🌍❤️🧠
👇👇👇</t>
  </si>
  <si>
    <t>https://linktr.ee/howmental</t>
  </si>
  <si>
    <t>letstalk.mentalhealth</t>
  </si>
  <si>
    <t>Lets Talk Mental Health</t>
  </si>
  <si>
    <t>🤍Follow to boost your mental wellness daily!
🤍DM “join” for free access to our newsletter
🤍Collabs email letstalkmentalhealth@supermind.co</t>
  </si>
  <si>
    <t>https://linktr.ee/letstalk.mentalhealth</t>
  </si>
  <si>
    <t>mental._community</t>
  </si>
  <si>
    <t>Mental health Community</t>
  </si>
  <si>
    <t>We promote here mentalhealth content ✨daily self love +mentalhealth conten  inspiring,anxiety,motivation&amp;empowering @tinalynn2310@slip_psych_services</t>
  </si>
  <si>
    <t>mentalhealthamerica</t>
  </si>
  <si>
    <t>Mental Health America</t>
  </si>
  <si>
    <t>Dedicated to mental health, well-being, and prevention. For crisis support:
📱 Call or Text 988 or Chat 988lifeline.org
💬 Txt HELLO to 741741</t>
  </si>
  <si>
    <t>http://shopgr.id/mentalhealthamerica</t>
  </si>
  <si>
    <t>mentalhealthcoalition</t>
  </si>
  <si>
    <t>The Mental Health Coalition</t>
  </si>
  <si>
    <t>◾️Coming together to destigmatize mental health.
❗️In crisis? Text COALITION to @crisistextline at 741-741, or call 988 to reach @988lifeline.</t>
  </si>
  <si>
    <t>https://linktr.ee/mentalhealthcoalition</t>
  </si>
  <si>
    <t>mentalhealth_.community</t>
  </si>
  <si>
    <t>Mental Health Community</t>
  </si>
  <si>
    <t>𝗪𝗲 𝗽𝗿𝗼𝗺𝗼𝘁𝗲 𝗵𝗲𝗿𝗲 𝗮𝗹𝗹 𝗺𝗲𝗻𝘁𝗮𝗹𝗵𝗲𝗮𝗹𝘁𝗵 𝗰𝗼𝗻𝘁𝗲𝗻𝘁 ✨𝗱𝗮𝗶𝗹𝘆 𝘀𝗲𝗹𝗳 𝗹𝗼𝘃𝗲 + 𝗺𝗲𝗻𝘁𝗮𝗹 𝗵𝗲𝗮𝗹𝘁𝗵 𝗰𝗼𝗻𝘁𝗲𝗻𝘁
✨𝗶𝗻𝘀𝗽𝗶𝗿𝗶𝗻𝗴,𝗺𝗼𝘁𝗶𝘃𝗮𝘁𝗶𝗼𝗻 &amp; 𝗲𝗺𝗽𝗼𝘄𝗲𝗿𝗶𝗻𝗴
𝗗𝗠 𝗬𝗼𝘂𝗿 𝗕𝗲𝘀𝘁 𝗦𝘁𝘂𝗳𝗳
@labelmeloved_</t>
  </si>
  <si>
    <t>mentalhealth_family</t>
  </si>
  <si>
    <t>{ PROMOTION } Rajan</t>
  </si>
  <si>
    <t>| PROMOTION |
We promote here all mentalhealth content daily self
love + mental health 
+inspiring anxiety,motivation % empowering dm for inquiry</t>
  </si>
  <si>
    <t>mentalhealthfoundation</t>
  </si>
  <si>
    <t>Mental Health Foundation</t>
  </si>
  <si>
    <t>We are the UK charity focused on preventing poor mental health.💜
Home of #MentalHealthAwarenessWeek.</t>
  </si>
  <si>
    <t>https://linktr.ee/mentalhealthfoundation</t>
  </si>
  <si>
    <t>mental.health.hub.official</t>
  </si>
  <si>
    <t>Mental Health Hub</t>
  </si>
  <si>
    <t>Specialized Educational platform for mental health tips &amp; courses based on positive psychology
Boost #mentalhealth, #selfcare, #wellness &amp; #awareness</t>
  </si>
  <si>
    <t>http://www.mentalhealthmena.com</t>
  </si>
  <si>
    <t>mentalhealth_issues</t>
  </si>
  <si>
    <t>𝗠𝗘𝗡𝗧𝗔𝗟 𝗛𝗘𝗔𝗟𝗧𝗛 𝗜𝗦𝗦𝗨𝗘𝗦</t>
  </si>
  <si>
    <t>We promote here all mentalhealth content ✨daily self love + mental health content
✨inspiring,anxiety,motivation &amp; empowering
 Star 🌟 @dmvrockstarmoe</t>
  </si>
  <si>
    <t>https://www.booking.com/</t>
  </si>
  <si>
    <t>mentalhealthmattersph</t>
  </si>
  <si>
    <t>Mental Health Matters PH</t>
  </si>
  <si>
    <t>Kylie Verzosa’s Mental Health Organization 
💫A daily dose of inspiration</t>
  </si>
  <si>
    <t>https://youtu.be/hHOsri1eC5c?si=qa8M3g_wTES-LGbD</t>
  </si>
  <si>
    <t>mental_health_servicess</t>
  </si>
  <si>
    <t>Tyler Durden</t>
  </si>
  <si>
    <t>• I'm Living In My Head
• Original Content 📈</t>
  </si>
  <si>
    <t>mindfulness_.community</t>
  </si>
  <si>
    <t>MENTAL HEALTH COMMUNITY</t>
  </si>
  <si>
    <t>We Promote here all mentalhealth content ✨daily self love + mental health content + Mindfulness 
✨inspiring,motivation &amp; empowering @drvasantlad</t>
  </si>
  <si>
    <t>psychologyposts_</t>
  </si>
  <si>
    <t>Psychology Posts | Mental Health</t>
  </si>
  <si>
    <t>#1 Community for Psychology Enthusiasts - Est. 2018
🧠 Giving You an Insight Into The Human Mind</t>
  </si>
  <si>
    <t>selfcare4yu</t>
  </si>
  <si>
    <t>Selfcare4Yu | Mental Health</t>
  </si>
  <si>
    <t>🤍 Here to make you feel good 
💌 selfcare4yuu@gmail.com 
🐼 Download Cub below</t>
  </si>
  <si>
    <t>https://rebrand.ly/selfcare4yub</t>
  </si>
  <si>
    <t>yourmentalhealthisapriority</t>
  </si>
  <si>
    <t>MENTAL HEALTH ADVOCACY 📣</t>
  </si>
  <si>
    <t>by @madelinekivett @aalexeubanks
➝ welcome to our journey! (: 
➝ education, advocacy &amp; hope 💌
➝ working to end stigma for all 
podcast, merch + more ↓</t>
  </si>
  <si>
    <t>https://bio.site/yourmentalhealthisapriority</t>
  </si>
  <si>
    <t>agavecantinamexicananj</t>
  </si>
  <si>
    <t>Mexican Food | Cocktails | Lounge</t>
  </si>
  <si>
    <t>Fine Mexican Cuisine | Crafted Cocktails 
📍421 Piaget Ave, Clifton, NJ 
Reserve with our link ⬇️🍾🍽️
Our TikTok agave.cantinanj ✨💃🏼</t>
  </si>
  <si>
    <t>https://tables.toasttab.com/restaurants/10ebfaad-3e3a-48ca-b323-463571be80d8/findTime</t>
  </si>
  <si>
    <t>homemade_always</t>
  </si>
  <si>
    <t>Belinda Gonzalez | Mexican Food</t>
  </si>
  <si>
    <t>•📍LA 🇲🇽 🇺🇸 
• Sharing Mexican/American Food Recipes 
• Recipe Developer/Home-style cooking
• Full recipes on my blog ⬇️</t>
  </si>
  <si>
    <t>https://www.homemadealways.com</t>
  </si>
  <si>
    <t>mexicanfood507</t>
  </si>
  <si>
    <t>Auténtica Comida Mexicana</t>
  </si>
  <si>
    <t>📍Costa Verde  6596-5109
📍San Francisco 6162-0095
📱Menú Digital 👇</t>
  </si>
  <si>
    <t>https://mexicansfood.com/</t>
  </si>
  <si>
    <t>mexicanfoods</t>
  </si>
  <si>
    <t>Mexican Food 🌮🥑🌯🌶️</t>
  </si>
  <si>
    <t>Comida • Cultura • Música 🇲🇽
📍LA • Denver • SLC • Chicago • Vegas • Houston</t>
  </si>
  <si>
    <t>taqueriaelviejoncantina</t>
  </si>
  <si>
    <t>MEXICAN FOOD &amp; DRINKS</t>
  </si>
  <si>
    <t>EL VIEJON TAQUERIA Y MARISCOS EN ATLANTA 🇲🇽 🇺🇸 
Authentic Mexican food and drinks✨ 
Celebrate your special dates 🎂🎉</t>
  </si>
  <si>
    <t>http://taqueriaelviejon.com</t>
  </si>
  <si>
    <t>__mindful.moments_</t>
  </si>
  <si>
    <t>Megha Goyal | MOMTASTIC 🚀</t>
  </si>
  <si>
    <t>Born To Shine 😎
LIFESTYLE | SKINCARE | BEAUTY | PARENTING 
💌Dm for collaboration/ Paid Promotion ✨</t>
  </si>
  <si>
    <t>https://cureforever.in/products/cureforever-resveratrol-drink</t>
  </si>
  <si>
    <t>mindfulmomentswithpedro</t>
  </si>
  <si>
    <t>Mindful Moments</t>
  </si>
  <si>
    <t>🎙️ Honest conversations exploring mental wellness, resilience, and healing hosted by Pedro Morante.</t>
  </si>
  <si>
    <t>https://www.facebook.com/share/15thNJ2hfR/?mibextid=wwXIfr</t>
  </si>
  <si>
    <t>elite.mindsets</t>
  </si>
  <si>
    <t>EliteMindsets ®</t>
  </si>
  <si>
    <t>The #1 Page For Self Development And Motivation</t>
  </si>
  <si>
    <t>gains</t>
  </si>
  <si>
    <t>Gains | Fitness, Mindset &amp; Motivation</t>
  </si>
  <si>
    <t>No BS. Train smart. Stay sharp.  💪🏼</t>
  </si>
  <si>
    <t>librarymindset</t>
  </si>
  <si>
    <t>Library Mindset</t>
  </si>
  <si>
    <t>📚| I love reading books
📖| Buy my new book:</t>
  </si>
  <si>
    <t>https://geni.us/theartoflaziness</t>
  </si>
  <si>
    <t>lifehack.mindset</t>
  </si>
  <si>
    <t>라이프핵 마인드셋</t>
  </si>
  <si>
    <t>Mental &amp; Physical Strength
Be the Best Version of You.</t>
  </si>
  <si>
    <t>Mindset</t>
  </si>
  <si>
    <t>Build your mindset to succeed in life!
Download our app</t>
  </si>
  <si>
    <t>http://www.minds.et</t>
  </si>
  <si>
    <t>mindsetconsciousness</t>
  </si>
  <si>
    <t>🕉️ Conscious Mindset 🕉️</t>
  </si>
  <si>
    <t>There's an inner voice that lives inside us all, waiting for us to believe 🙏
Dm @enlightenpromotions for promos and collaborations</t>
  </si>
  <si>
    <t>https://linktr.ee/EnlightenThoughts</t>
  </si>
  <si>
    <t>mindset.mirage</t>
  </si>
  <si>
    <t>Motivation | Mindset | Success</t>
  </si>
  <si>
    <t>🧠 Break the loop. Rebuild your self-trust.
⚡ 7 days. 1 habit. Everything changes.
📥 Free RESET guide — start today⬇️</t>
  </si>
  <si>
    <t>https://mindsetmirage.beehiiv.com/subscribe</t>
  </si>
  <si>
    <t>mindsetofgreatness</t>
  </si>
  <si>
    <t>Wisdom ⋆ Light ⋆ Love</t>
  </si>
  <si>
    <t>Helping you achieve greatness in life
and live your personal legend since 2014
Created by @lukasnotes
#mindsetofgreatness 🌳</t>
  </si>
  <si>
    <t>https://www.moonomens.com/</t>
  </si>
  <si>
    <t>mindsetofsociety</t>
  </si>
  <si>
    <t>MINDSET OF SOCIETY™</t>
  </si>
  <si>
    <t>The #1 Best Self Development Page
Mindset, Self-development, News, Business, Trends, Technology, &amp; More 💫
Removal 📧 MindsetOfSociety@gmail.com</t>
  </si>
  <si>
    <t>mindsetraptors</t>
  </si>
  <si>
    <t>Business | Mindset | Motivation</t>
  </si>
  <si>
    <t>The #1 Mindset Page Pushing You to Level Up
◼️ Est - 2023 | @lukegosseling 
↓ Join Our FREE Newsletter Below ↓</t>
  </si>
  <si>
    <t>https://mindsetraptors.com/subscribe</t>
  </si>
  <si>
    <t>mindset.therapy</t>
  </si>
  <si>
    <t>MINDSET THERAPY™</t>
  </si>
  <si>
    <t>The #1 Best Self Development Brand
Partnerships 📩 info@mindsettherapy.com</t>
  </si>
  <si>
    <t>https://mindsettherapy.com/</t>
  </si>
  <si>
    <t>mindset.unchained</t>
  </si>
  <si>
    <t>🧠 Mindset Journal
🔥 Fueling ambition &amp; self-discipline
📚 Checkout our E-book 👇🏻</t>
  </si>
  <si>
    <t>mindsetvibrations</t>
  </si>
  <si>
    <t>MindsetVibrations | Elevate Your Mind</t>
  </si>
  <si>
    <t>💡 Master Your Mindset | Manifest Your Dreams
🌟 Law of Attraction &amp; Personal Growth
🔥 Ready for a Mindset Revolution? Tap the link! ⬇️</t>
  </si>
  <si>
    <t>https://innertune.com/mindsetvibrations</t>
  </si>
  <si>
    <t>motivasi.mindset</t>
  </si>
  <si>
    <t>MOTIVASI &amp; BISNIS DIGITAL</t>
  </si>
  <si>
    <t>Business Center</t>
  </si>
  <si>
    <t>INFO PP? DM 📩
📈 Ubah cara pikir, ubah hidupmu
📚 Tips mindset, self-growth &amp; produktivitas
👇 Belajar Jualan Produk digital</t>
  </si>
  <si>
    <t>https://lynk.id/a/4052045291</t>
  </si>
  <si>
    <t>motivated.mindset</t>
  </si>
  <si>
    <t>Motivated Mindset</t>
  </si>
  <si>
    <t>Daily mindset upgrades.
No fluff. Just fuel.
For those who are ready.
🧠 Join the movement.</t>
  </si>
  <si>
    <t>http://www.motivatedmindset.com</t>
  </si>
  <si>
    <t>redelmindset</t>
  </si>
  <si>
    <t>Crescita Personale | Mindset | Motivazione</t>
  </si>
  <si>
    <t>Le migliori INTERVISTE motivazionali [REEL]🔥
#1 Sorgente di crescita personale.
𝙎𝙘𝙚𝙜𝙡𝙞 𝙩𝙪 𝙨𝙚 𝙎𝙚𝙜𝙪𝙞𝙧𝙘𝙞 👇</t>
  </si>
  <si>
    <t>stoicmindset0</t>
  </si>
  <si>
    <t>Stoic Mindset</t>
  </si>
  <si>
    <t>💎 Become the best version of yourself!</t>
  </si>
  <si>
    <t>http://stoicmindset.store</t>
  </si>
  <si>
    <t>uimulherao</t>
  </si>
  <si>
    <t>MINDSET AVANÇADO PARA MULHERES</t>
  </si>
  <si>
    <t>🥂-Conteúdo para transformar a forma como você se enxerga,e se ver como um diamante 💎
—
🥂SAIA DA POSIÇÃO DA MULHER BOAZINHA E SE TORNE UM MULHERÃO</t>
  </si>
  <si>
    <t>mindset._go</t>
  </si>
  <si>
    <t>Mindset Matters</t>
  </si>
  <si>
    <t>📌 On a Journey of Building Better Mindsets.
• Discipline | Self Improvement
• Fuel for Growth &amp; Greatness</t>
  </si>
  <si>
    <t>https://www.youtube.com/@mindset__go</t>
  </si>
  <si>
    <t>mindsetmatter15</t>
  </si>
  <si>
    <t>Your mindset matters! 
Evolve your mindset.Discover your purpose!
⬇️SUBSCRIBE TO OUR YOUTUBE CHANNEL ⬇️</t>
  </si>
  <si>
    <t>https://youtube.com/channel/UCQDFJKURIntqink3MQ31-3A</t>
  </si>
  <si>
    <t>minimal.irani</t>
  </si>
  <si>
    <t>مینیمال ایرانی | minimalism</t>
  </si>
  <si>
    <t>ساده‌گرایی‌در زندگی|Minimalistic Lifestyle 
ایده‌هایی برای سبک زندگی مینیمال✨
در سادگی،حقیقت را می‌یابی…
@mahsa.ajodan 
Founder of:
@arsagoldgallery</t>
  </si>
  <si>
    <t>Minimalism</t>
  </si>
  <si>
    <t>Follow @minimalism for daily inspiration
Discover more on @minimalismlife</t>
  </si>
  <si>
    <t>http://minimalism.com</t>
  </si>
  <si>
    <t>minimalism_brand</t>
  </si>
  <si>
    <t>‎Quality essentials for conscious life.
Only organic or recycled fabrics.
‎</t>
  </si>
  <si>
    <t>https://minimalismbrand.com</t>
  </si>
  <si>
    <t>minimalism.label</t>
  </si>
  <si>
    <t>Minimalism.label - tiệm thiết kế và may đo - số lượng sản phẩm giới hạn 🤍 Luôn tỉ mỉ trong từng đường chỉ và khâu chọn chất liệu vải🧵</t>
  </si>
  <si>
    <t>https://www.facebook.com/minimalism.label?mibextid=2JQ9oc</t>
  </si>
  <si>
    <t>minimalismlife</t>
  </si>
  <si>
    <t>Minimalism Life®</t>
  </si>
  <si>
    <t>Crafting a simpler life with less</t>
  </si>
  <si>
    <t>https://minimalism.com/</t>
  </si>
  <si>
    <t>minimalismoarchitecture</t>
  </si>
  <si>
    <t>MODERN ARCHITECTURE</t>
  </si>
  <si>
    <t>A platform for modern architecture projects and daily inspiration 🏡
📧 DM for business, collabs 
👇Get Yours Here👇</t>
  </si>
  <si>
    <t>https://www.deanity.com/products/pengpt?sca_ref=8933742.ReLF3GaCOgKfP</t>
  </si>
  <si>
    <t>minimalism_with_mary</t>
  </si>
  <si>
    <t>Mary Simpson</t>
  </si>
  <si>
    <t>🌿 Left the hustle, the house &amp; the heels to live with less
🧺 Clearing clutter &amp; toxins
🧘🏼‍♀️ Finding calm in less - and in 🍄 mushrooms too</t>
  </si>
  <si>
    <t>https://linktr.ee/minimalismwithmary</t>
  </si>
  <si>
    <t>minimal.mccue</t>
  </si>
  <si>
    <t>🌿 Keri McCue | Practical Minimalism</t>
  </si>
  <si>
    <t>Cleaning Service</t>
  </si>
  <si>
    <t>🏠Simple living, decluttering, and cleaning
🤍 Honest motherhood, working mom &amp; Jesus
💌 minimalmccue@gmail.com</t>
  </si>
  <si>
    <t>https://www.amazon.com/shop/minimal.mccue?ref_=cm_sw_r_apin_aipsfshop_BFPYS10BR6184HW8CTKD_1&amp;language=en_US</t>
  </si>
  <si>
    <t>raisingsimple</t>
  </si>
  <si>
    <t>Zoë Kim | Simple Living + Minimalism</t>
  </si>
  <si>
    <t>+ I Help Overwhelmed Women Declutter, Simplify &amp; Shift Their Mindset
+ Author of Minimalism for Families
👇🏼 Links + 20 One-Minute Habits Checklist</t>
  </si>
  <si>
    <t>https://raisingsimple.myflodesk.com/starthere</t>
  </si>
  <si>
    <t>simpleintentional</t>
  </si>
  <si>
    <t>Sarah | decluttering • intentional living + minimalism</t>
  </si>
  <si>
    <t>• tools + inspiration to holistically declutter + live your intentional life
• mom to a 7 year old 🇨🇦 
• cancer survivor</t>
  </si>
  <si>
    <t>https://linktr.ee/simpleintentional</t>
  </si>
  <si>
    <t>soulminimalist</t>
  </si>
  <si>
    <t>Minimalism, graphics  and design</t>
  </si>
  <si>
    <t>Admin: @milenafrazz</t>
  </si>
  <si>
    <t>the.minimal.mom</t>
  </si>
  <si>
    <t>Dawn Madsen | Minimalism + Simple Living</t>
  </si>
  <si>
    <t>🤍 Helping Overwhelmed Women Declutter &amp; Simplify
🤍 Family Minimalism &amp; Simple Living
❤️ YouTube --&gt; 825k subscribers! 🤯
🤍 Twin Cities, MN</t>
  </si>
  <si>
    <t>https://flow.page/minimalmom</t>
  </si>
  <si>
    <t>the.school.of.minimalism</t>
  </si>
  <si>
    <t>Catherine | Ruthless Minimalist</t>
  </si>
  <si>
    <t>🪴I’ll teach you how to radically simplify every corner of your life
👇🏽Get started here</t>
  </si>
  <si>
    <t>https://schoolofminimalism.com/products/minimal-the-gentle-guide-to-ruthlessly-simplifying-your-life</t>
  </si>
  <si>
    <t>turkgirisimt</t>
  </si>
  <si>
    <t>Yaşantımızdaki kaostan uzak bir an</t>
  </si>
  <si>
    <t>theminimalistexperiment</t>
  </si>
  <si>
    <t>Minimalism Motivation | Decluttering Tips    #lessisnow</t>
  </si>
  <si>
    <t>🆕CLEAN &amp; DECLUTTER PLANNER⬇️
🆓30 DAY CHALLENGE PACK ⬇️</t>
  </si>
  <si>
    <t>https://buy.stripe.com/aEUcNlcON7AF0AE147</t>
  </si>
  <si>
    <t>imperator_mma_</t>
  </si>
  <si>
    <t>IMPERATOR MMA</t>
  </si>
  <si>
    <t>🌎BIENVENIDO al mundo de las MMA
🔥Lo ÚLTIMO de UFC &amp; MÁS
🔝Llevando la disciplina a OTRO NIVEL
📍Contenido ORIGINAL🇨🇱</t>
  </si>
  <si>
    <t>mmaenmarca</t>
  </si>
  <si>
    <t>MARCA MMA</t>
  </si>
  <si>
    <t>Bienvenidos a la casa del deporte. Toda la información, entrevistas, debate y actualidad sobre las MMA, en MARCA.</t>
  </si>
  <si>
    <t>mmafighting</t>
  </si>
  <si>
    <t>MMA Fighting</t>
  </si>
  <si>
    <t>Your home for everything from the world of mixed martial arts.</t>
  </si>
  <si>
    <t>https://www.mmafighting.com/</t>
  </si>
  <si>
    <t>mma.island</t>
  </si>
  <si>
    <t>MMA Island</t>
  </si>
  <si>
    <t>Founder @chrisdesantiago_ 🌊
Follow for UFC/MMA news &amp; interviews 🏝️ 
YouTube Channel 👇</t>
  </si>
  <si>
    <t>https://youtube.com/@mmaisland?si=g3OEA3gfT4z3RNUm</t>
  </si>
  <si>
    <t>mmajunkie</t>
  </si>
  <si>
    <t>MMA Junkie</t>
  </si>
  <si>
    <t>Providing UFC, PFL and other MMA news and event coverage from across the globe since 2006.</t>
  </si>
  <si>
    <t>https://linkin.bio/mmajunkie</t>
  </si>
  <si>
    <t>mma_respect_</t>
  </si>
  <si>
    <t>MMA RESPECT</t>
  </si>
  <si>
    <t>Najnovije vesti iz sveta borilačkog sporta 🌍
📩📝 | lazicdarko035@gmail.com
Sponsored by : 
@admiralbet_kladionica 🔞
@damarshop.rs 🥇</t>
  </si>
  <si>
    <t>mma_russia</t>
  </si>
  <si>
    <t>MMA Russia / ММА</t>
  </si>
  <si>
    <t>Подписывайтесь на наш Telegram!👇</t>
  </si>
  <si>
    <t>https://t.me/mmarussiaru</t>
  </si>
  <si>
    <t>mma_tm</t>
  </si>
  <si>
    <t>ММА ™</t>
  </si>
  <si>
    <t>⠀
⠀
Наш телеграм канал ↙️
⠀</t>
  </si>
  <si>
    <t>https://t.me/+OKiIUO95rNVlZDky</t>
  </si>
  <si>
    <t>redcorner.mma</t>
  </si>
  <si>
    <t>RED CORNER MMA</t>
  </si>
  <si>
    <t>Follow for MMA content you won’t find anywhere else
📩 For cooperation contact @denisgeiko_
⬇️ SEAN STRICKLAND (XCMMA) DOCUMENTARY ⬇️</t>
  </si>
  <si>
    <t>https://openyoutu.be/jOiC0NuPhfM</t>
  </si>
  <si>
    <t>modakwt.co</t>
  </si>
  <si>
    <t>𝐌𝐨𝐝𝐚 𝐊𝐰𝐭 &amp;𝐂𝐨</t>
  </si>
  <si>
    <t>I dream🦋
@thebaykw 
@bellis.kw 
@bisoukw</t>
  </si>
  <si>
    <t>https://www.boutiqaat.com/en-kw/women/modakwtco-boutique/cb/</t>
  </si>
  <si>
    <t>modamania.bahiablanca</t>
  </si>
  <si>
    <t>Moda Mania</t>
  </si>
  <si>
    <t>📍DONADO 58
📍CHICLANA 125
⏱9:00 a 20:30hs Lunes a Sabados
❗CREDITOS PERSONALES❗
📞 291 517-0494  📲 291 522 9088
Atendemos sólo llamadas</t>
  </si>
  <si>
    <t>modaoperandi</t>
  </si>
  <si>
    <t>Moda Operandi</t>
  </si>
  <si>
    <t>The world’s best curation—for the everyday and the extraordinary</t>
  </si>
  <si>
    <t>https://likeshop.me/modaoperandi</t>
  </si>
  <si>
    <t>moda_osh</t>
  </si>
  <si>
    <t>ЖЕНСКАЯ ОДЕЖДА •  ОШ</t>
  </si>
  <si>
    <t>Рассрочка без % через М+ 
📍ТЦ РАМАЗАН 2-этаж 
На рынке с 2015 года 🫡
⏰Без выходных с 10:00 до 20:00 
Для доставки ⤵️
https://wa.me/996558050387</t>
  </si>
  <si>
    <t>http://nethouse.id/moda_osh/</t>
  </si>
  <si>
    <t>monaalshebil</t>
  </si>
  <si>
    <t>Mona Alshebil</t>
  </si>
  <si>
    <t>RTW Contemporary Minimalist Sustainable Inspired by the Saudi heritage</t>
  </si>
  <si>
    <t>https://www.monaalshebil.com</t>
  </si>
  <si>
    <t>monajafarian</t>
  </si>
  <si>
    <t>Mona Jafarian</t>
  </si>
  <si>
    <t>Made in IRAN living in Paris
Cofounder @femmeazadi
Books 📖 « je suis iranienne »&amp; « mon combat »
Panthea and Daryana 👧🏽👧🏽</t>
  </si>
  <si>
    <t>https://www.helloasso.com/associations/collectif-femme-azadi</t>
  </si>
  <si>
    <t>monathefoodie</t>
  </si>
  <si>
    <t>Mona-Maria || Food • Travel • Lifestyle</t>
  </si>
  <si>
    <t>🫶🏾 Exploring Switzerland🇨🇭&amp; the World
🇦🇴 From Angola with love by @mona_maira 
✉️ contact.monamona@gmail.com</t>
  </si>
  <si>
    <t>veronicadiaz</t>
  </si>
  <si>
    <t>MODAJUSTCOCO | Moda y lifestyle</t>
  </si>
  <si>
    <t>Collect moments, not things 💫
Mi día a día, looks y muchas charletas ☕️
Más en @familiacoquetesoficial
@crvsh.es</t>
  </si>
  <si>
    <t>http://www.crvsh.es/</t>
  </si>
  <si>
    <t>baileyschwartz</t>
  </si>
  <si>
    <t>Bailey Schwartz | Fashion • Home • Mom Life</t>
  </si>
  <si>
    <t>Mama 💕💙 CLT, NC
Helping you bring magic to motherhood with daily deals, favorite finds, mom hacks and holiday fun!
BaileyS@TheSociableSociety.com</t>
  </si>
  <si>
    <t>https://l.markable.ai/baileyschwartz</t>
  </si>
  <si>
    <t>house.makes.haven</t>
  </si>
  <si>
    <t>Meghan | Budget DIY’s &amp; mom life</t>
  </si>
  <si>
    <t>Renovating my 1200sq ft home, until I don’t hate it anymore🤪
Realistic budgets + timelines
Mama x 2💕
✉️Housemakeshaven@gmail.com</t>
  </si>
  <si>
    <t>https://amzn.to/3xG7xxI</t>
  </si>
  <si>
    <t>itsmyrayeraye</t>
  </si>
  <si>
    <t>Raye Boyce | Beauty, Mom Life, Lifestyle Expert 🎨👩‍👧</t>
  </si>
  <si>
    <t>📍LA🌴 
🙏🏽Jesus is 👑 
📧 Itsmyrayeraye@outshinetalent.com
Beauty💄Lifestyle 💅🏽Hacks, Mom Life, Bowling 🎳 , Travel 🏝️ &amp; some LOLS 😂</t>
  </si>
  <si>
    <t>momlifebrusque</t>
  </si>
  <si>
    <t>MomLife</t>
  </si>
  <si>
    <t>Enviamos para todo Brasil 📦
Visite nosso Site ♡
Clique no link e tenha acesso ao nosso WhatsApp ♡</t>
  </si>
  <si>
    <t>https://momlife.commercesuite.com.br</t>
  </si>
  <si>
    <t>momlife_comics</t>
  </si>
  <si>
    <t>Mary Catherine Starr</t>
  </si>
  <si>
    <t>Comics about motherhood, marriage, double standards, + mental load ✍🏻
📕 MAMA NEEDS A MINUTE! out now 🎉
Share with credit 🏷️ Shop + subscribe👇🏻</t>
  </si>
  <si>
    <t>https://linktr.ee/momlife_comics</t>
  </si>
  <si>
    <t>momlife.rehani</t>
  </si>
  <si>
    <t>Mom life🧐</t>
  </si>
  <si>
    <t>💌 : PR@momliferehani.com</t>
  </si>
  <si>
    <t>https://www.tiktok.com/@momlife.rehani?_t=ZT-8xpJH87ZzKg&amp;_r=1</t>
  </si>
  <si>
    <t>momlife.resources</t>
  </si>
  <si>
    <t>Ondine | Motherhood &amp; Parenthood Support</t>
  </si>
  <si>
    <t>🌸} Thoughts from a Twin Mama's Heart
🌷} Offering Love, Guidance &amp; Parenting Support
🌸} Let’s Do This Mom Thing Hand in Hand</t>
  </si>
  <si>
    <t>https://beacons.ai/momliferesources</t>
  </si>
  <si>
    <t>momlifewithlaura</t>
  </si>
  <si>
    <t>Laura | Mom Life Humor, Cooking + Hacks</t>
  </si>
  <si>
    <t>I Can Make That!
• Relatable parent humor • Recipes + recreating your favorite foods • Fun hacks + gift ideas • Tik Tok (1.8M) + YouTube (1.1M)</t>
  </si>
  <si>
    <t>https://momlifewithlaura-shop.fourthwall.com/</t>
  </si>
  <si>
    <t>momlife.withmara</t>
  </si>
  <si>
    <t>Mara Givenrod</t>
  </si>
  <si>
    <t>Raising complex needs children
Disability advocate 
maraandthekids@gmail.com</t>
  </si>
  <si>
    <t>https://linktr.ee/momlifewithmara</t>
  </si>
  <si>
    <t>momlifeyo</t>
  </si>
  <si>
    <t>MOM LIFE YO</t>
  </si>
  <si>
    <t>MOM LIFE YO is a one-hour Podcast created and hosted by multi-talented Supermoms @officialtlopez &amp; @BreeganJane</t>
  </si>
  <si>
    <t>http://momlifeyo.com/</t>
  </si>
  <si>
    <t>shawnaaaaa</t>
  </si>
  <si>
    <t>Shawna || Mom Life + Lifestyle Creator</t>
  </si>
  <si>
    <t>🎥 Content Creator | Relatable Mom Life
🌸 Real content moms connect with &amp; kids grow with
📍 Pittsburgh, PA | 💌 shawnacarruba@gmail.com</t>
  </si>
  <si>
    <t>https://linktr.ee/shawnaaaaa</t>
  </si>
  <si>
    <t>themomroom</t>
  </si>
  <si>
    <t>Mom Life | Parenting | Pop Culture</t>
  </si>
  <si>
    <t>📱 a digital mom community
🪩 the mom room podcast
🛍️ @themomroomshop</t>
  </si>
  <si>
    <t>https://msha.ke/themomroom</t>
  </si>
  <si>
    <t>dariaxnicole</t>
  </si>
  <si>
    <t>Daria Nicole | Mom Tips • Finds • Toddler Activities</t>
  </si>
  <si>
    <t>So happy you’re here! 😘 Follow now for: 
❤️All things parenting
🛒 Best finds &amp; deals
😍Easy activities 
🍝Meal ideas &amp; more
📩 dariaxnicole@gmail.com</t>
  </si>
  <si>
    <t>https://tapto.shop/imdaria-pr</t>
  </si>
  <si>
    <t>katiesbliss</t>
  </si>
  <si>
    <t>Katie Gomes | Mom Tips | Toy Reviews | Amazon Gadgets</t>
  </si>
  <si>
    <t>Relatable (sometimes funny) Mom 🧒🏼👶🏼 | Home Hacks + TOYS 🚂🧸| I find products that make life EASIER 💯
📍 Nashville, TN
💌👉🏻 katie@katiesbliss.com</t>
  </si>
  <si>
    <t>https://linktr.ee/katiesbliss</t>
  </si>
  <si>
    <t>mom.lifetips</t>
  </si>
  <si>
    <t>#momlife tips &amp; tricks 🌸</t>
  </si>
  <si>
    <t>Random #momlife tips &amp; adviezen - 🪴
Én ik vis overal de beste #momlife kooptips vandaan - 🐠
Want dat is waar moeders wild van worden, toch? - 🔥</t>
  </si>
  <si>
    <t>https://linktr.ee/mom.lifetips</t>
  </si>
  <si>
    <t>over30momtips</t>
  </si>
  <si>
    <t>Claire Ashley | Women Over 30 | Mom Hacks | Save Time</t>
  </si>
  <si>
    <t>⏱️Simplifying life for busy women w/ best tips and deals🙌
makeup tips | style tips | meal tips | travel tips 
Northern VA
claireashleymedia@gmail.com</t>
  </si>
  <si>
    <t>morningroutineclub</t>
  </si>
  <si>
    <t>The Morning Routine Club</t>
  </si>
  <si>
    <t>Embrace the chaos we call The Morning Routine Club 
Curated by: @deborah.lafortune</t>
  </si>
  <si>
    <t>https://substack.com/@breakfastbeforechaoss</t>
  </si>
  <si>
    <t>morningroutines</t>
  </si>
  <si>
    <t>My Morning Routine</t>
  </si>
  <si>
    <t>Discover new ideas to create a morning routine that works for you. Pick up our book, My Morning Routine (Portfolio/Penguin), in stores now!</t>
  </si>
  <si>
    <t>https://mymorningroutine.com/book/</t>
  </si>
  <si>
    <t>whatsyourroutine</t>
  </si>
  <si>
    <t>𝗠𝗼𝗿𝗻𝗶𝗻𝗴 𝗥𝗼𝘂𝘁𝗶𝗻𝗲.™️</t>
  </si>
  <si>
    <t>Vitamins/supplements</t>
  </si>
  <si>
    <t>The ONLY hydration stick with:
🍎 Apple Cider Vinegar
🍋 Organic Lemon
🧂 Himalayan Sea Salt
💥 All 6 Electrolytes 
❌ NO sugar
#𝗪𝗵𝗮𝘁𝘀𝗬𝗼𝘂𝗿𝗥𝗼𝘂𝘁𝗶𝗻𝗲</t>
  </si>
  <si>
    <t>https://linktr.ee/whatsyourroutine</t>
  </si>
  <si>
    <t>advice</t>
  </si>
  <si>
    <t>Motivational &amp; Relatable</t>
  </si>
  <si>
    <t>🤍 • ♥️ u all
💌 • Dm for credit and features
👗 • @fashionnova</t>
  </si>
  <si>
    <t>cycasmotivation</t>
  </si>
  <si>
    <t>Business | Motivation | Quotes</t>
  </si>
  <si>
    <t>CYCAS MOTIVATION™
 ♾ULTIMATE SOURCE FOR ♾
MOTIVATION / QUOTES / SUCCESS
♥️ OUR GOAL IS “YOUR SUCCESS” ♥️</t>
  </si>
  <si>
    <t>djs_motivation</t>
  </si>
  <si>
    <t>VinceB 🥷🏻🕶️ |Music-DJS-Psychology-Coach|</t>
  </si>
  <si>
    <t>Education, motivation and awareness
🕴️Featuring your favourite artists
➕Some mental health tips for DJS
📍Based in Madrid @djs_motivation_esp</t>
  </si>
  <si>
    <t>hustlingfacts</t>
  </si>
  <si>
    <t>Motivation | Mindset | Quotes</t>
  </si>
  <si>
    <t>Hustling
📩 | DM for paid promotions/ads.</t>
  </si>
  <si>
    <t>inspiring.poet</t>
  </si>
  <si>
    <t>Motivation | Quotes</t>
  </si>
  <si>
    <t>Helping You Become The BEST
Version Of Yourself!
• DM for Business/Credit/Removal 📥</t>
  </si>
  <si>
    <t>luxurcore</t>
  </si>
  <si>
    <t>Luxury | Mindset | Motivation</t>
  </si>
  <si>
    <t>Join the 1%</t>
  </si>
  <si>
    <t>https://beacons.ai/luxurcore</t>
  </si>
  <si>
    <t>makaveli_motivation</t>
  </si>
  <si>
    <t>SEPARATE YOURSELF.</t>
  </si>
  <si>
    <t>makavelipromo@yahoo.com</t>
  </si>
  <si>
    <t>https://youtube.com/@MAKAVELIMOTIVATION</t>
  </si>
  <si>
    <t>mindsethub_</t>
  </si>
  <si>
    <t>Mindsethub | Motivation</t>
  </si>
  <si>
    <t>Founder @instakingcollin 
Daily Motivation For Personal Growth
👇Teaching People How to Make Money on IG</t>
  </si>
  <si>
    <t>https://www.hustlecollin.com/ai-1</t>
  </si>
  <si>
    <t>motivation_5524</t>
  </si>
  <si>
    <t>𝐌𝐎𝐓𝐈𝐕𝐀𝐓𝐈𝐎𝐍||𝐖𝐄𝐀𝐋𝐓𝐇</t>
  </si>
  <si>
    <t>Fueling Minds, Inspiring Futures."📚✨ 
♟️ Unlock Your Hidden Strength &amp; Elevate      Mindset.
 Learn. Grow. Achieve."</t>
  </si>
  <si>
    <t>motivationaddictzz</t>
  </si>
  <si>
    <t>𝕄𝕠𝕥𝕚𝕧𝕒𝕥𝕚𝕠𝕟 𝔸𝕕𝕕𝕚𝕔𝕥𝕫</t>
  </si>
  <si>
    <t>𝑰𝒏𝒔𝒑𝒊𝒓𝒆 • 𝑴𝒐𝒕𝒊𝒗𝒂𝒕𝒆 • 𝑺𝒖𝒄𝒄𝒆𝒔𝒔
▪️ꜰᴏʟʟᴏᴡ ꜰᴏʀ ᴅᴀɪʟʏ ᴍᴏᴛɪᴠᴀᴛɪᴏɴ
🔸ꜱʟᴏᴡ ᴘʀᴏɢʀᴇꜱꜱ ɪꜱ ꜱᴛɪʟʟ ᴘʀᴏɢʀᴇꜱꜱ,
▪️ᴛʀᴜꜱᴛ ᴛʜᴇ ᴘʀᴏᴄᴇꜱꜱ</t>
  </si>
  <si>
    <t>motivationapp</t>
  </si>
  <si>
    <t>Motivation App</t>
  </si>
  <si>
    <t>#1 Motivational Quotes App
🌩️ Overcome challenges
💪 Achieve your goals
🪴 Positive quotes for personal growth</t>
  </si>
  <si>
    <t>https://linktr.ee/motivationapp</t>
  </si>
  <si>
    <t>motivationmafia</t>
  </si>
  <si>
    <t>Motivation Mafia ™</t>
  </si>
  <si>
    <t>Inspiration/Motivation/Mindset
#1 Branding/Media Marketing 
Grow Your Social Presence👊</t>
  </si>
  <si>
    <t>http://ambitionmedia.com</t>
  </si>
  <si>
    <t>motivationnovel</t>
  </si>
  <si>
    <t>Motivation Novel</t>
  </si>
  <si>
    <t>The #1 Source of Motivational &amp; Growth 🔥
➟ Helping you Become the Best Version!
➟ DM for Promo/Credit/Removal📥
➟ Checkout our Ebook 📚👇</t>
  </si>
  <si>
    <t>https://motivationnovel.gumroad.com/l/GuidetoSelfDiscipline</t>
  </si>
  <si>
    <t>motivmastery</t>
  </si>
  <si>
    <t>Motivation Mastery</t>
  </si>
  <si>
    <t>The #1 Leading Hub For Success &amp; Mindset</t>
  </si>
  <si>
    <t>world._.motivation</t>
  </si>
  <si>
    <t>World Motivation</t>
  </si>
  <si>
    <t>|🎯 Success • Motivation • Attitude
|🔐The key to success here
|📝 Life changing quotes 
Follow for daily dose of Motivation</t>
  </si>
  <si>
    <t>maggmountains</t>
  </si>
  <si>
    <t>Maggie Lee</t>
  </si>
  <si>
    <t>✞ Romans 5:3-5 | 📍USA🇺🇸 | 🌼 | Holistic Health 🌿 | Cabin Life 🌲| Part Mountain Goat 🐐 
email to collab: maggieleest@gmail.Com</t>
  </si>
  <si>
    <t>https://linktr.ee/maggmountains</t>
  </si>
  <si>
    <t>mountainfacts1</t>
  </si>
  <si>
    <t>Mountains</t>
  </si>
  <si>
    <t>Daily(ish) mountain and geography content</t>
  </si>
  <si>
    <t>mountainmikes</t>
  </si>
  <si>
    <t>Mountain Mike's Pizza ⛰</t>
  </si>
  <si>
    <t>🍕 Home of Legendary Crispy, Curly Pepperoni &amp; 20” Mountain-Size Pizzas!
⛰️Serving “Pizza de Way it Oughta Be” since 1978
🏈Official Pizza of the @49ers</t>
  </si>
  <si>
    <t>http://www.mountainmikespizza.com/locations/</t>
  </si>
  <si>
    <t>mountainsdaughter</t>
  </si>
  <si>
    <t>Mountains’ Daughter</t>
  </si>
  <si>
    <t>folk herbalism + words of the wild 𓃦☽
nature ⋆ homesteadin’ ⋆ love 
Lenapehoking lands🌲
“Not Really That Country” out now⭣</t>
  </si>
  <si>
    <t>https://linktr.ee/MountainsDaughter</t>
  </si>
  <si>
    <t>mountainside_made</t>
  </si>
  <si>
    <t>Mountainside</t>
  </si>
  <si>
    <t>Handmade jewelry &amp; other adventures
 〰 Mountainside General Store 〰
OPEN Tuesday - Sunday 11-6</t>
  </si>
  <si>
    <t>https://www.mountainsidemade.com/</t>
  </si>
  <si>
    <t>mountains_in_miami</t>
  </si>
  <si>
    <t>Zlata</t>
  </si>
  <si>
    <t>Miami 📍🌴🌳
Body painting @artbodypaint 
Instagram about travel 🧳 and hiking 🥾 @solohiker2025 
More see of me ⬇️</t>
  </si>
  <si>
    <t>https://linktr.ee/artofnature24</t>
  </si>
  <si>
    <t>mountains.trekkingnepal</t>
  </si>
  <si>
    <t>Hiking Himalayas Treks &amp; Expedition</t>
  </si>
  <si>
    <t>Namaste 🙏 
Specialist In The Art of Travel
Are you planning your Holiday in Nepal ? 
📥Dm us for your quieries 
👉Trekking | Adventure | Hiking |Tour</t>
  </si>
  <si>
    <t>http://www.hikinghimalayas.com/</t>
  </si>
  <si>
    <t>mount_greece</t>
  </si>
  <si>
    <t>✵ 𝐌𝐨𝐮𝐧𝐭𝐚𝐢𝐧𝐬 𝐨𝐟 𝐆𝐫𝐞𝐞𝐜𝐞 ✵</t>
  </si>
  <si>
    <t>🏔  𝑨 𝒉𝒖𝒃 𝒇𝒐𝒓 𝒕𝒉𝒐𝒔𝒆 𝒘𝒉𝒐 𝒍𝒐𝒗𝒆 𝒕𝒉𝒆 𝒈𝒓𝒆𝒆𝒌 𝒎𝒐𝒖𝒏𝒕𝒂𝒊𝒏𝒔
🔰 ᴄᴜʀᴀᴛᴇᴅ 𝑏𝑦 @mikelapardas
📎 𝖡𝖾 𝖺 𝗉𝖺𝗋𝗍, 𝗎𝗌𝗂𝗇𝗀 #mountgreece</t>
  </si>
  <si>
    <t>younginthemountains</t>
  </si>
  <si>
    <t>Young In The Mountains</t>
  </si>
  <si>
    <t>✨LET’S CELEBRATE ✨ Collected &amp; respected worldwide for our integrity in sourcing, &amp; unmatched creativity.
MT Sapphires | USA inlay | Recycled Diamonds</t>
  </si>
  <si>
    <t>http://www.younginthemountains.com</t>
  </si>
  <si>
    <t>longandmcquade</t>
  </si>
  <si>
    <t>Long &amp; McQuade Musical Instruments</t>
  </si>
  <si>
    <t>Musical Instrument Store</t>
  </si>
  <si>
    <t>Long &amp; McQuade is the largest chain of musical instrument retailers in Canada!</t>
  </si>
  <si>
    <t>https://linkin.bio/longandmcquade</t>
  </si>
  <si>
    <t>musical_instruments_h</t>
  </si>
  <si>
    <t>بيج الات موسيقية 🎻🎸🎹</t>
  </si>
  <si>
    <t>توصيل داخل بغداد والمحافظات 🚕🚕</t>
  </si>
  <si>
    <t>musiclab.theory</t>
  </si>
  <si>
    <t>Musiclab.theory</t>
  </si>
  <si>
    <t>แบ่งปันความรู้ทฤษฎีดนตรีตะวันตก 
ติวสอบดุริยางคศิลป์ และคณะดนตรีชั้นนำทั่วประเทศ 🎶🤍 
#musiclab #musictheory #ติวสอบtime #smcc #ทฤษฎีดนตรี #ติวสอบดนตรี</t>
  </si>
  <si>
    <t>_music_theory</t>
  </si>
  <si>
    <t>MusicTheory</t>
  </si>
  <si>
    <t>🎶 Tips, lessons &amp; inspiration for musicians
🎁 Special discounts in Highlights
Collabs &amp; partnerships → DM</t>
  </si>
  <si>
    <t>music.theory.sol</t>
  </si>
  <si>
    <t>Music theory</t>
  </si>
  <si>
    <t>🎵آموزش آنلاین
| تئوری موسیقی | هارمونی |</t>
  </si>
  <si>
    <t>thepianobangers</t>
  </si>
  <si>
    <t>The Piano Bangers - Piano Music &amp; Lessons</t>
  </si>
  <si>
    <t>We play bangers only 🎹🔥
A project by @zachevanspiano &amp; @albertoanayamusic 
👇 Follow for more 👇</t>
  </si>
  <si>
    <t>beatkitchenschool</t>
  </si>
  <si>
    <t>Beat Kitchen ® - Music Production School</t>
  </si>
  <si>
    <t>Audio engineering school for musicians — music theory for engineers. Creative misfits and aspiring music nerds gather live to play with their food.</t>
  </si>
  <si>
    <t>https://www.beatkitchen.io/links</t>
  </si>
  <si>
    <t>beatsity</t>
  </si>
  <si>
    <t>Beatsity • Music Production Tips</t>
  </si>
  <si>
    <t>💡 Let's Learn The Language Of Music
🔥 Quick Producers Tips
👇🏻 Black Friday Sale is Active</t>
  </si>
  <si>
    <t>http://beacons.ai/midisic.com</t>
  </si>
  <si>
    <t>bossmusicproductions</t>
  </si>
  <si>
    <t>Boss Music Productions</t>
  </si>
  <si>
    <t>ONLINE PROMOTION
YOUTUBE PROMOTION
REELS PROMOTION
FB+INSTA PROMO
MUSIC RELEASE
📞+91 7307888882 | IND |
📞+91 7999999734 | IND |
📞+61 430099971 | AUS |</t>
  </si>
  <si>
    <t>https://www.bossmusicproductions.in/</t>
  </si>
  <si>
    <t>music.production</t>
  </si>
  <si>
    <t>FERAS HAMIDO</t>
  </si>
  <si>
    <t>مخرج وثائقي وعازف عود وقانون ومؤلف موسيقى تصويرية</t>
  </si>
  <si>
    <t>https://youtube.com/@astariosmedia?feature=shared</t>
  </si>
  <si>
    <t>musictips.academy</t>
  </si>
  <si>
    <t>Music production tips</t>
  </si>
  <si>
    <t>Music Production Studio</t>
  </si>
  <si>
    <t>🎯 Best Music Production Tip
🎹 Daily Music Production Tutorials
👇🏻 Get 200+ Music Production Tips Ebook at 50% OFF</t>
  </si>
  <si>
    <t>producerfocus</t>
  </si>
  <si>
    <t>Music Production Tips &amp; Tricks</t>
  </si>
  <si>
    <t>🧬 | Helping Music Producers Improve Their Skills
👥 | Join a Community of 90k+ Producers
🚀 | Follow for Daily Tips &amp; Inspiration⬇️</t>
  </si>
  <si>
    <t>productionmusiclive</t>
  </si>
  <si>
    <t>Production Music Live 💎</t>
  </si>
  <si>
    <t>🎹 PML Daily Music Production Tips
🎥 180k+ YouTube for Tutorials
🎵 Online Production School, Sound Packs
🔥 🎈 SALE Shop &amp; Links:👇</t>
  </si>
  <si>
    <t>https://linktr.ee/productionmusiclive</t>
  </si>
  <si>
    <t>natural.beauty50</t>
  </si>
  <si>
    <t>Sonja Collins</t>
  </si>
  <si>
    <t>Tiktok- natural.beauty54-4.1mil.
GA born📍
Syracuse raised📌
Promotions and Collaborations Email: sonjacollins54@gmail.com</t>
  </si>
  <si>
    <t>https://linktr.ee/naturalbeauty50</t>
  </si>
  <si>
    <t>natural_beauty64</t>
  </si>
  <si>
    <t>📍 Bir Tawil</t>
  </si>
  <si>
    <t>naturalrecipes369</t>
  </si>
  <si>
    <t>Natural recipes for health and beauty</t>
  </si>
  <si>
    <t>✨ Best-Kept Secrets in Health &amp; Beauty
👍 Trusted by Over 32K Customers
👇 Shop Now on Amazon – 20% OFF!</t>
  </si>
  <si>
    <t>https://amzn.to/45g6NNU</t>
  </si>
  <si>
    <t>daynightseen</t>
  </si>
  <si>
    <t>🌲 What We Share:
🏡 Cozy cabin inspirations
natrure🍀🌿</t>
  </si>
  <si>
    <t>nature_collecting_</t>
  </si>
  <si>
    <t>PROMOTION HUB</t>
  </si>
  <si>
    <t>🏞️𝐓𝐫𝐚𝐯𝐞𝐥🌎𝐍𝐚𝐭𝐮𝐫𝐞🏕️//𝐀𝐝𝐯𝐞𝐧𝐭𝐮𝐫𝐞🏞️
🌎 𝐖𝐨𝐫𝐥𝐝𝐰𝐢𝐝𝐞 𝐍𝐞𝐭𝐰𝐨𝐫𝐤🌍𝟱𝗠
🔥 𝐄𝐱𝐩𝐥𝐨𝐫𝐞 𝐎𝐮𝐭 𝐄𝐩𝐢𝐜 𝐏𝐥𝐚𝐧𝐞𝐭 
🌎</t>
  </si>
  <si>
    <t>nature.festt</t>
  </si>
  <si>
    <t>NATURE FESTT</t>
  </si>
  <si>
    <t>Explore the wonders of nature!
Partnerships: naturefestt@gmail.com 
Book your dream safari ⬇️</t>
  </si>
  <si>
    <t>https://www.bookallsafaris.com/?aid=10781</t>
  </si>
  <si>
    <t>naturejab_</t>
  </si>
  <si>
    <t>Julian Brown</t>
  </si>
  <si>
    <t>Mom's page @mommajab_
@jabaroma_ Truly Natural Products 🌿
Donate: $Naturejab</t>
  </si>
  <si>
    <t>http://naturejab.info</t>
  </si>
  <si>
    <t>nature_org</t>
  </si>
  <si>
    <t>The Nature Conservancy</t>
  </si>
  <si>
    <t>Envisioning a planet where people and nature thrive together. 🌍💚</t>
  </si>
  <si>
    <t>https://sprout.link/nature_org</t>
  </si>
  <si>
    <t>nature_photography_.ig</t>
  </si>
  <si>
    <t>✨ PROMOTION HUB✨</t>
  </si>
  <si>
    <t>🌎Wordwide promotion 📩
⛰️Travel 🌲Nature //Adventure 🏂wildlife 🦍
🚢🪂🛶🏜️Photography
🌎Worldwide Network 5M
📩DM FOR PROMOTION</t>
  </si>
  <si>
    <t>↪️Guide 2 natural healing
↪️DM 4 shout-outs
©Copyright issues? DM us
👉 The Best &amp; Most Complete Magnesium Supplement Available👇</t>
  </si>
  <si>
    <t>https://shorturl.at/foOhU</t>
  </si>
  <si>
    <t>nature._.videos</t>
  </si>
  <si>
    <t>Nature | Travel | Wildlife 🌍</t>
  </si>
  <si>
    <t>🍃Discover calm in wild, untouched places
🎥4.6M views this month|4.7M explorers
📩DM/Email for Collabs &amp; Brand Promos
👇🏻Shop Link 👇🏻</t>
  </si>
  <si>
    <t>https://www.thestorche.com/products/night-light-galaxy-projector?_pos=1&amp;_psq=gala&amp;_ss=e&amp;_v=1.0&amp;ref=REHAN</t>
  </si>
  <si>
    <t>conceptsjpeg</t>
  </si>
  <si>
    <t>JPEG | Nature, Animals, &amp; Random Fun Facts</t>
  </si>
  <si>
    <t>Random stuff I think is interesting
@moviesinjpeg for movies and tv shows</t>
  </si>
  <si>
    <t>fact.philes</t>
  </si>
  <si>
    <t>History Art Science Technology Nature Facts</t>
  </si>
  <si>
    <t>💡Welcome to the most interesting page on Instagram
⚛️ Science | Art | History | Nature | Facts</t>
  </si>
  <si>
    <t>creatpix</t>
  </si>
  <si>
    <t>Nature &amp; Sunset Photography</t>
  </si>
  <si>
    <t>Helping nature creators get seen 📸
Follow + tag #creatpix for a feature
Wear the moments you love ↓</t>
  </si>
  <si>
    <t>https://creatpix-store.com</t>
  </si>
  <si>
    <t>nature__earth0</t>
  </si>
  <si>
    <t>Please Follow and Keep Sharing
Trending Videos
for More.    Turn on Post Notifications</t>
  </si>
  <si>
    <t>naturelover_gr</t>
  </si>
  <si>
    <t>NATURE PHOTOGRAPHY</t>
  </si>
  <si>
    <t>Founder : @natassat
Team : @natassat / @thrasivoulosp
Tag #naturelover_gr
💌contact.naturelovergr@gmail.com
Visit our partner @greecelover_gr</t>
  </si>
  <si>
    <t>https://www.facebook.com/naturelovergr/</t>
  </si>
  <si>
    <t>nature_photography_961</t>
  </si>
  <si>
    <t>Photography</t>
  </si>
  <si>
    <t>Nature lover🏞️
Dm for collaboration
Use to my hastag #hamroumlapher</t>
  </si>
  <si>
    <t>nature_walk7</t>
  </si>
  <si>
    <t>Nature Walk</t>
  </si>
  <si>
    <t>Birds, Wildlife and More.....</t>
  </si>
  <si>
    <t>https://tinyurl.com/y32loh58</t>
  </si>
  <si>
    <t>naturewalkstudio</t>
  </si>
  <si>
    <t>NATURE WALK STUDIO</t>
  </si>
  <si>
    <t>Art Studio + Gift Shop for the Naturalist 🍄 🐸
Shop Online ⬇️ Or visit us in Michigan 💦</t>
  </si>
  <si>
    <t>http://www.naturewalkstudio.com/</t>
  </si>
  <si>
    <t>joannsolomonbeauty</t>
  </si>
  <si>
    <t>New York Hair &amp; Makeup Artist</t>
  </si>
  <si>
    <t>NY|NJ CELEBRITY &amp; BRIDAL BEAUTY EXPERT
#Autismadvocate
'As Seen In' Essence,NYT,HuffPost, Glamour🌟 Psalms 91</t>
  </si>
  <si>
    <t>https://joannsolomon.nyc/links</t>
  </si>
  <si>
    <t>newartistspotlight</t>
  </si>
  <si>
    <t>NEW ARTIST SPOTLIGHT 🎤</t>
  </si>
  <si>
    <t>Shining a Spotlight on Todays New Artists.</t>
  </si>
  <si>
    <t>ashfordsanders</t>
  </si>
  <si>
    <t>New Music Coming  Get Excited!</t>
  </si>
  <si>
    <t>Book Me Today For Your Next Event!!! For Bookings contact Apostle Veryl Howard 910-644-1824.</t>
  </si>
  <si>
    <t>newmusicfriday</t>
  </si>
  <si>
    <t>New Music Friday</t>
  </si>
  <si>
    <t>Your #1 source for new and upcoming music releases!
💿 New Music Discovery
🗓 Release Dates
📌 Friday Lists</t>
  </si>
  <si>
    <t>rnbmusic</t>
  </si>
  <si>
    <t>R&amp;B • SOUL • FUNK • CULTURE • NEWS</t>
  </si>
  <si>
    <t>The Culture Lives Here.
——
@rnbmusic.co
@rnbdaily
@rnbreels
@shoprnbmusic</t>
  </si>
  <si>
    <t>https://shoprnbmusic.myshopify.com/</t>
  </si>
  <si>
    <t>wfnm</t>
  </si>
  <si>
    <t>WE FOUND NEW MUSIC</t>
  </si>
  <si>
    <t>WEEKLY CONCERT SERIES TUES &amp; WED @hotelziggy THURS @barlubitsch | RADIO SHOW 9PM THURS @kxfmradio | CURATION FOR @showcasedaily | SUBMIT 👇TO PLAY WFNM</t>
  </si>
  <si>
    <t>https://linktr.ee/wfnm</t>
  </si>
  <si>
    <t>humansofny</t>
  </si>
  <si>
    <t>Humans of New York</t>
  </si>
  <si>
    <t>New York City, one story at a time. Created by Brandon Stanton. Dear New York, featuring hundreds of unseen stories, coming in October. Preorder below</t>
  </si>
  <si>
    <t>http://bit.ly/DearNewYorkBook</t>
  </si>
  <si>
    <t>maybelline</t>
  </si>
  <si>
    <t>Maybelline New York</t>
  </si>
  <si>
    <t>💄Maybe it’s Maybelline💋
📍Born in New York🚕🗽
🔗Discover mental health resources ⬇️</t>
  </si>
  <si>
    <t>https://tinyurl.com/4eywzueb</t>
  </si>
  <si>
    <t>mets</t>
  </si>
  <si>
    <t>New York Mets</t>
  </si>
  <si>
    <t>#LGM</t>
  </si>
  <si>
    <t>https://linktr.ee/nymets</t>
  </si>
  <si>
    <t>newyorkcity</t>
  </si>
  <si>
    <t>Liz Eswein</t>
  </si>
  <si>
    <t>New York City by Liz Eswein
My little slice of the big apple. 🍎
🐶 @goodboycharlienyc
📸 @leicacamerausa Q3 Ambassador
Co-founder @newyorkornowhere</t>
  </si>
  <si>
    <t>https://beacons.ai/newyorkcity</t>
  </si>
  <si>
    <t>newyorkcity.explore</t>
  </si>
  <si>
    <t>New York City 🗽 NYC Travel | Hotels | Food | Tips</t>
  </si>
  <si>
    <t>🏙️ Discover the best of NYC
💙 The leading NYC community by @hotel    
👇 Price drop on NYC direct flights
👇 Real NYC dating starts with mutuals HERE!❤️</t>
  </si>
  <si>
    <t>https://newyorkcityexplore.com/</t>
  </si>
  <si>
    <t>newyorkcityfc</t>
  </si>
  <si>
    <t>New York City FC</t>
  </si>
  <si>
    <t>🗣️ THE FC MADE IN NYC🗽
📲 TEXT us at +1 (929) 466-9232 for updates!
#NYCFC
@newyorkcityfcii @nycfcyouth @citc_nyc</t>
  </si>
  <si>
    <t>https://www.eventbrite.com/e/7th-annual-local-ford-classic-tickets-1358987882339?aff=ebdsshcopyurl&amp;utm-campaign=social&amp;utm-content=attendeeshare&amp;utm-medium=discovery</t>
  </si>
  <si>
    <t>new_york_city_photo</t>
  </si>
  <si>
    <t>New York📷</t>
  </si>
  <si>
    <t>The best pictures of New York 🌆 
Mark our profile in your photos👆🏻
For cooperation and advertising, write to Direct or our mail: photocitypr@gmail.com</t>
  </si>
  <si>
    <t>nybucketlist</t>
  </si>
  <si>
    <t>New York Bucket List</t>
  </si>
  <si>
    <t>🗽Discover &amp; Book NYC’s Best Experiences 🤳 Follow Us For The Best Things To Do  👇 Get Tickets at BucketListers.com</t>
  </si>
  <si>
    <t>https://linktr.ee/nycbucketlist</t>
  </si>
  <si>
    <t>nygiants</t>
  </si>
  <si>
    <t>New York Giants</t>
  </si>
  <si>
    <t>4x Super Bowl Champions
🇩🇪 @nygiants_deutschland</t>
  </si>
  <si>
    <t>http://nygnt.co/m/bio</t>
  </si>
  <si>
    <t>nyjets</t>
  </si>
  <si>
    <t>New York Jets</t>
  </si>
  <si>
    <t>#JetUp 🛫
🇬🇧 @newyorkjetsinuk</t>
  </si>
  <si>
    <t>https://www.newyorkjets.com/tickets/season-tickets/</t>
  </si>
  <si>
    <t>nyknicks</t>
  </si>
  <si>
    <t>New York Knicks 🏀</t>
  </si>
  <si>
    <t>#NewYorkForever</t>
  </si>
  <si>
    <t>https://linktr.ee/nyknicks</t>
  </si>
  <si>
    <t>nymag</t>
  </si>
  <si>
    <t>New York Magazine</t>
  </si>
  <si>
    <t>This is New York: @thecut @vulture @curbed @grubstreet @thestrategist</t>
  </si>
  <si>
    <t>https://likeshop.me/nymag</t>
  </si>
  <si>
    <t>nypost</t>
  </si>
  <si>
    <t>New York Post</t>
  </si>
  <si>
    <t>The best photos and videos from nypost.com. For our latest articles featured on Instagram 👇</t>
  </si>
  <si>
    <t>http://likeshop.me/nypost</t>
  </si>
  <si>
    <t>nyrangers</t>
  </si>
  <si>
    <t>New York Rangers</t>
  </si>
  <si>
    <t>Official Instagram of the New York Rangers</t>
  </si>
  <si>
    <t>https://www.nhl.com/rangers/</t>
  </si>
  <si>
    <t>nyuniversity</t>
  </si>
  <si>
    <t>New York University</t>
  </si>
  <si>
    <t>The official Instagram account of New York University, maintained by the Office of Public Affairs.</t>
  </si>
  <si>
    <t>https://sprout.link/nyuniversity</t>
  </si>
  <si>
    <t>supremenewyork</t>
  </si>
  <si>
    <t>Supreme</t>
  </si>
  <si>
    <t>EST 1994. NYC</t>
  </si>
  <si>
    <t>http://supreme.com</t>
  </si>
  <si>
    <t>yankees</t>
  </si>
  <si>
    <t>New York Yankees</t>
  </si>
  <si>
    <t>Official account of the 27-time World Series Champions. #RepBX</t>
  </si>
  <si>
    <t>https://linktr.ee/newyorkyankees</t>
  </si>
  <si>
    <t>moneyprenure</t>
  </si>
  <si>
    <t>Business | Motivation | NFT</t>
  </si>
  <si>
    <t>📊| The best page to grow your #profit
💰| Helping people start their Side Hustle
📩| DM for  Collab!</t>
  </si>
  <si>
    <t>nft_</t>
  </si>
  <si>
    <t>@NFT</t>
  </si>
  <si>
    <t>Pioneers of Web3</t>
  </si>
  <si>
    <t>http://nft.xyz</t>
  </si>
  <si>
    <t>nft_community</t>
  </si>
  <si>
    <t>NFT COMMUNITY</t>
  </si>
  <si>
    <t>Welcome to the Metaverse 
Cultural Arts Organisation 
Curated Digital Gallery
Celebrating Digital Art since 2015</t>
  </si>
  <si>
    <t>https://linktr.ee/nft_community</t>
  </si>
  <si>
    <t>nft_events</t>
  </si>
  <si>
    <t>“ never forget this ”</t>
  </si>
  <si>
    <t>taco shop pop up - this sunday 🌮
free tickets down below 🕺</t>
  </si>
  <si>
    <t>http://nftevents.online</t>
  </si>
  <si>
    <t>nft.magazine</t>
  </si>
  <si>
    <t>NFT Magazine</t>
  </si>
  <si>
    <t>@cryptoartfair 
The definitive resource for digital art.</t>
  </si>
  <si>
    <t>https://lnk.bio/NFT-MAGAZINE.COM</t>
  </si>
  <si>
    <t>nftworld</t>
  </si>
  <si>
    <t>NFT WORLD</t>
  </si>
  <si>
    <t>Your go-to platform for all things Web3
Do not click ⬇️</t>
  </si>
  <si>
    <t>http://nftworld.xyz</t>
  </si>
  <si>
    <t>nftyarabia</t>
  </si>
  <si>
    <t>NFTY Arabia</t>
  </si>
  <si>
    <t>The NFT marketplace for the Middle East &amp; North Africa
•
Est. UAE</t>
  </si>
  <si>
    <t>https://linktr.ee/nftyarabia</t>
  </si>
  <si>
    <t>nfty.y</t>
  </si>
  <si>
    <t>payout</t>
  </si>
  <si>
    <t>CRYPTO | WEB3 | AI | NFT</t>
  </si>
  <si>
    <t>💰 Everything Crypto, Web3, Business, AI &amp; NFT
👾 Memecoin News
🚀 Follow for more content</t>
  </si>
  <si>
    <t>The Ocean 💙</t>
  </si>
  <si>
    <t>We curate inspiring ocean content to encourage others to admire, understand &amp; protect it. @sea💙
-
Sponsored by @points_en</t>
  </si>
  <si>
    <t>http://sea.media/wallpapers</t>
  </si>
  <si>
    <t>biomon_beauty</t>
  </si>
  <si>
    <t>Organic beauty products</t>
  </si>
  <si>
    <t>Байгалийн увидсыг таны гоо сайханд</t>
  </si>
  <si>
    <t>innersenseorganicbeauty</t>
  </si>
  <si>
    <t>Innersense Organic Beauty</t>
  </si>
  <si>
    <t>🌿Clean Professional Performance for Healthy Hair
✂️Are you a Pro Stylist? Follow us @innersensepro</t>
  </si>
  <si>
    <t>http://hootbio.com/innersenseorganicbeauty</t>
  </si>
  <si>
    <t>organic.beauty.ae</t>
  </si>
  <si>
    <t>Herbal Cosmetics</t>
  </si>
  <si>
    <t>Natural &amp; Organic Skin/Hair Products/Makeup
All GCC Delivery 🇦🇪 🇴🇲 🇰🇼🇶🇦🇧🇭🇸🇦 
Worldwide delivery 🌍
📍 Global Village, Russian Pavilion, Dubai</t>
  </si>
  <si>
    <t>organicbeauty_pk</t>
  </si>
  <si>
    <t>Organic Beauty</t>
  </si>
  <si>
    <t>Cosmetics &amp; Hair Care ®
Say no To Harmful Chemicals
Order On WhatsApp: 0345 4697790</t>
  </si>
  <si>
    <t>https://organicbeauty.pk/</t>
  </si>
  <si>
    <t>organic.beautyx</t>
  </si>
  <si>
    <t>Product links, beauty tips, and honest reviews.
📩 Organic.beauty0037@gmail.com
Serum Link 👇</t>
  </si>
  <si>
    <t>arias_organization</t>
  </si>
  <si>
    <t>Globe Life American Income Division</t>
  </si>
  <si>
    <t>Insurance Agent</t>
  </si>
  <si>
    <t>📍Virtual Career Opportunities in the US
🌎Top organization in Globe Life
🔝Pittsburgh Post Gazette Top Workplace
📰 Forbes Happiest Companies to Work</t>
  </si>
  <si>
    <t>https://ariaslife.com/careers/?hm=115</t>
  </si>
  <si>
    <t>arinsolange</t>
  </si>
  <si>
    <t>Arin Jura | Amazon Finds + Organization + DIY &amp; Decor</t>
  </si>
  <si>
    <t>Sharing our home and life in Charleston, SC one find at a time 💕 A mom of 4 who loves her home and living in it! 
Home Details - @arinsolangeathome</t>
  </si>
  <si>
    <t>https://arinsolangeathome.com/linktree/</t>
  </si>
  <si>
    <t>qrfup.organization</t>
  </si>
  <si>
    <t>Quick Reaction Force mobile app - Veteran Owned</t>
  </si>
  <si>
    <t>MOBILE CRISIS INTERVENTION APP
Nationwide 501(c)(3) 
Volunteer | Donate | Buy Merch ⬇️</t>
  </si>
  <si>
    <t>https://linktr.ee/QRFup.organization</t>
  </si>
  <si>
    <t>somewhatsimpleliving</t>
  </si>
  <si>
    <t>Stephanie Dulgarian  || Simple Decor + Organization</t>
  </si>
  <si>
    <t>🖤 Helping homebodies love where they live 
🖤 Creating clutter-free spaces on a real-life budget
🖤 Links + Freebies ⤵️</t>
  </si>
  <si>
    <t>https://somewhatsimpleliving.com/</t>
  </si>
  <si>
    <t>that.minimalist.mom</t>
  </si>
  <si>
    <t>Casey Jones | Decluttering + Organization</t>
  </si>
  <si>
    <t>🌸 Teaching busy moms to live minimally, simply and clutter free to make room for more of what matters
📧casey@thatminimalistmom.com
Grab my FREE guide↓</t>
  </si>
  <si>
    <t>http://www.thatminimalistmom.com/signup</t>
  </si>
  <si>
    <t>trump</t>
  </si>
  <si>
    <t>The Trump Organization</t>
  </si>
  <si>
    <t>The most globally recognized brand in luxury real estate, golf, hospitality, wine and entertainment.</t>
  </si>
  <si>
    <t>http://linktr.ee/trump</t>
  </si>
  <si>
    <t>who</t>
  </si>
  <si>
    <t>World Health Organization</t>
  </si>
  <si>
    <t>We are the United Nations’ health agency. Health For All. We will remove hate speech &amp; mis-disinformation.</t>
  </si>
  <si>
    <t>http://www.oneworldhealthforall.org/</t>
  </si>
  <si>
    <t>alifebetterorganized</t>
  </si>
  <si>
    <t>Debbie Sandler | Cleaning, Organizing, Home Tips</t>
  </si>
  <si>
    <t>Pro Organizer, Keeping It Real シ
✰ Useful Life Hacks
✰ Budget Friendly Ideas
✰ Affordable Finds
⇩ SHOP LINKS ⇩</t>
  </si>
  <si>
    <t>https://linktr.ee/alifebetterorganized</t>
  </si>
  <si>
    <t>organizedandsimplified4u</t>
  </si>
  <si>
    <t>Jen Watson | Cleaning, Organizing, Home Tips &amp; more.</t>
  </si>
  <si>
    <t>Tips▪️LifeHacks▪️Inspo▪️Products▪️DIYs
Professional Home Organizer, Momˣ⁵ 💕
Serving Southern California areas🚗
Transforming Spaces, Improving lives.🏡</t>
  </si>
  <si>
    <t>https://www.amazon.com/shop/organizedandsimplified4u/list/1V01W3C0VL3O2?ref_=aip_sf_list_spv_ofs_mixed_m</t>
  </si>
  <si>
    <t>organizewithnisa</t>
  </si>
  <si>
    <t>Home Organizing &amp; Tips</t>
  </si>
  <si>
    <t>The best appliances for your Home 🏡
Make your amazing home ❤️❤️
Daily upload for Tips &amp; Organize
🇱🇷🇱🇷🇱🇷🇱🇷🇱🇷🇱🇷
Amazon shop here 👇👇👇</t>
  </si>
  <si>
    <t>https://www.amazon.com/shop/dailyhome_tips</t>
  </si>
  <si>
    <t>simplysortedwithdeaks</t>
  </si>
  <si>
    <t>Jen Noseworthy | Organizing Tips &amp; Fun Recipes</t>
  </si>
  <si>
    <t>▫️Helping you create a home that brings calm instead of stress.
▫️Less stuff. More organized. Goodbye chaos.
⤵️ Shop my faves</t>
  </si>
  <si>
    <t>https://linktr.ee/simplysortedwithdeaks</t>
  </si>
  <si>
    <t>barstooloutdoors</t>
  </si>
  <si>
    <t>Barstool Outdoors</t>
  </si>
  <si>
    <t>@sydnie_wells Takes Barstool Sports into the Wild! 
DM Submissions
New Vid every other Thursday!
Mahi Tacos with Chef Donny!👇</t>
  </si>
  <si>
    <t>https://linktr.ee/barstooloutdoors</t>
  </si>
  <si>
    <t>bossmanoutdoors1</t>
  </si>
  <si>
    <t>Bossman Outdoors</t>
  </si>
  <si>
    <t>😃Jokes and other fun to lighten your spirits!😃
Thank you for watching!
Like, Subscribe, Share!</t>
  </si>
  <si>
    <t>http://www.tiktok.com/@bossmanoutdoors</t>
  </si>
  <si>
    <t>danielleoutdoors_</t>
  </si>
  <si>
    <t>Danielle Fairbanks | Outdoorsy Content Creator</t>
  </si>
  <si>
    <t>arizona &amp; beyond | hikes • food • experiences 🥾☕️🏕️
💌: info@danielleoutdoors.com
free itineraries ⤵️</t>
  </si>
  <si>
    <t>https://danielleoutdoors.myflodesk.com/sedonaitinerary</t>
  </si>
  <si>
    <t>denoutdoors</t>
  </si>
  <si>
    <t>DEN</t>
  </si>
  <si>
    <t>Construction Company</t>
  </si>
  <si>
    <t>The design-driven, modern homebuilding platform. 🏡</t>
  </si>
  <si>
    <t>https://denoutdoors.com/pages/how-it-works</t>
  </si>
  <si>
    <t>earthoutdoors</t>
  </si>
  <si>
    <t>Earth Outdoors</t>
  </si>
  <si>
    <t>A creative community celebrating the outdoors 🌎 
#earthoutdoors #earthoutdoors10k</t>
  </si>
  <si>
    <t>healingoutdoorsy</t>
  </si>
  <si>
    <t>Ỡutdoȱrsƴ Hệaling</t>
  </si>
  <si>
    <t>🌖🌗🌘🌞🌒🌓🌔
🪬this is my ONLY account✨
🫶🏻I don’t solicit or do any readings💫
🧘🏻‍♀️here to heal, grow, and evolve🌱</t>
  </si>
  <si>
    <t>outdoorskie</t>
  </si>
  <si>
    <t>Great Outdoors</t>
  </si>
  <si>
    <t>Animals/Adventures/Fishing/Hunting
Submit your clips👇 🦉</t>
  </si>
  <si>
    <t>http://outdoorskie.com</t>
  </si>
  <si>
    <t>outdoorswimmer</t>
  </si>
  <si>
    <t>Outdoor Swimmer Magazine</t>
  </si>
  <si>
    <t>The world's only outdoor swimming magazine 🏊🏻‍♀️🏊🏼🏊🏿‍♂️
To be featured, tag us or share your swims with #swimwildandfree #swimwildandfreezing</t>
  </si>
  <si>
    <t>https://linktr.ee/outdoorswimmer</t>
  </si>
  <si>
    <t>outdoors_withrachel</t>
  </si>
  <si>
    <t>Rachel Olivia</t>
  </si>
  <si>
    <t>Just a chick who likes doing stuff outside. 🌲 🥾</t>
  </si>
  <si>
    <t>http://www.outdoorswithrachel.com</t>
  </si>
  <si>
    <t>outdoorsy</t>
  </si>
  <si>
    <t>Outdoorsy</t>
  </si>
  <si>
    <t>Experience the magic of the outdoors in the best RV rentals, glamping resorts, and campgrounds on the planet 🌎 🚐⛺️</t>
  </si>
  <si>
    <t>https://linkin.bio/outdoorsy</t>
  </si>
  <si>
    <t>sergio_outdoors</t>
  </si>
  <si>
    <t>Sergio Outdoors</t>
  </si>
  <si>
    <t>Just by making an effort, we open the doors to possibilities!
Survival &amp; Camping Tips &amp; Tutorials.</t>
  </si>
  <si>
    <t>https://linktr.ee/sergiooutdoors</t>
  </si>
  <si>
    <t>sunoutdoors</t>
  </si>
  <si>
    <t>Sun Outdoors</t>
  </si>
  <si>
    <t>🏕️ Unbeatable RV Resorts &amp; Destinations 🚐 Travel the U.S. &amp; Ontario 🔗 Book Your Trip ↓</t>
  </si>
  <si>
    <t>https://sunout.io/uh7ur</t>
  </si>
  <si>
    <t>walkinggirll</t>
  </si>
  <si>
    <t>Walking Girl | Hiking | Outdoors | Fitness</t>
  </si>
  <si>
    <t>Roaming with our terrier 🐶
Fb/Tiktok/YouTube: Walkinggirll
🥾Group hikes on Patreon
👇🏻All routes in below link 🗺️
walking.girl@engagepartnerships.uk</t>
  </si>
  <si>
    <t>https://www.patreon.com/walkinggirll?utm_campaign=creatorshare_creator</t>
  </si>
  <si>
    <t>#paleo</t>
  </si>
  <si>
    <t>Official #Paleo Page🏅</t>
  </si>
  <si>
    <t>paleobull</t>
  </si>
  <si>
    <t>Paleobull</t>
  </si>
  <si>
    <t>💚 Alimentación saludable
🌱 Solo ingredientes 100% naturales
🔝 Te mereces lo mejor ni más ni menos
✋ Stop ultraprocesados
✉️ Únete a la #TribuPaleobull</t>
  </si>
  <si>
    <t>https://paleobull.com/links</t>
  </si>
  <si>
    <t>paleofestival</t>
  </si>
  <si>
    <t>Paléo Festival Nyon</t>
  </si>
  <si>
    <t>YEAH! 🔥
Le plus grand festival open air de Suisse!
21-26.07.2026⚡️</t>
  </si>
  <si>
    <t>https://linktr.ee/PaleoFestival</t>
  </si>
  <si>
    <t>paleoforaging</t>
  </si>
  <si>
    <t>Paleo Foraging</t>
  </si>
  <si>
    <t>Wild edibles, paleo tech, &amp; herbalism backed by science &amp; history.</t>
  </si>
  <si>
    <t>http://patreon.com/paleoforaging</t>
  </si>
  <si>
    <t>paleomg</t>
  </si>
  <si>
    <t>Juli Bauer Roth</t>
  </si>
  <si>
    <t>Blogger, creator, mom 💪📚
NYT bestselling author 🥗✨
Strength in the gym = strength in life 💥
Food • Fitness • Fashion • Fun
📕 Spicy Book Club &amp; more👇</t>
  </si>
  <si>
    <t>https://paleo.mg/links</t>
  </si>
  <si>
    <t>paleorex</t>
  </si>
  <si>
    <t>• My new speculative evolution book, Life of Tomorrow, is OUT NOW! link in bio📖
↓ Books, Prints, Commissions and Email</t>
  </si>
  <si>
    <t>https://linktr.ee/paleorex</t>
  </si>
  <si>
    <t>paleorunningmomma</t>
  </si>
  <si>
    <t>Michele Rosen</t>
  </si>
  <si>
    <t>Paleo recipe developer + 📷 and mom of 3. 
Author of Paleo Baking at Home
Tap below for recipes!</t>
  </si>
  <si>
    <t>https://linktr.ee/paleorunningmomma</t>
  </si>
  <si>
    <t>paleotrophik</t>
  </si>
  <si>
    <t>gav</t>
  </si>
  <si>
    <t>currently banned from 3 gas stations
liberal probably
#loveurself
spam- @2lsdz</t>
  </si>
  <si>
    <t>paleovalley</t>
  </si>
  <si>
    <t>Paleovalley | Eat Consciously</t>
  </si>
  <si>
    <t>Live Vibrantly✨Carefully sourced, mindfully crafted &amp; nutrient-rich for optimal health!
🐂 Grass Fed 
🌱 Organic 
🚫 Non-GMO 
💯 Healthy
🎧 Podcast
👇 Shop</t>
  </si>
  <si>
    <t>https://linkinprofile.com/paleovalley</t>
  </si>
  <si>
    <t>homeschoolingideas.in</t>
  </si>
  <si>
    <t>RB | Homeschooling &amp; Parenting Hacks</t>
  </si>
  <si>
    <t>📍 Hybrid homeschooling + conscious parenting
💬 Real talks, real kids, real learning
🎧 Parenting tips | Kids POV | Reels that hit home</t>
  </si>
  <si>
    <t>parentinghackswithmeghna</t>
  </si>
  <si>
    <t>Meghna Mishra</t>
  </si>
  <si>
    <t>Raising right, one hack at a time 🧑‍🧒‍🧒
Parenting. Education. Lifestyle.
Author of "What I Need, What You Give Me”
Founder Ashelles Public School</t>
  </si>
  <si>
    <t>parentingtips_triks</t>
  </si>
  <si>
    <t>priya k patel | Gujarati Parenting Tips | Mom Hacks</t>
  </si>
  <si>
    <t>👶 Gujarati Parenting Tips | Mom Hacks
🌱 Growth • Remedies • Lifestyle
📍 Mehsana | 🤝 Collab Open
📧 payalpatelkp8980@gmail.com
➡️ follow for more..</t>
  </si>
  <si>
    <t>https://www.facebook.com/share/1DoseQfmvk/</t>
  </si>
  <si>
    <t>lorenaparkour</t>
  </si>
  <si>
    <t>Lorena Abreu</t>
  </si>
  <si>
    <t>Stunt performer, 🎵artist, &amp; goblin ✨
Brand Inquiries: lorena@night.co
🇩🇴 but #puro956
SHOP MY DRAGON TEE👇🏽🐉</t>
  </si>
  <si>
    <t>https://altivityla.com/products/la-dragon-drop-shoulder-tee</t>
  </si>
  <si>
    <t>olivernordin1</t>
  </si>
  <si>
    <t>Oliver Nordin Parkour</t>
  </si>
  <si>
    <t>🤸Parkour athlete 🏃
🌏 I parkour across the world 🗺️</t>
  </si>
  <si>
    <t>https://youtube.com/@olivernordin</t>
  </si>
  <si>
    <t>parkour_community_1</t>
  </si>
  <si>
    <t>World 🌎 wide parkour page 
Industrial Designer at @parkour_tribe7m
Sponso:@unique_concept_1m
Parkour community CEO @parkour_escape_7m
DM📨for promotion</t>
  </si>
  <si>
    <t>https://yt.openinapp.co/12b9c</t>
  </si>
  <si>
    <t>parkour.jang</t>
  </si>
  <si>
    <t>Mathieu Jang 🌴</t>
  </si>
  <si>
    <t>“Stand firm in faith, be strong and let all that you do be done in love.” 1 Corinthians‬ ‭16‬:‭13‬/14
@tenthousand.cc code | MATHIEU15</t>
  </si>
  <si>
    <t>https://youtu.be/BwTJDsgB-No</t>
  </si>
  <si>
    <t>parkour.ninja</t>
  </si>
  <si>
    <t>Dominik Arend</t>
  </si>
  <si>
    <t>🐶 The Parkour Dog
⛓️ unleashed 24/7 
📺 TopDogGermany 2023</t>
  </si>
  <si>
    <t>https://geni.us/ParkourNinjaSammys</t>
  </si>
  <si>
    <t>parkourtribeofficial</t>
  </si>
  <si>
    <t>Parkour Tribe</t>
  </si>
  <si>
    <t>The only source of Pure parkour videos 😌
Get your Parkour shoes use discount code "Parkour" link in bio
Dm for Removal of content</t>
  </si>
  <si>
    <t>https://linktr.ee/Parkourtribe</t>
  </si>
  <si>
    <t>parkourvit</t>
  </si>
  <si>
    <t>🏃‍♂️ Parkour 😘</t>
  </si>
  <si>
    <t>⭐ | 𝘗𝘢𝘳𝘬𝘰𝘶𝘳 𝘥𝘢𝘪𝘭𝘺 𝘤𝘰𝘯𝘵𝘦𝘯𝘵 ♥
♦ | 𝐝𝐦 𝐮𝐬 𝐟𝐨𝐫 𝐩𝐫𝐨𝐦𝐨 𝐚𝐧𝐝 𝐠𝐞𝐭 𝐟𝐞𝐚𝐭𝐮𝐫𝐞𝐝 🎈
🔥 | 𝐅𝐨𝐥𝐥𝐨𝐰 𝐮𝐬 𝐢𝐟 𝐲𝐨𝐮 𝐥𝐨𝐯𝐞 𝐏𝐚𝐫𝐤𝐨𝐮𝐫 👇 ✨</t>
  </si>
  <si>
    <t>https://zshorten.com/VJko3</t>
  </si>
  <si>
    <t>sportparkour</t>
  </si>
  <si>
    <t>Sport Parkour League</t>
  </si>
  <si>
    <t>Professional Sports League</t>
  </si>
  <si>
    <t>#skillspeedstyle #spl
World Class Parkour Competitions
SPL 4 | AUGUST 22-24</t>
  </si>
  <si>
    <t>http://www.sportparkourleague.com</t>
  </si>
  <si>
    <t>storrorparkourpro</t>
  </si>
  <si>
    <t>STORROR Parkour Pro</t>
  </si>
  <si>
    <t>PLAY EARLY ACCESS NOW ⬇️⬇️⬇️
Next Update - 8th Sep</t>
  </si>
  <si>
    <t>https://store.steampowered.com/app/3125250/STORROR_Parkour_Pro/</t>
  </si>
  <si>
    <t>thejasonpaul</t>
  </si>
  <si>
    <t>Jason Paul | Parkour</t>
  </si>
  <si>
    <t>🥇x3 Parkour Champ from Germany
📩 Management: Pascal@ashigaru.de
🤝 @teamfarang &amp; @redbull</t>
  </si>
  <si>
    <t>https://hoo.be/thejasonpaul</t>
  </si>
  <si>
    <t>whatparkour</t>
  </si>
  <si>
    <t>WHAT !</t>
  </si>
  <si>
    <t>🇪🇸 Parkour Madrid
@shifer_what 
@cosmin_what
@guille_what 
@alfon.what
@pintos_what
👇🏻Youtube👇🏻</t>
  </si>
  <si>
    <t>https://youtube.com/Whatparkour</t>
  </si>
  <si>
    <t>alphawomenenergy</t>
  </si>
  <si>
    <t>ALPHA WOMEN | GROWTH MINDSET | PASSIVE INCOME</t>
  </si>
  <si>
    <t>👑 Alpha woman vibes only
🔥 Self-growth + digital income
📱 500rb-1jt/hari dari sosmed
🔗 Klik buat langkah pertama ⬇️</t>
  </si>
  <si>
    <t>https://lynk.id/alphawomenenergy</t>
  </si>
  <si>
    <t>passiveincomeanna</t>
  </si>
  <si>
    <t>ANNA | Passive Income For Beginners</t>
  </si>
  <si>
    <t>🥂Business Coach But Make it Fun
👩🏽‍💻Africa’s #1 A.M 🌍
🥂₦170 Million+ Generated For My Mentees |6000+ Students Winning
📥DM ‘Ready’ To Begin
More ↴</t>
  </si>
  <si>
    <t>https://taplink.cc/passiveincomeanna</t>
  </si>
  <si>
    <t>passive_income_life_</t>
  </si>
  <si>
    <t>小弱肌理財中💪//投資//理財//省錢//優惠//</t>
  </si>
  <si>
    <t>💪分享小資族投資理財及省錢優惠的小弱肌
🕘投資方法沒有絕對只有適不適合
💼一個普通上班族
📬合作邀約：aptx0921322422@gmail.com</t>
  </si>
  <si>
    <t>passive_income_lifestylee</t>
  </si>
  <si>
    <t>Passive Income Lifestylee</t>
  </si>
  <si>
    <t>💵| Helping You To Make Passive Income Online
🤑| Copy Secrets Method Generator passive income 
👇| Start Now</t>
  </si>
  <si>
    <t>https://bit.ly/4k5AVRx</t>
  </si>
  <si>
    <t>passiveincome.mom</t>
  </si>
  <si>
    <t>Tabu|Faceless Digital Marketing|Passive income coach</t>
  </si>
  <si>
    <t>💫I help you build wealth with online business 
🧑‍💻”Road to $10k in 30days” 
📌 Unavailable in 🇧🇩🇱🇰🇵🇰 🇦🇫 🇬🇪 
🚀START YOUR FINANCIAL FREEDOM HERE⤵️</t>
  </si>
  <si>
    <t>https://beacons.ai/passiveincomemo</t>
  </si>
  <si>
    <t>passiveincomeparidhi</t>
  </si>
  <si>
    <t>Paridhi Pandey | Digital Products Coach</t>
  </si>
  <si>
    <t>✨Create a 6-fig Passive Profit Engine with Social Media | Founder @passiveprofitclub 
💬 DM me “100K” to get started</t>
  </si>
  <si>
    <t>https://www.thepassiveprofitclub.com</t>
  </si>
  <si>
    <t>passive_income.us</t>
  </si>
  <si>
    <t>Passive Income | Sell Digital Products</t>
  </si>
  <si>
    <t>🔥 We help soloprenuers build digital products from idea to launch, to scale with paid ads, Or Social media in less than 3 days…
👇Get Started Here👇</t>
  </si>
  <si>
    <t>https://offer.filinks.us</t>
  </si>
  <si>
    <t>3un4</t>
  </si>
  <si>
    <t>PC gaming UAE 🇦🇪</t>
  </si>
  <si>
    <t>Games store قيمز ستور
الروضة 2 - عجمان
‏‪052 245 5439‬‏
حساب الدعم الفني : @v8j
للطلب عبر الموقع الإلكتروني 👇</t>
  </si>
  <si>
    <t>https://maps.app.goo.gl/43pZdqKP1FSXmKCX6</t>
  </si>
  <si>
    <t>pcgaming</t>
  </si>
  <si>
    <t>PC GAMING</t>
  </si>
  <si>
    <t>Official PC GAMING | Est. 2013
Powering the PC gaming ecosystem 🌍</t>
  </si>
  <si>
    <t>http://linktr.ee/PCGaming</t>
  </si>
  <si>
    <t>pcgaming1998</t>
  </si>
  <si>
    <t>PC Gaming</t>
  </si>
  <si>
    <t>🎥 Gaming Clips
🕹 Gaming Memes 😎
📍 Business/DM</t>
  </si>
  <si>
    <t>v8j</t>
  </si>
  <si>
    <t>PC GAMING 🇦🇪</t>
  </si>
  <si>
    <t>الحساب الاماراتي الاول في عرض البيسيات و 
اكسسوارات القيمنق🥇🇦🇪
-
قيمز ستور @games_store.ae | @3un4 
-
حسابنا الثاني @v8w
-
موقعنا الالكتروني 👇</t>
  </si>
  <si>
    <t>https://www.v8j.ae/</t>
  </si>
  <si>
    <t>alexperfume.official</t>
  </si>
  <si>
    <t>Alex Perfume</t>
  </si>
  <si>
    <t>• Divulgatore olfattivo &amp; esperto del profumo
• Fondatore @alexperfumes.brand
• Fondatore @alexplus__ 
• Management @vanessacaputo</t>
  </si>
  <si>
    <t>https://www.alexperfumes.it</t>
  </si>
  <si>
    <t>dikiy_perfume</t>
  </si>
  <si>
    <t>🔹Парфюмерия строго в оригинале‼️
🔺Оптово-Розничный магазин парфюмерии 🔴
🕑График работы 10:00-22:00
🔷Адрес г.Грозный Старый рынок улица мира 44</t>
  </si>
  <si>
    <t>http://wa.me/+79298972220</t>
  </si>
  <si>
    <t>dossierperfumes</t>
  </si>
  <si>
    <t>Dossier</t>
  </si>
  <si>
    <t>Perfumery</t>
  </si>
  <si>
    <t>The Perfume House for the Next Generation.
Made in France 🇫🇷 Premium-quality (not pricing)</t>
  </si>
  <si>
    <t>https://likeshop.me/dossierperfumes</t>
  </si>
  <si>
    <t>godaperfume</t>
  </si>
  <si>
    <t>GODA Perfume</t>
  </si>
  <si>
    <t>✨ Elevate your aura with head turning scents
✈️ Fast worldwide shipping
👇SALE HAPPENING!</t>
  </si>
  <si>
    <t>https://godaperfume.com/ig</t>
  </si>
  <si>
    <t>iperfumes.gr</t>
  </si>
  <si>
    <t>iperfumes</t>
  </si>
  <si>
    <t>Cosmetics store</t>
  </si>
  <si>
    <t>Εργαστήριο αρωματοποιίας με Γαλλικά αρώματα τύπου επώνυμα. 
Χονδρική/Λιανική πώληση.
Καταστήματα : Λεωφόρος Πάρνηθος 164 - Αχαρνές,  @iperfumes_faliro</t>
  </si>
  <si>
    <t>http://www.iperfumes.gr/</t>
  </si>
  <si>
    <t>lattafa_perfumes</t>
  </si>
  <si>
    <t>Lattafa Perfumes</t>
  </si>
  <si>
    <t>Lattafa-Indulge in luxury✨ Explore the essence and fragrance from the finest Oriental and French perfumes</t>
  </si>
  <si>
    <t>https://youtu.be/t8QgacSicak?list=PLKFGJ-DYkoYJkfyCGFnSYUYZwLFPrVKiS</t>
  </si>
  <si>
    <t>oilperfumery</t>
  </si>
  <si>
    <t>Oil Perfumery</t>
  </si>
  <si>
    <t>• worldwide shipping 📦 
• vegan &amp; cruelty free 🌱
Email hello@oilperfumery.com for order inquiries</t>
  </si>
  <si>
    <t>http://bit.ly/oilperfumery</t>
  </si>
  <si>
    <t>perfumemotel</t>
  </si>
  <si>
    <t>Perfume Motel</t>
  </si>
  <si>
    <t>🎖️Melhor Spa Urbano do Brasil 
Whatsapp: 85 98101-1731 
Rede Perfume: @luxresortmotel @perfumemotel</t>
  </si>
  <si>
    <t>https://linktr.ee/Perfume1731</t>
  </si>
  <si>
    <t>perfumerism</t>
  </si>
  <si>
    <t>Emma❤️</t>
  </si>
  <si>
    <t>🥛🌸🤍
MILK ORCHID PREORDERS LIVE
@perfumerism // yt &amp; tt 
@isipcaparis // scent design
perfumerism@dulcedo.com 
links⤵</t>
  </si>
  <si>
    <t>http://linktr.ee/perfumerism</t>
  </si>
  <si>
    <t>ppigmento</t>
  </si>
  <si>
    <t>Perfumerias Pigmento</t>
  </si>
  <si>
    <t>La belleza está en todos lados. En VOS. En tu FAMILIA. Y también en tu CASA. Y eso nos inspira. #InspiradosEnTuBelleza</t>
  </si>
  <si>
    <t>https://pigmentofest.com.ar/?utm_source=meta&amp;utm_medium=organic_social&amp;utm_campaign=pigmentofest2025&amp;utm_content=ig_bio</t>
  </si>
  <si>
    <t>prfm_official</t>
  </si>
  <si>
    <t>Perfume Official IG /  2024.09.21〜 "25th &amp; 20th anniversary" / 09.22-23 TOKYO DOME /09.17 AL "ネビュラロマンス 後篇" CD Release  #prfm</t>
  </si>
  <si>
    <t>https://www.perfume-web.jp/20x25-anniversary/</t>
  </si>
  <si>
    <t>theperfumeshop</t>
  </si>
  <si>
    <t>The Perfume Shop</t>
  </si>
  <si>
    <t>Your perfume experts ❤️ Become a VIP Member for FREE for exclusive discounts and FREE delivery on online orders!👇🏽</t>
  </si>
  <si>
    <t>https://linktr.ee/the.perfume.shop</t>
  </si>
  <si>
    <t>24x7finance</t>
  </si>
  <si>
    <t>Personal Finance📈</t>
  </si>
  <si>
    <t>💰[ 1% Personal Finance Secrets on IG ]
📈[ Stock Market Investing • Mutual Funds ]
📨 DM For Paid Promotion / Collabs</t>
  </si>
  <si>
    <t>💰 Helping 🇺🇸/🇨🇦 parents build wealth
📘 CPA &amp; National Best Selling Author
👨‍🏫 2,200+ @budgetdogacademy families
Save your seat here 👇🏻</t>
  </si>
  <si>
    <t>https://budgetdogacademy.com/hmmc-opt-eo-igmain</t>
  </si>
  <si>
    <t>casper.capital</t>
  </si>
  <si>
    <t>Casper Opala | Personal Finance</t>
  </si>
  <si>
    <t>📈 | Top Personal Finance Creator
📱 | 8M+ Followers Across Platforms
📩  | casper@creatorsagency.co
👇 Check Out Chime!👇</t>
  </si>
  <si>
    <t>http://chime.com/casper</t>
  </si>
  <si>
    <t>clevergirlfinance</t>
  </si>
  <si>
    <t>Clever Girl Finance (Personal Finance For Women)</t>
  </si>
  <si>
    <t>❌ We NEVER DM about Forex/Trading/Crypto etc
📝 30+ FREE Courses
📚 5 Bestselling Books
📑 Weekly Newsletter
🎥 YouTube Videos
🎧 Clever Girls Know Podcast</t>
  </si>
  <si>
    <t>https://clevergirlfinance.com/subscribe</t>
  </si>
  <si>
    <t>financewithsanjay</t>
  </si>
  <si>
    <t>Sanjay Jaswani CFP®,CWM® | Personal Finance &amp; Trading Coach</t>
  </si>
  <si>
    <t>🎓 Expert in Stock Market &amp; Crypto
CFP® | CWM® | LLB
📈Investment Advisor: Insurance &amp; Mutual Funds
🏆Recognized by United Nations &amp; CM, Rich Dad</t>
  </si>
  <si>
    <t>https://linktr.ee/financewithsanjay</t>
  </si>
  <si>
    <t>fintalkswithtarun</t>
  </si>
  <si>
    <t>Tarun Vidhani | Business &amp; Personal Finance Expert</t>
  </si>
  <si>
    <t>💥 Sharing Investment, Insurance &amp; Loan secrets
📈 Banker - Investing since 14+ years
👉 Follow to become smart with Money
  Managed by @onocreators</t>
  </si>
  <si>
    <t>https://smbhav.amazon.in?ld=Smbhav24prebuzzTarun</t>
  </si>
  <si>
    <t>gaurav.mahawar.ig</t>
  </si>
  <si>
    <t>Gaurav Mahawar | Personal Finance |📍Mumbai</t>
  </si>
  <si>
    <t>💡Finance Made Easy
💰Money | Finance | Investments
🧑‍🎓IIM MBA | Ex-Tata Steel | Entrepreneur
📩 team.gaurav.mahawar@gmail.com</t>
  </si>
  <si>
    <t>https://forms.gle/NQeMkiLQamPnY96A9</t>
  </si>
  <si>
    <t>mansa.wlth</t>
  </si>
  <si>
    <t>Mohamed Keita | Personal Finance &amp; Digital Business</t>
  </si>
  <si>
    <t>I teach people how to make 6 figures online 
▪️6 Figure Biz Owner | Mech. Engineer
▪️25,000+ Students Taught 👨‍🎓</t>
  </si>
  <si>
    <t>millennialindebt</t>
  </si>
  <si>
    <t>Melissa 💰Beyoncé of Personal Finance</t>
  </si>
  <si>
    <t>Teaching Millennials &amp; Gen Z how
to increase their income, build generational wealth &amp; gain financial freedom 
🗽New York | 🎤 Speaker | ✍🏾 Author</t>
  </si>
  <si>
    <t>http://www.millennialindebt.com/links</t>
  </si>
  <si>
    <t>personalfinanceclub</t>
  </si>
  <si>
    <t>Jeremy Schneider</t>
  </si>
  <si>
    <t>😄 Retired at 36‎
💰 Transparent millionaire
💵 Daily money and investing tips‎
🍑 Co-Founder @hello_nectarine</t>
  </si>
  <si>
    <t>https://open.spotify.com/show/1DnoPInsicxDLUQTqw1QMr</t>
  </si>
  <si>
    <t>personalfinancegirl</t>
  </si>
  <si>
    <t>Oluchukwu Chiadika (Your Personal Finance Girl)</t>
  </si>
  <si>
    <t>💼 Personal Finance Educator 
I help everyday people get better with money and build wealth, without shame, or overwhelm.
Get the tools &amp; support 👇</t>
  </si>
  <si>
    <t>http://www.yourpersonalfinancegirl.com/wealthupsummit</t>
  </si>
  <si>
    <t>personalfinancehubtz</t>
  </si>
  <si>
    <t>Personal Finance Hub</t>
  </si>
  <si>
    <t>➡️Consultancy 
➡️Financial Literacy Education training
➡️On  a mission to transform people’smindset for wealth Creation</t>
  </si>
  <si>
    <t>https://personalfinancehub.co.tz/pre-retirement-form/</t>
  </si>
  <si>
    <t>simplicefinance_</t>
  </si>
  <si>
    <t>Wade Simplice - Tax Expert | Personal Finance &amp; Money Tips</t>
  </si>
  <si>
    <t>📊 Tax + Stocks + Credit
🇭🇹Founder of @infinitytaxassistance &amp; @simplicecredit 
💼Business inquiries: wade@simplicefinance.com
🚨👇🏽CHECK OUT👇🏽🚨</t>
  </si>
  <si>
    <t>danspetcare</t>
  </si>
  <si>
    <t>Dan's Pet Care</t>
  </si>
  <si>
    <t>🎉Winner of Best of Long Island @bestofli 🎉
👇Check pinned post @thefarmersdog👇
Daycare, Walking, Sitting &amp; more!
LI’s Only Cage-Free Boarding Facility🐕</t>
  </si>
  <si>
    <t>https://linktr.ee/danspetcare</t>
  </si>
  <si>
    <t>dogfatherofharlem</t>
  </si>
  <si>
    <t>Pet Care Expert</t>
  </si>
  <si>
    <t>Pet Grooming Educator | CEO @harlemdoggiedayspa
Founder @puprelieftourinc | Harlem
🎯 Grooming careers. Real impact.</t>
  </si>
  <si>
    <t>https://beacons.ai/dogfatherofharlem</t>
  </si>
  <si>
    <t>petcareq88</t>
  </si>
  <si>
    <t>Pet care / pet grooming 🇰🇼</t>
  </si>
  <si>
    <t>Kuwait's first pet grooming supervised by Vet 
📌Almahboula -Alrai(Friday off)
Sponsored by Dr. Obaid Alazmi
 👇🏻 أنظف جرومنج على بعد طقه واحدة 👇🏻</t>
  </si>
  <si>
    <t>pet_care_ua_</t>
  </si>
  <si>
    <t>PetCare_UA</t>
  </si>
  <si>
    <t>📍УЖГОРОД 
ДОПОМОГА : 4441-1110-3281-5510
PAYPAL: oleksandrhuzinets@gmail.com
БАНКА ДЛЯ ДОПОМОГИ НА САЙТІ В ШАПЦІ ПРОФІЛЮ🐱</t>
  </si>
  <si>
    <t>https://send.monobank.ua/jar/85JcsBULdn</t>
  </si>
  <si>
    <t>petcare_vet</t>
  </si>
  <si>
    <t>Pet Care</t>
  </si>
  <si>
    <t>PET CARE. Drh Yulyani Dewi. 
Telp; 0217819576
WA admin ; 0813 1885 2023
Jl Melati no 5-6 Ampera Raya Jak Sel</t>
  </si>
  <si>
    <t>https://www.tokopedia.com/pet-care-vet/buku-a-z-tortoises-and-turtles-second-edition-gramedia-1732031083157358128</t>
  </si>
  <si>
    <t>petcareveterinaria</t>
  </si>
  <si>
    <t>Pet Care Veterinaria</t>
  </si>
  <si>
    <t>Clínica Veterinaria para aquellos que verdaderamente aman a sus mascotas
📍Piantini 
Lun - Vie 8:00AM-7:00PM
Sab 8:00AM - 5:00PM
📞809.333.4400</t>
  </si>
  <si>
    <t>pet.health.tip</t>
  </si>
  <si>
    <t>Pet Health Tips &amp; Care</t>
  </si>
  <si>
    <t>Pet Supplies</t>
  </si>
  <si>
    <t>Keeping your pets healthy ♥️
Health tips no one will tell you 🐶
Supplements that will keep your furry loves around longer!👇🏼</t>
  </si>
  <si>
    <t>https://amzn.to/3IpPPnc</t>
  </si>
  <si>
    <t>animal_fight_3252</t>
  </si>
  <si>
    <t>Pet training</t>
  </si>
  <si>
    <t>Helping you build a better bond with your dog and cats through simple, effective training tips. 🐾 👉 Tap the link to start training today!</t>
  </si>
  <si>
    <t>https://trainyourpets.site/%23aff=Trendyxyz</t>
  </si>
  <si>
    <t>ayitsphotography</t>
  </si>
  <si>
    <t>M. Solie</t>
  </si>
  <si>
    <t>I like taking pictures lol
📸 Canon R6 Mark II
📍Vancouver, Canada
📩 contact@ayitsphotography.com
🎨 Lightroom &amp; Canon Ambassador</t>
  </si>
  <si>
    <t>https://ayitsphotography.gumroad.com/l/ultimatepresetpack?layout=profile</t>
  </si>
  <si>
    <t>badiu.photography</t>
  </si>
  <si>
    <t>Andreea | London Photographer</t>
  </si>
  <si>
    <t>📍Currently in 🇬🇧                                    
📧 andreea@badiuphotography.com⁣
Adobe Lightroom Ambassador ‘24
Presets &amp; Portfolio👇</t>
  </si>
  <si>
    <t>https://linktr.ee/badiu.photography</t>
  </si>
  <si>
    <t>_indian_.photography_</t>
  </si>
  <si>
    <t>‼️ PROMOTION HUB ‼️𝓑𝓲𝓳𝓮𝓷𝓭𝓻𝓪 𝓢𝓲𝓷𝓰𝓱</t>
  </si>
  <si>
    <t>🍁WE PROUDLY PROMOTE 🇮🇳 INDIAN 🇮🇳 PEOPLE, BUSINESS ARTISTS &amp; PHOTOGRAPHY ETC.🍁
Must Dm📥for inquiries</t>
  </si>
  <si>
    <t>instaphotographyreels</t>
  </si>
  <si>
    <t>ɪɴꜱᴛᴀ ᴘʜᴏᴛᴏɢʀᴀᴘʜʏ ʀᴇᴇʟꜱ™ |1ᴍ</t>
  </si>
  <si>
    <t>📸 | Photography is about love affair with life. 
DM or mail us for paid Promotio
Contact: iphteamcontact@gmail.com</t>
  </si>
  <si>
    <t>photogeekdom</t>
  </si>
  <si>
    <t>Photography Tips &amp; Fun Facts</t>
  </si>
  <si>
    <t>Your mobile magazine of photography tips, interesting trivia and thought-provoking discussions.</t>
  </si>
  <si>
    <t>Camera/photo</t>
  </si>
  <si>
    <t>Snapchat: Photography</t>
  </si>
  <si>
    <t>robertirwinphotography</t>
  </si>
  <si>
    <t>Robert Irwin</t>
  </si>
  <si>
    <t>Official Instagram - keep up with my latest adventures ☀️🐊</t>
  </si>
  <si>
    <t>https://australiazoo.com.au/photography-competition/</t>
  </si>
  <si>
    <t>photography_hacks._</t>
  </si>
  <si>
    <t>PHOTOGRAPHY | EDITING 📸</t>
  </si>
  <si>
    <t>▫️Daily Photography TIPS and TRICKS📸
▪️Dm for paid photo/video editings.
▫️📥DM for collab/promo</t>
  </si>
  <si>
    <t>emilio.piano</t>
  </si>
  <si>
    <t>Emilio Piano</t>
  </si>
  <si>
    <t>🎹 Pianist
💌 contact@emiliopiano.com
Check out my new song "NOSTALGIE" 👇</t>
  </si>
  <si>
    <t>experto.en.piano</t>
  </si>
  <si>
    <t>Musica desde cero</t>
  </si>
  <si>
    <t>Conviértete en un máster de piano  🤯
Sé todo un profesional ✨🎹
Últimos lugares 🫠
Más información 🎹👇</t>
  </si>
  <si>
    <t>https://hotm.art/CURSO-DE-PIANO-AQUI</t>
  </si>
  <si>
    <t>faraz_piano</t>
  </si>
  <si>
    <t>فراز</t>
  </si>
  <si>
    <t>https://t.me/farazpiano</t>
  </si>
  <si>
    <t>jhoony_piano</t>
  </si>
  <si>
    <t>Jhoony Piano</t>
  </si>
  <si>
    <t>🔥 How to IMPRESS everyone on the piano 
✉️ scores4piano@gmail.com
⬇️ All my links</t>
  </si>
  <si>
    <t>kassiapiano</t>
  </si>
  <si>
    <t>Kassia</t>
  </si>
  <si>
    <t>Hello. I am pianist Kassia.🎹 
👇👇👇Please check my music.</t>
  </si>
  <si>
    <t>https://fanlink.tv/Kassia</t>
  </si>
  <si>
    <t>melody_by_piano</t>
  </si>
  <si>
    <t>Piano</t>
  </si>
  <si>
    <t>بدون موسیقی ، زندگی تنها یک اشتباه بزرگ است 🪐
از اولین نت تا اولین قطعه😌
نوازنده - مدرس</t>
  </si>
  <si>
    <t>https://t.me/+FmjeY47a_gc5N2E0</t>
  </si>
  <si>
    <t>pianofrenchy</t>
  </si>
  <si>
    <t>Tristan Boutin</t>
  </si>
  <si>
    <t>The internet's piano coach 🧑🏼‍🎓👇🏼</t>
  </si>
  <si>
    <t>https://play-by-ear.circle.so/checkout/piano-course</t>
  </si>
  <si>
    <t>pianohub_</t>
  </si>
  <si>
    <t>Marc Hanania</t>
  </si>
  <si>
    <t>MY MUSIC ⬇️</t>
  </si>
  <si>
    <t>https://linktr.ee/marchanania</t>
  </si>
  <si>
    <t>piano.sdq</t>
  </si>
  <si>
    <t>Piano | Wine • Dine • Music</t>
  </si>
  <si>
    <t>🎹 #ElRitmoDeLaBuenaVida
By Chef @albertojimenez</t>
  </si>
  <si>
    <t>https://reservaya.com.do/restaurante/piano</t>
  </si>
  <si>
    <t>piano_superhuman</t>
  </si>
  <si>
    <t>Piano  Superhuman - Learn Piano for Beginners</t>
  </si>
  <si>
    <t>🎹 Learn Piano Fast &amp; Easy  🎹
❤️ Helped 1,000s of Adult Beginners ❤️
🔥 Learn 4 Chords Play 100's of Songs 🔥
👇 Free Course + Cheat Sheet 👇</t>
  </si>
  <si>
    <t>https://www.bestpianoclass.com/igpfreecourse</t>
  </si>
  <si>
    <t>thepianoworks</t>
  </si>
  <si>
    <t>The Piano Works</t>
  </si>
  <si>
    <t>London’s non-stop live music venue where YOU call the shots. Epic tunes and good vibes only 🎹🎷🍸
Farringdon &amp; Covent Garden📍
Make a booking below👇</t>
  </si>
  <si>
    <t>https://www.pianoworks.bar/?utm_source=bau_organic_social&amp;utm_medium=profile_link&amp;utm_campaign=piano_works_brand&amp;utm_term=n.a&amp;utm_content=n.a</t>
  </si>
  <si>
    <t>toni2piano</t>
  </si>
  <si>
    <t>Toni2 Piano Bar</t>
  </si>
  <si>
    <t>Espacio donde compartir momentos únicos del lugar más divertido de Madrid🍸
¡Menciónanos! ❤️ Fans de @toni2piano</t>
  </si>
  <si>
    <t>trucos_rapidos_piano</t>
  </si>
  <si>
    <t>Toca el piano como un master</t>
  </si>
  <si>
    <t>🚀 | Domina el piano como los cracks 
⏱️ | Aprende en tiempo récord 
🚨 | Primera clase GRATIS 
🎹 | Más Información 👇</t>
  </si>
  <si>
    <t>almondcow</t>
  </si>
  <si>
    <t>The Plant-Based Milk Maker</t>
  </si>
  <si>
    <t>Make any milk you can imagine, right the touch of a button! 🐮🥛🌱
Shop the Almond Cow!↙️</t>
  </si>
  <si>
    <t>https://almondcow.co/</t>
  </si>
  <si>
    <t>pbwhole30</t>
  </si>
  <si>
    <t>Plant-Based Whole30</t>
  </si>
  <si>
    <t>🌱The Plant-Based Whole30 program
💚Created by @whole30 HQ
➡️Program rules, resources &amp; recipes: whole30.com/plant-based</t>
  </si>
  <si>
    <t>http://sprout.link/pbwhole30</t>
  </si>
  <si>
    <t>plantbaed</t>
  </si>
  <si>
    <t>ALKALINE &amp; 100% PLANT-BASED RESTAURANTEUR &amp; MAMA</t>
  </si>
  <si>
    <t>Order for you + entire family at Plantbaed Cafè  
Monday-Saturday 11am-8pm 
4338 Paces Ferry Road SE, GA 30339
↓ Click here to order online ↓</t>
  </si>
  <si>
    <t>https://plantbaed.getbento.com/online-ordering/</t>
  </si>
  <si>
    <t>plantbased</t>
  </si>
  <si>
    <t>Fun and easy Plantbased recipes 
🚨Tag @plantbased to be featured
Sharing and promoting all things🌳
❤️🌱🌍</t>
  </si>
  <si>
    <t>plantbasedbre</t>
  </si>
  <si>
    <t>Dr. Breanna Danielle • Intuitive Foodie</t>
  </si>
  <si>
    <t>Food that feels good (not vegan)
📍NYC • DMV
📚 PhD • Black mental health + health disparities 
Join my newsletter ⤵️
📧 Hello@PlantBasedBre.com</t>
  </si>
  <si>
    <t>http://plantbasedbre.komi.io/</t>
  </si>
  <si>
    <t>plantbasedclinic</t>
  </si>
  <si>
    <t>Plant Based Clinic</t>
  </si>
  <si>
    <t>🌱 Vuoi passare a un’alimentazione vegetale?
🩺 I nostri professionisti sono qui per aiutarti 
🧑🏻‍💻 Ovunque tu sia
👇🏻 Prenota il tuo videoconsulto</t>
  </si>
  <si>
    <t>http://www.plantbasedclinic.com</t>
  </si>
  <si>
    <t>plantbasedjuniors</t>
  </si>
  <si>
    <t>Plant-Based Juniors</t>
  </si>
  <si>
    <t>Alex Caspero &amp; Whitney English
Pediatric Registered Dietitian Nutritionists 👩‍⚕️👩‍⚕️
Get More Plants on Kid’s Plates 🥦 
PBJ’s NEW Apparel 🧢👇</t>
  </si>
  <si>
    <t>https://plantbasedjuniors.myshopify.com/</t>
  </si>
  <si>
    <t>plantbasednews</t>
  </si>
  <si>
    <t>Plant Based News</t>
  </si>
  <si>
    <t>🌎 All things health, environment &amp; animals</t>
  </si>
  <si>
    <t>https://plantbasednews.org/</t>
  </si>
  <si>
    <t>plantbasedomnivore</t>
  </si>
  <si>
    <t>✨️ Watch my stories for more content!
✨️ Health. Mindset. Finance. Freedom. 
✨️ Homeschool. Homestead. Research. 
✨️ (Not a vegan 🥩) Holistic FAVES👇</t>
  </si>
  <si>
    <t>https://linktr.ee/PlantBasedOmnivore</t>
  </si>
  <si>
    <t>plantbasedonabudget</t>
  </si>
  <si>
    <t>Toni | Plant-Based on a Budget</t>
  </si>
  <si>
    <t>Serving you up easy, healthyish, budget-friendly recipes! Author of Plant-Based on a Budget. Sacramento, CA 🇺🇸🇲🇽🇯🇵</t>
  </si>
  <si>
    <t>https://linktr.ee/plantbasedonabudget</t>
  </si>
  <si>
    <t>plantbasedrd</t>
  </si>
  <si>
    <t>Catherine Perez</t>
  </si>
  <si>
    <t>🇩🇴🇲🇽 Vegan Registered Dietitian
🌱 plant-based recipes to nourish your whole self
📚@nytimes bestselling cookbook author
👇🏽COOKBOOK &amp; RECIPES</t>
  </si>
  <si>
    <t>https://linktr.ee/plantbasedrd</t>
  </si>
  <si>
    <t>plantbasedtamika</t>
  </si>
  <si>
    <t>Plant-based Tamika | Faith • Food • Caregiver</t>
  </si>
  <si>
    <t>🙏🏽Faith • 🌱 Food • 💞Encouragement
🍲 Easy Recipes &amp; Foodie Recs
🎙️ Host @cleanslatescleanplates
🫂My Mommy’s Caregiver
🛍️ Owner @shopstandout 
📍 Chicago</t>
  </si>
  <si>
    <t>http://www.plantbasedtamika.com</t>
  </si>
  <si>
    <t>plantbasedtreaty</t>
  </si>
  <si>
    <t>Plant Based Treaty</t>
  </si>
  <si>
    <t>Eat Plants • Plant Trees
Endorse the treaty ⤵️</t>
  </si>
  <si>
    <t>https://linktr.ee/plantbasedtreaty</t>
  </si>
  <si>
    <t>tebeautyselfcare</t>
  </si>
  <si>
    <t>Plant Based Skincare</t>
  </si>
  <si>
    <t>🌱BodyFresh Bundle • From Musty Odor to All-Day Freshness
🌱All Natural Skincare Products 
🌱 Use “Skin15” for 15% OFF Your 1st Order⬇️</t>
  </si>
  <si>
    <t>https://tebeauty.shop</t>
  </si>
  <si>
    <t>thejenjones</t>
  </si>
  <si>
    <t>Jen Jones | Plant-Based Queen</t>
  </si>
  <si>
    <t>Singer•Creator•Movement 
☕️Owner @nevell_skin 
@dontforgetthecinnamon_
5 ⭐️ Coffee Oil👇🏽Juicers and Milk Machine</t>
  </si>
  <si>
    <t>https://www.nevellskin.com/</t>
  </si>
  <si>
    <t>waytohealthkitchen</t>
  </si>
  <si>
    <t>Jovana Vuckovic | Plant- based healing</t>
  </si>
  <si>
    <t>🌱 Healed from severe IBD, anemia, chronic fatigue, hair loss &amp; hormones &amp; helped countless students do the same
🎓 Heal with me 👇🏻</t>
  </si>
  <si>
    <t>https://beacons.ai/waytohealthkitchen</t>
  </si>
  <si>
    <t>planthooduk</t>
  </si>
  <si>
    <t>Planthood | plant-based meal kits</t>
  </si>
  <si>
    <t>❤️ UK’s highest rated meal kit delivery company
🌱 Whole food, plant-based, chef-made
👫 Family business run by Hil &amp; Will
🔥 Dragons Den winners</t>
  </si>
  <si>
    <t>http://www.linktr.ee/planthood</t>
  </si>
  <si>
    <t>theplantbasedmeal</t>
  </si>
  <si>
    <t>Plant Based Meal</t>
  </si>
  <si>
    <t>🍓 100% Plant-Based Meal &amp; Tips  
🥤 Lost 5lbs in 1 week — no starving
📖 FREE Smoothie Diet eBook (First 100 only!)
⚡ Link in bio before it’s gone!👇</t>
  </si>
  <si>
    <t>https://healthyvegan.fit/theplantbasedmeal</t>
  </si>
  <si>
    <t>veganfoodcrazy</t>
  </si>
  <si>
    <t>Joan Ⓥ | Easy Plant based meals for Everyone</t>
  </si>
  <si>
    <t>You don’t have to be vegan to enjoy vegan food 
Shortcuts are not optional
REAL life not REEL life 
Stalk me 👇</t>
  </si>
  <si>
    <t>https://www.amazon.com/shop/veganfoodcrazy</t>
  </si>
  <si>
    <t>wholefoodplantbasedmeals</t>
  </si>
  <si>
    <t>Whole Food Plant Based Meals 🌱</t>
  </si>
  <si>
    <t>100% Vegan
Email us: wholefoodplantbasedmeals@gmail.com</t>
  </si>
  <si>
    <t>https://m.facebook.com/Whole-Food-Plant-Based-Meals-1965770083669853/</t>
  </si>
  <si>
    <t>plant_caregiver</t>
  </si>
  <si>
    <t>Akash Verma</t>
  </si>
  <si>
    <t>✏️भावी प्राइमरी टीचर📝
🌱Plant &amp; Nature Lover🌻🌷
🎨Diy Maker🪚🔨
📍Lucknow, Uttar Pradesh
✉️ Dm For collaboration</t>
  </si>
  <si>
    <t>https://www.amazon.in/l/2454175031</t>
  </si>
  <si>
    <t>plantparentai</t>
  </si>
  <si>
    <t>Plant Parent: Plant Care Guide</t>
  </si>
  <si>
    <t>🌱Give You the Top Gardening Tips🌱🌿🍃
🌱 Follow for plant care tips
🌱  Automated care reminders
⬇️ Download from App Store or Google Play  ⬇️</t>
  </si>
  <si>
    <t>https://app.adjust.com/u0lyel2</t>
  </si>
  <si>
    <t>helloplantlover</t>
  </si>
  <si>
    <t>Hello Plant Lover</t>
  </si>
  <si>
    <t>💚 By plant parents, May &amp; Leon
@hellomissmay @junglesuitcase 
🏠Australia 🇦🇺 
😻 @louisbooboocat 
💌 Email only, DM unmonitored
🌿🪴🌿🪴</t>
  </si>
  <si>
    <t>http://hellomissmay.com</t>
  </si>
  <si>
    <t>houseofplantlovers</t>
  </si>
  <si>
    <t>House of Plant Lovers (HoPL) 🌿</t>
  </si>
  <si>
    <t>🌿 Plant design &amp; inspiration ✨
🌿 For houseplant lovers, by houseplant lovers 🌴
Tag 👉 #HouseOfPlantLovers for feature.</t>
  </si>
  <si>
    <t>https://linkin.bio/houseofplantlovers</t>
  </si>
  <si>
    <t>magdas_garden</t>
  </si>
  <si>
    <t>Plant Lover</t>
  </si>
  <si>
    <t>I use plants to bring life and happiness! My goal is to share the beauty. All photos and videos are mine in my Canadian garden Zone 8b/9a.</t>
  </si>
  <si>
    <t>plantlover.bd</t>
  </si>
  <si>
    <t>Plant Lover 🌿</t>
  </si>
  <si>
    <t>My heart is a heart of nature..💚
I'm not much of a poet but i write ✍️ please Follow me on my new account @lostd13</t>
  </si>
  <si>
    <t>https://youtube.com/channel/UCOZR4oIAp_msn2D4aDRNQNw</t>
  </si>
  <si>
    <t>plantreels</t>
  </si>
  <si>
    <t>Plant Lovers 🪴</t>
  </si>
  <si>
    <t>🌱 Celebrating Nature 
🌸 Use #PlantReels for a Feature
💬 dm us for anything plant-related
⚖️ Content featured under fair use; no ownership implied.</t>
  </si>
  <si>
    <t>https://youtube.com/@plantreel</t>
  </si>
  <si>
    <t>soleil.angelique</t>
  </si>
  <si>
    <t>Character is destiny 
@zoom_bloomz</t>
  </si>
  <si>
    <t>positive.affirmations</t>
  </si>
  <si>
    <t>Positive Affirmations</t>
  </si>
  <si>
    <t>Positive affirmations and inspirational thoughts. Do you keep seeing 1111 everywhere? Read this 👇🏼</t>
  </si>
  <si>
    <t>https://chi-nese.com/angel-number-1111-and-its-deep-spiritual-meaning/</t>
  </si>
  <si>
    <t>positiveaffirmations101</t>
  </si>
  <si>
    <t>Follow me for daily #affirmations and #quotes
Check out the link below!</t>
  </si>
  <si>
    <t>https://bit.ly/soulmates2222</t>
  </si>
  <si>
    <t>positiveaffirmations11</t>
  </si>
  <si>
    <t>When you are grateful, fear disappears and abundance appears.</t>
  </si>
  <si>
    <t>https://tinyurl.com/soulsz</t>
  </si>
  <si>
    <t>positive.affirmations.4u</t>
  </si>
  <si>
    <t>Positive affirmations, quotes and inspiration</t>
  </si>
  <si>
    <t>posiitive_vibess_</t>
  </si>
  <si>
    <t>positive_vibes</t>
  </si>
  <si>
    <t>Love | Sad | Motivation😇
DM and Email for Promotion and Collab</t>
  </si>
  <si>
    <t>https://www.youtube.com/@Posiitive_vibess</t>
  </si>
  <si>
    <t>positive_vibes1267</t>
  </si>
  <si>
    <t>positive vibes 🚩</t>
  </si>
  <si>
    <t>Target 🎯 50k 
Hard Work +Dream + 😍Dedication = Success
Positive vibes only. 🌞✌️
19 Jan 🎂🎂
🚩जय श्री राम🌸🚩
#positivevibes</t>
  </si>
  <si>
    <t>positive_vibes_14</t>
  </si>
  <si>
    <t>“Tech addict in a digital wonderland 💡
“Chasing electrons and dreams 💭⚡”
“Born to disrupt, built for tech 🌐💥”
“Cool, calm, and coded 💻❄️”</t>
  </si>
  <si>
    <t>positivevibes7034</t>
  </si>
  <si>
    <t>Success | humanity | Motivation</t>
  </si>
  <si>
    <t>positive_vibes_all_here</t>
  </si>
  <si>
    <t>SBI Assistant -&gt; BOM Probationary Officer -&gt; Food Corporation of India AG III
Nagpur-&gt; Pen, Raigad-&gt; Kopargaon, Ahilyanagar-&gt; Navi Mumbai</t>
  </si>
  <si>
    <t>positivevibes.id</t>
  </si>
  <si>
    <t>Positive Vibes</t>
  </si>
  <si>
    <t>Kadang Positif, Kalau lagi negatif kita bikin lucu sampe Positive lagi. 
Established in 2015. Jakarta, Indonesia.
-
Visit our website 👇</t>
  </si>
  <si>
    <t>https://thepositivevibes.id/</t>
  </si>
  <si>
    <t>positive.vibes_m</t>
  </si>
  <si>
    <t>✨🌟 positive.vibes_m 🌟✨</t>
  </si>
  <si>
    <t>🌟 سفيرة الطاقة الأيجابية 🌟
✨ مريم الحساب الرسمي و الوحيد ✨للتواصل و حجز موعد استشارات. للنساء فقط ! إعلانات meryemetouama@gmail.com</t>
  </si>
  <si>
    <t>https://youtu.be/TEQGiUaTThg</t>
  </si>
  <si>
    <t>positivevibesquotes</t>
  </si>
  <si>
    <t>PositiveVibesQuotes</t>
  </si>
  <si>
    <t>Daily inspiring content to help you on your journey 🌿</t>
  </si>
  <si>
    <t>http://www.ambitionmedia.com/</t>
  </si>
  <si>
    <t>pvoglobal</t>
  </si>
  <si>
    <t>Positive Vibes Only</t>
  </si>
  <si>
    <t>We curate + produce socially conscious experiences to raise mental health awareness and promote positivity in our communities globally🌍🩷 #PVO</t>
  </si>
  <si>
    <t>https://posh.vip/e/pvo-dc-all-black-affair</t>
  </si>
  <si>
    <t>alike_pottery_studio</t>
  </si>
  <si>
    <t>Alicja Kędzierska</t>
  </si>
  <si>
    <t>Pottery studio based in Warsaw | Poland
Crafts &amp; Workshops
Working hours:
Mon - Fri: 13 - 19
Studio's full offer below👇</t>
  </si>
  <si>
    <t>http://www.alike.pl/</t>
  </si>
  <si>
    <t>boleslawiec.ceramika</t>
  </si>
  <si>
    <t>Handmade pottery from Poland</t>
  </si>
  <si>
    <t>🌎📦✈️Worldwide shipping
Shops in Warsaw  
🛒 ul.Freta 14 Old Town
🛒 Aleje Jerozolimskie 49 
Workshops 🍶 pomaluj.art</t>
  </si>
  <si>
    <t>http://www.e-manufaktura.com/</t>
  </si>
  <si>
    <t>ermidespottery</t>
  </si>
  <si>
    <t>Ermides Pottery | Cerámica Modo ON</t>
  </si>
  <si>
    <t>Aqui Flor, El Chino y un Team Ermides del amor
Hacemos #vajillaquedice y damos clases.
#casitaermides  L a V de 14 a 19hs.
Tienda online y envíos</t>
  </si>
  <si>
    <t>http://www.ermidespottery.com.ar/</t>
  </si>
  <si>
    <t>hi_pottery</t>
  </si>
  <si>
    <t>HI pottery | INES</t>
  </si>
  <si>
    <t>☕️ صنع يدوي 100% طين ،فخار،خزف  
📌توصيل متوفر 58 ولاية
حرفية جزائرية 🇩🇿</t>
  </si>
  <si>
    <t>loveinpottery</t>
  </si>
  <si>
    <t>Love in Pottery</t>
  </si>
  <si>
    <t>World’s Largest Ceramics Community
📥 DM to be Featured | Shop from our Favorite Artists link below
💬 Join Our Global Forum via Link Below
📍 Seattle</t>
  </si>
  <si>
    <t>https://loveinpottery.com/</t>
  </si>
  <si>
    <t>mypotteryworld</t>
  </si>
  <si>
    <t>Noor E. Naser</t>
  </si>
  <si>
    <t>Pottery studio in Amman 🎨
Classes, events &amp; good vibes only
Handmade with love, taught with heart
👇 Let’s get muddy!</t>
  </si>
  <si>
    <t>potterybarn</t>
  </si>
  <si>
    <t>Pottery Barn</t>
  </si>
  <si>
    <t>Ideas &amp; inspiration for real life.
Responsibly made. Crafted to last.
📷 share + tag #mypotterybarn</t>
  </si>
  <si>
    <t>http://like2b.uy/potterybarn</t>
  </si>
  <si>
    <t>potterybarnkids</t>
  </si>
  <si>
    <t>Pottery Barn Kids</t>
  </si>
  <si>
    <t>Materials that matter for every age &amp; stage.
📸 share + tag @potterybarnkids</t>
  </si>
  <si>
    <t>https://like2b.uy/potterybarnkids</t>
  </si>
  <si>
    <t>potterybarnteen</t>
  </si>
  <si>
    <t>Pottery Barn Teen</t>
  </si>
  <si>
    <t>📸 Tag @potterybarnteen &amp; #lovemypbteen for a chance to be featured 
📚 College bound?: @potterybarndorm
⬇️ shop &amp; explore more!</t>
  </si>
  <si>
    <t>https://bit.ly/436onRE</t>
  </si>
  <si>
    <t>pottery.princess2</t>
  </si>
  <si>
    <t>Haven</t>
  </si>
  <si>
    <t>Just having fun :)</t>
  </si>
  <si>
    <t>https://link.me/haventuninvip</t>
  </si>
  <si>
    <t>rootkapottery</t>
  </si>
  <si>
    <t>Kasia &amp; Małgosia Rutkowskie - Rootka Pottery</t>
  </si>
  <si>
    <t>𝐹𝑎𝑛𝑡𝑎𝑠𝑡𝑦𝑐𝑧𝑛𝑎 𝑐𝑒𝑟𝑎𝑚𝑖𝑘𝑎 𝑡𝑤𝑜𝑟𝑧𝑜𝑛𝑎 𝑝𝑟𝑧𝑒𝑧 𝑠𝑖𝑜𝑠𝑡𝑟𝑦 
 - 🅡🅞🅞🅣🅚🅘
ꜰᴀɴᴛᴀꜱᴛɪᴄ ᴄᴇʀᴀᴍɪᴄꜱ ʙʏ ʀᴏᴏᴛᴋᴀ ꜱɪꜱᴛᴇʀꜱ.
↓ 𝕆𝕟𝕝𝕚𝕟𝕖 𝕊𝕙𝕠𝕡 ↓</t>
  </si>
  <si>
    <t>http://rootkapottery.pl</t>
  </si>
  <si>
    <t>rv_pottery</t>
  </si>
  <si>
    <t>RVPottery | Handmade Pottery</t>
  </si>
  <si>
    <t>• Dinnerware + Pottery for Chefs and the Contemporary Home 🍽️
• Made by Hand 🫶🏼
• Nashville, TN 🇺🇸
———————</t>
  </si>
  <si>
    <t>https://rvpottery.com/</t>
  </si>
  <si>
    <t>thepotteryshoplv</t>
  </si>
  <si>
    <t>The Pottery Shop | Las Vegas Pottery Painting</t>
  </si>
  <si>
    <t>🎨 Pottery Painting in Las Vegas
💫 Perfect for dates, birthdays &amp; bestie nights
🌀 Pottery wheel classes!(no experience needed!)
🌙 Open late</t>
  </si>
  <si>
    <t>http://www.thepotteryshoplv.com/</t>
  </si>
  <si>
    <t>bsmprank</t>
  </si>
  <si>
    <t>BSM prank</t>
  </si>
  <si>
    <t>🎬🍿 : Prank,Emotion TIKTOK(+840 K)🏆🫶🏼🥳🎉🎃 Facebook (+370K) YouTube( 160k )
collabo.bsmprank@gmail.com
📍PARIS FRANCE 🎁🌹</t>
  </si>
  <si>
    <t>https://vm.tiktok.com/ZMLTUapMB/</t>
  </si>
  <si>
    <t>funny_prank__call</t>
  </si>
  <si>
    <t>Funny prank call 📞</t>
  </si>
  <si>
    <t>Sharing a smile
🔴 DM for shoutout
To request a prank call Subscribe to my newsletter 👇</t>
  </si>
  <si>
    <t>https://shorturl.at/bimrm</t>
  </si>
  <si>
    <t>just_for_prankk</t>
  </si>
  <si>
    <t>Prankk Factory 🏭</t>
  </si>
  <si>
    <t>Posting Funny Prank Videos 🤣
Follow Us For Daily Fun 🤩
Prank Family Members Target 🎯 1M
Please Dm me for credit or removal ✌️</t>
  </si>
  <si>
    <t>machigoldpranks</t>
  </si>
  <si>
    <t>ONYEMACHI DANIEL CHINWEOLU</t>
  </si>
  <si>
    <t>🎧MUSIC INFLUENCER⭐️🇳🇬🇺🇸🇬🇧
I make viral contents with music🎶👑
VERIFIED ON TIKTOK  11.1 MILLION+🌏
💬DM for Music Promotion🎵💯
Back up ⏭ @machigoldpranks__</t>
  </si>
  <si>
    <t>https://www.tiktok.com/@machigoldpranks_?_t=ZS-8zRMNIHCbQ4&amp;_r=1</t>
  </si>
  <si>
    <t>marianoprank</t>
  </si>
  <si>
    <t>MarianoPrank</t>
  </si>
  <si>
    <t>IL KING di Omegle
YouTube 500K | TikTok 1.9 MLN
DM per collab 📩
marianoprankcollab@gmail.com</t>
  </si>
  <si>
    <t>prank_calls743</t>
  </si>
  <si>
    <t>Prank Calls</t>
  </si>
  <si>
    <t>PLEASE follow for more Prank Calls 🙏
Facebook:  197k followers 
TikTok : 65k followers 
YouTube: 8k subscribers
Follow all social media page link👇</t>
  </si>
  <si>
    <t>https://www.facebook.com/share/15f5rt9BS9/?mibextid=wwXIfr</t>
  </si>
  <si>
    <t>prankdisplay</t>
  </si>
  <si>
    <t>Funny Pranks 🤣</t>
  </si>
  <si>
    <t>Posting The Funniest Pranks 🤡
Please Consider Following Us 🫶
Telegram: NexusRemarketing</t>
  </si>
  <si>
    <t>prank_in_gf</t>
  </si>
  <si>
    <t>priya_rajput</t>
  </si>
  <si>
    <t>🥰 Full video Link 🥰
         👇👇👇👇👇</t>
  </si>
  <si>
    <t>https://youtu.be/IbE4BN6xc74?si=qPuPfQ6_70ZOnRsA</t>
  </si>
  <si>
    <t>prankinvasion</t>
  </si>
  <si>
    <t>PrankInvasion</t>
  </si>
  <si>
    <t>I’m the best kisser in the world.</t>
  </si>
  <si>
    <t>prank_river</t>
  </si>
  <si>
    <t>پرنک ریور</t>
  </si>
  <si>
    <t>صدا و سیما از زاویه ای دیگر</t>
  </si>
  <si>
    <t>pranksty</t>
  </si>
  <si>
    <t>😂Pranksty😂</t>
  </si>
  <si>
    <t>😂Posting The Funniest Pranks😂
❤️NEW ACCOUNT! PLEASE FOLLOW❤️</t>
  </si>
  <si>
    <t>sabaprank</t>
  </si>
  <si>
    <t>SABA prank</t>
  </si>
  <si>
    <t>• Funny 🤣 
• Prank videos 🤪
• Girls prank 🔥
• Please follow ▶️
• Daily prank video 📸</t>
  </si>
  <si>
    <t>https://t.me/SABAprank</t>
  </si>
  <si>
    <t>theprankzone</t>
  </si>
  <si>
    <t>Pranks | Funny Videos</t>
  </si>
  <si>
    <t>Voted Instagram’s # 1 Prank Page 🏆
Powered by: @bulkmedia 
DM for: Promos • Submissions • Inquiries
📍Los Angeles</t>
  </si>
  <si>
    <t>australianbirthstories</t>
  </si>
  <si>
    <t>Sophie Walker | Pregnancy and Birth Education</t>
  </si>
  <si>
    <t>Australia's #1 Podcast with over 20M downloads
Birth Classes @the.birth.class 
Free resources  ⬇️</t>
  </si>
  <si>
    <t>https://australianbirthstories.com/links/</t>
  </si>
  <si>
    <t>breastfeeding.beauty</t>
  </si>
  <si>
    <t>Breastfeeding &amp; Pregnancy 🤰🤰</t>
  </si>
  <si>
    <t>The #breastfeed community🇺🇸 for all moms 🥰
📢📢DM for collaboration 📢📢
Uncensored #breastfed ❣️
Tag/ @breastfeeding.beauty
#breastfeeding #usa🇺🇸 🥰😍</t>
  </si>
  <si>
    <t>doclizziedpt</t>
  </si>
  <si>
    <t>Dr. Lizzie Kieffer: Pregnancy, Postpartum, Pelvic Floor Workouts</t>
  </si>
  <si>
    <t>Build strength + heal in pregnancy, postpartum &amp; all stages between💪🏼 
Daily workouts with core + pelvic floor focus for a busy life
⬇️Join MBC App⬇️</t>
  </si>
  <si>
    <t>https://doclizzie.mvt.so/mind-body-core</t>
  </si>
  <si>
    <t>drsterlingobgyn</t>
  </si>
  <si>
    <t>Dr. Noa Sterling, OBGYN | Pregnancy + Postpartum</t>
  </si>
  <si>
    <t>ObGyn 👩‍⚕️ &amp; mom-of-3
Founder of @sterlingparents app🤰
Download now 💫📱⬇️</t>
  </si>
  <si>
    <t>http://sterlingparents.com</t>
  </si>
  <si>
    <t>kimperryco</t>
  </si>
  <si>
    <t>Fit Pregnancy Coach</t>
  </si>
  <si>
    <t>As seen on @nbc Pre/Postnatal fitness certified mom of 4 📍live from Sarasota, FL
Non-boring workouts for pregnancy &amp; postpartum🤰free starter kit👇</t>
  </si>
  <si>
    <t>https://www.kimperry.com/offers/44x2bSU2/checkout</t>
  </si>
  <si>
    <t>lullabyclub</t>
  </si>
  <si>
    <t>The Lullaby Club l Inclusive, Pregnancy &amp; Feeding Friendly</t>
  </si>
  <si>
    <t>Aus Fashion Brand
FREE Shipping on all Aus orders over $250+
Sizes 6 to 26. Bump and Feeding Friendly
Come for the clothes, stay for the Community</t>
  </si>
  <si>
    <t>http://linkin.bio/lullabyclub</t>
  </si>
  <si>
    <t>mommy.labornurse</t>
  </si>
  <si>
    <t>Liesel Teen BSN, RN | Pregnancy + Birth</t>
  </si>
  <si>
    <t>🤰 Helping you have an EVEN BETTER birth!⁣
✨ Online Birth Classes⁣
👩‍⚕️ Labor and Delivery Nurse⁣
🗒️ FREE Hospital Bag Checklist &amp; Birth Plan 👇</t>
  </si>
  <si>
    <t>https://www.mommylabornurse.com/mln-links</t>
  </si>
  <si>
    <t>movelikeamotha</t>
  </si>
  <si>
    <t>Anna McClellan | Pregnancy &amp; Postpartum Trainer</t>
  </si>
  <si>
    <t>Momma of 3 ❤️
Perinatal Exercise Specialist🤰🏻B.S. in Kinesiology 📜 
Tennessee • 1 Tim 4:8
Join my Programs⬇️💥</t>
  </si>
  <si>
    <t>https://www.solin.stream/annamcclellan/program/3669?fbclid=PAQ0xDSwLlF8ZleHRuA2FlbQIxMAABpx4Da5f1E7G-ZOlc2LzAipEAF5oXb6qxkAO5OOpEDfU-1Og8e1C9YnQWEBIx_aem_5WBuiwaF_t2OGJH8tfoQiQ</t>
  </si>
  <si>
    <t>pregnancy.advice</t>
  </si>
  <si>
    <t>Pregnancy Advice</t>
  </si>
  <si>
    <t>Advising all moms &amp; moms to be for a healthy pregnancy and baby 👶🏻</t>
  </si>
  <si>
    <t>pregnancyafterlosssupport</t>
  </si>
  <si>
    <t>Pregnancy After Loss Support</t>
  </si>
  <si>
    <t>Supporting parents in choosing hope over fear while nurturing grief during a pregnancy after a previous loss. Creator of the Pregnancy After Loss App.</t>
  </si>
  <si>
    <t>https://pregnancyafterlosssupport.org/social/</t>
  </si>
  <si>
    <t>pregnancyandpostpartumtv</t>
  </si>
  <si>
    <t>Jessica Pumple | Pregnancy Postpartum TV</t>
  </si>
  <si>
    <t>🥑 From Dietitian To YouTube Creator (2M+ Subs)
🤰400+ FREE Pre &amp; Postnatal Workouts/Yoga/Pilates
👩 Mom @gvokids
✨ Prepare For An Easier Birth/Recovery👇</t>
  </si>
  <si>
    <t>https://linktr.ee/pregnancyandpostpartumtv</t>
  </si>
  <si>
    <t>pregnancy_birth_and_baby</t>
  </si>
  <si>
    <t>Pregnancy Birth and Baby | Parenting</t>
  </si>
  <si>
    <t>An Australian Government service supporting parents from pregnancy to preschool🤰🏽🤱🏼🍼👶
Discover more and community guidelines👇</t>
  </si>
  <si>
    <t>https://linktr.ee/pregnancy_birth_and_baby</t>
  </si>
  <si>
    <t>pregnancy_nutritionist</t>
  </si>
  <si>
    <t>Stephanie RD | pregnancy symptom relief</t>
  </si>
  <si>
    <t>🤢 improve your pregnancy symptoms 
&amp; boost nutrition for a healthy baby
4000+ mamas served 🫶🏽
Feel better pregnancy 30 days meal plans ⬇️</t>
  </si>
  <si>
    <t>https://stan.store/pregnancy_nutritionist/p/feel-better-pregnancy-meal-plan</t>
  </si>
  <si>
    <t>pregnancyphotographers</t>
  </si>
  <si>
    <t>BEST PREGNANCY PHOTOGRAPHERS</t>
  </si>
  <si>
    <t>The best works 📷🥇 of the best photographers 👑 in the  PREGNANCY STYLE ❤️</t>
  </si>
  <si>
    <t>pregnancyplus</t>
  </si>
  <si>
    <t>Pregnancy+ App</t>
  </si>
  <si>
    <t>Your happy, healthy pregnancy ally! 🤰💖
No.1 app for 70M+ moms worldwide. Daily expert info &amp; features for bonding &amp; preparation.</t>
  </si>
  <si>
    <t>https://linktr.ee/pregnancyplus</t>
  </si>
  <si>
    <t>resultswithbump</t>
  </si>
  <si>
    <t>RWL Bump &amp; Baby: Pregnancy Fitness App</t>
  </si>
  <si>
    <t>Fitness, confidence &amp; community, in one app
For pregnancy, postnatal &amp; motherhood
Expert-led, accessible home workouts 
Part of the @rwl Fitness App💕</t>
  </si>
  <si>
    <t>http://linktr.ee/resultswithbaby</t>
  </si>
  <si>
    <t>thebump</t>
  </si>
  <si>
    <t>The Bump - Your Guide to Pregnancy + Parenting</t>
  </si>
  <si>
    <t>Delivering real life guidance to empower our diverse community of parents and parents-to-be.
Tag #thebump to be featured.
💯 inclusive community.</t>
  </si>
  <si>
    <t>https://likeshop.me/thebump</t>
  </si>
  <si>
    <t>pregnantlife_babies</t>
  </si>
  <si>
    <t>Pregnant life and babies</t>
  </si>
  <si>
    <t>DM ;     PROMOTION , BUSSINES
.. dm for credit or remove
..</t>
  </si>
  <si>
    <t>pregnantlifeguide</t>
  </si>
  <si>
    <t>Motherhood | Pregnancy | Newborn</t>
  </si>
  <si>
    <t>Your ultimate guide to navigating pregnancy 🌸 | Tips, tricks &amp; support for every trimester 🤰💕 | Empowering moms-to-be, one step at a time 👣✨</t>
  </si>
  <si>
    <t>https://linktr.ee/TapShopHere</t>
  </si>
  <si>
    <t>beproductive</t>
  </si>
  <si>
    <t>Productivity Planner</t>
  </si>
  <si>
    <t>Get focused. Beat procrastination.
Proven productivity tools by @intelligentchange 
400,000+ planners sold
Built-in prioritization &amp; time tracking</t>
  </si>
  <si>
    <t>https://www.intelligentchange.com/collections/productivity</t>
  </si>
  <si>
    <t>fullfocusco</t>
  </si>
  <si>
    <t>Full Focus | Daily Planner for Productivity &amp; Goal Achievement</t>
  </si>
  <si>
    <t>Forbes #1 Planner | Over 1.2M Sold
Achieve big things—without burning out!
Founded by @michaelhyatt
🎉DM us MINIMALIST to shop our new planner!</t>
  </si>
  <si>
    <t>http://fullfocusplanner.com</t>
  </si>
  <si>
    <t>lifeopening</t>
  </si>
  <si>
    <t>Demchenko | Productivity Coach</t>
  </si>
  <si>
    <t>🔥 Helped 100+ high-performers destroy bad habits and achieve goals
⚡ I can boost your productivity
📘 Join waitlist for my book → DM 'FOCUS'</t>
  </si>
  <si>
    <t>https://andreydem.gumroad.com/</t>
  </si>
  <si>
    <t>mindofieva</t>
  </si>
  <si>
    <t>ieva | Habits, Mindset &amp; Productivity</t>
  </si>
  <si>
    <t>In my ✨regulated nervous system ✨ era 
A mindful go-getter, here to help you grow
📩 ieva@a-listme.com</t>
  </si>
  <si>
    <t>https://beacons.ai/mindofieva</t>
  </si>
  <si>
    <t>officialproductivity</t>
  </si>
  <si>
    <t>Official Productivity</t>
  </si>
  <si>
    <t>💌 DM for Ads &amp; Collabs
🚀 Grow Your Instagram FAST
💬 DM me to start 📈 
🔓 Free E-Book Now Available ⬇️</t>
  </si>
  <si>
    <t>http://officialpro.gumroad.com</t>
  </si>
  <si>
    <t>productive_pythons</t>
  </si>
  <si>
    <t>Productivity • Motivation • Habits • Success</t>
  </si>
  <si>
    <t>🎯 Focus • Habits • Mental Clarity
📉 Less distraction, more action
🧠 Reels for real self-growth
💰Dm for Paid Promotion</t>
  </si>
  <si>
    <t>https://a.co/d/hTx0c8K</t>
  </si>
  <si>
    <t>productivityathlete</t>
  </si>
  <si>
    <t>PRODUCTIVITY COACH</t>
  </si>
  <si>
    <t>LDN
Productivity from a psychology/Islamic perspective 
Book a free call now ⬇️</t>
  </si>
  <si>
    <t>https://www.day-byday.com/</t>
  </si>
  <si>
    <t>productivityboi</t>
  </si>
  <si>
    <t>RAMA SATYA</t>
  </si>
  <si>
    <t>Live a life you are proud of.
Collab - 085210921831 (Ariel)</t>
  </si>
  <si>
    <t>https://bit.ly/VCPartners</t>
  </si>
  <si>
    <t>productivitypeek</t>
  </si>
  <si>
    <t>Productivity and Study Tips</t>
  </si>
  <si>
    <t>📚 making studying easier for you
⚙️ daily study and productivity tips
⬇️ our productivity templates &amp; more</t>
  </si>
  <si>
    <t>https://zaap.bio/ProductivityPeek</t>
  </si>
  <si>
    <t>rish.kansal</t>
  </si>
  <si>
    <t>Rish | Productivity, Motivation &amp; Lifestyle</t>
  </si>
  <si>
    <t>🫶Previously @the.sturdy.student
💅 my other half @sturdyspacee 
💌studywithsturdyworks@gmail.com for pr/collabs</t>
  </si>
  <si>
    <t>https://m.youtube.com/channel/UCliA5YRHZiU1r2Qicrpk1Cw</t>
  </si>
  <si>
    <t>thejennieanderson</t>
  </si>
  <si>
    <t>JENNIE, RN | ADHD COACH | PRODUCTIVITY EXPERT</t>
  </si>
  <si>
    <t>Helping ADHD women Become HER: the version of herself who loves her brain + takes consistent action daily
⬇️ Let’s start your journey together</t>
  </si>
  <si>
    <t>https://www.adhdsociety.co/house-of-her</t>
  </si>
  <si>
    <t>theproductivitymethod</t>
  </si>
  <si>
    <t>The Productivity Method (TPM) - for busy people with big plans🪐</t>
  </si>
  <si>
    <t>Home of the 75,000 waitlist planner📓
Solving procrastination one planner at a time 💭
Shop our latest drop ⬇️</t>
  </si>
  <si>
    <t>https://theproductivitymethod.komi.io/</t>
  </si>
  <si>
    <t>thestudypie</t>
  </si>
  <si>
    <t>Shanya | Study and Productivity</t>
  </si>
  <si>
    <t>Study and  productivity tips ❤️
Mail for business/Collab 📧
Trackers, freebies and more coming soon!</t>
  </si>
  <si>
    <t>https://yt.openinapp.co/1qjr2</t>
  </si>
  <si>
    <t>produ.hacks</t>
  </si>
  <si>
    <t>Productivity-Hacks</t>
  </si>
  <si>
    <t>Outlet Store</t>
  </si>
  <si>
    <t>Patented Product by Produ.Hacks 
Time Management is the highest value skill in a world.
10%OFF 👇
CODE: INSTAHACKS</t>
  </si>
  <si>
    <t>http://productivityhacks.shop/</t>
  </si>
  <si>
    <t>everythingnaart</t>
  </si>
  <si>
    <t>Everything Na(is) Art™ • Career + Productivity Tips</t>
  </si>
  <si>
    <t>📍Brook’Lyn, NY 
On my 5th life, still figuring things out! @columbia_biz MBA ‘27
Engineer &lt;&gt; Product In Tech 
You need these resources ↙</t>
  </si>
  <si>
    <t>https://linktr.ee/everythingnaart</t>
  </si>
  <si>
    <t>ilovepdf_official</t>
  </si>
  <si>
    <t>iLovePDF I Productivity &amp; PDF tools</t>
  </si>
  <si>
    <t>For PDF lovers 📑❤️
🖥 Work offline with our Desktop version
📲 Edit anywhere with the Mobile app
👩🏼‍💻 Integrate software systems with our API</t>
  </si>
  <si>
    <t>https://linktr.ee/iLovePDF</t>
  </si>
  <si>
    <t>java.world</t>
  </si>
  <si>
    <t>Java Programming ©</t>
  </si>
  <si>
    <t>Sharing the fascinating art of coding
▪️Learn java through #CodeExamples &amp; #Quizzes 
▪️Join the community 👨‍💻👩‍💻
📩 DM your suggestions 
.
Resources 👇</t>
  </si>
  <si>
    <t>https://taplink.cc/java.world</t>
  </si>
  <si>
    <t>kettlebell_programming</t>
  </si>
  <si>
    <t>Mike Dunn | Kettlebell Workouts</t>
  </si>
  <si>
    <t>🔥 43-Year-Old Kettlebell Master &amp; Fitness Dad 
💪 Changing Lives with Kettlebell Workouts
📲 Tap Below for Free Workouts! Start Now
🏋️‍♂️ Home or Gym</t>
  </si>
  <si>
    <t>https://linktr.ee/kettlebellprogramming</t>
  </si>
  <si>
    <t>know.programming</t>
  </si>
  <si>
    <t>Know Programming</t>
  </si>
  <si>
    <t>💻 | Learn Programming | Coding Tricks
🚀 | Java | Python | Tech
♨️ | Telegram 28k+ Subscribers
🤝 | knowprogramming.in@gmail.com</t>
  </si>
  <si>
    <t>https://knowprogramming.in/</t>
  </si>
  <si>
    <t>programminghero</t>
  </si>
  <si>
    <t>Programming | Coding | Fun</t>
  </si>
  <si>
    <t>🚀 Learn Programming &amp; Code Offline App
❤️ Loving 1M GrandKids Family 
🛸 Android and iOS
👀 Our Discord server 👇🏻</t>
  </si>
  <si>
    <t>https://dsc.gg/heroprogrammers</t>
  </si>
  <si>
    <t>programmingknow</t>
  </si>
  <si>
    <t>Programming | Java | C | C++ | Coding</t>
  </si>
  <si>
    <t>👉 Help programmers
👉 Daily Java , DSA ,others ❤
👉 Dm for Paid promotion / Collab
👉 nitishapktest@gmail.com
🙋 Admin @nitishsarswat
👇 Check links</t>
  </si>
  <si>
    <t>https://linktr.ee/programmingknow</t>
  </si>
  <si>
    <t>programming.shuffle</t>
  </si>
  <si>
    <t>Morcos Awadallah</t>
  </si>
  <si>
    <t>🚀 Building Software products
💻 Computer Engineering Degree | AWS certified</t>
  </si>
  <si>
    <t>https://linktr.ee/morcosawadallah</t>
  </si>
  <si>
    <t>python.coder_</t>
  </si>
  <si>
    <t>Python Programming</t>
  </si>
  <si>
    <t>💻• AI | Python | ML | Technology 
📥• collab --&gt; DM or pythoncoder85@gmail.com 
👇 Join Telegram Channel 👇</t>
  </si>
  <si>
    <t>https://smartlnks.com/9V0vc</t>
  </si>
  <si>
    <t>debug_code</t>
  </si>
  <si>
    <t>Programming Tips And Tricks</t>
  </si>
  <si>
    <t>Computers &amp; Internet Website</t>
  </si>
  <si>
    <t>Helping developers level up with daily coding tips &amp; projects 🚀  
Trusted by 100K+ coders
🔗 Dive into tools &amp; collabs</t>
  </si>
  <si>
    <t>https://www.duckeys.com/EHAB07296</t>
  </si>
  <si>
    <t>chowpuppies</t>
  </si>
  <si>
    <t>Chow Chow Puppies 💞💕💞🐾 🐾</t>
  </si>
  <si>
    <t>If you want a suggestion or help for everything about chow chows you can write me on DM 🐾🐾💕 
Send DM to get featured 👍
👇SHOP LINK👇</t>
  </si>
  <si>
    <t>https://ilovemychow.com/</t>
  </si>
  <si>
    <t>cutestpuppiesforyou</t>
  </si>
  <si>
    <t>Puppies | Dogs | Pet Lovers 😘</t>
  </si>
  <si>
    <t>Gorgeous labradors, sweet pugs, fluffy samoyeds. Everything🐶
Follow + comment &amp; DM - story feature
Submit your doggo photos 👇</t>
  </si>
  <si>
    <t>https://dogsphere.co/instagram-features-photo-submission/</t>
  </si>
  <si>
    <t>dogfunny140</t>
  </si>
  <si>
    <t>DOG | PUPPIES | CUTE</t>
  </si>
  <si>
    <t>🐶 | Just some doggos doing Doggo things
💬 | Daily update to brighten your day
❤️ | Follow for more
⬇️ | Click here to shop (30% off)</t>
  </si>
  <si>
    <t>http://linktr.ee/foreverdoggos</t>
  </si>
  <si>
    <t>justfunnypuppies</t>
  </si>
  <si>
    <t>Funny Puppies</t>
  </si>
  <si>
    <t>Featuring funny puppies 🐶😂
Follow for a daily dose ❤️
DM for Credit/Removal of content 🐶
Shop here (30% OFF) 👇🏼</t>
  </si>
  <si>
    <t>puppiesbetch</t>
  </si>
  <si>
    <t>Dog memes</t>
  </si>
  <si>
    <t>Because puppies are better than people 🐶
CHECK OUT OUR STORIES FOR MORE 🐶🤣
#dogmemes</t>
  </si>
  <si>
    <t>puppies.club</t>
  </si>
  <si>
    <t>PUPPIES CLUB</t>
  </si>
  <si>
    <t>⭐ Your Ultimate Dog Page
📩 DM/Email for Business Inquires
👇 Order here (50% OFF) 👇</t>
  </si>
  <si>
    <t>https://pawslovestore.com/collections/puppies-club?sca_ref=5935641.UvxK7Xp1HX</t>
  </si>
  <si>
    <t>puppies.in</t>
  </si>
  <si>
    <t>Puppies.in</t>
  </si>
  <si>
    <t>Adorable pups from around the world 🐶
📩 Dm for business/ads</t>
  </si>
  <si>
    <t>https://linktr.ee/dogdailystore</t>
  </si>
  <si>
    <t>puppies_pet</t>
  </si>
  <si>
    <t>PUPPIES ByCarolinaFajardo</t>
  </si>
  <si>
    <t>Limpieza Dental SIN Anestesia 🦷 Colombia 🇨🇴📲 3008458733 🇺🇸 Estados Unidos📲 +1 3059345378</t>
  </si>
  <si>
    <t>https://puppiesbycarolinafajardo.com/quick-links/</t>
  </si>
  <si>
    <t>puppiesyogalosangeles</t>
  </si>
  <si>
    <t>Puppy Yoga Los Angeles</t>
  </si>
  <si>
    <t>Yoga Studio</t>
  </si>
  <si>
    <t>• Yoga sessions with adorable puppies 🐶🧘🏼‍♀️
• Every Saturday &amp; Sunday in West Hollywood, CA 📍
Already in 25+ cities in the US 🇺🇸 
Book here 👇🏼👇🏼</t>
  </si>
  <si>
    <t>https://puppies-yoga.com/losangeles</t>
  </si>
  <si>
    <t>puppy.lovrs</t>
  </si>
  <si>
    <t>Puppies!  🐶</t>
  </si>
  <si>
    <t>▫️Follow for daily pawsome pups 🐶
💥 Share with your friends 🤗
👉🏻 Tag @puppy.lovrs to get featured 🐾</t>
  </si>
  <si>
    <t>pups</t>
  </si>
  <si>
    <t>Puppies</t>
  </si>
  <si>
    <t>Paws-itively adorable pups from around the world 🐶
DM/Follow/Tag @Pups for a chance to be featured! 🤗</t>
  </si>
  <si>
    <t>rollypups.official</t>
  </si>
  <si>
    <t>ROLLY TEACUP PUPPIES KOREA 🇰🇷 INC.</t>
  </si>
  <si>
    <t>"𝐏𝐑𝐄𝐌𝐈𝐔𝐌 𝐂𝐋𝐀𝐒𝐒 𝐏𝐔𝐏𝐏𝐈𝐄𝐒" 𝐷𝑒𝑙𝑖𝑣𝑒𝑟 𝑊𝑜𝑟𝑙𝑑𝑤𝑖𝑑𝑒
Contact Us: WhatApp.Text.Call
English +1 (267) 301 6649 / +82 10 5427 3971</t>
  </si>
  <si>
    <t>http://www.rollypupsofficial.com/</t>
  </si>
  <si>
    <t>amozesh.py</t>
  </si>
  <si>
    <t>python ¦ آموزش برنامه نویسی پایتون</t>
  </si>
  <si>
    <t>❤️💍
🤩آموزش رایگان و صفر تا صد زبان برنامه نویسی
 پایتون
به همراه مدرک معتبر از دانشگاه هاروارد آمریکا
لینک زیر و هایلایتا رو هم یه نگاهی بنداز</t>
  </si>
  <si>
    <t>https://zil.ink/amozesh.py</t>
  </si>
  <si>
    <t>python_flowers</t>
  </si>
  <si>
    <t>PYTHON FLOWERS</t>
  </si>
  <si>
    <t>Наши города :
Москва ❤️
Краснодар ❤️
Новороссийск ❤️
Геленджик ❤️</t>
  </si>
  <si>
    <t>python.hub</t>
  </si>
  <si>
    <t>PythonHub  AI</t>
  </si>
  <si>
    <t>💪World’s Best AI Page 
📩: contact@pythonhub.in</t>
  </si>
  <si>
    <t>pythonlearnerr</t>
  </si>
  <si>
    <t>Python</t>
  </si>
  <si>
    <t>💻• Learn Python Programming | AI 
📥 • Collab - DM or pythonlearnerr85@gmail.com
👇 Join Telegram Channel 👇</t>
  </si>
  <si>
    <t>https://smartlnks.com/BuiorM</t>
  </si>
  <si>
    <t>deliciousfitnessmeals</t>
  </si>
  <si>
    <t>Quick Fitness Meals</t>
  </si>
  <si>
    <t>👙 Lose Weight Quick
🍑 Never diet again
🍉 Eat Delicious every day</t>
  </si>
  <si>
    <t>happy.day.quotes</t>
  </si>
  <si>
    <t>Happy Quotes</t>
  </si>
  <si>
    <t>☀️Just some happy quotes to make your day a little happier ☀️</t>
  </si>
  <si>
    <t>hustlereflections</t>
  </si>
  <si>
    <t>Hustle | Motivational Quotes</t>
  </si>
  <si>
    <t>◼️| Motivated to Hustle 
◼️| Hustle to Greatness 
◼️| Greatness to Legacy 
👇🏿👇🏿 Follow if you're building for generational wealth</t>
  </si>
  <si>
    <t>journeyinquote</t>
  </si>
  <si>
    <t>Quotes Of Life</t>
  </si>
  <si>
    <t>“Sharing wisdom, one quote at a time 🌱 | Life’s journey through words ✨”Follow for more.</t>
  </si>
  <si>
    <t>lifequotes_2023</t>
  </si>
  <si>
    <t>Quotes | Positive | Motivation</t>
  </si>
  <si>
    <t>300k🎉 400k🔐⏳
🔝 DM for promotion and partnership
⬇️ Check Link</t>
  </si>
  <si>
    <t>https://linktr.ee/lifequotes2023</t>
  </si>
  <si>
    <t>quoteoftheday</t>
  </si>
  <si>
    <t>Quotes About Life 🙌</t>
  </si>
  <si>
    <t>Everyone Needs a Little Daily Inspiration✨
Tag @quoteoftheday to be featured on our page!</t>
  </si>
  <si>
    <t>realnessquote</t>
  </si>
  <si>
    <t>Quotes | Realness</t>
  </si>
  <si>
    <t>A Culture Of Hustle &amp; Ambition
#1 Realest Account 💯</t>
  </si>
  <si>
    <t>hotdudesreading</t>
  </si>
  <si>
    <t>Hot Dudes Reading</t>
  </si>
  <si>
    <t>Send us your n...dudes. 📩Submissions@hotdudesreading.com
Business Inquiries? 📩Business@hotdudesreading.com</t>
  </si>
  <si>
    <t>officialrandl</t>
  </si>
  <si>
    <t>Reading &amp; Leeds Festival</t>
  </si>
  <si>
    <t>27-30 August 2026
PRE-SALE SOLD OUT - FIRST RELEASE ON SALE NOW 🔥</t>
  </si>
  <si>
    <t>https://www.readingfestival.com/tickets/</t>
  </si>
  <si>
    <t>reading_rhythms</t>
  </si>
  <si>
    <t>Reading Rhythms</t>
  </si>
  <si>
    <t>Not a book club. A reading party.™
Read with friends in cozy venues to curated playlists
Buy Tickets 🎟️👇</t>
  </si>
  <si>
    <t>https://readingrhythms.co/linkinbio</t>
  </si>
  <si>
    <t>readingsbooks</t>
  </si>
  <si>
    <t>Readings</t>
  </si>
  <si>
    <t>Independent Australian booksellers.</t>
  </si>
  <si>
    <t>https://linktr.ee/readingsbooks</t>
  </si>
  <si>
    <t>twins.reading.books</t>
  </si>
  <si>
    <t>◻️ TWINS READING BOOKS  🌷| Bookstagrammer</t>
  </si>
  <si>
    <t>◻️ DM / Email us for review or photo collabs 
🌷 Owner @midnights.book.tours | Book Tours
◻️ #bookstagram #bookstagrammer 
🌷 Add us in Goodreads ⬇️</t>
  </si>
  <si>
    <t>https://www.goodreads.com/user/show/172417556-twins-reading-books</t>
  </si>
  <si>
    <t>4srealestate</t>
  </si>
  <si>
    <t>4S Real Estate</t>
  </si>
  <si>
    <t>Líderes en consultoría de proyectos inmobiliarios en LATAM con más de 19 años de experiencia.
📍Presencia en 19 países.
🏢+3,000 proyectos.
#4SIGHT</t>
  </si>
  <si>
    <t>https://www.linkedin.com/pulse/c%25C3%25B3mo-renovar-la-identidad-de-un-master-plan-que-muchos-cre%25C3%25ADan-rl5oe</t>
  </si>
  <si>
    <t>alasmakhrealestate</t>
  </si>
  <si>
    <t>Al Asmakh Real Estate</t>
  </si>
  <si>
    <t>Real Estate Company</t>
  </si>
  <si>
    <t>Trusted Partner for Residential &amp; Investment 
Contact us: 4448 5111</t>
  </si>
  <si>
    <t>http://bit.ly/Alasmakh_RE</t>
  </si>
  <si>
    <t>baliexceptionsales</t>
  </si>
  <si>
    <t>BALI REAL ESTATE AGENCY</t>
  </si>
  <si>
    <t>Real Estate Service</t>
  </si>
  <si>
    <t>Finding you a place where you can just be ✨
High quality properties
+ 700 villas 🏠 sold
📞WA: +62 813-9959-4112</t>
  </si>
  <si>
    <t>http://bio.site/baliexception</t>
  </si>
  <si>
    <t>billionairehouse</t>
  </si>
  <si>
    <t>Luxury Real Estate</t>
  </si>
  <si>
    <t>❖ Showcasing The World's Top #RealEstate
❖ And The World’s Most Beautiful #Hotels 
➞ DM For Promo/Shoutouts/Growth</t>
  </si>
  <si>
    <t>heider_realestate</t>
  </si>
  <si>
    <t>HEIDER Real Estate</t>
  </si>
  <si>
    <t>The Washington Capital Region’s #1 Team by Sales Volume as per @realtrendsinc.
#1 Practice Group in Sales at @ttrsir | Led by @danielmheider</t>
  </si>
  <si>
    <t>https://www.bizjournals.com/washington/news/2025/09/02/congressional-parkway-marc-weller-home-sold-heider.html</t>
  </si>
  <si>
    <t>kretzfamilyrealestate</t>
  </si>
  <si>
    <t>KRETZ FAMILY REAL ESTATE</t>
  </si>
  <si>
    <t>The Parisian Agency @tf1 @olivier_kretz @sandrine_kretz @martin__kretz @valentinkretz @kretzlouis @raphael.kretz</t>
  </si>
  <si>
    <t>http://www.kretzrealestate.com</t>
  </si>
  <si>
    <t>levelrealestate</t>
  </si>
  <si>
    <t>LEVEL REAL ESTATE</t>
  </si>
  <si>
    <t>Firma inmobiliaria de lujo en Madrid con trayectoria internacional
📞+34 650 054 878</t>
  </si>
  <si>
    <t>https://linktr.ee/levelrealestate</t>
  </si>
  <si>
    <t>msj_real_estate</t>
  </si>
  <si>
    <t>MSJ (Danyal Saleem)</t>
  </si>
  <si>
    <t>For Brand Promotions : +92-336-5718434
Editor- @probro_edits
Managed by- @imranjabbar_</t>
  </si>
  <si>
    <t>https://youtu.be/aRsoL0mrxY0</t>
  </si>
  <si>
    <t>realestateband</t>
  </si>
  <si>
    <t>New compilation ‘The Wee Small Hours’ out now. Atlas Anniversary Tour on sale now.</t>
  </si>
  <si>
    <t>http://realestatetheband.com</t>
  </si>
  <si>
    <t>realestate_gabz</t>
  </si>
  <si>
    <t>Gabrielle Burks | Real Estate</t>
  </si>
  <si>
    <t>We help high-income families buy rentals &amp; own their homes
$40,000,000
📍STL, Mo | Jesus. Family. Rentals
Broker: @wcrealtystl  Owner: REB Agency</t>
  </si>
  <si>
    <t>https://liinks.co/realestate_gabz</t>
  </si>
  <si>
    <t>realestateglobal</t>
  </si>
  <si>
    <t>REAL ESTATE GLOBAL</t>
  </si>
  <si>
    <t>960 OFFICES AROUND THE WORLD
▫️Luxury Properties 
▫️Sotheby’s Intl Realty
▫️@sebastianacosta
▫️+1(305)244-6222
Helping you find your dream home.</t>
  </si>
  <si>
    <t>http://www.sebastianacosta.com/</t>
  </si>
  <si>
    <t>realestateskills</t>
  </si>
  <si>
    <t>Real Estate Skills</t>
  </si>
  <si>
    <t>🧑‍🎓Join The 1000+ We’ve Helped Make It BIG In Real Estate
👇FREE TRAINING: How To Consistently Make $10K-$100K/Mo</t>
  </si>
  <si>
    <t>https://www.realestateskills.com/watch?el=soigb</t>
  </si>
  <si>
    <t>realestates.tv</t>
  </si>
  <si>
    <t>Real Estates</t>
  </si>
  <si>
    <t>𝗪𝗵𝗲𝗿𝗲 𝗗𝗿𝗲𝗮𝗺𝘀 𝗙𝗶𝗻𝗱 𝗧𝗵𝗲𝗶𝗿 𝗛𝗼𝗺𝗲 🏡
𝗦𝗵𝗮𝗿𝗶𝗻𝗴 𝘁𝗵𝗲 𝗟𝗮𝘁𝗲𝘀𝘁 𝗥𝗲𝗮𝗹 𝗘𝘀𝘁𝗮𝘁𝗲 𝗡𝗲𝘄𝘀 𝗮𝗻𝗱 𝗨𝗽𝗱𝗮𝘁𝗲𝘀 
𝟭𝗠 𝗼𝗻 𝗧𝗶𝗸𝗧𝗼𝗸</t>
  </si>
  <si>
    <t>http://tiktok.com/@real.estates</t>
  </si>
  <si>
    <t>mallorcamagic</t>
  </si>
  <si>
    <t>Mallorca Magic Real Estate • Travel Tips 💙</t>
  </si>
  <si>
    <t>🏝 Mallorca's #1 Real Estate Search
🏡 90.000+ listings • largest in the Balearics
✨ Travel • Places • Property • Lifestyle
📲 Explore now via 🔗</t>
  </si>
  <si>
    <t>http://www.mallorcamagic.es</t>
  </si>
  <si>
    <t>vancouver.realestatetips</t>
  </si>
  <si>
    <t>Vancouver Real Estate Tips</t>
  </si>
  <si>
    <t>🏠Expert tips on buying, selling 
📈Analyzing the hidden value of the Vancouver market
😎30 years of experience in real estate</t>
  </si>
  <si>
    <t>http://vancouverinvestments.com</t>
  </si>
  <si>
    <t>2amheartbreaks</t>
  </si>
  <si>
    <t>#1 Relatable Quotes</t>
  </si>
  <si>
    <t>Relatable | Deep | Sad Quotes
Dm for ads &amp; promotions</t>
  </si>
  <si>
    <t>3ambreakup</t>
  </si>
  <si>
    <t>Relatable quotes 🥀</t>
  </si>
  <si>
    <t>It's okay, we all are sad these days.
𝗗𝗺 𝗳𝗼𝗿 𝗽𝗮𝗶𝗱 𝗽𝗿𝗼𝗺𝗼𝘁𝗶𝗼𝗻𝘀/𝗰𝗼𝗹𝗹𝗮𝗯</t>
  </si>
  <si>
    <t>insta.single</t>
  </si>
  <si>
    <t>Relatable Memes l Comedy I Pop Culture | News | Tv/Movie Clips</t>
  </si>
  <si>
    <t>🙌 Follow me, duhhh 
💪 Memes about everything!
🔥 World’s top meme account!
 👋 Join the dopest community on IG!</t>
  </si>
  <si>
    <t>pvorelatable</t>
  </si>
  <si>
    <t>Relatable Content</t>
  </si>
  <si>
    <t>I post for you to relate💞</t>
  </si>
  <si>
    <t>Relatable</t>
  </si>
  <si>
    <t>Products inspired by pop culture. Memes are licensed from owners. 
—
Shop below👇</t>
  </si>
  <si>
    <t>https://bit.ly/3UHRGGO</t>
  </si>
  <si>
    <t>relatablegirlspage</t>
  </si>
  <si>
    <t>Relatable Girls Page</t>
  </si>
  <si>
    <t>The home of all things relatable girl 💅💖
Main: @relatablegirlyfeed</t>
  </si>
  <si>
    <t>relatablegirlyfeed</t>
  </si>
  <si>
    <t>Relatable Girly Feed</t>
  </si>
  <si>
    <t>Home of the relatable girl life ✨</t>
  </si>
  <si>
    <t>relatableinsider</t>
  </si>
  <si>
    <t>Relatable Thoughts 🫶🏾🫶🏽🫶</t>
  </si>
  <si>
    <t>Relatable • Entertainment • Funny 
Dm or email for partnerships relatableinsider@gmail.com
Part of @wearegryd</t>
  </si>
  <si>
    <t>https://x.com/relatableinsder?s=21</t>
  </si>
  <si>
    <t>relatable_lore</t>
  </si>
  <si>
    <t>Kenny</t>
  </si>
  <si>
    <t>•Swallowers gain followers🗣️
•Impersonating everyone
•Anything I find relatable
•Dm for Credit |Promotion</t>
  </si>
  <si>
    <t>relatablelovegoals</t>
  </si>
  <si>
    <t>memes • wholesome • reels</t>
  </si>
  <si>
    <t>Community Center</t>
  </si>
  <si>
    <t>Is your partner acting shady? Here’s how to know‼️👇🏻</t>
  </si>
  <si>
    <t>https://www.cheaterbuster.net/?ref=tld24p</t>
  </si>
  <si>
    <t>relatable.pepes</t>
  </si>
  <si>
    <t>Relatable Pepe &amp; Pepa</t>
  </si>
  <si>
    <t>🏠 Adopt Our Relatable Pepe &amp; Pepa Plushies Today
🫶 Adopt here 👇👇</t>
  </si>
  <si>
    <t>https://relatablepepe.com/products/relatable-pepe</t>
  </si>
  <si>
    <t>relatables</t>
  </si>
  <si>
    <t>Relatables Podcast</t>
  </si>
  <si>
    <t>Hosted by @ottieclarke &amp; @jakeecraig                                Episodes every Monday and Friday 🚀
Email: jakeandottie@relatables.com.au</t>
  </si>
  <si>
    <t>https://www.relatables.shop</t>
  </si>
  <si>
    <t>relatableworkstuff</t>
  </si>
  <si>
    <t>Work Memes, Relatable Work Stuff, Corporate Baddie</t>
  </si>
  <si>
    <t>Just a corporate baddie posting relatable work content. Humor &amp; IG work memes are cheaper than therapy</t>
  </si>
  <si>
    <t>therelatablewall</t>
  </si>
  <si>
    <t>Relatable wall</t>
  </si>
  <si>
    <t>if you think kindness is cool, i wanna be friends 🌼
DM for business enquiries</t>
  </si>
  <si>
    <t>thetinderblog</t>
  </si>
  <si>
    <t>Funny &amp; Relatable Memes!</t>
  </si>
  <si>
    <t>Follow my feel good news page: @dailyhappystories 
Promos: TheTinderBlog1@gmail.com 
@fashionnova #memes
Incohearent card game 👇🛍️</t>
  </si>
  <si>
    <t>https://trendslana.com/products/hold-on-partner-humorous-desk-sign?utm_source=ti&amp;utm_medium=ti&amp;utm_campaign=bads</t>
  </si>
  <si>
    <t>corona__remix</t>
  </si>
  <si>
    <t>Corona Remix</t>
  </si>
  <si>
    <t>👑 Seguirci è uno STATUS 👑
La community N°1 dedicata a Fabrizio Corona
unofficial by @grupporocket</t>
  </si>
  <si>
    <t>https://grupporocket.com</t>
  </si>
  <si>
    <t>designersremix</t>
  </si>
  <si>
    <t>Designers Remix</t>
  </si>
  <si>
    <t>Upcycling since 2002♻️
B Corp Certified</t>
  </si>
  <si>
    <t>http://www.designersremix.com</t>
  </si>
  <si>
    <t>dr.remix</t>
  </si>
  <si>
    <t>Dr. Remix</t>
  </si>
  <si>
    <t>remix.blender</t>
  </si>
  <si>
    <t>𝕽𝖊𝖒𝖎𝖝𝕭𝖑𝖊𝖓𝖉𝖊𝖗</t>
  </si>
  <si>
    <t>Business service</t>
  </si>
  <si>
    <t>کانال اصلی 👇 | کانال تلگرامی 👇</t>
  </si>
  <si>
    <t>https://t.me/RemixBlender</t>
  </si>
  <si>
    <t>remixliving</t>
  </si>
  <si>
    <t>Dominique Calhoun | Interior Designer</t>
  </si>
  <si>
    <t>Curating Impactful Spaces with our firms mission in mind. Access to great Design ✨📐
🛋️ Shop @remixlivingshowroom 
📺 Watch Remix Rewind Vlog on YouTube</t>
  </si>
  <si>
    <t>https://linktr.ee/RemixLiving</t>
  </si>
  <si>
    <t>remixmarketnyc</t>
  </si>
  <si>
    <t>Remix Market NYC</t>
  </si>
  <si>
    <t>📍5-38 46th Ave in QUEENS
⏰M-F 10-7 • S&amp;S 10-6
♻️Items daily c/o @junkluggersnyc
5-10% purchase price➡️@habitatnyc_wc</t>
  </si>
  <si>
    <t>https://linktr.ee/RemixMarketNYC</t>
  </si>
  <si>
    <t>remixsando</t>
  </si>
  <si>
    <t>🚀 Vídeos que grudam na mente  
🔊 Áudio insano + trabalho satisfatório  
📲 Me segue pra não perder o melhor da net
🧾parcerias chama no direct</t>
  </si>
  <si>
    <t>https://s.shopee.com.br/7ATLh61U3w</t>
  </si>
  <si>
    <t>remixshop.official</t>
  </si>
  <si>
    <t>Remix</t>
  </si>
  <si>
    <t>👗Buy &amp; sell fashion finds from your favorite brands
💚Good for your style, your wallet, and the planet
#ThinkSecondhandFirst</t>
  </si>
  <si>
    <t>https://bit.ly/3OANK7t</t>
  </si>
  <si>
    <t>remix.timee</t>
  </si>
  <si>
    <t>𝗥𝗘𝗠𝗜𝗫.𝗧𝗜𝗠𝗘𝗘</t>
  </si>
  <si>
    <t>اگه دنبال  بهترین ریمیکس ها هستی این پیج مال شماست
دانلود ریمیکس ها از کانال تلگرام
👇CHANNEL TELEGRAM👇</t>
  </si>
  <si>
    <t>http://t.me/remix_timee26</t>
  </si>
  <si>
    <t>remix.tnt</t>
  </si>
  <si>
    <t>REMIX.TNT</t>
  </si>
  <si>
    <t>اگه دنبال بهترین ریمیکس ها هستی این پیج مال شماست
دانلود ریمیکس ها از کانال تلگرام
👇CHANNEL TELEGRM👇</t>
  </si>
  <si>
    <t>https://t.me/REMIX_TNT</t>
  </si>
  <si>
    <t>remixzoo</t>
  </si>
  <si>
    <t>Open to Collaboration with you!!</t>
  </si>
  <si>
    <t>retroconsolesgaming</t>
  </si>
  <si>
    <t>Retro Gaming Consoles</t>
  </si>
  <si>
    <t>Hola! Soy Danny 👋🏻
Colaboraciones 📩: Negociosytalejoor@gmail.com
Encuentra las consolas aqui👇 🎮 ( Cualquier País )</t>
  </si>
  <si>
    <t>https://beacons.ai/retroconsoles</t>
  </si>
  <si>
    <t>retro_gaming</t>
  </si>
  <si>
    <t>👾✌I collect #Nintendo, #Sega, #Famicom, #Atari &amp; other retro games ✨ * ☆*:.｡. o(⌒-⌒; )o .｡.:*☆ *
All pictures on here are taken by me! My blog:</t>
  </si>
  <si>
    <t>http://www.retro-video-gaming.com/</t>
  </si>
  <si>
    <t>retrogamingdays</t>
  </si>
  <si>
    <t>PlayStation 🎮 XBOX🌀SEGA🕹️Nintendo</t>
  </si>
  <si>
    <t>🪄 ∆ ○ X □ 🎮 A X Y B ✨
🚀 New videos every day 💥
📍 Los Angeles, California 🇺🇸
✉️ retrogamingdayscollab@gmail.com 🎯</t>
  </si>
  <si>
    <t>https://linktr.ee/retrogamingdays</t>
  </si>
  <si>
    <t>retro_gamingpr</t>
  </si>
  <si>
    <t>Retro Gaming 🎮</t>
  </si>
  <si>
    <t>🎮 Tu Tienda Exclusiva De Consolas Retro Originales. Lunes a Sábado 10am-5pm 🎮
787-619-1930 🇵🇷
📍 Location en el Link 👇🏻</t>
  </si>
  <si>
    <t>https://smartphonesolutionpr.com/</t>
  </si>
  <si>
    <t>growleyreviews</t>
  </si>
  <si>
    <t>Grace Rowley’s Eats</t>
  </si>
  <si>
    <t>PGH/NYC📍Restaurant reviews — take with a grain of salt (as your food should be) All rankings on Beli 👇👇👇</t>
  </si>
  <si>
    <t>https://beliapp.co/app/growleyreviews</t>
  </si>
  <si>
    <t>jaskamreviews</t>
  </si>
  <si>
    <t>Jas Kam Eats</t>
  </si>
  <si>
    <t>Food Content &amp; Food Reviews
North Carolina📍 jaskamm@jakerosenentertainment.com</t>
  </si>
  <si>
    <t>https://linktr.ee/jtkravingz</t>
  </si>
  <si>
    <t>mobile_mama_reviews</t>
  </si>
  <si>
    <t>Christina Branman</t>
  </si>
  <si>
    <t>HEY MAMAS! 🚘👶 
1 John 3:18
TikTok: @mobile_mama. (1M+)
Email: christina@mobilemamas.com</t>
  </si>
  <si>
    <t>http://bit.ly/4lXq5gp</t>
  </si>
  <si>
    <t>officialrawreviews</t>
  </si>
  <si>
    <t>Raw Reviews</t>
  </si>
  <si>
    <t>The official RAW REVIEWS
No other page is affiliated
READ THE SUBMISSION POST
Must be following to comment</t>
  </si>
  <si>
    <t>http://twitter.com/realrawreviews</t>
  </si>
  <si>
    <t>officialstickreviews</t>
  </si>
  <si>
    <t>Official Stick Reviews</t>
  </si>
  <si>
    <t>The internet’s go to for stick reviews #sticknation Collabs: officialstickreviews@gmail.com 🤝🪵🌎  We reserve the right to post submitted content</t>
  </si>
  <si>
    <t>https://linktr.ee/officialstickreviews</t>
  </si>
  <si>
    <t>ozzymanreviews</t>
  </si>
  <si>
    <t>Ozzy Man Reviews</t>
  </si>
  <si>
    <t>👇 Destination F’d👇</t>
  </si>
  <si>
    <t>https://ozzymanshop.com</t>
  </si>
  <si>
    <t>ravingreviews_</t>
  </si>
  <si>
    <t>Raving Reviews</t>
  </si>
  <si>
    <t>⚡️Your #1 Source For All Things Dance Music
✍️DM for Business Enquiries
🔈Check Out Our Spotify Playlists, Link Below👇🏻
🌍Powered by @ravinmedia_</t>
  </si>
  <si>
    <t>https://linktr.ee/ravingreviews?utm_source=linktree_profile_share&amp;ltsid=3a645d73-dc01-49aa-8e19-c561717e78d3</t>
  </si>
  <si>
    <t>reviews_with_naael</t>
  </si>
  <si>
    <t>Naael Ebrahim</t>
  </si>
  <si>
    <t>I review fragrances
For Business/PR : reviewswithnaael@gmail.com</t>
  </si>
  <si>
    <t>ryansrunningreviews</t>
  </si>
  <si>
    <t>Ryan’s Running Reviews</t>
  </si>
  <si>
    <t>Sportswear Store</t>
  </si>
  <si>
    <t>RyansRunningReviews@gmail.com
Making running shoe concepts easy to understand 👟 FOLLOW for running shoe info</t>
  </si>
  <si>
    <t>https://free-range-running.printify.me/category</t>
  </si>
  <si>
    <t>sushisoulmate</t>
  </si>
  <si>
    <t>𝐓𝐡𝐞 𝐒𝐮𝐬𝐡𝐢 𝐒𝗼𝐮𝐥𝗺𝐚𝐭𝐞 - 𝐎𝗺𝐚𝐤𝐚𝐬𝐞 𝐒𝐮𝐬𝐡𝐢 𝐑𝐞𝐯𝐢𝐞𝐰𝐬</t>
  </si>
  <si>
    <t>🍣 𝐲𝗼𝐮𝐫 𝗼𝗺𝐚𝐤𝐚𝐬𝐞 + 𝐬𝐮𝐬𝐡𝐢 𝗺𝐚𝐭𝐜𝐡 𝗺𝐚𝐤𝐞𝐫
📍𝑵𝒀𝑪 ✈️🌎
📲𝐛𝐮𝐬𝐢𝐧𝐞𝐬𝐬 𝐢𝐧𝐪𝐮𝐢𝐫𝐢𝐞𝐬: 𝐧𝐚𝐭𝐚𝐥𝐢𝐞@𝐭𝐡𝐞𝐬𝐮𝐬𝐡𝐢𝐬𝗼𝐮𝐥𝗺𝐚𝐭𝐞.𝐜𝗼𝗺</t>
  </si>
  <si>
    <t>https://linktr.ee/thesushisoulmate</t>
  </si>
  <si>
    <t>roadtrip021</t>
  </si>
  <si>
    <t>⠀⠀⠀⠀⠀⠀⠀⠀⠀⠀ 📍 ROAD TRIP 021📍</t>
  </si>
  <si>
    <t>🛫 Conectando pessoas e vivendo novas experiências 
+ de 10.000 viajantes já viveram a sua experiência 
🇧🇷 Faça parte da maior comunidade de viagens👇🏾</t>
  </si>
  <si>
    <t>https://linktr.ee/roadtrip_021</t>
  </si>
  <si>
    <t>road_trip964</t>
  </si>
  <si>
    <t>ROAD TRIP | رود ترب</t>
  </si>
  <si>
    <t>تجهيز للتخييم والرحلات أفضل المنتجات لتجربة لا تُنسى
أكثر من 10,000 عميل وثقوا بنا من مختلف مناطق العراق 
اطلب وابدأ مغامرتك، نوصل لكل مناطق العراق 🤍</t>
  </si>
  <si>
    <t>roadtripcolombia</t>
  </si>
  <si>
    <t>Road Trip Colombia ®</t>
  </si>
  <si>
    <t>Te llevamos a destinos increíbles para crear experiencias de viaje inolvidables. Travel experiences by land in Colombia 🏔🏜🚙 Write us +57 3104756716 ✌🏽</t>
  </si>
  <si>
    <t>https://lnk.bio/roadtripcolombia</t>
  </si>
  <si>
    <t>roadtripmorocco</t>
  </si>
  <si>
    <t>Road Trip Morocco</t>
  </si>
  <si>
    <t>📍Welcome To Morocco 🇲🇦
Travel ✈ | Lifestyle 🌍 | Trip 🏕
📩 Collaboration : RoadTripMoroccoTV@Gmail.com
Support us 👇♥️
#morocco 🇲🇦🇲🇦🇲🇦</t>
  </si>
  <si>
    <t>roadtrippin</t>
  </si>
  <si>
    <t>Road Trippin' 🎧</t>
  </si>
  <si>
    <t>🍷 No one tells OUR stories better than US!
🎧 Produced by @raindelaymedia</t>
  </si>
  <si>
    <t>https://linktr.ee/roadtrippinpodcast</t>
  </si>
  <si>
    <t>roadtriptt</t>
  </si>
  <si>
    <t>Road Trip TT</t>
  </si>
  <si>
    <t>We create fun and memorable #Adventure #Outdoor and #Travel experiences as well as #OutdoorTeambuilding events</t>
  </si>
  <si>
    <t>http://www.roadtriptt.com/</t>
  </si>
  <si>
    <t>roadtrip.viandas</t>
  </si>
  <si>
    <t>Road Trip Viandas</t>
  </si>
  <si>
    <t>🥗 Viandas listas, saludables y 100% personalizadas
🍽️ Menús semanales: keto, fit, clásicos y más
🏠 Envíos en Montevideo
📲 Pedí por WhatsApp</t>
  </si>
  <si>
    <t>https://roadtripviandas.my.canva.site/</t>
  </si>
  <si>
    <t>daily_roblox_nigga</t>
  </si>
  <si>
    <t>roblox knee grow</t>
  </si>
  <si>
    <t>gamegururoblox</t>
  </si>
  <si>
    <t>Game Guru Roblox | Roblox Game Finder</t>
  </si>
  <si>
    <t>🎮Exploring the coolest Roblox games daily!   
🗺️Join me for epic adventures and hidden gems.   
💼 DM for Game Promotions &amp; Sponsorships!</t>
  </si>
  <si>
    <t>https://goskins.store</t>
  </si>
  <si>
    <t>Roblox</t>
  </si>
  <si>
    <t>Reimagining the way people come together.
For support, go to rblx.co/help.</t>
  </si>
  <si>
    <t>https://lnk.bio/roblox</t>
  </si>
  <si>
    <t>tonka_rbx</t>
  </si>
  <si>
    <t>ROBLOX</t>
  </si>
  <si>
    <t>🤯|Generador👉Robloxtrucx
⚡|Youtube 50,000
🎁👇🏻|ROBUX AQUÍ|👇🏻🎁</t>
  </si>
  <si>
    <t>https://coditrucoff.cookerfest.com</t>
  </si>
  <si>
    <t>beatrockmusic</t>
  </si>
  <si>
    <t>Beatrock Music</t>
  </si>
  <si>
    <t>Bambu, Faith Santilla, GAS, Klassy, Marco Kane, Otayo Dubb, Power Struggle, Prometheus Brown, Rocky Rivera, Ruby Ibarra, The Bar, 6Fingers</t>
  </si>
  <si>
    <t>http://beatrockmusic.com</t>
  </si>
  <si>
    <t>rockmusic</t>
  </si>
  <si>
    <t>Rock Music</t>
  </si>
  <si>
    <t>Everything @RockMusic 🤘🎸</t>
  </si>
  <si>
    <t>rockmusic.ok</t>
  </si>
  <si>
    <t>Rockmusic.ok</t>
  </si>
  <si>
    <t>TIENDA VIRTUAL || BUZOS Y REMERAS
 IG: @luzbelitaoka
IG: @geekstore.ok</t>
  </si>
  <si>
    <t>https://www.tiktok.com/@carosterling.ok?_t=8kCmt0bzIpy&amp;_r=1&amp;fbclid=PAZXh0bgNhZW0CMTEAAaZ2xChP6_F-MJ2chgrkTnxTZKJRAmVFPYCieutAcBg8NRt5kX6WdTpjbVM_aem_AUMu5VJQq_w4B6nPZS4Pyx5UVnuqfwJXC-K5GB4vk9YNM4MlC2xtBYlcJfeGM-BW4F5T69UjBqFzsbkN8rCXI8o_</t>
  </si>
  <si>
    <t>rockmusicreels</t>
  </si>
  <si>
    <t>Follow Us For Daily @RockMusicReels 🎸🤘</t>
  </si>
  <si>
    <t>rockmusicusa</t>
  </si>
  <si>
    <t>ROCK MUSIC</t>
  </si>
  <si>
    <t>ROCK MUSIC 🤘🎸 
USA 🇺🇸
@rockmusicusa</t>
  </si>
  <si>
    <t>rock_station0</t>
  </si>
  <si>
    <t>Music Station 🎶</t>
  </si>
  <si>
    <t>just sharing rock music with everyone who likes it 🎶
Dm For Music Promotion</t>
  </si>
  <si>
    <t>Rome | Travel | Hotels | Food | Guides</t>
  </si>
  <si>
    <t>🇮🇹 Discover Rome like a local
📧 Promo@Travly.com
🔐 Secret Hotels with unbeatable prices ⬋</t>
  </si>
  <si>
    <t>romeflynn</t>
  </si>
  <si>
    <t>Rome Flynn</t>
  </si>
  <si>
    <t>🇨🇺 la/ny
@imprintpr @weinermgmt @theforefrontgroup</t>
  </si>
  <si>
    <t>https://lnk.to/HeavenRomeFlynn</t>
  </si>
  <si>
    <t>romeismore</t>
  </si>
  <si>
    <t>Rome is More®</t>
  </si>
  <si>
    <t>#RomeIsMore
Founded by @biondaconlasmart 
When in Rome, speak as the Romans do.
Il nostro store testaccino ⬇️</t>
  </si>
  <si>
    <t>https://www.romeismore.com/</t>
  </si>
  <si>
    <t>romelo</t>
  </si>
  <si>
    <t>Uno</t>
  </si>
  <si>
    <t>Trust God
✩✩✩✩</t>
  </si>
  <si>
    <t>https://www.espn.com/college-sports/basketball/recruiting/player/_/id/261836/romero-hill</t>
  </si>
  <si>
    <t>rome_mna</t>
  </si>
  <si>
    <t>Rome</t>
  </si>
  <si>
    <t>CEO/We Need Music /Producer 
💿💎Multi Platinum and Diamond RIAA C
🏆2X Latin Grammy winner 
MGMT: @imsodebs  Drako Micro👇🏾</t>
  </si>
  <si>
    <t>https://romelmn.com/welcome</t>
  </si>
  <si>
    <t>bokrugby</t>
  </si>
  <si>
    <t>Springboks</t>
  </si>
  <si>
    <t>The Official Instagram account of the 2023 RWC champion Springboks, our other SA national teams and all things SA Rugby.
#ForeverGreenForeverGold</t>
  </si>
  <si>
    <t>https://linktr.ee/springboks</t>
  </si>
  <si>
    <t>condores.rugby</t>
  </si>
  <si>
    <t>𝗖𝗢́𝗡𝗗𝗢𝗥𝗘𝗦 𝗖𝗛𝗜𝗟𝗘 🇨🇱</t>
  </si>
  <si>
    <t>𝗦𝗲𝗹𝗲𝗰𝗰𝗶𝗼́𝗻 𝗖𝗵𝗶𝗹𝗲𝗻𝗮 𝗱𝗲 𝗥𝘂𝗴𝗯𝘆
⚪🔴🔵 #RWC2023🏆🏟️ 🏉
#HaciendoHistoria
Hacia Australia 2027💪🏼
@chilerugby 🇨🇱</t>
  </si>
  <si>
    <t>https://www.ticketmaster.cl/event/chile-vs-paraguay-uruguay-home</t>
  </si>
  <si>
    <t>englandrugby</t>
  </si>
  <si>
    <t>England Rugby</t>
  </si>
  <si>
    <t>The official home of England Rugby on Instagram.
For the Red Roses 👉 @redrosesrugby</t>
  </si>
  <si>
    <t>https://linktr.ee/englandrugby</t>
  </si>
  <si>
    <t>ferugby</t>
  </si>
  <si>
    <t>Real Federacion Española De Rugby</t>
  </si>
  <si>
    <t>Official Instagram Spanish Rugby Union
#LoQueNosUne</t>
  </si>
  <si>
    <t>https://linktr.ee/ferugby</t>
  </si>
  <si>
    <t>francerugby</t>
  </si>
  <si>
    <t>France Rugby</t>
  </si>
  <si>
    <t>🏉🇫🇷 Fédération Française de Rugby | #RugbyAmateur | Équipes de France, #XVdeFrance, #FranceU20 #France7 | #NeFaisonsXV</t>
  </si>
  <si>
    <t>https://fanzone.me/france-rugby</t>
  </si>
  <si>
    <t>officialkru</t>
  </si>
  <si>
    <t>Kenya Rugby</t>
  </si>
  <si>
    <t>Official IG account for @officialkru |
The body mandated to govern rugby union in Kenya</t>
  </si>
  <si>
    <t>https://www.kru.co.ke</t>
  </si>
  <si>
    <t>orugby</t>
  </si>
  <si>
    <t>Ô Rugby</t>
  </si>
  <si>
    <t>La boutique 100% rugby 🏉 
Équipements technique, produits supporters, textile...🛍
⠀⠀⠀
👇 Rejoins la #TeamÔrugby</t>
  </si>
  <si>
    <t>https://www.o-rugby.com/</t>
  </si>
  <si>
    <t>rugby_brexit</t>
  </si>
  <si>
    <t>Rugby.Brexit</t>
  </si>
  <si>
    <t>🇬🇧 Biggest Brexit tackles, bust-ups &amp; more! 🇬🇧
❗️Disclaimer❗️Satirical Account. No actual insults or wishes of physical harm on anyone.</t>
  </si>
  <si>
    <t>rugbypass</t>
  </si>
  <si>
    <t>RugbyPass</t>
  </si>
  <si>
    <t>RugbyPass the home of everything rugby!</t>
  </si>
  <si>
    <t>https://linktr.ee/rugbypass</t>
  </si>
  <si>
    <t>rugbyworldcup</t>
  </si>
  <si>
    <t>Rugby World Cup</t>
  </si>
  <si>
    <t>Sport</t>
  </si>
  <si>
    <t>Can't wait for the final round of Pool matches 💪 Next match: WAL v FIJ (14:45, 6.9.25) 🏉 #RWC2025</t>
  </si>
  <si>
    <t>https://tickets.rugbyworldcup.com/?utm_source=instagram&amp;utm_medium=organicsocial&amp;utm_campaign=rwc2025tickets</t>
  </si>
  <si>
    <t>stadetoulousainrugby</t>
  </si>
  <si>
    <t>Stade Toulousain Rugby</t>
  </si>
  <si>
    <t>24X CHAMPIONS DE FRANCE 🛡️</t>
  </si>
  <si>
    <t>https://linktr.ee/stadetoulousain</t>
  </si>
  <si>
    <t>uru_oficial</t>
  </si>
  <si>
    <t>UNIÓN DE RUGBY DEL URUGUAY</t>
  </si>
  <si>
    <t>Sitio oficial de la Unión de Rugby del Uruguay. 
Los Teros | Las Teras | Los Teritos | Academia | Uruguay XV | Los Teros' 7</t>
  </si>
  <si>
    <t>http://uru.org.uy</t>
  </si>
  <si>
    <t>worldrugby</t>
  </si>
  <si>
    <t>World Rugby</t>
  </si>
  <si>
    <t>The home of rugby 🏉</t>
  </si>
  <si>
    <t>http://rugbypass.tv</t>
  </si>
  <si>
    <t>runna</t>
  </si>
  <si>
    <t>Runna | Running Coaching App</t>
  </si>
  <si>
    <t>🥇#1 rated running plans for everyone!
🏃Powered by Olympians &amp; expert coaches
📱by @strava 
👇Download the app today</t>
  </si>
  <si>
    <t>https://linktr.ee/runna</t>
  </si>
  <si>
    <t>runningability</t>
  </si>
  <si>
    <t>Ethan Rasmussen</t>
  </si>
  <si>
    <t>I run every day and never get injured.
My program from UNLOCK to REBUILD to TARGETS has helped 1,248 runners fix their injuries. Just $37 a month!🏃‍♂️</t>
  </si>
  <si>
    <t>https://runningability.com</t>
  </si>
  <si>
    <t>running_es</t>
  </si>
  <si>
    <t>Running_es</t>
  </si>
  <si>
    <t>Gracias por este bonito camino que construimos juntos. Empezamos una nueva etapa en @runedia_web . ¡Os esperamos!</t>
  </si>
  <si>
    <t>http://linktr.ee/running.es/</t>
  </si>
  <si>
    <t>runningfervor</t>
  </si>
  <si>
    <t>The Home of Running 🏠🏃‍♂️
🔻Apply to be featured🔻</t>
  </si>
  <si>
    <t>http://runningfervor.com/feature</t>
  </si>
  <si>
    <t>salomonrunning</t>
  </si>
  <si>
    <t>Salomon Running</t>
  </si>
  <si>
    <t>Shaping the future of running since 1947.
#Salomon</t>
  </si>
  <si>
    <t>https://youtu.be/TbfleDuxEig?si=9AjEEh74ukbDbObH</t>
  </si>
  <si>
    <t>therunningeffect</t>
  </si>
  <si>
    <t>Dominic Schlueter</t>
  </si>
  <si>
    <t>Bringing Storytelling To Running | Youngest On Spotify’s Podcast Charts | teamdominic@ifmanagement.com</t>
  </si>
  <si>
    <t>https://therunningeffect.run</t>
  </si>
  <si>
    <t>top4running</t>
  </si>
  <si>
    <t>TOP4RUNNING</t>
  </si>
  <si>
    <t>🏃🏻‍♂️ Welcome to Europe's biggest running shop
🌏 We #gofastertogether #wecelebraterunning 
📦 Check out all the hottest running gear! ⤵️</t>
  </si>
  <si>
    <t>https://top4running.com</t>
  </si>
  <si>
    <t>moral__apostel</t>
  </si>
  <si>
    <t>Moralapostel Satire Show</t>
  </si>
  <si>
    <t>CEO: Viel Spaß im Irrenhaus
Satire Videos 🚨⚠️ Auf eigene Gefahr</t>
  </si>
  <si>
    <t>https://www.tiktok.com/@moral_apostel</t>
  </si>
  <si>
    <t>satired</t>
  </si>
  <si>
    <t>Aravind - SA</t>
  </si>
  <si>
    <t>In the words of my old man to his mates, 
“Some what well known Stand Up Comedian.”
Contact: business@ellocostudio.com</t>
  </si>
  <si>
    <t>https://linktr.ee/Aravindsawntt</t>
  </si>
  <si>
    <t>satirehub</t>
  </si>
  <si>
    <t>follow to keep your brain stimulated 🧠
dm @orec for business/credits/removal
no copyright infringement intended</t>
  </si>
  <si>
    <t>https://linktr.ee/ElysiumGoodsCo</t>
  </si>
  <si>
    <t>satiresportsnews</t>
  </si>
  <si>
    <t>Satire Sports News</t>
  </si>
  <si>
    <t>🏈 ➜ Best Sports News on IG
😂 ➜ Parody Account
📥 ➜ DM for Business</t>
  </si>
  <si>
    <t>satisfingi</t>
  </si>
  <si>
    <t>Satisfying</t>
  </si>
  <si>
    <t>عالم الخيال🧝🏼‍♀️🧚🏻🔮 
شوية ذكاء اصطناعي 🤖 
Some of AI 🤖</t>
  </si>
  <si>
    <t>satisfying_1a1</t>
  </si>
  <si>
    <t>Satisfying 1+1</t>
  </si>
  <si>
    <t>100% Power Satisfy</t>
  </si>
  <si>
    <t>satisfying.lawn</t>
  </si>
  <si>
    <t>James Garden 🪴</t>
  </si>
  <si>
    <t>James Green 👩‍🌾🏡</t>
  </si>
  <si>
    <t>satisfying.slices.asmr</t>
  </si>
  <si>
    <t>Satisfying Slices ASMR</t>
  </si>
  <si>
    <t>ASMR you can feel through the screen
⬇️ Learn how to make my videos! ⬇️</t>
  </si>
  <si>
    <t>https://satisfyslice.gumroad.com/l/kwnhr</t>
  </si>
  <si>
    <t>satisfyingusa</t>
  </si>
  <si>
    <t>🇺🇸Satisfying USA</t>
  </si>
  <si>
    <t>satisfying.video</t>
  </si>
  <si>
    <t>Satisfying Videos</t>
  </si>
  <si>
    <t>The most satisfying, addicting and mesmerizing videos on Instagram. Like, Comment, tag your friends and enjoy! 💋❤️💓💞💘💖</t>
  </si>
  <si>
    <t>satisfying.x.lips</t>
  </si>
  <si>
    <t>Satisfying Lips®</t>
  </si>
  <si>
    <t>Official Satisfying Lips® 💋 Instagram Page.Copyright ©2020-2025 Satisfying Lips® 
All Rights Reserved
Long Vidoes On My YouTube &amp; Facebook Page's 👇</t>
  </si>
  <si>
    <t>https://direct.me/satisfyinglips</t>
  </si>
  <si>
    <t>satisfying.xyz</t>
  </si>
  <si>
    <t>Satisfying Slime Videos</t>
  </si>
  <si>
    <t>🔱Daily Satisfying Posts
‼️Let’s get to 250k!!!</t>
  </si>
  <si>
    <t>satisfying_y</t>
  </si>
  <si>
    <t>satisfying videos</t>
  </si>
  <si>
    <t>🔱Daily satisfying Videos
‼️Let’s Get To 200k!!</t>
  </si>
  <si>
    <t>https://temu.to/k/eiz9mkhzp5t</t>
  </si>
  <si>
    <t>asaya.sculpture</t>
  </si>
  <si>
    <t>Asaya  - 𝑆𝑐𝑢𝑙𝑝𝑡𝑜𝑟, 𝑊𝑜𝑜𝑑𝑐𝑎𝑟𝑣𝑒𝑟, 𝐻𝑒𝑎𝑟𝑡𝑖𝑠𝑡</t>
  </si>
  <si>
    <t>First Foreigner to learn Traditional Woodcarving in Inami, Japan 🇯🇵
✈️ Germany &gt; Sweden &gt; Mexico &gt; Japan
👇🏻Join our Woodcarving Community for free</t>
  </si>
  <si>
    <t>https://www.asayasculpture.com/community</t>
  </si>
  <si>
    <t>bmsculptures</t>
  </si>
  <si>
    <t>Blake McFarland</t>
  </si>
  <si>
    <t>YouTube: bmsculptures 
Retired ⚾️  player 👉Full time sculptor/creator
www.blakemcfarland.com</t>
  </si>
  <si>
    <t>https://youtu.be/t2ptWziygKg</t>
  </si>
  <si>
    <t>customsculpturefactory</t>
  </si>
  <si>
    <t>Sculpture Factory</t>
  </si>
  <si>
    <t>Sculpture Garden</t>
  </si>
  <si>
    <t>Like❤️and follow me for the best selection of sculptures and artistic decor.
ONE STOP SERVICE
Professional manufacturer.Global shipping</t>
  </si>
  <si>
    <t>https://www.mysculpture.cn</t>
  </si>
  <si>
    <t>fageras_sculpture</t>
  </si>
  <si>
    <t>Håkon Anton Fagerås</t>
  </si>
  <si>
    <t>Norwegian sculptor working in Italy</t>
  </si>
  <si>
    <t>http://fageras.com</t>
  </si>
  <si>
    <t>jack_eagan_sculpture</t>
  </si>
  <si>
    <t>Jack Eagan</t>
  </si>
  <si>
    <t>Sculpture conceived for interiors and exteriors of tomorrow. 
Website &gt; www.jackeagan.com</t>
  </si>
  <si>
    <t>http://jackeagan.com</t>
  </si>
  <si>
    <t>jordanspriggsculptures</t>
  </si>
  <si>
    <t>Jordan Sprigg | Metal Artist</t>
  </si>
  <si>
    <t>🇦🇺 • Australian Sculptor 
♻️ • Recycled Metal
🙏 • Romans 8:28
🦏 • Inspired by animals
🌾 • Narembeen, WA</t>
  </si>
  <si>
    <t>https://linktr.ee/jordanspriggsculptures</t>
  </si>
  <si>
    <t>jt_sculptures</t>
  </si>
  <si>
    <t>Jamie Thomas ⚒️</t>
  </si>
  <si>
    <t>🇳🇿 New Zealand Award Winning Artist 
⚒️ Rustic Steel Sculptures
♻️ Recycled Metal Art</t>
  </si>
  <si>
    <t>https://www.instagram.com/free_reign_jt?igsh=c29hc3JvOHU5aGx4</t>
  </si>
  <si>
    <t>nickbibbysculpture</t>
  </si>
  <si>
    <t>Nick Bibby Sculpture</t>
  </si>
  <si>
    <t>A glimpse into the studio &amp; creative process of a professional bronze sculptor. Small to monumental, commissions, etc. Also on Facebook &amp; Twitter</t>
  </si>
  <si>
    <t>http://www.nickbibby.com/</t>
  </si>
  <si>
    <t>sculpt_artwork</t>
  </si>
  <si>
    <t>Sculpture Art</t>
  </si>
  <si>
    <t>Sculptor</t>
  </si>
  <si>
    <t>🌟Want to subscribe?
DM or email to join the Sculptor Subscription 📩</t>
  </si>
  <si>
    <t>https://lnk.bio/artstudio_post</t>
  </si>
  <si>
    <t>sculpture_artstudio</t>
  </si>
  <si>
    <t>Sculpture_artstudio</t>
  </si>
  <si>
    <t>🌟Want to subscribe?
DM or email to join the Artist Subscription 📩</t>
  </si>
  <si>
    <t>https://www.paypal.com/webapps/billing/plans/subscribe?plan_id=P-86L51098F7628470FNAH5XJQ</t>
  </si>
  <si>
    <t>sculpturecenter</t>
  </si>
  <si>
    <t>SculptureCenter</t>
  </si>
  <si>
    <t>Leading the conversation on contemporary sculpture since 1928.</t>
  </si>
  <si>
    <t>https://linkmy.photos/sculpturecenter</t>
  </si>
  <si>
    <t>sculptureinthecity</t>
  </si>
  <si>
    <t>Sculpture in the City | London</t>
  </si>
  <si>
    <t>World-class public art trail.
Find us at London Sculpture Week, 20-28 September 2025.</t>
  </si>
  <si>
    <t>https://linktr.ee/sculptureinthecity</t>
  </si>
  <si>
    <t>sculpture_now</t>
  </si>
  <si>
    <t>SCULPTURE NOW</t>
  </si>
  <si>
    <t>Platform focused on promoting new languages in contemporary sculpture.</t>
  </si>
  <si>
    <t>lookingforgloww</t>
  </si>
  <si>
    <t>self care ✨️🤍</t>
  </si>
  <si>
    <t>Helping you to became better, 1% every day ✨🫶🏻☺️⚡️🎀
GLOW UP • TIPS  • GROWTH
DM for collab 📩 lookingforgloww@gmail.com</t>
  </si>
  <si>
    <t>molly.laflare</t>
  </si>
  <si>
    <t>•LOTS OF HYGIENE (self care| lifestyle|hauls| vlogs| shopping🧼🚿🛀🏾
• PR/ Collabs: mollylaflare25gmail.com
•Put God my first✨ 
mollylaflare@a-listme.com</t>
  </si>
  <si>
    <t>https://beacons.ai/mollylaflare</t>
  </si>
  <si>
    <t>oh.selfcare</t>
  </si>
  <si>
    <t>⋆˚࿔ zainab 𝜗𝜚˚⋆</t>
  </si>
  <si>
    <t>a whimsical creature who thrives on girlblogging and chai 🧚‍♀️</t>
  </si>
  <si>
    <t>https://cubadhd.onelink.me/OD9D/2id7n5tz</t>
  </si>
  <si>
    <t>selfcare</t>
  </si>
  <si>
    <t>Self Care</t>
  </si>
  <si>
    <t>Providing you with Self Care Tips, Health, and Wellness Inspiration brought to you by the editors @purewow ✨</t>
  </si>
  <si>
    <t>https://linktr.ee/selfcare_</t>
  </si>
  <si>
    <t>selfcareforheart</t>
  </si>
  <si>
    <t>Selfcare ForHeart</t>
  </si>
  <si>
    <t>Take care of your heart 🤍</t>
  </si>
  <si>
    <t>selfcareisanecessity_</t>
  </si>
  <si>
    <t>Self Care 🎈</t>
  </si>
  <si>
    <t>selfcareisapriority</t>
  </si>
  <si>
    <t>Self-care Is A Priority</t>
  </si>
  <si>
    <t>taking care of yourself is important 💚</t>
  </si>
  <si>
    <t>selfcareisforeveryone</t>
  </si>
  <si>
    <t>Self-Care Is For Everyone®</t>
  </si>
  <si>
    <t>here to remind you that you are enough 🌈
10% of net profits to suicide prevention 🫂
over 1,000,000 self-care reminders spread! 🌎</t>
  </si>
  <si>
    <t>http://selfcareisforeveryone.com/</t>
  </si>
  <si>
    <t>selfcarenoon</t>
  </si>
  <si>
    <t>🫶🏻 my cozy aesthetic &amp; girly diary
✨ lifestyle | food | skincare</t>
  </si>
  <si>
    <t>https://cozycare.beehiiv.com/</t>
  </si>
  <si>
    <t>selfcare.recipe</t>
  </si>
  <si>
    <t>The Self-Care Recipe</t>
  </si>
  <si>
    <t>❤ 2 1/2 cup Self-love
🙏1/4 cup compassion 
🌈 a splash of mental health
📚 Self-Love Workbook is available now!</t>
  </si>
  <si>
    <t>https://taplink.cc/selfcare.recipe</t>
  </si>
  <si>
    <t>selfcarespotlight</t>
  </si>
  <si>
    <t>Stephanie Zito | Self-Care Spotlight</t>
  </si>
  <si>
    <t>by @stephaniemzito ✶
doctoral candidate in montréal
❤️‍🔥 slow down, enjoy life — order now ↓
@neurospotlight coming soon
↓ links / no dm advice</t>
  </si>
  <si>
    <t>https://www.selfcare-spotlight.com/links</t>
  </si>
  <si>
    <t>selfcarewithnandu</t>
  </si>
  <si>
    <t>Nandu Ramisetty</t>
  </si>
  <si>
    <t>📧: collabwithramisetty@gmail.com</t>
  </si>
  <si>
    <t>selfcarewithwall</t>
  </si>
  <si>
    <t>Selfcare Withwall</t>
  </si>
  <si>
    <t>@fashionnova
▫️⬜▫️</t>
  </si>
  <si>
    <t>https://www.fashionnova.com/?utm_source=instagram&amp;utm_medium=promo&amp;utm_campaign=selfcarewithwall</t>
  </si>
  <si>
    <t>selfcarexpuffs</t>
  </si>
  <si>
    <t>🤎s o f t  l i f e🤎
🤎vanilla lover🤎
🤎est since 2017🤎</t>
  </si>
  <si>
    <t>https://www.amazon.com/shop/selfcarexpuffs</t>
  </si>
  <si>
    <t>selfcareisajourney</t>
  </si>
  <si>
    <t>Self Care Is A Journey</t>
  </si>
  <si>
    <t>𝙇𝙚𝙩𝙨 𝙩𝙖𝙠𝙚 𝙤𝙣𝙚 𝙨𝙩𝙚𝙥 𝙖𝙩 𝙖 𝙩𝙞𝙢𝙚 ❤️</t>
  </si>
  <si>
    <t>https://blurindia.com/?ref=htutfhxk</t>
  </si>
  <si>
    <t>lets_improveourselves</t>
  </si>
  <si>
    <t>SELF IMPROVEMENT | LIFE CHANGING VIDEOS</t>
  </si>
  <si>
    <t>Let's Improve ourselves &amp; become the top 1%🔥
➡️ l Helping you improve yourself.🤝
• IG GROWTH GUIDE!👇🚀</t>
  </si>
  <si>
    <t>https://ig-growthguide.carrd.co</t>
  </si>
  <si>
    <t>mainlyentrepreneur</t>
  </si>
  <si>
    <t>Self Improvement | Business</t>
  </si>
  <si>
    <t>🧠 | Inspiring And Powerful Content Daily
🎯 | Empowering people to achieve great</t>
  </si>
  <si>
    <t>http://linktr.ee/soncoin</t>
  </si>
  <si>
    <t>moisfearless</t>
  </si>
  <si>
    <t>MoisFearless | Self Improvement Content</t>
  </si>
  <si>
    <t>Success is found in the moments you almost gave up, but didn’t.</t>
  </si>
  <si>
    <t>motivatebillionair</t>
  </si>
  <si>
    <t>Self Improvement • Growth • Inspiring</t>
  </si>
  <si>
    <t>♟️ • This page will change your MENTALITY
♟️ • Manhood COMMUNITY ⚔️
⛏️ • DM for business inquiry!
JOIN HERE TO GET FREE TRW ENTRY 👇🏻</t>
  </si>
  <si>
    <t>https://t.me/+W6sumWfcBD8wMzdl</t>
  </si>
  <si>
    <t>motivate.wise</t>
  </si>
  <si>
    <t>Motivation | Self-Improvement | Growth</t>
  </si>
  <si>
    <t>🧠 | #1 Growth Page 
👊 | Your Daily Push to Level Up Life
🎯 | 600+ Posts That Fuel Ambition
🤝 | DM: Collab/Promo
📚 | E-book to start Growth 👇</t>
  </si>
  <si>
    <t>http://maleknasir.gumroad.com/l/E-book</t>
  </si>
  <si>
    <t>reach.potencial</t>
  </si>
  <si>
    <t>Self Improvement</t>
  </si>
  <si>
    <t>📚 | Get Every Method Here 
🌱 | Reach Your Potential Height 
👇 | Click Here 👇🎉</t>
  </si>
  <si>
    <t>https://spf.bio/Mh33H</t>
  </si>
  <si>
    <t>self.improvementgrowth</t>
  </si>
  <si>
    <t>Self | Improvement | Growth |</t>
  </si>
  <si>
    <t>♟️|  self • improvement • growth •
♟️| join and Reach Your Full Potential.
♟️| Dm for promotion</t>
  </si>
  <si>
    <t>selfimprovement.hive</t>
  </si>
  <si>
    <t>Fueling your journey to personal growth and success! 🌟</t>
  </si>
  <si>
    <t>selfimprovementtips.in</t>
  </si>
  <si>
    <t>Self Improvement Tips | Self Development Tips</t>
  </si>
  <si>
    <t>हर दिन कुछ नया सीखने के लिए हमारे youtube और whatsapp चैनल से भी जुड़े।</t>
  </si>
  <si>
    <t>https://www.youtube.com/@selfimprovementtips12</t>
  </si>
  <si>
    <t>stoicsandstoicism</t>
  </si>
  <si>
    <t>Success | Discipline | Self-improvement</t>
  </si>
  <si>
    <t>📈| Success | Discipline | Self-improvement
🧠| Philosophy.Focus.Mindfulness
🍀| Positive, Purpose, Intention
🗣️| Follow and become 1% ✨🏆</t>
  </si>
  <si>
    <t>https://www.youtube.com/@Stoicsandstoicism</t>
  </si>
  <si>
    <t>thatgirlgrow</t>
  </si>
  <si>
    <t>That Girl | Mindset | Self-Improvement | Relationships</t>
  </si>
  <si>
    <t>🌹Helping women grow on Instagram 📈
👸600K followers in 11 months
💌DM for paid promo/ads
🤍Learn how to grow on Instagram ⬇️</t>
  </si>
  <si>
    <t>https://thatgirlgrow.gumroad.com/l/growth</t>
  </si>
  <si>
    <t>ultiself</t>
  </si>
  <si>
    <t>Ultiself | Self Improvement</t>
  </si>
  <si>
    <t># 1️⃣ Biohacking &amp; Self Improvement App 📲.      Download for FREE to supercharge 📈
🧠 Confidence 🎯 Focus ⚡️Energy</t>
  </si>
  <si>
    <t>https://ultiself.app.link/ultiself-app</t>
  </si>
  <si>
    <t>egg_seoul</t>
  </si>
  <si>
    <t>egg</t>
  </si>
  <si>
    <t>EGG SEOUL KOREA
🥚
slow made high-quality wholesale brand. 
에그는 오직 한국에만 있으며 모든 제품 한국생산으로 이루어집니다.</t>
  </si>
  <si>
    <t>finz.seoul</t>
  </si>
  <si>
    <t>FINZ 핀즈 / 성수동 케이크 / 잠실 케이크</t>
  </si>
  <si>
    <t>미슐랭 2스타 셰프의 프리미엄 디저트 브랜드
➰당일 케이크 구매 가능합니다.
➰성수점)12:00-19:00 
➰하우스핀즈)월목12:00-20:00/금토일12:00-22:00
예약링크⬇️</t>
  </si>
  <si>
    <t>http://linktr.ee/finz.seoul</t>
  </si>
  <si>
    <t>honeybeeseoul</t>
  </si>
  <si>
    <t>HONEYBEE SEOUL</t>
  </si>
  <si>
    <t>🇰🇷HONEYBEE SEOUL 2F | Academy
🍦OUCH 1F | Gelato Shop
🎂TOUCH B1 | Dessert Cafe
📣수업 신청 &amp; 예약 주문 | 프로필 링크🔻
♥️ @ouch.touch.me</t>
  </si>
  <si>
    <t>https://instabio.cc/honeybeeseoul</t>
  </si>
  <si>
    <t>mwm_seoul</t>
  </si>
  <si>
    <t>최수지 mwm seoul 💛</t>
  </si>
  <si>
    <t>cafe • studio 
wed-sun 12pm-8pm
messwemade.com
@mwm_manila 
@mwm_bangkok 
@mwm__malaysia 
🌟9월 10월의 mwm class 예약가능 🙌
🌟온라인마블링클래스🏠CLASS101</t>
  </si>
  <si>
    <t>https://linktr.ee/_mwm</t>
  </si>
  <si>
    <t>ofrseoul</t>
  </si>
  <si>
    <t>0fr. Séoul</t>
  </si>
  <si>
    <t>•0fr. Seoul•
Tue-Sun 11-8 / 마지막 주 목요일 off
자하문로 12길 11-14
⠀
•0fr.Book Store•
Mon-Fri 1-7 / Sat-Sun 12-7⠀
자하문로 10길 9-4</t>
  </si>
  <si>
    <t>https://linktr.ee/ofrseoul</t>
  </si>
  <si>
    <t>Seoul - 서울</t>
  </si>
  <si>
    <t>We are passionate about promoting and celebrating Seoul the world over.</t>
  </si>
  <si>
    <t>seoul.go</t>
  </si>
  <si>
    <t>서울가볼만한곳 서울맛집 서울카페 서울여행</t>
  </si>
  <si>
    <t>• 서울 숨은명소 맛집 카페소개
• 서울 여행지 근교여행
• 제휴 문의는 아래의 카카오톡 링크로 메세지 주세요📩</t>
  </si>
  <si>
    <t>http://pf.kakao.com/_YkHxoxj</t>
  </si>
  <si>
    <t>_seoulhotplace</t>
  </si>
  <si>
    <t>서울 핫플레이스 / 서울맛집 서울카페 서울여행</t>
  </si>
  <si>
    <t>🎖 서울에서 가장 많이 보는 1등 채널
🎖 서울 | 경기 | 강원 수도권 큐레이션
-
👇 제휴 | 광고 문의 (DM X)</t>
  </si>
  <si>
    <t>http://pf.kakao.com/_zfdAn</t>
  </si>
  <si>
    <t>seoul_official</t>
  </si>
  <si>
    <t>서울시 Seoul City</t>
  </si>
  <si>
    <t>동행·매력 특별시 서울, 공식 인스타그램
서울의 이야기를 만나보세요!👇</t>
  </si>
  <si>
    <t>https://linktr.ee/seoul_city</t>
  </si>
  <si>
    <t>seoul.southkorea</t>
  </si>
  <si>
    <t>Seoul 🇰🇷 서울 여행 가이드 Travel | Hotels | Food | Tips</t>
  </si>
  <si>
    <t>🏙️ Discover the best of Seoul
💙 The leading Seoul community by @hotel
👇 Price drop on Seoul direct flights</t>
  </si>
  <si>
    <t>https://skyscanner.pxf.io/SEOULTONYC</t>
  </si>
  <si>
    <t>unas_seoul</t>
  </si>
  <si>
    <t>우나스 UNAS</t>
  </si>
  <si>
    <t>Art in Pastry
⠀
김환기 X 우나스 「매화와 항아리 케이크」
온라인 예약 아래 링크에서</t>
  </si>
  <si>
    <t>https://instabio.cc/unas_seoul</t>
  </si>
  <si>
    <t>zenzero.seoul</t>
  </si>
  <si>
    <t>젠제로 ZENZERO</t>
  </si>
  <si>
    <t>Seoul, Gelato originale 
Business, PR @zenzero.works 
Menu di oggi @zenzero.menu
Samseong / Apgujeong</t>
  </si>
  <si>
    <t>boutique_shopping.id</t>
  </si>
  <si>
    <t>KEBAYA, DRESS, GAUN TERMURAH &amp; BERKUALITAS #1🇲🇨</t>
  </si>
  <si>
    <t>🛍️ OPEN ORDER SETIAP HARI 💞
💳 BRI• IRINE MERISA
🚫 REK SELAIN DI ATAS PENIPUAN !
📍JL. BUNGA HARUM NO.22 KOTA PEKANBARU
🛒ADMIN FOR ORDER ⤵️</t>
  </si>
  <si>
    <t>https://linktr.ee/boutiqueshopping.id</t>
  </si>
  <si>
    <t>hno.shopping</t>
  </si>
  <si>
    <t>Hno Shopping</t>
  </si>
  <si>
    <t>نوفر طلباتكم من البراندات العالميه الاصليه  🇫🇷🇮🇹🇺🇸🇩🇪🇬🇧
موثق في معروف ومركز الاعمال السعودي ⭐️
ارقام التواصل موجوده بالرابط 👇🏻</t>
  </si>
  <si>
    <t>https://heylink.me/Hno.shopping/</t>
  </si>
  <si>
    <t>hussin.high.brands</t>
  </si>
  <si>
    <t>𝐒𝐇𝐎𝐏𝐏𝐈𝐍𝐆 𝐖𝐈𝐓𝐇 𝐇𝐔𝐒𝐒𝐈𝐍 👑!!</t>
  </si>
  <si>
    <t>‎✨ مُتســوق شخصــي ✨
𝘍𝘐𝘙𝘚𝘛 𝘔𝘈𝘓𝘌 𝘗𝘌𝘙𝘚𝘖𝘕𝘈𝘓 𝘚𝘏𝘖𝘗𝘗𝘌𝘙  𝘐𝘕 𝘒𝘚𝘈
𝘌𝘕𝘑𝘖𝘠 𝘓𝘖𝘖𝘒𝘐𝘕𝘎 𝘖𝘙 𝘉𝘜𝘠𝘐𝘕𝘎 𝘛𝘏𝘌 𝘏𝘐𝘎𝘏 𝘉𝘙𝘈𝘕𝘋𝘚 ✨
‎✨ مُــنذ  ٢٠١٥ | 𝐒𝐈𝐍𝐂𝐄 𝟐𝟎𝟏𝟓 ✨
البرنامج الأصفـر 👇🏼</t>
  </si>
  <si>
    <t>https://salla.sa/hhb</t>
  </si>
  <si>
    <t>jooj_shopping</t>
  </si>
  <si>
    <t>Jooj shopping🛍💎</t>
  </si>
  <si>
    <t>‏ Joojshopping
للطلب : 
ساره📱: 0534395250
توصيل لجميع مدن المملكة ودول الخليج 🚚📦</t>
  </si>
  <si>
    <t>oriundi.shopping</t>
  </si>
  <si>
    <t>Oriundi Shopping • Aracruz</t>
  </si>
  <si>
    <t>Shopping Mall</t>
  </si>
  <si>
    <t>Lazer, Compras e Diversão 💫
Você encontra aqui 🤗</t>
  </si>
  <si>
    <t>ProLooterz Shopping Deals</t>
  </si>
  <si>
    <t>🛒 India’s Most Trusted Shopping Deals Hub💥 2.7 Million+ Fans on WhatsApp (World’s #1 in Shopping Category)
📦 Real Deals, Real Savings – T.me/deals</t>
  </si>
  <si>
    <t>https://whatsapp.com/channel/0029VaIDFHs2f3EGX0Y4wu2Q</t>
  </si>
  <si>
    <t>shopping20cda</t>
  </si>
  <si>
    <t>Shopping 20 - Cruz das Almas</t>
  </si>
  <si>
    <t>🛍️ Qualquer peça R$ 20,00
👗Moda Feminina |👕 Masculina| 👶🏻 Infantil 
🏃🏻‍♀️ Fitness  
🔸 Cama | Mesa | Banho
🌐 Importados | 🍽️ Utilidades | 🧸 Brinquedos</t>
  </si>
  <si>
    <t>https://linktr.ee/shopping20cda</t>
  </si>
  <si>
    <t>shoppingaquicg</t>
  </si>
  <si>
    <t>shopping aqui</t>
  </si>
  <si>
    <t>Qualidade que cabe no seu bolso 💸
Tudo que você ama está aqui, na cidade do maior São João do 🌎
Campina Grande – PB! 🧡
🛍️ Vendas apenas na loja física</t>
  </si>
  <si>
    <t>https://chat.whatsapp.com/Bc2QCjusjBjG9FZSjtODqD</t>
  </si>
  <si>
    <t>shopping.show13</t>
  </si>
  <si>
    <t>Shopping.show | شوبنق شو</t>
  </si>
  <si>
    <t>-جديد السوق والمواقع 🤩🛍.
‏-مرخصة اعلامياً ✨موثوق✨
-للاعلان والتغطيات دايركت 📩.
‏-كود ترندويل : ✨SHOPX✨
رابط تنسيقات ترندويل 🔻✨</t>
  </si>
  <si>
    <t>https://ty.gl/jt50z75lbz</t>
  </si>
  <si>
    <t>shopping.soka</t>
  </si>
  <si>
    <t>💎 𝐒𝐇𝐎𝐏𝐏𝐈𝐍𝐆 kouissi 💎</t>
  </si>
  <si>
    <t>📍 صفحة متخصصة لبيع جميع الملابس العصرية لرجال ونساء
📍𝚄𝙽𝙴 𝙿𝙰𝙶𝙴 𝚂𝙿É𝙲𝙸𝙰𝙻𝙸𝚂É𝙴 𝙿𝙾𝚄𝚁 𝚅𝙴𝙽𝙳𝚁𝙴 𝚃𝙾𝚄𝚂 𝙻𝙴𝚂 𝚅Ê𝚃𝙴𝙼𝙴𝙽𝚃𝚂</t>
  </si>
  <si>
    <t>shoppingvilavelha</t>
  </si>
  <si>
    <t>Shopping Vila Velha</t>
  </si>
  <si>
    <t>Aqui é o seu lugar 💛
Venha curtir o domingo no Nosso Quintal, das 15h às 18h. Gratuito!</t>
  </si>
  <si>
    <t>https://linktr.ee/shoppingvilavelha</t>
  </si>
  <si>
    <t>shoppingvitoria</t>
  </si>
  <si>
    <t>Shopping Vitória</t>
  </si>
  <si>
    <t>Viva momentos únicos! ✨
Festival Na Brasa | 04 a 07/09, viva essa experiência gastronômica 🔥🍖</t>
  </si>
  <si>
    <t>http://linktr.ee/shoppingvitoria</t>
  </si>
  <si>
    <t>title.shopping</t>
  </si>
  <si>
    <t>Title | Stylists &amp; Shopping Service</t>
  </si>
  <si>
    <t>PERSONAL STYLING by experienced stylists
🌍Delivery all over the world
⠀
🔥1M+ women choose Title to save time, TRY NOW👇🏼🔗</t>
  </si>
  <si>
    <t>https://title.myagelessoutfit.com/?funnelId=3320ba94-4c38-4c3c-9ad1-957c02fe5a56&amp;utm_source=instagram_smm&amp;utm_campaign=inst_smm_header_camp_id&amp;utm_medium=inst_smm_title_id&amp;utm_content=inst_smm_ad_name&amp;utm_term=inst_smm_ad_id</t>
  </si>
  <si>
    <t>vogueshopping</t>
  </si>
  <si>
    <t>Vogue Shopping</t>
  </si>
  <si>
    <t>A one-stop-shop of @voguemagazine editor-approved buys.</t>
  </si>
  <si>
    <t>https://likeshop.me/vogueshopping</t>
  </si>
  <si>
    <t>global.siblings</t>
  </si>
  <si>
    <t>Sibling GlobeTrotters 🌎 ✈️</t>
  </si>
  <si>
    <t>🌍✈️ Sibling duo UGC creators
✨ Best hotels, villas, restaurants &amp; hidden gems
📍Current Location: Bali 🌴 🇮🇩
💌 DM for collabs or email</t>
  </si>
  <si>
    <t>https://lnk.bio/global.siblings</t>
  </si>
  <si>
    <t>_siblingscafe</t>
  </si>
  <si>
    <t>Siblings Cafe</t>
  </si>
  <si>
    <t>📍1911 W. Cheltenham Ave
Elkins Park PA 19027
☎️ 267-332-3928
Monday CLOSED
Tuesday-Saturday 1pm-9pm
Sunday 1pm-6pm</t>
  </si>
  <si>
    <t>https://www.doordash.com/store/siblings-cafe-elkins-park-27819970/</t>
  </si>
  <si>
    <t>siblings_kirra</t>
  </si>
  <si>
    <t>Siblings</t>
  </si>
  <si>
    <t>Open 7 days 〰️ 11am til late 
Beachfront Restaurant 〰️ Kirra Beach
Gift vouchers available</t>
  </si>
  <si>
    <t>https://www.siblingskirra.com.au</t>
  </si>
  <si>
    <t>siblingsordating</t>
  </si>
  <si>
    <t>Siblings or Dating?</t>
  </si>
  <si>
    <t>* trust your gut jk *
email or DM submissions 🙃 
(of yourself or get permission!)
MERCH! ⤵️ 🧢🚨</t>
  </si>
  <si>
    <t>http://siblingsordating.com/</t>
  </si>
  <si>
    <t>trakul_the_siblings_official</t>
  </si>
  <si>
    <t>Kuldeep Gupta</t>
  </si>
  <si>
    <t>Jai Shree Ram 🚩
📍UP- Mumbai</t>
  </si>
  <si>
    <t>mr.sidehustle.co</t>
  </si>
  <si>
    <t>Mr. Side Hustle</t>
  </si>
  <si>
    <t>Entrepreneurship | Wealth Building | Social Media 
💰 $2M+ in Online Sales 
👉 DM me "ECOM” And I’ll Help You Start</t>
  </si>
  <si>
    <t>sidehustle_bar</t>
  </si>
  <si>
    <t>SIDE HUSTLE BAR</t>
  </si>
  <si>
    <t>Sports Bar
⚡️High Energy Sports Bar • Lounge • Nightlife
🔥Best Tacos- SEE FULL MENUE 
📍145 Liberty ST NE Salem OR
 🌮 WE CATER</t>
  </si>
  <si>
    <t>https://posh.vip/e/post-malonejelly-roll-official-after-party</t>
  </si>
  <si>
    <t>sidehustlebible</t>
  </si>
  <si>
    <t>Side Hustle Bible</t>
  </si>
  <si>
    <t>sidehustle_daily</t>
  </si>
  <si>
    <t>Side Hustle | Make Money Online | AI Tools</t>
  </si>
  <si>
    <t>🤑 | Make Money Online
🌟 | Digital Marketing
🎯 | Side Hustles ideas
👤 | DM me For Paid Promotion
⏫ | For Work - sidehustlepro52@gmail.com</t>
  </si>
  <si>
    <t>sidehustleja_</t>
  </si>
  <si>
    <t>Shop side hustle ja</t>
  </si>
  <si>
    <t>GOD ABOVE ALL🙏🏾
Physical location 
10am-6 pm daily
What’s app 876-896-0455
363 Willowdene Parkway old harbour road 
SHIPMENT 1-3 DAYS 
NO DMS</t>
  </si>
  <si>
    <t>sidehustlelegends</t>
  </si>
  <si>
    <t>David Hodgkinson| Digital Marketer</t>
  </si>
  <si>
    <t>🚀 Helping Parents Build Online Income
🎈No Experience? No Problem Start now💰
💪Free Training Video 👇👇👇
💡Learn How to make money online in 30 days</t>
  </si>
  <si>
    <t>http://www.epicdigitalfreedom.com/</t>
  </si>
  <si>
    <t>side.hustlereview</t>
  </si>
  <si>
    <t>Side Hustle Review</t>
  </si>
  <si>
    <t>On a mission to blow up the lies about making money online, and fix the industry while I’m at it. 
 📩ryan@sidehustle.review</t>
  </si>
  <si>
    <t>https://sidehustlereview.store</t>
  </si>
  <si>
    <t>sidehustlesnackbar</t>
  </si>
  <si>
    <t>Side Hustle</t>
  </si>
  <si>
    <t>Downtown Dartmouth restaurant &amp; bar
lunch | dinner | Sunday brunch 
Tuesday - Sunday 
21 Portland St. Dartmouth, NS</t>
  </si>
  <si>
    <t>https://www.sidehustlesnackbar.com</t>
  </si>
  <si>
    <t>womensidehustle</t>
  </si>
  <si>
    <t>Jacki | UGC &amp; Faceless Pages</t>
  </si>
  <si>
    <t>by @creationwithjacki 
• Empowering women to succeed 
• 31k students 👯‍♀️
• START HERE👇🏻</t>
  </si>
  <si>
    <t>https://stan.store/womensidehustle</t>
  </si>
  <si>
    <t>cher_massi_</t>
  </si>
  <si>
    <t>Jonathan Jhon Sketch</t>
  </si>
  <si>
    <t>📍sports 📍fitness, musculation...💪vs 🛫
📍Algérie 🇩🇿🌏
📍Mon club préféré    ❤F💙C💛B  💪 Barcelone 📍Les ennemis d'mes ennemis sont mes meilleurs amis</t>
  </si>
  <si>
    <t>https://www.facebook.com/jonathan.jhon.50</t>
  </si>
  <si>
    <t>pmtsketch</t>
  </si>
  <si>
    <t>🇩🇪 Bookings closed - spontaneous appt. via Story
• Original Concept Tattoos
• Lifestyle: @pascalmt 
⬇️ Website &amp; more ⬇️</t>
  </si>
  <si>
    <t>http://www.pmtsketch.de/</t>
  </si>
  <si>
    <t>sketchatjo</t>
  </si>
  <si>
    <t>Sketchat</t>
  </si>
  <si>
    <t>Sketchat helps you turn ideas into vibrant reality.#sketchatjo Address: مقابل مدارس السامية, King Abdullah II St.</t>
  </si>
  <si>
    <t>http://www.facebook.com/sketchatjo</t>
  </si>
  <si>
    <t>sketch_collector</t>
  </si>
  <si>
    <t>Urban &amp; Architecture Art</t>
  </si>
  <si>
    <t>Art Gallery  #sketchcollector</t>
  </si>
  <si>
    <t>sketch_dailydose</t>
  </si>
  <si>
    <t>Sketch Daily Dose</t>
  </si>
  <si>
    <t>📍 The best art on Instagram ✍️
🎬 Discover artists in 60 seconds @add.originals
📩 business@dailydoseofart.com
👇 Get the art newsletter 💌</t>
  </si>
  <si>
    <t>https://newsletter.artdailydose.com/subscribe</t>
  </si>
  <si>
    <t>sketches_of_sofia</t>
  </si>
  <si>
    <t>Sketches of Sofia and More</t>
  </si>
  <si>
    <t>Timeless poetical chronicle
• through the lens of Ivan Shishiev &amp; @kathyfeera 
• 3️⃣ bestseller books • 29 Exhibitions 
⤵️follow us elsewhere:</t>
  </si>
  <si>
    <t>https://linktr.ee/Sketchesofsofia</t>
  </si>
  <si>
    <t>sketchlondon</t>
  </si>
  <si>
    <t>Modern European Restaurant</t>
  </si>
  <si>
    <t>EAT.MUSIC.DRINK.ART
5 salons, 1 building:
▫️the Gallery
▫️ the Glade
▫️ the Parlour
▫️ @lrl.sketchlondon 3*
▫️ the East Bar &amp; Pods</t>
  </si>
  <si>
    <t>https://linktr.ee/sketchlondon</t>
  </si>
  <si>
    <t>sketchreppinink</t>
  </si>
  <si>
    <t>𝕾𝖐𝖊𝖙𝖈𝖍 𝖗𝖊𝖕𝖕𝖎𝖓𝖎𝖓𝖐</t>
  </si>
  <si>
    <t>🎥 Tattoo fixers Prison ink
Email: inkreppin@gmail.com
Sponsored by  @butterluxe_uk @ghostcartridges @tattoospray</t>
  </si>
  <si>
    <t>skvtch</t>
  </si>
  <si>
    <t>Sketch</t>
  </si>
  <si>
    <t>𝗥𝗢𝗠𝗔𝗡𝗦 𝟭𝟮:𝟮
#paincreatesgenius</t>
  </si>
  <si>
    <t>thesketchreal</t>
  </si>
  <si>
    <t>Sketch🗣️</t>
  </si>
  <si>
    <t>Twitch: TheSketchReal 🫡
sketch@fixated.co</t>
  </si>
  <si>
    <t>https://twitch.tv/thesketchreal</t>
  </si>
  <si>
    <t>afterdark_sketchcomedy</t>
  </si>
  <si>
    <t>After Dark Sketch Comedy</t>
  </si>
  <si>
    <t>The Official Instagram for SCAD’s After Dark Sketch Comedy Club
Crites Hall Room 415 on Saturdays, Room 200 on Tuesdays.</t>
  </si>
  <si>
    <t>https://youtube.com/@afterdarksketch?si=JdNBWfnrbgxXQ9OE</t>
  </si>
  <si>
    <t>daily_sketchbook_</t>
  </si>
  <si>
    <t>Daily sketching challenge by @atharva_parab2104</t>
  </si>
  <si>
    <t>New sketch every day ✏️
Business 📩- dailysketchbook2023@gmail.com
📍Delhi NCR</t>
  </si>
  <si>
    <t>https://bit.ly/Boot_Camp_</t>
  </si>
  <si>
    <t>o_mary__</t>
  </si>
  <si>
    <t>BTS | Korea | Bishkek | Scrap | Journaling | Sketching</t>
  </si>
  <si>
    <t>Мэри
Корея глазами творческого человека
Рисую, вырезаю, сохраняю 
Urban sketching•junk journaling•scrapbooking•quiet life</t>
  </si>
  <si>
    <t>https://cutt.bio/tamB0</t>
  </si>
  <si>
    <t>sketchedbysiena</t>
  </si>
  <si>
    <t>Live sketching • Personalised cards &amp; illustrations</t>
  </si>
  <si>
    <t>🤍 Create your own illustration via our website 
🤍 Personalised cards &amp; illustrations
🤍 Bring us along to live sketch at your event</t>
  </si>
  <si>
    <t>https://sketchedbysiena.co.uk/</t>
  </si>
  <si>
    <t>sketching_jeforel</t>
  </si>
  <si>
    <t>Женя Шубина | Иллюстратор | Креатор | Нейросети Midjourney</t>
  </si>
  <si>
    <t>♥️ Научу работать с нейросетями и монетизировать их
✨Midjourney, Kling, Krea Flux
Хочешь освоить профессию AI-креатора? Записывайся👇🏼</t>
  </si>
  <si>
    <t>https://jeforel.com/ai-wait?utm_source=insta_bio_pred</t>
  </si>
  <si>
    <t>sketchingscottie</t>
  </si>
  <si>
    <t>Sketching Scottie</t>
  </si>
  <si>
    <t>👇🏼Join me on PATREON to improve your sketching!  
(Tutorials/References/Templates/Voting/Community)</t>
  </si>
  <si>
    <t>https://patreon.com/sketchingscottie</t>
  </si>
  <si>
    <t>diamondskiing</t>
  </si>
  <si>
    <t>Diamond Skiing 💎</t>
  </si>
  <si>
    <t>🔷️ DM, tag or use #diamondskiing to be featured
Line Skis - SWERVE 👇</t>
  </si>
  <si>
    <t>https://lineskis.com/en-ca/blog/p/swerve-line-skis-ontario-beaver-valley-ski-club?fbclid=PAZXh0bgNhZW0CMTEAAafMxJa0ABMFD1pQjsfSZxuscM0Z4I2xGja8t12cYu9YTNEYEDu5FpiotbpzYw_aem_BvFMdZDiIRuIh-MwUSMcIQ</t>
  </si>
  <si>
    <t>newschoolers</t>
  </si>
  <si>
    <t>Newschoolers | Home of Skiing</t>
  </si>
  <si>
    <t>Skiing's Community | Since '99
⬇⬇⬇</t>
  </si>
  <si>
    <t>https://linktr.ee/newschoolers</t>
  </si>
  <si>
    <t>oakleyskiing</t>
  </si>
  <si>
    <t>Oakley Skiing</t>
  </si>
  <si>
    <t>Sunglasses &amp; Eyewear Store</t>
  </si>
  <si>
    <t>https://www.oakley.com/en-us/lp/snow</t>
  </si>
  <si>
    <t>📍colorado
🏷 skiingig@gmail.com 
🏔 contact: @mvsser</t>
  </si>
  <si>
    <t>skiingbarbie</t>
  </si>
  <si>
    <t>Lyndsi Sarkkinen</t>
  </si>
  <si>
    <t>25 | @babysarkkkkk’s side project 
🎀 @klipt_worldwide code SKIBARBIE 
summit county, co 📍</t>
  </si>
  <si>
    <t>https://babysark.threadless.com/</t>
  </si>
  <si>
    <t>skiingcreed</t>
  </si>
  <si>
    <t>𝗪𝗶𝗻𝘁𝗲𝗿 | 𝗦𝗸𝗶𝗶𝗻𝗴</t>
  </si>
  <si>
    <t>Social Media Company</t>
  </si>
  <si>
    <t>🎿  Main goal: Expand people's perspective on skiing
👀  Let's get #skiingcreeds viral
⬇️ Custom Ski Phone Cases</t>
  </si>
  <si>
    <t>http://skiingcreed.com</t>
  </si>
  <si>
    <t>skiingiseasy</t>
  </si>
  <si>
    <t>SKIING IS EASY</t>
  </si>
  <si>
    <t>TAKE MORE SICK DAYS!! ❄️⛷️🪩
For those that can always find an excuse to hit the mountain.</t>
  </si>
  <si>
    <t>https://skiingiseasy.com</t>
  </si>
  <si>
    <t>skiingod</t>
  </si>
  <si>
    <t>سجاد تنها | جوش</t>
  </si>
  <si>
    <t>Holistic Skin Solutions &amp; Anti-Aging Expert
ارسال سراسری📦
«باورت نمیشه؟ برو هایلایت «پوست من 
برای مشاوره به تلگرام زیر پیام بدید 👇🏻</t>
  </si>
  <si>
    <t>http://t.me/Skiingod</t>
  </si>
  <si>
    <t>ski_islife</t>
  </si>
  <si>
    <t>Skiing</t>
  </si>
  <si>
    <t>Freeski Motivation</t>
  </si>
  <si>
    <t>slopeglobal</t>
  </si>
  <si>
    <t>Skiing | Snowboarding</t>
  </si>
  <si>
    <t>Follow &amp; Join the Community🏔️ 
Worldwide Shipping 3—5 Weeks🌎
Submit your fail or jerry clip to @ski4all📫</t>
  </si>
  <si>
    <t>https://preferredsporting.com/collections/ski-snowboard?fbclid=PAZnRzaAMpN0NleHRuA2FlbQIxMQABpuFXzLBC4BxPeXDH858qJV2W4K7nDVsODR4qphMCrOkyF60tz_RjSCVwTQ_aem_9DyWMbyH_Lwgssh0Kq606g</t>
  </si>
  <si>
    <t>dreamglowslime</t>
  </si>
  <si>
    <t>dreamglowslime ❤︎ megan</t>
  </si>
  <si>
    <t>💕💝 handcrafted slimes
made in iowa 🫶🫧🌸
shipping in the u.s. 🇺🇸
new slimes in stock! 🦋</t>
  </si>
  <si>
    <t>http://dreamglowslime.com/</t>
  </si>
  <si>
    <t>momoslimes_</t>
  </si>
  <si>
    <t>Momo Slimes Official</t>
  </si>
  <si>
    <t>₊˚⊹ handcrafted slimes made by sisters ₊˚⊹
email for order &amp; business inquiries ᯓᡣ𐭩
new release &amp; restock every sunday at 5pm est ↓</t>
  </si>
  <si>
    <t>http://momoslimes.com</t>
  </si>
  <si>
    <t>pilotslime</t>
  </si>
  <si>
    <t>Pilot Slime</t>
  </si>
  <si>
    <t>handcrafted slimes made in Florida 🏝️
restocks + new slimes every other Friday! 9/12 7pm EDT</t>
  </si>
  <si>
    <t>http://pilotslime.com/</t>
  </si>
  <si>
    <t>qqualityslime</t>
  </si>
  <si>
    <t>S̷l̷i̷m̷e̷</t>
  </si>
  <si>
    <t>Organized Chaos &amp; Visual Emotions</t>
  </si>
  <si>
    <t>slimeballest</t>
  </si>
  <si>
    <t>Beri</t>
  </si>
  <si>
    <t>Cat mama of Fish &amp; Papa♥️😻
Berigalaxy, slimeball, Urfavberi😅
Just tryna save up for a real pool🥹
@berigalaxy_</t>
  </si>
  <si>
    <t>https://beacons.ai/berigalaxy</t>
  </si>
  <si>
    <t>slime_og</t>
  </si>
  <si>
    <t>OG Slimes</t>
  </si>
  <si>
    <t>Based in Los Angeles, CA📍
hand credits: @ly__christine</t>
  </si>
  <si>
    <t>https://linktr.ee/ogslimes</t>
  </si>
  <si>
    <t>slimeraptv</t>
  </si>
  <si>
    <t>SLIME RAP ᵗᵛ</t>
  </si>
  <si>
    <t>Community for the latest Releases and News on Rap
💰| DM for Promo
📧| slimeraptv@gmail.com
Connected With The Rap Industry's #Hardest</t>
  </si>
  <si>
    <t>slimesito</t>
  </si>
  <si>
    <t>GTA 9</t>
  </si>
  <si>
    <t>MGMT @leighahealy</t>
  </si>
  <si>
    <t>https://youtu.be/178uo0l_P7Y</t>
  </si>
  <si>
    <t>small.business.mercado</t>
  </si>
  <si>
    <t>Small Business Mercado✨ Arlington’s Official Night Market🌙💙</t>
  </si>
  <si>
    <t>Night Market</t>
  </si>
  <si>
    <t>Created By @Cristians.Customs
•Markets in Arlington, TX  •Since 2021🎪
•Next Markets: •9/12🎉 •9/12🤠
❓Vendor Info post pinned</t>
  </si>
  <si>
    <t>https://linktr.ee/SmallBusinessMercado</t>
  </si>
  <si>
    <t>smallbusiness.uk</t>
  </si>
  <si>
    <t>𝕊𝕦𝕡𝕡𝕠𝕣𝕥𝕚𝕟𝕘 𝕊𝕞𝕒𝕝𝕝 𝔹𝕦𝕤𝕚𝕟𝕖𝕤𝕤𝕖𝕤 🇬🇧</t>
  </si>
  <si>
    <t>Sharing the most amazing UK based small businesses 💜
Tiktok: @smallbusinessuk</t>
  </si>
  <si>
    <t>https://romeingaround.co.uk/products/airplane-seat-phone-holder-portable-clip</t>
  </si>
  <si>
    <t>small_bussines_albania</t>
  </si>
  <si>
    <t>Small business Albania 🇦🇱</t>
  </si>
  <si>
    <t>Jo cmime te kripura❌
Jo mashtrues ❌
Porosia vjen shpejt edhe e sigurt 📦🇦🇱
Posta 250 lek Tirana 
300 lek rrethet</t>
  </si>
  <si>
    <t>thesmallbusinessexpo</t>
  </si>
  <si>
    <t>Small Business Expo</t>
  </si>
  <si>
    <t>America's biggest B2B trade show, conference &amp; networking event for small businesses, entrepreneurs, and start-ups. 
Register for a FREE event 👇🏽</t>
  </si>
  <si>
    <t>http://www.thesmallbusinessexpo.com/</t>
  </si>
  <si>
    <t>smartdevices.ng</t>
  </si>
  <si>
    <t>KIDS AND ADULT TABLET HEADQUARTER IN NIGERIA</t>
  </si>
  <si>
    <t>Phone/Tablet</t>
  </si>
  <si>
    <t>CAC-RC1599823
▪️ 𝐎𝐆𝐀 𝐍𝐀 𝐌𝐀𝐒𝐓𝐄𝐑 𝐎𝐅 𝐊𝐈𝐃𝐒 &amp; 𝐀𝐃𝐔𝐋𝐓 𝐓𝐀𝐁𝐋𝐄𝐓𝐒📱 
▪️50𝐊 𝐒𝐀𝐓𝐈𝐒𝐅𝐈𝐄𝐃 𝐂𝐔𝐒𝐓𝐎𝐌𝐄𝐑𝐒 
▪️WHOLESALE &amp; RETAIL DEALS 🤝 
𝐖𝐇𝐀𝐓𝐒𝐀𝐏𝐏 𝐂𝐋𝐈𝐂𝐊 𝐁𝐄𝐋𝐎𝐖👇🏾</t>
  </si>
  <si>
    <t>1smart.ho</t>
  </si>
  <si>
    <t>SMART HOME</t>
  </si>
  <si>
    <t>💎جميع منتجاتنا خاضعه للضمان💎
استيراد ( أوربي ، تركيا ، صين )
توصيل لجميع محافظات عُراقنا الحبيب🇮🇶
للحجز والاستفسار دايركت 📨
واتساب  07710882726</t>
  </si>
  <si>
    <t>https://smarthome1.vatrin.app</t>
  </si>
  <si>
    <t>neovegasmarthome</t>
  </si>
  <si>
    <t>Neovega SmartHome</t>
  </si>
  <si>
    <t>Lighting Store</t>
  </si>
  <si>
    <t>Smart Home Automation &amp; Switches
📍 G/F LRI Design Plaza, Makati
📱 0968 855 6331 Inquiries
📱 0939 172 4130 Customer Feedback</t>
  </si>
  <si>
    <t>smarthomedevicesph</t>
  </si>
  <si>
    <t>Smart Home Philippines ™</t>
  </si>
  <si>
    <t>Smart Home PH is a multi-awarded and the first Design Automation Firm™ in the country
Home | Office | Hotel
📍NCR | Luzon | Visayas l Mindanao</t>
  </si>
  <si>
    <t>https://apea.asia/philippines/hall-of-fame-ph-2024/fast-enterprise-ph-2024/smart-home-philippines-2024/</t>
  </si>
  <si>
    <t>smarthomees</t>
  </si>
  <si>
    <t>Benjamin Davies - Community Yoda</t>
  </si>
  <si>
    <t>▪️I help brands build communities 🪄
▪️Created the largest audience in pro smart home installation 👷‍♂️
▪️Smart Home Influencer 
Become a member 👇</t>
  </si>
  <si>
    <t>http://linktr.ee/smarthomees</t>
  </si>
  <si>
    <t>smarthomehk</t>
  </si>
  <si>
    <t>SmartHome智舒適家居服務|鐘點|家務助理|裝修後清潔</t>
  </si>
  <si>
    <t>【一站式家居服務】
香港規模最大的家居服務公司之一 
➡️您現在只需2個工作天 (48小時) 前預約，便能輕鬆安排家務助理為您服務。
➡️服務範圍: 家務助理，家居清潔，鐘點， 裝修後清潔， 大掃除， 吉屋清潔，起漬服務， 冷氣清洗，滅蟲，除甲醛， 乾洗， 磅洗， 地板護理， 陪月，褓母等</t>
  </si>
  <si>
    <t>smarthome_shv</t>
  </si>
  <si>
    <t>SMARTHOME</t>
  </si>
  <si>
    <t>“🔒 Cerraduras inteligentes 🏠💼 | Instalación en todo el país 🇩🇴| Seguridad y comodidad al alcance | 📩 DM para pedidos y cotizaciones.”</t>
  </si>
  <si>
    <t>smarthome.spa</t>
  </si>
  <si>
    <t>Smart Home</t>
  </si>
  <si>
    <t>🔹 Productos del hogar diseñados para ti.                                        
Exclusivo en @somoszonatech 
Smart Home… hace tu vida más fácil.</t>
  </si>
  <si>
    <t>smarthomez</t>
  </si>
  <si>
    <t>SMART HOMEZ🏚️</t>
  </si>
  <si>
    <t>Property Management Company</t>
  </si>
  <si>
    <t>ABHILASH
Realtor in kerala 🏠❤️
DM For business enquirys 
PALA - KOTTAYAM - KOCHI
7907766169 , 9961022381
we assist your dream home purchasing ❤️</t>
  </si>
  <si>
    <t>https://youtube.com/@SMARTHOMEz?si=j-xfVXUcy0QhZbpr</t>
  </si>
  <si>
    <t>smartech_om</t>
  </si>
  <si>
    <t>Smart Tech</t>
  </si>
  <si>
    <t>خدمات ومنتجات البيت الذكي 
كاميرات .أقفال الذكية ، انتركوم ،إنترنت ، أنظمة الصوت وغيرها
للتواصل :95992950/95992951
🚩موقعنا :شارع النزهة 
@prolock_om</t>
  </si>
  <si>
    <t>http://www.smartechom.com</t>
  </si>
  <si>
    <t>smart_tech.__</t>
  </si>
  <si>
    <t>🎥Best place to find new innovative products and tech Bringing the top content every day
📩 DM for credit/Removal</t>
  </si>
  <si>
    <t>https://ozyre.com/products/high-pressure-toilet-plunger?fbclid=PAQ0xDSwMn_5BleHRuA2FlbQIxMQABp2RZNRQPoLAGi-IlSvYyAz891vivthJvyHd3LdVWC_1iFAq88-YsDKOXZ8fW_aem_HGESqQ1QlPpkMzcS6PrrXw</t>
  </si>
  <si>
    <t>smart.tech</t>
  </si>
  <si>
    <t>كـــامـــــيــرات مــراقــبــة - الكويت</t>
  </si>
  <si>
    <t>Home Security Company</t>
  </si>
  <si>
    <t>كـــــــــامـــــيــرات مــراقــبــة
Smart Ultra HD Camera</t>
  </si>
  <si>
    <t>smart_tech.05</t>
  </si>
  <si>
    <t>SMART_TECH</t>
  </si>
  <si>
    <t>📲,🔌,🔋,⌚️,💻,🔊,⌨️,🎙️,🎮,🖱️
أفضل اكسسوار الهواتف و الأجهزة الإلكترونية
💥بأسعار تنافسية💥
🚚التوصيل متوفر 🚚 و الدفع💰 عند الاستلام 🫡
👉🏻Soyez les bienvenus❤️</t>
  </si>
  <si>
    <t>https://maps.app.goo.gl/phXNbdrdxoUrNecd7?g_st=com.google.maps.preview.copy</t>
  </si>
  <si>
    <t>smarttech.ao</t>
  </si>
  <si>
    <t>COMPRAS | VENDAS | TROCAS | ASSISTÊNCIA.
— A inovação na palma da mão!👋🏾
Info: (+244) 934 868 696 | 934 866 386</t>
  </si>
  <si>
    <t>http://smarttech.ao</t>
  </si>
  <si>
    <t>smarttechve</t>
  </si>
  <si>
    <t>SMART TECH VE</t>
  </si>
  <si>
    <t>Computer Store</t>
  </si>
  <si>
    <t>📍VALENCIA | CARACAS | BARQUISIMETO | MARACAY
VENTA AL DETAL💻
SOMOS MAYORISTAS IMPORTADORES 🔥
Ubicación | WhatsApp
Click👇🖱️</t>
  </si>
  <si>
    <t>https://wa.link/7uj0io</t>
  </si>
  <si>
    <t>dentrosuperfoods</t>
  </si>
  <si>
    <t>Dentro Superfoods | Smoothies, Sucos &amp; Sopas</t>
  </si>
  <si>
    <t>O natural pode ser prático! Sucos e Smoothies 100% naturais, ultracongelados e ready-to-blend. #ComecePorDentro 
Compre on-line:👇🏽</t>
  </si>
  <si>
    <t>https://linktr.ee/dentrosuperfoods</t>
  </si>
  <si>
    <t>detox_recipes</t>
  </si>
  <si>
    <t>Smoothies &amp; more💕🍉🍓🍍</t>
  </si>
  <si>
    <t>💓Sharing only the best detox recipes 💞🍓🍍🍋
💰Business: DM @fitness_meals
-
#smoothies #fruit #vegetarian #vegan</t>
  </si>
  <si>
    <t>https://novastores.store/products/original-niacinamide-whitening-toothpaste</t>
  </si>
  <si>
    <t>greensmoothies_daily</t>
  </si>
  <si>
    <t>☘️🍏Green Smoothies Daily ☘️🍏</t>
  </si>
  <si>
    <t>Sharing all the health tips they don’t teach in school 🎓
Link to my favorite Batana Oil here 👇</t>
  </si>
  <si>
    <t>https://amzn.to/4kFbh53</t>
  </si>
  <si>
    <t>quecocadas</t>
  </si>
  <si>
    <t>Cocadas Express | Dulcería | Smoothies | Coco</t>
  </si>
  <si>
    <t>Coconut Product Specialists®️
🧋La Mejor Cocada
🥛Cocada Fit sin Lactosa
sin Azúcar
🏖Sabor a Playa en la Ciudad
🥥Helados
🇻🇪 Barquisimeto
Pídela👇</t>
  </si>
  <si>
    <t>http://wa.me/584145275578</t>
  </si>
  <si>
    <t>smoothies.club</t>
  </si>
  <si>
    <t>Smoothie Recipes</t>
  </si>
  <si>
    <t>💯 Over 10,000 clients weight loss success 🥑
👉 Losing 8-20Ibs in 3 weeks with Smoothie Diet 🍽
 Click 👇👇</t>
  </si>
  <si>
    <t>https://tipshealthforyou.com/smoothieclub</t>
  </si>
  <si>
    <t>smoothiesguide_</t>
  </si>
  <si>
    <t>🍏🍒🍋Best Smoothie Weightloss🍌🍉🥝
💚 Follow @smoothiesguide_ for daily Smoothie Recipes for Weight Loss &amp; Health Tips 💐💐💐</t>
  </si>
  <si>
    <t>https://igli.me/Bestsmoothies_weightloss</t>
  </si>
  <si>
    <t>smoothiesofficial</t>
  </si>
  <si>
    <t>Smoothies</t>
  </si>
  <si>
    <t>🇮🇹
@guerillacrew 🦍
FAVELA 🇧🇷 OUT NOW! 🌍</t>
  </si>
  <si>
    <t>https://open.spotify.com/track/78THBdJTifwtrSkeW7Cv5I?si=NRlUlx2_RxGmD12R3IKSXQ&amp;context=spotify%3Aplaylist%3A3y72OGrXeAy8mgj74eMiK5</t>
  </si>
  <si>
    <t>smoothie_spot</t>
  </si>
  <si>
    <t>Smoothie Spot | Healthy Food Restaurant</t>
  </si>
  <si>
    <t>🥑 100% real, healthy food
🍓 Smoothies, wraps, bowls &amp; more
🌿 No added sugars, no seed oils
👇 View menu / Order now</t>
  </si>
  <si>
    <t>http://link.me/smoothie_spot</t>
  </si>
  <si>
    <t>tolivesmoothies</t>
  </si>
  <si>
    <t>ToLive Smoothies</t>
  </si>
  <si>
    <t>Shake &amp; Go Smoothies!  
שייק Superfoods מלא בריאות להכנה בקלות ללא צורך בבלנדר!
🥝🍓🍒 
‎🔸לחנות האונליין שלנו ולכל מידע נוסף באתר👇</t>
  </si>
  <si>
    <t>https://www.tolivesmoothies.com/</t>
  </si>
  <si>
    <t>xanaxsmoothies</t>
  </si>
  <si>
    <t>Xanax Smoothies</t>
  </si>
  <si>
    <t>🍸 Not for the easily triggered
🎨 𝗢𝗿𝗶𝗴𝗶𝗻𝗮𝗹 𝗺𝗲𝗺𝗲𝘀 + 𝗼𝗻 𝗹𝗼𝗮𝗻
🎥 𝗩𝗶𝗱𝗲𝗼 𝗽𝗮𝗿𝗼𝗱𝗶𝗲𝘀</t>
  </si>
  <si>
    <t>crabsneakers_</t>
  </si>
  <si>
    <t>Crab Sneakers</t>
  </si>
  <si>
    <t>SNEAKERS - STREETWEAR
Productos 100% Originales
📍Buenos Aires</t>
  </si>
  <si>
    <t>https://www.crabsneakers.com</t>
  </si>
  <si>
    <t>pabuckonagisneaker</t>
  </si>
  <si>
    <t>Papuc Konagi Pabuckom Sneakers 👟</t>
  </si>
  <si>
    <t>☎️ WhatsApp Sipariş: 0501 340 38 50
🔷 Kapıda Ödeme &amp; Şeffaf Kargo Hizmeti
🌍 Tüm Modellerimiz için 👉 www.papuckonagi.com
🛍️ Kredi Kartına Taksit İmkânı</t>
  </si>
  <si>
    <t>https://www.papuckonagi.com/kampanyali-modellerimiz-kat238.html</t>
  </si>
  <si>
    <t>sneakercon</t>
  </si>
  <si>
    <t>Sneaker Con</t>
  </si>
  <si>
    <t>☀️ LA Sept 6-7
🇨🇦 Toronto Sept 27 Art by @jaetips 
🍔 Minneapolis Oct 4
🎟️ Grab your Tickets here👇</t>
  </si>
  <si>
    <t>https://linkin.bio/sneakercon</t>
  </si>
  <si>
    <t>sneakerjagers</t>
  </si>
  <si>
    <t>Sneakerjagers</t>
  </si>
  <si>
    <t>Your go-to source for everything sneakers. From release dates to the latest news, we’ve got you covered!
Download the Sneakerjagers app 📲</t>
  </si>
  <si>
    <t>https://snkrjg.rs/App</t>
  </si>
  <si>
    <t>sneakernews</t>
  </si>
  <si>
    <t>Sneaker News</t>
  </si>
  <si>
    <t>The Official Instagram account of SneakerNews.com run by @johnbeejkim and @mryumingwu.</t>
  </si>
  <si>
    <t>http://linkin.bio/sneakernews/</t>
  </si>
  <si>
    <t>sneakerresellx</t>
  </si>
  <si>
    <t>Mark 🔌</t>
  </si>
  <si>
    <t>500 PAIR RESTOCK SAT AT 3PM PST</t>
  </si>
  <si>
    <t>http://sneakerresellx.com</t>
  </si>
  <si>
    <t>Sneakers</t>
  </si>
  <si>
    <t>sneakers_caballito</t>
  </si>
  <si>
    <t>Sneakers Caballito</t>
  </si>
  <si>
    <t>📍BUENOS AIRES
👟 sneakers &amp; streetwear 
•Entregas o envíos a todo el país 🚀</t>
  </si>
  <si>
    <t>sneakers_k20store</t>
  </si>
  <si>
    <t>K20Sneakers</t>
  </si>
  <si>
    <t>PAGAMENTO ALLA CONSEGNA💶
SPEDIZIONE VELOCE 24/48H ✈️
RESO GRATUITO 🚚
SITO WEB UFFICIALE IN BIO😍</t>
  </si>
  <si>
    <t>https://k20sneakers.com</t>
  </si>
  <si>
    <t>sneakers_shoessa</t>
  </si>
  <si>
    <t>Sneakers For Africa</t>
  </si>
  <si>
    <t>Est. 2019
Eitha: Sneakers That Say Your Name
Contact us for Distribution Opportunities
#localbrand
#eithabrand
#sneakersforafrica</t>
  </si>
  <si>
    <t>clew_snowboarding</t>
  </si>
  <si>
    <t>CLEW Snowboarding</t>
  </si>
  <si>
    <t>NEW MODEL RELEASE   |   October 4th 2025
Sign up for Early access now ⬇️</t>
  </si>
  <si>
    <t>https://clew-snowboarding.com</t>
  </si>
  <si>
    <t>dc_snowboarding</t>
  </si>
  <si>
    <t>DC Snowboarding</t>
  </si>
  <si>
    <t>DC WARLORD SNOWBOARD👇</t>
  </si>
  <si>
    <t>http://linktr.ee/dcshoes/</t>
  </si>
  <si>
    <t>k2.snowboarding</t>
  </si>
  <si>
    <t>K2 Snowboarding</t>
  </si>
  <si>
    <t>🏂 Snowboards, Boots, &amp; Bindings Since 1987
🇺🇸 The Original American Ski &amp; Snowboard Brand
♥️ Support Your Local Snowboard Shop</t>
  </si>
  <si>
    <t>https://k2snow.com</t>
  </si>
  <si>
    <t>oakleysnowboarding</t>
  </si>
  <si>
    <t>Oakley Snowboarding</t>
  </si>
  <si>
    <t>https://www.oakley.com/en-us/l/snow</t>
  </si>
  <si>
    <t>ru_snowboarding</t>
  </si>
  <si>
    <t>Сноуборд 🏂</t>
  </si>
  <si>
    <t>Бесплатные лучики любви и +100 к скиллам катания первому миллиону подписчиков
#сноуборд #snowboarding</t>
  </si>
  <si>
    <t>Snowboarding</t>
  </si>
  <si>
    <t>🏂 Snowboarders, welcome home
📲 DM your clips to get featured</t>
  </si>
  <si>
    <t>snowboarding_4ever_</t>
  </si>
  <si>
    <t>Follow me If you love Snowboarding!</t>
  </si>
  <si>
    <t>https://designtshirt.us/storefront/trump?parent=Trump&amp;rt=Trump</t>
  </si>
  <si>
    <t>snowboardinga101</t>
  </si>
  <si>
    <t>🎥new videos daily 
💙follow if you love snowboarding 
📩DM for promos</t>
  </si>
  <si>
    <t>snowboarding.grams</t>
  </si>
  <si>
    <t>All colors, all sizes and all styles 😍 
Below is the link to our Store ⤵️</t>
  </si>
  <si>
    <t>https://lotussimplicity.com/snowboarding?pr=FREESHIP</t>
  </si>
  <si>
    <t>snowboardings.ig</t>
  </si>
  <si>
    <t>Follow us if you love Snowboarding🏄 🔥 🌊 📲 📦 Worldwide Shipping 👕 Visit our shop to see some T-Shirts, Hoodies...👕 👇 Click to Shop 👇</t>
  </si>
  <si>
    <t>https://simplicitytee.com/snowboard</t>
  </si>
  <si>
    <t>snowboarding_sucks</t>
  </si>
  <si>
    <t>Сакс*</t>
  </si>
  <si>
    <t>Самоироничный Антисоциальный Клуб Сноубордингa</t>
  </si>
  <si>
    <t>https://www.traektoria.ru/brand/saks/</t>
  </si>
  <si>
    <t>snowboardingtosurvive</t>
  </si>
  <si>
    <t>Daily Snowboarding Videos | Breezy</t>
  </si>
  <si>
    <t>🏂| The Best #snowboarding Videos 
❄️| Professional Snowboard Lover
🌍| Every purchase helps save our mountains from global warming
@breezyboarding</t>
  </si>
  <si>
    <t>https://breezyboarding.com/</t>
  </si>
  <si>
    <t>snowboardinguniverse</t>
  </si>
  <si>
    <t>Snowboarding Universe</t>
  </si>
  <si>
    <t>Ski Resort</t>
  </si>
  <si>
    <t>🏂 | Official Snowboarding Universe Page 🌌
❄️ | We post snowboarding, memes and jerrys 📱
📩 | DM for biz/credit/removal 🚡</t>
  </si>
  <si>
    <t>vanssnow</t>
  </si>
  <si>
    <t>Vans Snowboarding</t>
  </si>
  <si>
    <t>Official Vans Snowboarding. Off the Wall since 1966.</t>
  </si>
  <si>
    <t>http://vans.com/snow</t>
  </si>
  <si>
    <t>foxsoccer</t>
  </si>
  <si>
    <t>FOX Soccer</t>
  </si>
  <si>
    <t>All your FOX favorites. All in one app. FOX Soccer is now streaming on FOX One. Try 7 days free today at the link in the bio #WeLiveForLive</t>
  </si>
  <si>
    <t>https://www.fox.com/?cmpid=org%3Done%3A%3Aag%3Downed%3A%3Amc%3Dorganicsocial%3A%3Asrc%3Dfs%3A%3Acmp%3D10010061002%3A%3Aadd%3D</t>
  </si>
  <si>
    <t>prodirectsoccer</t>
  </si>
  <si>
    <t>Pro:Direct Soccer</t>
  </si>
  <si>
    <t>The World’s Largest Online Football Store. Get 10% off your first order with a free PDFC account &amp; download the app for exclusive deals👇</t>
  </si>
  <si>
    <t>http://linktr.ee/prodirectsoccer</t>
  </si>
  <si>
    <t>socceraid</t>
  </si>
  <si>
    <t>Soccer Aid for UNICEF</t>
  </si>
  <si>
    <t>🏴󠁧󠁢󠁥󠁮󠁧󠁿 England 6-8 World XI 🌍
Donate via the link ⬇️</t>
  </si>
  <si>
    <t>https://donate.socceraid.org.uk/</t>
  </si>
  <si>
    <t>soccerbible</t>
  </si>
  <si>
    <t>SoccerBible</t>
  </si>
  <si>
    <t>Creative Soccer Culture ©️ⓢ©️
Create With Us: @biblehaus
Media Enquiries: mediaenquiries@soccerbible.com</t>
  </si>
  <si>
    <t>http://soccerbible.com</t>
  </si>
  <si>
    <t>agata.ebbutt</t>
  </si>
  <si>
    <t>Agata | Solo Travel Adventures, Fasion &amp; Timeless Style</t>
  </si>
  <si>
    <t>Inspiring women 40+ to solo travel in chic-effortless fashion ✈️ Outfit inspo, styling tips &amp; fab travel destinations. Contact
Agataebbutt@yahoo.co.uk</t>
  </si>
  <si>
    <t>https://linktr.ee/agata.ebbutt</t>
  </si>
  <si>
    <t>hey_ciara</t>
  </si>
  <si>
    <t>Ciara | Solo Travel Queen👸🏾</t>
  </si>
  <si>
    <t>Quit my job to travel the 🌎 solo
Regular girl showing you HOW &amp; WHY to travel 
Solo Travel Queen 👑 
📍Houston
heyciara1@gmail.com
heyciara.com</t>
  </si>
  <si>
    <t>https://linktr.ee/hey_ciara</t>
  </si>
  <si>
    <t>imartatravels</t>
  </si>
  <si>
    <t>M A R T A | Solo Travel Girl ✈️</t>
  </si>
  <si>
    <t>📍ʙᴀʀᴄᴇʟᴏɴᴀ
Los mejores PLANES y VIAJES por Cataluña y el 🌍 
¿Colaboramos? 📩 imartatravels@gmail.com 
🎥 +353k en TIKTOK 
Descubre más sitios ➡️</t>
  </si>
  <si>
    <t>https://beacons.ai/imartatravels</t>
  </si>
  <si>
    <t>kevindroniak</t>
  </si>
  <si>
    <t>Kevin | Solo Travel</t>
  </si>
  <si>
    <t>avid traveler, &amp; @grandma_droniak ‘s manager
📍nyc (when I’m not 30k ft up in the ☁️)</t>
  </si>
  <si>
    <t>https://www.expedia.com/shop/kevindroniak</t>
  </si>
  <si>
    <t>solotravelclub</t>
  </si>
  <si>
    <t>STC | for solo travel girlies in aus</t>
  </si>
  <si>
    <t>by @sophjames_ 
✨moved to aus solo at 29
☁️sharing my journey 
🌸meet-ups, girly chats &amp; ditl inspo
💌join the group chat👇</t>
  </si>
  <si>
    <t>https://linktr.ee/solotravelclub</t>
  </si>
  <si>
    <t>solotravelgirlsofficial</t>
  </si>
  <si>
    <t>Solo Travel Girls | Female Travel &amp; Group Trips 🌏</t>
  </si>
  <si>
    <t>BALI | LOMBOK | GILI | NUSA
Female Group Tours &amp; Community
Empowering local women in the travel industry 💪
Join our Solo Travel Girl community 👇</t>
  </si>
  <si>
    <t>http://www.solotravelgirls.com</t>
  </si>
  <si>
    <t>solo_traveling</t>
  </si>
  <si>
    <t>Solo Traveling</t>
  </si>
  <si>
    <t>We Connect Travelers Globally 🌍🌎🌏
To Feature Use #solotravelingisfun or tag us !
Global Community Group Link 😊</t>
  </si>
  <si>
    <t>https://bit.ly/38lZfee</t>
  </si>
  <si>
    <t>solotravelinstyle</t>
  </si>
  <si>
    <t>Ioana | Travel creator &amp; blogger</t>
  </si>
  <si>
    <t>✈️ Solo traveler + group trip host for solo travelers
👩‍💻 Ex-corporate, now travel blogger + blogging coach for beginners</t>
  </si>
  <si>
    <t>https://thesolotravelinstyleblog.com</t>
  </si>
  <si>
    <t>solotravel.leyla</t>
  </si>
  <si>
    <t>SOLO JOURNEY | GYM | TRAVEL</t>
  </si>
  <si>
    <t>🌎 solo traveler from Germany 
If you can't find me above the clouds, catch me at the gym</t>
  </si>
  <si>
    <t>travelbubi</t>
  </si>
  <si>
    <t>Julia Trenker • SOLOTRAVEL • VANLIFE</t>
  </si>
  <si>
    <t>welcome to our safe space✨ 
»your overthinking travel bestie on her healing journey«
• here to remind you: you‘re not alone
• living in my bubi at 24🌸</t>
  </si>
  <si>
    <t>https://www.skool.com/ftc/about</t>
  </si>
  <si>
    <t>travellingtuesdays</t>
  </si>
  <si>
    <t>Abena† Solo Travel</t>
  </si>
  <si>
    <t>🧡Often solo |📍London based 
📧abena@travellingtuesdays.com
Travel with me👉🏾 @travellingtuesdaystrips</t>
  </si>
  <si>
    <t>https://travellingtuesdays.com/join-me-in-morocco-2/</t>
  </si>
  <si>
    <t>brilliantvocalists</t>
  </si>
  <si>
    <t>Music | Singers | Song Covers</t>
  </si>
  <si>
    <t>🎤 Featuring all music artists
🎶 Follow to bless your ears with music daily
📩 DM to get featured/ promotion</t>
  </si>
  <si>
    <t>https://yt.openinapp.co/24kgi</t>
  </si>
  <si>
    <t>songcoversmusic</t>
  </si>
  <si>
    <t>Song Covers</t>
  </si>
  <si>
    <t>Song</t>
  </si>
  <si>
    <t>FREE FEATURE CONTEST RULES
1. Hit Follow!
2. Like + tag 3 friends in a post!
3. Use @songcoversmusic on your vid and DM us!
💰DM for Paid/Promo</t>
  </si>
  <si>
    <t>songcoversofig</t>
  </si>
  <si>
    <t>❤️|Please help me to reach 500K
🎸|Sharing best music content on the internet 
🙌🏼|You won’t regret after following us
👉🏻|Dm us for paid promotion</t>
  </si>
  <si>
    <t>secretsofhitsongs</t>
  </si>
  <si>
    <t>Lenny Juliano | Hit Songwriting Techniques | Song Psychology</t>
  </si>
  <si>
    <t>🔥 Craft Better Songs With Hit Song Techniques
✨ Proven System to Write Catchier Songs
💯 25,000+ Students
💪🏼 Get “Hooked: The Fast-Track Formula” ⤵️</t>
  </si>
  <si>
    <t>http://www.secretsofhitsongs.com</t>
  </si>
  <si>
    <t>songwriting_pro</t>
  </si>
  <si>
    <t>Brent Baxter</t>
  </si>
  <si>
    <t>Hit songwriter helping YOU turn pro, too. Co-host of The C.L.I.M.B. Podcast. Cuts: Alan Jackson, Lady Antebellum, Randy Travis, Joe Nichols &amp; more.</t>
  </si>
  <si>
    <t>http://linktr.ee/songwriting_pro</t>
  </si>
  <si>
    <t>spotifysongwriting</t>
  </si>
  <si>
    <t>Spotify Songwriting</t>
  </si>
  <si>
    <t>For the people that make music happen. Unlock new opportunities with songwriting, production and publishing resources from @spotifyforartists</t>
  </si>
  <si>
    <t>http://linktr.ee/spotifysong</t>
  </si>
  <si>
    <t>powerofsfx</t>
  </si>
  <si>
    <t>Video Editing | Sound Design</t>
  </si>
  <si>
    <t>📸 all the best sound design content in one place
👇 Get SFX Bundle V2 (+400 sounds included)</t>
  </si>
  <si>
    <t>https://powerofsoundfx.com</t>
  </si>
  <si>
    <t>sounddesigntips</t>
  </si>
  <si>
    <t>Sound Design Tips🔹</t>
  </si>
  <si>
    <t>The Sound Design Channel - learn to create
🔊| 20k+ YouTube Channel for Tutorials
🎹| By @productionmusiclive 
💻| 🔥 Presets Shop, Website &amp; YT:</t>
  </si>
  <si>
    <t>https://linktr.ee/sounddesignhacks</t>
  </si>
  <si>
    <t>fanasportsdrill</t>
  </si>
  <si>
    <t>Fana IL Baton Twirling</t>
  </si>
  <si>
    <t>Baton twirling club WBTF🇳🇴
2025 Norwegian Champions in youth freestyle, junior freestyle, junior pair &amp; senior pair🏆</t>
  </si>
  <si>
    <t>allsportsnews</t>
  </si>
  <si>
    <t>• Sports and only sports, up to the minute.
• #1 sports coverage on IG
• Contact via DM/email
Saturday, September 6, 2025</t>
  </si>
  <si>
    <t>mnsportnews</t>
  </si>
  <si>
    <t>Minnesota Sports News</t>
  </si>
  <si>
    <t>Jesus &gt; Everything
• Your #1 official source for Minnesota Sports News
Featured on @ESPN and @SportsCenter
Grab a Pulse Power Snack⬇️</t>
  </si>
  <si>
    <t>https://www.pulsepowersnacks.com</t>
  </si>
  <si>
    <t>sport_snews001</t>
  </si>
  <si>
    <t>Sports News</t>
  </si>
  <si>
    <t>⚫🖤 Sport News updates you some of the world's
biggest events, such as the world Cup, Europa League
Premier League, Common wealth games and more...⚫🖤</t>
  </si>
  <si>
    <t>https://www.youtube.com/@Sport_News001</t>
  </si>
  <si>
    <t>sports_news_egypt</t>
  </si>
  <si>
    <t>Sports News Egypt</t>
  </si>
  <si>
    <t>الرياضة اساس تقدم الشعوب �
Follow us 
أكبر بوابة إخبارية للألعاب الفردية في مصر والوطن العربي</t>
  </si>
  <si>
    <t>https://www.facebook.com/SportsNewsEgy/</t>
  </si>
  <si>
    <t>sportsnews_sn</t>
  </si>
  <si>
    <t>The Home of Sports 🏠🌎</t>
  </si>
  <si>
    <t>sports_training_col</t>
  </si>
  <si>
    <t>Sports Training</t>
  </si>
  <si>
    <t>⚽️ Donde el deporte se vive se aprende y se comparte
Información y pasión deportiva
Entrena tu cuerpo activa tu mente
Pauta aquí 
#SomosSportsTraining</t>
  </si>
  <si>
    <t>stck__mrkt</t>
  </si>
  <si>
    <t>STOCK MARKET</t>
  </si>
  <si>
    <t>Nothing restocks once it’s gone
A clothing project curated by experimentation</t>
  </si>
  <si>
    <t>http://www.stck-mrkt.shop</t>
  </si>
  <si>
    <t>stock._market__</t>
  </si>
  <si>
    <t>Stockmarket | Invest | Money</t>
  </si>
  <si>
    <t>Get daily knowledge post
शेयरमार्केट फ्री में सीखे 📊
कंपिनियों का संपूर्ण ज्ञान।
💸Paid Promotion avalible</t>
  </si>
  <si>
    <t>stockmarket_boss</t>
  </si>
  <si>
    <t>Investing | Trading | Stock market</t>
  </si>
  <si>
    <t>📈 Learn Stock Market Basics
🧠 Daily Dose of Market Knowledge
⚡ Fastest News &amp; Insights on Stock Market
👥 No Cost, Just Follow &amp; Learn</t>
  </si>
  <si>
    <t>stockmarket.edges</t>
  </si>
  <si>
    <t>Stockmarket edges</t>
  </si>
  <si>
    <t>♠️Leader in Stock Market Edu. &amp; Research
🌎Community of traders Worldwide
📌Daily Macro economic &amp; Market updates👇🏻
mail- podenquiries.nm@gmail.com</t>
  </si>
  <si>
    <t>stock_market_in</t>
  </si>
  <si>
    <t>Stock Market India</t>
  </si>
  <si>
    <t>🎓Learn stock markets|Investing and Trading
Disclaimer :We are not SEBI Registered Advisor
📩 promotion/collaboration 
We repost informative content🔁</t>
  </si>
  <si>
    <t>https://www.instagram.com/theinvestor_insights?igsh=MWVkOWRnYjlpeGkwZQ%3D%3D</t>
  </si>
  <si>
    <t>stockmarket.insight</t>
  </si>
  <si>
    <t>Stock Market Insight</t>
  </si>
  <si>
    <t>• Share Market News | Memes | Facts📰
• Lastest Daily Updates 📈
• DM for Promotion &amp; Collab📩</t>
  </si>
  <si>
    <t>https://stoxbazaar.biz/SBIG267</t>
  </si>
  <si>
    <t>stock.market.skills_</t>
  </si>
  <si>
    <t>amit 10x</t>
  </si>
  <si>
    <t>📚| Regular Stock Market Update
💡| Stock market knowledge
🧠| Financial Education
💰| Business &amp; Startup Ideas</t>
  </si>
  <si>
    <t>stockmarket_times</t>
  </si>
  <si>
    <t>Stock Market Times by Sanchit Rastogi</t>
  </si>
  <si>
    <t>~Finance, Stock Market, Economy, Business Updates &amp; much more
~ DM / Mail for Paid Collab / Feature
~Check out our other Links👇</t>
  </si>
  <si>
    <t>https://t.me/stockmarkettimes_updates</t>
  </si>
  <si>
    <t>stockmarket.tips00</t>
  </si>
  <si>
    <t>Stock market |
0Finance | Business &amp; More
Welcome to 1% Club</t>
  </si>
  <si>
    <t>stockmarketwolf</t>
  </si>
  <si>
    <t>Andrew Diaz</t>
  </si>
  <si>
    <t>📈-I help 16,500+ students globally 
👨‍💻-We teach Day Trading in Options,Futures&amp;Shares
💰-I Grew my portfolio to $40M+
📈16yrs exp🪢-Family First 🌆-LA</t>
  </si>
  <si>
    <t>https://www.stockmarketwolf.com</t>
  </si>
  <si>
    <t>streetwear.stockmarket</t>
  </si>
  <si>
    <t>Streetwear Stockmarket</t>
  </si>
  <si>
    <t>#1 Source For Everything Hype 
SUBSCRIBE FOR SHOCK DROP INFO + MORE 
Looking for promotion? DM us for business 🤝
Check my story for discounts 🏷️</t>
  </si>
  <si>
    <t>thedailystockmarket</t>
  </si>
  <si>
    <t>The Daily Stock Market</t>
  </si>
  <si>
    <t>🤑Over 1,500+ Success Stories On My Highlights
🌟3500+ Total Students Over 5 Years
📊Click The Link Below👇To Become The Next Success Story</t>
  </si>
  <si>
    <t>https://www.launchpass.com/the-daily-stock-market/annual</t>
  </si>
  <si>
    <t>healthy.bharat_</t>
  </si>
  <si>
    <t>STOCK TRADING</t>
  </si>
  <si>
    <t>👉Eat Healthy, Stay Healthy 
👉 Best Health Tips for you</t>
  </si>
  <si>
    <t>stock_market_kerala</t>
  </si>
  <si>
    <t>Stock trading institute | SMK</t>
  </si>
  <si>
    <t>Stock Trading Institute 📈
Calicut, Kochi &amp; Tvm 𝐒𝐢𝐧𝐜𝐞 𝟐𝟎𝟏𝟗.
Check reviews 👉🏻 @smk_cpips_reviews 
Book now! 📲 +91 92490 94159</t>
  </si>
  <si>
    <t>https://www.stockmarketkerala.com/</t>
  </si>
  <si>
    <t>stocktradingmemes</t>
  </si>
  <si>
    <t>Stock Trading Memes</t>
  </si>
  <si>
    <t>Memes, current events, and whatever I feel like posting.</t>
  </si>
  <si>
    <t>stocktradingpit</t>
  </si>
  <si>
    <t>Stock Trading Pit</t>
  </si>
  <si>
    <t>🚀 The fastest growing community for all traders.
👇 A great place for traders to learn and grow!</t>
  </si>
  <si>
    <t>dimash_streaming_queen</t>
  </si>
  <si>
    <t>Dimash Streaming Queen</t>
  </si>
  <si>
    <t>Dedicated to stream and promote the music of  @kudaibergenov.dimash 
(Mexican dear living in LA California)🇲🇽❤️🇰🇿</t>
  </si>
  <si>
    <t>kickstreaming</t>
  </si>
  <si>
    <t>Kick</t>
  </si>
  <si>
    <t>Official Kick account | Pick Kick.</t>
  </si>
  <si>
    <t>https://kick.com</t>
  </si>
  <si>
    <t>streamingculture</t>
  </si>
  <si>
    <t>Streaming Culture</t>
  </si>
  <si>
    <t>Go-to home for all things streaming 🔥
📩 | DM for business/inquiries
🌐 | #1 Streaming page</t>
  </si>
  <si>
    <t>streamingkat</t>
  </si>
  <si>
    <t>Kat</t>
  </si>
  <si>
    <t>📚 Writer ✍️ | Soon-to-be Author
💖 Body Positive &amp; Living My Best Fat Life
☀️ Lover of books, words, and cozy vibes</t>
  </si>
  <si>
    <t>http://bio.site/katkummings</t>
  </si>
  <si>
    <t>streamingthemagic</t>
  </si>
  <si>
    <t>Streaming The Magic</t>
  </si>
  <si>
    <t>Streaming LIVE from your favorite theme parks including Disney &amp; Universal. Launched in 2015.</t>
  </si>
  <si>
    <t>http://youtube.com/StreamingTheMagic</t>
  </si>
  <si>
    <t>vet_tv</t>
  </si>
  <si>
    <t>VET Tv 🇺🇲 Military Streaming</t>
  </si>
  <si>
    <t>TV shows, movies, &amp; documentaries created by veterans for veterans. Your stories, your way. Plans start at $7.99 /mo.  📺⬇️</t>
  </si>
  <si>
    <t>https://veterantv.app.link/tAmx11cvQeb</t>
  </si>
  <si>
    <t>street.classics</t>
  </si>
  <si>
    <t>Street Photography</t>
  </si>
  <si>
    <t>Street Photography Collective
- Tag us @street.classics &amp; #streetclassics for a chance to be featured.
- Team: @itchban @_davidsark</t>
  </si>
  <si>
    <t>http://streetclassics.co</t>
  </si>
  <si>
    <t>streetphotographybnw</t>
  </si>
  <si>
    <t>Street Photography B&amp;W</t>
  </si>
  <si>
    <t>Let's tell your Stories’
Use #streetphotographybnw
@streetphotographyworldwide</t>
  </si>
  <si>
    <t>http://streetphotographyindia.in/international</t>
  </si>
  <si>
    <t>streetphotographyfrance.fr</t>
  </si>
  <si>
    <t>Street Photography France</t>
  </si>
  <si>
    <t>Édition | Académie | Print sale | Collectif 
Au-delà de street photo. Devenez membre du SPF via notre site 
Nos hashtags: #spfyourshot #spfwomen</t>
  </si>
  <si>
    <t>https://streetphotographyfrance.fr/nos-liens/</t>
  </si>
  <si>
    <t>streetphotographyindia</t>
  </si>
  <si>
    <t>Street Photography India</t>
  </si>
  <si>
    <t>Let's Tell Your Stories'
Use #streetphotographyindia</t>
  </si>
  <si>
    <t>http://streetphotographyindia.in</t>
  </si>
  <si>
    <t>streetphotographyindonesia</t>
  </si>
  <si>
    <t>Street Photography Indonesia</t>
  </si>
  <si>
    <t>To be featured tag your photos #spistory &amp; @streetphotographyindonesia 
share stories here 👇 Threads</t>
  </si>
  <si>
    <t>streetphotographyinternational</t>
  </si>
  <si>
    <t>Street Photo International</t>
  </si>
  <si>
    <t>To be featured tag your photos #SPiCollective and follow us</t>
  </si>
  <si>
    <t>https://streetphotographyinternational.com/</t>
  </si>
  <si>
    <t>tengu_ig</t>
  </si>
  <si>
    <t>👺® Street Photography</t>
  </si>
  <si>
    <t>Soy el 50% de @Nekojitablog  
Street photography en Tokio
Mi web calleparasiempre.com
¡Apóyame con un café! ko-fi.com/tengucalleparasiempre
Shot on📷📱</t>
  </si>
  <si>
    <t>http://www.youtube.com/c/TENGUJAPON</t>
  </si>
  <si>
    <t>yyc_street_photography</t>
  </si>
  <si>
    <t>Paul Park | Visual Storyteller</t>
  </si>
  <si>
    <t>📍 Based in Calgary 🇨🇦
🎥 All original photographs and videos by me
❤️J</t>
  </si>
  <si>
    <t>https://www.youtube.com/@YycStreetPhotography</t>
  </si>
  <si>
    <t>01streetwear</t>
  </si>
  <si>
    <t>zero one street wear</t>
  </si>
  <si>
    <t>پوشیدنی و اکسسوری زیرو وان 
.
فروشگاه:‏‎‎شهرک غرب•حسن سيف•مجتمع تجاری شهرک غرب•ط٢•پ٥٤</t>
  </si>
  <si>
    <t>http://01streetwear.com/</t>
  </si>
  <si>
    <t>all.streetwear</t>
  </si>
  <si>
    <t>ALL STREETWEAR</t>
  </si>
  <si>
    <t>▪  Daily Streetwear and Fashion Posts 
▪  For Features Tag @all.streetwear 
▪  Use #allstreetwear 
▪  allstreetwearbusiness@gmail.com</t>
  </si>
  <si>
    <t>elegance__street.wear</t>
  </si>
  <si>
    <t>Elegance  streetwear 🇩🇿🛍️</t>
  </si>
  <si>
    <t>“ your favorite street wear store  “
Boutique femme online 📤
Livarison Disponible 58wilaya 📦
Boutique 1 : @boutique_elegance_woman</t>
  </si>
  <si>
    <t>https://elegance-woman.com/php/Accueillir.php</t>
  </si>
  <si>
    <t>flawwear</t>
  </si>
  <si>
    <t>FLAW STREET WEAR</t>
  </si>
  <si>
    <t>URBAN CULTURE
📍Mağazalarımızın Konum Bilgileri ⬇️</t>
  </si>
  <si>
    <t>https://www.flawwears.com/</t>
  </si>
  <si>
    <t>global.streetwear.pe</t>
  </si>
  <si>
    <t>𝗚𝗟𝗢𝗕𝗔𝗟 𝗦𝗧𝗥𝗘𝗘𝗧𝗪𝗘𝗔𝗥© 
🇵🇪| Los Mejores Baggy Jeans
🏬| Tiendas Físicas: Confraternidad 782 (LOS OLIVOS)
📦| Envios miércoles/sábados</t>
  </si>
  <si>
    <t>https://linktr.ee/global.streetwear.pe</t>
  </si>
  <si>
    <t>invistastreetwear</t>
  </si>
  <si>
    <t>Invista Street Wear</t>
  </si>
  <si>
    <t>🖤 Invista em você, vista Invista
🛒 Varejo | Atacado
 Pop Center Poa | Corredor 2 | lojas 78 a 80 e 144 a 147
👇🏾INFORMAÇÕES E COMPRAS ↓</t>
  </si>
  <si>
    <t>https://api.whatsapp.com/send?phone=555198433873</t>
  </si>
  <si>
    <t>oxostreetwear</t>
  </si>
  <si>
    <t>OXO STREET WEAR</t>
  </si>
  <si>
    <t>اُکسو | فروشگاه اسنیکر
ارسال به سراسر ایران
آدرس فروشگاه: تهران - نارمک - سهیلیان جنوبی - پلاک ۱۰۱</t>
  </si>
  <si>
    <t>http://t.me/OXOSTREETWEAR</t>
  </si>
  <si>
    <t>ozne_streetwear</t>
  </si>
  <si>
    <t>Ozne Street Wear</t>
  </si>
  <si>
    <t>🧢 As melhores marcas do streetwear
👟 Nike, Adidas, Boss, Lacoste &amp; +
✝️ Estilo e propósito 
📍 Loja física + online
🌐 oznestreetwear.com.br</t>
  </si>
  <si>
    <t>https://www.oznestreetwear.com.br/</t>
  </si>
  <si>
    <t>sowebloc</t>
  </si>
  <si>
    <t>SOWE | STREET.WEAR</t>
  </si>
  <si>
    <t>10:00 - 22:00, всё в наличии 
      📍 Юнусалиева 117, магазин SOWE</t>
  </si>
  <si>
    <t>https://t.me/sowebloc</t>
  </si>
  <si>
    <t>street__wear____</t>
  </si>
  <si>
    <t>unique</t>
  </si>
  <si>
    <t>streetwear9x2indore2</t>
  </si>
  <si>
    <t>Street Wear Indore</t>
  </si>
  <si>
    <t>⚫️kindly order on our registered no.🙏🏻
⚫️men’s clothing store
⚫️for order directly call
⚫️📞📞9340269940,9009000259
⚫️class and taste can’t be bought🏁🏁</t>
  </si>
  <si>
    <t>https://whatsapp.com/channel/0029VaAyhBwKGGGLrF2BUo1N</t>
  </si>
  <si>
    <t>streetwear.cartel.gr</t>
  </si>
  <si>
    <t>streetwearkktc</t>
  </si>
  <si>
    <t>STREET WEAR KKTC</t>
  </si>
  <si>
    <t>Streetwear &amp; Urbanwear
Based in North Cyprus
Shops Location:
📍 Girne City Centre  ⏱️(09:00-21:00)
📍 Magusa Salamis Road ⏱️(09:00-21:00)
Delivery 165₺📦</t>
  </si>
  <si>
    <t>streetwearshoptj</t>
  </si>
  <si>
    <t>Street Wear SkateShop TJ</t>
  </si>
  <si>
    <t>Tienda de ropa, skate y calzado . WHATS: 663 557 12 08 👈🏾 Abierto de Lunes a Sábado de 12 am a 6:00 pm.
Tienda física en la zona centro de TJ ⬇️⬇️</t>
  </si>
  <si>
    <t>https://www.thrashermagazine.com/articles/trash/border-skateboards-bien-chingon-video/</t>
  </si>
  <si>
    <t>trendsweear</t>
  </si>
  <si>
    <t>street wear | casual wear</t>
  </si>
  <si>
    <t>🔸Follow us for the latest fashion and style.</t>
  </si>
  <si>
    <t>madeleinenilssons</t>
  </si>
  <si>
    <t>Madeleine | Running, Plyometrics &amp; Strength Training</t>
  </si>
  <si>
    <t>🇸🇪 Personal Trainer, Running Coach, T&amp;F athlete
💥 Helping you run faster &amp; stronger   
💙 Training plans for runners👇🏻</t>
  </si>
  <si>
    <t>https://linktr.ee/madeleinenilssons</t>
  </si>
  <si>
    <t>p1_training</t>
  </si>
  <si>
    <t>P1 TRAINING | STRENGTH &amp; ENDURANCE</t>
  </si>
  <si>
    <t>🛠️Centro de entrenamiento híbrido especializado en fuerza, resistencia y rendimiento.
📚Metodología estructurada, coaching profesional.</t>
  </si>
  <si>
    <t>rpstrength</t>
  </si>
  <si>
    <t>RP Strength | Nutrition &amp; Training</t>
  </si>
  <si>
    <t>🚀Ready to get results?
👊Results powered by real science.
⬇️Click below to level up your physique!</t>
  </si>
  <si>
    <t>https://linkin.bio/rpstrength</t>
  </si>
  <si>
    <t>simplyfit.bylauren</t>
  </si>
  <si>
    <t>Lift with Lauren | strength training • postpartum</t>
  </si>
  <si>
    <t>Certified FASTer Way to Fat Loss coach
Become the healthiest version of you🤍
Get in my next 6 week round starting September 22nd👇🏼</t>
  </si>
  <si>
    <t>https://bit.ly/m/laurenp</t>
  </si>
  <si>
    <t>strength.training.uni</t>
  </si>
  <si>
    <t>Strength Training University</t>
  </si>
  <si>
    <t>Sharing evidence-based tips that help you get strong, build muscle mass, and improve longevity</t>
  </si>
  <si>
    <t>ksyuni_wow</t>
  </si>
  <si>
    <t>Kseniia stretching ♡ aesthetic ♡ love</t>
  </si>
  <si>
    <t>KSENIIA • 🦄 🫧 
💌 Dm for collaborations | Barter no ❌
📍Moscow
Content creator/ Ambassador/ UGC
My personal diary @ksyuniwow</t>
  </si>
  <si>
    <t>https://t.me/ksyunimeow</t>
  </si>
  <si>
    <t>malova.flex</t>
  </si>
  <si>
    <t>Creator of stretching &amp; heels dance program in San Francisco</t>
  </si>
  <si>
    <t>📍Los Angeles 
💌malovamaria0907@gmail.com
Helped 5K+ women feel flexible, not like 🪵
SIGN UP FOR CLASSES👇🏻</t>
  </si>
  <si>
    <t>https://linktr.ee/malova_stretch</t>
  </si>
  <si>
    <t>mobility_mvmnt</t>
  </si>
  <si>
    <t>MVMNT | Mobility + Stretching + Meditation</t>
  </si>
  <si>
    <t>Move better, feel stronger, live pain-free
10K+ members trust MVMNT
Join MVMNT for Mobility &amp; Stretching Routines
7 Days FREE! Start today ⬇️</t>
  </si>
  <si>
    <t>https://linktr.ee/Crystalderry</t>
  </si>
  <si>
    <t>nk_stretching</t>
  </si>
  <si>
    <t>Stretching Yoga Instructor Nadiia</t>
  </si>
  <si>
    <t>✨Master of Sport in Rhythmic Gymnastics 
✨STRETCH YOUR LIMITS
✨Collaboration @nk_stretching_ 
✨Sign up now⤵️</t>
  </si>
  <si>
    <t>https://linktr.ee/nk_stretching</t>
  </si>
  <si>
    <t>purepilates.evn</t>
  </si>
  <si>
    <t>Reformer, Mat Pilates, Stretching</t>
  </si>
  <si>
    <t>🏆The only @basipilates Host Studio in Armenia
🇦🇲First Professional Pilates Studio Based in Armenia 
Working hours: 08:30-21:00</t>
  </si>
  <si>
    <t>https://tuscanyretreat.webflow.io</t>
  </si>
  <si>
    <t>stretching.ch</t>
  </si>
  <si>
    <t>• The First &amp; Only Stretching Studio in Switzerland •</t>
  </si>
  <si>
    <t>Anna - SMART FITNESS coach🇨🇭🇺🇦
⏳ PREGNANT🤰 
• Stretching, Pilates &amp; Barre 🩰
• I’ll fix your POSTURE 🪽
• Collab👇🏻 💌Anna.stretchching@gmail.com</t>
  </si>
  <si>
    <t>https://www.annastretching.com</t>
  </si>
  <si>
    <t>stretchingexercise</t>
  </si>
  <si>
    <t>Healthy ♥️</t>
  </si>
  <si>
    <t>⚡Routines, Stretches, Drills to fix posture
🆕21et Century Science Of Flexibility
🔗Get Started Here 👇</t>
  </si>
  <si>
    <t>https://tinyurl.com/StretchingExercise</t>
  </si>
  <si>
    <t>stretchingguru</t>
  </si>
  <si>
    <t>Stretching | Mobility</t>
  </si>
  <si>
    <t>🧨 | Improve Health With Regular Stretching
⬇️ | Click Here To Relieve Back Pain Immediately</t>
  </si>
  <si>
    <t>https://spinecrackerr.com/products/neck-shoulder-massager-with-heat</t>
  </si>
  <si>
    <t>stretchingtina</t>
  </si>
  <si>
    <t>🇺🇸NYC | FIT MODEL | CURVES, REELS, ACTION</t>
  </si>
  <si>
    <t>Tina💫
life in Thailand and stretching /gym - (day 65)
•𝐀𝐩𝐩𝐥𝐢𝐜𝐚𝐭𝐢𝐨𝐧𝐬 𝐨𝐩𝐞𝐧 💍
📍I adore Los Angeles, New York 
𝗠𝗬 𝗕𝗜𝗢👇🏼</t>
  </si>
  <si>
    <t>https://t.me/tina_stretching</t>
  </si>
  <si>
    <t>stretchitapp</t>
  </si>
  <si>
    <t>STRETCHIT Stretching Mobility</t>
  </si>
  <si>
    <t>• Flexibility workouts
• Mobility training
• Feel-good stretches
Join over a million users worldwide</t>
  </si>
  <si>
    <t>https://taplink.cc/stretchitapp</t>
  </si>
  <si>
    <t>the.flexibility.guy</t>
  </si>
  <si>
    <t>Coach Elia - Stretching &amp; Handstand</t>
  </si>
  <si>
    <t>Daily Flexibility 🧘‍♂️ Handstand 🤸‍♂️ and Calisthenics Videos. 
⬇️ My App, Books and Coaching 📖 Available Here ⬇️</t>
  </si>
  <si>
    <t>http://zaap.bio/theflexibilityguy</t>
  </si>
  <si>
    <t>topstretching</t>
  </si>
  <si>
    <t>🔝 STRETCHING FUNCTIONAL BREATHWORK  MOVEMENT</t>
  </si>
  <si>
    <t>ТЯНЕМ ВВЕРХ — STRETCH YOUR LIMITS 
studios in Zurich | Bali | Abu-Dhabi | Dubai | Moscow | Minsk 
онлайн клуб с топ тренерами</t>
  </si>
  <si>
    <t>http://topstretching.com</t>
  </si>
  <si>
    <t>tv.stretching</t>
  </si>
  <si>
    <t>РАСТЯЖКА STRETCHING PILATES VLADIKAVKAZ</t>
  </si>
  <si>
    <t>Позволь себе здоровое и красивое тело🤍
▫️1400+ довольных девушек 
▫️растяжка/pilates/ЗДОРОВАЯ СПИНА
▫️тренер, о котором говорят и рекомендуют</t>
  </si>
  <si>
    <t>zaddymassage</t>
  </si>
  <si>
    <t>𝐀𝐃𝐎𝐍𝐈𝐒  | MASSAGE &amp; RELAXATION STRETCHING</t>
  </si>
  <si>
    <t>ACTOR | HOST 
🎙️Dm to be interviewed on @zaddyinterviews 
▫️Backup @zaddymassage_x 
📍Detroit🛫Htx | #𝐛𝐢𝐥𝐢𝐧𝐠𝐮𝐚𝐥 
⤵️ Free massage giveaway</t>
  </si>
  <si>
    <t>https://calendly.com/zaddymassage/25min?month=2024-06</t>
  </si>
  <si>
    <t>803.studio</t>
  </si>
  <si>
    <t>são paulo, brazil
contact 🧷 contatomajutrindade@outlook.com
👩🏻‍💻 @majutrindade</t>
  </si>
  <si>
    <t>https://curso.majutrindade.com/?utm_source=instagram&amp;utm_medium=bio&amp;fbclid=PAZXh0bgNhZW0CMTEAAaaykzwx_tsvBDKwsSPPDjgKUGYCoFhOC0OEClhl7dTZx9q2MSJiMhDP6PM_aem_ko-lfGCDtqJ-eCBhnRBvkw</t>
  </si>
  <si>
    <t>aym.studio</t>
  </si>
  <si>
    <t>AYM</t>
  </si>
  <si>
    <t>Clothing that empowers those who wear it and those who make it ✨ 
Made in the UK. Winner of the Kings Award.
As seen in Vogue, Stylist, The Times.</t>
  </si>
  <si>
    <t>https://www.aym-studio.com/</t>
  </si>
  <si>
    <t>Studio</t>
  </si>
  <si>
    <t>Level up your skills with the world’s best online classes across music, art, baking, dancing, and more. Trusted by 1M+ learners</t>
  </si>
  <si>
    <t>https://studio.com</t>
  </si>
  <si>
    <t>s.studybee</t>
  </si>
  <si>
    <t>Study tips | Daily motivation | Studygram</t>
  </si>
  <si>
    <t>✨| 𝐬𝐭𝐮𝐝𝐲, 𝐩𝐫𝐨𝐝𝐮𝐜𝐭𝐢𝐯𝐢𝐭𝐲, 𝐭𝐞𝐜𝐡
📕| 𝐁𝐞𝐜𝐨𝐦𝐞 𝐚 𝐬𝐭𝐫𝐚𝐢𝐠𝐡𝐭 𝐀+ 𝐬𝐭𝐮𝐝𝐞𝐧𝐭
💌| beestudy32@gmail.com</t>
  </si>
  <si>
    <t>https://linktr.ee/s.studybee</t>
  </si>
  <si>
    <t>study_with_me_0000</t>
  </si>
  <si>
    <t>je suis ambitieuse 🫧🍃
لندرس معا !! السنة الثالثة إعدادي بإذن الله 🦋🍀
 اولى باك🦋🍀
3ac 1bac🦋🍀
DM for collaboration 📩
#3ac #التالتة_إعدادي</t>
  </si>
  <si>
    <t>studywith.me_22</t>
  </si>
  <si>
    <t>𝑆𝑡𝑢𝑑𝑦 𝑤𝑖𝑡ℎ 𝑚𝑒 ✨🤍</t>
  </si>
  <si>
    <t>“𝐹𝑟𝑜𝑚 𝐷𝑟𝑒𝑎𝑚 𝑡𝑜 𝐴𝑐ℎ𝑖𝑒𝑣𝑒𝑚𝑒𝑛𝑡 ✨| 𝐽𝑜𝑖𝑛 𝑀𝑦 𝐽𝑜𝑢𝑟𝑛𝑒𝑦!”</t>
  </si>
  <si>
    <t>study_with_me920</t>
  </si>
  <si>
    <t>Zerarga Douaa💗</t>
  </si>
  <si>
    <t>📍Nanotech student (2/5)🚀🔭
📍Bac2024 :18.20📚 (maths) 
📍Bem2021:18.30📖
" وأن ليس للانسان الا ماسعى وأن سعيه سوف يُرى "</t>
  </si>
  <si>
    <t>study.with.me_a</t>
  </si>
  <si>
    <t>study with me 📖🔋</t>
  </si>
  <si>
    <t>Student📚
ممنوع أخذ فيديوهاتي 👍
Success starts with a plan📚 
كلما تعبت،تذكر هدفك📖
conseils+motivation 🍃
📚change ta vie, une habitude à la fois🔋</t>
  </si>
  <si>
    <t>studywithme_bac</t>
  </si>
  <si>
    <t>MenZzero bdarija /Orientation 📚</t>
  </si>
  <si>
    <t>📕|محتوى تعليمي %100
🧠|  النصائح و الإرشادات
📖 | الدراسة داخل المغرب 🇲🇦
🚨|  كل مستجدات
📩 | ayoub.disgner@gmail.com</t>
  </si>
  <si>
    <t>https://www.facebook.com/bdarija1M</t>
  </si>
  <si>
    <t>study_with_me_s_</t>
  </si>
  <si>
    <t>motivation || positivity || hope 
واحلامنا التي تتمناها قلوبنا 
ياللّٰه ولم تڪن من نصيبنا عوضنا
عنها ڪل خير وأرنا عجائب قدرتك
 الخاص لنساء فقط</t>
  </si>
  <si>
    <t>https://t.me/study_with_mee_s</t>
  </si>
  <si>
    <t>og__success</t>
  </si>
  <si>
    <t>successaddictives</t>
  </si>
  <si>
    <t>Success Addictives</t>
  </si>
  <si>
    <t>World’s #1 𝐌𝐨𝐭𝐢𝐯𝐚𝐭𝐢𝐨𝐧 &amp; Self Development Page!
📧 : contact@successaddictives.com</t>
  </si>
  <si>
    <t>successcodes</t>
  </si>
  <si>
    <t>Business | Motivation | Entrepreneurship</t>
  </si>
  <si>
    <t>🧠• Self-Improvement &amp; Entrepreneur Network 
🚀• Insights on Health, Wealth &amp; Business 
Contact 📩 successcodesmedia@gmail.com</t>
  </si>
  <si>
    <t>successes</t>
  </si>
  <si>
    <t>◂ ME 👉@SpencerTSilva
◂ #Goal - To Inspire #2 million
Mentor, Inspiration, Mindset
📍 Silicon Valley, Ca</t>
  </si>
  <si>
    <t>successgoat</t>
  </si>
  <si>
    <t>Success Goat</t>
  </si>
  <si>
    <t>dmv 📍
Success Isn’t For Everyone</t>
  </si>
  <si>
    <t>http://successgoat.co</t>
  </si>
  <si>
    <t>successjuice</t>
  </si>
  <si>
    <t>Success Juice | Positivity | Motivation</t>
  </si>
  <si>
    <t>☀️ | We Kickstart Your Day—Every Day
🚀 | Daily Motivation—Freshly Squeezed
☕️ | Your Morning Cup of Mental Coffee
🫵 | Join Us—Spread the Positivity</t>
  </si>
  <si>
    <t>https://www.facebook.com/share/1AmacS8t6g/</t>
  </si>
  <si>
    <t>successowner</t>
  </si>
  <si>
    <t>Mindset | Success &amp; Business</t>
  </si>
  <si>
    <t>The #1 Page For Self Development And Business 
➟ Helping Entrepreneurs Succeed
➟ Daily Knowledge &amp; Growth Tips
➟ Follow Us To Win In Life</t>
  </si>
  <si>
    <t>successprofessional</t>
  </si>
  <si>
    <t>Success Professional</t>
  </si>
  <si>
    <t>🏷 - No Bluff, No Jargon
📚 - Just The Most Professional Contents 
 🏆- Entrepreneurship, Mindset and Self-Care
📢 - DM for Paid Promotions</t>
  </si>
  <si>
    <t>successskill</t>
  </si>
  <si>
    <t>Success Skill</t>
  </si>
  <si>
    <t>Where ambition meets execution.
Partnerships: info@successskill.co</t>
  </si>
  <si>
    <t>http://www.successskill.co/subscribe</t>
  </si>
  <si>
    <t>success_spoon</t>
  </si>
  <si>
    <t>성공한스푼</t>
  </si>
  <si>
    <t>📚한달에 2000만 명 이상이 보는 채널
🔥자기계발, 동기부여, 성공 지혜
📈경제적 자유, 시간적 자유, 나다운 삶
💌출연신청, 협업 문의 DM 주세요</t>
  </si>
  <si>
    <t>https://litt.ly/success_spoon</t>
  </si>
  <si>
    <t>success__tips</t>
  </si>
  <si>
    <t>Business | Entrepreneurship | Quotes</t>
  </si>
  <si>
    <t>🚀| Your #1 Source for Self-Development, Motivation &amp; Business 
⬇️| Follow to learn something new everyday</t>
  </si>
  <si>
    <t>successverse_</t>
  </si>
  <si>
    <t>Success | Millionaire | Mindset</t>
  </si>
  <si>
    <t>▪️ | Successful Words From the Universe
Click here to get the book 👇</t>
  </si>
  <si>
    <t>https://geni.us/BestSellers2025</t>
  </si>
  <si>
    <t>successwithattitudes</t>
  </si>
  <si>
    <t>Men’s News &amp; Views 🇺🇸</t>
  </si>
  <si>
    <t>Where Modern Manhood Meets Culture.
Accountability • Entertainment • Real Talk🎯
Back up → Follow @societyofmales
Dm us for business inquiry!</t>
  </si>
  <si>
    <t>the.success.club</t>
  </si>
  <si>
    <t>Positive &amp; Motivating Quotes</t>
  </si>
  <si>
    <t>🚀Want to promote your brand / offer across a 500M+ network?
-
DM ‘GROW’ for more info!
-
Apply to work with us👇🏼</t>
  </si>
  <si>
    <t>https://calendar.app.google/45ZMNmsf5e6R8ZM9A</t>
  </si>
  <si>
    <t>versoilsuccesso.ita</t>
  </si>
  <si>
    <t>Verso il successo 🔥</t>
  </si>
  <si>
    <t>🚀 Il tuo viaggio verso il successo inizia qui
📈 Cresci con noi
👇 Seguici adesso</t>
  </si>
  <si>
    <t>sunrisefestivalpl</t>
  </si>
  <si>
    <t>Sunrise Festival</t>
  </si>
  <si>
    <t>🌅 The History of Sunrise Festival 2025 
🔗Kliknij poniższy link i obejrzyj👇</t>
  </si>
  <si>
    <t>https://youtu.be/xmgvdIE3blI</t>
  </si>
  <si>
    <t>sunriseon7</t>
  </si>
  <si>
    <t>Sunrise</t>
  </si>
  <si>
    <t>Official updates from Australia's most popular brekky show! Sunrise from 5.30am weekdays. Weekend Sunrise from 7am on @Channel7 and @7plus 👋🏻</t>
  </si>
  <si>
    <t>https://7news.com.au/sunrise/win/the-sunrise-cash-cow-is-back-c-17718039.amp</t>
  </si>
  <si>
    <t>sunriseonthereaping.pn</t>
  </si>
  <si>
    <t>The Hunger Games: Sunrise on the Reaping</t>
  </si>
  <si>
    <t>Updates + News for the THG prequel: Sunrise on the Reaping.
—Join us on November 20, 2026. #thehungergames</t>
  </si>
  <si>
    <t>sunrisersec</t>
  </si>
  <si>
    <t>Sunrisers Eastern Cape</t>
  </si>
  <si>
    <t>SA20 Champions - 2023, 2024🏆</t>
  </si>
  <si>
    <t>https://sunriserseasterncape.co/</t>
  </si>
  <si>
    <t>sunrise_searcher</t>
  </si>
  <si>
    <t>Toby Nicol</t>
  </si>
  <si>
    <t>Shark lover 🦈, whale spotter 🐋
Wildlife/ landscape 📸🐨🌄
@sienawards Award winner 2024 🚁🦈🐋</t>
  </si>
  <si>
    <t>sunrisesocial.philly</t>
  </si>
  <si>
    <t>Sunrise SociaL Philly</t>
  </si>
  <si>
    <t>📍 Fishtown | Cherry Hill 
⏰ Mon-Sun: 9a-4p 
☎️ 267-930-7724
💰Franchise Now!
📍 View Menu at #Linkinbio🔻</t>
  </si>
  <si>
    <t>https://ownasunrise.com/</t>
  </si>
  <si>
    <t>girlchill_sunset</t>
  </si>
  <si>
    <t>GirlChill</t>
  </si>
  <si>
    <t>▶Come to girlchill_sunset and relax after tired working days, after sad days,..✨😊</t>
  </si>
  <si>
    <t>mandalasunset</t>
  </si>
  <si>
    <t>Mandala Sunset</t>
  </si>
  <si>
    <t>1/11 &amp; 8/12💫
By @bohemian.group</t>
  </si>
  <si>
    <t>https://www.passline.com/eventos/mandala-dia-de-todos-los-santos</t>
  </si>
  <si>
    <t>shopsunsetpine</t>
  </si>
  <si>
    <t>sunset + pine</t>
  </si>
  <si>
    <t>Sustainable baby and kids boutique ✨Supporting brands that support our environment and communities. Wear the change you want to see.</t>
  </si>
  <si>
    <t>http://shopsunsetpine.com</t>
  </si>
  <si>
    <t>sunset 🌅</t>
  </si>
  <si>
    <t>🪄Sharing our moments of magic together.
👉Tag us to share your @sunset 🌅
💌Requests: message us.</t>
  </si>
  <si>
    <t>sunsetdjerba</t>
  </si>
  <si>
    <t>Sunset BeachBar</t>
  </si>
  <si>
    <t>Djerba's Legendary Beach Bar ����</t>
  </si>
  <si>
    <t>sunsetmag</t>
  </si>
  <si>
    <t>Sunset Magazine</t>
  </si>
  <si>
    <t>The Best in the West. 
Subscribe to our newsletters &amp; magazine below</t>
  </si>
  <si>
    <t>https://newsin.bio/sunsetmag</t>
  </si>
  <si>
    <t>sunsetmakeupofficial</t>
  </si>
  <si>
    <t>Sunset Makeup 🇵🇸</t>
  </si>
  <si>
    <t>Home of goth, SFX, and cosplay makeup
🏳️‍🌈 Non-binary Queer Owned</t>
  </si>
  <si>
    <t>https://sunsetmakeup.com/</t>
  </si>
  <si>
    <t>sunsetshutteruk</t>
  </si>
  <si>
    <t>Sunset Shutters</t>
  </si>
  <si>
    <t>Sunglasses &amp; eyewear shop  
Get stylish this summer with your Trusted Supplier Of sunglasses 😎
🇬🇧| London U.K 
⭐️| 5 Star Reviews 
⬇️| Shop now</t>
  </si>
  <si>
    <t>sunset.surfco</t>
  </si>
  <si>
    <t>SUNSET SURF</t>
  </si>
  <si>
    <t>Welcome to the Sunset Surf Family!
COASTAL EXPLORE HOODIE LAUNCHING SEPTEMBER 20TH 🌊🌲🚐</t>
  </si>
  <si>
    <t>http://sunsetsurfstore.com</t>
  </si>
  <si>
    <t>sunset_v__</t>
  </si>
  <si>
    <t>Valeria Montoya</t>
  </si>
  <si>
    <t>cdmx📍lifestyle 
my community: @circuitsavage_ 
🏎️&lt;3 &lt;3🐴
✨Digital business woman✨
Networker | inversionista 💻
Marketing I publicidad &lt;3
Collabs al dm.📮</t>
  </si>
  <si>
    <t>https://ff237.afun.mx?ch=2370292&amp;ic=202127032</t>
  </si>
  <si>
    <t>the.sunset.jarabacoa</t>
  </si>
  <si>
    <t>The Sunset Jarabacoa</t>
  </si>
  <si>
    <t>Un espacio de relajación en las montañas...
.
Mas Info x DM o 8498839993 (Whatsapp) #thesunsetjarabacoa</t>
  </si>
  <si>
    <t>http://www.thesunsetjarabacoa.com/</t>
  </si>
  <si>
    <t>redbullsurfing</t>
  </si>
  <si>
    <t>Red Bull Surfing 🏄‍♂️</t>
  </si>
  <si>
    <t>Watch the WSL Championship Tour on Red Bull TV 👇</t>
  </si>
  <si>
    <t>https://win.gs/WSLChampionshipTour</t>
  </si>
  <si>
    <t>surfingcow_</t>
  </si>
  <si>
    <t>Surfing Cow</t>
  </si>
  <si>
    <t>All natural skincare 
Documenting every step along the way</t>
  </si>
  <si>
    <t>https://surfingcowtallow.com/</t>
  </si>
  <si>
    <t>surfingfordaisy</t>
  </si>
  <si>
    <t>Surfing for Daisy</t>
  </si>
  <si>
    <t>🌼 Alt. Folk Rock
🌊 Asbury Park, NJ
OUR DEBUT ALBUM OUT NOW!⬇️</t>
  </si>
  <si>
    <t>https://www.surfingfordaisy.com/home</t>
  </si>
  <si>
    <t>surfingsecrets</t>
  </si>
  <si>
    <t>Surfing | Surf | Surfers</t>
  </si>
  <si>
    <t>🌊 surf&amp;skate🛹
🫶</t>
  </si>
  <si>
    <t>surfingunlimited</t>
  </si>
  <si>
    <t>Surfing Unlimited</t>
  </si>
  <si>
    <t>Explore the world of surfing with us!</t>
  </si>
  <si>
    <t>surfingwithnoz</t>
  </si>
  <si>
    <t>Noah Wallis</t>
  </si>
  <si>
    <t>⚡︎ S U R F E R ⚡︎
YouTube: Surfing With Noz (180k+ Subs) 
Business: surfingwithnoz@clickmgmt.com.au</t>
  </si>
  <si>
    <t>https://bio.site/surfingwithnoz</t>
  </si>
  <si>
    <t>surfistasiargao</t>
  </si>
  <si>
    <t>Siargao Surfing Lessons &amp; Surf Photography</t>
  </si>
  <si>
    <t>Rooms: @SurfistaVillaSiargao
Founded in 2012🤙🏾🌴 Professional surf lessons for beginners &amp; kids, &amp; water photography sessions please visit our website</t>
  </si>
  <si>
    <t>http://www.surfistatravels.com/</t>
  </si>
  <si>
    <t>thesurfingpig</t>
  </si>
  <si>
    <t>The Surfing Pig</t>
  </si>
  <si>
    <t>Waterfront Dining, Real Wood Smoked BBQ &amp; Local Seafood 🌊
📍North Wildwood, NJ</t>
  </si>
  <si>
    <t>http://www.thesurfingpig.com/</t>
  </si>
  <si>
    <t>fanfarelabel</t>
  </si>
  <si>
    <t>Sustainable Fashion House</t>
  </si>
  <si>
    <t>Rethink, Recreate, Remake, Relove 🌱
Now available @libertylondon 💜
Seen in Forbes, BBC, Grazia
Conscious, Circular Label
Worldwide Shipping ✉️</t>
  </si>
  <si>
    <t>https://linkin.bio/fanfarelabel</t>
  </si>
  <si>
    <t>sustainablebagsandfashion</t>
  </si>
  <si>
    <t>Sustainable Bags And Fashion</t>
  </si>
  <si>
    <t>𝐒𝐀𝐋𝐄𝐒 &amp; 𝐖𝐇𝐎𝐋𝐄𝐒𝐀𝐋𝐄 
♻️ Recycled Leather bags
♻️Recycled plastic sunglasses &amp; chains 
♻️Cotton &amp; recycled silk clothing ♻️Eco Jewellery 
Website⬇️</t>
  </si>
  <si>
    <t>http://www.sustainablebagsandfashion.com/</t>
  </si>
  <si>
    <t>sustainablefashionfriend</t>
  </si>
  <si>
    <t>Sustainable Fashion Friend</t>
  </si>
  <si>
    <t>🕵️‍♀️ Fashion brands lie, I fact-check
MSc Sustainable Biz 👩🏻‍💻
Schedule a meeting or audit ⬇️</t>
  </si>
  <si>
    <t>https://stan.store/Sustainablefashionfriend</t>
  </si>
  <si>
    <t>sustainablefashionstyle</t>
  </si>
  <si>
    <t>Heidi Kristensen</t>
  </si>
  <si>
    <t>HK Curated Style. Empowering women to dress with confidence!  Thrifting, sustainable, slow fashion w/ POSITIVITY! 🇨🇦🇳🇴🇩🇰
heidi@matildamediaagency.com</t>
  </si>
  <si>
    <t>https://checkout.honeylove.com/HEIDIKRISTENSEN</t>
  </si>
  <si>
    <t>sustainablefashionweek_uk</t>
  </si>
  <si>
    <t>Sustainable Fashion Week</t>
  </si>
  <si>
    <t>⚡️ Bringing the community together to change fashion from the bottom up.
✊ SFW 2025 // 27 Sep-5 Oct</t>
  </si>
  <si>
    <t>https://linktr.ee/sustainablefashionweek</t>
  </si>
  <si>
    <t>thesustainablefashionforum</t>
  </si>
  <si>
    <t>Sustainable Fashion Forum</t>
  </si>
  <si>
    <t>A media platform where nuanced conversations, community, and collaboration collide 💥 
We’re on Substack 👇🏾</t>
  </si>
  <si>
    <t>https://thesustainablefashionforum.substack.com</t>
  </si>
  <si>
    <t>banish.au</t>
  </si>
  <si>
    <t>Sustainable living tips, recycling and enviro education</t>
  </si>
  <si>
    <t>By @lottiedl 
🌏 Making sustainable living easy, for everyone. 
♻ Recycle tricky items with BRAD
🇦🇺 Aus made recycled products
🍃B Corp
📕 Book out now!</t>
  </si>
  <si>
    <t>https://linktr.ee/banish.au</t>
  </si>
  <si>
    <t>sambentley</t>
  </si>
  <si>
    <t>Sam | Sustainable Living</t>
  </si>
  <si>
    <t>☼ I make videos about good news for our planet you may not have heard about
⧇ sam@sambentley.co.uk
↓ Watch new YouTube video
♡ vegan
⌂ birmingham</t>
  </si>
  <si>
    <t>https://linktr.ee/sambentley</t>
  </si>
  <si>
    <t>_sustainable.living_</t>
  </si>
  <si>
    <t>Sustainable Living</t>
  </si>
  <si>
    <t>🌿Follow for easy changes you can make to live a more eco-friendly lifestyle!
🌿website now live!
📍ADL, Australia</t>
  </si>
  <si>
    <t>http://www.sustainableliving9284564.wordpress.com/</t>
  </si>
  <si>
    <t>sustainablelivingkw</t>
  </si>
  <si>
    <t>توفير حلول لمعيشة مستدامة 🌱
نشر الوعي البيئي♻️ 
🌱 Raising Environmental Awareness
♻️ Promoting Sustainable Living Solutions</t>
  </si>
  <si>
    <t>http://www.sustainablelivingkw.com</t>
  </si>
  <si>
    <t>8bitswimming</t>
  </si>
  <si>
    <t>8-Bit Swimming</t>
  </si>
  <si>
    <t>The up-and-coming swimming video game</t>
  </si>
  <si>
    <t>infantswimmingresource</t>
  </si>
  <si>
    <t>Infant Swimming Resource</t>
  </si>
  <si>
    <t>The official page for ISR: Infant Swimming Resource. The safest, most effective survival swimming lessons for children ages 6 months to 6 years.</t>
  </si>
  <si>
    <t>http://www.infantswim.com/</t>
  </si>
  <si>
    <t>sca_swimming</t>
  </si>
  <si>
    <t>Ассоциация тренеров по плаванию SCA</t>
  </si>
  <si>
    <t>Помогаем думать головой, а не🍑
🤓Вручили 3500+ сертификатов 
🌍Объединяем 30+ стран
Вступить в Ассоциацию 👇🏼</t>
  </si>
  <si>
    <t>http://sca-swimming.com/instagram</t>
  </si>
  <si>
    <t>Swimming</t>
  </si>
  <si>
    <t>All things @swimming</t>
  </si>
  <si>
    <t>swimming5381</t>
  </si>
  <si>
    <t>ハルカ@陸上女子部</t>
  </si>
  <si>
    <t>陸上女子と仲良くしてくれる人
フォローDMきてください！
毎日更新頑張ってます💪</t>
  </si>
  <si>
    <t>swimmingbrainrot</t>
  </si>
  <si>
    <t>Swimming Brain Rot</t>
  </si>
  <si>
    <t>#1 Trending Swim Meme Account
📬Business Inquiries: brainrotswimming@gmail.com</t>
  </si>
  <si>
    <t>https://swimmingbrainrot.com/products/swimming-brainrot-dome-swim-cap-breast-cancer-awareness-edition</t>
  </si>
  <si>
    <t>swimmingcanada</t>
  </si>
  <si>
    <t>Swimming Canada/Natation🇨🇦</t>
  </si>
  <si>
    <t>Official Instagram of Swimming Canada // Instagram officiel de Natation Canada</t>
  </si>
  <si>
    <t>https://www.swimming.ca/en/</t>
  </si>
  <si>
    <t>swimming_lianma</t>
  </si>
  <si>
    <t>我是那样拉轰的男人</t>
  </si>
  <si>
    <t>swimming___paul</t>
  </si>
  <si>
    <t>Swimming Paul</t>
  </si>
  <si>
    <t>Booking USA/ EU: swimmingpaulteam@unitedtalent.com
Booking AUS/ NZ: james@nicheproductions.com.au</t>
  </si>
  <si>
    <t>https://linktr.ee/swimmingpaul</t>
  </si>
  <si>
    <t>swimming_roo</t>
  </si>
  <si>
    <t>roo🐶</t>
  </si>
  <si>
    <t>🌠별에서 온 루🌟
재단법인 빛이나 @shiny90408</t>
  </si>
  <si>
    <t>http://www.shiny.or.kr</t>
  </si>
  <si>
    <t>swimmingworldmag</t>
  </si>
  <si>
    <t>Swimming World Magazine</t>
  </si>
  <si>
    <t>The World's Most Trusted Source For Aquatic News | Est. 1960 | H2Media | Recent news in bio
Website: SwimmingWorld.com</t>
  </si>
  <si>
    <t>https://www.swimmingworldmagazine.com/news/category/all</t>
  </si>
  <si>
    <t>swimtogether_pt</t>
  </si>
  <si>
    <t>SwimTogether Swimming Holidays</t>
  </si>
  <si>
    <t>🏊‍♂️ 1st Portuguese Swimming Holiday Company
🐬 1st OW Swim School in 🇵🇹
🏝️ Stunning Waters • Expert Guides
📣 TRIP CALENDAR 2026 🔜</t>
  </si>
  <si>
    <t>http://www.swim-together.com/swimming-holiday-trip-calendar</t>
  </si>
  <si>
    <t>usaswimming</t>
  </si>
  <si>
    <t>USA Swimming</t>
  </si>
  <si>
    <t>Official account of USA Swimming 🇺🇸🏊‍♀️🏊‍♂️</t>
  </si>
  <si>
    <t>https://linkin.bio/usaswimming</t>
  </si>
  <si>
    <t>sydfatty</t>
  </si>
  <si>
    <t>Real life, food, fitness, dog mom
📍 NYC | 🇨🇳🇵🇷
💌 mgmt@sydfatty.com</t>
  </si>
  <si>
    <t>https://youtube.com/@sydfatty?si=5oTsc0D0TNc9BMLt</t>
  </si>
  <si>
    <t>sydn4sty</t>
  </si>
  <si>
    <t>Sydney!</t>
  </si>
  <si>
    <t>Creative + Content @aboutfacebeauty ❣️</t>
  </si>
  <si>
    <t>https://www.tiktok.com/@sydn4st?_t=ZT-8xVbBYJyjGf&amp;_r=1</t>
  </si>
  <si>
    <t>sydneyseethal</t>
  </si>
  <si>
    <t>Syd</t>
  </si>
  <si>
    <t>Lords Child 
NYC 📍
Email for promo’s and enquiries</t>
  </si>
  <si>
    <t>https://linktr.ee/SydneySeethal</t>
  </si>
  <si>
    <t>learn_tabletennis</t>
  </si>
  <si>
    <t>Learn Table Tennis</t>
  </si>
  <si>
    <t>▶️If you want to improve in table tennis you are in the right place◀️
⬇️ Visit our YouTube channel for more ⬇️
Sponsors → support@learntabletennis.com</t>
  </si>
  <si>
    <t>https://youtube.com/@learn_tabletennis</t>
  </si>
  <si>
    <t>tabletennis__china</t>
  </si>
  <si>
    <t>🏓️tabletennis ❤️</t>
  </si>
  <si>
    <t>cr logo</t>
  </si>
  <si>
    <t>tabletenniseng</t>
  </si>
  <si>
    <t>Table Tennis England 🏓</t>
  </si>
  <si>
    <t>Play 🏓
Participate 🤝
Follow 📺 
#TableTennis 🏴󠁧󠁢󠁥󠁮󠁧󠁿</t>
  </si>
  <si>
    <t>http://linktr.ee/tabletennisengland</t>
  </si>
  <si>
    <t>celes.tattoo</t>
  </si>
  <si>
    <t>Celes | Tattoo Artist</t>
  </si>
  <si>
    <t>SEPT- Auckland 🇳🇿 Bookings closed
OCT- Christchurch 🇳🇿 Bookings closed
🏡🇸🇬 @inkandohm 𓐐𓎩  mid Nov &amp; Dec
Sponsored by: @starbritecolors</t>
  </si>
  <si>
    <t>danger_tattoo_art</t>
  </si>
  <si>
    <t>Los Angeles • Anaheim 🇺🇸✝️
📍Custom work • Books open
📲 Text to book: 9097700834 
Black &amp; grey | Fine line | Realism”
@tattoomayhemstudio</t>
  </si>
  <si>
    <t>_gabriele_pellerone</t>
  </si>
  <si>
    <t>TATTOO ART</t>
  </si>
  <si>
    <t>Fan page of @gabrielepellerone.
Tattoo Studio, Reggio Calabria:
📞 — 348 8200582.
Milano at @shaderland.tattoomi 
Reggio Calabria ☎️ — 329 8517643</t>
  </si>
  <si>
    <t>http://www.gabrielepellerone.com/</t>
  </si>
  <si>
    <t>gloria_tattoo_art</t>
  </si>
  <si>
    <t>Golara gholipour</t>
  </si>
  <si>
    <t>Lagos _ Benin 
🇳🇬🇹🇷🇨🇦🇩🇪 🇪🇸 
Minimum price 150$
VIP STUDIO 
Dm for booking 
🎻❄️🥃🪂🏸🌍🕊️🕌
God , work, family 
 #god ❤️</t>
  </si>
  <si>
    <t>hptattooart</t>
  </si>
  <si>
    <t>Ian pereira</t>
  </si>
  <si>
    <t>✒️ TATUADOR 
⏩ Divulgação&amp;parcerias⏪
✍️MG🇧🇷
✍️BA🇧🇷
✍️SP 🇧🇷
✍️Paris🇨🇵
✍️MT🇧🇷
✍️GO🇧🇷
⚽🏃🏾‍♂️
@hianzerabet reserva</t>
  </si>
  <si>
    <t>https://aa123.tv/?a=3dton0mu</t>
  </si>
  <si>
    <t>juniiortattooart</t>
  </si>
  <si>
    <t>Juniior Tattooart</t>
  </si>
  <si>
    <t>➕ de 50 🏆 JURADO 10🏆
OLD SCHOOL-NEO TRAD-PRETO E CINZA-FINE LINE
🇧🇷ESTÚDIO DE TATUAGEM E PIERCING 
RJ-Recreio- posto 12</t>
  </si>
  <si>
    <t>https://api.whatsapp.com/send?phone=5521991622748</t>
  </si>
  <si>
    <t>juninhoart.tattoo</t>
  </si>
  <si>
    <t>•𝔍𝔲𝔫𝔦𝔫𝔥𝔬 𝔞𝔯𝔱 𝔱𝔞𝔱𝔱𝔬𝔬</t>
  </si>
  <si>
    <t>•𝕯𝖊𝖎𝖝𝖊 𝖕𝖆𝖗𝖆 𝖙𝖗á𝖘 𝖔𝖖𝖚𝖊 𝖓ã𝖔 𝖙𝖊 𝖑𝖊𝖛𝖆 𝖕𝖗𝖆 𝖋𝖗𝖊𝖓𝖙𝖊! 💭
•𝕿𝖆𝖙𝖚𝖆𝖉𝖔𝖗 ✍
• 𝕊𝕠𝕣𝕠𝕔𝕒𝕓𝕒 - 𝕊ℙ
💍</t>
  </si>
  <si>
    <t>kellytattooartt</t>
  </si>
  <si>
    <t>ArtiVerse Tattoo e Piercing</t>
  </si>
  <si>
    <t>✨ Desde 2022                                                             📲(11)997002519
📍Studio Privado São José do Rio Preto SP 
📲 Agende pelo link 👇</t>
  </si>
  <si>
    <t>markdtattoo</t>
  </si>
  <si>
    <t>Sydney Tattoo Artists | MARKD</t>
  </si>
  <si>
    <t>🐍 SYDNEY’S MOST TRUSTED TATTOO STUDIO
🐍 BOOK YOUR NEXT TATTOO ⬇️
🐍 LN: 011227</t>
  </si>
  <si>
    <t>https://linktr.ee/markdtattoo</t>
  </si>
  <si>
    <t>tattoo_artist_magzine_</t>
  </si>
  <si>
    <t>‼️🇼 🇴 🇷 🇱 🇩    🇹 🇦 🇹 🇹 🇴 🇴 ‼️</t>
  </si>
  <si>
    <t>❇️𝙬𝙚𝙡𝙘𝙤𝙢𝙚 ❇️
⚕️ 𝙩𝙤 𝙩𝙝𝙚 𝙩𝙖𝙩𝙩𝙤𝙤 𝙥𝙧𝙤𝙢𝙤𝙩𝙞𝙤𝙣 📶
⚕️𝙩𝙖𝙩𝙩𝙤𝙤 🔅‼️𝙖𝙧𝙩 🎨‼️ 
⚕️𝙩𝙖𝙩𝙩𝙤𝙤 𝙖𝙧𝙩𝙞𝙨𝙩  🎎 𝙜𝙮𝙢🏋️ 
⚕️𝙞𝙣𝙠 𝙡𝙞𝙗𝙚𝙧𝙩𝙮🔏 𝙤𝙣𝙡𝙮𝙛𝙖𝙣𝙨  💦...
🇩🇪🇮🇹🇨🇭🇦🇺🇨🇦🇺🇸🇬🇧🇸🇪🇮🇳🇨🇷🇪🇸</t>
  </si>
  <si>
    <t>504inktattoos</t>
  </si>
  <si>
    <t>504 Ink Tattoos LLC</t>
  </si>
  <si>
    <t>Now Hiring Tattoo Artist!!  Use "Contact" button to schedule appointment!</t>
  </si>
  <si>
    <t>http://www.facebook.com/504inktattoo</t>
  </si>
  <si>
    <t>lumina_tattoo_studio</t>
  </si>
  <si>
    <t>LUMINA_TATTOO_STUDIO_BALI</t>
  </si>
  <si>
    <t>‼️transactions only to  “KADEK DWI APRIYANI
▪️Call/Whatapp +62 816-580-918
▪️walk-ins are welcomed
▪️BOOKINGS via WhatApp, DM &amp; MESSAGE FACEBOOK👇</t>
  </si>
  <si>
    <t>http://www.facebook.com/luminatattoostudio/</t>
  </si>
  <si>
    <t>stattoos</t>
  </si>
  <si>
    <t>small tattoos</t>
  </si>
  <si>
    <t>Your everyday tattoo inspiration 🖤
Tag us to get featured!
💌 for advertising &amp; business DM or info@stattoos.co.uk</t>
  </si>
  <si>
    <t>suckytattoos</t>
  </si>
  <si>
    <t>✞ 𝔖𝔲𝔠𝔨𝔶 𝔗𝔞𝔱𝔱𝔬𝔬𝔰 ✞</t>
  </si>
  <si>
    <t>Art Museum</t>
  </si>
  <si>
    <t>💉💉 Sucky tattoos are the best tattoos 💉💉
@suckypanther • @picassohomer
Remove your Sucky Tattoos with @removery!</t>
  </si>
  <si>
    <t>http://www.suckytattoos.com</t>
  </si>
  <si>
    <t>tappintatts</t>
  </si>
  <si>
    <t>TAPPIN’ TATTS I TATTOO SHOP</t>
  </si>
  <si>
    <t>✚ CAIRO | PRIVATE STUDIO ✚
Consultation / Appointment
↓ Click the link below ↓</t>
  </si>
  <si>
    <t>http://www.tappintatts.com/tattoo</t>
  </si>
  <si>
    <t>tattooinkspiration</t>
  </si>
  <si>
    <t>Tattoos</t>
  </si>
  <si>
    <t>Ink inspiration from around the world 🌍🖋️
By @10pmcurfew
📧 partnerships@10pmcurfew.com</t>
  </si>
  <si>
    <t>http://10pmcurfew.com</t>
  </si>
  <si>
    <t>tattoosbyprince</t>
  </si>
  <si>
    <t>InkLaflare🧿</t>
  </si>
  <si>
    <t>tattooselection</t>
  </si>
  <si>
    <t>TATTOOSELECTION</t>
  </si>
  <si>
    <t>MAGAZINE PAGE OF TATTOOS AND PEOPLE
📧 For all collaboration and business inquiries: tattooselection1@gmail.com
🖤 @tattooselection</t>
  </si>
  <si>
    <t>tattoosnob</t>
  </si>
  <si>
    <t>Tattoo Snob</t>
  </si>
  <si>
    <t>Tattoo Snob: (n) A person focusing on the high end of the last of the low-brow art forms.</t>
  </si>
  <si>
    <t>tattoos_of_inked</t>
  </si>
  <si>
    <t>▪️@inkedmag Affiliate
▪️More tattoo inspiration: @tattoos_of_inkedmag 
▪️Posting tattoos from world’s leading artists
▪️Send your own #tattoos via DM</t>
  </si>
  <si>
    <t>https://linkin.bio/tattoos_of_inked</t>
  </si>
  <si>
    <t>tattoos_of_inkedmag</t>
  </si>
  <si>
    <t>▪️@inkedmag</t>
  </si>
  <si>
    <t>https://linkin.bio/tattoos_of_inkedmag</t>
  </si>
  <si>
    <t>tatuaggi_</t>
  </si>
  <si>
    <t>ITALIAN TATTOOS PAGE 💉🇮🇹</t>
  </si>
  <si>
    <t>Tattoo inspiration 🌷
💌 tatuaggi_16@hotmail.com
#Tatuaggi_®
Owner: @chiarabuccellati</t>
  </si>
  <si>
    <t>tatuajespics</t>
  </si>
  <si>
    <t>☆ TATUAJES - TATTOOS ☆</t>
  </si>
  <si>
    <t>Somos el CATALOGO DE TATUAJES más grande de habla hispana!🔥
👇👇👇
@tatuajespicswomen
@tatuajespicsmen</t>
  </si>
  <si>
    <t>techplusgadgets</t>
  </si>
  <si>
    <t>Naman Deshmukh</t>
  </si>
  <si>
    <t>🏆 National Creator Awardee 
🥇Forbes Top 100 Creators 23 &amp; 24✨
🔥Powered by: @socialsauce.in 
📩 For Collab: naman@socialsauce.in
🔗 Broadcast Link ⬇️</t>
  </si>
  <si>
    <t>https://bio.techplusgadgets.com/product-links/</t>
  </si>
  <si>
    <t>trendytechreview</t>
  </si>
  <si>
    <t>Trendy Tech Review</t>
  </si>
  <si>
    <t>🖥 | Gaming | Tech Enthusiast
🎧 | Gadgets | Product Reviews
✉️ | DM/Email for Business Enquiries
𝗖𝗵𝗲𝗰𝗸 𝗼𝘂𝘁 𝗔𝗹𝗹 𝗣𝗿𝗼𝗱𝘂𝗰𝘁 &amp; 𝗚𝗮𝗱𝗴𝗲𝘁𝘀 ↓</t>
  </si>
  <si>
    <t>wa_reviews</t>
  </si>
  <si>
    <t>Tech Unboxing &amp; Reviews</t>
  </si>
  <si>
    <t>🌍Page for Shopping Lovers all over the world.
|😍| Daily Tech News &amp; Leaks
|📦| Gadgets #unboxing &amp; #review
|⬇️| Business inquiries - use link</t>
  </si>
  <si>
    <t>https://rovaxz.com/products/nasal-stick-4-pcs-nasal-stick-4-pcs-nasal-stick-4-pcs-hot-product-low-stock-nasal-stick-4-pcs</t>
  </si>
  <si>
    <t>metal_thrift_</t>
  </si>
  <si>
    <t>METAL THRIFT SHOP ☠️</t>
  </si>
  <si>
    <t>⚜️Shop via Website or DM us to order 🛒
🌎WORLDWIDE SHIPPING
"Can’t pay with PayPal? DM us for more payment options 🖤"</t>
  </si>
  <si>
    <t>https://metal1111.com</t>
  </si>
  <si>
    <t>ri.thrift_</t>
  </si>
  <si>
    <t>Ri Thrift</t>
  </si>
  <si>
    <t>Backup account : @ri.thrift_02 
Handpicked // Thrifted goods  🌱
📍Deliver across India</t>
  </si>
  <si>
    <t>thrift2death</t>
  </si>
  <si>
    <t>Thrift2Death</t>
  </si>
  <si>
    <t>Vintage • Y2K • Accessories • Jewelry 
An affordable curated market experience based in NYC &amp; growing to more communities.
NEXT UP: Sept 20th📍RI 🛣️</t>
  </si>
  <si>
    <t>https://linktr.ee/thrift2death</t>
  </si>
  <si>
    <t>thrift_con</t>
  </si>
  <si>
    <t>ThriftCon</t>
  </si>
  <si>
    <t>THE #1 VTG CLOTHING + COLLECTIBLE CONVENTION IN THE WORLD • BUY/SELL/TRADE • NEXT 🛑: SEATTLE 09/06</t>
  </si>
  <si>
    <t>https://linkin.bio/thrift_con</t>
  </si>
  <si>
    <t>thrifting</t>
  </si>
  <si>
    <t>Thrifting Finds</t>
  </si>
  <si>
    <t>🎈Official Account of @thrifting 
🕵️‍♂️Thrifting &amp; Streetwear Finds 
🐓 A @premium Network Brand</t>
  </si>
  <si>
    <t>thrift_keeper.ph</t>
  </si>
  <si>
    <t>Thrift_keeper.ph</t>
  </si>
  <si>
    <t>Handmade &amp; Handpicked pieces 🎀
-
♡ Worldwide shipping from 🇵🇭
♡ Cebu based 
♡ Back up acc @thriftk.backup
♡ Off comments = SOLD</t>
  </si>
  <si>
    <t>thriftntell</t>
  </si>
  <si>
    <t>Beyonce of Thrift</t>
  </si>
  <si>
    <t>Miss me?  @ieshathegr8
✉️ collab@ieshathegr8.com</t>
  </si>
  <si>
    <t>https://youtu.be/zMigB_fZfok?si=SUwUEH9Tsm8wTVOB</t>
  </si>
  <si>
    <t>educationstartsathome</t>
  </si>
  <si>
    <t>Baby Play Ideas - Infant &amp; Toddler Activities</t>
  </si>
  <si>
    <t>✨Helping you play with your child
🏠 Turning what you have at home into learning 
🩷 Join our community of 20k + happy mamas
👇🏻 Shop endless play ideas</t>
  </si>
  <si>
    <t>http://www.educationstartsathome.com</t>
  </si>
  <si>
    <t>littleoneslearn</t>
  </si>
  <si>
    <t>Molly | Toddler and Preschool Activities</t>
  </si>
  <si>
    <t>🖍 Easy learning and crafting ideas for your toddlers, preschoolers &amp; kindergarten kids
Learn and Play at Home 🏡 
🖨Printable Shop @littleonesprintables</t>
  </si>
  <si>
    <t>https://www.littleonesprintables.com</t>
  </si>
  <si>
    <t>smallstepstoddlers</t>
  </si>
  <si>
    <t>Small Steps Toddlers - Minimal Effort, Minimum Mess Activities</t>
  </si>
  <si>
    <t>I’m Alice 👋 Helping you take small steps toward meaningful play
And making the adjustment from 1 to 2 kids feel lighter. 
3000+ parents supported👇</t>
  </si>
  <si>
    <t>http://stan.store/smallstepstoddlers</t>
  </si>
  <si>
    <t>sofiedavisdays</t>
  </si>
  <si>
    <t>Toddler Activities</t>
  </si>
  <si>
    <t>Sofie | Everyday Motherhood 
👶🏻baby play + toddler activities
👩‍👧‍👧teacher turned stay at home mom
👇🏼Grab all the links here</t>
  </si>
  <si>
    <t>https://linktr.ee/whereiautabe</t>
  </si>
  <si>
    <t>toddler_activities</t>
  </si>
  <si>
    <t>This IG is designated to share ideas for our Toddlers!
(English is preferable) #momsoninstagram #toddleractivities #diytoddlertoys</t>
  </si>
  <si>
    <t>toddleractivitymom</t>
  </si>
  <si>
    <t>DIY toddler activities at home</t>
  </si>
  <si>
    <t>Mom to miss D
🌈Child- led play based learning
👧🏻diy cardboard activities 
🖐easy learning ideas 
🌻Nature play lover
👩🏻‍🎨Kids art and crafts</t>
  </si>
  <si>
    <t>withalbinaa</t>
  </si>
  <si>
    <t>Toddler activities | Amazon finds | Mom hacks | Recipes</t>
  </si>
  <si>
    <t>𝑨𝒍𝒃𝒊𝒏𝒂 | 𝑹𝒂𝒊𝒔𝒊𝒏𝒈 𝒂 𝒔𝒄𝒓𝒆𝒆𝒏-𝒇𝒓𝒆𝒆 𝒕𝒐𝒅𝒅𝒍𝒆𝒓, 𝒘𝒉𝒐 𝒄𝒐𝒐𝒌𝒔👩🏼‍🍳
📍 North Carolina, USA
📩 albinacreator@gmail.com</t>
  </si>
  <si>
    <t>https://www.amazon.com/shop/withalbinaa?ref_=cm_sw_r_apin_aipsfshop_7QAEV4B84X7RSVEDVNTX&amp;language=en-US</t>
  </si>
  <si>
    <t>theoriginaltokyodrift</t>
  </si>
  <si>
    <t>YANIQUE.L.H</t>
  </si>
  <si>
    <t>JUST A ISLANDER 
ARUBA | MIAMI📍
@bigpandaproduction11 
@p.ornwhispers</t>
  </si>
  <si>
    <t>https://tlink.me/tokyodriftcityofficial</t>
  </si>
  <si>
    <t>Tokyo - 東京</t>
  </si>
  <si>
    <t>We are passionate about promoting and celebrating Tokyo the world over - Account managed by Tokyo.us</t>
  </si>
  <si>
    <t>http://tokyo.us/</t>
  </si>
  <si>
    <t>tokyo.explores</t>
  </si>
  <si>
    <t>Tokyo, Japan🇯🇵 东京 Travel | Hotels | Food | Tips 🗼</t>
  </si>
  <si>
    <t>🏙️ Discover the best of Tokyo 
💙 The leading Tokyo community by @hotel</t>
  </si>
  <si>
    <t>https://skyscanner.pxf.io/TokyoToHawaii</t>
  </si>
  <si>
    <t>tokyoghoul</t>
  </si>
  <si>
    <t>【ᴛᴏᴋʏᴏɢʜᴏᴜʟ】</t>
  </si>
  <si>
    <t>Daily Dose of #TokyoGhoul content! 🖤
DM for collaborations &amp; inquiries 📩</t>
  </si>
  <si>
    <t>tokyo.oep</t>
  </si>
  <si>
    <t>41k😶‍🌫️
fan | @cristiano
jose mourinho 🧠 in editing 🗿👍
HALA MADRID 🤍🤍</t>
  </si>
  <si>
    <t>tokyorim</t>
  </si>
  <si>
    <t>🚙ДОСТАВКА🚗 TokyoRim" г.Черкесск"</t>
  </si>
  <si>
    <t>ПИЦЦА l РОЛЛЫ l @tokyorome09 
🍕 доставка еды 
🕒 с 11:00 до 23:00
☎️ 8 - 928-388-55-65
🚏 Адрес: ул. Октябрьская, 380
 Джегута ☎️ 89286586858  🥗 меню 👇🏻</t>
  </si>
  <si>
    <t>http://tokyorim.ru/</t>
  </si>
  <si>
    <t>tokyo_sims_</t>
  </si>
  <si>
    <t>Tokyo Sims</t>
  </si>
  <si>
    <t>↓ Inquiries / Discord / twitch📹 ↓</t>
  </si>
  <si>
    <t>https://discord.gg/tokyosims</t>
  </si>
  <si>
    <t>tokyostylez</t>
  </si>
  <si>
    <t>Tokyo Stylez</t>
  </si>
  <si>
    <t>Mia da baddest 
 🌴Miami 🌴
Celebrity Hairstylist  
@FashionNova Ambassador 
@Got2busa Ambassador
@Wetv show “Wiggin out with Tokyo Stylez”</t>
  </si>
  <si>
    <t>https://linktr.ee/Miadabaddest.com</t>
  </si>
  <si>
    <t>tokyo_tatami</t>
  </si>
  <si>
    <t>Zoya Verzhbitskaya</t>
  </si>
  <si>
    <t>🎌Зоя-сан | Жизнь в Токио вот уже 17 лет 
Тур  @tatami_traveling
PR    @tatami.pr
Косметика @tokyo_beautie
Кимоно @kimono_story</t>
  </si>
  <si>
    <t>https://tokyo-story.ru/na_tatami</t>
  </si>
  <si>
    <t>tokyo__vanity</t>
  </si>
  <si>
    <t>VANITY MAFIA</t>
  </si>
  <si>
    <t>Bookings &amp; inquiries: bookingtokyoxvanity@gmail.com
Mngmnt: @thesystem_ceolee @thesystemjefe</t>
  </si>
  <si>
    <t>https://youtu.be/jTup4HX8U_8</t>
  </si>
  <si>
    <t>wtaps_tokyo</t>
  </si>
  <si>
    <t>WTAPS</t>
  </si>
  <si>
    <t>©︎WTAPS
twitter: @wtaps_tokyo</t>
  </si>
  <si>
    <t>http://www.wtaps.com/</t>
  </si>
  <si>
    <t>arthur.quantic</t>
  </si>
  <si>
    <t>Robot Trading | Passif Win</t>
  </si>
  <si>
    <t>👽 Algorithmic Trader 
+ 100K$ sur l’année 2024</t>
  </si>
  <si>
    <t>https://t.me/+Wdor3r0xHLljMTdk</t>
  </si>
  <si>
    <t>daytrading</t>
  </si>
  <si>
    <t>Day Trading</t>
  </si>
  <si>
    <t>Leading news source for all things crypto, stocks, technology, and business.
DM “partner” for business inquiries
Community of 20,000+ traders ⬇️</t>
  </si>
  <si>
    <t>https://t.me/daytradingIG</t>
  </si>
  <si>
    <t>d.shwchk</t>
  </si>
  <si>
    <t>Trading Porn</t>
  </si>
  <si>
    <t>CEO Fundead Masters prop trading comp.
@fundead.masters 
@masters.strt</t>
  </si>
  <si>
    <t>http://fundeadmasters.com</t>
  </si>
  <si>
    <t>emwtrading</t>
  </si>
  <si>
    <t>EMWTrading</t>
  </si>
  <si>
    <t>East Meets West Trading Co., a mom and daughter owned online boutique, striving to bring you the best.</t>
  </si>
  <si>
    <t>http://www.emwtrading.com</t>
  </si>
  <si>
    <t>gpsotrader</t>
  </si>
  <si>
    <t>Jorge López | Trading en Forex</t>
  </si>
  <si>
    <t>🚀 Acceso abierto a Psicotrading Academy
⏳ Entra ahora mientras duren las plazas disponibles.
⬇️ Agenda tu llamada de acceso aquí</t>
  </si>
  <si>
    <t>https://api.leadconnectorhq.com/widget/booking/7YAO9gioTZCXzKdHnSIG</t>
  </si>
  <si>
    <t>laucalderon22</t>
  </si>
  <si>
    <t>Laura Calderon🤍 / TRADING / NEGOCIOS DIGITALES /</t>
  </si>
  <si>
    <t>📈Aprende Trading con mi MÉTODO RISE UP
👩🏼‍💻+500 personas guiadas en sus inicios en el Trading desde hace +3 años. 
👇🏻DALE CLIC Y TE ENSEÑO COMO</t>
  </si>
  <si>
    <t>https://wa.link/gzf12s</t>
  </si>
  <si>
    <t>levante_trading</t>
  </si>
  <si>
    <t>Levante Trading</t>
  </si>
  <si>
    <t>Building Materials</t>
  </si>
  <si>
    <t>‎ بورسلان وحمامات فاخرة من الوكيل الحصري لشركة روكا و ارماني روكا الإسبانية
‎طريق سلوى
Sat - Thur
9am - 3pm &amp; 8pm - 12am
Fri: 8pm - 12am</t>
  </si>
  <si>
    <t>https://maps.app.goo.gl/KZr6NJm1yZsgUk2e9</t>
  </si>
  <si>
    <t>officialpbtrading</t>
  </si>
  <si>
    <t>PB TRADING</t>
  </si>
  <si>
    <t>Master My Trading Model 👇🏼</t>
  </si>
  <si>
    <t>http://pbtrading.io/join-ig</t>
  </si>
  <si>
    <t>relm_27</t>
  </si>
  <si>
    <t>Reda El Maroufi | Automated Trading Expert</t>
  </si>
  <si>
    <t>👨🏽‍💻 I invest &amp; grow your capital for you
📈 Automated investing
💰 No experience needed, we handle everything
🌍 25,000+ clients trust our system</t>
  </si>
  <si>
    <t>http://relm27.com</t>
  </si>
  <si>
    <t>the.trading.house.show</t>
  </si>
  <si>
    <t>The Trading House Show</t>
  </si>
  <si>
    <t>🌐 O primeiro Crypto Trading Reality Show em Portugal
📈 Acompanha todas as nossas novidades no YouTube</t>
  </si>
  <si>
    <t>https://www.youtube.com/@OneTechWizard</t>
  </si>
  <si>
    <t>Kieren hamilton</t>
  </si>
  <si>
    <t>🎥 Rich kids go homeless channel 5 
How to make £20k+ per month reselling collectibles! 
FREE TRAINING BELOW  👇</t>
  </si>
  <si>
    <t>https://event.webinarjam.com/channel/keztheguru</t>
  </si>
  <si>
    <t>tradingelder</t>
  </si>
  <si>
    <t>Elder Santis</t>
  </si>
  <si>
    <t>Day Trading For 10 Years✝️
Everything I Know👇</t>
  </si>
  <si>
    <t>https://m.youtube.com/@eldersantis</t>
  </si>
  <si>
    <t>_trading.motivation_</t>
  </si>
  <si>
    <t>Trading Motivation</t>
  </si>
  <si>
    <t>🧠 | Where Traders Meet 🫂
📈 | Dm us to be Featured/Business✨
📩 | Building Traders for the future ↓</t>
  </si>
  <si>
    <t>https://beacons.ai/tradingmotivation</t>
  </si>
  <si>
    <t>trading_raj01</t>
  </si>
  <si>
    <t>Basant raj</t>
  </si>
  <si>
    <t>-Mahadev ❤️
-Day trader 📈. 
Learning : @basant_raj_01 
Building : @the.tradegurukul
Email 📧 : Basant@brandzup.media</t>
  </si>
  <si>
    <t>https://linktr.ee/Trading_raj</t>
  </si>
  <si>
    <t>tradingview</t>
  </si>
  <si>
    <t>TradingView</t>
  </si>
  <si>
    <t>Where the world charts, trades, and chats about markets.</t>
  </si>
  <si>
    <t>http://tradingview.com/black-friday</t>
  </si>
  <si>
    <t>zql_trading</t>
  </si>
  <si>
    <t>ZQL_trading</t>
  </si>
  <si>
    <t>اعمال رخام و حديد 
المنطقة الصناعية في بروة..... .هاتف  33372178
(اللهم اكْفِنِي بِحَلَالِكَ عن حَرَامِكَ وَأَغْنِنِي بِفَضْلِكَ عَمَّنْ سِوَاكَ)</t>
  </si>
  <si>
    <t>nesin_travel_</t>
  </si>
  <si>
    <t>Авторские туры по России и миру | визы</t>
  </si>
  <si>
    <t>Travel-проект, исполняющий мечты
5 лет создаем вдохновляющие маршруты по всему миру🌎
Выйти за рамки привычного и выбрать тур можно на сайте↓</t>
  </si>
  <si>
    <t>https://nesin-travel.com/link</t>
  </si>
  <si>
    <t>panicframetravel</t>
  </si>
  <si>
    <t>Panic Frame &amp; Travel</t>
  </si>
  <si>
    <t>Panic Frame &amp; Travel 🌍| Worldwide Adventures 🗺 Your immersive travel partner 🧭Choose your unique adventure 🌋🏞️</t>
  </si>
  <si>
    <t>http://www.panicframe.com/</t>
  </si>
  <si>
    <t>the_travel_expert</t>
  </si>
  <si>
    <t>Sarah Slattery - The Travel Expert</t>
  </si>
  <si>
    <t>🌎Owner - The Travel Expert 
🏆Best Online Travel Platform
🎙️Talks Travel - TodayFM +
✈️Helping You Travel - Best Guides, Tips &amp; Deals
⬇️Find Them Here</t>
  </si>
  <si>
    <t>https://www.thetravelexpert.ie</t>
  </si>
  <si>
    <t>Travel by Travly ™</t>
  </si>
  <si>
    <t>🌎 Find &amp; Book Hotels By Video
💬 Meet With Other Travelers
📲 Unbeatable hotel rates ⬋</t>
  </si>
  <si>
    <t>https://www.travly.com/app</t>
  </si>
  <si>
    <t>traveler</t>
  </si>
  <si>
    <t>Traveler</t>
  </si>
  <si>
    <t>𖤥 Discover extraordinary places and unforgettable stays.
✉︎ Inquiries: info@traveler.no</t>
  </si>
  <si>
    <t>travel_.nirvana_</t>
  </si>
  <si>
    <t>AI PROMOTIONS 🤖</t>
  </si>
  <si>
    <t>@golfpromo.ig_ ᴡᴏʀʟᴅ's ᴍᴏsᴛ ᴘʀᴇsᴛɪɢɪᴏᴜs ᴀɴᴅ ʟᴀʀɢᴇsᴛ ɴᴇᴛᴡᴏʀᴋ
ᴅᴍ 📩ᴛᴏ ᴊᴏɪɴ 
📶ᴍᴏᴅᴇʟs 📶ʙʟᴀᴄᴋ ᴄᴏᴍᴍᴜɴɪᴛʏ📶ᴘʜᴏᴛᴏɢʀᴀᴘʜʏ   📶📶  📶ᴍᴇɴᴛᴀʟ ʜᴇᴀʟᴛʜ📶</t>
  </si>
  <si>
    <t>travel.nirvana_</t>
  </si>
  <si>
    <t>Travel Nirvana 🏷️</t>
  </si>
  <si>
    <t>Reaching over 9M+ people monthly 
Sharing the worlds most unforgettable experiences ✉️ posting food cultures photography and tourism 💎</t>
  </si>
  <si>
    <t>http://onlytravelnirvana.com</t>
  </si>
  <si>
    <t>travel_place._</t>
  </si>
  <si>
    <t>TRAVEL_PLACE._</t>
  </si>
  <si>
    <t>ʟᴜxᴜʀʏ ᴛʀᴀᴠᴇ
ꜱʜᴀʀɪɴɢ ᴛʜᴇ ᴍᴏꜱᴛ ᴛʀᴀᴠᴇʟ ᴘʟᴀᴄᴇꜱ ꜰʀᴏᴍ ᴏᴜʀ ɴᴇᴛᴡᴏʀᴋ ᴏꜰ ᴡᴏʀʟᴅ ᴄʟᴀꜱꜱ ᴄʀᴇᴀᴛᴏʀꜱ.🌏ᴄᴏʟʟᴀʙᴏʀᴀᴛɪᴏɴ @model_.city_ 
🎖️ꜰᴀꜱʜɪᴏɴ || ᴍᴏᴅᴇʟꜱ || ᴛʀᴀᴠᴇʟ ᴇᴛ</t>
  </si>
  <si>
    <t>https://instagram.com/nicky.nikoleta?igshid=NTc4MTIwNjQ2YQ%3D%3D</t>
  </si>
  <si>
    <t>travel.russia.travel</t>
  </si>
  <si>
    <t>СЕКРЕТНЫЕ МЕСТА В РОССИИ</t>
  </si>
  <si>
    <t>• Юлия | Показываю места про которые все молчат 
• Сотрудничество: @pr.zmm
👇🏻 Все адреса в моём тг-канале📍</t>
  </si>
  <si>
    <t>https://t.me/+bds0xu4rvAc0MDgy</t>
  </si>
  <si>
    <t>travel__vibes_</t>
  </si>
  <si>
    <t>TRAVEL AGENCY</t>
  </si>
  <si>
    <t>𝗣𝗥𝗢𝗠𝗢𝗧𝗜𝗢𝗡𝗦 
●𝗧𝗥𝗔𝗩𝗘𝗟||𝗣𝗛𝗢𝗧𝗢𝗚𝗥𝗔𝗣𝗛𝗬||𝗪𝗜𝗟𝗗𝗟𝗜𝗙𝗘||𝗪𝗢𝗥𝗟𝗗||🌍𝗡𝗔𝗧𝗨𝗥𝗘🏝
●𝗔𝗗𝗩𝗘𝗡𝗧𝗨𝗥𝗘🌐</t>
  </si>
  <si>
    <t>world_of.travel_</t>
  </si>
  <si>
    <t>📸𝐏𝐇𝐎𝐓𝐎𝐆𝐑𝐀𝐏𝐇𝐄𝐑📸
✈️ Inspiring Your Next Destination
🌍 Global Travel Deals | Dream Stays
𝚃𝚛𝚊𝚟𝚎𝚕/𝙿𝚑𝚘𝚝𝚘/𝙰𝚍𝚟𝚎𝚗𝚝𝚞𝚛𝚎/</t>
  </si>
  <si>
    <t>http://www.worldoftravel.in</t>
  </si>
  <si>
    <t>yacht_travel</t>
  </si>
  <si>
    <t>Yacht Travel</t>
  </si>
  <si>
    <t>Школа шкіперів та яхтова агенція.
 ⠀
11 років навчаємо яхтингу, організовуємо тури та бронюємо яхти для відпочинку по всьому світу 🌏</t>
  </si>
  <si>
    <t>https://unilink.us/i/@yacht_travel</t>
  </si>
  <si>
    <t>floridatravelguide</t>
  </si>
  <si>
    <t>Florida Travel Guide</t>
  </si>
  <si>
    <t>☀️Florida Travel &amp; Leisure Guide 
🌴Discover the best of the Sunshine State
🍹Vacation, Tourism &amp; Hospitality 
👇Join Our Community!</t>
  </si>
  <si>
    <t>forbestravelguide</t>
  </si>
  <si>
    <t>Forbes Travel Guide</t>
  </si>
  <si>
    <t>The global authority on luxury travel. 
Tag #ForbesTravelGuide to be featured. Terms: http://bit.ly/1QqQJKM.</t>
  </si>
  <si>
    <t>https://stories.forbestravelguide.com/forbes-travel-guides-best-hotel-bars-for-2025</t>
  </si>
  <si>
    <t>popcorn.paris</t>
  </si>
  <si>
    <t>Popcorn Paris | Food &amp; Travel Guide</t>
  </si>
  <si>
    <t>🍿| Popcorn Paris 
✨| Food, Travel &amp; Lifestyle
🇫🇷| Collabs: popcorn.paris@hotmail.com
#PARIS</t>
  </si>
  <si>
    <t>syifa_in_switzerland</t>
  </si>
  <si>
    <t>SYIFA | SWISS TRAVEL GUIDE🇨🇭PRIVATE TOUR GUIDE MAP ITINERARY</t>
  </si>
  <si>
    <t>🇨🇭Follow my Swiss Tips &amp; Best Spots
My Swiss Journey 5yrs+📍🇸🇪after🇨🇭🇬🇧 🇮🇩
🚌Tours @swiss_tours_syifa
📩syifainswitzerland@gmail.com
👇My BEST Itinerary🇨🇭</t>
  </si>
  <si>
    <t>https://syifainswitzerland.com/product-category/summer-travel-itinerary/</t>
  </si>
  <si>
    <t>travelguide.kw</t>
  </si>
  <si>
    <t>Travel Guide للسياحةوالسفر</t>
  </si>
  <si>
    <t>دليلك الاول لتقديم كافة خدمات السياحة والسفر التي تحتاجها 
وابعد من ذلك</t>
  </si>
  <si>
    <t>travel_guidenl</t>
  </si>
  <si>
    <t>Travel guide🏖️✈️⛵️</t>
  </si>
  <si>
    <t>🏖️✈️holiday life nature exploration different geographies ✈️✈️✈️🌄</t>
  </si>
  <si>
    <t>https://www.tiktok.com/@travel.guidenl?_t=ZN-8yr8NYsp8i6&amp;_r=1</t>
  </si>
  <si>
    <t>travel_guide_raja</t>
  </si>
  <si>
    <t>Travel Guide</t>
  </si>
  <si>
    <t>Fastest Growing Travel Vlog Network 
ऐतिहासिक क्षण
भारतीय संस्कृति
छिपे हुए खजाने
प्राचीन वस्तुए,आभूषण
राजसी किले
Love travel👉this is perfect page 🌍</t>
  </si>
  <si>
    <t>travelguides</t>
  </si>
  <si>
    <t>Travel Guides</t>
  </si>
  <si>
    <t>Five bunches of ordinary Aussies taken out of their comfort zone! ✈️ Watch #TravelGuides on @Channel9 and @9Now</t>
  </si>
  <si>
    <t>https://linkstre.am/TravelGuides</t>
  </si>
  <si>
    <t>travelguidesasheville</t>
  </si>
  <si>
    <t>Travel Guides Asheville | North Carolina</t>
  </si>
  <si>
    <t>⛰️ Your ultimate guide to Asheville &amp; WNC
✨ Eat, explore &amp; experience the Blue Ridge Mountains
📧 Hello@TravelGuidesAsheville.com</t>
  </si>
  <si>
    <t>https://linktr.ee/Travelguidesasheville</t>
  </si>
  <si>
    <t>travelhackings</t>
  </si>
  <si>
    <t>Travel hacks</t>
  </si>
  <si>
    <t>Here to show you how to travel the world through travel hacking. ✈️
Traveling the world 1 destination at a time.
Proud partners of @cardpointers</t>
  </si>
  <si>
    <t>https://www.travelhackings.com</t>
  </si>
  <si>
    <t>travelhacksphilippines</t>
  </si>
  <si>
    <t>Travelhacks</t>
  </si>
  <si>
    <t>We are a travel company based in Cavite (Philippines), offering hassle-free packages at fair prices since 2017.</t>
  </si>
  <si>
    <t>http://instagram.com/travelhacksphilippines</t>
  </si>
  <si>
    <t>alex_stead</t>
  </si>
  <si>
    <t>UK Travel &amp; Automotive - Photographer</t>
  </si>
  <si>
    <t>🙋🏼‍♂️Alex 
🇬🇧Photographer &amp; Filmmaker
📨Info@alexstead.co.uk 
@letsexplorestudio | @automotivewithalex</t>
  </si>
  <si>
    <t>https://hoo.be/Alexstead</t>
  </si>
  <si>
    <t>ericrubens</t>
  </si>
  <si>
    <t>Eric Rubens 🌅 Travel &amp; Photography</t>
  </si>
  <si>
    <t>✨It’s always golden hour here 
✨Southern California based 🌴
✨Travel, Photography, and good vibes along the way</t>
  </si>
  <si>
    <t>http://www.ericrubens.com</t>
  </si>
  <si>
    <t>iconic.photographer_ig</t>
  </si>
  <si>
    <t>ᵀʳᵃᵛᵉˡ &amp; ᵖʰᵒᵗᵒᵍʳᵃᵖʰʸ 📸</t>
  </si>
  <si>
    <t>●𝗧𝗥𝗔𝗩𝗘𝗟||𝗣𝗛𝗢𝗧𝗢𝗚𝗥𝗔𝗣𝗛𝗬||𝗪𝗜𝗟𝗗𝗟𝗜𝗙𝗘||𝗪𝗢𝗥𝗟𝗗||🌍𝗡𝗔𝗧𝗨𝗥𝗘🏝
●𝗙𝗔𝗖𝗘 𝗢𝗙 𝗧𝗛𝗘 𝗪𝗘𝗘𝗞
❤️Like our Page
⭐ 𝐃𝐦 𝐭𝐨 𝐠𝐞𝐭 𝐟𝐞𝐚𝐭𝐮𝐫𝐞𝐝 𝐨𝐧 𝐨𝐮𝐫 𝐩𝐚𝐠𝐞
🌟🇮🇳🇺🇸🇬🇧🇦🇪🇦🇨🇪🇺🇯🇴🇩🇪🇪🇸🇨🇦</t>
  </si>
  <si>
    <t>jj.trailwalker</t>
  </si>
  <si>
    <t>JJ ∣ Photography + Travel</t>
  </si>
  <si>
    <t>📍Utah 
✉️collabs: jjpickardphoto@gmail.com
↓ Websites, Presets, Storefront, and More ↓</t>
  </si>
  <si>
    <t>https://linktr.ee/jj.trailwalker</t>
  </si>
  <si>
    <t>jordhammond</t>
  </si>
  <si>
    <t>JORD | TRAVEL PHOTOGRAPHY</t>
  </si>
  <si>
    <t>🙋🏻‍♂️ ⠀ Photography academy with 5,000+ students
👇🏼 ⠀ Come with me to India:</t>
  </si>
  <si>
    <t>http://linktr.ee/jordhammond</t>
  </si>
  <si>
    <t>lateef.photography</t>
  </si>
  <si>
    <t>Lateef | Food, Travel and Drink Photography</t>
  </si>
  <si>
    <t>Photography &amp; Videography 
Food Drink People
📍London
@lateef.portraits 
🐶 @rocky_n_bruce</t>
  </si>
  <si>
    <t>http://peppercorn-media.com/</t>
  </si>
  <si>
    <t>nomadict</t>
  </si>
  <si>
    <t>Travel &amp; Photography Magazine</t>
  </si>
  <si>
    <t>Empowering the professional growth of visual creators 
We write stories with passion to inspire you 
#nomadict
Interviews, education and workshops ⬇️</t>
  </si>
  <si>
    <t>https://linktr.ee/nomadict</t>
  </si>
  <si>
    <t>official_photographers_hub</t>
  </si>
  <si>
    <t>Travel &amp; Photography</t>
  </si>
  <si>
    <t>🏡 Stayinindia : Where stays find their story 
🌿 Managed Resorts • 📸 Cinematic Production • 🎬 Ads &amp; Films
🌏 600k+ travellers ready to visit your stay</t>
  </si>
  <si>
    <t>https://www.youtube.com/@thetravelrealindia</t>
  </si>
  <si>
    <t>tom_juenemann</t>
  </si>
  <si>
    <t>Outdoor &amp; Travel - Photography</t>
  </si>
  <si>
    <t>Tom Jünemann
Roadtrip Norway 🇳🇴 
On the road w/ @skadi.ontour 
YouTube | Lightroom Presets | Website</t>
  </si>
  <si>
    <t>http://link.me/tom_juenemann</t>
  </si>
  <si>
    <t>travelfotography_</t>
  </si>
  <si>
    <t>travel photography 📷</t>
  </si>
  <si>
    <t>📷
¦¦ 𝑰𝒏𝒔𝒑𝒊𝒓𝒊𝒏𝒈 𝒑𝒆𝒐𝒑𝒍𝒆 𝒕𝒐 𝒕𝒓𝒂𝒗𝒆𝒍 𝒃𝒚 𝒔𝒉𝒂𝒓𝒊𝒏𝒈 𝒕𝒉𝒆 𝒎𝒐𝒔𝒕 𝒃𝒆𝒂𝒖𝒕𝒊𝒇𝒖𝒍 𝒆𝒙𝒑𝒆𝒓𝒊𝒆𝒏𝒄𝒆𝒔 𝒇𝒓𝒐𝒎 𝒂𝒓𝒐𝒖𝒏𝒅 𝒕𝒉𝒆🌎𝒘𝒐𝒓𝒍𝒅  #travel ✈️
👉@travel.of.empire._ 🌍</t>
  </si>
  <si>
    <t>travelphotographeroftheyear</t>
  </si>
  <si>
    <t>Travel Photography - TPOTY</t>
  </si>
  <si>
    <t>Travel &amp; Photography - THE prestigious international awards. The best in contemporary travel photography. TPOTY 23rd contest open until 13th Oct</t>
  </si>
  <si>
    <t>https://linktr.ee/travelphotographeroftheyear</t>
  </si>
  <si>
    <t>travel_photography_</t>
  </si>
  <si>
    <t>NK_photography</t>
  </si>
  <si>
    <t>🏞️Explorer
📍Ranchi,Jharkhand</t>
  </si>
  <si>
    <t>discover_corfu</t>
  </si>
  <si>
    <t>Corfu Guide l Travel &amp; Tips</t>
  </si>
  <si>
    <t>Your ultimate guide to Corfu! 🇬🇷
Hidden beaches, local secrets &amp; handpicked excursions.
Plan your dream trip below 👇 #discovercorfu</t>
  </si>
  <si>
    <t>https://discover-corfu.com</t>
  </si>
  <si>
    <t>emsbudgettravel</t>
  </si>
  <si>
    <t>Em | Budget Travel Tips ✈️🌴🌺</t>
  </si>
  <si>
    <t>✈️budget travel around a full time job✈️
🌺100k on TikTok🌺
💌emsbudgettravel@gmail.com💌
⬇️REQUESTS&amp;MORE⬇️</t>
  </si>
  <si>
    <t>https://linktr.ee/emsbudgettravel</t>
  </si>
  <si>
    <t>lisbon.travel</t>
  </si>
  <si>
    <t>Lisbon 🇵🇹 Lisboa Travel | Hotels | Food | Tips</t>
  </si>
  <si>
    <t>🏙️ Discover the best of Lisbon
💙 The leading Lisbon community by @hotel
👇 Price drop on Lisbon direct flights</t>
  </si>
  <si>
    <t>http://athotel.com/l/Lisbon-hotel-deals</t>
  </si>
  <si>
    <t>passaporte_portugues</t>
  </si>
  <si>
    <t>Mariana | Travel tips 🌎</t>
  </si>
  <si>
    <t>From Portugal 🇵🇹 
Co-founder @anda.dai.viagens 
🌍 Follow for travel inspiration, itineraries and tips 
Links &amp; YouTube:</t>
  </si>
  <si>
    <t>https://beacons.ai/passaporteportugues</t>
  </si>
  <si>
    <t>travel2amsterdam</t>
  </si>
  <si>
    <t>Amsterdam Travel Tips 🇳🇱</t>
  </si>
  <si>
    <t>🇳🇱 Amsterdam Travel Tips
📍 Things to do &amp; daily guides
👇 Comment ‘GUIDE’ for FREE Travel Guide 👇</t>
  </si>
  <si>
    <t>traveltipsbylaurie</t>
  </si>
  <si>
    <t>Travel Tips Pilot Wife</t>
  </si>
  <si>
    <t>Pilot wife teaching travel tips on YTube &amp; IG 👨‍✈️ Packing Hacks, Airport Security,  Vacation Outfit Ideas, Carry-On  Only 🎥 5 Links For YOU👇🏻</t>
  </si>
  <si>
    <t>https://linktr.ee/traveltipsbylaurie</t>
  </si>
  <si>
    <t>traveltipswithjay</t>
  </si>
  <si>
    <t>Jaideep Patil | Travel Tips and Hacks</t>
  </si>
  <si>
    <t>📩 jaideep.patil@travelarrow.io
🤘🏼 Founder of TripChipper - used by 280,000 travelers weekly! 
✈️ All Travel Deals  ⤵️</t>
  </si>
  <si>
    <t>https://linktr.ee/traveltipswithjay</t>
  </si>
  <si>
    <t>venturelikevic</t>
  </si>
  <si>
    <t>Victor C. / Travel Tips &amp; Points and Miles</t>
  </si>
  <si>
    <t>✈️Sharing travel tips in my 20s with a 9-5
💳Saving YOU money one MILE at a time
🏝️Saved over 100K in travel first year
📧venturelikevic@gmail.com
📍 IND</t>
  </si>
  <si>
    <t>bossfamilyworkout</t>
  </si>
  <si>
    <t>tWitch and Allison</t>
  </si>
  <si>
    <t>We are the Boss family and this account is dedicated specifically for our Groovealong classes led by tWitch and Allison.</t>
  </si>
  <si>
    <t>https://youtu.be/ObnjUVs2s50</t>
  </si>
  <si>
    <t>ckverse_twitch</t>
  </si>
  <si>
    <t>Ck | Streamer/Content Creator</t>
  </si>
  <si>
    <t>🐼 Il NERD più BOLLENTE d’Italia 🐼 
📹| Content Creator for @reply_totem 
🟪| Partner Twitch ➡️ Live 21:00
🏋🏻| Partner @prozis 
📧| network@replytotem.com</t>
  </si>
  <si>
    <t>https://beacons.ai/ckverse/mediakit</t>
  </si>
  <si>
    <t>dammytwitch</t>
  </si>
  <si>
    <t>Dammy Twitch</t>
  </si>
  <si>
    <t>Creative Director</t>
  </si>
  <si>
    <t>Forbes 30 under 30.
@kadiricollective</t>
  </si>
  <si>
    <t>http://www.dammytwitch.com</t>
  </si>
  <si>
    <t>deejaytwitch</t>
  </si>
  <si>
    <t>DEEJAY TWITCH 🇿🇦</t>
  </si>
  <si>
    <t>Afro Tech DJ 
Brand Partner @axe.sa 
@atlasofficialph 🇵🇭 
Global Manager:
phenyo@bflair-management.com
+66619909113
@raulalves_tmga_</t>
  </si>
  <si>
    <t>https://youtu.be/2ZzuaM4A9LU?si=p79_oIsHsAwFoG9r</t>
  </si>
  <si>
    <t>katha_on_twitch</t>
  </si>
  <si>
    <t>Katha</t>
  </si>
  <si>
    <t>🙇🏼‍♀️ IRL Content | 🎮 Gaming
🎥 LIVE on Twitch [10 a.m. CEST]
📨 kathalove1business@gmail.com</t>
  </si>
  <si>
    <t>https://m.twitch.tv/katha</t>
  </si>
  <si>
    <t>sir_twitch_alot</t>
  </si>
  <si>
    <t>Stephen tWitch Boss</t>
  </si>
  <si>
    <t>Artist.Husband.Father.Son.Brother. SmileSpreader. Co Founder of CLI Studios/</t>
  </si>
  <si>
    <t>https://youtube.com/c/OFFICIALBOSSFAM</t>
  </si>
  <si>
    <t>tiwtchy.witch</t>
  </si>
  <si>
    <t>elianne el-amyouni (twitchy witch)</t>
  </si>
  <si>
    <t>{no backups} 🐈
acolonial psychomagician 👽
👁 @iamu.ni @marsmithtarot @sulphurandspirit</t>
  </si>
  <si>
    <t>https://twitchywitch.teachable.com/p/alchemy-101-2025</t>
  </si>
  <si>
    <t>Twitch</t>
  </si>
  <si>
    <t>Twitch is where thousands of communities come together for whatever, every day.</t>
  </si>
  <si>
    <t>https://sprout.link/twitch</t>
  </si>
  <si>
    <t>twitchettshome</t>
  </si>
  <si>
    <t>Becky Clarke</t>
  </si>
  <si>
    <t>Welcome to our family home 🤍
Interior Inspo. Home Projects. DIY. 
Sharing all I love &amp; hope you’ll love too.
Work with us: thetwitchetts39@gmail.com</t>
  </si>
  <si>
    <t>https://linktr.ee/thetwitchetts39</t>
  </si>
  <si>
    <t>twitchhubclips</t>
  </si>
  <si>
    <t>Лучшее с Twitch 🔥</t>
  </si>
  <si>
    <t>• Топ1 по нарезкам клипов от стримеров🔝
• Ежедневные посты⏰
• Все видео принадлежат правообладателям 👾
• По рекламе Директ ❤️
🔞Наш тг канал строго🔞</t>
  </si>
  <si>
    <t>https://t.me/TwitchHubReserv</t>
  </si>
  <si>
    <t>twitch_kingshakour</t>
  </si>
  <si>
    <t>Shakour</t>
  </si>
  <si>
    <t>https://twitch.tv/kingshakour</t>
  </si>
  <si>
    <t>twitchthis8</t>
  </si>
  <si>
    <t>Jeremy Stenberg</t>
  </si>
  <si>
    <t>@dirtbikekidz @flyracing.global @santostudios @jaxxon @jaxxonpodcast @monsterenergy  @indianmotorcycle @polarisrzr @havocracingco_</t>
  </si>
  <si>
    <t>https://www.flyracing.com/moto/mens/gear-lines/2025-5-kinetic-mesh-dbk-black-white/</t>
  </si>
  <si>
    <t>daisy_burtis</t>
  </si>
  <si>
    <t>DAISY • Amazon Unboxing Enthusiast</t>
  </si>
  <si>
    <t>Affordable style 4 real-life moms 🤍
Amazon • Target • Walmart finds
Unboxings, easy outfits &amp; deals
📧 thedaisydupes@gmail.com
Amazon Storefront ⬇️</t>
  </si>
  <si>
    <t>https://linkin.bio/daisy_burtis</t>
  </si>
  <si>
    <t>unboxing__24</t>
  </si>
  <si>
    <t>unboxing products _ 🎁
My YouTube channel</t>
  </si>
  <si>
    <t>https://youtube.com/@unboxing_24832?si=DrM_UeRcjh85T2xa</t>
  </si>
  <si>
    <t>unboxinganimes</t>
  </si>
  <si>
    <t>Kyle Cheerios</t>
  </si>
  <si>
    <t>Co-Host of @Morethanacartoon
🍜Anime Addict  
🎥 Content Creator 
🛡️Dub Defender</t>
  </si>
  <si>
    <t>https://youtube.com/@boxunboxinganime?si=pr_Q7dFFnougm1W9</t>
  </si>
  <si>
    <t>unboxingbrosph</t>
  </si>
  <si>
    <t>Unboxing Bros</t>
  </si>
  <si>
    <t>PM for Orders!! 
Unboxing your toys, tech and other hobbies.
Website : https://unboxingbros.com</t>
  </si>
  <si>
    <t>https://www.youtube.com/c/UnboxingBrosph</t>
  </si>
  <si>
    <t>unboxingfails</t>
  </si>
  <si>
    <t>Unboxing Fails</t>
  </si>
  <si>
    <t>📦 When unboxing goes off script
🎥 Broken items, bad reactions &amp; chaos
Want to grow? 📩@brown_derrek</t>
  </si>
  <si>
    <t>unboxing.japan</t>
  </si>
  <si>
    <t>Unboxing Japan</t>
  </si>
  <si>
    <t>unboxingtn</t>
  </si>
  <si>
    <t>ellouz yassin</t>
  </si>
  <si>
    <t>⭐ رحلتي في Digital Creator Awards تبدأ بصوتك صوتوا لي هنا 👇🏻</t>
  </si>
  <si>
    <t>https://vote.digitalcreatorawards.com/influencer/25/875</t>
  </si>
  <si>
    <t>cristiana.dantuono</t>
  </si>
  <si>
    <t>Cri X Upcycling</t>
  </si>
  <si>
    <t>|🪡Upcycling Fashion Designer|
|📍Torino|
|💌 cristiana.dantuono98@gmail.com|</t>
  </si>
  <si>
    <t>fem.upcycling</t>
  </si>
  <si>
    <t>Upcycling - from vintage to statement</t>
  </si>
  <si>
    <t>ᴜɴɪǫᴜᴇ ᴜᴘᴄʏᴄʟɪɴɢ ᴡᴇᴀʀ
ᴏʀɪɢɪɴᴀʟ ᴏɴʟʏ 
ᴍᴀᴅᴇ ɪɴ 🇺🇦
ᴡᴏʀʟᴅᴡɪᴅᴇ sʜɪᴘᴘɪɴɢ 🌏
ꜰᴏᴜɴᴅᴇʀ @i.iamaries</t>
  </si>
  <si>
    <t>laeticia_upcycling</t>
  </si>
  <si>
    <t>A l'autre bout | Transformations textiles</t>
  </si>
  <si>
    <t>🐌 Adepte de slow fashion toi aussi?
♻️Je transforme des couvertures vintage
🌈 Pièces uniques, colorées et responsables
🌸 Et je partage tout ça ici !</t>
  </si>
  <si>
    <t>https://www.alautrebout.fr/pages/laeticia_upcycling</t>
  </si>
  <si>
    <t>marine_diogo</t>
  </si>
  <si>
    <t>KEEP SMILING - KEEP UPCYCLING</t>
  </si>
  <si>
    <t>⚠️ RECYCLEUSE COMPULSIVE ⚠️
♻️ je recycle TES tissus sentimentaux
🫟 brico/déco de ma maiZon
📩 collab-marinediogo@outlook.fr</t>
  </si>
  <si>
    <t>https://www.marinediogo.fr/sur-mesure-1</t>
  </si>
  <si>
    <t>ns.gblack</t>
  </si>
  <si>
    <t>Jailson G-Black | upcycling</t>
  </si>
  <si>
    <t>ARTE EDUCADOR  | B.BOY | ESTILISTA| DESIGNER DE MODA | ARTESÃO | ARTICULADOR PERIFÉRICO 
 @coletivo.nordestreet @lojas.ns @rasta.reserva @aurora.coll</t>
  </si>
  <si>
    <t>oficinamuda</t>
  </si>
  <si>
    <t>Oficina MUDA | Moda Upcycling</t>
  </si>
  <si>
    <t>Uma oficina criativa que usa o upcycling para ressignificar a moda.
🌎 Empresa B Certificada
Promovendo o empreendedorismo local na: @afeiradaoca</t>
  </si>
  <si>
    <t>https://linktr.ee/Oficina_Muda</t>
  </si>
  <si>
    <t>pablita.com.br</t>
  </si>
  <si>
    <t>Pablita | Acessórios Upcycling</t>
  </si>
  <si>
    <t>| Desde 2018 |
♻️A Arquiteta Ligia Massabki cria peças exclusivas com revestimento de construção
🫶🏼Produção própria | feito à mão
🖤Acesse o site:</t>
  </si>
  <si>
    <t>http://www.pablita.com.br</t>
  </si>
  <si>
    <t>rewovenshop</t>
  </si>
  <si>
    <t>Sewing - Upcycling - Thrifting</t>
  </si>
  <si>
    <t>Small Business- Handmade, one of a kind, up-cycled
•Made with thrifted/recycled materials
•Bag Sales every Saturday 
•Made by @breck.engle</t>
  </si>
  <si>
    <t>rwrkstudio</t>
  </si>
  <si>
    <t>RWRK STUDIO | UPCYCLING</t>
  </si>
  <si>
    <t>Re.work Studio
Upcycling brand ♻️ | 1 of 1 highend Re-worked pieces.</t>
  </si>
  <si>
    <t>https://rwrkstudio.com</t>
  </si>
  <si>
    <t>the_1of1_</t>
  </si>
  <si>
    <t>1of1 Custom Clothing Upcycling</t>
  </si>
  <si>
    <t>🗡️ Leading the change in fashion and art world. 
🌍 World largest artwear community 
💚 Wearable canvases available 👇</t>
  </si>
  <si>
    <t>http://www.1of1.world</t>
  </si>
  <si>
    <t>theneedlegang</t>
  </si>
  <si>
    <t>Juliette - The Needle Gang - Upcycling</t>
  </si>
  <si>
    <t>🌸 Crafty girl passionnée de mode, seconde main et DIY
🌻 Bienvenue dans mon univers coloré, acidulé et fait main
✨ Upcycling et patrons couture</t>
  </si>
  <si>
    <t>https://the-needle-gang.fr/collections/collection-patrons-p-e-2025</t>
  </si>
  <si>
    <t>thewhitethistle</t>
  </si>
  <si>
    <t>Abi Hugo | Interiors, Upcycling &amp; DIY</t>
  </si>
  <si>
    <t>➳ Neutral Furniture Upcycler
➳ Sat in a pile of sawdust and paint, drinking wine
➳ MAKING house, HOME one DIY at a time
MGMT: enquiries@bevjames.com</t>
  </si>
  <si>
    <t>https://thewhitethistle.com/link-in-bio/</t>
  </si>
  <si>
    <t>usecorviva</t>
  </si>
  <si>
    <t>CorViva - Acessórios Upcycling reFARM🫶🏼☀️</t>
  </si>
  <si>
    <t>✨Acessórios criativos com amor e cor💖🌈
♻️Feitos à mão e com tecidos da farmrio!💘
🦋Enviamos para todo BRASIL✈️🇧🇷
🛒Compre pelo link abaixo⤵️</t>
  </si>
  <si>
    <t>https://www.usecorviva.com.br</t>
  </si>
  <si>
    <t>asik.berkebun</t>
  </si>
  <si>
    <t>Urban Farming</t>
  </si>
  <si>
    <t>Home &amp; Garden Store</t>
  </si>
  <si>
    <t>Workshop👇</t>
  </si>
  <si>
    <t>https://shope.ee/fotWEIMN6</t>
  </si>
  <si>
    <t>bestvacations</t>
  </si>
  <si>
    <t>BEST VACATIONS - Travel</t>
  </si>
  <si>
    <t>🌎Journey with us! #BestVacations
🌏Photos by our team &amp; we feature yours!
🌍We travel the world non stop
📧BestVacations@TravelAwesome.com</t>
  </si>
  <si>
    <t>ciao.ciao.vacation</t>
  </si>
  <si>
    <t>CIao Ciao Vacation</t>
  </si>
  <si>
    <t>For sunsets, slow mornings &amp; everything between 🔅</t>
  </si>
  <si>
    <t>http://www.ciaociaovacation.com/</t>
  </si>
  <si>
    <t>expressionztravels</t>
  </si>
  <si>
    <t>Vacation Experts | Birthday Specialists | Carnival💃🏿 Concierge</t>
  </si>
  <si>
    <t>𝐈𝐟 𝐰𝐞 𝐝𝐨𝐧’𝐭 𝐡𝐚𝐯𝐞 𝐚 𝐃𝐞𝐚𝐥, 𝐍𝐨𝐧𝐞 𝐄𝐱𝐢𝐬𝐭𝐬!
📆 𝗕𝗼𝗼𝗸 𝗬𝗼𝘂𝗿 𝗖𝗼𝗻𝘀𝘂𝗹𝘁
All-Inclusive🏨 &amp; Cruise Experts!
9546665583 Call/Text
⏳@ndotatravel ✨ @weddingsbyexpressionz</t>
  </si>
  <si>
    <t>https://beacons.ai/expressionztravels</t>
  </si>
  <si>
    <t>italyadventurer</t>
  </si>
  <si>
    <t>Travel • Vacation • Italy</t>
  </si>
  <si>
    <t>🇮🇹 Let explore the magic of Italy 
🌍 Get inspiration for your next trip to Italy 
👉 Follow us @italyadventurer for daily Italian content</t>
  </si>
  <si>
    <t>lacampagne_beachresort</t>
  </si>
  <si>
    <t>La Campagne Beach resort| Family beach vacation |</t>
  </si>
  <si>
    <t>All-Inclusive Family Beach Resort 
African-themed bungalows &amp; treehouses with ocean, lagoon &amp; forest views
📍 Ibeju-Lekki, Lagos 
📞 +2348077752827</t>
  </si>
  <si>
    <t>https://linktr.ee/lacampagnetr</t>
  </si>
  <si>
    <t>the_vacation_shop_official</t>
  </si>
  <si>
    <t>Urban Destination Wear</t>
  </si>
  <si>
    <t>We offer classy yet transcendent destination wear for self loving, balanced, spiritual nomad 🛫</t>
  </si>
  <si>
    <t>http://www.thevacationshop.net/</t>
  </si>
  <si>
    <t>thevvsofficial</t>
  </si>
  <si>
    <t>VVS Swim &amp; Vacation Wear</t>
  </si>
  <si>
    <t>We don’t just make vacation wear—we set the standard. 
Designed for every body, because confidence has no size limit.</t>
  </si>
  <si>
    <t>https://thevvs.co</t>
  </si>
  <si>
    <t>Vacation | Travel Memes |</t>
  </si>
  <si>
    <t>✈️ Worlds Best &amp; Funniest Travel Content
📧 Promo@Travly.com
🏨 Get the best hotel deals ⬋
Use code 'TRAVLY40' to save up to 40% on hotels</t>
  </si>
  <si>
    <t>vacation_eg</t>
  </si>
  <si>
    <t>Vacation Skincare</t>
  </si>
  <si>
    <t>A Skincare wide range that offers all the skin solutions to ensure a moisturized, clear and glowing skin.</t>
  </si>
  <si>
    <t>https://e-majestic.com</t>
  </si>
  <si>
    <t>vacationinc</t>
  </si>
  <si>
    <t>Vacation®</t>
  </si>
  <si>
    <t>Leisure-Enhancing Sunscreen™
.
Miami, FL 33130</t>
  </si>
  <si>
    <t>https://linktr.ee/vacationinc</t>
  </si>
  <si>
    <t>vacations</t>
  </si>
  <si>
    <t>Vacations</t>
  </si>
  <si>
    <t>Hotel, resort, or travel brand? Work with us ⬇️
📧TravelingOurPlanet@gmail.com
📍New York, USA 🇺🇸</t>
  </si>
  <si>
    <t>vacationsband_</t>
  </si>
  <si>
    <t>VACATIONS</t>
  </si>
  <si>
    <t>10th anniversary vinyl for Days/Vibes available now for pre-order + Changes! ٩(◕‿◕｡)۶
Australia’s greatest boy band, forever.</t>
  </si>
  <si>
    <t>https://linktr.ee/Vacationsband</t>
  </si>
  <si>
    <t>esvalorant</t>
  </si>
  <si>
    <t>VALORANT España</t>
  </si>
  <si>
    <t>Cuenta oficial en español del shooter táctico en el que lo verdaderamente importante no son las kills, es Wingman.</t>
  </si>
  <si>
    <t>https://playvalorant.com/es-es/</t>
  </si>
  <si>
    <t>t1.valorant</t>
  </si>
  <si>
    <t>T1 VALORANT</t>
  </si>
  <si>
    <t>🔫 | T1 VALORANT</t>
  </si>
  <si>
    <t>https://litt.ly/t1valorant</t>
  </si>
  <si>
    <t>valesportsna</t>
  </si>
  <si>
    <t>VALORANT Esports NA</t>
  </si>
  <si>
    <t>IT’S HERE. IT’S NOW. Watch the Stage 2 Hero Piece on YT. 📺
Your home for all #VCTAmericas coverage 🔥
Follow us on all socials! 👇</t>
  </si>
  <si>
    <t>https://valesportsna.riotgames.com</t>
  </si>
  <si>
    <t>VALORANT</t>
  </si>
  <si>
    <t>A 5v5 character-based tactical shooter from Riot Games. Available worldwide.</t>
  </si>
  <si>
    <t>https://linktr.ee/playvalorant</t>
  </si>
  <si>
    <t>valorantbrasil</t>
  </si>
  <si>
    <t>VALORANT // BRASIL</t>
  </si>
  <si>
    <t>VALORANT é o FPS tático 5v5 da Riot Games, disponível para jogar gratuitamente. Alguém aí lembrou de pegar a Spike?</t>
  </si>
  <si>
    <t>http://linktr.ee/valorantbrasil</t>
  </si>
  <si>
    <t>valorantde</t>
  </si>
  <si>
    <t>VALORANT ist Riot Games' charakterbasierter 5v5-Taktikshooter.
Abonniere uns für die neuesten Updates!</t>
  </si>
  <si>
    <t>https://linktr.ee/valorantde</t>
  </si>
  <si>
    <t>valorantdose</t>
  </si>
  <si>
    <t>#1 source for VALORANT content ☝️
Not affiliated with @riotgames
@rainbetcom</t>
  </si>
  <si>
    <t>https://rainbet.com/?r=yaami</t>
  </si>
  <si>
    <t>valorantesports</t>
  </si>
  <si>
    <t>Valorant Champions Tour</t>
  </si>
  <si>
    <t>THE source for all things VALORANT Champions Tour, all the time. #VCT</t>
  </si>
  <si>
    <t>https://www.accorarena.com/en/events-and-tickets/valorant-champions-paris-2025--1e955</t>
  </si>
  <si>
    <t>valorantfr</t>
  </si>
  <si>
    <t>VALORANTfr</t>
  </si>
  <si>
    <t>VALORANT est le jeu de tir tactique à la 1ère personne en 5v5 de Riot Games.
Disponible dès maintenant sur PC et console</t>
  </si>
  <si>
    <t>http://beacons.ai/valorantfr</t>
  </si>
  <si>
    <t>valorantid</t>
  </si>
  <si>
    <t>VALORANT Indonesia</t>
  </si>
  <si>
    <t>VALORANT, game FPS taktis berbasis 5v5 dari Riot Games, tersedia sekarang!</t>
  </si>
  <si>
    <t>https://playvalorant.com/id-id/</t>
  </si>
  <si>
    <t>valorantkr</t>
  </si>
  <si>
    <t>발로란트</t>
  </si>
  <si>
    <t>발로란트 한국 공식 인스타그램에 방문하신 여러분을 환영합니다.</t>
  </si>
  <si>
    <t>https://linkin.bio/valorantkr</t>
  </si>
  <si>
    <t>valorantlatam</t>
  </si>
  <si>
    <t>Cuenta oficial para Valorant en Latinoamérica.
Juégalo ahora.</t>
  </si>
  <si>
    <t>valorantph</t>
  </si>
  <si>
    <t>VALORANT Philippines</t>
  </si>
  <si>
    <t>A 5v5 character-based tactical shooter from Riot Games.</t>
  </si>
  <si>
    <t>https://playvalorant.com/en-gb/</t>
  </si>
  <si>
    <t>valorantpl</t>
  </si>
  <si>
    <t>VALORANT // Polska</t>
  </si>
  <si>
    <t>VALORANT to oparta na postaciach gra drużynowa 5v5 od studia @riotgames</t>
  </si>
  <si>
    <t>https://linktr.ee/valorantpl</t>
  </si>
  <si>
    <t>valorantth</t>
  </si>
  <si>
    <t>VALORANT Thailand</t>
  </si>
  <si>
    <t>valoranttr</t>
  </si>
  <si>
    <t>VALORANT TÜRKİYE</t>
  </si>
  <si>
    <t>Riot Games'in geliştirdiği 5'e5, karakter tabanlı taktiksel nişancı oyunu. Gelişmeler için takipte kalın!</t>
  </si>
  <si>
    <t>https://youtu.be/aXeNDd-U3X8?si=LzS9ta2ZzfWipNzH</t>
  </si>
  <si>
    <t>valoranttw</t>
  </si>
  <si>
    <t>VALORANT - 特戰英豪</t>
  </si>
  <si>
    <t>《特戰英豪》是一款以角色為核心的5對5戰略射擊遊戲，由Riot Games出品，2020暑假推出。</t>
  </si>
  <si>
    <t>https://playvalorant.com/zh-tw/news/game-updates/</t>
  </si>
  <si>
    <t>valorantvn</t>
  </si>
  <si>
    <t>VALORANT là tựa game bắn súng chiến thuật cạnh tranh 5 đấu 5 lấy các nhân vật làm nền tảng của Riot Games.</t>
  </si>
  <si>
    <t>https://www.tiktok.com/@valorant.vietnam</t>
  </si>
  <si>
    <t>vctpacific</t>
  </si>
  <si>
    <t>VALORANT Champions Tour Pacific</t>
  </si>
  <si>
    <t>Official account for the VALORANT Champions Tour Pacific #VCTPacific #VCT</t>
  </si>
  <si>
    <t>https://valorantesports.com/en-SG/news/vct-pacific-stage-2-finals-know-before-you-go</t>
  </si>
  <si>
    <t>cook.vegetarian</t>
  </si>
  <si>
    <t>LUBA PAVIA</t>
  </si>
  <si>
    <t>🇦🇺 Certified Plant-Based Nutritionist
🥑 Easy &amp; Healthy Recipes For a Healthier You
✨ ALL Recipes in the Captions
🐣 Weekly Baby Meal Plans</t>
  </si>
  <si>
    <t>http://cookvegetarian.com.au</t>
  </si>
  <si>
    <t>deliciousvegetarianvideos</t>
  </si>
  <si>
    <t>Delicious Vegetarian/Vegan</t>
  </si>
  <si>
    <t>Vegetarian/Vegan Influencer 🌱🍓
Ingredients and instructions with every recipe 📝</t>
  </si>
  <si>
    <t>emilyontoast</t>
  </si>
  <si>
    <t>Quick, easy + simple vegetarian recipes &amp; things on toast</t>
  </si>
  <si>
    <t>Things on toast fanatic 🥖 Halloumi lover 🧀 Bean obsessed 🫘 quick, easy, colourful recipes are my vibe. 
Collabs ed@creamculinary.com</t>
  </si>
  <si>
    <t>https://emilyontoast.substack.com/</t>
  </si>
  <si>
    <t>flavors_ofmykitchen</t>
  </si>
  <si>
    <t>🧿 Shruti Desai Naik 🧿 | Vegetarian Recipes Creator</t>
  </si>
  <si>
    <t>🌍 Global cravings with a desi soul
🍢 Street food | Easy Recipes  #eathealthy 
📍MI, USA 🇺🇸 
✨Full Time working in Peds Neuro- Oncology @umichmedicine</t>
  </si>
  <si>
    <t>https://flavorsofmykitchen.com</t>
  </si>
  <si>
    <t>shreyaskitchen2</t>
  </si>
  <si>
    <t>Shreya Walia | Easy Vegetarian Recipes</t>
  </si>
  <si>
    <t>📚Author of “Make it Meatless”
📧 Email: shreya@underscoretalent.com
⭐️TikTok: @shreyaskitchen2 - 1.3m +</t>
  </si>
  <si>
    <t>https://geni.us/MakeItMeatless</t>
  </si>
  <si>
    <t>tastyvegetarian</t>
  </si>
  <si>
    <t>Tasty Vegetarian</t>
  </si>
  <si>
    <t>Shop our newest cookbook, on sale for 50% off! 👇👇 👇</t>
  </si>
  <si>
    <t>http://amzn.to/2PERMPG</t>
  </si>
  <si>
    <t>thehomemadecooking</t>
  </si>
  <si>
    <t>Sowmya Arun | Indian Vegetarian Food | SouthIndianCooking</t>
  </si>
  <si>
    <t>South Indian Veg Thalis &amp; Homestyle Recipes
Pure. Traditional. Comforting.🌿
📩-homemadecooking.in@gmail.com
📌 #aathusapadu #homemadecookinginn</t>
  </si>
  <si>
    <t>https://amzn.to/4lG1JrE</t>
  </si>
  <si>
    <t>Healthy Foods &amp; Fitness</t>
  </si>
  <si>
    <t>Stay tuned for the healthiest but most delicious Vegetarian recipes available. 🍓</t>
  </si>
  <si>
    <t>vegetarian_ru</t>
  </si>
  <si>
    <t>ГЛАВНОЕ VEG &amp; ЗОЖ &amp; ЭКО СМИ</t>
  </si>
  <si>
    <t>🌍Новости, интервью, рецепты, советы
📰Бесплатная газета «Vegetarian»® 
💳Система скидок Vegcard ®</t>
  </si>
  <si>
    <t>https://vegetarian.ru</t>
  </si>
  <si>
    <t>vegetariansk</t>
  </si>
  <si>
    <t>Adela Borčányová</t>
  </si>
  <si>
    <t>kváskujem | pečiem | varím bez mäsa🌱
🧁Tvorím recepty už 4 roky
🥗Jednoduché, chutné a zdravé
⬇️ Sleduj ma pre viac tipov!
👩🏽 @borcanyova
📍Hlohovec</t>
  </si>
  <si>
    <t>vegetariantimesmag</t>
  </si>
  <si>
    <t>Vegetarian Times</t>
  </si>
  <si>
    <t>Plant-based lifestyle experts since 1974</t>
  </si>
  <si>
    <t>https://sprout.link/vegetariantimesmag</t>
  </si>
  <si>
    <t>vidhyasvegetariankitchen</t>
  </si>
  <si>
    <t>Srividhya | Vegan &amp; Vegetarian Recipes</t>
  </si>
  <si>
    <t>🌱 Easy &amp; delicious vegan + vegetarian recipes 
📖 Meal Planning Made Simple 
✍️ Cookbook Author 
📚 Get my meal planner journal – click below! 👇</t>
  </si>
  <si>
    <t>https://www.vidhyashomecooking.com/product/weekly-meal-planner-journal/</t>
  </si>
  <si>
    <t>dcard.video</t>
  </si>
  <si>
    <t>Dcard Video|影音團隊的秘密後花園</t>
  </si>
  <si>
    <t>😎追蹤我們！這裡有最吵的團隊日常、迷因廢片！
💌合作邀約可寄video@dcard.cc 
🚂2025 電車短T連結⬇️</t>
  </si>
  <si>
    <t>https://store.dttofriends.com/pages/dcard-video</t>
  </si>
  <si>
    <t>khamenei_video</t>
  </si>
  <si>
    <t>Ayatollah Khamenei Videos</t>
  </si>
  <si>
    <t>فیلم‌هایی از سخنان و دیدارهای
آیت‌الله العظمی حاج سیدعلی حسینی خامنه‌ای
رهبر انقلاب اسلامی</t>
  </si>
  <si>
    <t>http://aparat.com/Khamenei_ir</t>
  </si>
  <si>
    <t>natt.jongsala</t>
  </si>
  <si>
    <t>Natt Jongsala | Video Editor</t>
  </si>
  <si>
    <t>💻 Video Editor / Entrepreneur 
📲 Scaling Video Editing Business
Learn how to land 3-5 high paying clients every month through content (click the link)</t>
  </si>
  <si>
    <t>https://www.skool.com/edit-flow-premium-6011/about</t>
  </si>
  <si>
    <t>primevideo</t>
  </si>
  <si>
    <t>Prime Video</t>
  </si>
  <si>
    <t>Oh brothers. Am I right, @thesummeriturnedpretty?</t>
  </si>
  <si>
    <t>primevideobr</t>
  </si>
  <si>
    <t>Prime Video Brasil</t>
  </si>
  <si>
    <t>Uma casa abandonada e um caso que parou o Brasil. A Mulher Da Casa Abandonada, meu novo doc baseado no podcast de Chico Felitti, tá disponível!</t>
  </si>
  <si>
    <t>https://bit.ly/45pLY0N</t>
  </si>
  <si>
    <t>primevideofr</t>
  </si>
  <si>
    <t>Prime Video France</t>
  </si>
  <si>
    <t>Juste un dernier été…
L’été où je suis devenue jolie, la saison finale, c’est sur Prime Video</t>
  </si>
  <si>
    <t>https://linktr.ee/primevideofrance</t>
  </si>
  <si>
    <t>rkgvideo</t>
  </si>
  <si>
    <t>RKG</t>
  </si>
  <si>
    <t>http://linktr.ee/rkgvideo</t>
  </si>
  <si>
    <t>u2_video</t>
  </si>
  <si>
    <t>Dedicated to @u2</t>
  </si>
  <si>
    <t>univervideo</t>
  </si>
  <si>
    <t>Univer Vídeo</t>
  </si>
  <si>
    <t>▫️Série A Vida de Jó | Já disponível
▫️Série Paulo, O Apóstolo | Já disponível
▫️Série O Senhor e a Serva | 30/09</t>
  </si>
  <si>
    <t>https://whatsapp.com/channel/0029Vav681AIXnltSRc50n0W</t>
  </si>
  <si>
    <t>Movie &amp; TV Clips | CineMatz</t>
  </si>
  <si>
    <t>Company: @cine.matz
Sharing the best of video ❤️🎥</t>
  </si>
  <si>
    <t>http://cinematz.com</t>
  </si>
  <si>
    <t>video_4fun</t>
  </si>
  <si>
    <t>VIDEO_4FUN | ویدیو فور فان</t>
  </si>
  <si>
    <t>😂 فقط واسه خنده
تنها راه ارتباط با ما برای هماهنگی👇🏻</t>
  </si>
  <si>
    <t>http://t.me/Video_4Fun</t>
  </si>
  <si>
    <t>video.hohma</t>
  </si>
  <si>
    <t>Смех И Радость!</t>
  </si>
  <si>
    <t>Увидел себя пиши🤗
If your rights are violated, please write to us.
⚠️please dm for credit or removal</t>
  </si>
  <si>
    <t>_videojames_ig</t>
  </si>
  <si>
    <t>Brandon D’Arcy</t>
  </si>
  <si>
    <t>VO/VA
VideoJamesRequestLine@gmail.com
🔻 If you feel like supporting me 🔻</t>
  </si>
  <si>
    <t>https://linktr.ee/_videojames_</t>
  </si>
  <si>
    <t>video.kek</t>
  </si>
  <si>
    <t>Юмор | Видео 😉</t>
  </si>
  <si>
    <t>😆Твое настроение здесь
😎Юмор для своих людей
😂ЛОЛ КЕК ЧЕБУРЕК</t>
  </si>
  <si>
    <t>https://1wplay.com/IG</t>
  </si>
  <si>
    <t>videolee</t>
  </si>
  <si>
    <t>Lee Hutchinson</t>
  </si>
  <si>
    <t>🌍♾️💛
Building @butterflyeffect 
Click here to help me spread love! ⬇️</t>
  </si>
  <si>
    <t>https://thebutterflyeffect.com/products/necklace</t>
  </si>
  <si>
    <t>video_otkr</t>
  </si>
  <si>
    <t>Leyla</t>
  </si>
  <si>
    <t>-Реклама и сотрудничество в direct 
-Мой телеграмм👇🏻</t>
  </si>
  <si>
    <t>http://t.me/video_otkr</t>
  </si>
  <si>
    <t>vmas</t>
  </si>
  <si>
    <t>Video Music Awards</t>
  </si>
  <si>
    <t>The 2025 @MTV #VMAs are live SUNDAY at 8p ET on @cbstv and @paramountplus! 🚀</t>
  </si>
  <si>
    <t>wild.video</t>
  </si>
  <si>
    <t>Funny memes &amp; videos 😂 
Follow us for more ❤️
Tele: wild_vids
Wildvidspromo@gmail.com ✉️</t>
  </si>
  <si>
    <t>dj.videogames</t>
  </si>
  <si>
    <t>Dj Vídeo Games</t>
  </si>
  <si>
    <t>Lunes a Viernes 9:30am a 6:30pm
Sábados hasta las 4:30pm / Domingo NO laboramos
Tel: 829-687-9415
Escríbenos a 👇🏽</t>
  </si>
  <si>
    <t>gamivocom</t>
  </si>
  <si>
    <t>GAMIVO | digital video games</t>
  </si>
  <si>
    <t>💰 Helping you save $$ on video games
🔥 Gaming news, memes and more
😎 7+ years in business | 26 million games sold
🎮 Cheap games &amp; gift cards ⬇️</t>
  </si>
  <si>
    <t>https://gvo.deals/GAMIVO.com-IG</t>
  </si>
  <si>
    <t>videogames</t>
  </si>
  <si>
    <t>@videogames</t>
  </si>
  <si>
    <t>Never Stop Gaming</t>
  </si>
  <si>
    <t>https://linktr.ee/fullsquadgaming</t>
  </si>
  <si>
    <t>videogames4news</t>
  </si>
  <si>
    <t>Video Games News 🎮</t>
  </si>
  <si>
    <t>🔹 Daily News 
🔹 About Video Games
🔹 Updates and Trailers
🔹 DM or Email for Business</t>
  </si>
  <si>
    <t>videogamesve</t>
  </si>
  <si>
    <t>Video Games CC CityMarket</t>
  </si>
  <si>
    <t>🥇Tienda con 15 años de experiencia
🎮 Consolas, videojuegos y más…
📍CC City Market / Piso 3 / Nivel Feria / Local 309
🛵 Delivery
📲 Nuestro WhatsApp👇🏼</t>
  </si>
  <si>
    <t>https://wa.link/28ik5u</t>
  </si>
  <si>
    <t>video_games_view</t>
  </si>
  <si>
    <t>Video Games View</t>
  </si>
  <si>
    <t>Talking about Video Games🕹️
📩 Partnerships: DM or e-mail videogamesview2024@gmail.com
Follow: @video_games_view 🎯</t>
  </si>
  <si>
    <t>https://www.facebook.com/share/1HyEhrdSup/?mibextid=wwXIfr</t>
  </si>
  <si>
    <t>dreambeachmedia</t>
  </si>
  <si>
    <t>VIDEO PRODUCTION</t>
  </si>
  <si>
    <t>Dream Beach is a boutique, award-winning creative production house. 
Based nowhere, found everywhere</t>
  </si>
  <si>
    <t>https://linktr.ee/dreambeach</t>
  </si>
  <si>
    <t>videoproduction1</t>
  </si>
  <si>
    <t>Video Production</t>
  </si>
  <si>
    <t>🏡 Emlak
🌾 Arsa
🏭 İş yeri
🚘 Araç
🥳 Organizasyon
👰‍♀️ Düğün
👩‍❤️‍👨 Özel Gün
Vs. Her türlü çekiminiz profesyonel ekipman ile yapılır…
📩 irtibat DM</t>
  </si>
  <si>
    <t>https://youtube.com/@HAIRASMRCEYHUN</t>
  </si>
  <si>
    <t>video_production_school</t>
  </si>
  <si>
    <t>Become a Filmmaker with help of the internet 🙌</t>
  </si>
  <si>
    <t>Get BETTER Every Day!💪
FREE Resources ⬇️</t>
  </si>
  <si>
    <t>https://videoproductionschool.online/</t>
  </si>
  <si>
    <t>_vintage.finds</t>
  </si>
  <si>
    <t>Vintage Finds</t>
  </si>
  <si>
    <t>@u_s_a.vintage 
مختصين ببيع الملابس النادرة و الاصلية حصراً
يمكن للزبون رفض الطلب اذا كانت القطعة غير مطابقة للصورة
توصيل جميع المحافظات 5</t>
  </si>
  <si>
    <t>demolaviolinist</t>
  </si>
  <si>
    <t>Demola</t>
  </si>
  <si>
    <t>Appearances @goodmorningamerica 
@abcnews 
🇺🇸 
Travel 🌍
GREAT MUSIC ISN'T CHEAP! Email 📧 for Booking(Serious inquiries only)
🎶⬇</t>
  </si>
  <si>
    <t>https://www.demolatheviolinist.com/tour</t>
  </si>
  <si>
    <t>dominiquehammonsviolin</t>
  </si>
  <si>
    <t>Dominique Hammons</t>
  </si>
  <si>
    <t>International Recording Violinist 🎻
1.2M Followers on TikTok
💿 Soul Capsule Vol 3.,  OUT NOW on all streaming platforms!
‼️*THIS IS MY ONLY PAGE* ‼️</t>
  </si>
  <si>
    <t>https://linktr.ee/dominiquehammons</t>
  </si>
  <si>
    <t>joshuec3</t>
  </si>
  <si>
    <t>Joshue Ashby / Violín Creativo</t>
  </si>
  <si>
    <t>▪️Cursos de Violín @violincreativolat 
▪️Violinista 🎻 @osndepanama🇵🇦
▪️Alumni @berkleecollege
▪️Director #c3project 
▪️Música en vivo para eventos</t>
  </si>
  <si>
    <t>https://bit.ly/infocursoviolin</t>
  </si>
  <si>
    <t>noemiviolinbarcelona</t>
  </si>
  <si>
    <t>NOEMI VIOLIN | Violinista Electrico</t>
  </si>
  <si>
    <t>🎻Electric Violinist
📧bookings@noemiviolin.com
📲 +34 641890718
🎶Bodas/ Eventos/ Weddings/ Events/ Parties/ Fiestas/ Cumpleaños/ Birthdays</t>
  </si>
  <si>
    <t>http://www.noemiviolin.com</t>
  </si>
  <si>
    <t>raychenviolin</t>
  </si>
  <si>
    <t>Ray Chen</t>
  </si>
  <si>
    <t>Cofounder of @tonicmusicapp 🎵
Practicing on Tonic today👇🏼</t>
  </si>
  <si>
    <t>https://downloadtonic.com/join-in</t>
  </si>
  <si>
    <t>theviolinchannel</t>
  </si>
  <si>
    <t>The Violin Channel</t>
  </si>
  <si>
    <t>World’s Leading Classical Music News and Streaming Platform. Way More Than Strings.</t>
  </si>
  <si>
    <t>http://theviolinchannel.com</t>
  </si>
  <si>
    <t>violin_.boutique</t>
  </si>
  <si>
    <t>Violin boutique🎻</t>
  </si>
  <si>
    <t>بوتيك ملابس تركية محتشمة
متوفر زين كاش
( اللَّهُ لَطِيفٌ بِعِبَادِهِ يَرْزُقُ مَن يَشَاءُ ۖ وَهُوَ الْقَوِيُّ الْعَزِيزُ )
توصيل 5 لكل محافظات العراق.</t>
  </si>
  <si>
    <t>https://www.facebook.com/profile.php?id=100089730965019&amp;mibextid=LQQJ4d</t>
  </si>
  <si>
    <t>violinia.de</t>
  </si>
  <si>
    <t>Zhanna Stelmakh</t>
  </si>
  <si>
    <t>🎻Artist/ Composer based in 🇩🇪 
📧 Booking / PR / AD via 📧 violinia.st@gmail.com
🎶 Spotify &amp; ITunes by the name ViOLiNiA
🚀On TikTok 1,7M followers🚀</t>
  </si>
  <si>
    <t>https://linktr.ee/ViOLiNiA</t>
  </si>
  <si>
    <t>violinikz</t>
  </si>
  <si>
    <t>🎻 𝐕𝐢𝐨𝐥𝐢𝐧 🎼</t>
  </si>
  <si>
    <t>🎻 | 𝐖𝐞 ❤ 𝐕𝐢𝐨𝐥𝐢𝐧 💓
🎶 |𝐃𝐚𝐢𝐥𝐲 𝐇𝐐 𝐏𝐢𝐜𝐬 𝐚𝐧𝐝 𝐕𝐢𝐝𝐬 🏆
🔔| 𝐅𝐨𝐥𝐥𝐨𝐰 𝐔𝐬 👇 #teamvirgo</t>
  </si>
  <si>
    <t>https://zshorten.com/yO3y3</t>
  </si>
  <si>
    <t>violin.mehdi.habibi</t>
  </si>
  <si>
    <t>Mehdi Habibi</t>
  </si>
  <si>
    <t>زندگی صحنه ی یکتای هنرمندی ماست</t>
  </si>
  <si>
    <t>https://bio.link/mehdihab</t>
  </si>
  <si>
    <t>violin_phonix</t>
  </si>
  <si>
    <t>Violin Phonix</t>
  </si>
  <si>
    <t>🎧 Take Me to Church (Cover)
⬇️ Out Now on All Platforms ⬇️
————————————
📩contact@violinphonix.com                        @maximemorise @chrisjamesco</t>
  </si>
  <si>
    <t>https://linktr.ee/violinphonix</t>
  </si>
  <si>
    <t>virtualreality.club</t>
  </si>
  <si>
    <t>VIRTUAL</t>
  </si>
  <si>
    <t>Camisetas e acessórios automotivos 
Loja aberta! Acesse ⤵️</t>
  </si>
  <si>
    <t>http://virtualbrasil.club</t>
  </si>
  <si>
    <t>virtual_reality_ma</t>
  </si>
  <si>
    <t>Virtual Reality</t>
  </si>
  <si>
    <t>Espace de jeux VR - Simulateurs Racing - Pc Gaming - Ps5 - Events (TB - Anniv)
Infos au +212 6 75 67 35 63
📍Centre commercial Borj Fez</t>
  </si>
  <si>
    <t>virtualrealityoasis</t>
  </si>
  <si>
    <t>Virtual Reality Oasis</t>
  </si>
  <si>
    <t>VR content creator on YouTube 😎 #VR #VirtualReality</t>
  </si>
  <si>
    <t>http://www.youtube.com/virtualrealityoasis</t>
  </si>
  <si>
    <t>vrworld.ja</t>
  </si>
  <si>
    <t>🎮🅅🄸🅁🅃🅄🄰🄻 🅁🄴🄰🄻🄸🅃🅈🎮</t>
  </si>
  <si>
    <t>Amusement &amp; Theme Park</t>
  </si>
  <si>
    <t>̾JAMAICA'S ELITE AMUSEMENT CENTER
CLOSED ON MONDAYS
OPEN TUES-FRI 4PM-10PM
SAT &amp; SUN 12pm-10pm
Socks Required for Gaming Areas.
Vrworld.ja.foodcourt</t>
  </si>
  <si>
    <t>https://www.tiktok.com/@vrworld.ja?_t=8rta2roOb5k&amp;_r=1</t>
  </si>
  <si>
    <t>blogger_ai_001</t>
  </si>
  <si>
    <t>Vlogger  Al 🥷🏻</t>
  </si>
  <si>
    <t>🇮🇳Model | Dreamer | Creator
📍✈️ Global 😱🔱
$ DM for paid promotion💸💬
♥️Please 100K Followers 🎯</t>
  </si>
  <si>
    <t>https://www.youtube.com/@Motupatlu01_video</t>
  </si>
  <si>
    <t>elphick.event.ponies</t>
  </si>
  <si>
    <t>Megan Elphick - Equestrian vlogger</t>
  </si>
  <si>
    <t>I tell my horses’ stories for a living 🎥
💻 elphickeventponies@outlook.com</t>
  </si>
  <si>
    <t>https://www.elphickeventponies.co.uk/</t>
  </si>
  <si>
    <t>fifis_welsh_ponies</t>
  </si>
  <si>
    <t>Fifi Andrews - Equestrian Vlogger</t>
  </si>
  <si>
    <t>⭐️FIFI ANDREWS ⭐️
 23 yr old from Essex starting my eventing journey 🐎
📩Fifiandrewsponies@gmail.com</t>
  </si>
  <si>
    <t>https://linktr.ee/fifis_welsh_ponies</t>
  </si>
  <si>
    <t>laurgarage</t>
  </si>
  <si>
    <t>𝑳𝒂𝒖𝒓 𝑮𝒂𝒓𝒂𝒈𝒆 | 𝑽𝒍𝒐𝒈𝒈𝒆𝒓 𝑪𝒂𝒎𝒊𝒐𝒏𝒆𝒓𝒐 |</t>
  </si>
  <si>
    <t>🚛 Camionero 24/7 | YouTuber 
🎥 Videos de camiones, mecánica y otras cosas
📍 🇷🇴 + 🇪🇸 
⚡ “Camionero se nace, no se hace”
⬇️ YouTube y más contenido</t>
  </si>
  <si>
    <t>melanycmakeup</t>
  </si>
  <si>
    <t>MEL💄 || maquilladora &amp; beauty vlogger ®</t>
  </si>
  <si>
    <t>Makeup •Beauty &amp; Lifestyle✨
Work/Pr: 📧infomelanycmakeup@gmail.com 
¡también tengo mi academia de makeup 💄!
📣Info de citas , cursos y asesorías 👇🏻</t>
  </si>
  <si>
    <t>https://beacons.ai/cursosmelanycmakeup</t>
  </si>
  <si>
    <t>melibardet</t>
  </si>
  <si>
    <t>Meli Bardet | ✈️ Travel Vlogger</t>
  </si>
  <si>
    <t>🌍 Tips, comida y destinos 
✈️ +700k viajeros 
📲 Código @holafly_es: MeliBardet
⬇️ Links y descuentos</t>
  </si>
  <si>
    <t>https://linktr.ee/melibardet</t>
  </si>
  <si>
    <t>missgerberina</t>
  </si>
  <si>
    <t>Silvia ❤ Vlogger 📽</t>
  </si>
  <si>
    <t>Romana De Roma youtuber per gioco 🎥 Ti aspetto sul canale YouTube!
📩 BUSINESS MAIL missgerberina@gmail.com
📽</t>
  </si>
  <si>
    <t>https://app.temu.com/k/e9ovpj0aw3l</t>
  </si>
  <si>
    <t>motoevlogger</t>
  </si>
  <si>
    <t>Moto&amp;Vlogger</t>
  </si>
  <si>
    <t>Vamos criar uma comunidade Moto&amp;Vlog bacana aqui na plataforma?! SIGAM-ME OS BONS 😁</t>
  </si>
  <si>
    <t>http://tiktok.com/@motoevlogger</t>
  </si>
  <si>
    <t>nicksabroad</t>
  </si>
  <si>
    <t>Nick McCutcheon | Traveler - Vlogger - Storyteller</t>
  </si>
  <si>
    <t>27 •📍🇰🇪• YouTube👇🏼
Bikepacking Africa🚴🌍</t>
  </si>
  <si>
    <t>https://youtube.com/@nicksabroad?si=X2CtZ1gP8JxeMEu_</t>
  </si>
  <si>
    <t>scouse_vlogger_danielle</t>
  </si>
  <si>
    <t>Danielle Allan</t>
  </si>
  <si>
    <t>vloggerlebahmaduindonesia</t>
  </si>
  <si>
    <t>VLOGGER LEBAH MADU INDONESIA</t>
  </si>
  <si>
    <t>Madu hutan buruan kami sendiri asli 100%
Tanpa campuran bahan kimia atau zat lainnya
Shopee/Toped : vloggerlebahmaduindonesia
WA : 087872533234
Link👇</t>
  </si>
  <si>
    <t>http://shopee.co.id/vloggerlebahmaduindonesia</t>
  </si>
  <si>
    <t>vlogger.pappu_</t>
  </si>
  <si>
    <t>Vlogger Pappu</t>
  </si>
  <si>
    <t>📍 Hello Dosto | I'm pappu 🙈
🎥 Tracking • Monkey • Vlogs 
🖥️Not Al... we're asli 😀
📍Email for paid promotion🛍️↘️
#ai #vlogging #tracking #monkey</t>
  </si>
  <si>
    <t>https://t.me/+UQLP-Fbf-6M5NTk1</t>
  </si>
  <si>
    <t>aauvolleyball</t>
  </si>
  <si>
    <t>AAU Volleyball</t>
  </si>
  <si>
    <t>The official account of AAU Volleyball. #aauvolleyball</t>
  </si>
  <si>
    <t>https://linktr.ee/aauvolleyball</t>
  </si>
  <si>
    <t>kuvolleyball</t>
  </si>
  <si>
    <t>Kansas Volleyball</t>
  </si>
  <si>
    <t>Official Instagram of Kansas Volleyball
🏆 2016 Big 12 Champions 
🏐 2015 NCAA Semifinalists
🏐 12 NCAA Tournament Appearances</t>
  </si>
  <si>
    <t>https://kuathletics.com/sports/wvball/</t>
  </si>
  <si>
    <t>smuvolleyball</t>
  </si>
  <si>
    <t>SMU Volleyball</t>
  </si>
  <si>
    <t>Official account of SMU Volleyball 🏐 #GoMustangs🐎 | Head Coach @sam_erger | Recruiting Coord. @christa.branson</t>
  </si>
  <si>
    <t>https://smumustangs.evenue.net/events/VB-SINGLE?RSRC=social&amp;RDAT=v&amp;utm_source=singles&amp;utm_medium=social&amp;utm_campaign=v&amp;utm_content=buy</t>
  </si>
  <si>
    <t>tcuvolleyball</t>
  </si>
  <si>
    <t>TCU Volleyball</t>
  </si>
  <si>
    <t>The Official Instagram of TCU Volleyball 🏐🐸
Proud Member of the @big12conference</t>
  </si>
  <si>
    <t>https://linktr.ee/tcuvolleyball</t>
  </si>
  <si>
    <t>usavolleyball</t>
  </si>
  <si>
    <t>USA Volleyball</t>
  </si>
  <si>
    <t>Official account of USA Volleyball, the National Governing Body of 🏐 in the 🇺🇸
Your path begins here #PathtothePodium
⬇️ News, features and more!</t>
  </si>
  <si>
    <t>http://sprout.link/usavolleyball</t>
  </si>
  <si>
    <t>The Volleyball Team😎</t>
  </si>
  <si>
    <t>‘VolleyGuys’ on Youtube &amp; Tik-Tok🎬🎥 
⬇️ Backyard Volleyball vs @outofsystemofficial</t>
  </si>
  <si>
    <t>https://youtu.be/LdLc0VmPwHk</t>
  </si>
  <si>
    <t>volleyballjunkie</t>
  </si>
  <si>
    <t>Volleyball junkie</t>
  </si>
  <si>
    <t>The #1 Source For Volleyball, Tips &amp; Memes! 
🛍️ shop link below</t>
  </si>
  <si>
    <t>http://volleyballjunkie.com</t>
  </si>
  <si>
    <t>volleyballworld</t>
  </si>
  <si>
    <t>Volleyball World</t>
  </si>
  <si>
    <t>The official home of Volleyball. 🏆</t>
  </si>
  <si>
    <t>https://bit.ly/VBTV_VBW</t>
  </si>
  <si>
    <t>codingbyibrahim</t>
  </si>
  <si>
    <t>Web Development</t>
  </si>
  <si>
    <t>🧑‍💻 Self-Taught Frontend dev from 🇵🇰
🙌 Helping you learn &amp; 100x your coding skills.
💻 Coding | 🕹️ Gaming.
🔗 YouTube Channel 👇</t>
  </si>
  <si>
    <t>https://bit.ly/3FmMLEY</t>
  </si>
  <si>
    <t>learn_web_development</t>
  </si>
  <si>
    <t>▶️DM for promo | web development services | removal of post in case of missed credit
#learn_web_development #web_developer
#webdevelopment #webdev</t>
  </si>
  <si>
    <t>webdevelopment657</t>
  </si>
  <si>
    <t>Webdeveloper</t>
  </si>
  <si>
    <t>🔹 Crafting stunning websites 
📚 Learn &amp; Build with me daily
🧑‍💻 Freelancer
🤝 DM for Collaborations &amp; Projects
🎯 200K+ web enthusiasts</t>
  </si>
  <si>
    <t>https://telegram.me/webdevelopment657</t>
  </si>
  <si>
    <t>web_development_legend</t>
  </si>
  <si>
    <t>AI | Tools | Coding - 300K 🎯</t>
  </si>
  <si>
    <t>❤️ Towards Coding &amp; AI
🌐 Working With 300+ Brands
📩 DM/Email For Promotion
𝐖𝐞𝐛.𝐝𝐞𝐯𝐞𝐥𝐨𝐩𝐦𝐞𝐧𝐭.𝐥𝐞𝐠𝐞𝐧𝐝@𝐠𝐦𝐚𝐢𝐥.𝐜𝐨𝐦</t>
  </si>
  <si>
    <t>https://t.me/developperHome</t>
  </si>
  <si>
    <t>web_development_wizard</t>
  </si>
  <si>
    <t>𝗖𝗼𝗱𝗶𝗻𝗴 ● 𝗔𝗜 ● 𝗙𝘂𝗹𝗹𝗦𝘁𝗮𝗰𝗸 👨‍💻 𝟮𝟬𝟬𝗸🎯 | 𝗨𝗦𝗔 🇺🇸</t>
  </si>
  <si>
    <t>👨‍💻 | Daily Web Posts and Reels
💬 | DM For Paid Promotion 
📩 | webdevelopmentwizard0@gmail.com</t>
  </si>
  <si>
    <t>daddywellness</t>
  </si>
  <si>
    <t>Richie Lovelace</t>
  </si>
  <si>
    <t>Worlds Healthiest Degen🍻
Host of @tsltime</t>
  </si>
  <si>
    <t>https://links.daddywellness.com/</t>
  </si>
  <si>
    <t>dlcwellness</t>
  </si>
  <si>
    <t>DLCWellness, Anxiety, ADHD &amp; Mental Health Community</t>
  </si>
  <si>
    <t>World’s largest wellness movement | 2.6M helped | 40M/month reach | Celebrity-trusted coach 🎙 | 300K+ books sold | Transformational retreats</t>
  </si>
  <si>
    <t>https://www.dlcanxiety.com/the-dlc-recovery-method</t>
  </si>
  <si>
    <t>furry.wellness6</t>
  </si>
  <si>
    <t>Furry Wellness</t>
  </si>
  <si>
    <t>Protect your little loved ones🙏
Get my favorite liquid collagen⬇️</t>
  </si>
  <si>
    <t>https://amzn.to/4lJANYd</t>
  </si>
  <si>
    <t>healthsecrets365_</t>
  </si>
  <si>
    <t>Health and Wellness</t>
  </si>
  <si>
    <t>🍃| Sharing health and wellness SECRETS
✉️| DM me "RECIPES" for FREE weight loss recipes
👇| Get Soursop Bitters HERE</t>
  </si>
  <si>
    <t>https://amzn.to/4lwL1dY</t>
  </si>
  <si>
    <t>homewellnessmassage</t>
  </si>
  <si>
    <t>Home Wellness - Centro de Masajes</t>
  </si>
  <si>
    <t>📍Surco - San Miguel - Miraflores - Barranco - San Borja 
🕙 Lunes a Sábado 8:00am - 8:30pm
✉️ comercial@homewellness.com.pe</t>
  </si>
  <si>
    <t>idea.wellness</t>
  </si>
  <si>
    <t>IDEA Egypt - HEALTH &amp; WELLNESS</t>
  </si>
  <si>
    <t>📍Heliopolis 
📍El Gouna
📍New Cairo
📍Sahel 
📍Nile Ritz Carlton, Kempinski
.
-&gt; GYM, Weightloss, BodyBuilding, PhysioTherapy, 
KickBoxing, Yoga, Pilates</t>
  </si>
  <si>
    <t>https://maps.app.goo.gl/7FYGAhgMY4f9raTJ6?g_st=ic</t>
  </si>
  <si>
    <t>joey_wellness</t>
  </si>
  <si>
    <t>Joey Wellness</t>
  </si>
  <si>
    <t>Breaking down what’s ‘really’ inside your favorite foods
DM me “SUGAR GUIDE” for my free sugar guide 
joey@joeywellness.com</t>
  </si>
  <si>
    <t>http://hoo.be/joeywellness</t>
  </si>
  <si>
    <t>kromawellness</t>
  </si>
  <si>
    <t>Kroma Wellness</t>
  </si>
  <si>
    <t>WHY ARE YOU DRINKING COW COLOSTRUM? 
Introducing Super Core: 
The first non-dairy colostrum - made for humans, not baby cows.</t>
  </si>
  <si>
    <t>https://linktr.ee/kromawellness</t>
  </si>
  <si>
    <t>macawellness</t>
  </si>
  <si>
    <t>MACA | Nutricionista, RD 🇵🇪🇺🇸</t>
  </si>
  <si>
    <t>MSc en Microbiota Humana 🦠🔬
🧬 nutrición real • salud digestiva • lifestyle medicine
🫀 autora &amp; speaker
🏃🏽‍♀️ 42k x 7 | team @adidaspe
MASTERCLASS⬇️</t>
  </si>
  <si>
    <t>https://linktr.ee/macawellness</t>
  </si>
  <si>
    <t>qspamiraflores</t>
  </si>
  <si>
    <t>Q Spa &amp; Wellness</t>
  </si>
  <si>
    <t>Tu oasis de tranquilidad en el corazón de Miraflores. (Sótano del Hotel Miramar) 
Lunes a Domingo: 9am-9pm 
Reservas 👇🏼</t>
  </si>
  <si>
    <t>http://www.qspamiraflores.com</t>
  </si>
  <si>
    <t>thewellnessprocesspod</t>
  </si>
  <si>
    <t>The Wellness Process</t>
  </si>
  <si>
    <t>a top alternative health podcast by @elizaend
self-work + self-care + niche wellness finds
💌 talent@pontefirm.com
LISTEN HERE👇🏼🎧</t>
  </si>
  <si>
    <t>http://linktr.ee/thewellnessprocess</t>
  </si>
  <si>
    <t>wellnessbyjade</t>
  </si>
  <si>
    <t>Jade Bessé</t>
  </si>
  <si>
    <t>Poetry girl, bienvenue dans ta safe place🌈🧚 
Mom of « Tais-Toi » Podcast 🎙️
contact: wellnessbyjadepro@gmail.com
paris / hossegor</t>
  </si>
  <si>
    <t>https://linktr.ee/wellnessbyjade</t>
  </si>
  <si>
    <t>wellnessmaddie1</t>
  </si>
  <si>
    <t>WellnessMaddie</t>
  </si>
  <si>
    <t>Follow for more health secrets they don’t teach in schools! ❤️
• Best Moringa supplement on Amazon! 👇</t>
  </si>
  <si>
    <t>http://www.amazon.com/gp/product/B0D52NMWFT?smid=A36AF9IKJDK4ZW&amp;th=1&amp;linkCode=ll1&amp;tag=fi0a0-20&amp;linkId=9eab8ca1278932edeea595c0be8dae0e&amp;language=en_US&amp;ref_=as_li_ss_tl</t>
  </si>
  <si>
    <t>wellnessrains</t>
  </si>
  <si>
    <t>courtney | holistic motherhood made simple</t>
  </si>
  <si>
    <t>• certified holistic health coach
• all things homemade + low tox
📧: jody@TheArteAgency.com
homemade kitchen staples guide + discounts ⤵️</t>
  </si>
  <si>
    <t>https://shop.beacons.ai/wellnessrains/7fe716d8-d447-429d-aedf-a7a43ee09d42</t>
  </si>
  <si>
    <t>animalsvault</t>
  </si>
  <si>
    <t>Wild Animals</t>
  </si>
  <si>
    <t>If You Are An Animal Lover Click Follow!
#1 Wildlife Page On Instagram🏆
📩 Dm for credit/removal</t>
  </si>
  <si>
    <t>wildanimals</t>
  </si>
  <si>
    <t>🦒 Daily posts of God’s amazing creation! 🦍 
🐘 Follow for wildlife photography and facts! 🐋
🦆Dm for credit/removal!📸</t>
  </si>
  <si>
    <t>w.i.l.d.a.n.i.m.a.l.s</t>
  </si>
  <si>
    <t>Products, objects, animals by @ropvanmierlo</t>
  </si>
  <si>
    <t>http://wild-animals.nl</t>
  </si>
  <si>
    <t>wildanimals097</t>
  </si>
  <si>
    <t>Raise awareness and share
educational information to protect Wild Animals and the environmet *
Let's protect our planet together!
#wildlife #nature #</t>
  </si>
  <si>
    <t>https://www.facebook.com/animallovers110?mibextid=2JQ9oc</t>
  </si>
  <si>
    <t>wild_animals2025</t>
  </si>
  <si>
    <t>wild.animals</t>
  </si>
  <si>
    <t>Wildlife Sanctuary</t>
  </si>
  <si>
    <t>Exploring the wild side of nature — real stories of wildlife, rescues, and the beauty of untamed life.</t>
  </si>
  <si>
    <t>wildanimalsanctuary</t>
  </si>
  <si>
    <t>The Wild Animal Sanctuary</t>
  </si>
  <si>
    <t>A 33,000-acre Network Of Sanctuaries with Over RESCUED Animals That Need Your Help!
@wildhorserefuge #TheWildAnimalRefuge #TheWildAnimalSanctuary</t>
  </si>
  <si>
    <t>https://www.wildanimalsanctuary.org/twasinstagram</t>
  </si>
  <si>
    <t>wild_animalsgram</t>
  </si>
  <si>
    <t>Animal Lovers Community</t>
  </si>
  <si>
    <t>🐶😺🐼🐫🐯🐇🐴🐊🐺🐆🐨🐘🐈
🐾 Daily animal videos to make your day a little better
Order Here 👇 (50% OFF)</t>
  </si>
  <si>
    <t>https://linktr.ee/dogscomfy</t>
  </si>
  <si>
    <t>wildanimalspro</t>
  </si>
  <si>
    <t>Wild animals</t>
  </si>
  <si>
    <t>NATURE🌴|WILDLIFE🦄
🐒Welcome to the world of wild animals🐒</t>
  </si>
  <si>
    <t>wildanimalsvid</t>
  </si>
  <si>
    <t>#wildanimals #wildlife</t>
  </si>
  <si>
    <t>wild_animals_world__</t>
  </si>
  <si>
    <t>Wild Animals World</t>
  </si>
  <si>
    <t>Hello Friends Follow my You tube  Page and Subscribe. keep spot.</t>
  </si>
  <si>
    <t>https://www.youtube.com/@wildanimalsworld-k6p</t>
  </si>
  <si>
    <t>dil_ki_baatein_99_love</t>
  </si>
  <si>
    <t>Wild life Lover</t>
  </si>
  <si>
    <t>#ezy__RJ</t>
  </si>
  <si>
    <t>wildlife__lover</t>
  </si>
  <si>
    <t>دوستدار حیات‌وحش 🦁</t>
  </si>
  <si>
    <t>سلام! من دوستدار حیات‌وحش هستم. ⁦🙋🏻‍♂️
با تصاویر، ویدیوهای زیبا و دانستنی‌های حیات‌وحش همراه من باشید.
#حیات_وحش #حیوانات الحیاة البریة #wildlife</t>
  </si>
  <si>
    <t>wildlife_lover_pti</t>
  </si>
  <si>
    <t>Wildlife_Lover</t>
  </si>
  <si>
    <t>🦌तन की मोहब्बत में खुद को तपाये बैठे है 
मरेंगे वतन के लिए शर्त मौत से लगायें बैठे हैं 🦌
                 💞 Wildlife lover💞
WhatsApp - 9341101058</t>
  </si>
  <si>
    <t>aesthetticoutfits</t>
  </si>
  <si>
    <t>Womenswear Streetwear</t>
  </si>
  <si>
    <t>☆ Daily Fashion Inspiration 
Get Inspired Everyday ♡
Tag @aesthetticoutfits to be featured</t>
  </si>
  <si>
    <t>aurelia_womenswear</t>
  </si>
  <si>
    <t>Aurelia</t>
  </si>
  <si>
    <t>Ananya’s picks for the season are finally here!✨
Be #HameshaTrending this festive season. 💕</t>
  </si>
  <si>
    <t>https://bit.ly/3Ahfyui</t>
  </si>
  <si>
    <t>everattireuk</t>
  </si>
  <si>
    <t>Ever Attire Womenswear</t>
  </si>
  <si>
    <t>hotspot_womenswear</t>
  </si>
  <si>
    <t>Hotspot womenswear</t>
  </si>
  <si>
    <t>order online -8111025025
CHENNAI - PONDICHERRY-COIMBATORE-THIRUVALLUR- VELLORE-SALEM-THANJAVUR -ARNI
Click the below link for full address</t>
  </si>
  <si>
    <t>https://taplink.cc/hotspotoutfits</t>
  </si>
  <si>
    <t>mavenwomenswear</t>
  </si>
  <si>
    <t>Maven Womenswear</t>
  </si>
  <si>
    <t>Always On Trend &amp; Dedicated To Helping You Create A Reflection Of Yourself That You Love!</t>
  </si>
  <si>
    <t>https://mavenwomenswear.com</t>
  </si>
  <si>
    <t>meetbernard</t>
  </si>
  <si>
    <t>Meet Bernard • Menswear, Womenswear &amp; Lifestyle</t>
  </si>
  <si>
    <t>South East London's oldest independent fashion and lifestyle store, for men, women, and everyone else.
Nice to meet you.</t>
  </si>
  <si>
    <t>https://linktr.ee/meetbernard</t>
  </si>
  <si>
    <t>republicwomenswear</t>
  </si>
  <si>
    <t>REPUBLIC WOMENSWEAR</t>
  </si>
  <si>
    <t>A vision of timeless craft, luxury and femininity.
Bridal Wear: @republicwomenswearcouture</t>
  </si>
  <si>
    <t>https://linktr.ee/republicwomenswear</t>
  </si>
  <si>
    <t>shagun_ethnic</t>
  </si>
  <si>
    <t>womens_wear</t>
  </si>
  <si>
    <t>▪️Girls Best Ethnic Wear
▪️Best Quality
▪️Cod Available
▪️Order On 👇Whatsapp This No.
▪️+91 9512142032
▪️👇Touch this link for more Inquiry</t>
  </si>
  <si>
    <t>http://wa.me/919512142032</t>
  </si>
  <si>
    <t>traffygirls</t>
  </si>
  <si>
    <t>Womenswear</t>
  </si>
  <si>
    <t>The Best of Womenswear Since 2019 
"Embracing Your Love of Fashion and Beauty"
•For Feature =Tag us or use #traffygirls</t>
  </si>
  <si>
    <t>workoutroutine</t>
  </si>
  <si>
    <t>🤸‍♂️Health-fitness-motivation
DM for collaboration 
🥝Best calorie guide
Get your personalised diet chart 
🏋️‍♂️Workout tips
🥣Nutritional facts</t>
  </si>
  <si>
    <t>workoutroutines</t>
  </si>
  <si>
    <t>📆 Daily Gym workouts &amp; Tips 📆</t>
  </si>
  <si>
    <t>💪Best Fitness Routines
📚Nutrition &amp; fitness tips
📩Email for business inquires
👇Follow for daily posts</t>
  </si>
  <si>
    <t>world_cuisine92</t>
  </si>
  <si>
    <t>culladiteby</t>
  </si>
  <si>
    <t>Prodotti ecologici Zero Waste | CullaDiTeby</t>
  </si>
  <si>
    <t>Dal 2012 🪡🧵 prodotti ecosostenibili HAND MADE IN ITALY Pannolini lavabili e casa zero waste
@tebypink Eco Mestruazioni
Green revolution👇</t>
  </si>
  <si>
    <t>https://bio.site/TebyLovePlanet</t>
  </si>
  <si>
    <t>makeyougreener</t>
  </si>
  <si>
    <t>Valeria &amp; Sonia | Creators con Shop Plastic Free e Zero Waste</t>
  </si>
  <si>
    <t>Il mondo non cambia finché non cambi cosa compri 🫂🌱🌎
☼Shop plastic free con alternative più sostenibili 
☼mail for collab💌</t>
  </si>
  <si>
    <t>https://linktr.ee/makeyougreener</t>
  </si>
  <si>
    <t>wastefreeplanet</t>
  </si>
  <si>
    <t>Waste Free Planet | Zero Waste</t>
  </si>
  <si>
    <t>🌏Empowering you to make sustainable choices
💚Eco-conscious lifestyle, education &amp; recipes
🌿Tag us #wastefreeplanet #wastefreegarden
⇩ EBOOK+PETITIONS</t>
  </si>
  <si>
    <t>https://www.wastefreeplanet.org/links</t>
  </si>
  <si>
    <t>zeero.ru</t>
  </si>
  <si>
    <t>ZEERO – Zero Waste магазин</t>
  </si>
  <si>
    <t>🌿 Полезные товары для жизни без мусора
🚚 Доставка по всей России и не только
📦 Упаковка без пластика
🎁 Экоподарки</t>
  </si>
  <si>
    <t>https://taplink.cc/zeero</t>
  </si>
  <si>
    <t>zerowastebali</t>
  </si>
  <si>
    <t>Zero Waste Bali ®</t>
  </si>
  <si>
    <t>🌱 700+ organic + natural food + eco products. 
📱 WA +6287862305959
🛒 SHOP ONLINE ⬇️
💚 Shop in store KEROBOKAN</t>
  </si>
  <si>
    <t>http://linktr.ee/Zerowastebali</t>
  </si>
  <si>
    <t>zerowastecartel</t>
  </si>
  <si>
    <t>Zero Waste Cartel</t>
  </si>
  <si>
    <t>S U S T A I N A B I L I T Y
Shop ❁ Inspo ❁ Tips &amp; tricks
Estd. 2018
reduce 🌿 reuse 🌿 recycle
👇👇👇</t>
  </si>
  <si>
    <t>https://zerowastecartel.com</t>
  </si>
  <si>
    <t>zerowastedaniel</t>
  </si>
  <si>
    <t>zero waste daniel</t>
  </si>
  <si>
    <t>Upcycled clothing &amp; accessories for all. handmade in NYC.  For partnerships + commissions - DM or Email. 
#zerowaste #upcycling #sustainability</t>
  </si>
  <si>
    <t>http://www.zerowastedaniel.com/</t>
  </si>
  <si>
    <t>zerowastehome</t>
  </si>
  <si>
    <t>Bea Johnson</t>
  </si>
  <si>
    <t>“Mother of the zero waste lifestyle”CNN
Motivational Speaker🤗
Author of Zero Waste Home (29 languages)🤓
I eat meat and I fly 😱</t>
  </si>
  <si>
    <t>https://linktr.ee/zerowastehome</t>
  </si>
  <si>
    <t>zerowastestore</t>
  </si>
  <si>
    <t>ZWS.com</t>
  </si>
  <si>
    <t>♻️ Learn how to live a more zero waste lifestyle
🤝 Progress &gt; perfection
🌎 Shop 1,000+ plastic-free essentials 
⭐️ 30,000+ five-star reviews</t>
  </si>
  <si>
    <t>https://linktr.ee/zerowastestore</t>
  </si>
  <si>
    <t>myzoomg</t>
  </si>
  <si>
    <t>Zoomg | زومجی</t>
  </si>
  <si>
    <t>🎮 خونه‌ی همیشگی عاشقان بازی‌های ویدیویی🎥
لینک‌های مفید و شرکت در قرعه‌کشی FC26 👇</t>
  </si>
  <si>
    <t>http://thezoomg.yek.link</t>
  </si>
  <si>
    <t>zoofficial</t>
  </si>
  <si>
    <t>ZOO</t>
  </si>
  <si>
    <t>atleta fit model NPC 🇧🇷
cantora/compositora
📩 zoo@blickhaus.com</t>
  </si>
  <si>
    <t>https://linktr.ee/zoofficial</t>
  </si>
  <si>
    <t>diana_zumba_fit</t>
  </si>
  <si>
    <t>Diana ZIN™️▫️ZUMBA® ▫️ТРЕНЕР</t>
  </si>
  <si>
    <t>🔸Ifbb фитнес бикини 🥇
🔸Asian Championship 🥈
🔸директор фитнес клуба  @kolizeygym.kzo
🔸основатель @dianafit_studio_kzo
🔸амбассадор @sapura_medical</t>
  </si>
  <si>
    <t>https://api.whatsapp.com/send?phone=77074676555</t>
  </si>
  <si>
    <t>evde_spor_yapp</t>
  </si>
  <si>
    <t>Evde spor yap / Egzersiz / Pilates / Zumba</t>
  </si>
  <si>
    <t>Sağlıklı Beslenme ☀️ Spor 😍
Astroloji sayfam @sevgiaknofficiall 📄
#influencer 
REKLAM İÇİN DM 📩📩📩</t>
  </si>
  <si>
    <t>_gy.2x</t>
  </si>
  <si>
    <t>Zumba</t>
  </si>
  <si>
    <t>شباب تابعوا هذا الحساب.                                                      ls61.00</t>
  </si>
  <si>
    <t>olesya_zumba</t>
  </si>
  <si>
    <t>ZUMBA ПИЛАТЕС SALSA БАЧАТА  ФИТНЕС ЗВЕНИГОРОД</t>
  </si>
  <si>
    <t>Олеся Аверченкова
💓Влюбляю в танцы
 🧞А ещё веду BELLYDANCE
🏅2 место на турнире в Лужниках с командой учениц 
Любишь движение? 
ПИШИ СЮДА ⬇️</t>
  </si>
  <si>
    <t>raul_zumba</t>
  </si>
  <si>
    <t>Raul Zumba</t>
  </si>
  <si>
    <t>🎭 Mejor actor Nac. 2024
📱 1M TikTok | 🎥 47K YouTube
🧠 Digo lo que tú piensas pero no publicas
📩 raulzumba@cs-talents.com
🌍 Jaén | 🍽 60% en comida 👇</t>
  </si>
  <si>
    <t>https://wetaca.com/suscribete-a-wetaca/RAULZUMBA?utm_source=social&amp;utm_medium=social_paid&amp;utm_campaign=influencers</t>
  </si>
  <si>
    <t>sholpan_zumbafit</t>
  </si>
  <si>
    <t>ШОЛПАН| ОНЛАЙН | ОФЛАЙН ЗУМБА| ТАНЦЫ| АЛМАТЫ</t>
  </si>
  <si>
    <t>KAZAKHSTAN, ALMATY🇰🇿
На моих танцевальных тренировках ты похудеешь быстрее, чем на любом фитнесе✨
Онлайн тренировки по Зумбе+ Растяжка</t>
  </si>
  <si>
    <t>Dance fitness classes that are fun, energetic, and make you feel amazing. 
Download the Zumba® App! 👇🏽💃🏽 #StepIntoHappy</t>
  </si>
  <si>
    <t>http://lnk.bio/zumba</t>
  </si>
  <si>
    <t>zumbabeto</t>
  </si>
  <si>
    <t>Beto Perez</t>
  </si>
  <si>
    <t>I'm Alberto Perez, Creator and Co-founder of Zumba® Fitness. This is my official Instagram.
For inquiries &amp; collabs email
Zumbabeto100@gmail.com</t>
  </si>
  <si>
    <t>https://linktr.ee/betoperez</t>
  </si>
  <si>
    <t>zumba.kristin</t>
  </si>
  <si>
    <t>Kristin Soba | ZUMBA® Instructor &amp; Dancer</t>
  </si>
  <si>
    <t>📍 Stuttgart, Germany
🌟 ZUMBA Next Rising Presenter 2025
🎶 Download Warm-Up Music Mixes here ⤵️</t>
  </si>
  <si>
    <t>https://linktr.ee/zumbakristin</t>
  </si>
  <si>
    <t>zumba.suzy</t>
  </si>
  <si>
    <t>𝐒𝐔𝐙𝐘</t>
  </si>
  <si>
    <t>💃🏼@zumba ® Instructor international Presenter 
🛍️ @zumbawear Use code: ZUMBASUZY 
💊@bowmar_nutrition athlete Code:SUZY
🏋🏽‍♂️@f45westcarmel Trainer
📍🇺🇸</t>
  </si>
  <si>
    <t>https://linktr.ee/zumba.suzy</t>
  </si>
  <si>
    <t>makeup New York</t>
  </si>
  <si>
    <t>annyko</t>
  </si>
  <si>
    <t>PERMANENT MAKEUP NEW YORK | TRAINING PMU | ANNA JAVILI</t>
  </si>
  <si>
    <t>• International Speaker and Judge
PMU studio Founder @annyko.studio 
⚡️120k+ on TikTok: annyko.studio
Permanent Makeup Service&amp;Training
👇🏼BOOK NOW</t>
  </si>
  <si>
    <t>http://annyko.com/</t>
  </si>
  <si>
    <t>newyorkmakeup_</t>
  </si>
  <si>
    <t>New York MakeUp</t>
  </si>
  <si>
    <t>🚀Over 1M followers in 2 pages
📨DM for PROMO</t>
  </si>
  <si>
    <t>newyorkmakeupacademy</t>
  </si>
  <si>
    <t>New York Makeup Academy</t>
  </si>
  <si>
    <t>DOUBLE AWARD WINNING BEST TRAINING ACADEMY WINNERS. Full/part time make up courses. Call 718 913 2286 to book. CAREER OPPORTUNITIES. NY/NJ/MIA/LDN</t>
  </si>
  <si>
    <t>http://www.thenewyorkmakeupacademy.com/</t>
  </si>
  <si>
    <t>ramashka_pmu</t>
  </si>
  <si>
    <t>PERMANENT MAKEUP NEW YORK | PMU TRAININGS NYC 🗽LIP BLUSH | BROWS</t>
  </si>
  <si>
    <t>TOP PMU EXPERT | Hanna Ramashka
Languages: English | Русский | Polski
Next Basic Course: October 17-19📍
Trainings &amp; appointments⬇️</t>
  </si>
  <si>
    <t>http://ankaa.academy/pro/</t>
  </si>
  <si>
    <t>romanamakeupnyc</t>
  </si>
  <si>
    <t>Romana Makeup New York</t>
  </si>
  <si>
    <t>Romana Lai | Personal Page
Founder | Romana New York @romananyc 
Makeup Artist | Beauty Architect
For inquiries: info@romananyc.com</t>
  </si>
  <si>
    <t>http://www.romana.nyc</t>
  </si>
  <si>
    <t>ootd New York</t>
  </si>
  <si>
    <t>ootdnewyork10</t>
  </si>
  <si>
    <t>Outfit Of The Day New York 10 | ootdnewyork10</t>
  </si>
  <si>
    <t>minimal wardrobe essentials, daily outfit ideas, street style
buy less buy better, 🗽new york</t>
  </si>
  <si>
    <t>http://www.ootdnewyork10.com/</t>
  </si>
  <si>
    <t>skincare New York</t>
  </si>
  <si>
    <t>lingskincare</t>
  </si>
  <si>
    <t>LING New York | Celebrity Spa</t>
  </si>
  <si>
    <t>💮Luxury Spa of @iamlingchan, Original Celebrity Master Esthetician.
🧖‍♀️Named "Best Facial" in NYC by New York Magazine, Allure, &amp; Forbes.</t>
  </si>
  <si>
    <t>https://linktr.ee/lingskincare</t>
  </si>
  <si>
    <t>lyrra.skincare</t>
  </si>
  <si>
    <t>LYRRA NEW YORK</t>
  </si>
  <si>
    <t>Natural and Clean Skincare
Ethically Sourced
📍Available at @flyingsolo_beauty 
420 West Broadway, New York City</t>
  </si>
  <si>
    <t>https://lyrra.com/</t>
  </si>
  <si>
    <t>skincarenewyork</t>
  </si>
  <si>
    <t>𝗦𝗞𝗜𝗡 𝗖𝗔𝗥𝗘 𝗕𝗘𝗔𝗨𝗧𝗬 • New York</t>
  </si>
  <si>
    <t>⠀
𝗦𝗞𝗜𝗡 𝗖𝗔𝗥𝗘 𝗶𝗻 𝗡𝗘𝗪 𝗬𝗢𝗥𝗞 • 𝟭𝟬 𝗬𝗘𝗔𝗥𝗦 𝗘𝗫𝗣𝗘𝗥𝗜𝗘𝗡𝗖𝗘 💉</t>
  </si>
  <si>
    <t>street style New York</t>
  </si>
  <si>
    <t>adletstreet</t>
  </si>
  <si>
    <t>street-style photographer new york</t>
  </si>
  <si>
    <t>dm me for booking</t>
  </si>
  <si>
    <t>http://byadlet.com/</t>
  </si>
  <si>
    <t>accessories Los Angeles</t>
  </si>
  <si>
    <t>trapdollaccessories</t>
  </si>
  <si>
    <t>LOS ANGELES, CA 🌞🌺</t>
  </si>
  <si>
    <t>🔪𝐒𝐚𝐟𝐞𝐭𝐲 𝐤𝐞𝐲𝐜𝐡𝐚𝐢𝐧𝐬 &amp; 𝐌𝐎𝐑𝐄🛍️
🎀 𝚆𝚘𝚛𝚕𝚍 𝚠𝚒𝚍𝚎 𝚜𝚑𝚒𝚙𝚙𝚒𝚗𝚐🌎✈️
🎀 𝚌𝚊𝚜𝚑𝚊𝚙𝚙/𝚅𝚎𝚗𝚖𝚘/𝚉𝚎𝚕𝚕𝚎💰
Thanks for your support 🙏💓</t>
  </si>
  <si>
    <t>beauty hacks Los Angeles</t>
  </si>
  <si>
    <t>drakehackney</t>
  </si>
  <si>
    <t>Los Angeles Beauty, Product and Fashion Photographer</t>
  </si>
  <si>
    <t>Beauty, Product and Fashion Photographer based in Los Angeles
Bookings: drakehackney@gmail.com</t>
  </si>
  <si>
    <t>http://www.drakehackney.com/</t>
  </si>
  <si>
    <t>fashion hacks Los Angeles</t>
  </si>
  <si>
    <t>hairstyle Los Angeles</t>
  </si>
  <si>
    <t>d.e.t.u.k</t>
  </si>
  <si>
    <t>MAKEUP &amp; HAIRSTYLE  LOS ANGELES | USA🇺🇸</t>
  </si>
  <si>
    <t>ALINA DETUK✨
 luxury makeup and hair •weddings • events •shootings
• ОБУЧЕНИЕ OFFLINE/ONLINE 
• available worldwide
DM for booking 📲</t>
  </si>
  <si>
    <t>ero_stylee</t>
  </si>
  <si>
    <t>Los angeles Haircolor balayage Airtouch</t>
  </si>
  <si>
    <t>Expensive💥 Beautiful💯 Rich🔥
Hairstylist  Los Angeles 🇺🇸 Glendale
airtouch balayage shatush 
for booking : 747-350-9819 ☎️
Trained more 500 Students 💎</t>
  </si>
  <si>
    <t>https://www.tiktok.com/@erik.oganesyan?_t=ZS-8tYfAIkpxXL&amp;_r=1</t>
  </si>
  <si>
    <t>__stylesbykay</t>
  </si>
  <si>
    <t>Los Angeles Hair Stylist  💕🖤</t>
  </si>
  <si>
    <t>Kay &amp; Co. Beauty Bar</t>
  </si>
  <si>
    <t>hairstyle New York</t>
  </si>
  <si>
    <t>adiba_make_up</t>
  </si>
  <si>
    <t>MakeUp • HairStyle • New York🇺🇸</t>
  </si>
  <si>
    <t>◽️Макияж и причёски 🪄
◽️Обучение 🎓
◽️По всем вопросам в direct📤
📍Brooklyn, New York 🇺🇸</t>
  </si>
  <si>
    <t>luxury Los Angeles</t>
  </si>
  <si>
    <t>blushandivyevents</t>
  </si>
  <si>
    <t>𝐋𝐨𝐬 𝐀𝐧𝐠𝐞𝐥𝐞𝐬 𝐋𝐮𝐱𝐮𝐫𝐲 𝐄𝐯𝐞𝐧𝐭𝐬, 𝐑𝐞𝐧𝐭𝐚𝐥𝐬 &amp; 𝐒𝐚𝐥𝐞𝐬 | 𝐈𝐄 | 𝐎𝐂</t>
  </si>
  <si>
    <t>Event Planner</t>
  </si>
  <si>
    <t>🎀Event planning &amp; Styling 
🎀310-882-0178
🎀Insured | Tablescapes 
🎀Canopies | Picnics | Balloons 
🎀Jumpers | Backdrops &amp; Props
🎀Sales and Rentals</t>
  </si>
  <si>
    <t>https://form.jotform.com/250146547262051</t>
  </si>
  <si>
    <t>diariesofatravelista</t>
  </si>
  <si>
    <t>Edith Perez | Los Angeles| Luxury Travel + Lifestyle</t>
  </si>
  <si>
    <t>Luxury Travel| Hotels| Properties| Airlines|Unique Experiences and Stays| Travel Guides|
📍 Based in LA, California 
💌 diariesofatravelista@gmail.com</t>
  </si>
  <si>
    <t>https://linktr.ee/diariesofatravelista</t>
  </si>
  <si>
    <t>eventsbyamor_</t>
  </si>
  <si>
    <t>Luxury proposals | Los Angeles | Orange County📍| IE</t>
  </si>
  <si>
    <t>Angela &amp; Veronica💗 @bautistaphoto 📸
DM FOR BOOKINGS 📲 
Office hours:
Monday- Thursday 10am -6pm 
#proposalplanner</t>
  </si>
  <si>
    <t>firstclass_estheticslounge</t>
  </si>
  <si>
    <t>Luxury Spa Los Angeles</t>
  </si>
  <si>
    <t>Suites and chair rentals available
📍2514 Overland Ave, Los Angeles 
📱 (213)-247-3994
•Brows 
•Lashes
•facials 
•waxing
•Microblading</t>
  </si>
  <si>
    <t>https://www.fresha.com/a/brows-by-alyssa-los-angeles-2514-overland-avenue-vx82a0zu/booking?menu=true&amp;multi=true</t>
  </si>
  <si>
    <t>losangeles_promotion_</t>
  </si>
  <si>
    <t>Luxury Los Angeles</t>
  </si>
  <si>
    <t>life in Los Angeles</t>
  </si>
  <si>
    <t>luxurynailsbydes</t>
  </si>
  <si>
    <t>𝐋𝐨𝐬 𝐀𝐧𝐠𝐞𝐥𝐞𝐬 𝐍𝐚𝐢𝐥 𝐓𝐞𝐜𝐡 🤍</t>
  </si>
  <si>
    <t>Nail Artist</t>
  </si>
  <si>
    <t>𝙉𝙖𝙞𝙡 𝘼𝙧𝙩𝙞𝙨𝙩 &amp; 𝙃𝙖𝙞𝙧 𝙀𝙭𝙩𝙚𝙣𝙨𝙞𝙤𝙣 𝙎𝙥𝙚𝙘𝙞𝙖𝙡𝙞𝙨𝙩 🤍
𝙇𝙞𝙘𝙚𝙣𝙨𝙚𝙙 | 5+ 𝙮𝙧𝙨 𝙚𝙭𝙥𝙚𝙧𝙞𝙚𝙣𝙘𝙚
𝙎𝙩𝙪𝙙𝙞𝙤 𝙞𝙣 𝙈𝙤𝙣𝙩𝙚𝙗𝙚𝙡𝙡𝙤📍
𝘾𝙚𝙡𝙚𝙗 𝘾𝙡𝙞𝙚𝙣𝙩𝙨 | 𝙃𝙤𝙪𝙨𝙚 𝘾𝙖𝙡𝙡𝙨 &amp; 𝙏𝙧𝙖𝙫𝙚𝙡
𝘾𝙡𝙞𝙘𝙠 𝙗𝙚𝙡𝙤𝙬 𝙩𝙤 𝙗𝙤𝙤𝙠✨</t>
  </si>
  <si>
    <t>https://linktr.ee/luxurynailsbydes</t>
  </si>
  <si>
    <t>milsteinestates</t>
  </si>
  <si>
    <t>Daniel Milstein | Los Angeles Luxury Real Estate</t>
  </si>
  <si>
    <t>Director of Global Luxury Real Estate Sales
Aaron Kirman Group | Christie’s International, Beverly Hills
𝘓𝘰𝘴 𝘈𝘯𝘨𝘦𝘭𝘦𝘴 | 𝘛𝘰𝘳𝘰𝘯𝘵𝘰 | 𝘔𝘪𝘢𝘮𝘪
Est. 2011</t>
  </si>
  <si>
    <t>https://milsteinestates.com/</t>
  </si>
  <si>
    <t>tierone.luxury</t>
  </si>
  <si>
    <t>Tier One Luxury Los Angeles</t>
  </si>
  <si>
    <t>⚜️Luxury Car Rentals 
⚜️Private Security &amp; Chauffeur Services
⚜️Vacation Rentals</t>
  </si>
  <si>
    <t>http://www.tieronelux.com</t>
  </si>
  <si>
    <t>luxury New York</t>
  </si>
  <si>
    <t>gildedritual</t>
  </si>
  <si>
    <t>Leading Luxury Russian Manicures in New York</t>
  </si>
  <si>
    <t>📍Tribeca, NYC
📍UES Now Open
Russian Manicure &amp; Pedicure
For Collab: manager@gildedritual.com</t>
  </si>
  <si>
    <t>https://na1.meevo.com/CustomerPortal/onlinebooking/booking/guestinfo?tenantId=201499&amp;locationId=203957</t>
  </si>
  <si>
    <t>habibinewyork</t>
  </si>
  <si>
    <t>Habibi New York Luxury Fragrances</t>
  </si>
  <si>
    <t>Love inspired exceptional scents that elevate everyday.
Available on HabibiNY.com &amp; @Bloomingdales .com
Free sample with every order! Est. 2016 🇺🇲</t>
  </si>
  <si>
    <t>http://habibiny.com</t>
  </si>
  <si>
    <t>luxurylifestylenewyorkcity</t>
  </si>
  <si>
    <t>Luxury Lifestyle NYC</t>
  </si>
  <si>
    <t>The unexamined life is not worth living.</t>
  </si>
  <si>
    <t>luxury_store.777</t>
  </si>
  <si>
    <t>𝓛𝓾𝔁𝓾𝓻𝔂 𝓢𝓽𝓸𝓻𝓮 𝓝𝓮𝔀 𝔂𝓸𝓻𝓴 🇺🇸⚜️</t>
  </si>
  <si>
    <t>✨ Ropa 100% original y turca 🇹🇷
🌍 Sedes: New York 🇺🇸 @luxurystore_woman777 👸
📦 Envíos a todo el mundo 🌎 tenemos tienda física ⚜️🇺🇸
📲 +1 (646) 271‑6357</t>
  </si>
  <si>
    <t>madunder.nyc</t>
  </si>
  <si>
    <t>Top Luxury Outlet | Sample Sale New York</t>
  </si>
  <si>
    <t>• Weekdays: 11:00 AM - 7:00 PM
• Weekends: 12:00 PM - 6:00 PM 
Top luxury brands at up to 85% off retail!
Midtown Location: 7 E 44th St, New York, NY</t>
  </si>
  <si>
    <t>http://www.madunder.com</t>
  </si>
  <si>
    <t>luxury San Francisco</t>
  </si>
  <si>
    <t>luxurysanfrancisco</t>
  </si>
  <si>
    <t>Luxury San Francisco</t>
  </si>
  <si>
    <t>Experience San Francisco, one photo at a time...</t>
  </si>
  <si>
    <t>make-up artist Los Angeles</t>
  </si>
  <si>
    <t>makeup_by_zarina_</t>
  </si>
  <si>
    <t>Makeup Artist | Los Angeles</t>
  </si>
  <si>
    <t>• Bridal / Special Events
• Brows &amp; Beauty Expert
• Travel + Destination ✈️</t>
  </si>
  <si>
    <t>https://zarina.mssg.me/</t>
  </si>
  <si>
    <t>m.u.a.katerina</t>
  </si>
  <si>
    <t>Makeup Artist | LOS ANGELES</t>
  </si>
  <si>
    <t>Makeup Artist 
📍Los Angeles 
Pr: info@muakaterina.com
Makeup Supplies👇🏽</t>
  </si>
  <si>
    <t>https://www.shopltk.com/explore/Katerina.tos/productsets/11ee475aff6b86a6b4ef0242ac110003</t>
  </si>
  <si>
    <t>make-up artist New York</t>
  </si>
  <si>
    <t>angelika.ismailova</t>
  </si>
  <si>
    <t>Makeup Artist New York</t>
  </si>
  <si>
    <t>Angelika Ismailova 
Makeup Artist • Educator
📍New York 
📩 DM for booking</t>
  </si>
  <si>
    <t>makeup Los Angeles</t>
  </si>
  <si>
    <t>aime_mua</t>
  </si>
  <si>
    <t>LA | Los Angeles Makeup Artist</t>
  </si>
  <si>
    <t>Aime Ramirez ✨
Slangin’ Brushes .💄🎨
Pushin’ 🅿️aint 🌐🌐🌐
Tex-Mex ⭐️
Click my website for pricing and availability 
Personal Page @aim_ekay 🌹</t>
  </si>
  <si>
    <t>http://makeupbyaime.com</t>
  </si>
  <si>
    <t>beauty_by_ayleen</t>
  </si>
  <si>
    <t>Los Angeles Makeup Artist | Ayleen Rodriguez</t>
  </si>
  <si>
    <t>Luxury Bridal and Celebrity Makeup Artist 
Based in Los Angeles✨
1-1 lessons &amp; Online Education
📬 ayleenelirod@gmail.com
for inquires click below👇🏼</t>
  </si>
  <si>
    <t>https://linktr.ee/beautybyayleen?utm_source=linktree_profile_share&amp;ltsid=d8d4d0fa-74e5-424d-ad40-775a08c390a6</t>
  </si>
  <si>
    <t>glamby_mani</t>
  </si>
  <si>
    <t>Los Angeles Makeup Artist</t>
  </si>
  <si>
    <t>•Celebrity makeup artist 👩🏽‍🎨 ⭐️
•Located at @slayyhands Inglewood ca📍
•Bookings open every 15th of the month 
•$20 non refundable deposit required</t>
  </si>
  <si>
    <t>https://glambymanib.as.me/</t>
  </si>
  <si>
    <t>makeup_by_matty</t>
  </si>
  <si>
    <t>Los Angeles Makeup Artist | Matilda Aghabegi</t>
  </si>
  <si>
    <t>⠀⠀⠀⠀⠀⠀⠀⠀⠀⠀ MAKEUP ARTIST | BRIDAL SPECIALIST 
⠀⠀⠀⠀⠀⠀⠀⠀⠀⠀⠀⠀      Bookings | DM for Appts
⠀⠀⠀⠀⠀⠀⠀⠀⠀⠀            LA  📍 | @beautebar__</t>
  </si>
  <si>
    <t>makeup_bysell</t>
  </si>
  <si>
    <t>Sella Em 💄| Makeup Artist | Los Angeles</t>
  </si>
  <si>
    <t>Makeup Artist &amp; Content creator  
Sellamarkar@gmail.com
Now booking September-December &amp; 2026 Brides 
Los Angeles &amp; Travel Artist</t>
  </si>
  <si>
    <t>https://linktr.ee/sella_em</t>
  </si>
  <si>
    <t>manehglam</t>
  </si>
  <si>
    <t>MAKEUP LOS ANGELES</t>
  </si>
  <si>
    <t>♡ M A N E H
✨ Celebrity Makeup Artist
📆 Bookings: Text, Email, or DM
🏡 On-Location Services Available
📩 Business Inquiries: booking@manehglam.com</t>
  </si>
  <si>
    <t>http://www.manehglam.com</t>
  </si>
  <si>
    <t>makeup San Francisco</t>
  </si>
  <si>
    <t>anapkamake73</t>
  </si>
  <si>
    <t>Визажист Ульяновск / Makeup artist San Francisco</t>
  </si>
  <si>
    <t>Алла Дворецкова Ульяновск
💄Научу красиво краситься за 1 час онлайн или офлайн 
Переезд в США/живу на 2 страны 
🎬YouTube blogger 
svyatkina_a@mail.ru</t>
  </si>
  <si>
    <t>https://t.me/Anapkamake73</t>
  </si>
  <si>
    <t>makeup.byannabelle</t>
  </si>
  <si>
    <t>𝙈𝘼𝙆𝙀𝙐𝙋 𝘼𝙍𝙏𝙄𝙎𝙏💄Las-Vegas✈️Sacramento,San-Jose,San-Francisco</t>
  </si>
  <si>
    <t>Anna Gorbatenko 👩🏼
European style
𝑩𝑹𝑰𝑫𝑨𝑳~𝑬𝑽𝑬𝑵𝑻𝑺~𝑮𝑳𝑨𝑴~𝑪𝑬𝑳𝑬𝑩𝑹𝑰𝑻𝒀
8+ years of experience
DM me 💌</t>
  </si>
  <si>
    <t>nails Los Angeles</t>
  </si>
  <si>
    <t>lika_linskaya</t>
  </si>
  <si>
    <t>Nails Los Angeles ✦ Маникюр Лос Анджелес ✦ Обучение</t>
  </si>
  <si>
    <t>Licensed Nail Artist • Russian Style
⚡16 yrs fast &amp; flawless work
✨ Lux nails for 4+ weeks
♻️ Hypoallergenic premium gels
🎓 4k+ students | Nail Mentor</t>
  </si>
  <si>
    <t>https://t.me/Lika_linskaya</t>
  </si>
  <si>
    <t>nailsbycurls</t>
  </si>
  <si>
    <t>𝑳𝑶𝑺 𝑨𝑵𝑮𝑬𝑳𝑬𝑺 𝑵𝑨𝑰𝑳 𝑻𝑬𝑪𝑯 ♡</t>
  </si>
  <si>
    <t>♡ Acrylic / Gel-X ! | Builder gel manicures
♡ DM for booking/ pricing 
♡ 30 deposit required | After hours-$30
♡ Torrance, CA | Licensed ⭐️</t>
  </si>
  <si>
    <t>https://www.amazon.com/shop/nailsbycurls</t>
  </si>
  <si>
    <t>verosnaillab</t>
  </si>
  <si>
    <t>𝐋𝐈𝐂𝐄𝐍𝐒𝐄𝐃 𝐋𝐎𝐒 𝐀𝐍𝐆𝐄𝐋𝐄𝐒 𝐍𝐀𝐈𝐋 𝐓𝐄𝐂𝐇 🧸</t>
  </si>
  <si>
    <t>📍Maywood , CA
❥Accepting New Clients 𝑫𝒎 𝒕𝒐 𝑩𝒐𝒐𝒌</t>
  </si>
  <si>
    <t>https://www.tiktok.com/@verosnaillab_?_t=ZP-8xL8KzPymUB&amp;_r=1</t>
  </si>
  <si>
    <t>nails New York</t>
  </si>
  <si>
    <t>dmitry_turah</t>
  </si>
  <si>
    <t>NAILS IN NEW YORK</t>
  </si>
  <si>
    <t>✨ Nails that make a statement  
🏆 Europe’s Best | E.Mi Pro  
🛒 Pro shop
💻 Education
💅 Studio  
📩 DM to book</t>
  </si>
  <si>
    <t>http://italmas-nails.com</t>
  </si>
  <si>
    <t>nails.by.lana</t>
  </si>
  <si>
    <t>MANICURE💅🏽PEDICURE🦶🏽PODOLOGY👣BROWS📍BROOKLYN | NEW YORK</t>
  </si>
  <si>
    <t>💜10% off 1st visit
🤍We do 4-6 hands services
🩷Certified podology services 
📍271 Brighton Beach Ave, Brooklyn
Owner: @lanalovedemid 
Online booking ⬇️</t>
  </si>
  <si>
    <t>https://n1222363.alteg.io</t>
  </si>
  <si>
    <t>nails San Francisco</t>
  </si>
  <si>
    <t>morenaxartistry</t>
  </si>
  <si>
    <t>SAN FRANCISCO NAIL ARTIST⭐️KAIT</t>
  </si>
  <si>
    <t>🌉 𝐛𝐚𝐲 𝐚𝐫𝐞𝐚 𝐩𝐢𝐧𝐚𝐲 𝐧𝐚𝐢𝐥 𝐚𝐫𝐭𝐢𝐬𝐭/𝐜𝐫𝐞𝐚𝐭𝐢𝐯𝐞
⭐️ 𝐠𝐞𝐥-𝐱 + 𝐬𝐭𝐫𝐮𝐜𝐭𝐮𝐫𝐞𝐝 𝐦𝐚𝐧𝐢𝐬
🇵🇭 𝐚𝐜𝐜𝐞𝐩𝐭𝐢𝐧𝐠 𝐧𝐞𝐰 𝐜𝐥𝐢𝐞𝐧𝐭𝐬
🌺 𝐛𝐨𝐨𝐤𝐬 𝐭𝐛𝐚 𝐨𝐧 𝐬𝐭𝐨𝐫𝐲 𝐞𝐯𝐞𝐫𝐲 𝐟𝐫𝐢𝐝𝐚𝐲
🧸 𝐝𝐦: 𝗮𝗽𝗽𝘁𝘀 + 𝐩𝐫𝐞𝐬𝐬𝐨𝐧𝐬</t>
  </si>
  <si>
    <t>https://linktr.ee/kaitskreationssf</t>
  </si>
  <si>
    <t>perfume Los Angeles</t>
  </si>
  <si>
    <t>lacasadelperfume_la</t>
  </si>
  <si>
    <t>La casa del perfume Los Ángeles</t>
  </si>
  <si>
    <t>🏢 Los Ángeles : Colón 448 Local 4 (paseo Alcalá)
🏙️Chillan &amp; Los Ángeles 
🕒Lunes a Viernes: 10am-7pm
🕦Sábado: 10am-7pm
WhatsApp L.A +56 9 2755 5876</t>
  </si>
  <si>
    <t>perfume New York</t>
  </si>
  <si>
    <t>sheilacwh</t>
  </si>
  <si>
    <t>SHEILA | Fashion, Beauty &amp; Perfume | New York</t>
  </si>
  <si>
    <t>Content Creator &amp; UGC
Style, Beauty Product Testing + Tips (skincare, makeup, niche fragrance)
info@sheilacwh.com⁣⁣⁣
New York, NYC</t>
  </si>
  <si>
    <t>skincare Los Angeles</t>
  </si>
  <si>
    <t>arconalosangeles</t>
  </si>
  <si>
    <t>ARCONA® Skincare</t>
  </si>
  <si>
    <t>🌱 Luxurious, pure, effective skincare 
🔬 Biocompatible formulas + active ingredients
🐰 Certified Cruelty-Free 
👇🏻 Learn how to achieve #theARCONAglow</t>
  </si>
  <si>
    <t>http://www.arcona.com</t>
  </si>
  <si>
    <t>askcares</t>
  </si>
  <si>
    <t>SKINCARE LOS ANGELES | Facials LA | Hydrafacial | Peels</t>
  </si>
  <si>
    <t>- Facials / Peels
- HYDRAFACIAL/Oxygen Facial
- Face massages
- Keratin Eyelash Lift / Brows Lamination
- Powder Brows</t>
  </si>
  <si>
    <t>https://bit.ly/35mP8YL</t>
  </si>
  <si>
    <t>honeydewyouth</t>
  </si>
  <si>
    <t>Skin Care Los Angeles Ca</t>
  </si>
  <si>
    <t>Licensed+Insured 
Advanced Solo Esthetician Serving LA, CA 
Book &amp; Fill out Forms Online ↙️ 
Appointment Only { Sat, Sun &amp; Mon }
Accepting New Clients</t>
  </si>
  <si>
    <t>https://form.jotform.com/223090431594150</t>
  </si>
  <si>
    <t>pinnaclemodernskincare</t>
  </si>
  <si>
    <t>Emily Hilburn | Los Angeles Esthetician</t>
  </si>
  <si>
    <t>evidence based + down to earth skincare 
specializing in acne, hyperpigmentation, aging, scars, texture, and rosacea</t>
  </si>
  <si>
    <t>https://www.pinnaclemodernskincare.com/</t>
  </si>
  <si>
    <t>skincarebycarin</t>
  </si>
  <si>
    <t>Carin Kim l Los Angeles Esthetician</t>
  </si>
  <si>
    <t>• Face Sculpting Specialist (Korean Facials) + Lash Lifts
• Ambassador @dermaesthetics 
💌 Hello@skincarebycarin.com
📍Ktown, Los Angeles 🎀 Book Appt ⤵️</t>
  </si>
  <si>
    <t>https://linktr.ee/SKINCAREBYCARIN</t>
  </si>
  <si>
    <t>themodernu</t>
  </si>
  <si>
    <t>Los Angeles Skincare Studio</t>
  </si>
  <si>
    <t>Skin Revision • Rochelle Gonzalez, LE
Tailored solutions rooted in holistic &amp; corrective care</t>
  </si>
  <si>
    <t>https://linktr.ee/themodernu</t>
  </si>
  <si>
    <t>sneakers Los Angeles</t>
  </si>
  <si>
    <t>sneakerheads.la</t>
  </si>
  <si>
    <t>Sneakerheads Los Angeles</t>
  </si>
  <si>
    <t>“It’s not just sneakers, It’s a Lifestyle” 🇸🇻 🇵🇷 
#shla x footlocker home grown collab 
@rhymefestla #la_airheads</t>
  </si>
  <si>
    <t>http://snkhdsla.com/</t>
  </si>
  <si>
    <t>sneakersnstuff.la</t>
  </si>
  <si>
    <t>SNS Los Angeles</t>
  </si>
  <si>
    <t>https://www.sneakersnstuff.com/</t>
  </si>
  <si>
    <t>sneakers New York</t>
  </si>
  <si>
    <t>sneakersnstuff.nyc</t>
  </si>
  <si>
    <t>SNS New York City</t>
  </si>
  <si>
    <t>@sneakersnstuff</t>
  </si>
  <si>
    <t>http://sneakersnstuff.com/</t>
  </si>
  <si>
    <t>sustainable fashion Los Angeles</t>
  </si>
  <si>
    <t>sustainablefashionlovers</t>
  </si>
  <si>
    <t>Sustainable Fashion</t>
  </si>
  <si>
    <t>Latest fashion from sustainable brands 🌿#sustainablefashionlovers
Show us your best outfits! Photos: DM or tag us
Business&amp;inq: sust.fashion@gmail.com</t>
  </si>
  <si>
    <t>accessories Miami</t>
  </si>
  <si>
    <t>acaccessoriesmiami</t>
  </si>
  <si>
    <t>A&amp;C Accessories</t>
  </si>
  <si>
    <t>We are in Miami🇺🇸🏝💕
Handmade with Love 🥰🧿
📍@miamiamiboutique
✈Free shipping 🇺🇸</t>
  </si>
  <si>
    <t>http://www.acaccessoriesmiami.etsy.com/</t>
  </si>
  <si>
    <t>curly hair Chicago</t>
  </si>
  <si>
    <t>jennifer_johnson_janisch</t>
  </si>
  <si>
    <t>Chicago Curly Hair Specialist</t>
  </si>
  <si>
    <t>I Teach Curl Specialists Curly Hair Extensions ➿
Owner | @adoredsalon 
Owner | @adored_signature_handtied_hair
Podcast Host | @thecurlygirlsobsessions</t>
  </si>
  <si>
    <t>https://linktr.ee/Jenniferjohnsonjanisch</t>
  </si>
  <si>
    <t>fashion trends Miami</t>
  </si>
  <si>
    <t>fashion_miami_trends</t>
  </si>
  <si>
    <t>Fashion Miami Trends</t>
  </si>
  <si>
    <t>USA &amp; Worldwide Shipping ✈️ 
#fashionmiamitrends</t>
  </si>
  <si>
    <t>http://www.fashionmiamitrends.com/</t>
  </si>
  <si>
    <t>hairstyle Chicago</t>
  </si>
  <si>
    <t>aijana_hairstyle</t>
  </si>
  <si>
    <t>Aijana Saiakbaeva - hairdresser Chicago</t>
  </si>
  <si>
    <t>-hair coloring &amp; haircuts &amp; education 
Make an appointment ⬇️</t>
  </si>
  <si>
    <t>https://bumpix.net/339784</t>
  </si>
  <si>
    <t>mahabat_beautyusa</t>
  </si>
  <si>
    <t>CHICAGO_Hairstyle &amp; beauty_maker</t>
  </si>
  <si>
    <t>📌
United States:🇺🇸 CHICAGO 
wedding stylist,make-up,Keratin,Hair color 
Hair cut …. 
Questions ⬇️</t>
  </si>
  <si>
    <t>hairstyle Miami</t>
  </si>
  <si>
    <t>titiloizos</t>
  </si>
  <si>
    <t>Miami Pro Makeup artist and hairstyle ❤️‍🔥</t>
  </si>
  <si>
    <t>📍Miami
Director creative                                   
@bridesmaidsparty brides 👰🏻‍♀️🤵🏽
💌 titiloizosbeauty@gmail.com</t>
  </si>
  <si>
    <t>high heels Chicago</t>
  </si>
  <si>
    <t>deinekangelina</t>
  </si>
  <si>
    <t>Angie | dance • High heels Chicago</t>
  </si>
  <si>
    <t>✉️ Cooperation: divalinaa7@gmail.com
Tik Tok 470k+ 
Owner @dncw_project.usa 🇺🇸</t>
  </si>
  <si>
    <t>https://dncwprojectusa.as.me/</t>
  </si>
  <si>
    <t>juliaerrera</t>
  </si>
  <si>
    <t>JULIA ERRERA | HIGH HEELS | DANCE CLASSES CHICAGO</t>
  </si>
  <si>
    <t>🇺🇦🇲🇽
ᴅᴀɴᴄᴇʀ | ᴄʜᴏʀᴇᴏɢʀᴀᴘʜᴇʀ</t>
  </si>
  <si>
    <t>high heels Miami</t>
  </si>
  <si>
    <t>dancedynasty_miami</t>
  </si>
  <si>
    <t>Dance Dynasty Miami — High Heels | Feminine street styles</t>
  </si>
  <si>
    <t>Dance Studio</t>
  </si>
  <si>
    <t>The most beautiful dance studio in Miami
Beginner friendly classes for women
Supportive community Sisters in Dance
Founder @missmari_g
Sign up⬇️</t>
  </si>
  <si>
    <t>https://dancedynastymiami.com/schedule</t>
  </si>
  <si>
    <t>missmari_g</t>
  </si>
  <si>
    <t>Maria Gnatenko | Dance studio owner | High Heels Teacher | Miami</t>
  </si>
  <si>
    <t>Unite and empower women through dance
Owner of the most beautiful studio @dancedynasty_miami
Created Sisters in Dance community</t>
  </si>
  <si>
    <t>https://momence.com/s/118714632</t>
  </si>
  <si>
    <t>luxury Chicago</t>
  </si>
  <si>
    <t>classyhairbyjess</t>
  </si>
  <si>
    <t>LUXURY EXTENSIONS CHICAGO</t>
  </si>
  <si>
    <t>I Tips| K Tips| Microlinks|Sewins💕 Calendar opens 25th of each Month‼️ NO DMS‼️ CLICK THE LINK👇🏾 Located in TINLEY PARK IL‼️</t>
  </si>
  <si>
    <t>https://linktr.ee/ClassyhairbyjessLLC</t>
  </si>
  <si>
    <t>luxurytot</t>
  </si>
  <si>
    <t>LUXURY | CHICAGO CONTENT CREATOR</t>
  </si>
  <si>
    <t>CHI📍
God First.
Beauty + Fashion</t>
  </si>
  <si>
    <t>https://linktr.ee/luxurytotbusiness?utm_source=linktree_profile_share&amp;ltsid=3eda553a-caae-4509-9894-7f832437b081</t>
  </si>
  <si>
    <t>luxury Miami</t>
  </si>
  <si>
    <t>luxurymiami</t>
  </si>
  <si>
    <t>luxury miami</t>
  </si>
  <si>
    <t>By @aviozery 
Home to Miami’s Ultra-Luxury Real Estate🏡 
E-mail for Inquires 📧</t>
  </si>
  <si>
    <t>luxury_miami._</t>
  </si>
  <si>
    <t>Luxury_miami_</t>
  </si>
  <si>
    <t>✨Accesorios Marcas Exclusivas✨
MICHAEL KORS, ARMANI EXCHANGE, GUESS, VS, ETC.
🛍Tienda Online.
💯Todo 100% Original 🇺🇸✈️
🚚Envíos a todo 🇨🇱 por pagar.</t>
  </si>
  <si>
    <t>luxurypowerhousemiami</t>
  </si>
  <si>
    <t>Luxury PowerHouse | Rentals | Miami</t>
  </si>
  <si>
    <t>Miami’s #1 Luxury Rental Company
🛥️ 50+ Yachts
🏎️ Exotic Cars &amp; Jets
🚀 Jetskis &amp; Jetcars
🏝️ Mansions &amp; Villas
🔫 Armored Vehicles
🔐 Security Services</t>
  </si>
  <si>
    <t>http://www.luxurypowerhouse.net</t>
  </si>
  <si>
    <t>saltluxurymiami</t>
  </si>
  <si>
    <t>SALT LUXURY MIAMI</t>
  </si>
  <si>
    <t>Voted #1 Best Experience in Miami. #thingstodoinmiami VIP Luxury Sportfishing &amp; Ocean Skeet Shooting - Join Members Only Club 🧿 BOOK NOW! 833 725 8777</t>
  </si>
  <si>
    <t>https://linktr.ee/saltluxurymiami</t>
  </si>
  <si>
    <t>tonioctaviastyles</t>
  </si>
  <si>
    <t>Luxury Miami Braider</t>
  </si>
  <si>
    <t>🌿Miami Design District 
Hair used @rawbraidextensions 
“ The softest braider …”⭐️⭐️⭐️⭐️⭐️
Voted Top #8 stylist in Miami</t>
  </si>
  <si>
    <t>https://linktr.ee/rawbraid</t>
  </si>
  <si>
    <t>make-up artist Chicago</t>
  </si>
  <si>
    <t>aigerim.makeupp</t>
  </si>
  <si>
    <t>MAKE UP ARTIST 💄CHICAGO</t>
  </si>
  <si>
    <t>Aigerim Kachkynbekova 
📸Perfect looks for photoshoots &amp; parties
📍Chicago-based | Available for destination weddings🇺🇸
📩 DM me - for bookings</t>
  </si>
  <si>
    <t>b.janiamakeupartistry</t>
  </si>
  <si>
    <t>Chicago Makeup Artist</t>
  </si>
  <si>
    <t>Educator, MS. Ed 
Bridal | Travel | Soft Glam Artist
Books open the 17th of every month
📧 b.janiamakeupartistry@gmail.com</t>
  </si>
  <si>
    <t>https://linktr.ee/Bjaniabeauty</t>
  </si>
  <si>
    <t>kristyle_makeup</t>
  </si>
  <si>
    <t>MAKEUP ARTIST CHICAGO | MAKEUP CLASSES | UGC CREATOR</t>
  </si>
  <si>
    <t>‼️MY MAKEUP PAGE @kristyle_pr 
Collab: kristylepr@gmail.com
Book your appointment ⤵️</t>
  </si>
  <si>
    <t>https://msha.ke/kristyle</t>
  </si>
  <si>
    <t>make-up artist Miami</t>
  </si>
  <si>
    <t>albeauty.mia</t>
  </si>
  <si>
    <t>Makeup Artist Miami</t>
  </si>
  <si>
    <t>Alina Bondarevska 
Luxury Makeup &amp; Hair Service 
Private Makeup Lessons
Let’s create your perfect look📩</t>
  </si>
  <si>
    <t>http://wa.me/13479334680/</t>
  </si>
  <si>
    <t>elya.belogurova.make_up</t>
  </si>
  <si>
    <t>💋Make Up Artist MIAMI</t>
  </si>
  <si>
    <t>💄Make Up Artist
💫Hairstylist
📗Portfolio➡️ #elyabelogurovamakeup
🌎Miami</t>
  </si>
  <si>
    <t>https://api.whatsapp.com/send?phone=17868706919</t>
  </si>
  <si>
    <t>makeupmiami_fl</t>
  </si>
  <si>
    <t>MAKEUP ARTIST MIAMI 🇺🇸</t>
  </si>
  <si>
    <t>Alina Kutuzova 
TOP MAKEUP ARTIST 
🌎Travel Worldwide
Booking 📲 DM</t>
  </si>
  <si>
    <t>miamimakeupartist</t>
  </si>
  <si>
    <t>dunia rivero</t>
  </si>
  <si>
    <t>Luxury Bridal Makeup &amp; Hair Team
Timeless•Elegant•Camera-Ready
📍MIA•BOS | Available for travel 
All bookings &amp; inquiries here ⬇️</t>
  </si>
  <si>
    <t>https://linktr.ee/Miamimakeupartist</t>
  </si>
  <si>
    <t>makeup Chicago</t>
  </si>
  <si>
    <t>jollyonthebeatt</t>
  </si>
  <si>
    <t>Chicago Makeup Artist’</t>
  </si>
  <si>
    <t>🍭Makeup is my passion
Chicago | Westside
September bookings are OPEN📅</t>
  </si>
  <si>
    <t>https://linktr.ee/jollyonthebeatt</t>
  </si>
  <si>
    <t>makeupbyaleees</t>
  </si>
  <si>
    <t>Ayman/ Luxury Makeup Artist Chicago</t>
  </si>
  <si>
    <t>Luxury Bridal &amp; Glam Makeup
-2025-2026 bookings open
📍Chicago based 
Travel friendly 🚀
Food and travel account: @aymaneatss</t>
  </si>
  <si>
    <t>https://www.instagram.com/aymaneatss?igsh=MWlvMG55bnc2ZW4ydA%3D%3D</t>
  </si>
  <si>
    <t>makeupbyemana</t>
  </si>
  <si>
    <t>𝑬𝒎𝒂𝒏 𝑨𝒔𝒉𝒌𝒂𝒓 - Chicago Makeup Artist</t>
  </si>
  <si>
    <t>•    ᴛᴇᴀᴄʜᴇʀ ʙʏ ᴅᴀʏ, ᴍᴜᴀ ʙʏ ɴɪɢʜᴛ 
•    ᴄʜɪᴄᴀɢᴏ, ɪʟ (ᴛʀᴀᴠᴇʟ ᴍᴜᴀ) 
•    ʙᴏᴏᴋɪɴɢs: ʟɪɴᴋ ʙᴇʟᴏᴡ 
•    ғɪʀsᴛ ɢʀᴀᴅᴇ ᴛᴇᴀᴄʜᴇʀ</t>
  </si>
  <si>
    <t>https://squareup.com/appointments/book/8ljd56qmqsfhmd/LRQ0MEWCX63CZ/start</t>
  </si>
  <si>
    <t>makeupbynabeelaa</t>
  </si>
  <si>
    <t>Nabeela Meenazi | Chicago makeup artist</t>
  </si>
  <si>
    <t>📍Chicago
Makeup Artist | Educator
8+ years experience 
@nabeelaameenazii</t>
  </si>
  <si>
    <t>https://instagram.com/nabeelaameenazii?igshid=MzRlODBiNWFlZA%3D%3D</t>
  </si>
  <si>
    <t>p.didd.it</t>
  </si>
  <si>
    <t>Chicago Makeup Artist ♕</t>
  </si>
  <si>
    <t>•UNAVAILABLE Aug. 30th - Sept. 2nd•
𝐁𝐨𝐨𝐤𝐢𝐧𝐠𝐬 𝐎𝐩𝐞𝐧𝐬 𝐔𝐩 𝐓𝐡𝐞 𝟐5th 𝐨𝐟 𝐄𝐯𝐞𝐫𝐲 𝐌𝐨𝐧𝐭𝐡 @ 𝟏𝟐 𝐏𝐌
✩ Specialized in Full Soft Glams ✩
⇩ Click Link Below To Book ⇩</t>
  </si>
  <si>
    <t>https://pdidit.as.me/</t>
  </si>
  <si>
    <t>makeup Miami</t>
  </si>
  <si>
    <t>_flawlessdolls</t>
  </si>
  <si>
    <t>Miami Makeup Artist</t>
  </si>
  <si>
    <t>Located: MIRAMAR FL✨
@_flawlessdollscosmetics 🫦
Cashapp $5 fee
NOREFUNDS!
Same day appointments text
 702)867 0562
Backup @_flawlessdolls2🤍
BOOKINGS⬇️</t>
  </si>
  <si>
    <t>https://flawlessdoll.as.me/</t>
  </si>
  <si>
    <t>gianellabrizetti</t>
  </si>
  <si>
    <t>MAKEUP MIAMI</t>
  </si>
  <si>
    <t>•MakeUp Educator•
👰🏻‍♀️Especialista en Novias &amp; Sociales 
.
👩🏻‍🏫Clases en @gbmakeupcursos 
🫶🏼250mil en Tik Tok
.
📍Miami
book your appointment 👇🏼</t>
  </si>
  <si>
    <t>http://wa.me/51924782154/?fbclid=IwAR0BuPAL1O3HVBdowSvykJuHstzGh8CejZp9EZRFjgad91H2CN4oeciiU4k</t>
  </si>
  <si>
    <t>glorifiedlooks</t>
  </si>
  <si>
    <t>August Books Open
Miami FL📍
Psalms 139:14🫶🏽 
No DMS Text 786-414-8164
Bookings: info@glorifiedlooks.com</t>
  </si>
  <si>
    <t>https://bookglorifiedlooks.as.me/</t>
  </si>
  <si>
    <t>luisdollss</t>
  </si>
  <si>
    <t>miami makeup artist</t>
  </si>
  <si>
    <t>Miami + ✈️ 
📧: luis@luisdollss.com
NYFW DM ME
click here to book ↓</t>
  </si>
  <si>
    <t>http://luisdollss.com</t>
  </si>
  <si>
    <t>makeupbydon</t>
  </si>
  <si>
    <t>Don - Miami Makeup Artist</t>
  </si>
  <si>
    <t>@makeupbydon2 ✨
🌴#miamimakeupartist 
‼️Booking LINK ⬇️⬇️⬇️</t>
  </si>
  <si>
    <t>http://www.makeupbydon.com/</t>
  </si>
  <si>
    <t>tc.glamour</t>
  </si>
  <si>
    <t>Miami | Broward Makeup Artist</t>
  </si>
  <si>
    <t>PRO MUA + Beauty Creator 
✘ No Dms, Text Only 
Walk-ins Welcome Mon-Fri
Makeup 1:1 Courses Available ✨
#miamimua #browardmua</t>
  </si>
  <si>
    <t>https://tcglamour.as.me/</t>
  </si>
  <si>
    <t>the.luxuryclub</t>
  </si>
  <si>
    <t>The Luxury Club LLC - Miami Makeup Artist</t>
  </si>
  <si>
    <t>🌸Andie #miamimakeupartist #atlmua 
📍4415 Hollywood Blvd 📲(786) 808-3226
👩🏾‍💼3 x SALON &amp; SUITES OWNER 
📚 @theluxuryclubacademy 
🙏🏾 PHIL 4:13💕</t>
  </si>
  <si>
    <t>https://linktr.ee/theluxuryclub</t>
  </si>
  <si>
    <t>vicamakeup</t>
  </si>
  <si>
    <t>VICA MAKEUP MIAMI</t>
  </si>
  <si>
    <t>Miami Celebrity makeup artist ⚜️
Microblading expert🥇
10570 nw 27th st suite 103 doral fl 33172📍</t>
  </si>
  <si>
    <t>https://www.vicamakeup.com/collections/servicios-de-cita-previa/products/icy-lips</t>
  </si>
  <si>
    <t>menswear Miami</t>
  </si>
  <si>
    <t>classic_menswear_north_miami</t>
  </si>
  <si>
    <t>Classic Menswear by Monfred The Tailor</t>
  </si>
  <si>
    <t>http://classicmenswear.org/</t>
  </si>
  <si>
    <t>moda Chicago</t>
  </si>
  <si>
    <t>modachicago.gym</t>
  </si>
  <si>
    <t>Moda Chicago | GİYİM-AYAKKABI</t>
  </si>
  <si>
    <t>- #𝐘𝐚𝐬𝐚𝐥𝐒𝐚𝐲𝐟𝐚 🌐
- Ü𝘤𝘳𝘦𝘵𝘴𝘪𝘻 𝘒𝘢𝘳𝘨𝘰
- 𝘒𝘢𝘱𝘪𝘥𝘢 Ö𝘥𝘦𝘮𝘦
- 1-4 𝘪𝘴 𝘎𝘶𝘯𝘶 𝘪𝘤𝘦𝘳𝘪𝘴𝘪𝘯𝘥𝘦 𝘵𝘦𝘴𝘭𝘪𝘮
-  D͏e͏ği͏şi͏m͏ İm͏k͏a͏n͏ı</t>
  </si>
  <si>
    <t>moda Miami</t>
  </si>
  <si>
    <t>modaevents_official</t>
  </si>
  <si>
    <t>MODAMIAMI</t>
  </si>
  <si>
    <t>The ultimate automotive, culture, and luxury event in Miami, in association with @rmsothebys.
🗓️ March, 2026 @thebiltmoremiami #MODAMIAMI</t>
  </si>
  <si>
    <t>https://www.modamiami.com</t>
  </si>
  <si>
    <t>mode.miami</t>
  </si>
  <si>
    <t>MODE Downtown Miami</t>
  </si>
  <si>
    <t>Where art, music, and mixology blend.
Thur-Sun | 9PM - Late
2 S Miami Ave | Downtown Miami</t>
  </si>
  <si>
    <t>http://linktr.ee/mode.miami</t>
  </si>
  <si>
    <t>nails Chicago</t>
  </si>
  <si>
    <t>nailschicago.1</t>
  </si>
  <si>
    <t>Dayana Perozo</t>
  </si>
  <si>
    <t>🧠Retos de 5 meses creando.
💅La manicurista mas poderosa de Chicago.
  💫Inspiró a mujeres hacer sus sueños realidad.
    👇 Ingresa aqui.</t>
  </si>
  <si>
    <t>https://wa.link/tmo28l</t>
  </si>
  <si>
    <t>nails Miami</t>
  </si>
  <si>
    <t>ivaniasbeauty_miami</t>
  </si>
  <si>
    <t>NAILS | PEDICURE | BROWS | LASHES | MIAMI</t>
  </si>
  <si>
    <t>📍1989 NE 163 St, NMB, FL 33162
📍 4502 NW 2nd Ave, Miami, FL 33127
𝑩𝑶𝑶𝑲 𝑵𝑶𝑾⬇️</t>
  </si>
  <si>
    <t>https://ivaniasnails.as.me/schedule/b15c2e5a</t>
  </si>
  <si>
    <t>miaminailstudio</t>
  </si>
  <si>
    <t>𝐌𝐢𝐚𝐦𝐢 𝐍𝐚𝐢𝐥𝐬 | 𝐄𝐝𝐮𝐜𝐚𝐭𝐨𝐫 | 𝐂𝐞𝐥𝐞𝐛𝐫𝐢𝐭𝐲 𝐍𝐚𝐢𝐥 𝐀𝐫𝐭𝐢𝐬𝐭</t>
  </si>
  <si>
    <t>𝐆𝐞𝐥-𝐗 | 𝐍𝐚𝐢𝐥 𝐀𝐫𝐭 | 𝐓𝐫𝐚𝐯𝐞𝐥 
𝚘𝚠𝚗𝚎𝚛 𝚘𝚏 @aurastudios.as 
| 𝟷:𝟷 𝚌𝚕𝚊𝚜𝚜𝚎𝚜 𝚊𝚟𝚊𝚒𝚕𝚊𝚋𝚕𝚎 |
💌 𝙿𝚁 : 𝚜𝚊𝚛𝚊𝚑𝚋𝚘𝚛𝚛𝚘𝚝𝚘𝟶𝟸𝟿𝟿@𝚐𝚖𝚊𝚒𝚕.𝚌𝚘𝚖 
𝒟𝑜𝓇𝒶𝓁, 𝐹𝐿 📍</t>
  </si>
  <si>
    <t>https://linktr.ee/miaminailstudio</t>
  </si>
  <si>
    <t>naildripmiami</t>
  </si>
  <si>
    <t>MIAMI NAILS &amp; TRAININGS | CELEBRITY NAIL ARTIST</t>
  </si>
  <si>
    <t>owner of @aurastudios.as 
click the link below to:
book an appt. + enroll in our academy 
for travel inquiries : contact below
SEPT BOOKING 08/17</t>
  </si>
  <si>
    <t>https://naildripmiami.as.me</t>
  </si>
  <si>
    <t>supernailspa_miami</t>
  </si>
  <si>
    <t>𝐒𝐔𝐏𝐄𝐑 𝐍𝐀𝐈𝐋𝐒 𝐀𝐍𝐃 𝐒𝐏𝐀 𝐌𝐈𝐀𝐌𝐈</t>
  </si>
  <si>
    <t>Only 1 Location 
𝐆𝐄𝐋 𝐗 • 𝐀𝐂𝐑𝐘𝐋𝐈𝐂 • 𝐆𝐄𝐋 𝐁𝐔𝐈𝐋𝐃𝐄𝐑 • 𝐃𝐈𝐏 𝐏𝐎𝐖𝐃𝐄𝐑
OPEN EVERYDAY 
🔖 BOOKING ONLINE BY LINK ⬇️
📱 305-554-0940
📍 Miami, Florida</t>
  </si>
  <si>
    <t>http://supernailandspamiami.com</t>
  </si>
  <si>
    <t>natural beauty Miami</t>
  </si>
  <si>
    <t>margaritanaturalhaircare</t>
  </si>
  <si>
    <t>Margarita Beauty Bar | Miami Salon</t>
  </si>
  <si>
    <t>Microlinks|Tape-Ins|Silk Presses
____________________________
👇🏽Walk-ins Welcome👇🏽
Mon-Sat 9AM to 5:30 Pm
1110 SW 2nd Avenue, (Suite 5) Miami,Fl 33130</t>
  </si>
  <si>
    <t>http://styleseat.com/margaritanaturalhaircare/</t>
  </si>
  <si>
    <t>perfume Miami</t>
  </si>
  <si>
    <t>perfumesmiami_</t>
  </si>
  <si>
    <t>Perfumes Miami</t>
  </si>
  <si>
    <t>Perfumes originales 
CEO @morabelin
📍Maracaibo tienda física - Miami tienda online 🇺🇸
Contamos con perfumes de todas las marcas,</t>
  </si>
  <si>
    <t>https://www.perfumesmiami.lat</t>
  </si>
  <si>
    <t>skincare Chicago</t>
  </si>
  <si>
    <t>chicagobestskin</t>
  </si>
  <si>
    <t>𝑺𝒌𝒊𝒏𝒄𝒂𝒓𝒆 𝑺𝒕𝒖𝒅𝒊𝒐 𝒃𝒚 𝒀𝒂𝒏𝒊𝒏𝒂 𝑨𝒚𝒖𝒔𝒉𝒊𝒏𝒐𝒗𝒂</t>
  </si>
  <si>
    <t>YA Skin • Award Winning Clinic✨
Expert Facials🫧
DMK MD Paramedical Skin Revision Clinic🌿
Premium Waxing &amp; Top-Tier Products🛍️
Book your facial now👇</t>
  </si>
  <si>
    <t>https://msha.ke/chicagobestskin</t>
  </si>
  <si>
    <t>luxskinbar.chicago</t>
  </si>
  <si>
    <t>Lux Skin Bar Chicago spa &amp; skincare salon</t>
  </si>
  <si>
    <t>💎 Custom skin protocols
💎 Acne• Pigment• Anti-aging
💎 Facial• Lash• Brow• Nails
Pro skincare: Le Mieux | Bio Renewal
📍 Lincoln Park Chicago
BOOKING ⬇️</t>
  </si>
  <si>
    <t>https://luxselfcare.vip/</t>
  </si>
  <si>
    <t>mjstyle.me</t>
  </si>
  <si>
    <t>mjstyle.me - Mary Beth Joutras | Lifestyle | Skincare | Chicago</t>
  </si>
  <si>
    <t>wife + 👦👦🧒🐾 (Curating high/low looks to take you through each season!) 
Shop my outfits via the LIKEtoKNOW.it App
http://mjstyle.me/
#mjstyle_me</t>
  </si>
  <si>
    <t>https://linkr.bio/xj473w</t>
  </si>
  <si>
    <t>theconfidencebar</t>
  </si>
  <si>
    <t>INJECTABLES | SKINCARE | MED SPA | CHICAGO</t>
  </si>
  <si>
    <t>Medical Spa</t>
  </si>
  <si>
    <t>By @naturally_rana
Experts in Fillers, Tox &amp; Radiant Skin | Delivering Natural Results |Providing the Best Real-World Aesthetic Training 📞312-624-9971</t>
  </si>
  <si>
    <t>https://linktr.ee/theconfidencebar</t>
  </si>
  <si>
    <t>skincare Miami</t>
  </si>
  <si>
    <t>luciagskincare</t>
  </si>
  <si>
    <t>Lucia Gonzalez Diaz | Miami Skin Care</t>
  </si>
  <si>
    <t>Maestra✨Skin Care Instructor/ Chemical Peel Specialist 
🇺🇸Facial Specialist, Medical Assistant/ Laser Techniccian👩🏼‍⚕️International Medical Graduate🇻🇪</t>
  </si>
  <si>
    <t>https://bio.site/draluciahealth</t>
  </si>
  <si>
    <t>miamimdskincare</t>
  </si>
  <si>
    <t>Miami MD - Skincare</t>
  </si>
  <si>
    <t>✦ Doctor Crafted ✦ All Natural ⁣⁣
✦ Paraben Free ✦ Cruelty Free⁣⁣
✦ Certified Vegan ✦ Made in USA⁣⁣</t>
  </si>
  <si>
    <t>https://www.miamimd.co/</t>
  </si>
  <si>
    <t>skincaremiami.spa</t>
  </si>
  <si>
    <t>SKIN CARE MIAMI SPA</t>
  </si>
  <si>
    <t>Medical SkinCare. Dermocosmiatra 
Licensed Aesthetician/🌟Facials Deluxe💧IV Therapy. Ubicación: 2500 Nw 79th Ave, piso 2 SUITE 257 Doral Miami-Florida</t>
  </si>
  <si>
    <t>http://www.skincaremiamispa.com/</t>
  </si>
  <si>
    <t>street style Miami</t>
  </si>
  <si>
    <t>barbershop Buenos Aires</t>
  </si>
  <si>
    <t>buenosairesbarbershop</t>
  </si>
  <si>
    <t>𝗕𝗨𝗘𝗡𝗢𝗦 𝗔𝗜𝗥𝗘𝗦 𝗕𝗔𝗥𝗕𝗘𝗥 𝗦𝗛𝗢𝗣 ®️</t>
  </si>
  <si>
    <t>Corte | Barba | Afeitado
Mar a Vie 11:00 a 20:30 | Sab 10:00 a 20:30
📞 4794 7679
¡Agendá tu cita acá! 👇🏽</t>
  </si>
  <si>
    <t>http://www.buenosairesbarbershop.com/</t>
  </si>
  <si>
    <t>curly hair Toronto</t>
  </si>
  <si>
    <t>the.curl.lounge</t>
  </si>
  <si>
    <t>Toronto Top Curly Hair Salon</t>
  </si>
  <si>
    <t>Specializing in the health and care of all curl types. 
Summer calendar is now open! 🌸
The Curl Lounge Durham 
📍285 Taunton Rd, Oshawa</t>
  </si>
  <si>
    <t>https://linktr.ee/TheCurlLounge</t>
  </si>
  <si>
    <t>luxury Buenos Aires</t>
  </si>
  <si>
    <t>lovelygeorgeluxurycandles</t>
  </si>
  <si>
    <t>Lovely George Buenos Aires</t>
  </si>
  <si>
    <t>La primera Luxury Candle de Argentina ⚪️ Vertidas a mano con cera vegetal Premium en Buenos Aires ⚪️ Perfumes Puros ⚪️ SHOP ONLINE👇🏻24Hs Shipping CABA</t>
  </si>
  <si>
    <t>http://www.lovelygeorge.com.ar/</t>
  </si>
  <si>
    <t>luxury Sao Paulo</t>
  </si>
  <si>
    <t>ellybragamakeup</t>
  </si>
  <si>
    <t>Luxury Makeup | Natural Beauty | São Paulo</t>
  </si>
  <si>
    <t>Atendimento no @marcosproencacabeleireiros - VNC
Agendamento via WhatsApp ⬇️</t>
  </si>
  <si>
    <t>https://api.whatsapp.com/send?phone=5511961680487</t>
  </si>
  <si>
    <t>luxury Toronto</t>
  </si>
  <si>
    <t>delyseestoronto</t>
  </si>
  <si>
    <t>Delysées Luxury Desserts Ltd</t>
  </si>
  <si>
    <t>Re-defining desserts experience, we are focused on modern luxury treats. Est. 2013
———
Ossington | Yorkville | Yorkdale | Ottawa</t>
  </si>
  <si>
    <t>https://linktr.ee/delysees</t>
  </si>
  <si>
    <t>toronto.luxury.houses</t>
  </si>
  <si>
    <t>Toronto Luxury Houses</t>
  </si>
  <si>
    <t>Luxury Real Estate
🇨🇦 Toronto - Canada🇨🇦
DM to get your Luxury GTA Listing Featured.
DM for 📸 Credit or Removal, No Copyright© Infringement Intended.</t>
  </si>
  <si>
    <t>make-up artist Toronto</t>
  </si>
  <si>
    <t>irene.makeup.art</t>
  </si>
  <si>
    <t>MAKEUP ARTIST TORONTO | EDITORIAL &amp; FASHION | CONTENT CREATOR</t>
  </si>
  <si>
    <t>8 yrs.exp| MUA COURSES instructor | BRANDS COLABS
🖇️ My works as a photographer:@rene.art.vision
▫️Working for  @benefitcanada
For appointment | DM📩🇺🇦</t>
  </si>
  <si>
    <t>https://youtube.com/@iren_rene?si=HraQ7cuQ8YwV-9gU</t>
  </si>
  <si>
    <t>kendrafrenchmakeup</t>
  </si>
  <si>
    <t>Kendra | TORONTO MAKE-UP ARTIST</t>
  </si>
  <si>
    <t>Beauty | Fashion | Editorial | Bridal | Film 
1:1 Lessons Available 
🇨🇦Toronto/GTA 
Bookings/PR/UGC 📧kendrafrenchmakeup@gmail.com
WATCH MY REELS! ⬇️</t>
  </si>
  <si>
    <t>https://linktr.ee/kendrafrenchmakeup</t>
  </si>
  <si>
    <t>leenaheravi</t>
  </si>
  <si>
    <t>Makeup Artist | Toronto Dubai</t>
  </si>
  <si>
    <t>Bridal - Editorial - Destination
📍Toronto APR - OCT
📍Dubai  NOV +
‪+971 54 471 6936‬ (UAE inquiries only)
@leenalashesofficial 
Shop &amp; Inquiries! 👇🏻</t>
  </si>
  <si>
    <t>http://leenaheravi.com/contact</t>
  </si>
  <si>
    <t>makeup Buenos Aires</t>
  </si>
  <si>
    <t>makeup.buenosaires</t>
  </si>
  <si>
    <t>Maquillaje Buenos Aires</t>
  </si>
  <si>
    <t>CoberturaGLAM 𖧞 𝐀𝐥𝐭𝐚𝐃𝐞𝐟𝐢𝐧𝐢𝐜𝐢𝐨́𝐧 
Hola 👋🏼 Soy 𝐑𝐮𝐝𝐢 
𝖯𝗋𝖾𝗏𝗂𝖺𝐂𝐢𝐭𝐚➜Dm  •  𝖫𝗂𝗇𝗄⇩Opiniones 
Pro-Artist 🇦🇷🇻🇪🇪🇸🇺🇸</t>
  </si>
  <si>
    <t>https://maps.app.goo.gl/WG7sAar17mMn7hHP7?g_st=com.google.maps.preview.copy</t>
  </si>
  <si>
    <t>makeup.dharma</t>
  </si>
  <si>
    <t>Maquillaje • Peinado | Buenos Aires</t>
  </si>
  <si>
    <t>@angie.velasqez 𝘈𝘙𝘛𝘐𝘚𝘛𝘈 𝘋𝘌𝘓 𝘔𝘈𝘘𝘜𝘐𝘓𝘓𝘈𝘑𝘌
𝙀𝙨𝙥𝙚𝙘𝙞𝙖𝙡𝙞𝙨𝙩𝙖 𝙚𝙣 𝙉𝙊𝙑𝙄𝘼𝙎 𝙮 𝙋𝙞𝙚𝙡𝙚𝙨 𝙈𝙖𝙙𝙪𝙧𝙖𝙨 
Desde 2008 | Belgrano, Buenos Aires 🇦🇷</t>
  </si>
  <si>
    <t>silvanabustos_makeup</t>
  </si>
  <si>
    <t>Micropigmentación | INDIBA | Botox | Buenos Aires</t>
  </si>
  <si>
    <t>✨Studio de micropigmentación de cejas, labios y ojos.
👄 Desde el 2002 embelleciendo mujeres.
📩 AGENDÁ TU CITA EN EL LINK⬇️</t>
  </si>
  <si>
    <t>https://bit.ly/3nH3OqX</t>
  </si>
  <si>
    <t>makeup Rio de Janeiro</t>
  </si>
  <si>
    <t>gabriellopesmakeup</t>
  </si>
  <si>
    <t>Rei do Delineado makeup / Rio de Janeiro.</t>
  </si>
  <si>
    <t>MAQUIADOR &amp; FOTÓGRAFO 
——————————————————
⬇️Dúvidas e agendamentos ⬇️
@reservagabriellopesmakeup</t>
  </si>
  <si>
    <t>https://www.instagram.com/reservagabriellopesmakeup?igsh=MW5pcWlrbndicXJ1aw%3D%3D</t>
  </si>
  <si>
    <t>gabybarbosa_makeup</t>
  </si>
  <si>
    <t>Gaby Barbosa - Maquiadora Rio de Janeiro 💦</t>
  </si>
  <si>
    <t>Uma mãe maquiadora, professora de maquiagem &amp; criadora de conteúdo 💋 
💦 Referência na técnica de pele impermeável 
NOVA TURMA - 08/09, ENTRE NO GRUPO</t>
  </si>
  <si>
    <t>https://chat.whatsapp.com/GXE3Opgr2ZY1aLboC6HJpV?mode=ems_copy_c</t>
  </si>
  <si>
    <t>ingridmariano.makeup</t>
  </si>
  <si>
    <t>INGRID MARIANO | Maquiadora Rio de Janeiro</t>
  </si>
  <si>
    <t>📍Rio de Janeiro - vista alegre/ iraja 
▪️ CURSO DE AUTOMAQUIAGEM 
Dúvidas e agendamento - 21 96432-7878 📲</t>
  </si>
  <si>
    <t>https://bit.ly/Ingrid06</t>
  </si>
  <si>
    <t>thifannymakeup</t>
  </si>
  <si>
    <t>Thifanny Minarini | Maquiadora no Rio de Janeiro</t>
  </si>
  <si>
    <t>⚜️ Atendimento de alto padrão 
✍️ Criadora do Método VM 
🚀 Seja minha aluna presencial ou on-line</t>
  </si>
  <si>
    <t>https://bio.site/thifannymakeup</t>
  </si>
  <si>
    <t>makeup Sao Paulo</t>
  </si>
  <si>
    <t>beatrizalissia.makeup</t>
  </si>
  <si>
    <t>Beatriz Alissia Maquiadora em São Paulo</t>
  </si>
  <si>
    <t>📍São Paulo
Beauty with purpose. artist and educator
↓ Agendamentos / Cursos Profissionais</t>
  </si>
  <si>
    <t>https://linktr.ee/beatrizalsmakeup</t>
  </si>
  <si>
    <t>laris.makeup</t>
  </si>
  <si>
    <t>Ateliê Lary Makeup | MAQUIADORA - GUARULHOS/São Paulo</t>
  </si>
  <si>
    <t>💍 Especialista em Noivas e Pele negra 
💄Cursos Profissionalizantes &amp; Automake
👰🏾‍♀️Penteados
📲 Infos &amp; Agendamentos ↓</t>
  </si>
  <si>
    <t>https://linktr.ee/laris.makeup?utm_source=linktree_admin_share</t>
  </si>
  <si>
    <t>tailla_makeup</t>
  </si>
  <si>
    <t>Taílla Schmidt | Maquiadora ABC São Paulo</t>
  </si>
  <si>
    <t>Maquiagem com leveza &amp; elegância 🪞
+1000 clientes • +300 alunas
📲 Atendimento a domicílio &amp; cursos clique abaixo ↓</t>
  </si>
  <si>
    <t>https://bio.site/tailla_makeup</t>
  </si>
  <si>
    <t>makeup Toronto</t>
  </si>
  <si>
    <t>bonika_muah</t>
  </si>
  <si>
    <t>MAKEUP AND HAIR TORONTO. VICTORIA</t>
  </si>
  <si>
    <t>💕Bridal&amp;Event Hair+Makeup&amp;Lessons
🔥Over 15 years of experience
🌎Mobile&amp;Home studio (Richmond Hill)
💍Custom jewelry+Extens.Rent
🤗Booking 25-26
💵Rates⬇️</t>
  </si>
  <si>
    <t>https://bonika.pro/Services-and-rates</t>
  </si>
  <si>
    <t>moda Buenos Aires</t>
  </si>
  <si>
    <t>espaciobuenosaires</t>
  </si>
  <si>
    <t>EBA | Formación consciente en Moda, Diseño y Business</t>
  </si>
  <si>
    <t>Cursos &amp; Diplomaturas al día con las tendencias y la industria. 1eros en moda, tecnología y sostenibilidad
🌎 33 años impulsando talentos y creatividad</t>
  </si>
  <si>
    <t>https://linktr.ee/espaciobuenosaires</t>
  </si>
  <si>
    <t>modaurbanabuenosaires</t>
  </si>
  <si>
    <t>Moda Urbana Buenos Aires</t>
  </si>
  <si>
    <t>#Moda &amp; #StreetStyle en las calles de Buenos Aires. Compartí tu outfit @modaurbanabuenosaires &amp; #ModaUrbanaBuenosAires</t>
  </si>
  <si>
    <t>modernabuenosaires</t>
  </si>
  <si>
    <t>Moderna Buenos Aires</t>
  </si>
  <si>
    <t>https://www.modernabuenosaires.org</t>
  </si>
  <si>
    <t>moda Rio de Janeiro</t>
  </si>
  <si>
    <t>boutiquemoca_bonita</t>
  </si>
  <si>
    <t>MODA FEMININA ♡  RIO DE JANEIRO RJ</t>
  </si>
  <si>
    <t>moda feminina com uma dose de amor ♡
Aperibé -RJ 📍| enviamos para todo Brasil
COMPRE ON-LINE  📲22981305804</t>
  </si>
  <si>
    <t>https://beacons.ai/boutiquemocabonita</t>
  </si>
  <si>
    <t>kakariodejaneiro</t>
  </si>
  <si>
    <t>Kaká Fashion | Moda Plus</t>
  </si>
  <si>
    <t>Celebre a sua beleza única com a Kaká 
Plus size do 44 ao 56
Visite uma de nossas 9 lojas ou compre online 💕</t>
  </si>
  <si>
    <t>https://beacons.ai/kakafashion</t>
  </si>
  <si>
    <t>meu_bendito_brecho_</t>
  </si>
  <si>
    <t>Bendito Brechó | Brecho online | Tijuca | Rio de Janeiro | Moda</t>
  </si>
  <si>
    <t>Brechó e bazar multimarcas online 
Peças especialmente selecionadas  
📦Enviamos para todo Brasil 
📍Retirada Tijuca -Rj</t>
  </si>
  <si>
    <t>http://www.benditobrecho.com.br</t>
  </si>
  <si>
    <t>serenamodabc</t>
  </si>
  <si>
    <t>Serena Moda Boho Chic | Joias em Prata 925 | Rio de Janeiro</t>
  </si>
  <si>
    <t>| Um estilo despojado de joias em Prata 925✨
| Garantia Vitalícia da Prata 925
| Desde 2019 
| Entrega em todo Brasil
Vendas Site aqui 👇🏼</t>
  </si>
  <si>
    <t>http://www.serenamodabc.com.br</t>
  </si>
  <si>
    <t>moda Sao Paulo</t>
  </si>
  <si>
    <t>acfashionstore</t>
  </si>
  <si>
    <t>🛍 Moda Feminina - São Paulo/SP</t>
  </si>
  <si>
    <t>Desde 2016🩷
Tendência e qualidade você encontra aqui💕
Parcele em até 12x no cartão 
Enviamos para todo🇧🇷
🛍COMPRAS AQUI⬇️</t>
  </si>
  <si>
    <t>https://bit.ly/AcStore</t>
  </si>
  <si>
    <t>bailedemode</t>
  </si>
  <si>
    <t>Baile Démodé | Fora de moda, porém com classe | São Paulo - SP</t>
  </si>
  <si>
    <t>@agenordelorenzi @ricardoschuindarantes
Siga também a nossa Big Band @supremavictrola 🎼 🎷🎺🪘🎸🥁🎹🎤</t>
  </si>
  <si>
    <t>https://www.eventim.com.br/event/ricardo-arantes-canta-nostra-bella-italia-blue-note-sao-paulo-19695280/</t>
  </si>
  <si>
    <t>closet_lafete</t>
  </si>
  <si>
    <t>CLOSET LA FETE - Moda Festa e Praia Handmade - São Paulo</t>
  </si>
  <si>
    <t>VEJA NOSSAS CLIENTES USANDO NOSSAS PEÇAS NOS DESTAQUES “CLIENTES”
📲 Ecomerce de SÃO PAULO, SP.
📱COMPRE E ACESSE VALORES PELO SITE ABAIXO ⬇️</t>
  </si>
  <si>
    <t>http://www.closetlafete.com.br</t>
  </si>
  <si>
    <t>modasaopaulo_</t>
  </si>
  <si>
    <t>Loja Fisica e Virtual</t>
  </si>
  <si>
    <t>MODA FEMININA 👗👜
ATACADO /VAREJO 💫
ENTREGAMOS PARA TODO MUNDO🌎
TODAS AS PEÇAS ESTÃO DISPONÍVEIS🏷️
WhatsApp 📲
011984650586
Brás 📌</t>
  </si>
  <si>
    <t>mundolulu.br</t>
  </si>
  <si>
    <t>Mundo Lulu / Moda São Paulo</t>
  </si>
  <si>
    <t>Moda por @euangelwagner 
🌸 Mundo Lulu | Moda feminina delicada  
✨ Elegância em cada detalhe  
📦 Enviamos para todo o Brasil  
💖 www.mundolulu.com.br</t>
  </si>
  <si>
    <t>http://www.mundolulu.com.br</t>
  </si>
  <si>
    <t>nails Buenos Aires</t>
  </si>
  <si>
    <t>chemadame_nails</t>
  </si>
  <si>
    <t>Che! Madame® Buenos Aires</t>
  </si>
  <si>
    <t>Esmaltes UV Gel 🇦🇷 Ind. Argentina! 
🛵 Envios a todo el pais 
🌱 Veganos 🐇 Cruelty Free
Aprobados ante la Anmat
👇Che! Acá tenes el link la página</t>
  </si>
  <si>
    <t>https://www.chemadame.com</t>
  </si>
  <si>
    <t>nails Sao Paulo</t>
  </si>
  <si>
    <t>nails_nachuster</t>
  </si>
  <si>
    <t>NATH CHUSTER | NAILS . SÃO PAULO</t>
  </si>
  <si>
    <t>👸🏻Especialista em Gel na Tips e Banho de Gel.
✨5 Anos no alongamento.
📍| Guaianases - SP
👇🏼 Agende seu horário</t>
  </si>
  <si>
    <t>nails Toronto</t>
  </si>
  <si>
    <t>milenas.nail</t>
  </si>
  <si>
    <t>NAILS TORONTO 🇨🇦</t>
  </si>
  <si>
    <t>Luxury Nail Artist | Russian Manicure 
Toronto-Worldwide
10+ yrs of precision &amp; perfection
Your nails’ best-kept secret
Booking | DM or Link below ⬇️</t>
  </si>
  <si>
    <t>queennailsetobicoke</t>
  </si>
  <si>
    <t>QUEEN NAILS - Toronto Best Nail Salon</t>
  </si>
  <si>
    <t>🎗TORONTO CELEB'S CHOICE SALON🇨🇦
📞416-253-1104 
🏆TORONTO BEST NAIL SALON AWARD 
🏆BEST NAILS ARTIST AWARD
🏆READER CHOICE 
🏆BLOGTO BEST CHOICE
👇BOOK NOW</t>
  </si>
  <si>
    <t>https://queennailsetobicoke.setmore.com.</t>
  </si>
  <si>
    <t>natural beauty Sao Paulo</t>
  </si>
  <si>
    <t>carol.naturalbeauty</t>
  </si>
  <si>
    <t>Carol Fiori | Nanoblading Sao Paulo</t>
  </si>
  <si>
    <t>Oi eu sou a Carol
 Referência em Nanopigmentação, com foco em resultados naturais e personalizados
💥 Remoção a Laser
📍 Jardins
Me Chama 👇🏻</t>
  </si>
  <si>
    <t>https://upcardslinks.my.canva.site/carolnaturalbeauty</t>
  </si>
  <si>
    <t>skincare Toronto</t>
  </si>
  <si>
    <t>signature_beautylounge</t>
  </si>
  <si>
    <t>SKINCARE CLINIC | TORONTO</t>
  </si>
  <si>
    <t>Best IV Drips | Laser | IPL | Acne | PRP | Botox | Lip Filler | Hydrafacial
📍 Downtown | 📍 Richmond Hill
✨ Free skin analysis &amp; nurse consultation!</t>
  </si>
  <si>
    <t>https://mtr.bio/beautylounge</t>
  </si>
  <si>
    <t>studio6beauty_</t>
  </si>
  <si>
    <t>𝑺𝒌𝒊𝒏𝒄𝒂𝒓𝒆 𝑻𝒐𝒓𝒐𝒏𝒕𝒐 𝑺𝒑𝒂 | 𝑯𝒚𝒅𝒓𝒂𝒇𝒂𝒄𝒊𝒂𝒍𝒊𝒔𝒕 | 𝑴𝒂𝒌𝒆𝒖𝒑 𝑨𝒓𝒕𝒊𝒔𝒕</t>
  </si>
  <si>
    <t>Custom Facials | Laser Hair removal | Reiki Healing 
🍃Mind, Body &amp; Soul experience 
🍃 Glow Within
✨Empowering Women
✨ classes
✨Info.Studio6b@gmail.com</t>
  </si>
  <si>
    <t>https://book.squareup.com/appointments/pidudxqwzci9z4/location/LKFJWZ9GGX02T/services</t>
  </si>
  <si>
    <t>sneakers Buenos Aires</t>
  </si>
  <si>
    <t>sneakerhead.ba</t>
  </si>
  <si>
    <t>SNEAKERHEAD BUENOS AIRES</t>
  </si>
  <si>
    <t>EST.2008 // SNEAKERS+ZAPAS+TENIS+TILLAS+BAMBAS+KICKS*** 💯%FRESH DATA PARA ESTAR AL DÍA CON LAS NOVEDADES DEL MUNDO SNEAKER.</t>
  </si>
  <si>
    <t>https://sneakerheadbuenosaires.com/</t>
  </si>
  <si>
    <t>sneakers Sao Paulo</t>
  </si>
  <si>
    <t>dom_sneakerss</t>
  </si>
  <si>
    <t>DOM SNEAKERS | SÃO PAULO-BR</t>
  </si>
  <si>
    <t>SINCE 2020
OWNER: @araujodoecommerce 
🏷️ USE O CUPOM: PRIMEIRACOMPRA
🌏 ENVIAMOS P/ TODO BRASIL 🇧🇷
📦 FRETE GRÁTIS 
📦 MOTOBOY-SP
🔗 COMPRE AQUI👇🏻</t>
  </si>
  <si>
    <t>https://linktr.ee/domsneaker</t>
  </si>
  <si>
    <t>saopaulo.sneakers</t>
  </si>
  <si>
    <t>São Paulo Sneakers 🇧🇷</t>
  </si>
  <si>
    <t>📍MOGI DAS CRUZES - SP
🚚 FRETE GRATIS PARA TODO O BRASIL
🔒 Qualidade Absoluta
🎥 Acompanhe os storys
📲 Contato - (11) 97183-2126
Compre pelo site👇🏻</t>
  </si>
  <si>
    <t>https://www.saopaulosneakers.com.br</t>
  </si>
  <si>
    <t>sneakers Toronto</t>
  </si>
  <si>
    <t>torontosneakers.ok</t>
  </si>
  <si>
    <t>TORONTO Sneakers</t>
  </si>
  <si>
    <t>ABONÁ EN EL MOMENTO DE LA ENTREGA 
🚚💨 Envios a todo el país 🇦🇷
🛒 COMPRA ONLINE EN ESTE LINK 👇🏻</t>
  </si>
  <si>
    <t>https://importadostoronto.mitiendanube.com/</t>
  </si>
  <si>
    <t>street style Buenos Aires</t>
  </si>
  <si>
    <t>streetstylebuenosaires</t>
  </si>
  <si>
    <t>by Guada 🙋🏻‍♀️</t>
  </si>
  <si>
    <t>• Curaduria de moda📍BA &amp; MAD
• Daily Outfit Inspiration 
• #streetstyleBA
• 💌 streetstylebaok@gmail.com</t>
  </si>
  <si>
    <t>streetwear Buenos Aires</t>
  </si>
  <si>
    <t>westcoast_ropa</t>
  </si>
  <si>
    <t>Streetwear - Buenos Aires</t>
  </si>
  <si>
    <t>@westcoast_studio
Envíos a toda ARG🇦🇷
Todos los medios de pago 💳
MARTES a SABADO de 10 a 13 &amp; 17 a 20hs.⌚️
📍LOCAL 8📍</t>
  </si>
  <si>
    <t>http://westcoast1.mitiendanube.com</t>
  </si>
  <si>
    <t>streetwear Toronto</t>
  </si>
  <si>
    <t>relocationtoronto</t>
  </si>
  <si>
    <t>RELOCATION VINTAGE + STREETWEAR STORE</t>
  </si>
  <si>
    <t>RELOCATION ♻️📍• “The Act Of Moving Something From One Place To Another”
499 Bloor — TUES-SUN : 12:00-8:00
1461 Dundas — GRAND OPENING SEP 12th.</t>
  </si>
  <si>
    <t>https://relocationvintage.com/</t>
  </si>
  <si>
    <t>sustainable fashion Buenos Aires</t>
  </si>
  <si>
    <t>sustainable_fashion_business</t>
  </si>
  <si>
    <t>Sustainability in your daily life // Sustainable fashion industry // Sustainable business models// Circular economy//</t>
  </si>
  <si>
    <t>thrift Toronto</t>
  </si>
  <si>
    <t>national_thrift</t>
  </si>
  <si>
    <t>National Thrift | Toronto Thrift Store</t>
  </si>
  <si>
    <t>Your Thrifting Destination
🇨🇦Proudly Canadian
Tag us or use #ThriftMyWay to be featured 
Click the link and use our store locator ⤵️</t>
  </si>
  <si>
    <t>http://linktr.ee/nationalthrift_</t>
  </si>
  <si>
    <t>luxury Bogota</t>
  </si>
  <si>
    <t>desayunos.bogotafr</t>
  </si>
  <si>
    <t>Luxury Breakfasts®️Desayunos sorpresa Bogota 📍</t>
  </si>
  <si>
    <t>EL LUJO HECHO SORPRESA 🔝
Solo BOGOTÁ📍🔝
📝ATENCIÓN 24H
📲310 259 7720 
⏰Entregas en el lapso de 6 am a 10 am
No horas específicas☀️
By: @qarenhernandezg</t>
  </si>
  <si>
    <t>https://api.whatsapp.com/send?phone=573102597720&amp;text=%252540desayunos.bogotafr</t>
  </si>
  <si>
    <t>hemmabogota</t>
  </si>
  <si>
    <t>Hemma | Bogotá Luxury Suites Hotel | Travel | Food | Tips</t>
  </si>
  <si>
    <t>✨Guía de Viajes &amp; Experiencias en Bogotá
🎥El Hotel De Los Famosos (300+)
⚜️Descansa Y Sueña Como Una Estrella (182K +)
❤️100.000+ Clientes Satisfechos</t>
  </si>
  <si>
    <t>https://www.hemmabogota.com/</t>
  </si>
  <si>
    <t>luxury.bogotaclub</t>
  </si>
  <si>
    <t>𝐋𝐮𝐱𝐮𝐫𝐲 𝐏𝐞𝐫𝐟𝐨𝐫𝐦𝐚𝐧𝐜𝐞 𝐁𝐨𝐠𝐨𝐭𝐚 𝐂𝐥𝐮𝐛 ®</t>
  </si>
  <si>
    <t>Private Members Club</t>
  </si>
  <si>
    <t>💎| Luxury Performance Bogotá Club ®🥂
🏎| Somos mucho más que un club ☝🏻
🔒| Club Privado
🫂| Unidos por una misma pasión
📍| Bogotá, Colombia 🇨🇴</t>
  </si>
  <si>
    <t>https://linktr.ee/luxury.bogotaclub</t>
  </si>
  <si>
    <t>luxurysport_1</t>
  </si>
  <si>
    <t>Luxury Sport Bogota</t>
  </si>
  <si>
    <t>Tienda online✨
Pago contra entrega en Bogotá📦
📲WA 3176940456</t>
  </si>
  <si>
    <t>makeup Bogota</t>
  </si>
  <si>
    <t>bygenesismorales</t>
  </si>
  <si>
    <t>makeup and hair in bogota</t>
  </si>
  <si>
    <t>MAKEUP ARTIST | PHOTOGRAPHER 
•clases•Sociales
Bridal &amp; Event makeup&amp;HairArtist @noviasgenesismorales @gmbeauty.co
Bog|COL @casagenesisvisual AGENDA⬇️</t>
  </si>
  <si>
    <t>moda Bogota</t>
  </si>
  <si>
    <t>bogota.esmoda</t>
  </si>
  <si>
    <t>𝗕𝗢𝗚𝗢𝗧𝗔́ 𝗘𝗦 𝗠𝗢𝗗𝗔</t>
  </si>
  <si>
    <t>𝗠𝗢𝗗𝗔 𝗦𝗜𝗡 𝗟𝗜́𝗠𝗜𝗧𝗘𝗦
by @showmodelsagencia
𝟭𝟲 - 𝟭𝟳 - 𝟭𝟴  𝗢𝗖𝗧𝗨𝗕𝗥𝗘 𝟮𝟬𝟮𝟱</t>
  </si>
  <si>
    <t>http://bogotaesmoda.co/</t>
  </si>
  <si>
    <t>nails Bogota</t>
  </si>
  <si>
    <t>angels.nails_studio</t>
  </si>
  <si>
    <t>ANGELS NAILS STUDIO💕BOGOTA 🌸</t>
  </si>
  <si>
    <t>📍Bogota-La coruña
💜Cita previa
📲WhatsApp 3209658125
Uñas acrílicas, polygel, soft gel, semipermanente 💅💜</t>
  </si>
  <si>
    <t>https://walink.co/0bc5ed</t>
  </si>
  <si>
    <t>ensueno_nailstudio</t>
  </si>
  <si>
    <t>Ensueño Nails Uñas acrílicas Bogotá</t>
  </si>
  <si>
    <t>Spa manicura, pedicura y tendencias del momento ✨
𝐀𝐠𝐞𝐧𝐝𝐚 𝐓𝐮 𝐜𝐢𝐭𝐚 𝐚𝐪𝐮𝐢👇🏻</t>
  </si>
  <si>
    <t>https://linktr.ee/ensuenonails_co</t>
  </si>
  <si>
    <t>perfume Bogota</t>
  </si>
  <si>
    <t>bogotaperfume</t>
  </si>
  <si>
    <t>Perfumes Bogotá</t>
  </si>
  <si>
    <t>| 👩🏻‍💻Tienda Virtual | 💯Perfumería ORIGINAL |
|✈️ Envíos Nacionales 🇨🇴 | 🥇Contraentrega |
|💎Garantía de satisfacción 👏🏻
COMPRA AHORA 👇🏻👇🏻👇🏻</t>
  </si>
  <si>
    <t>https://linktr.ee/Bogotaperfume</t>
  </si>
  <si>
    <t>sneakers Bogota</t>
  </si>
  <si>
    <t>shoes__bogota__</t>
  </si>
  <si>
    <t>SNEAKERS BOGOTÁ</t>
  </si>
  <si>
    <t>•LOS TENIS MAS TOP 🤯💥
•ENVIOS A TODO EL PAÍS ✈️🇨🇴
•PAGO CONTRAENTREGA BOGOTÁ 💯
•ESCRIBEME 👟👇
+57 3208371535</t>
  </si>
  <si>
    <t>http://wa.me/573208371535</t>
  </si>
  <si>
    <t>slippers_boom</t>
  </si>
  <si>
    <t>SNEAKERS | ZAPATILLAS | BOGOTÁ | TENIS</t>
  </si>
  <si>
    <t>💥| Tienda Virtual en Bogotá 📲
💥| Contra entrega en Colombia ✈️
💥| Envíos Nacionales🇨🇴
💥| Tarjetas de Crédito y Débito💳
💥| WhatsApp Pedidos ⬇️</t>
  </si>
  <si>
    <t>http://wa.me/573142202917</t>
  </si>
  <si>
    <t>streetwear Bogota</t>
  </si>
  <si>
    <t>goodtimesbogota</t>
  </si>
  <si>
    <t>Street Wear</t>
  </si>
  <si>
    <t>Keeping the underground since 2015🥷🏿
Límited Edition
Show Rooms:
📍 Cra 15 #84a -24 local:222 Bogota
📍Cra 5 # 21-92,Bogota</t>
  </si>
  <si>
    <t>http://www.goodtimesbogota.com/</t>
  </si>
  <si>
    <t>accessories London</t>
  </si>
  <si>
    <t>mr_london_accessories_</t>
  </si>
  <si>
    <t>𝙼𝚛 𝚕𝚘𝚗𝚍𝚘𝚗 🇹🇿🇬🇧</t>
  </si>
  <si>
    <t>Cars</t>
  </si>
  <si>
    <t>𝚃𝚁𝚄𝚂𝚃𝙴𝙳 𝙲𝙰𝚁 𝙰𝙲𝙲𝙴𝚂𝚂𝙾𝚁𝙸𝙴𝚂 𝙳𝙴𝙰𝙻𝙴𝚁𝚂𝙷𝙸𝙿 
☎️ 𝚙𝚑𝚘𝚗𝚎: +255749848283                                                               
📍 𝚃𝙰𝙱𝙰𝚃𝙰 , 𝙳𝙰𝚁 𝙴𝚂 𝚂𝙰𝙻𝙰𝙰𝙼</t>
  </si>
  <si>
    <t>myaccessorieslondon</t>
  </si>
  <si>
    <t>My Accessories London</t>
  </si>
  <si>
    <t>Sign up to get 15% off your first order 💖</t>
  </si>
  <si>
    <t>https://linktr.ee/myaccessorieslondon</t>
  </si>
  <si>
    <t>accessories Munich</t>
  </si>
  <si>
    <t>any_di_munich</t>
  </si>
  <si>
    <t>ANY DI Luxury Accessories</t>
  </si>
  <si>
    <t>Founded by @anne_dickhardt 
Designed with ❤️ in Munich
▪️ Design-patented SunCover
▪️ Innovative PhoneStrap System
▪️ Worldwide Shipping 🌎</t>
  </si>
  <si>
    <t>https://any-di.com</t>
  </si>
  <si>
    <t>accessories Santiago</t>
  </si>
  <si>
    <t>accesorios_santiago25</t>
  </si>
  <si>
    <t>Accessories📿🛍🛒</t>
  </si>
  <si>
    <t>barbershop Berlin</t>
  </si>
  <si>
    <t>barbershopberlin_</t>
  </si>
  <si>
    <t>Barbershop berlin</t>
  </si>
  <si>
    <t>🌑Berlin ,Germany
🌘High Quality Barber Shop 
🌗Adresse 🔻</t>
  </si>
  <si>
    <t>https://maps.app.goo.gl/UrAcYHeyaKfpapMa6?g_st=com.google.maps.preview.copy</t>
  </si>
  <si>
    <t>barbershop London</t>
  </si>
  <si>
    <t>londonbarbershop.la</t>
  </si>
  <si>
    <t>London Barbershop | L A | Since 2017💈</t>
  </si>
  <si>
    <t>Glendale☎️ (818)696-2662📍367 N. Chevy chase 
Encino ☎️ (747)264-0021📍17338 Ventura Blvd
BOOK ONLINE 👇🏻</t>
  </si>
  <si>
    <t>https://londonbarberla.com</t>
  </si>
  <si>
    <t>cosmetiques Paris</t>
  </si>
  <si>
    <t>kreme_paris</t>
  </si>
  <si>
    <t>Krème | Cosmétiques Bio</t>
  </si>
  <si>
    <t>💜 NEW SÉRUM YEUX COLLAGÈNE 💜 
Soins naturels BIO pour peaux sensibles.
Probiotiques + actifs biotech.
100/100 Yuka.
+ 1900 pharmacies.</t>
  </si>
  <si>
    <t>http://kreme-paris.com/</t>
  </si>
  <si>
    <t>curly hair Paris</t>
  </si>
  <si>
    <t>harley_hp</t>
  </si>
  <si>
    <t>HARLEY | EXPERT COLORISTE PARIS | COIFFEUR STUDIO | CURLY HAIR</t>
  </si>
  <si>
    <t>Spécialiste du cheveu texturé
+ 10 ans d’expérience (events,shotting,fashion week…) 
📍Based in Paris but 🇲🇶✊🏽
Uniquement sur RDV | Lien👇🏽</t>
  </si>
  <si>
    <t>https://linktr.ee/harleyhp</t>
  </si>
  <si>
    <t>fashion trends Berlin</t>
  </si>
  <si>
    <t>swgluxurytrends</t>
  </si>
  <si>
    <t>Harrison E. Milano fashion,Berlin</t>
  </si>
  <si>
    <t>Accessible luxury for quality men. "Uniqueness is a style."</t>
  </si>
  <si>
    <t>hairstyle Paris</t>
  </si>
  <si>
    <t>donia_hairstylist75</t>
  </si>
  <si>
    <t>HAIR STYLE EXTENSIONS PARIS﹠MARRAKECH - FORMATION</t>
  </si>
  <si>
    <t>Hair Extensions Service</t>
  </si>
  <si>
    <t>Hair Styliste, Paris et Marrakech
🫧 Spécialiste en pose d’extensions et ombré hair
𝐟𝐨𝐫𝐦𝐚𝐭𝐢𝐨𝐧 𝐝𝐢𝐬𝐩𝐨𝐧𝐢𝐛𝐥𝐞 ☏ 06 95 09 03 45
@donia_hairstylistextentions</t>
  </si>
  <si>
    <t>https://www.planity.com/dh-hair-style-75008-paris</t>
  </si>
  <si>
    <t>parisa.hairstyle.ae</t>
  </si>
  <si>
    <t>Parisa Molaee | Beauty | Hairstylist</t>
  </si>
  <si>
    <t>📍🇦🇪
بروفيشنال هيراستايليست(تخصص العرايس) 
للحجزالامارات واتساب:971553664803+
یثبت الحجز بعربون
العربون لا يرد
مرخص من اقتصادية دبي رقم الرخصه1425975</t>
  </si>
  <si>
    <t>hairstyle Santiago</t>
  </si>
  <si>
    <t>santi.hairstyle</t>
  </si>
  <si>
    <t>Santiago Peña | Professional Hairstylist</t>
  </si>
  <si>
    <t>▪️Color Specialist 
▪️Hair Repair &amp; Restoration 
📍Now in Toronto| Formerly @bruleeloveforhair  &amp; Mauricio Leal Peluquería
 Bookings ➡️</t>
  </si>
  <si>
    <t>handbags London</t>
  </si>
  <si>
    <t>moyalondon</t>
  </si>
  <si>
    <t>MOYA | Artisanal Crochet Handbags from London</t>
  </si>
  <si>
    <t>🧶Designing and crafting crochet handbags from London
👩‍🎨Promoting artful designs and irreplaceable hand-craftsmanship
☘️With bespoke services</t>
  </si>
  <si>
    <t>https://www.moyalondon.com/</t>
  </si>
  <si>
    <t>handbags Paris</t>
  </si>
  <si>
    <t>lafloreparis</t>
  </si>
  <si>
    <t>Laflore Paris | Vegan &amp; Sustainable handbags</t>
  </si>
  <si>
    <t>Bags/Luggage</t>
  </si>
  <si>
    <t>🌿 Vegan, Waterproof &amp; Sustainable
📦 Worldwide Shipping
🌳 Handmade w/ Cork Bark
🇫🇷 Versatile Parisian Handbags</t>
  </si>
  <si>
    <t>https://bit.ly/49cF7rR</t>
  </si>
  <si>
    <t>haute-couture Paris</t>
  </si>
  <si>
    <t>haute_coutureparis</t>
  </si>
  <si>
    <t>Showroom De luxe sur Paris</t>
  </si>
  <si>
    <t>Balmain - Givenchy - Dsquared - Balenciaga - Valentino - YSL - Joey Martins - Dior - Kenzo - Versace 
Produit Véritable 🇫🇷</t>
  </si>
  <si>
    <t>jmc.in.paris</t>
  </si>
  <si>
    <t>PARIS HAUTE COUTURE DESIGNERS MAGAZINE ®</t>
  </si>
  <si>
    <t>Editor in Chief
Photojournalist 
PARIS HAUTE COUTURE DESIGNER MAGAZINE
Paris New-York 
Tikrok : jmc.in.paris
https://www.facebook.com/phcdmagazine</t>
  </si>
  <si>
    <t>https://www.youtube.com/channel/UCK6Q6W1gyW68tyaqxkm_bhQ</t>
  </si>
  <si>
    <t>lametamorphoseofficial</t>
  </si>
  <si>
    <t>La Metamorphose Paris | HAUTE COUTURE AND RTW DESIGNER</t>
  </si>
  <si>
    <t>| Paris Haute Couture</t>
  </si>
  <si>
    <t>http://www.la-metamorphose.com</t>
  </si>
  <si>
    <t>high heels Paris</t>
  </si>
  <si>
    <t>daria_gribanovskaia</t>
  </si>
  <si>
    <t>DARIA GRIBANOVSKAIA l HIGH HEELS | PARIS</t>
  </si>
  <si>
    <t>💃Pro Dancer/Coach
🌍 Helping women become That Woman through dance
High Heels Retreat in Tuscany 17-21 October👠👇🏽
Mom @stepupfree_ @stepupfreeretreats</t>
  </si>
  <si>
    <t>https://taplink.cc/pr.daria.gribanovskaia</t>
  </si>
  <si>
    <t>luxury Amsterdam</t>
  </si>
  <si>
    <t>amsterdamagadir</t>
  </si>
  <si>
    <t>Amsterdam luxury restaurant</t>
  </si>
  <si>
    <t>Morocco - Agadir 🇲🇦 Fine dinning 
Bookings:  +212 5 28 20 17 99
Whatsapp: +212 609 07 05 98
Une ambiance chaleureuse, des plats savoureux, No Alcohol,</t>
  </si>
  <si>
    <t>https://maps.app.goo.gl/mqddEJFpkGJwwecu5?g_st=iw</t>
  </si>
  <si>
    <t>luxurybrand.amsterdam</t>
  </si>
  <si>
    <t>Luxury Brand Amsterdam</t>
  </si>
  <si>
    <t>✨ Guess | Moschino | Just Cavalli | Antony Morato and more
Shop at our store or online at:</t>
  </si>
  <si>
    <t>http://www.luxurybrandamsterdam.nl/</t>
  </si>
  <si>
    <t>vintage_united</t>
  </si>
  <si>
    <t>Vintage-United, Luxury  Consignment Shop Online Amsterdam</t>
  </si>
  <si>
    <t>Authentic Only💯
Trusted Shops Verified⭐️
Entrupy Verified🏅
Layaway Service ✨
Worldwide Shipping🌏
NL Registered🇳🇱 
Not affiliated with brands listed</t>
  </si>
  <si>
    <t>https://vintage-united.com/</t>
  </si>
  <si>
    <t>luxury Berlin</t>
  </si>
  <si>
    <t>luxury_escape_berlin</t>
  </si>
  <si>
    <t>Luxury Escape</t>
  </si>
  <si>
    <t>Lifestyle| fashion| beauty| luxury reviews .
📍Berlin</t>
  </si>
  <si>
    <t>luxurylashes.berlin</t>
  </si>
  <si>
    <t>Luxury Lashes &amp; Beauty</t>
  </si>
  <si>
    <t>👁️Lashes &amp; Beauty
📍Turmstraße 49, 10551 Berlin.
📞030 85072 908 oder 0174 4640 868
🕗Mo. – Fr.: 10:00 – 20:00
🕕Sa.: 10:00 – 19:00</t>
  </si>
  <si>
    <t>https://luxury-nailsbeauty.de/</t>
  </si>
  <si>
    <t>luxury.moabit.berlin</t>
  </si>
  <si>
    <t>Luxury Nails &amp; Beauty</t>
  </si>
  <si>
    <t>💅 Nails &amp; Lashes
📍Turmstraße 70, 10551 Berlin.
📞030 39740819 oder 015252692789
🕗Mo– Fr: 10:00 – 20:00 
🕕Sa 10:00 – 18:00 
@luxurylashes.berlin</t>
  </si>
  <si>
    <t>http://luxury-nailsbeauty.de/</t>
  </si>
  <si>
    <t>luxury London</t>
  </si>
  <si>
    <t>desavarylondon</t>
  </si>
  <si>
    <t>de Savary London | Luxury Womens Outerwear</t>
  </si>
  <si>
    <t>Founded by @tashdesavary 
Worldwide shipping</t>
  </si>
  <si>
    <t>http://www.desavarylondon.com</t>
  </si>
  <si>
    <t>luxurylondonlife</t>
  </si>
  <si>
    <t>Luxury London Life</t>
  </si>
  <si>
    <t>Vintage-inspired Jewellery. Art. A story born in London. DM/whatsapp to enquire. Shipping to 🌎. Exquisite #diamond #jewellery &amp; #art #london #dubai.</t>
  </si>
  <si>
    <t>http://wa.me/447835221979</t>
  </si>
  <si>
    <t>luxurylondonofficial</t>
  </si>
  <si>
    <t>Luxury London</t>
  </si>
  <si>
    <t>Your curated guide to culture, style, dining, entertainment, property and travel in the capital and beyond🍸⌚️✈️🎭⁣⁣⁣
⁣
Work with us 👉@LLStudioOfficial</t>
  </si>
  <si>
    <t>http://sprout.link/luxurylondonofficial</t>
  </si>
  <si>
    <t>oddmuselondon</t>
  </si>
  <si>
    <t>Odd Muse | British Luxury Fashion</t>
  </si>
  <si>
    <t>Founder @aimeesmalex 
Invest in timeless style &amp; quality designed to last
📍 44 Monmouth St, Covent Garden
📍 55 Mercer St, Soho, NY</t>
  </si>
  <si>
    <t>https://oddmuse.co.uk/collections/hamptons-house</t>
  </si>
  <si>
    <t>royalrental.co.uk</t>
  </si>
  <si>
    <t>Luxury 4x4 &amp; Supercar Rentals In London</t>
  </si>
  <si>
    <t>UK’s Number 1 Luxury Car Hire Company
Tel:0800 772 0297 
•Free Delivery &amp; Collection 
•Same Day Deposit Return 
•Google &amp; Trust Pilot 5💫
•Book Here 👇🏼</t>
  </si>
  <si>
    <t>luxury Munich</t>
  </si>
  <si>
    <t>luxurywatchesmunich</t>
  </si>
  <si>
    <t>Luxurywatches Munich</t>
  </si>
  <si>
    <t>Watch collector, buying and selling 
LuxuryWatches @luxurywatchesmunich @luxurywatchesstockholm
Time is the most valuable thing you own 🕰</t>
  </si>
  <si>
    <t>http://www.luxurywatchesmunich.de/</t>
  </si>
  <si>
    <t>luxury Paris</t>
  </si>
  <si>
    <t>as_luxury_paris</t>
  </si>
  <si>
    <t>Paris Luxury Weddings &amp; Events Designer</t>
  </si>
  <si>
    <t>Luxury Event Scenographer &amp; Floral Design Creator
PARIS | FRENCH RIVIERA | MARRAKECH
Full Production Services
Founder @asdesignrental</t>
  </si>
  <si>
    <t>http://www.asluxury.fr/</t>
  </si>
  <si>
    <t>dm_luxury_paris</t>
  </si>
  <si>
    <t>Dm_luxury</t>
  </si>
  <si>
    <t>Passionnée par la mode</t>
  </si>
  <si>
    <t>luxuryhotelschool</t>
  </si>
  <si>
    <t>Luxury Hotelschool Paris</t>
  </si>
  <si>
    <t>École internationale de management pour l’hôtellerie de luxe</t>
  </si>
  <si>
    <t>http://www.luxuryhotelschool.fr</t>
  </si>
  <si>
    <t>luxury Santiago</t>
  </si>
  <si>
    <t>jopluxurydresses</t>
  </si>
  <si>
    <t>Jop Luxury Dresses/Jop Luxury Santiago</t>
  </si>
  <si>
    <t>👗Alquiler•Quinceañeras•Prom
Cita previa
By: @Jopeventos Santo Domingo
Av.Luperon #13 2do casi al frente a Plaza Hache Los Cerros de Gurabo, Santiago</t>
  </si>
  <si>
    <t>luxuryclub.sti</t>
  </si>
  <si>
    <t>Luxury Club (Santiago de los caballeros)</t>
  </si>
  <si>
    <t>SIN LÍMITE DE HORARIO 🪩
Reservas  📲829-974-1445
Miércoles-Domingo
📍Casino Platino Santiago</t>
  </si>
  <si>
    <t>makeup Amsterdam</t>
  </si>
  <si>
    <t>kimbsbeauty</t>
  </si>
  <si>
    <t>Makeup Artist Amsterdam</t>
  </si>
  <si>
    <t>Make-Up to Define your Beauty✨
•✈️Available
•Certified Makeup Artist
•For Bookings ↘️Contact 
Jeremiah 29:11~14
                📍Amsterdam Netherlands</t>
  </si>
  <si>
    <t>https://m.facebook.com/makeupartbyKimB/?notif_t=page_fan&amp;notif_id=1642447642806516&amp;ref=m_notif</t>
  </si>
  <si>
    <t>makeupstudioamsterdam</t>
  </si>
  <si>
    <t>Make-up Studio Amsterdam</t>
  </si>
  <si>
    <t>Professional make-up brand from Amsterdam
ART | TOLERANCE | DIVERSITY 
✨ Share your look with #makeupstudioamsterdam to get featured</t>
  </si>
  <si>
    <t>https://www.make-upstudio.com/nl/</t>
  </si>
  <si>
    <t>make-up artist London</t>
  </si>
  <si>
    <t>jeyanney</t>
  </si>
  <si>
    <t>MAKE UP ARTIST LONDON / INTERNATIONAL 💄</t>
  </si>
  <si>
    <t>As seen in Vogue  
@lucie.app 
@lookfantastic LFTFJEYANNEY for 20% off 
@sephorauk JEYANNEY 15% off
@spmubyjeyanney</t>
  </si>
  <si>
    <t>https://bio.site/jeyanney</t>
  </si>
  <si>
    <t>nencymakeup</t>
  </si>
  <si>
    <t>makeup artist london</t>
  </si>
  <si>
    <t>London / worldwide 
Email 📩 nencymakeup@gmail.com</t>
  </si>
  <si>
    <t>https://www.nencymakeup.com/</t>
  </si>
  <si>
    <t>selinabassi</t>
  </si>
  <si>
    <t>MAKEUP ARTIST LONDON</t>
  </si>
  <si>
    <t>SHOP @maia_lashes 💜
Freelance &amp; Global Celebrity Makeup Artist
London 📍 International
DM TO BOOK</t>
  </si>
  <si>
    <t>make-up artist Paris</t>
  </si>
  <si>
    <t>iamxcleo</t>
  </si>
  <si>
    <t>MAKEUP ARTIST PARIS</t>
  </si>
  <si>
    <t>•Bride - Event - Courses 1:1
•Paris based(92)🇫🇷📍|🌎 Available 
•Booking iamxcleo@yahoo.com</t>
  </si>
  <si>
    <t>https://linktr.ee/iamxcleo</t>
  </si>
  <si>
    <t>neylaglam</t>
  </si>
  <si>
    <t>Makeup Artist - Paris</t>
  </si>
  <si>
    <t>Since 2017
Brides | Shoots | Events
📍Paris
💌 Dm to book</t>
  </si>
  <si>
    <t>silevko_mua</t>
  </si>
  <si>
    <t>makeup artist /  PARIS | MONACO</t>
  </si>
  <si>
    <t>ANASTASIA SILEVKO
makeup artist / hairstylist 
📍Paris &gt; worldwide
Lifestyle page @siiilevko_anastasiiia</t>
  </si>
  <si>
    <t>https://mssg.me/06m92</t>
  </si>
  <si>
    <t>tessmakeup</t>
  </si>
  <si>
    <t>MAKE UP ARTIST PARIS</t>
  </si>
  <si>
    <t>✨Resa Makeup :WhatsApp/ @tessmakeup.booking 
📩Collab: Tess@thepalm-agency.com 
👙Co-Founder of @ayana.swim
📍Paris 🇫🇷🇬🇫</t>
  </si>
  <si>
    <t>https://linktr.ee/tessmakeup</t>
  </si>
  <si>
    <t>vietcuonghoang</t>
  </si>
  <si>
    <t>Makeup Artist Paris</t>
  </si>
  <si>
    <t>Timeless Bridal Beauty / Fashion 
📍 Paris, France
🎨 Facechart Expert for MAKEUPFOREVER
💌: vietcuonghoangmua@gmail.com</t>
  </si>
  <si>
    <t>https://www.vietcuonghoang.fr/get-in-tough</t>
  </si>
  <si>
    <t>makeup Berlin</t>
  </si>
  <si>
    <t>berliner_makeup</t>
  </si>
  <si>
    <t>𝐈𝐧𝐭𝐞𝐫𝐧𝐚𝐭𝐢𝐨𝐧𝐚𝐥 𝐌𝐚𝐤𝐞-𝐔𝐩 𝐌𝐚𝐬𝐭𝐞𝐫</t>
  </si>
  <si>
    <t>Founder of @berliner_beauty @berliner_beauty_store 
Make-Up &amp; Social Media Educator 
Make-Up Termine und Schulungen: WhatsApp:  +49 176 28843184</t>
  </si>
  <si>
    <t>https://berliner-beauty.com</t>
  </si>
  <si>
    <t>makeup London</t>
  </si>
  <si>
    <t>londoncollegeofmakeup</t>
  </si>
  <si>
    <t>London College of Make-up</t>
  </si>
  <si>
    <t>Leading #MakeupSchool in the Region since 2012 Offering IMA Qualifications in Makeup &amp; Hair
KHDA accredited
Tel: +97144547686 
Whatsapp: +971581805429</t>
  </si>
  <si>
    <t>https://londoncollegeofmakeup.com/</t>
  </si>
  <si>
    <t>taishamakeup</t>
  </si>
  <si>
    <t>taisha s | london makeup artist</t>
  </si>
  <si>
    <t>@glowupbbc season 5 
london • international •
bookings + social dm/email: taishaabsherwood@gmail.com</t>
  </si>
  <si>
    <t>makeup Munich</t>
  </si>
  <si>
    <t>bogner.makeup.concept</t>
  </si>
  <si>
    <t>Make-up Munich | Visagistin München</t>
  </si>
  <si>
    <t>muamunich</t>
  </si>
  <si>
    <t>Make-up_Munich</t>
  </si>
  <si>
    <t>⚜️Pro Make-up Artist @dafineneziri ⚜️München und außerhalb ⚜️Hausbesuche möglich ⚜️Anfragen per DM</t>
  </si>
  <si>
    <t>makeup Paris</t>
  </si>
  <si>
    <t>makeupparis____</t>
  </si>
  <si>
    <t>💄Featuring Makeup Artists
👄Daily Makeup Inspirations</t>
  </si>
  <si>
    <t>makeup Santiago</t>
  </si>
  <si>
    <t>santilvmakeup</t>
  </si>
  <si>
    <t>MAKEUP SANTIAGO LONDOÑO</t>
  </si>
  <si>
    <t>High category Makeup and Beauty services.
Brides • Social • Photoshoots.
Cali, Colombia📍
Contacto al WhatsApp↓</t>
  </si>
  <si>
    <t>http://wa.me/573178675713</t>
  </si>
  <si>
    <t>menswear London</t>
  </si>
  <si>
    <t>dailytouchofclass</t>
  </si>
  <si>
    <t>London, Travel &amp; Menswear</t>
  </si>
  <si>
    <t>Mens fashion, lifestyle and coffee lover 
London, England 📍</t>
  </si>
  <si>
    <t>illcutz</t>
  </si>
  <si>
    <t>Illya Sobtchak | Menswear &amp; Photography in London</t>
  </si>
  <si>
    <t>London Based Menswear Style &amp; Photographer.
Enquiries illya@illcutz.com
📸 Photography @actualorigins 
🤠 Owner @hattersanonymous</t>
  </si>
  <si>
    <t>https://linktr.ee/illcutz</t>
  </si>
  <si>
    <t>jacklondon_official</t>
  </si>
  <si>
    <t>Jack London Menswear</t>
  </si>
  <si>
    <t>Melbourne-based menswear brand blending timeless classics with modern design.
Shop our sale👇</t>
  </si>
  <si>
    <t>http://jacklondon.com.au/collections/sale</t>
  </si>
  <si>
    <t>lucientelondon</t>
  </si>
  <si>
    <t>Luciénte | Ready-to-Wear Luxury Menswear</t>
  </si>
  <si>
    <t>Timeless Designs | Finest Materials | Fair Price Point
British Luxury, Delivered Globally</t>
  </si>
  <si>
    <t>http://luciente-online.com</t>
  </si>
  <si>
    <t>menswear Munich</t>
  </si>
  <si>
    <t>fashionik</t>
  </si>
  <si>
    <t>NIK MOSCH / MENSWEAR / MUNICH</t>
  </si>
  <si>
    <t>💡 Founder @obvs_studios | @obvs_talents
———
🎥 Face @instylemengermany 
———
🍸 Sommelier @graf.rumford
———</t>
  </si>
  <si>
    <t>http://www.obvs-studios.com</t>
  </si>
  <si>
    <t>moda Berlin</t>
  </si>
  <si>
    <t>moda.berliner</t>
  </si>
  <si>
    <t>MODA BERLİNER</t>
  </si>
  <si>
    <t>👑 Orijinal Alman reçetesi ile Türkiye’de ilk ve tek!
🕚 10:00 ~ 23:00 arası açığız📍Başka şubemiz yoktur.
🛵 Yemeksepeti &amp; Getir &amp; Trendyol</t>
  </si>
  <si>
    <t>moda London</t>
  </si>
  <si>
    <t>lamodalondon</t>
  </si>
  <si>
    <t>La'Moda London</t>
  </si>
  <si>
    <t>🍴 𝗥𝗘𝗦𝗧𝗔𝗨𝗥𝗔𝗡𝗧 &amp; 𝗟𝗢𝗨𝗡𝗚𝗘 (HALAL)
📍 259 Burlington Road, KT3 4NE
🟣 Sun-Thurs 5pm-12am
🟣 Fri-Sat 5pm-1am
🟣 Smart/Casual after 8pm(Fri/Sat)</t>
  </si>
  <si>
    <t>https://lamodaldn.co.uk/</t>
  </si>
  <si>
    <t>modalondon</t>
  </si>
  <si>
    <t>Moda London</t>
  </si>
  <si>
    <t>🎁 The Cufflink Experts 🎁 
⭐ 10,000+ Satisfied Customers ⭐
🌍 FREE Worldwide Shipping 🌍
⬇️ Shop Now &amp; Stand Out ⬇️</t>
  </si>
  <si>
    <t>http://www.modalondon.com/</t>
  </si>
  <si>
    <t>moda Paris</t>
  </si>
  <si>
    <t>moda_paris23</t>
  </si>
  <si>
    <t>Modaparis Sami Moda</t>
  </si>
  <si>
    <t>📍  En face de ex maison de justice
📞0554183116</t>
  </si>
  <si>
    <t>moda_paris_25</t>
  </si>
  <si>
    <t>Moda_paris_25</t>
  </si>
  <si>
    <t>Pedidos online 
Envíos a toda España 🇪🇸 
Excepto - canarias ⛔️ Ceuta y Melilla 
Entrega 24h / 72h días laborables 
Pago contrrembolso.</t>
  </si>
  <si>
    <t>https://zapasstock.shop/</t>
  </si>
  <si>
    <t>moda Santiago</t>
  </si>
  <si>
    <t>casa_de_moda_santiago</t>
  </si>
  <si>
    <t>VESTIDOS DE FIESTA Y NOVIA CHILE</t>
  </si>
  <si>
    <t>Elige uno de nuestros diseños y lo hacemos a tus medidas 
🔲 Precios desde 250.000
🔲 Showroom taller - cita previa 
🔲m. Los Domínicos
🔲Todas las tallas</t>
  </si>
  <si>
    <t>moda_a_tuspies_santiago</t>
  </si>
  <si>
    <t>Moda a tus pies Santiago</t>
  </si>
  <si>
    <t>Bienvenidas  ❤️
Envios a todo chile - Delivery en santiago 💕
Cuenta de respaldo @moda_a_tuspies_respaldo
Stock actualizado en historias
+56964539204</t>
  </si>
  <si>
    <t>modas_santiago_infantil</t>
  </si>
  <si>
    <t>Modas Santiago ( ATACADO)</t>
  </si>
  <si>
    <t>FABRICAÇÃO PROPIA , ROUPA INFANTIL (SEJA NOSSO CLIENTE) VENDEMOS SOMENTE ATACADO 🤝WATHSSAP 11977823490 11963056522 DEYVI-JUDITH FERINHA DA MADRUGADA</t>
  </si>
  <si>
    <t>modatimasantiago</t>
  </si>
  <si>
    <t>Modatima Santiago</t>
  </si>
  <si>
    <t>Cause</t>
  </si>
  <si>
    <t>Movimiento de Defensa por el acceso al Agua, la Tierra y la Protección del Medioambiente en Santiago🌱💧</t>
  </si>
  <si>
    <t>https://linktr.ee/modatimasantiago</t>
  </si>
  <si>
    <t>santiagostorepb</t>
  </si>
  <si>
    <t>Santiago Store |  Moda Plus Size</t>
  </si>
  <si>
    <t>〰️A moda que respeita a sua diversidade é a moda certa.〰️
📍João Pessoa/PB, Av Édson Ramalho 1150
◾️Enviamos para todo o Brasil 
🛍️ Compre no Link ⬇️</t>
  </si>
  <si>
    <t>https://bit.ly/4k9qWuu</t>
  </si>
  <si>
    <t>natural beauty Paris</t>
  </si>
  <si>
    <t>parishouseofbeauty</t>
  </si>
  <si>
    <t>Natural Feminine &amp; Skincare</t>
  </si>
  <si>
    <t>Natural Feminine Hygiene 
🌺 Yoni Care ♥️ Soaps ♥️ Body Butters ♥️ &amp; More
💁‍♀️ Be a #ParisHouseOfBeauty Babe Ambassador
✖️ No DMs!
👇🏽 Contact Us</t>
  </si>
  <si>
    <t>https://linktr.ee/parishouseofbeauty</t>
  </si>
  <si>
    <t>ootd London</t>
  </si>
  <si>
    <t>stylehub.london</t>
  </si>
  <si>
    <t>Style Hub London | Fashion | Stylist | OOTD</t>
  </si>
  <si>
    <t>▫️Personal Stylist | London
▫️Curating timeless wardrobes for discerning clients
▫️Bespoke | Discreet | Exclusive
▫️Links Below ⬇⬇⬇</t>
  </si>
  <si>
    <t>https://shopmy.us/stylehub</t>
  </si>
  <si>
    <t>organic beauty London</t>
  </si>
  <si>
    <t>londonorganic</t>
  </si>
  <si>
    <t>London Organic Beauty</t>
  </si>
  <si>
    <t>🌿 Natural, vegan skincare
🇬🇧 Made in the UK
🧵 Supporting designers to create a sustainable fashion industry
♻️ Resource for sustainability topics</t>
  </si>
  <si>
    <t>https://linktr.ee/londonorganic</t>
  </si>
  <si>
    <t>organic beauty Paris</t>
  </si>
  <si>
    <t>zetma.paris</t>
  </si>
  <si>
    <t>Z&amp;MA French Organic Beauty 🌱</t>
  </si>
  <si>
    <t>Green Beauty Essentials 🌱
Made in 🇫🇷
Cosmébio et Cosmos Organic ✨</t>
  </si>
  <si>
    <t>https://www.z-et-ma.com/</t>
  </si>
  <si>
    <t>perfume Paris</t>
  </si>
  <si>
    <t>parisperfume__</t>
  </si>
  <si>
    <t>Paris Perfume</t>
  </si>
  <si>
    <t>بزرگترین پخش کننده ادکلن درایران
📍بندر تجاری گناوه📍تهران 📍اصفهان📍شیراز📍دبی🇦🇪
دایرکت پاسخگونیستیم⛔
 سفارش سایت واتساپ
09050315389_09387538030</t>
  </si>
  <si>
    <t>https://parisperfumeorg.com/</t>
  </si>
  <si>
    <t>paris_perfume.kz</t>
  </si>
  <si>
    <t>ПАРФЮМ | ТУРКЕСТАН</t>
  </si>
  <si>
    <t>СЕНІҢ ИІСІҢ - МЕНІҢ ЕСТЕЛІГІМ ✨
▫️Французский, Швейцарский парфюмдар
▫️Диффузор мен автопарфюмдер
▫️KZ жеткізу қызметіміз бар 📦
📲ТАПСЫРЫС беру үшін ⬇️</t>
  </si>
  <si>
    <t>http://wa.me/77718113333</t>
  </si>
  <si>
    <t>perfume Santiago</t>
  </si>
  <si>
    <t>santiagoperfumes.cl</t>
  </si>
  <si>
    <t>Santiago Perfumes | Perfumes Nicho y de Autor</t>
  </si>
  <si>
    <t>Boutique especializada. Visítanos y descubre un nuevo mundo en perfumería! #vivelaexperienciasp 
📍Apumanque L411</t>
  </si>
  <si>
    <t>http://www.santiagoperfumes.cl/</t>
  </si>
  <si>
    <t>skincare Berlin</t>
  </si>
  <si>
    <t>mermeberlin</t>
  </si>
  <si>
    <t>MERME Berlin I Minimal Skincare</t>
  </si>
  <si>
    <t>Minimalistische Hautpflege.
Maximale Effekte.
Meilenstein für sensible Haut.
↓</t>
  </si>
  <si>
    <t>http://mermeberlin.com</t>
  </si>
  <si>
    <t>skincare London</t>
  </si>
  <si>
    <t>blemivivskincarelondon</t>
  </si>
  <si>
    <t>Skincare and Spa in London</t>
  </si>
  <si>
    <t>Fully Licensed Beauty Store &amp; Spa 
Skincare | Facials | IV Drips
| Hair | Wax |Nails | Herbal peel
| Mani &amp; Pedi
☎️ +44 7497 759427
PLACE YOUR ORDER👇🏻</t>
  </si>
  <si>
    <t>https://blemivivkoncept.co.uk</t>
  </si>
  <si>
    <t>skincare Santiago</t>
  </si>
  <si>
    <t>kokopink.cl</t>
  </si>
  <si>
    <t>SKINCARE &amp; MAQUILLAJE | SANTIAGO CHILE 🇨🇱💗</t>
  </si>
  <si>
    <t>¡Hola! Soy Mariale 🎀 tu tienda beauty de confianza DESDE 2019 🐥🍒💘
📲TIENDA ONLINE
🇨🇱Delivery Santiago| 📦Envíos todo Chile
COMPRA EN LA WEB 👇🏻</t>
  </si>
  <si>
    <t>https://linktr.ee/kokopinkcl</t>
  </si>
  <si>
    <t>sneakers Berlin</t>
  </si>
  <si>
    <t>sneakersofberlin</t>
  </si>
  <si>
    <t>Pat</t>
  </si>
  <si>
    <t>// Sneaker &amp; Streetwear // Gaming 🕹</t>
  </si>
  <si>
    <t>sneakers London</t>
  </si>
  <si>
    <t>crimelondon_sneakers</t>
  </si>
  <si>
    <t>CRIME LONDON</t>
  </si>
  <si>
    <t>The official sneaker space of Crime London  
Drops, details, culture — by @crimelondon</t>
  </si>
  <si>
    <t>http://www.crimelondon.com/</t>
  </si>
  <si>
    <t>sneakerslondonco</t>
  </si>
  <si>
    <t>Sneakers London</t>
  </si>
  <si>
    <t>🥇 Your favorite sneaker store 🔥
🚚 +10,000 deliveries made
👇 Place your order now!</t>
  </si>
  <si>
    <t>http://sneakerslondon.co.uk</t>
  </si>
  <si>
    <t>sneakers Munich</t>
  </si>
  <si>
    <t>munichindonesia</t>
  </si>
  <si>
    <t>MUNICH X | Futsal Sneakers</t>
  </si>
  <si>
    <t>Sports &amp; Fashion Sneakers
From Barcelona, Spain 🇪🇸
Since 1939</t>
  </si>
  <si>
    <t>http://linktr.ee/munich_indonesia</t>
  </si>
  <si>
    <t>munichmalaysia</t>
  </si>
  <si>
    <t>X Munich Sneakers</t>
  </si>
  <si>
    <t>Premium Fashion &amp; Futsal sneakers from Barcelona.
🔝Players choice.
📞WhatsApp : +60122125411
🚚 Distributor for 
-Malaysia
-Singapore
-Brunei
-Indonesia</t>
  </si>
  <si>
    <t>street style London</t>
  </si>
  <si>
    <t>london_street_style</t>
  </si>
  <si>
    <t>🇬🇧 London Street Style™ 🇬🇧</t>
  </si>
  <si>
    <t>london_street_style@hotmail.com
♥️ Tag us for a chance to be featured ♥️</t>
  </si>
  <si>
    <t>streetstyle_london</t>
  </si>
  <si>
    <t>Streetstyle London</t>
  </si>
  <si>
    <t>✨Lifestyle ✨Inspiration ✨ All rights reserved to their respective owners</t>
  </si>
  <si>
    <t>street style Paris</t>
  </si>
  <si>
    <t>paris.street.style</t>
  </si>
  <si>
    <t>Paris Street Style</t>
  </si>
  <si>
    <t>🇨🇵Paris fashion tracker
📸Daily captures of outfits and trends seen on the streets of Paris, France</t>
  </si>
  <si>
    <t>streetwear London</t>
  </si>
  <si>
    <t>londonstreetwear1</t>
  </si>
  <si>
    <t>London Streetwear</t>
  </si>
  <si>
    <t>streetwear Paris</t>
  </si>
  <si>
    <t>paris_street.co</t>
  </si>
  <si>
    <t>PARIS STREET.CO®️SNEAKERS| STREETWEAR</t>
  </si>
  <si>
    <t>⚡️• PRODUTOS ORIGINAIS 
🎟️• Cupom 1º compra “ BEMVINDO”10%OFF
🛒• Compre pelo nosso site⤵️</t>
  </si>
  <si>
    <t>https://linktr.ee/parisoutlet</t>
  </si>
  <si>
    <t>streetwear Santiago</t>
  </si>
  <si>
    <t>s.suarez_collection</t>
  </si>
  <si>
    <t>Santiago Suárez | Premium Streetwear Apparel</t>
  </si>
  <si>
    <t>Born from hustle.  Made to inspire.</t>
  </si>
  <si>
    <t>http://santiagosuarez.com</t>
  </si>
  <si>
    <t>sustainable fashion London</t>
  </si>
  <si>
    <t>ariikestudio</t>
  </si>
  <si>
    <t>Ariike Ruban | Sustainable Fashion Brand | London</t>
  </si>
  <si>
    <t>Sustainable fashion brand | Reworked Levi’s &amp; locally sourced deadstock fabrics | Unique Limited-edition designs in small batches</t>
  </si>
  <si>
    <t>https://ariikestudio.com/products/cotton-hand-printed-iro-skirt</t>
  </si>
  <si>
    <t>birdsonglondon</t>
  </si>
  <si>
    <t>Birdsong: Sustainable fashion &amp; lifestyle</t>
  </si>
  <si>
    <t>The social enterprise focused on helping you make better buying choices.  Join the mission 🌎</t>
  </si>
  <si>
    <t>https://linktr.ee/birdsong.org.uk</t>
  </si>
  <si>
    <t>womenswear London</t>
  </si>
  <si>
    <t>aarabhi.london</t>
  </si>
  <si>
    <t>Aarabhi London | Independent Womenswear Brand</t>
  </si>
  <si>
    <t>[𝘈𝘩-𝘳𝘢-𝘣𝘦𝘦]
🌼 Independent fashion label
💕Statement pieces • Limited drops
🌱 Sustainable staples
✈️ Shipping worldwide
🌳 1 tree planted per order</t>
  </si>
  <si>
    <t>https://linktr.ee/AarabhiLondon</t>
  </si>
  <si>
    <t>ridleylondon</t>
  </si>
  <si>
    <t>Ridley London / customised womenswear</t>
  </si>
  <si>
    <t>Versatile elegant women’s clothing tailor made in London
For more information on our customised service call 
0203 3367900
https://ridleylondon.com</t>
  </si>
  <si>
    <t>https://ridleylondon.com</t>
  </si>
  <si>
    <t>accessories Barcelona</t>
  </si>
  <si>
    <t>barcelonashops.be</t>
  </si>
  <si>
    <t>Barcelona accessories</t>
  </si>
  <si>
    <t>🪩 new collection
📍 Antwerpen Brasschaat Knokke Kontich Schilde
📲 online bestellen? Stuur ons een pm</t>
  </si>
  <si>
    <t>luciag_barcelona</t>
  </si>
  <si>
    <t>Accessories by Lucía G.</t>
  </si>
  <si>
    <t>Unique and exclusive pieces handmade in Barcelona.
Creating since 1998. Shipping worldwide.</t>
  </si>
  <si>
    <t>accessories Lisbon</t>
  </si>
  <si>
    <t>liviana.lisbon</t>
  </si>
  <si>
    <t>Liviana Lisbon ® | Jewelry &amp; Accessories</t>
  </si>
  <si>
    <t>Handmade and waterproof jewelry 
✈️ Europe shipping - We ship within 24h
10% OFF use code LIVIANALISBONCLUB
💌 liviana.lisbon@gmail.com</t>
  </si>
  <si>
    <t>https://www.livianalisbon.com/</t>
  </si>
  <si>
    <t>barbershop Amsterdam</t>
  </si>
  <si>
    <t>amsterdambarbershop.sjo</t>
  </si>
  <si>
    <t>Amsterdam Barber Shop</t>
  </si>
  <si>
    <t>barbershop Copenhagen</t>
  </si>
  <si>
    <t>barbershop_copenhagen</t>
  </si>
  <si>
    <t>Barber Shop Copenhagen</t>
  </si>
  <si>
    <t>Copenhagen  💈</t>
  </si>
  <si>
    <t>hairstyle Barcelona</t>
  </si>
  <si>
    <t>annaraubo</t>
  </si>
  <si>
    <t>MAKEUP HAIRSTYLE BARCELONA / WARSAW</t>
  </si>
  <si>
    <t>· Makeup artist &amp; Hairstylist 
	· Makeup teacher
📍Between Spain and Poland
Booking via tg ⤵️</t>
  </si>
  <si>
    <t>https://t.me/annaraubo</t>
  </si>
  <si>
    <t>hairstyle Madrid</t>
  </si>
  <si>
    <t>hairstyleswitjenn</t>
  </si>
  <si>
    <t>Jennifer Madrid</t>
  </si>
  <si>
    <t>https://www.tiktok.com/@jenviiivxx?_t=8oOpX4r78NK&amp;_r=1</t>
  </si>
  <si>
    <t>high heels Amsterdam</t>
  </si>
  <si>
    <t>alina.rytikovaa</t>
  </si>
  <si>
    <t>HIGH HEELS | CHOREOGRAPHER 🇺🇦 | AMSTERDAM | DANCE</t>
  </si>
  <si>
    <t>Choreographer, dancer
Founder @rytikova.dance 
High Heels/Jazz Funk 
⠀
📍Amsterdam / The Hague</t>
  </si>
  <si>
    <t>https://linktr.ee/rytikovadance</t>
  </si>
  <si>
    <t>high heels Lisbon</t>
  </si>
  <si>
    <t>alisha_kova</t>
  </si>
  <si>
    <t>YOGA | HIGH HEELS DANCE | LISBON✨</t>
  </si>
  <si>
    <t>Танцююча йогиня | Тренер 16 років 
Зі мною ти станеш Оргазм👄ічною, 
а твоє тіло S🔥ексуальним
😍КУРС ОНЛАЙН ЗІ ЗНИЖКОЮ -70%📱⤵️</t>
  </si>
  <si>
    <t>https://youtu.be/yaZBeIv0PFU?si=qT3W0ImMnuv--ZUa</t>
  </si>
  <si>
    <t>yulyalee</t>
  </si>
  <si>
    <t>Julia 🦋 | High Heels | Lisbon</t>
  </si>
  <si>
    <t>Lisbon-based | feminine energy in motion side by side with digital marketing 
↓ join the inner circle</t>
  </si>
  <si>
    <t>https://t.me/+Uv5B54VgmMpmNmJi</t>
  </si>
  <si>
    <t>luxury Barcelona</t>
  </si>
  <si>
    <t>bhhsbarcelona</t>
  </si>
  <si>
    <t>LUXURY REAL ESTATE BARCELONA</t>
  </si>
  <si>
    <t>🗝 | Especializados en viviendas de lujo
⬇️ | Contacta con nosotros</t>
  </si>
  <si>
    <t>https://linktr.ee/bhhsbarcelona</t>
  </si>
  <si>
    <t>luxury_dreams_barcelona</t>
  </si>
  <si>
    <t>LUXURY DREAMS BARCELONA</t>
  </si>
  <si>
    <t>🏘️ Villas vacacionales y espacios para eventos 🍸
🏠Alquiler Media Estancia
🛥️ Alquiler y experiencias nauticas.
💎 Experiencias 
🏠Real Estate</t>
  </si>
  <si>
    <t>http://www.luxurydreamsbarcelona.com</t>
  </si>
  <si>
    <t>luxury Madrid</t>
  </si>
  <si>
    <t>bhhsmadrid</t>
  </si>
  <si>
    <t>Luxury Real Estate Madrid</t>
  </si>
  <si>
    <t>Consultora de Propiedades de Lujo.
📍 Madrid, Moraleja y Aravaca</t>
  </si>
  <si>
    <t>https://linktr.ee/bhhsmadrid</t>
  </si>
  <si>
    <t>luxuryrentals_madrid</t>
  </si>
  <si>
    <t>LUXURY RENTALS MADRID</t>
  </si>
  <si>
    <t>¡Bienvenido a tu hogar en Madrid! Apartamentos de alta calidad y confort.
Welcome to your home in Madrid! High quality and comfortable apartments.</t>
  </si>
  <si>
    <t>http://www.luxuryrentalsmadrid.com/</t>
  </si>
  <si>
    <t>luxury Stockholm</t>
  </si>
  <si>
    <t>luxurywatchesstockholm</t>
  </si>
  <si>
    <t>LuxuryWatches Stockholm</t>
  </si>
  <si>
    <t>All photos &amp; watches are ours and available in stock!
📧: info@luxurywatches.se
📍: Stockholm</t>
  </si>
  <si>
    <t>http://linktr.ee/luxurywatchesstockholm</t>
  </si>
  <si>
    <t>stockholm_hk</t>
  </si>
  <si>
    <t>STOCKHOLM  | Affordable Luxury</t>
  </si>
  <si>
    <t>A haven for Swedish lifestyle and design in Central Hong Kong. 
#StockholmBoutique</t>
  </si>
  <si>
    <t>http://www.stockholm.com.hk</t>
  </si>
  <si>
    <t>make-up artist Amsterdam</t>
  </si>
  <si>
    <t>makeup Madrid</t>
  </si>
  <si>
    <t>patrimakeupmadrid</t>
  </si>
  <si>
    <t>💄𝐏𝐀𝐓𝐑𝐈 𝐌𝐀𝐊𝐄𝐔𝐏 𝐌𝐀𝐃𝐑𝐈𝐃💄</t>
  </si>
  <si>
    <t>MaquilladoraProfesional
Mamá de 3 ♡
🎗️ Aday sobrevivió 16 meses a un linfoma sin investigación
🧬 Necesitamos + investigación
🩸 Dona Médula</t>
  </si>
  <si>
    <t>https://www.stockcrowd.com/standard-26eb408c-85b1-4af1-8223-16f1f1bfa523</t>
  </si>
  <si>
    <t>makeup Stockholm</t>
  </si>
  <si>
    <t>hodmanita</t>
  </si>
  <si>
    <t>Stockholm Makeup Artist</t>
  </si>
  <si>
    <t>PRO INTERNATIONAL MAKEUP ARTIST 👩🏾‍🎨 
•Stockholm Based🇸🇪 Available worldwide✈️ 
•Bridal •Occasions •Party
Email for bookings📧 NO DEPOSIT=NO BOOKING❌</t>
  </si>
  <si>
    <t>menswear Amsterdam</t>
  </si>
  <si>
    <t>sartorialistamsterdam</t>
  </si>
  <si>
    <t>Sartorialista | Preloved Luxury Sartorial Menswear ♻️</t>
  </si>
  <si>
    <t>🪡 Curated Selection of the Finest Tailors in the World 
👔 Cesare Attolini • Kiton • Brioni • Tom Ford &amp; More
🌎 Shop Online 📍Or Visit in Amsterdam</t>
  </si>
  <si>
    <t>http://sartorialistamsterdam.com</t>
  </si>
  <si>
    <t>moda Lisbon</t>
  </si>
  <si>
    <t>lisboafashionweek</t>
  </si>
  <si>
    <t>ModaLisboa</t>
  </si>
  <si>
    <t>#ModaLisboa Association is an organization whose mission is to promote and develop the #Fashion Industry in Portugal.</t>
  </si>
  <si>
    <t>https://lnk.bio/lisboafashionweek</t>
  </si>
  <si>
    <t>modalisbon</t>
  </si>
  <si>
    <t>𝐄𝐑𝐊𝐄𝐊 𝐆İ𝐘İ𝐌 - 𝐀𝐘𝐀𝐊𝐊𝐀𝐁𝐈</t>
  </si>
  <si>
    <t>🌐 𝐘𝐀𝐒𝐀𝐋 - 𝐎𝐍𝐋𝐈𝐍𝐄 ®️ 
•𝐊𝐀𝐏𝐈𝐃𝐀 𝐎𝐃𝐄𝐌𝐄 💯 
•𝐒𝐄𝐅𝐅𝐀𝐅 𝐊𝐀𝐑𝐆𝐎 📦 
•𝐇𝐈𝐙𝐋𝐈 𝐆𝐮𝐯𝐞𝐧𝐢𝐥𝐢𝐫 𝐓𝐞𝐬𝐥𝐢𝐦𝐚𝐭 🚚
•𝐃𝐄𝐆𝐈𝐒𝐈𝐌 𝐆𝐀𝐑𝐀𝐍𝐓𝐈𝐒𝐈 ♻️</t>
  </si>
  <si>
    <t>moda Madrid</t>
  </si>
  <si>
    <t>moda_madrid_123</t>
  </si>
  <si>
    <t>Moda-madrid
Souk inezgane
Driss .WhatsApp 0603017752
Janah 7 N120 souk tolata inzgane</t>
  </si>
  <si>
    <t>nails Barcelona</t>
  </si>
  <si>
    <t>beautynailconcept</t>
  </si>
  <si>
    <t>NAILS | MANICURA RUSA EN BARCELONA</t>
  </si>
  <si>
    <t>Endospheres | Manicura | Barcelona | Uñas
High quality products &amp; skilled staff
L - V: 10:00 / 20:00 • S: 10:00 / 20:00
Reservas aquí
        👇</t>
  </si>
  <si>
    <t>https://beautynailconcept39.booksy.com/</t>
  </si>
  <si>
    <t>nails Lisbon</t>
  </si>
  <si>
    <t>duo_._beauty</t>
  </si>
  <si>
    <t>Nails Pedicure Brows Sugaring Lisbon</t>
  </si>
  <si>
    <t>⏰ Tuesday-Saturday 10:00 - 19:00 
🖤Beauty Nail Salon 🇬🇧🇵🇹🇺🇦
🖤Total Sterilization 🔬800+ colors
🖤Please follow Booking Policy
Book online ⬇️</t>
  </si>
  <si>
    <t>https://www.fresha.com/pt/a/duo-beauty-lisboa-rua-saraiva-de-carvalho-3b-ro8asdvp?preview=a92a2402-2c01-4a08-88d5-b9db335d0397&amp;pId=341983</t>
  </si>
  <si>
    <t>organic beauty Barcelona</t>
  </si>
  <si>
    <t>akrobeauty</t>
  </si>
  <si>
    <t>ALISADOS ORGANICOS BARCELONA</t>
  </si>
  <si>
    <t>🎖️Especialistas en Alisados Orgánicos
Botox Hair
Peinados,Tintes Regulares , Cortes💇‍♀️
Balayage, Mechas highlights</t>
  </si>
  <si>
    <t>http://akrobeauty.com/</t>
  </si>
  <si>
    <t>organic beauty Madrid</t>
  </si>
  <si>
    <t>glam360_beauty</t>
  </si>
  <si>
    <t>Alisados Organicos madrid</t>
  </si>
  <si>
    <t>🇻🇪 En 📍Madrid 🇪🇸
✨-Especialistas en Alisados orgánico🍃, células madres✨, Hidratacion, Botox Capilar💇‍♀️
✨-Faciales 😶‍🌫️
✨-Nails💅</t>
  </si>
  <si>
    <t>http://wa.me/34627301231</t>
  </si>
  <si>
    <t>perfume Barcelona</t>
  </si>
  <si>
    <t>perfumerybarcelona</t>
  </si>
  <si>
    <t>THE PERFUMERY BARCELONA</t>
  </si>
  <si>
    <t>Niche-boutique perfumery where you can discover very unique and unconventional niche perfumes. 
Facebook:perfumerybarcelona</t>
  </si>
  <si>
    <t>https://www.theperfumerybarcelona.com/</t>
  </si>
  <si>
    <t>perfume Madrid</t>
  </si>
  <si>
    <t>perfumeria__madrid</t>
  </si>
  <si>
    <t>PERFUMERIA MADRID</t>
  </si>
  <si>
    <t>Perfumes, sabanas, lencería de hogar 
⏰⏳Lunes - Sabado 9:00 am a 6:30pm
🚙 Envios al interior del pais 🇵🇦
Perfumes 100% originales
Whatsapp 6274 9884</t>
  </si>
  <si>
    <t>perfume Stockholm</t>
  </si>
  <si>
    <t>stockholm_perfume</t>
  </si>
  <si>
    <t>Stockholm Sweden</t>
  </si>
  <si>
    <t>Perfume And Skincare shop.
All products are imported from Sweden🇸🇪
📞 / Whatsapp 07515932125
📍Hawler, Bazari Qaisari
🚕-Delivery in Iraq</t>
  </si>
  <si>
    <t>https://maps.app.goo.gl/nyR6uPgciShMEqoG9?g_st=ic</t>
  </si>
  <si>
    <t>skincare Madrid</t>
  </si>
  <si>
    <t>madridvenek</t>
  </si>
  <si>
    <t>✨Kath • Maquillaje &amp; Skincare</t>
  </si>
  <si>
    <t>Holi! Piel mixta 🍳 Makeup/Skincare💆🏻‍♀️Hablo de todo✨Madrid📍
-10% #Maquillalia LookFantastic MADRIDVENEK y MADRIDVENEK1 /Yesstyle
hola@madridvenek.com</t>
  </si>
  <si>
    <t>http://madridvenek.com/enlaces</t>
  </si>
  <si>
    <t>sneakers Barcelona</t>
  </si>
  <si>
    <t>limited.trade</t>
  </si>
  <si>
    <t>SNEAKERS | SPAIN | BARCELONA</t>
  </si>
  <si>
    <t>Sneakers, Jordan, Dunk, Yeezy⠀
⠀
100% authentic
Fast shipping
Selling in hand in:
📍Barcelona⠀
⠀
Contact us ➡️ DM</t>
  </si>
  <si>
    <t>sneakers Madrid</t>
  </si>
  <si>
    <t>numbersmadrid</t>
  </si>
  <si>
    <t>NUMBERS SNEAKERS MADRID</t>
  </si>
  <si>
    <t>Sneaker Store Madrid
Since 2010</t>
  </si>
  <si>
    <t>http://www.numbersneakers.com/</t>
  </si>
  <si>
    <t>sneakers Stockholm</t>
  </si>
  <si>
    <t>sneakersnstuff.sthlm</t>
  </si>
  <si>
    <t>SNS Stockholm</t>
  </si>
  <si>
    <t>Opening Hours: 
Mon - Fri: 11:00 - 18:30
Sat: 11:00 - 18:00
Sun: 12:00 - 17:00</t>
  </si>
  <si>
    <t>https://billetto.se/e/sns-x-blues-forfest-6-sep-biljetter-1649403?utm_source=organiser&amp;utm_medium=share&amp;utm_campaign=copy_link&amp;utm_content=2</t>
  </si>
  <si>
    <t>street style Madrid</t>
  </si>
  <si>
    <t>whatwomenwear_madrid</t>
  </si>
  <si>
    <t>What Women Wear • Street Style from Madrid</t>
  </si>
  <si>
    <t>Hi I’m Klaudia! @klaudiazacharaa 
Spotting stylish women on the streets since 2023 🐆
💌whatwomenwear.madrid@gmail.com</t>
  </si>
  <si>
    <t>https://linktr.ee/whatwomenwear</t>
  </si>
  <si>
    <t>sustainable fashion Amsterdam</t>
  </si>
  <si>
    <t>lemonadeamsterdam</t>
  </si>
  <si>
    <t>Slow Sustainable Fashion Inspo</t>
  </si>
  <si>
    <t>♻️Sustainable,Slow,Creative,Upcycled Fashion INSPO/INFO Upcycle with Me🪡🧵 artist life @hopsamsterdam</t>
  </si>
  <si>
    <t>https://amp.theguardian.com/global-development/2023/jun/05/yvette-yaa-konadu-tetteh-how-ghana-became-fast-fashions-dumping-ground</t>
  </si>
  <si>
    <t>sustainable fashion Madrid</t>
  </si>
  <si>
    <t>clomadrid_</t>
  </si>
  <si>
    <t>CLO emotional design Madrid / Sustainable Luxury Fashion</t>
  </si>
  <si>
    <t>Conceptual and conscious pieces that place craftsmanship and sustainability at the heart of their values. 
Made in Spain. 
#cloislife</t>
  </si>
  <si>
    <t>http://www.clo.es/</t>
  </si>
  <si>
    <t>ourcommonplace.co</t>
  </si>
  <si>
    <t>Sustainable Fashion Marketplace</t>
  </si>
  <si>
    <t>🌍 Shop sustainable fashion, beauty, &amp; home goods♻️
- Free shipping on US orders 
- Share your style with #loveourcommonplace</t>
  </si>
  <si>
    <t>http://www.ourcommonplace.co/</t>
  </si>
  <si>
    <t>sustainablefashionmatterz</t>
  </si>
  <si>
    <t>SUSTAINABLE FASHION MATTERZ</t>
  </si>
  <si>
    <t>Brands • Projects • People
Supporting @creativematterzfund
Account run by @cheriebirkner
EVERY PERSON MAKES A DIFFERENCE</t>
  </si>
  <si>
    <t>https://linktr.ee/sustainablefashionmatterz</t>
  </si>
  <si>
    <t>sustainable fashion Stockholm</t>
  </si>
  <si>
    <t>the.w.s.s</t>
  </si>
  <si>
    <t>Sustainable fashion store ✨👚🛍</t>
  </si>
  <si>
    <t>•promoting green fashion in Egypt 🌱
•vintage, cycled and up cycled items.⭐️
•renting and styling services.⭐️
•for business inquiries Dm or email us.</t>
  </si>
  <si>
    <t>https://thewss.store</t>
  </si>
  <si>
    <t>accessories Florence</t>
  </si>
  <si>
    <t>florence_accessories_store</t>
  </si>
  <si>
    <t>📍kariakoo Pemba/Congo Street
🏷️we sale WHOLESALE AND RETAIL 
📞call/whatsapp 0713519351/0746519451
📦we ship parcel to 🇹🇿🇰🇪🇺🇬🇨🇩🇿🇼🇿🇲</t>
  </si>
  <si>
    <t>https://chat.whatsapp.com/D8V0Lu0lZ1BEGeRwZkDRck</t>
  </si>
  <si>
    <t>accessories Milan</t>
  </si>
  <si>
    <t>labo_milano</t>
  </si>
  <si>
    <t>LABÒ MILANO | Hair accessories</t>
  </si>
  <si>
    <t>🎀 Unique accessories
🖐 Hand crafted
💗 With love
SHOP NOW ⬇️</t>
  </si>
  <si>
    <t>http://www.labomilano.com/</t>
  </si>
  <si>
    <t>milanmore_accessories</t>
  </si>
  <si>
    <t>Milan More-Accessories</t>
  </si>
  <si>
    <t>#JEWELRY BRAND #ACCESSORIES 
Location: Queens, New York 
We Ship to All U.S States, The UK &amp; Canada 
Tel: 516-834-9222
Page owner @iammilanmore</t>
  </si>
  <si>
    <t>http://www.milanmore.com</t>
  </si>
  <si>
    <t>milano.accessories</t>
  </si>
  <si>
    <t>متجر ميلانو للساعات ⌚</t>
  </si>
  <si>
    <t>اكسسوارات💍 ساعات ⌚
بضاعتنه حصريا بس عدنه وما موجوده باي مكان ثاني😉 
يوجد توصيل لجميع محافظات العراق 🚕
يوجد ايضاً دفع رصيد اسيا و زين كاش اوعند المندوب</t>
  </si>
  <si>
    <t>accessories Rome</t>
  </si>
  <si>
    <t>accessories_rome</t>
  </si>
  <si>
    <t>اكسسوارات روما 💍📿.
اكسسوارات اصلية من تركيا 🏦.
توصيل لجميع المحافظات 🚖.
للتواصل دايركت 📥.</t>
  </si>
  <si>
    <t>accessories Venice</t>
  </si>
  <si>
    <t>venice__accessories</t>
  </si>
  <si>
    <t>Venice__Accessories</t>
  </si>
  <si>
    <t>venice__accessories__iq</t>
  </si>
  <si>
    <t>Venice Accessories</t>
  </si>
  <si>
    <t>🇫🇷🇳🇴🇮🇹
City: Sulaymaniyah 
60 m street 
Nearby west eye hospital (@venice__homee)
Tel: +964 770 464 0077 - 0770 141 1526</t>
  </si>
  <si>
    <t>barbershop Lisbon</t>
  </si>
  <si>
    <t>figarosbarbershoplisboa</t>
  </si>
  <si>
    <t>FIGARO’S BARBERSHOP</t>
  </si>
  <si>
    <t>The original 
Figaro’s Barbershop ™️ ✂️ 
Learn from us
💈@figarosbarberacademy
✂️✂️✂️✂️✂️✂️✂️✂️✂️
Pomade = @holuppommade</t>
  </si>
  <si>
    <t>https://www.figaroslisboa.com/products/services/</t>
  </si>
  <si>
    <t>barbershop Rome</t>
  </si>
  <si>
    <t>romeos_barbershop</t>
  </si>
  <si>
    <t>Romeo's Studio Barbershop</t>
  </si>
  <si>
    <t>📌Bukit Tinggi (HQ)📌Bdr Puteri📌Port Klang📌Sentosa📌K.Kemuning📌Seremban 2📌Wangsa Maju📌Chi Liung📌Nusa Bestari,JB📌Farlim,Penang,📌 Butterworth</t>
  </si>
  <si>
    <t>https://www.romeosbarbershop.com/</t>
  </si>
  <si>
    <t>barbershop Venice</t>
  </si>
  <si>
    <t>wfvbs</t>
  </si>
  <si>
    <t>World Famous Venice Barbershop</t>
  </si>
  <si>
    <t>The Same Yesterday Today And Forever. 🇲🇽 
Live and Love Each Day as it Were Your Last. ✊🏽</t>
  </si>
  <si>
    <t>https://linktr.ee/wfvbs</t>
  </si>
  <si>
    <t>curly hair Rome</t>
  </si>
  <si>
    <t>curlyhairbobby</t>
  </si>
  <si>
    <t>Romel Trusty</t>
  </si>
  <si>
    <t>Marketing GOD 🧞‍♂️
Email for all business inquiries ⬇️
@trustymarketingsoultions</t>
  </si>
  <si>
    <t>fashion trends Milan</t>
  </si>
  <si>
    <t>hairstyle Milan</t>
  </si>
  <si>
    <t>hairstylesmilan</t>
  </si>
  <si>
    <t>Hadi Milan</t>
  </si>
  <si>
    <t>✂️ آرتیست موی مردانه | غرب تهران  
💈 کوتاهی، رنگ، کراتین، داماد  
📞 رزرو فقط با تماس  
📍شهرک غرب  
👇 نمونه کارها + قیمت‌ها 👇</t>
  </si>
  <si>
    <t>https://youtu.be/M2JdILciQDs</t>
  </si>
  <si>
    <t>vr.hairstyle</t>
  </si>
  <si>
    <t>🆅🆁 ✂𝕙𝕒𝕚𝕣 𝕤𝕥𝕪𝕝𝕖 ALFAPARF MILANO - TNL</t>
  </si>
  <si>
    <t>Brand technologist
Alfaparf Milano Professional🇦🇿
TNL Professional🇦🇿
Color - Hair Master
#alfaparfpeople #alfaparfmilano #keratin</t>
  </si>
  <si>
    <t>http://tiktok.com/@vr.hairstyle999</t>
  </si>
  <si>
    <t>hairstyle Venice</t>
  </si>
  <si>
    <t>luigimarchiori</t>
  </si>
  <si>
    <t>HAIR STYLE and MAKEUP VENICE ITALY</t>
  </si>
  <si>
    <t>Ｌｕｉｇｉ   Ｍａｒｃｈｉｏｒｉ
Hairstylist and Makeup artist freelance
based in Venice
#hairstylist #makeupartist #wedding #photoshoot #Italy #Venice #Venezia 🫀💙</t>
  </si>
  <si>
    <t>http://www.luigimarchiori.com/</t>
  </si>
  <si>
    <t>handbags Florence</t>
  </si>
  <si>
    <t>flora_by_florence</t>
  </si>
  <si>
    <t>DRESSES| SHOES| HANDBAGS| TOPS| SUITS| BANDAGE SKIRTS</t>
  </si>
  <si>
    <t>EXCHANGES DONE WITHIN 72HRS
☎️  0113848884
📍UPPER GROUND FLOOR, MARSABIT PLAZA, NGONG ROAD SHOP U11,</t>
  </si>
  <si>
    <t>http://wa.me/+254113848884</t>
  </si>
  <si>
    <t>handbags Milan</t>
  </si>
  <si>
    <t>milandehandbags</t>
  </si>
  <si>
    <t>Milan de Handbags</t>
  </si>
  <si>
    <t>Online store
Imported handbags Ladies Purse and Clutch 
WhatsApp No: 03197603815
Delivery with in 3days
Cash on delivery all over the Pakistan</t>
  </si>
  <si>
    <t>haute-couture Rome</t>
  </si>
  <si>
    <t>romerohautecouture</t>
  </si>
  <si>
    <t>ROMERO HAUTE COUTURE</t>
  </si>
  <si>
    <t>▫️Evening Dresses Boutique 
▫️Tag @romerohautecouture to be featured
▫️Opening hours from 12 PM - 10 PM 
▫️Friday hours from 3 PM - 9 PM
📞 0799450009</t>
  </si>
  <si>
    <t>https://maps.app.goo.gl/sYCbhXuCjHjACvcH7?g_st=iw</t>
  </si>
  <si>
    <t>high heels Vienna</t>
  </si>
  <si>
    <t>klemihina_ira</t>
  </si>
  <si>
    <t>IRINA KLEMIHINA | High Heels Vienna</t>
  </si>
  <si>
    <t>if you’re tired of being a “good girl” 🐈‍⬛
800 sexy &amp; confident women in 3 years
⠀
Biggest 🇺🇦 heels community in Austria
 booking | online classes ↓</t>
  </si>
  <si>
    <t>https://heelsbyklemihina.my.canva.site/online</t>
  </si>
  <si>
    <t>luxury Florence</t>
  </si>
  <si>
    <t>fhluxury</t>
  </si>
  <si>
    <t>Florence H Luxury</t>
  </si>
  <si>
    <t>Africa’s Leading Luxury &amp; Contemporary Retailer
Opening Hours: Monday to Saturday 10am-6pm
📞 08091111283</t>
  </si>
  <si>
    <t>https://wa.link/6n1jwa</t>
  </si>
  <si>
    <t>luxury Milan</t>
  </si>
  <si>
    <t>milano_streetstyle</t>
  </si>
  <si>
    <t>Luxury Shopper Milano</t>
  </si>
  <si>
    <t>• Fashion sourcing &amp; styling services 
• Born in Milan, proven globally
milanostreetstyle@gmail.com</t>
  </si>
  <si>
    <t>qebele_kiraye_villa_vs</t>
  </si>
  <si>
    <t>Luxury Milan Gabala</t>
  </si>
  <si>
    <t>⛰️Dağ Mənzərəsi
 🏖Qapali Hovuz 
 🔥 Hot poll
🏡 Komfort
☎ mob +994998928668
Villa Apartment in Gabala Azerbaijan</t>
  </si>
  <si>
    <t>luxury Venice</t>
  </si>
  <si>
    <t>venice_luxury1</t>
  </si>
  <si>
    <t>Venice|Luxury</t>
  </si>
  <si>
    <t>VENİCE LUXURY 
📍ISTANBUL / GÜNGÖREN
📞00905313549956
Toptan satış المبيع جملة</t>
  </si>
  <si>
    <t>https://t.me/VeniceCollection</t>
  </si>
  <si>
    <t>luxury Vienna</t>
  </si>
  <si>
    <t>luxury_cosmetic_vienna</t>
  </si>
  <si>
    <t>Sina Mahdavi</t>
  </si>
  <si>
    <t>UGC skincare | supplement
📍سعادت آباد,مجتمع بهرود،واحد۲۰۲
📞۲۲۱۱۵۸۱۲
🛒ثبت سفارش اتریش،تحویل فروشگاه
🏪تنها فروشگاه تیک آبی فارسی زبانان
🏬تاسیس مرداد۱۳۹۳</t>
  </si>
  <si>
    <t>https://luwshop.com</t>
  </si>
  <si>
    <t>luxury.viennaa</t>
  </si>
  <si>
    <t>LuxuryVienna</t>
  </si>
  <si>
    <t>make-up artist Milan</t>
  </si>
  <si>
    <t>milana_shamhalova</t>
  </si>
  <si>
    <t>MAKE UP ARTIST SURGUT•MOSCOW</t>
  </si>
  <si>
    <t>MILANA SHAMHALOVA
founder: @ukhti.community_ 
PR @pr.milana_shamhalova
Онлайн запись на макияж 👇🏻</t>
  </si>
  <si>
    <t>https://mst.link/shamhalova_milana</t>
  </si>
  <si>
    <t>pandey_makeup</t>
  </si>
  <si>
    <t>IRINA PANDEY | MAKE UP ARTIST MILAN | PARIS | MOSCOW</t>
  </si>
  <si>
    <t>Worldwide makeup artist 
fashion | glam | weddings
Personal makeup courses 
Wedding page:
@ph.mybride_it</t>
  </si>
  <si>
    <t>serban_corina_make_up_artist</t>
  </si>
  <si>
    <t>Make Up Brescia _Milano</t>
  </si>
  <si>
    <t>𝐌𝐚𝐤𝐞𝐔𝐩 𝐀𝐫𝐭𝐢𝐬𝐭 -Trainer
📲TEL. +393476046632
📍 𝐌𝐢𝐥𝐚𝐧𝐨 -𝗕𝗿𝗲𝘀𝗰𝗶𝗮
👰🏼 𝐁𝐫𝐢𝐝𝐚𝐥- 𝐄𝐯𝐞𝐧𝐭𝐬
Milano Fashion Week 2025 Available 24-25-27-28-29 Settembre</t>
  </si>
  <si>
    <t>make-up artist Rome</t>
  </si>
  <si>
    <t>aidamkup</t>
  </si>
  <si>
    <t>Aída Romero | Make-up Artist</t>
  </si>
  <si>
    <t>Pro Makeup Artist &amp; Eyebrow Expert✨
Bride• Editorial &amp; Social Makeup🤍
🤩 Founder @moodbeautystudio @bridesbyaida 
💌 aidamkup@gmail.com
📍 GDL | CDMX</t>
  </si>
  <si>
    <t>https://www.aidamkup.com/book-online</t>
  </si>
  <si>
    <t>makeupbyvalentinapozzi</t>
  </si>
  <si>
    <t>Valentina • Make-Up Artist Roma</t>
  </si>
  <si>
    <t>𝙄𝙡 𝙢𝙖𝙠𝙚𝙪𝙥 𝙚' 𝙪𝙣𝙖 𝙛𝙤𝙧𝙢𝙖 𝙙'𝙖𝙧𝙩𝙚, 𝙞𝙡 𝙫𝙞𝙨𝙤 𝙡𝙖 𝙢𝙞𝙖 𝙩𝙚𝙡𝙖 𝙥𝙧𝙚𝙛𝙚𝙧𝙞𝙩𝙖 
📍Roma | Cerimonie • Eventi • Corsi Self Makeup
📩 info &amp; collab: valepozzimua@yahoo.com</t>
  </si>
  <si>
    <t>makeup Milan</t>
  </si>
  <si>
    <t>makeup_milana_k</t>
  </si>
  <si>
    <t>Визажист 💥 Руководитель</t>
  </si>
  <si>
    <t>🔸Милана Магомедова 
🔸Обучение 
🔸г.Буйнакск 
🔸Орджоникидзе 10 
🔸 Запись: 📞 89298661515 
🔸Запись на обучение; 📞 89298661515 
⭕️ Онлайн Курс 👇🏻</t>
  </si>
  <si>
    <t>https://makeup-milana.ru/oplata</t>
  </si>
  <si>
    <t>makeup Rome</t>
  </si>
  <si>
    <t>annartstyle_makeupandhair</t>
  </si>
  <si>
    <t>MAKEUP/HAIR Stylist Expert in Rome</t>
  </si>
  <si>
    <t>•Creo trucco e capelli che parlano di te e ti fanno sentire meravigliosa!
•Sposa/Moda
•15 anni/3500clienti/35etnie 
•Corsi per professionisti</t>
  </si>
  <si>
    <t>https://taplink.cc/annartstyle_makeupandhair</t>
  </si>
  <si>
    <t>di_danielaaa</t>
  </si>
  <si>
    <t>Makeup | HAIR | ITALY COMO GARDA FLORENCE TUSCANY ROME</t>
  </si>
  <si>
    <t>⠀ 
TOP MAKEUP ARTIST &amp; HAIRSTYLIST
all about beauty, fashion, Milano lifestyle 🇮🇹
⠀
portfolio
@di_glamakeup @di_weddingmakeup
⠀
💌didanielaaa@gmail.com</t>
  </si>
  <si>
    <t>romewmakeup</t>
  </si>
  <si>
    <t>Romenys | Beauty Creator | UGC Creator</t>
  </si>
  <si>
    <t>Reviews|Tutoriales|Tips 
💌PR/Business: romewmakeup88@gmail.com
Tiktok www.tiktok.com/romewmakeup</t>
  </si>
  <si>
    <t>https://nomysh.com/portfolio/romewmakeup?s1=share&amp;s2=romewmakeup</t>
  </si>
  <si>
    <t>makeup Venice</t>
  </si>
  <si>
    <t>antonova_makeup</t>
  </si>
  <si>
    <t>Aliona Antonova 💄 makeup Venice | Cannes | Monaco | Como | Paris</t>
  </si>
  <si>
    <t>🌏  🇲🇩 🇺🇦
ONLINE курс ICONIC LOOK👇
MakeUp/VIP CLIENTS 💄💫
Ceo of 💋 👉@antonovabeauty_official
Mother of  👩‍🎓@makeup__residence</t>
  </si>
  <si>
    <t>menswear Vienna</t>
  </si>
  <si>
    <t>somewhereinvienna</t>
  </si>
  <si>
    <t>Menswear &amp; Lifestyle</t>
  </si>
  <si>
    <t>🌍@stefan_ok &amp; @elias_sili | Menswear&amp; Lifestyle 
📍Based in Vienna, Austria</t>
  </si>
  <si>
    <t>moda Florence</t>
  </si>
  <si>
    <t>florancemoda</t>
  </si>
  <si>
    <t>florence-shop</t>
  </si>
  <si>
    <t>🛍️ Vente de vêtements de qualité pour femmes
🚚 Livraison rapide et Paiement à la livraison au Maroc 💰
👇 Commandez maintenant ! 👇
0705708257</t>
  </si>
  <si>
    <t>https://www.flonce.shop</t>
  </si>
  <si>
    <t>florence.fashion0</t>
  </si>
  <si>
    <t>Florence Fashion - Moda Feminina</t>
  </si>
  <si>
    <t>🏆 Bem-vinda à Florence Fashion! 
✨ Moda feminina e estilosa
📍 Loja física na região de Babacal</t>
  </si>
  <si>
    <t>https://linktr.ee/florence.fashion</t>
  </si>
  <si>
    <t>outletflorence</t>
  </si>
  <si>
    <t>FLORENCE | Moda Feminina</t>
  </si>
  <si>
    <t>Beleza, Estilo e Conforto 
- Acompanhe os Stories!
📲 (19) 98913-3393
Compras Online ↴</t>
  </si>
  <si>
    <t>https://bio.florencemodafeminina.com.br</t>
  </si>
  <si>
    <t>moda Milan</t>
  </si>
  <si>
    <t>milanomodamasculina</t>
  </si>
  <si>
    <t>Milano Moda Masculina</t>
  </si>
  <si>
    <t>🚚 Enviamos para todo Brasil 📦 
📍 Teresópolis - RJ   AV Delfim Moreira n 584 sala 202 (em frente ao shopping Teresópolis)</t>
  </si>
  <si>
    <t>https://linktr.ee/milanomodamasculina</t>
  </si>
  <si>
    <t>moda___milano</t>
  </si>
  <si>
    <t>ИТАЛЬЯНСКАЯ ОБУВЬ БИШКЕК</t>
  </si>
  <si>
    <t>‼️Более 20лет на рынке 🤗:
• работаем с лучшими фабриками Италии🇮🇹
• мужские и женские коллекции
• аксессуары (сумки, ремни, зонты)
• обувная косметика</t>
  </si>
  <si>
    <t>moda_milano_adam_</t>
  </si>
  <si>
    <t>Moda Milano🇮🇹🇮🇹</t>
  </si>
  <si>
    <t>👗Boutique moda Milano adam 💃👗
🛑Adresse : taniour km6 9odem jam3 chay7ia b jnab ma3sra ☎️27850372☎️</t>
  </si>
  <si>
    <t>moda Rome</t>
  </si>
  <si>
    <t>moda__roma42</t>
  </si>
  <si>
    <t>●𝑴𝑶𝑫𝑨__𝑹𝑶𝑴𝑨●</t>
  </si>
  <si>
    <t>modaromenzi</t>
  </si>
  <si>
    <t>Romenzi | Moda Masculina</t>
  </si>
  <si>
    <t>Transformando o estilo masculino com elegância, conforto e qualidade incomparável.
Romenzi, para o homem que define seu estilo ↓</t>
  </si>
  <si>
    <t>http://romenzi.com</t>
  </si>
  <si>
    <t>moda Vienna</t>
  </si>
  <si>
    <t>mamvienna</t>
  </si>
  <si>
    <t>Modern Art Manufacture</t>
  </si>
  <si>
    <t>http://mamvienna.com</t>
  </si>
  <si>
    <t>vienna_modafitness</t>
  </si>
  <si>
    <t>Vienna moda fitness</t>
  </si>
  <si>
    <t>. 📦 Loja virtual 
. 🚚 Enviamos para todo Brasil 🇧🇷 
. 🪡Fabricação Própria
. 📱Link compras abaixo ⬇️</t>
  </si>
  <si>
    <t>perfume Florence</t>
  </si>
  <si>
    <t>florence.perfumes6</t>
  </si>
  <si>
    <t>فلورنسا</t>
  </si>
  <si>
    <t>للطلب والاستفسار عن طريق واتساب 
60407097📞
📍الشويخ مجمع ميار  
📍السالمية مجمع السلام</t>
  </si>
  <si>
    <t>perfume Milan</t>
  </si>
  <si>
    <t>milan.perfume</t>
  </si>
  <si>
    <t>Milan Perfume | عطر و آرایشی میلان بوشهر</t>
  </si>
  <si>
    <t>واردات مستقیم عطر و لوازم آرایشی اورجینال✨
منتخب برترین برندهای جهان🌍
واردات مستقیم از دبی|تک و عمده 🇦🇪
سفارش و مشاوره: 09173758639 📲</t>
  </si>
  <si>
    <t>profumi.milann</t>
  </si>
  <si>
    <t>PROFUMI MILAN | PERFUMES ORIGINALES</t>
  </si>
  <si>
    <t>✨ Perfumes originales a tu alcance. 
Entregas en el día y precios irresistibles.</t>
  </si>
  <si>
    <t>http://vercatalogo.com/profumimilan</t>
  </si>
  <si>
    <t>perfume Rome</t>
  </si>
  <si>
    <t>rj_perfume_</t>
  </si>
  <si>
    <t>Romeo &amp; Juliet Perfumes</t>
  </si>
  <si>
    <t>💫فروشگاه عطر و ادکلن رومئو و ژولیت💫
تحویل درب منزل تهران
تحویل با تیپاکس و پست شهرستان
⁦☎️⁩ 09921501465</t>
  </si>
  <si>
    <t>https://t.me/rjperfume1</t>
  </si>
  <si>
    <t>roma__perfume</t>
  </si>
  <si>
    <t>تقسيمات عطور اصلية/روما للعطور</t>
  </si>
  <si>
    <t>كُلُّ الطُّرُقِ تُؤَدِّي إِلَى رُوْمَا
تقسيمات عطور ماركات عالمية اصلية💲
متوفر توصيل لكل محافظات العراق🇮🇶
للطلب والاستفسار: تواصل دايركت💬</t>
  </si>
  <si>
    <t>perfume Vienna</t>
  </si>
  <si>
    <t>vienna_perfume</t>
  </si>
  <si>
    <t>فيينا للعطور | Vienna Perfumes</t>
  </si>
  <si>
    <t>فيينا للعطور الاصلية 🤍
جميع المواد داخل المحل اصلية
ومن الوكالات حصراً ‼️
الكاظمية - تقاطع شارع اكد
مجاور المدينة مول</t>
  </si>
  <si>
    <t>skincare Florence</t>
  </si>
  <si>
    <t>byflorenceok</t>
  </si>
  <si>
    <t>Skincare/Glitter/Make up</t>
  </si>
  <si>
    <t>▫️C.A.B.A, Buenos Aires 🇦🇷
🌸ENVÍOS A TODO EL PAÍS🌸
⭐TIENDA ONLINE⭐</t>
  </si>
  <si>
    <t>https://byflorence.empretienda.com.ar/</t>
  </si>
  <si>
    <t>fb_skintalks</t>
  </si>
  <si>
    <t>BRODRICK FLORENCE | SKINCARE EXPERT IN LAGOS | SKIN REPAIR</t>
  </si>
  <si>
    <t>🌺 TRUSTED CARE 4 SKIN WELLNESS
🌺 HERBAL PEEL
🌺 TEETH BRIGHTENING CARE
🌺 BLEMISH / SPOT CARE
🌺 FACIALS
🌺 HAIR REMOVAL / WAXING
🌺 HEALTHY GLOW RESULT 📌</t>
  </si>
  <si>
    <t>https://taplink.cc/fb_skintalks</t>
  </si>
  <si>
    <t>skincare Milan</t>
  </si>
  <si>
    <t>drmilanyskincare.id</t>
  </si>
  <si>
    <t>klinik dr milany skincare</t>
  </si>
  <si>
    <t>OPEN RESELLER 
📮JNE J&amp;T POS 
🏧BRI &amp; BCA
📞Wa 087836458199
GRATIS ONGKIR &amp; COD</t>
  </si>
  <si>
    <t>https://shopee.co.id/dr.milany_skincare</t>
  </si>
  <si>
    <t>skincare Rome</t>
  </si>
  <si>
    <t>romex_skincare</t>
  </si>
  <si>
    <t>rosee nyalla</t>
  </si>
  <si>
    <t>&gt;Renew,Ageless,Beauty
📲 +255743658942
{Monday-Saturday 8am ~7pm}
Shipping worldwide.🌍.                                             KARIAKOO &amp;K/NYAMA</t>
  </si>
  <si>
    <t>skincare Vienna</t>
  </si>
  <si>
    <t>pearlbodyvienna</t>
  </si>
  <si>
    <t>👩‍🔬🌹 SKINCARE BRAND IN LAGOS</t>
  </si>
  <si>
    <t>Certified formulator,
skin of color ❤️
🌸no refund policy❌
🌸No bleaching ❌
🌸📞08063652738🇳🇬.lekki Lagos
🌸</t>
  </si>
  <si>
    <t>https://www.youtube.com/@pearltalkzone</t>
  </si>
  <si>
    <t>sneakers Milan</t>
  </si>
  <si>
    <t>milano.sneakers_egy</t>
  </si>
  <si>
    <t>Milano sneakers egy</t>
  </si>
  <si>
    <t>✨ Milano Sneakers Egypt  
📦 Online Store | Premium Quality  
📲 DM for orders &amp; inquiries  
⬇️ Stay updated, follow us!</t>
  </si>
  <si>
    <t>sneakers_milano_dz</t>
  </si>
  <si>
    <t>🚙Livraison bureau YALIDINE - ZR - domicile 🏠
يرجى زيارة موقعنا لطلب عبر الموقع مباشرة او  اترك رسالة  في الصفحة  👇</t>
  </si>
  <si>
    <t>https://sneakersbessa.myshopify.com/collections/chaussures</t>
  </si>
  <si>
    <t>street style Rome</t>
  </si>
  <si>
    <t>romani.in.rome</t>
  </si>
  <si>
    <t>Street style from Rome🏛</t>
  </si>
  <si>
    <t>Fashion choices of the fashionable Romans. About style more than famous brands. 💌DM for submissions taken spontaneously. Inspired by @parisiensinparis</t>
  </si>
  <si>
    <t>streetstyle_rome</t>
  </si>
  <si>
    <t>STREETSTYLE  ROME📍</t>
  </si>
  <si>
    <t>sustainable fashion Milan</t>
  </si>
  <si>
    <t>mul_olga</t>
  </si>
  <si>
    <t>♻️ Fashion Sustainable Milan</t>
  </si>
  <si>
    <t>LIMITED EDITION
 only eco production 🌍🙌♻️🇺🇦
#fashionfuture #mul_olga #fashionsustainable #upcycled #recycled 
📩Shop online🔻or shop in direct message</t>
  </si>
  <si>
    <t>https://mulolga.com/</t>
  </si>
  <si>
    <t>thrift Milan</t>
  </si>
  <si>
    <t>thriftshopmilano</t>
  </si>
  <si>
    <t>Vintage &amp; second hand ♻️</t>
  </si>
  <si>
    <t>📧 info@thriftshopmilano.com 
📱3931017282 
Lun-Ven:
11:00-14:30/15:30-19:00
Sab:11:00-16:00
Dom:chiuso
📍VIA PRIVATA DEL DON 2, Milano</t>
  </si>
  <si>
    <t>https://www.tiktok.com/@thriftshopmilano?_t=8eBNkTWQnNr&amp;_r=1</t>
  </si>
  <si>
    <t>barbershop Athens</t>
  </si>
  <si>
    <t>vm_liberis_athens</t>
  </si>
  <si>
    <t>𝐕&amp;𝐌 𝐋𝐈𝐁𝐄𝐑𝐈𝐒 𝐁𝐀𝐑𝐁𝐄𝐑𝐒𝐇𝐎𝐏 𝐀𝐓𝐇𝐄𝐍𝐒</t>
  </si>
  <si>
    <t>👉𝐖𝐞 𝐦𝐚𝐤𝐞 𝐡𝐚𝐢𝐫 𝐜𝐨𝐧𝐭𝐚𝐜𝐭 𝐛𝐞𝐟𝐨𝐫𝐞 𝐞𝐲𝐞 𝐜𝐨𝐧𝐭𝐚𝐜𝐭
📍Nea Smirni, Omirou 29
📍Chalandri, Aristofanous 18 
 📞2110135350</t>
  </si>
  <si>
    <t>http://www.vmliberis.gr/</t>
  </si>
  <si>
    <t>barbershop Vienna</t>
  </si>
  <si>
    <t>barbervienna</t>
  </si>
  <si>
    <t>Dagys Barbershop ™</t>
  </si>
  <si>
    <t>✂️ | Oldschool Barbershop
🏆 | Top Rated Salon / 2019-2025
📞 | +436605353660</t>
  </si>
  <si>
    <t>http://www.barbervienna.at/</t>
  </si>
  <si>
    <t>hairstyle Athens</t>
  </si>
  <si>
    <t>makeuphair.by.anna.k</t>
  </si>
  <si>
    <t>makeup Athens ,hairstyles Athens</t>
  </si>
  <si>
    <t>📍Greece Athens 🇬🇷 Top stylist
 Tokyo FW2024  🇯🇵ParisFW 5,6/2025🇫🇷
ParisFW 23/09 2024 🇫🇷 
ParisFW 09 2024 🇫🇷 
MilanWF 10 /2024🇮🇹 
Working worldwide🌎</t>
  </si>
  <si>
    <t>hairstyle Prague</t>
  </si>
  <si>
    <t>anna.hocc</t>
  </si>
  <si>
    <t>MAKEUP &amp; HAIRSTYLE PRAGUE | МАКИЯЖ ПРАГА | ОБУЧЕНИЕ | LÍČENÍ</t>
  </si>
  <si>
    <t>Анна Хоцкая 💄 Студия @annahocc.studio 
🔥 Из психолога в визажиста
👌🏻 Знаю каким будет ваш идеальный образ 
❤️ Тотальное обучение макияжу</t>
  </si>
  <si>
    <t>https://taplink.cc/anna.hocc</t>
  </si>
  <si>
    <t>hairstyle_by_natalia_ploskina</t>
  </si>
  <si>
    <t>Hairstylist Prague🇺🇦🇨🇿</t>
  </si>
  <si>
    <t>Mommy baby Milana💝
TOP STYLIST по зачісках в Празі🔝
Власниця студії “RN Beauty Location”
IČO:17553610
Zapsáno v OR
📍Praha 3</t>
  </si>
  <si>
    <t>k_tyasko</t>
  </si>
  <si>
    <t>Makeup and Hairstyle Prague 🇨🇿💇🏽‍♀️💋💄</t>
  </si>
  <si>
    <t>Painter</t>
  </si>
  <si>
    <t>💫Візажист -Стиліст🇨🇿🇺🇦💋💇🏽‍♀️💄@mk_tyasko  
💫 Реклама @tyasko_rekklama
💫Чай Diox та капсули @kr.diox 
💫Весь лайф у сторіс 🙌🏼🔥</t>
  </si>
  <si>
    <t>https://t.me/k_tyasko</t>
  </si>
  <si>
    <t>haute-couture Monaco</t>
  </si>
  <si>
    <t>monaganzoury_hautecouture</t>
  </si>
  <si>
    <t>Mona ganzoury Haute Couture</t>
  </si>
  <si>
    <t>Your must-have bold designs to elevate your wardrobe ✨ follow your latest drops and inspo at Mon Haute Couture🫶
For orders DM 📥</t>
  </si>
  <si>
    <t>mona.gueffrech.hautecouture</t>
  </si>
  <si>
    <t>𝑀𝑜𝑛𝑎 𝐺𝑢𝑒𝑓𝑓𝑟𝑒𝑐ℎ 𝐻𝑎𝑢𝑡𝑒 𝐶𝑜𝑢𝑡𝑢𝑟𝑒</t>
  </si>
  <si>
    <t>𝑴𝒂𝒊𝒔𝒐𝒏 𝒅𝒆 𝒉𝒂𝒖𝒕𝒆 𝒄𝒐𝒖𝒕𝒖𝒓𝒆
𝟕 𝐀𝐥𝐢 𝐛𝐞𝐧 𝐀𝐦𝐚𝐫𝐚, 𝐄𝐋 𝐌𝐞𝐧𝐳𝐚𝐡 𝟗, 𝐓𝐮𝐧𝐢𝐬
📞 𝟐𝟐𝟗𝟐𝟗𝟐𝟑𝟎</t>
  </si>
  <si>
    <t>raeygroup</t>
  </si>
  <si>
    <t>Mona Saleh haute couture</t>
  </si>
  <si>
    <t>1-المشايه امام بوابه نادى الجزيره 2 /01070950255
2-حي الجامعه امام مطعم الراتب الشامي برج زينه الدور الاول /01094448044
3-Cairo rehab the yard mall</t>
  </si>
  <si>
    <t>https://www.facebook.com/raey4dress/</t>
  </si>
  <si>
    <t>high heels Zurich</t>
  </si>
  <si>
    <t>sofiia.martini</t>
  </si>
  <si>
    <t>Sofiia | high heels dance | Zürich &amp; worldwide</t>
  </si>
  <si>
    <t>daily heels dance tips &amp; tutorials
🌎 500+ women dance with me worldwide
beginners dance in 1 month🔥
Dance online 🔗⬇️
@femotion.ch @femotion.danceparty</t>
  </si>
  <si>
    <t>https://sheknows-course.com</t>
  </si>
  <si>
    <t>luxury Monaco</t>
  </si>
  <si>
    <t>monaco_cars_luxury_</t>
  </si>
  <si>
    <t>Monaco Life</t>
  </si>
  <si>
    <t>•Based in Monaco 🇲🇨 
•Travel all around the world for cars 🌍
•iPhone 15 pro  📸 
•Tiktok : Monaco_Cars_Luxury
(135 k subscribers ✨ )</t>
  </si>
  <si>
    <t>http://www.tiktok.com/@monaco_cars_luxury</t>
  </si>
  <si>
    <t>luxury Prague</t>
  </si>
  <si>
    <t>luxurybagsprague</t>
  </si>
  <si>
    <t>Luxury Bags Prague</t>
  </si>
  <si>
    <t>▫️Luxusní zboží z druhé ruky/Pre-loved luxury fashion♻️
▫️100% kontrola a záruka originality
▫️Komisní prodej/Přímý výkup
▫️est. 2007, Int. shipping 🌍</t>
  </si>
  <si>
    <t>https://www.luxurybags.cz/stories</t>
  </si>
  <si>
    <t>luxury Zurich</t>
  </si>
  <si>
    <t>veronika_marques_photography</t>
  </si>
  <si>
    <t>Veronika Marques - Luxury Maternity Photographer - Zurich</t>
  </si>
  <si>
    <t>Photographer and international educator
NEXT WORKSHOP: Zürich 07.09 2025 (Deutsch) 
Specialized to Maternity, Motherhood and Portrait |🇨🇭Zürich</t>
  </si>
  <si>
    <t>https://www.veronikamarques.com/product-page/the-creative-maternity-collection</t>
  </si>
  <si>
    <t>widderhotel</t>
  </si>
  <si>
    <t>Widder Hotel | Zurich’s Luxury Hideaway</t>
  </si>
  <si>
    <t>5* Hotel
Design meets history | Art collection | 49 individual rooms | Zurich’s old town | Member @leadinghotelsoftheworld | @thelivingcircleofficial</t>
  </si>
  <si>
    <t>https://www.widderhotel.com/de/veranstaltungen/heileman-goes-to-widder-garden/</t>
  </si>
  <si>
    <t>make-up artist Athens</t>
  </si>
  <si>
    <t>agapimakeupartist</t>
  </si>
  <si>
    <t>Agapi make up hair Athens</t>
  </si>
  <si>
    <t>BASED IN ATH 🇬🇷 🇺🇦🇬🇧 
TOP BRIDAL STYLIST 
MAKE UP &amp; HAIR
MAKE UP TRAINER</t>
  </si>
  <si>
    <t>http://wa.me/+306973703883</t>
  </si>
  <si>
    <t>xrisanthi.mua</t>
  </si>
  <si>
    <t>𝓟𝓻𝓸 𝓶𝓪𝓴𝓮 𝓾𝓹 𝓪𝓻𝓽𝓲𝓼𝓽 𝓲𝓷 𝓐𝓽𝓱𝓮𝓷𝓼</t>
  </si>
  <si>
    <t>𝓟𝓻𝓸𝓯𝓮𝓼𝓼𝓲𝓸𝓷𝓪𝓵 𝓜𝓪𝓴𝓮𝓤𝓹 𝓐𝓻𝓽𝓲𝓼𝓽 / 𝓐𝓽𝓱𝓮𝓷𝓼
•𝐆𝐫𝐚𝐝𝐮𝐚𝐭𝐞 𝐨𝐟 @giodrevelimakeupacademy 
•𝐌𝐚𝐬𝐭𝐞𝐫𝐜𝐥𝐚𝐬𝐬  𝐰𝐢𝐭𝐡 @nikki_makeup
𝓛𝓾𝔁𝓾𝓻𝔂 𝓫𝓻𝓲𝓭𝓪𝓵 𝓶𝓪𝓴𝓮𝓾𝓹 𝓪𝓻𝓽𝓲𝓼𝓽 𝓐𝓽𝓱𝓮𝓷𝓼</t>
  </si>
  <si>
    <t>make-up artist Prague</t>
  </si>
  <si>
    <t>missd.mua</t>
  </si>
  <si>
    <t>Darya | Make-up Artist in Prague</t>
  </si>
  <si>
    <t>💄 Makeup Artist &amp; Beauty Muse
📍ČR | MNE | Worldwide collabs
🤝 PR / collabs DM
⬇️ Highlights, reviews &amp; more</t>
  </si>
  <si>
    <t>https://zohobrand.store/</t>
  </si>
  <si>
    <t>make-up artist Zurich</t>
  </si>
  <si>
    <t>makeupbykeyshia</t>
  </si>
  <si>
    <t>Makeup Artist Zürich  Switzerland</t>
  </si>
  <si>
    <t>Makeup Artist Switzerland 🇨🇭✈️
GLAM | BRIDAL | NATURAL MAKEUP
Hair &amp; Wigs @keyshia_virginhair
BOOK ME ⤵️</t>
  </si>
  <si>
    <t>https://eshajuma.my.canva.site/makeupbykeyshia</t>
  </si>
  <si>
    <t>svetlichnaya</t>
  </si>
  <si>
    <t>Kristina Svetlichnaya hair make-up artist Zürich</t>
  </si>
  <si>
    <t>Makeup, hairstyling, brows and lashes in our beauty studio in the center of Zurich @beauty.team perfect bride’s look🕊️
Book your Wedding day with me!💍</t>
  </si>
  <si>
    <t>makeup Athens</t>
  </si>
  <si>
    <t>evagelia_tsolakou</t>
  </si>
  <si>
    <t>Evagelia _Make up_ Athens</t>
  </si>
  <si>
    <t>Tsolakou Evagelia                                                Pro-make up artist
BRIDE-EDITORIAL-EVENING</t>
  </si>
  <si>
    <t>makeup Monaco</t>
  </si>
  <si>
    <t>makeupcannes</t>
  </si>
  <si>
    <t>Makeup•Hairstylist Cannes✨Monaco</t>
  </si>
  <si>
    <t>Makeup &amp; Hairstylist Team ➡️ @makeup.cannes 
Cannes Film Festival ✨
Monaco▫️Cannes▫️St-Tropez
Wedding 🧖‍♀️Shooting 📷 Events 
+33 7 83 97 05 86 💌</t>
  </si>
  <si>
    <t>https://makeupcannes86.wixstudio.com/makeup-cannes?fbclid=PAZXh0bgNhZW0CMTEAAaZpP4pmB4ZGSFvRcRELO9_aBwNu0iswbiB8j0a4xmCHOgeVYMGkSEZ9Fsg_aem_ShaAaK-Lfopry5recDeqOA</t>
  </si>
  <si>
    <t>makeup Prague</t>
  </si>
  <si>
    <t>mihaela_matviychuk_mua</t>
  </si>
  <si>
    <t>Makeup &amp; Hair  Prague</t>
  </si>
  <si>
    <t>Makeup artist and hair maker/ макіяж, зачіски 
Wedding look /Наречені @wedding.cz 
Makeup Courses /Курси макіяжу
UGC creator / реклама, співпраця</t>
  </si>
  <si>
    <t>moda Athens</t>
  </si>
  <si>
    <t>ace_models_athens</t>
  </si>
  <si>
    <t>ACE MODELS GREECE ®</t>
  </si>
  <si>
    <t>Modeling Agency</t>
  </si>
  <si>
    <t>For inquires please contact ace@acemodels.gr</t>
  </si>
  <si>
    <t>http://www.acemodels.gr/</t>
  </si>
  <si>
    <t>moda Monaco</t>
  </si>
  <si>
    <t>monaco_femme</t>
  </si>
  <si>
    <t>Monaco Moda</t>
  </si>
  <si>
    <t>kisariat Nazaha Entre Bv med 5 ET  DHAYBIA (a cotée de Cléopâtra) Oujda  
🛍🛍👜👜👠👠
🇪🇦🇪🇦🇫🇷🇨🇵🇹🇷🇹🇷</t>
  </si>
  <si>
    <t>moda Zurich</t>
  </si>
  <si>
    <t>zurichmode</t>
  </si>
  <si>
    <t>Zürich Moda</t>
  </si>
  <si>
    <t>💫 Identifiziere dich mit ZÜRICHMODA
🎬 Tagge uns &amp; benutze #zürichmoda für eine Chance, gefeatured zu werden
🔍 Kontakt: kontakt@zurichmoda.de</t>
  </si>
  <si>
    <t>https://zurichmoda.de</t>
  </si>
  <si>
    <t>nails Athens</t>
  </si>
  <si>
    <t>nails_athens_klaoudia</t>
  </si>
  <si>
    <t>Klaudia | Master Nail Artist</t>
  </si>
  <si>
    <t>📍Kefallinias,Athens
☎️ 2108679825
🦋6 χρόνια εμπειρία
🦋Nails
🦋Ποιστοποιημένη @zerfam.studies</t>
  </si>
  <si>
    <t>https://www.tiktok.com/@nails_athens_klaoudia?_t=8Xf7tYDBG5N&amp;_r=1</t>
  </si>
  <si>
    <t>perfume Prague</t>
  </si>
  <si>
    <t>perfumedprague</t>
  </si>
  <si>
    <t>Perfumed Prague ~ vonné studio</t>
  </si>
  <si>
    <t>*workshops of creating your own fragrance
*soy candles, interior scents &amp; more
*vegan - cruelty free - ECO friendly
TUE - SAT / 11 - 18 h</t>
  </si>
  <si>
    <t>http://linktr.ee/perfumedprague</t>
  </si>
  <si>
    <t>skincare Monaco</t>
  </si>
  <si>
    <t>talitarodriguesmonaco</t>
  </si>
  <si>
    <t>Talita Rodrigues 💙 Skincare</t>
  </si>
  <si>
    <t>Esteticista e Cosmetóloga ♥️
💌 CX Postal 1003 CEP 14801972
Contato: talitarodrigues.parcerias@gmail.com</t>
  </si>
  <si>
    <t>https://skincare360.com.br</t>
  </si>
  <si>
    <t>sneakers Budapest</t>
  </si>
  <si>
    <t>sneaker_store_budapest</t>
  </si>
  <si>
    <t>Sneaker Store Budapest</t>
  </si>
  <si>
    <t>⚡️Az oldalon kizárólag eredeti termékekvannak! ⚡️
📌Személyesen Budapesten 18. Kerület 📌
🚛 Futár akár utánvéttel is 🚛</t>
  </si>
  <si>
    <t>sneakers Prague</t>
  </si>
  <si>
    <t>almo.vintage.prague</t>
  </si>
  <si>
    <t>ALMO😈vintage N😈sneakers</t>
  </si>
  <si>
    <t>🚧 Vintage Online Shop &amp; Store 🚧
🕙 Monday-Sunday 10:00-18:00 🕕
📍Praha 1 store 📍
🌍 ship worldwide 
🧼 washed 
👇$hop now</t>
  </si>
  <si>
    <t>https://beacons.ai/almo.vintage.prague</t>
  </si>
  <si>
    <t>street style Monaco</t>
  </si>
  <si>
    <t>monaco_street_style</t>
  </si>
  <si>
    <t>Style, Beauty, Cote D'Azure</t>
  </si>
  <si>
    <t>DM for Business enquiries</t>
  </si>
  <si>
    <t>sustainable fashion Budapest</t>
  </si>
  <si>
    <t>accessories Istanbul</t>
  </si>
  <si>
    <t>home.accessories.istanbul</t>
  </si>
  <si>
    <t>ظروف لوکس و جهیزیه از ترکیه❤</t>
  </si>
  <si>
    <t>فقط خدا ❤
دارای نماد اعتماد الکترونیکی🔐
☎️0937 058 0540
سابقه ۹ سال
#جهیزیه #ظروف#لوکس مستقیم#ترکیه #استانبول#شوش #لوازمخانگی 
سفارش دایرکت
تلگرام</t>
  </si>
  <si>
    <t>https://t.me/joinchat/AAAAAE2xv_VsnEkr5EKcsw</t>
  </si>
  <si>
    <t>istanbulaccessories</t>
  </si>
  <si>
    <t>İSTANBULACCESSORİES</t>
  </si>
  <si>
    <t>TAKI BİR TUTKUDUR ❤️EN DEĞERLİ ŞEY SENSİN 👍📲 Sipariş ve link için dm lütfen 💛💙SATIŞLARIMIZ TOPTANDIR @lucky.istanbul</t>
  </si>
  <si>
    <t>barbershop Beirut</t>
  </si>
  <si>
    <t>barberobeirut</t>
  </si>
  <si>
    <t>Barbero Barbershop</t>
  </si>
  <si>
    <t>We give you satisfaction with dedication 💇🏻‍♂️
• Haircuts
• Styling
• Shaves 
• Facial treatments
• Keratin treatment
📞 70781168 
📞 81900999</t>
  </si>
  <si>
    <t>beirutoldies</t>
  </si>
  <si>
    <t>Beirut Oldies BarberShop &amp; Spa</t>
  </si>
  <si>
    <t>Barber Shop &amp; Spa ✂️💥✂️
Location📌
🇱🇧 Beirut/ Hadath /Sainte Therese/ facing Orca🇱🇧
Phone Number : +961 76 531 531
By @alaaaboujball</t>
  </si>
  <si>
    <t>barbershop Cannes</t>
  </si>
  <si>
    <t>starcoiffure_cannes</t>
  </si>
  <si>
    <t>STAR COIFFURE - Barber Shop</t>
  </si>
  <si>
    <t>𝐌𝐚î𝐭𝐫𝐞 𝐀𝐫𝐭𝐢𝐬𝐚𝐧 𝐂𝐨𝐢𝐟𝐟𝐞𝐮𝐫 𝐒𝐢𝐧𝐜𝐞 𝟏𝟗𝟗𝟗 
𝐃é𝐩𝐥𝐚𝐜𝐞𝐦𝐞𝐧𝐭𝐬 - 𝐇ô𝐭𝐞𝐥𝐬 𝐚𝐧𝐝 𝐁𝐨𝐚𝐭𝐬
𝐆𝐚𝐛𝐫𝐢𝐞𝐥𝐥𝐞 à 𝐯𝐨𝐭𝐫𝐞 𝐬𝐞𝐫𝐯𝐢𝐜𝐞 
📞  04.93.46.51.50</t>
  </si>
  <si>
    <t>http://www.starcoiffurecannes.com/</t>
  </si>
  <si>
    <t>curly hair Dubai</t>
  </si>
  <si>
    <t>dubai_curlee</t>
  </si>
  <si>
    <t>Leena Relan | Curly Hair Influencer &amp; Dubai Hair Stylist</t>
  </si>
  <si>
    <t>Curly Cuts ✂️ | Styling | 1:1 Consults
🎓Helping curly &amp; wavy women love their hair
👉Follow for tips, routines &amp; inspo
📩DM to book your curl glow-up</t>
  </si>
  <si>
    <t>https://www.amazon.ae/shop/dubai_curlee?ref_=cm_sw_r_apann_aipsfshop_PK3N7XJDCJ11BQRVT59S&amp;language=en-US</t>
  </si>
  <si>
    <t>twist_uae</t>
  </si>
  <si>
    <t>TWIST CURLY HAIR SALON DUBAI</t>
  </si>
  <si>
    <t>Place of power for curly people⚡️
~ More than 5000 curly haircuts
😍Try our “Twist combo” service
Branch in Moscow @twist.family</t>
  </si>
  <si>
    <t>https://n806655.alteg.io/</t>
  </si>
  <si>
    <t>hairstyle Tel Aviv</t>
  </si>
  <si>
    <t>ltw_beauty</t>
  </si>
  <si>
    <t>MakeUp Artist/Hairstyle/ 🇮🇱 Bat-yam בת-ים Tel-Aviv תל-אביב</t>
  </si>
  <si>
    <t>✍🏻 подпишись, если хочешь стать моей моделью 😉 
👸🏼 Макияж/прическа на все случаи 💃🏻 жизни 
⏰💄 40 min 
Photo 📸: @ltw_photo 
Lifestyle 😉 @ltw_life_</t>
  </si>
  <si>
    <t>https://www.facebook.com/ltw.muah</t>
  </si>
  <si>
    <t>haute-couture Istanbul</t>
  </si>
  <si>
    <t>pansy_haute_couture</t>
  </si>
  <si>
    <t>istanbul/ Pansy Haute Couture</t>
  </si>
  <si>
    <t>Osmanbey
TURKEY'S BEST WHOLESALE WOMEN'S 
EVENING DRESSES SHOW ROOM.
Meşrutiyet Mah. Baytar Ahmet Sok. No: 7b .Şiş/osmanbey</t>
  </si>
  <si>
    <t>https://t.me/Pansyhautecouture</t>
  </si>
  <si>
    <t>high heels Dubai</t>
  </si>
  <si>
    <t>bodify.dubai</t>
  </si>
  <si>
    <t>Aero • Stretching • Pilates • Workout • High Heels • Kangoo</t>
  </si>
  <si>
    <t>BODIFY - ladies fitness club💓
📍Internet City  📍Marina 📍Downtown
📞 +971 5 0377 0188 (eng/ru)
70% FIRST VISIT DISCOUNT! ⬇️</t>
  </si>
  <si>
    <t>https://bodifystudio.com/subscription_smm?utm_source=smm_taplink</t>
  </si>
  <si>
    <t>iaambaambi</t>
  </si>
  <si>
    <t>DUBAI DANCE/ HIGH HEELS/ ТАНЦЫ ДУБАЙ/ MODEL/ PADEL</t>
  </si>
  <si>
    <t>EVADE: Sporty and  Healthy Club 🤘🏻
Инфо по турнирам в актуальных 🎾
Смотри ссылку, все про танцы 💃</t>
  </si>
  <si>
    <t>https://t.me/HIGHHEELSDANCELERA</t>
  </si>
  <si>
    <t>mishnya</t>
  </si>
  <si>
    <t>DANCE DUBAI | HIGH HEELS |</t>
  </si>
  <si>
    <t>Teach how to dance in heels 
PRIVATE/GROUP CLASSES 
DM for more info 💌</t>
  </si>
  <si>
    <t>olya_rian</t>
  </si>
  <si>
    <t>DUBAI DANCE|HIGH HEELS | ТАНЦЫ ДУБАЙ</t>
  </si>
  <si>
    <t>🇺🇦Founder of @femme.fam.dxb dance studio 💙
High Heels, HipHop, Twerk, Plasticity 
📍Business Bay 📍JLT
From zero to Pro
First visit 80 aed, book👇🏼</t>
  </si>
  <si>
    <t>sofa_spau</t>
  </si>
  <si>
    <t>СОФА | DUBAI DANCE | ТАНЦЫ ДУБАЙ 🔥| HIGH HEELS | СТРИП ПЛАСТИКА</t>
  </si>
  <si>
    <t>Мои УЧЕНИКИ уже танцуют в КЛИПАХ🌟,а ты?
💃🏻свой уникальный метод на прокачку гибкости тела 
Владелец @empress_dance_ @sparklesteps_uae</t>
  </si>
  <si>
    <t>https://www.instagram.com/empress_society_?igsh=NWZxbzdkMGtpZG45</t>
  </si>
  <si>
    <t>luxury Beirut</t>
  </si>
  <si>
    <t>beirutimes</t>
  </si>
  <si>
    <t>Beirutimes Luxury Watches</t>
  </si>
  <si>
    <t>Jewelry &amp; Watches Company</t>
  </si>
  <si>
    <t>@chrono24 @ebay @christieswatches</t>
  </si>
  <si>
    <t>http://www.beirutimes.com/</t>
  </si>
  <si>
    <t>houseofluxury.beirut</t>
  </si>
  <si>
    <t>House of Luxury Beirut</t>
  </si>
  <si>
    <t>prelux.beirut</t>
  </si>
  <si>
    <t>Preowned Luxury Brands</t>
  </si>
  <si>
    <t>Authentic pre-owned luxury brands
Beirut - Lebanon</t>
  </si>
  <si>
    <t>wristbeirut</t>
  </si>
  <si>
    <t>Ali Jaber - Luxury Watches</t>
  </si>
  <si>
    <t>♛ Authentic Preowned Watches 
♛ Buy, Sell, Trade, &amp; Repair !! 
♛ Hamra, Makdessi Liban Post building 6th floor.  
Contact Us +96170767270</t>
  </si>
  <si>
    <t>luxury Cannes</t>
  </si>
  <si>
    <t>cannesimpact</t>
  </si>
  <si>
    <t>Impact – Cannes Luxury Real Estate</t>
  </si>
  <si>
    <t>Sales &amp; Rentals of luxury properties on the French Riviera
Based in Cannes since 1985 🌴☀️</t>
  </si>
  <si>
    <t>http://www.cannes-impact.com/</t>
  </si>
  <si>
    <t>cannesluxe</t>
  </si>
  <si>
    <t>Cannes Luxury | French Lifestyle</t>
  </si>
  <si>
    <t>Follow my Cannes and French Riviera adventures. Luxury hotels, Conferences, French food, style, yachts, lifestyle &amp; beaches</t>
  </si>
  <si>
    <t>cannesluxury1</t>
  </si>
  <si>
    <t>Cannes luxury</t>
  </si>
  <si>
    <t>S’habiller est un mode de vie👟👠👡👜⌚️🛍️              📍Tanger, Livraison partout au🇲🇦📦🚛                   📱+212 672 42 36 36</t>
  </si>
  <si>
    <t>yachtdoyouwant</t>
  </si>
  <si>
    <t>LUXURY YACHT RENTAL | DUBAI IBIZA CANNES</t>
  </si>
  <si>
    <t>Boat Rental</t>
  </si>
  <si>
    <t>🇬🇧🇦🇪 @carmenfearnley 
🛥 click the link to book direct 
⚓️ re-defining luxury at sea for 5+ years.. 
…TRADE LICENSED | VIP YACHTS IN UAE/EU🔽</t>
  </si>
  <si>
    <t>https://wa.link/dubaiyachts</t>
  </si>
  <si>
    <t>luxury Dubai</t>
  </si>
  <si>
    <t>luxurydubai.ae</t>
  </si>
  <si>
    <t>Luxury Dubai</t>
  </si>
  <si>
    <t>Selling all home decor &amp; gift item
Delivery uae</t>
  </si>
  <si>
    <t>luxury Saint-Tropez</t>
  </si>
  <si>
    <t>keydreamconciergerie</t>
  </si>
  <si>
    <t>LUXURY CONCIERGERIE • SAINT-TROPEZ</t>
  </si>
  <si>
    <t>Exclusive tailor-made experiences.✨
Villa rentals |  Yachts | PrivateJets | Drivers | Chefs and much more.
🔗Contact us for an unparalleled experience.</t>
  </si>
  <si>
    <t>make-up artist Cannes</t>
  </si>
  <si>
    <t>anastasiyaf_makeup</t>
  </si>
  <si>
    <t>MAKEUP ARTIST CANNES/MONACO/SAINT TROPEZ</t>
  </si>
  <si>
    <t>💌 booking DM
Paris Haute Couture 7.07-10.07
- Enhacing your natural beauty with makeup
Commercial | photoshooting | events
⠀
From 🇺🇦 to 🇫🇷</t>
  </si>
  <si>
    <t>https://luxury-visage.com/</t>
  </si>
  <si>
    <t>jouiny_beauty</t>
  </si>
  <si>
    <t>𝙈𝘼𝙆𝙀𝙐𝙋 𝘼𝙍𝙏𝙄𝙎𝙏 𝘾𝘼𝙉𝙉𝙀𝙎 / 𝙉𝙄𝘾𝙀 / 𝙈𝙊𝙉𝘼𝘾𝙊 / 𝙎𝘼𝙄𝙉𝙏 𝙏𝙍𝙊𝙋𝙀𝙕</t>
  </si>
  <si>
    <t>Makeup &amp; Hair Artist | Beauty Expert
📍 Côte d’azur ✈️ Worldwide 🌍
📲 Réservations via WhatsApp 
⠀⠀⠀• 07 80 79 42 75 •</t>
  </si>
  <si>
    <t>make-up artist Istanbul</t>
  </si>
  <si>
    <t>afra_feizi</t>
  </si>
  <si>
    <t>Makeup Artist  İSTANBUL AFRA</t>
  </si>
  <si>
    <t>International Makeup Artist
Istanbul/levent 🇹🇷
Tehran/velenjak 🇮🇷</t>
  </si>
  <si>
    <t>aikanova.beauty</t>
  </si>
  <si>
    <t>Makeup Artist İstanbul 🇹🇷🇰🇿</t>
  </si>
  <si>
    <t>AİKANOVA TEAM 📧 Makeup Booking 
🌏 INTERNATIONAL MAKEUP ARTİST
Editorial,Bridal,Shooting,Glam,Special Event Makeup</t>
  </si>
  <si>
    <t>http://www.aikanovamakeup.com/</t>
  </si>
  <si>
    <t>cyranikbeauty</t>
  </si>
  <si>
    <t>Makeup artist istanbul</t>
  </si>
  <si>
    <t>Makeup artist 💄
Bridal, Fashion,casual, editorial 
My WhatsApp for booking 05054467075
Degree in software engineering</t>
  </si>
  <si>
    <t>istanbulmakeupartist</t>
  </si>
  <si>
    <t>Negin Sadeghi</t>
  </si>
  <si>
    <t>Creating timeless radiance for your most unforgettable day
 #turkeymakeup 
Bride and bridesmaid 
@neginsadeghiofficiall</t>
  </si>
  <si>
    <t>milakurtulusmakeup</t>
  </si>
  <si>
    <t>MAKEUP ARTIST ISTANBUL- ВИЗАЖИСТ СТАМБУЛ</t>
  </si>
  <si>
    <t>💫Mila Kurtulus 
💄Professional make up artist and hair stylist 
📍Based in Istanbul, available worldwide
🗣️Tr eng ukr rus- kurtulusmila@gmail.com</t>
  </si>
  <si>
    <t>sahin_yuliia</t>
  </si>
  <si>
    <t>MAKE UP ARTIST ❤️ Istanbul/Sakarya</t>
  </si>
  <si>
    <t>Makeup Artist | Bridal &amp; Stage Looks | Beauty Content
Makeup lessons | Online &amp; in-person
📍 🇺🇦 / 🇹🇷
📩 DM for collaboration &amp; bookings</t>
  </si>
  <si>
    <t>make-up artist Tel Aviv</t>
  </si>
  <si>
    <t>valeria_ov</t>
  </si>
  <si>
    <t>Визажист Тель-Авив |Make-up artist and hairstylist TEL-AVIV</t>
  </si>
  <si>
    <t>From SPb to Tel-Aviv
~ Hair Workshops
~ Обучаю визажистов укладкам: PRO HAIR basic
~ MAKE-UP &amp; HAIR pro
~ Brides | Evening | Fashion
~ 11 years in MUA</t>
  </si>
  <si>
    <t>http://wa.me/972534719346</t>
  </si>
  <si>
    <t>makeup Beirut</t>
  </si>
  <si>
    <t>faceplacebeirut</t>
  </si>
  <si>
    <t>Lash Extensions❤️Make Up</t>
  </si>
  <si>
    <t>Lash Makers to the Stars⭐️VIP👑
UAE 🇦🇪 Saudi Arabia 🇸🇦   WhatsApp messages only ,please📲+96170359181</t>
  </si>
  <si>
    <t>makeup_beirut</t>
  </si>
  <si>
    <t>❥━── 
Videos every day 📽
hairstyles 💇&amp; makeup💄
nails💅🏻 &amp; fashion👗 
📍London🇬🇧 
Directline For Business📥
❥━──</t>
  </si>
  <si>
    <t>http://www.com/snapchat:makeup8videos</t>
  </si>
  <si>
    <t>makeup Cannes</t>
  </si>
  <si>
    <t>makemeupstudioandschool</t>
  </si>
  <si>
    <t>МАКІЯЖ/ЗАЧІСКИ/НАВЧАННЯ ОДЕСА / MAKEUP CANNES/MONACO ⭐⭐⭐⭐⭐</t>
  </si>
  <si>
    <t>ТОП майстри / VIP навчання
Офіційні партнери OdessaFashionDay 
Засновник @toma_sliepchenko💋</t>
  </si>
  <si>
    <t>http://www.make-me-up.org/</t>
  </si>
  <si>
    <t>makeup Dubai</t>
  </si>
  <si>
    <t>aylinmakeup_</t>
  </si>
  <si>
    <t>Makeup dubai</t>
  </si>
  <si>
    <t>Dm 📥
‏🇦🇪🇮🇷</t>
  </si>
  <si>
    <t>_makeup_dubai</t>
  </si>
  <si>
    <t>Makeup  Stylist Dubai MUA Визажист Дубаи</t>
  </si>
  <si>
    <t>#дубайвизажист #визаждубаи
#makeupdubai
Dubai stylist</t>
  </si>
  <si>
    <t>makeup_dubai_nuku</t>
  </si>
  <si>
    <t>MAKEUPDUBAI_NUKU</t>
  </si>
  <si>
    <t>▪️TOP RATED MAKE UP ARTIST 
▪️ Wedding/ bridal make-up
▪️Day and Party make up 
▪️for bookings - 0544706552☎️</t>
  </si>
  <si>
    <t>sb_makeuup</t>
  </si>
  <si>
    <t>BRIDAL MAKEUP ARTIST &amp; HAIRSTYLE DUBAI</t>
  </si>
  <si>
    <t>▪️PARIS / DUBAI WORLDWIDE 🌏
▪️10 years of expérience French Artist ✨
▪️FORMATRICE MAKEUP ARTIST/ HAIRSTYLE
▪️ certified @glambymajha @zehracoiffure</t>
  </si>
  <si>
    <t>makeup Saint-Tropez</t>
  </si>
  <si>
    <t>shumko_viktoria</t>
  </si>
  <si>
    <t>Makeup &amp; Hair • Monaco • Cannes•Saint Tropez • Paris</t>
  </si>
  <si>
    <t>Celebrity Makeup &amp; hair Artist 💄
10 years experience in makeup
Top 10 Beauty Looks in Glamour &amp; Vanity Fair 
/ French Riviera based /</t>
  </si>
  <si>
    <t>http://www.shumkomakeup.com</t>
  </si>
  <si>
    <t>makeup Tel Aviv</t>
  </si>
  <si>
    <t>luminitza.rotaru</t>
  </si>
  <si>
    <t>איפור קבוע 📍Permanent makeup Tel Aviv</t>
  </si>
  <si>
    <t>לומיניצה רוטרו  
מקוסמטיקאית מוסמכת למאסטרית/מדריכת איפור קבוע 
מלמדת איפור קבוע מ 0   
•בונוס למתחילות שיעור אינסטגרם ושיווק 
לעוד פרטים בפרטי⤵️</t>
  </si>
  <si>
    <t>moda Beirut</t>
  </si>
  <si>
    <t>beiruthjeans</t>
  </si>
  <si>
    <t>BEIRUTH JEANS l Moda Feminina</t>
  </si>
  <si>
    <t>Deixando você sempre na moda. 
Desde 2012.  🌐
Vendas on-line no atacado pelo link abaixo 👇
Enviamos para todo o Brasil.</t>
  </si>
  <si>
    <t>http://wa.me/5581981906171</t>
  </si>
  <si>
    <t>moda Istanbul</t>
  </si>
  <si>
    <t>moda.istanbul_</t>
  </si>
  <si>
    <t>🇹🇷 TÜRKİYE -AZERBAYCAN🇦🇿</t>
  </si>
  <si>
    <t>moda__istanbul23</t>
  </si>
  <si>
    <t>𝐵𝑜𝑢𝑡𝑖𝑞𝑢𝑒 𝑀𝑜𝑑𝑎 𝐼𝑠𝑡𝑎𝑛𝑏𝑢𝑙</t>
  </si>
  <si>
    <t>𝒫𝓇𝑒̂𝓉 𝒶̀ 𝓅𝑜𝓇𝓉𝑒𝓇 𝒻𝑒𝓂𝓂𝑒👗
📍La Rue Cheikh Larbi Tebessi Annaba Mahalat al amir
🚚 Livraison Dispo 58 Wilaya
📱 0540104969
𝒩𝑜𝓉𝓇𝑒 𝒟𝑒𝓋𝒾𝓈𝑒: 𝐿𝑒 𝒞𝓁𝒾𝑒𝓃𝓉 𝐸𝓈𝓉 𝑅𝑜𝒾👸🏻</t>
  </si>
  <si>
    <t>https://www.facebook.com/profile.php?id=100076075626968&amp;mibextid=ibOpuV</t>
  </si>
  <si>
    <t>moda Tel Aviv</t>
  </si>
  <si>
    <t>mc2telaviv</t>
  </si>
  <si>
    <t>MC2 MODEL MANAGEMENT Tel Aviv</t>
  </si>
  <si>
    <t>Model agency based in Israel 🇮🇱</t>
  </si>
  <si>
    <t>http://www.mc2mm.co.il/</t>
  </si>
  <si>
    <t>tatyana_komar_model</t>
  </si>
  <si>
    <t>TATYANA KOMAR | Fashion | Model | Ambassador | Tel aviv |</t>
  </si>
  <si>
    <t>Published | Editorial | FW Milano2024 | FTV | Based in Israel | Available for paid work |
Worldwide booking | contact: tatyanakomar1@gmail.com</t>
  </si>
  <si>
    <t>thedashalevkovich</t>
  </si>
  <si>
    <t>▪️ model Tel Aviv | Moscow | Paris</t>
  </si>
  <si>
    <t>▪️ creative producer: ads | brands | commercials
▪️ 184 | S | no tfp
personal @thelevkovich 
моя книга «незнакомцы» 👇🏻</t>
  </si>
  <si>
    <t>https://www.litres.ru/dasha-levkovich/neznakomcy-nayti-v-tinder-sebya-kolichestvo-rvanyh-istoriy/?lfrom=490681704&amp;ref_offer=1&amp;ref_key=2b2c8f3db014ff0f292000aa95133d83b479b3f4b924c1dd87d74dffe2245e42</t>
  </si>
  <si>
    <t>nails Beirut</t>
  </si>
  <si>
    <t>ferdawsnailsbeirut</t>
  </si>
  <si>
    <t>Ferdaws Nails Beirut</t>
  </si>
  <si>
    <t>🧿 Number 1 salon in nail extension and Refill 💅🏻          📱Appointments by What’sapp only +96181903105</t>
  </si>
  <si>
    <t>https://maps.app.goo.gl/BSD4uFrbwPxigYFL6?g_st=ic</t>
  </si>
  <si>
    <t>pudra_beauty_lebanon</t>
  </si>
  <si>
    <t>PUDRA BEAUTY / NAILS LASHES HAIR LEBANON BEIRUT</t>
  </si>
  <si>
    <t>Pudra Beauty 
📍Zalka  81/524623
📍DownTown 76/161495
For booking ⬇️</t>
  </si>
  <si>
    <t>https://n821656.alteg.io/select-city/32592/select-branch</t>
  </si>
  <si>
    <t>tecnails.beirut</t>
  </si>
  <si>
    <t>TEC-NAILS Beirut</t>
  </si>
  <si>
    <t>Beauty Supplier</t>
  </si>
  <si>
    <t>All about nail art since 2015 @tecnails 
WHERE ART GETS TECHNICAL ✨
Phone : 71108913 / 03456542 / +961 1957638</t>
  </si>
  <si>
    <t>nails Dubai</t>
  </si>
  <si>
    <t>_nails.dubai</t>
  </si>
  <si>
    <t>NAILS DUBAI</t>
  </si>
  <si>
    <t>NAILS DUBAI OFFICIAL ACCOUNT 
▫️8 YEARS EXPERIENCE 
▫️Sterile tools 
▫️English &amp; Russian speaking</t>
  </si>
  <si>
    <t>nails_dubai_dxb</t>
  </si>
  <si>
    <t>BEST NAILS STUDIO SHEIKH ZAYED ROAD DUBAI</t>
  </si>
  <si>
    <t>Sept OFFER FULL NAIL EXTENSION WITH DESIGN 160 aed
⚜️Mas Nails⚜️
📍Sheikh zayed Road. WALK- IN. Booking
Best Nails in Dubai✨
#dubainails #dubaisalon</t>
  </si>
  <si>
    <t>nailslab_dubai</t>
  </si>
  <si>
    <t>NAILS•HAIR•MASSAGE•BROW•LASH - DUBAI</t>
  </si>
  <si>
    <t>Unveil experience beyond ordinary 🩵
💥Featured @harpersbazaararabia 
Locations:📍JLT &amp;📍 Business Bay
⭐️Established in 2019
📆 Book online👇</t>
  </si>
  <si>
    <t>http://thenailslab.com/book-whatsapp-prices</t>
  </si>
  <si>
    <t>pronails_dxb</t>
  </si>
  <si>
    <t>NAILS | HAIR | LASHES | BROWS | SKINCARE IN DUBAI</t>
  </si>
  <si>
    <t>Beauty cave where you can escape from reality
• Dubai Mall Zabeel
• Business Bay
We speak: ENG / RU</t>
  </si>
  <si>
    <t>https://www.pronails.ae/taplink</t>
  </si>
  <si>
    <t>nails Tel Aviv</t>
  </si>
  <si>
    <t>alonanails_tlv</t>
  </si>
  <si>
    <t>ציפורניים ת״א nails tel aviv</t>
  </si>
  <si>
    <t>15 years exp. For appointment⬇️⬇️</t>
  </si>
  <si>
    <t>https://ezbz.me/5eY2</t>
  </si>
  <si>
    <t>perfume Istanbul</t>
  </si>
  <si>
    <t>theistanbulperfume</t>
  </si>
  <si>
    <t>The İstanbul Kozmetik</t>
  </si>
  <si>
    <t>Parfüm, Vücut Spreyi, Oda Kokusu, Kolonya ve Mum</t>
  </si>
  <si>
    <t>http://theistanbulkozmetik.com</t>
  </si>
  <si>
    <t>skincare Dubai</t>
  </si>
  <si>
    <t>dubai_skin_care_</t>
  </si>
  <si>
    <t>Shine Bright Cosmetics | Dubai Skincare Supplier</t>
  </si>
  <si>
    <t>Shine Bright Cosmetics Trading L.L.C
🌟 Direct import &amp; wholesale
💎 Premium skincare &amp; hygiene
📍Dubai | Worldwide Sales
📲 WhatsApp: +971 58 566 38 89👇🏻</t>
  </si>
  <si>
    <t>http://lookluxe.com</t>
  </si>
  <si>
    <t>dubai_skincare_essentials</t>
  </si>
  <si>
    <t>Premium skincare crafted in Dubai ✨
Transformative Results🤩
Trusted by 1L +Customers 
Join the Glow Tribe❤️
Shipping Pan India
COD available</t>
  </si>
  <si>
    <t>https://dubaiskincare.in/</t>
  </si>
  <si>
    <t>samiraskincare.dxb</t>
  </si>
  <si>
    <t>Samira Ebrahimi | Skincare in Dubai</t>
  </si>
  <si>
    <t>Professional Beauty Therapist
Transforming skin, restoring confidence
💆🏼‍♀️Glowing skin, radiant results
Appointments &amp; Consultations
+971503898783</t>
  </si>
  <si>
    <t>skincare Istanbul</t>
  </si>
  <si>
    <t>skincare.karim.ir</t>
  </si>
  <si>
    <t>Skin therapist.İstanbul</t>
  </si>
  <si>
    <t>موسس اولین آموزشگاه تخصصی پوست در ایران .نویسنده کتاب مراقبت از پوست .بامن راحت و تخصصی آموزش ببین</t>
  </si>
  <si>
    <t>http://www.karimibeauty.com/</t>
  </si>
  <si>
    <t>sneakers Cannes</t>
  </si>
  <si>
    <t>new.cannes</t>
  </si>
  <si>
    <t>NEW Cannes • SNEAKERS SHOP</t>
  </si>
  <si>
    <t>" NEW Vibes "
" NEW Trend "
" NEW Direction "
For More Exclusivity ⬇️
" NEW " Exclusive 💭</t>
  </si>
  <si>
    <t>sneakers Dubai</t>
  </si>
  <si>
    <t>dubai_sneakers.ae</t>
  </si>
  <si>
    <t>Dubai sneakers 🇦🇪</t>
  </si>
  <si>
    <t>Free Delivery All United Arab Emirates 🇦🇪</t>
  </si>
  <si>
    <t>https://dubaisneakers.ae/</t>
  </si>
  <si>
    <t>sneakers Istanbul</t>
  </si>
  <si>
    <t>sneakerswell</t>
  </si>
  <si>
    <t>Based in Istanbul</t>
  </si>
  <si>
    <t>•Orijinal barkodlu ürünler.
•İstanbul içi motokurye teslim seçeneği.
•Kapıda ödeme • EFT/havale • SHOPIER ✨</t>
  </si>
  <si>
    <t>https://www.shopier.com/ssneakerswell</t>
  </si>
  <si>
    <t>streetwear Istanbul</t>
  </si>
  <si>
    <t>kangal_istanbul_streetwear</t>
  </si>
  <si>
    <t>Online Bestellung oder in 71638 Ludwigsburg abholbar...
Tel: +49174 6161016</t>
  </si>
  <si>
    <t>https://kangal-streetwear.de/</t>
  </si>
  <si>
    <t>thrift Dubai</t>
  </si>
  <si>
    <t>digg.it</t>
  </si>
  <si>
    <t>Dubai’s No.1 Vintage &amp; Thrift Store</t>
  </si>
  <si>
    <t>11am to 8pm Sun to Thurs
11am to 9pm Fri &amp; Sat 
Google Maps Location linked📍👇🏽
♻️ Curated Sustainable Clothing ♻️
🌍Vintage, Preloved, Reworked🌍</t>
  </si>
  <si>
    <t>http://diggvintage.com</t>
  </si>
  <si>
    <t>accessories Cairo</t>
  </si>
  <si>
    <t>cairo.accessories.official</t>
  </si>
  <si>
    <t>CAIRO ACCESSORIES</t>
  </si>
  <si>
    <t>CRAFTED FROM STAINLESS STEEL AND PLATED WITH 18K GOLD⚡️
OWNER : @mohamed_saleh.officiall
OPEN DAILY: 10 AM – 5 PM</t>
  </si>
  <si>
    <t>https://cairo_accessories.com</t>
  </si>
  <si>
    <t>accessories Lagos</t>
  </si>
  <si>
    <t>bags.warehouse.accessories</t>
  </si>
  <si>
    <t>SHOES, HANDBAGS &amp; ACCESSORIES LAGOS | ABUJA</t>
  </si>
  <si>
    <t>Abuja Store-Plot 123, Diamond Junction beside H-medix, Adetokunbo Ademola str, Wuse 2
Sister page: @bags.warehousengg
No DMs❌️
Click link to shop👇</t>
  </si>
  <si>
    <t>https://www.bagswarehouse.ng/</t>
  </si>
  <si>
    <t>bagswarehouseng.official</t>
  </si>
  <si>
    <t>Click link to shop👇 on our website 👇
Sister page: @bags.warehousengg
No DMs❌️</t>
  </si>
  <si>
    <t>carfanzy</t>
  </si>
  <si>
    <t>Car Accessories Lagos</t>
  </si>
  <si>
    <t>Keep your car stylish, comfortable, and clean! Visit us at 98 Awolowo Way, Ikeja (Opp M.A.N House) WhatsApp/Call: 08167386753, - shop at carfanzy.ng.</t>
  </si>
  <si>
    <t>https://wa.link/fxbbwg</t>
  </si>
  <si>
    <t>cluxury.ng</t>
  </si>
  <si>
    <t>ACCESSORIES/BAGS/GIFTS/SUNGLASSESIN LAGOS</t>
  </si>
  <si>
    <t>3+ 𝓨𝓮𝓪𝓻𝓼 𝓸𝓯 𝓽𝓻𝓾𝓼𝓽𝓮𝓭 𝓼𝓮𝓻𝓿𝓲𝓬𝓮💪
𝓑𝓝: 7630473
2000+ 𝓒𝓵𝓲𝓮𝓷𝓽𝓼 𝓢𝓮𝓻𝓿𝓮𝓭 &amp; 𝓒𝓸𝓾𝓷𝓽𝓲𝓷𝓰
𝓒𝓱𝓲𝓬 &amp; 𝓠𝓾𝓪𝓵𝓲𝓽𝔂 𝓘𝓽𝓮𝓶𝓼 𝓞𝓷𝓵𝔂 ✨
🚚 𝓘𝓷𝓼𝓽𝓪𝓷𝓽 𝓛𝓪𝓰𝓸𝓼 𝓓𝓮𝓵𝓲𝓿𝓮𝓻𝔂 | 𝓦𝓸𝓻𝓵𝓭𝔀𝓲𝓭𝓮 𝓢𝓱𝓲𝓹𝓹𝓲𝓷𝓰</t>
  </si>
  <si>
    <t>lookpeng_withamy2</t>
  </si>
  <si>
    <t>ACCESSORIES•JEWELRY•WRISTWATCHES•BAGS•SUNGLASSES IN LAGOS</t>
  </si>
  <si>
    <t>🛍️ ULTRACHIC ACCESSORIES PLUG
🔑 @pengthings.ng ➖Other Page
📍LAGOS ONLINE STORE 
 Send a Dm to Order or click the link👇</t>
  </si>
  <si>
    <t>thelolahshop.ng</t>
  </si>
  <si>
    <t>𝐀𝐂𝐂𝐄𝐒𝐒𝐎𝐑𝐈𝐄𝐒 | 𝐉𝐄𝐖𝐄𝐋𝐑𝐘 | 𝐖𝐑𝐈𝐒𝐓𝐖𝐀𝐓𝐂𝐇 | 𝐁𝐀𝐆𝐒 | 𝐒𝐔𝐍𝐆𝐋𝐀𝐒𝐒𝐄𝐒 𝐈𝐍 𝐋𝐀𝐆𝐎𝐒</t>
  </si>
  <si>
    <t>᯽𝐅𝐀𝐒𝐇𝐈𝐎𝐍 𝐀𝐂𝐂𝐄𝐒𝐒𝐎𝐑𝐈𝐄𝐒 𝐓𝐇𝐀𝐓 𝐌𝐀𝐊𝐄𝐒 𝐘𝐎𝐔 𝐒𝐌𝐈𝐋𝐄 ☺︎︎ ❣︎
᯽𝐌𝐎𝐍-𝐒𝐀𝐓 𝟗𝐀𝐌-𝟔𝐏𝐌
᯽𝐁𝐀𝐂𝐊𝐔𝐏 ➪@thelolahshop.ng2 
᯽𝐄𝐍𝐉𝐎𝐘 𝐔𝐏 𝐓𝐎 𝟏𝟎% 𝐎𝐅𝐅 𝐎𝐍 𝐓𝐇𝐄 𝐖𝐄𝐁𝐒𝐈𝐓𝐄♡︎⇩</t>
  </si>
  <si>
    <t>https://thelolahshop.com</t>
  </si>
  <si>
    <t>barbershop Dubai</t>
  </si>
  <si>
    <t>miladocuts</t>
  </si>
  <si>
    <t>#albarsha☎️ 045705936
#impz Branch☎️ 045800854
⏱10AM-12AM
🚘free valed parking
WhatsApp booking⬇️</t>
  </si>
  <si>
    <t>http://wa.me/971555319714</t>
  </si>
  <si>
    <t>beauty reviews  Dubai</t>
  </si>
  <si>
    <t>rubaabbeautysalon</t>
  </si>
  <si>
    <t>Top reviewed salon in Dubai</t>
  </si>
  <si>
    <t>𝘼𝙬𝙖𝙧𝙙 𝙬𝙞𝙣𝙣𝙞𝙣𝙜 𝙨𝙖𝙡𝙤𝙣 2023, 2024,2025
𝘌𝘷𝘦𝘳𝘺𝘵𝘩𝘪𝘯𝘨 𝘧𝘰𝘳 𝘩𝘢𝘪𝘳, 𝘴𝘬𝘪𝘯, 𝘧𝘢𝘤𝘦, 𝘯𝘢𝘪𝘭𝘴, 𝘣𝘰𝘥𝘺.
Makeup at @makeoversbyrubaab</t>
  </si>
  <si>
    <t>curly hair Lagos</t>
  </si>
  <si>
    <t>luluhairstore</t>
  </si>
  <si>
    <t>PIXIE CURL WIGS|PH|HAIR AND WIG VENDOR| WHOLESALE HAIR IN LAGOS</t>
  </si>
  <si>
    <t>🎀Hi beautiful,let’s take your looks up Several notches with our Quality human Hair Wigs 😍
🎀Sold to over 8k women worldwide
🎀Get Exclusive discount
👇🏾</t>
  </si>
  <si>
    <t>https://bit.ly/2RDzAss</t>
  </si>
  <si>
    <t>diyfashion Lagos</t>
  </si>
  <si>
    <t>diamonddropss</t>
  </si>
  <si>
    <t>𝗗𝗜𝗔𝗠𝗢𝗡𝗗𝗗𝗥𝗢𝗣𝗦 𝗙𝗔𝗦𝗛𝗜𝗢𝗡 | 𝗟𝗔𝗚𝗢𝗦</t>
  </si>
  <si>
    <t>Celebrating women of different forms, professions &amp; lifestyle
Created with you in mind 💞
.
We ship globally 🌎
@dandelions_x_diamonds @diamonddust_x</t>
  </si>
  <si>
    <t>dijah_clothings</t>
  </si>
  <si>
    <t>LAGOS BASED FASHION DESIGNER</t>
  </si>
  <si>
    <t>Bespoke|| Elegant Custom dresses|| Bridal  
Couture made in Nigeria 📌 
NO REFUND❌
☎️/✉️ 08120689966
🌍WE SHIP WORLDWIDE
#ELEGANCE AT ITS BEST</t>
  </si>
  <si>
    <t>https://api.whatsapp.com/send?phone=2348120689966</t>
  </si>
  <si>
    <t>sandiezcollection</t>
  </si>
  <si>
    <t>Ready to wear fashion store in lagos</t>
  </si>
  <si>
    <t>🛍️READY TO WEAR STORE IN LAGOS
✂️Garment factory 
⏱Mon- Fri 10am-6pm
🚚 worldwide delivery 
🛒 click link to shop👇</t>
  </si>
  <si>
    <t>https://linktr.ee/sandiezcollection</t>
  </si>
  <si>
    <t>hairstyle Doha</t>
  </si>
  <si>
    <t>diy.hairstyle</t>
  </si>
  <si>
    <t>Do It Yourself Hairstyle !</t>
  </si>
  <si>
    <t>Hey beautiful ladies!🙆🏼💕
Follow us for the most amazing:
Do It Yourself Hair Style video tutorials,tips and tricks!💌</t>
  </si>
  <si>
    <t>hairstyle Dubai</t>
  </si>
  <si>
    <t>atimakeup.uae</t>
  </si>
  <si>
    <t>Atiyeh Tayebi |Makeup Artist |hairstyle |dubai|makeupdubai</t>
  </si>
  <si>
    <t>‏Bridal Makeup Specialist 
‏Creating timeless elegance for your special day ✨
‏ for bookings | DM for inquiries
‏💄 Your beauty, my passion</t>
  </si>
  <si>
    <t>https://atimakeup.ae/</t>
  </si>
  <si>
    <t>hengameh_hairstylerr</t>
  </si>
  <si>
    <t>Hairstyle dubai</t>
  </si>
  <si>
    <t>‎💇🏻‍♀️professional hairstylist 
📍based in dubai 
Styling hair 
📩 DM for bookings</t>
  </si>
  <si>
    <t>lstudio.letyagina</t>
  </si>
  <si>
    <t>HAIRSTYLE / TRAINING / ПРИЧЁСКИ DUBAI</t>
  </si>
  <si>
    <t>LIUBOV LETYAGINA 
MASTER TRAINING DUBAI
HAIRSTYLIST 
Провела более 200 МК по России и ОАЭ
ONLINE 6 укладок и 7 причёсок👇🏻</t>
  </si>
  <si>
    <t>handbags Lagos</t>
  </si>
  <si>
    <t>bagdeals.ng</t>
  </si>
  <si>
    <t>Bagdealsng | Luxury Handbags Store | Lagos</t>
  </si>
  <si>
    <t>Pre-owned luxury handbags &amp; footwears.
Return &amp; exchange policy: 72hrs &amp; intact.
💳 We do NOT offer refunds.
SHOP NOW: visit the store OR tap the link!</t>
  </si>
  <si>
    <t>handbagsandco</t>
  </si>
  <si>
    <t>BAGS, SHOES AND ACCESSORIES IN LAGOS</t>
  </si>
  <si>
    <t>30 Bode Thomas Surulere Lagos
Mon to Sat. 9am to 6pm
Subsidiary of @hairquarters_intl 
07080711603</t>
  </si>
  <si>
    <t>https://linktr.ee/hhhandbagsandco</t>
  </si>
  <si>
    <t>theokbargain</t>
  </si>
  <si>
    <t>HANDBAGS STORE IN LAGOS</t>
  </si>
  <si>
    <t>Backup-@theokbargain2_
🌸Delivery and Pick up
🌸Bags are clearance stock
🌸return only upon delivery 
Click on the link👇</t>
  </si>
  <si>
    <t>https://linktr.ee/theokbargain</t>
  </si>
  <si>
    <t>haute-couture Doha</t>
  </si>
  <si>
    <t>deleme_snssoaa_aw_e_t</t>
  </si>
  <si>
    <t>J’adore Haute Couture Doha 🇶🇦</t>
  </si>
  <si>
    <t>👗 تصميم أزياء الهوت كوتور
📍 الدوحة، قطر - مول رويال بلازا، الطابق الأرضي، شارع السد
📞 +974 7730 5565 | +974 3388 4010
✨ إبداع لبناني يرتقي بالأناقة</t>
  </si>
  <si>
    <t>luxury Cape Town</t>
  </si>
  <si>
    <t>abrikoos_kloof_reserve</t>
  </si>
  <si>
    <t>Cape Town’s | Luxury Private Pod Reserve</t>
  </si>
  <si>
    <t>Cave House + 4 Bespoke Cabins
Montagu, Western Cape📍
∙Complete Privacy
∙Unique Designs, Ultimate Luxury, Private Hiking Trails
∙Curated Experiences✨</t>
  </si>
  <si>
    <t>https://www.abrikooskloof.co.za/contact/contact-us/</t>
  </si>
  <si>
    <t>liezlkotze_floralart</t>
  </si>
  <si>
    <t>Cape Town Luxury Florists l LIEZL KOTZE FLORAL ART</t>
  </si>
  <si>
    <t>LKFA l South African🇿🇦 Experienced event floral team
info@lkfa.co.za 
@liezl_kotze_all_white</t>
  </si>
  <si>
    <t>veloceluxurycarrental</t>
  </si>
  <si>
    <t>Veloce Luxury Car Rental Cape Town</t>
  </si>
  <si>
    <t>Car Rental</t>
  </si>
  <si>
    <t>DRIVE IT. FEEL IT. NEVER FORGET IT.
Cape Town's No.1 Luxury Car Rental Agency. We have the widest selection of sports cars, supercars &amp; Lux SUVs in CT</t>
  </si>
  <si>
    <t>http://www.veloceluxurycarrental.co.za</t>
  </si>
  <si>
    <t>luxury Doha</t>
  </si>
  <si>
    <t>luxurylifedoha</t>
  </si>
  <si>
    <t>Luxury Lifestyle Doha قطر 🇶🇦</t>
  </si>
  <si>
    <t>Miami 🇺🇸 / قطر 🇶🇦
Dividend Aristocrat &amp; Estate Manager
Just Cruising Through Life 🌊</t>
  </si>
  <si>
    <t>luxury Johannesburg</t>
  </si>
  <si>
    <t>ab_beauty_official</t>
  </si>
  <si>
    <t>AB Beauty| Luxury Hair| Johannesburg</t>
  </si>
  <si>
    <t>Available for travel ✈️
Custom Installs 
Raw Indian Hair Vendor 🔌 (we ship)
JHB 🇿🇦 
Installation Classes Available 
Click the link below to book 👇🏽</t>
  </si>
  <si>
    <t>http://wa.me/27832379998</t>
  </si>
  <si>
    <t>luxuryhomesjohannesburg</t>
  </si>
  <si>
    <t>Luxury Homes Johannesburg</t>
  </si>
  <si>
    <t>🇿🇦#1 Real Estate IG and 🇿🇦#1 YouTube Accounts
🎥 Feature? Collaboration?🎥
 ↓ VIDEO TOURS with Xavier CLICK HERE ↓</t>
  </si>
  <si>
    <t>https://whatsapp.com/channel/0029VbAksE1HwXb8mEMXjH2K</t>
  </si>
  <si>
    <t>luxury Lagos</t>
  </si>
  <si>
    <t>247_luxurystore</t>
  </si>
  <si>
    <t>LUXURY ITALIAN SHOE IN LAGOS</t>
  </si>
  <si>
    <t>Dealers in luxury shoes
Sneakers 
No affiliations with Brands
No refund
Exchange only
Call: 07086951776
Bitcoins accepted
Ghana cedis
Rands
Dollars</t>
  </si>
  <si>
    <t>alabasterbox_poshjewelrystore</t>
  </si>
  <si>
    <t>LUXURY JEWELRY IN LAGOS</t>
  </si>
  <si>
    <t>𝑾𝒆 𝒉𝒆𝒍𝒑 𝒚𝒐𝒖 𝒄𝒖𝒓𝒂𝒕𝒆 𝒕𝒉𝒂𝒕 𝒍𝒖𝒙𝒖𝒓𝒚 𝒍𝒐𝒐𝒌
✨𝑺𝒕𝒚𝒍𝒆𝒅 𝒐𝒗𝒆𝒓 𝟏𝟎𝒌 𝒘𝒐𝒎𝒆𝒏 𝒊𝒏 𝒐𝒖𝒓 𝒍𝒖𝒙𝒖𝒓𝒚 𝒋𝒆𝒘𝒆𝒍𝒓𝒚
✨𝑺𝒕𝒂𝒕𝒆𝒎𝒆𝒏𝒕 𝒏𝒆𝒄𝒌𝒍𝒂𝒄𝒆~𝑷𝒆𝒂𝒓𝒍𝒔~𝑺𝒕𝒐𝒏𝒆𝒔~𝑹𝒊𝒏𝒈𝒔
✨𝑨𝒑𝒑𝒐𝒊𝒏𝒕𝒎𝒆𝒏𝒕 𝑶𝒏𝒍𝒚
𝑶𝑹𝑫𝑬𝑹 𝑵𝑶𝑾⤵️</t>
  </si>
  <si>
    <t>_arewahair</t>
  </si>
  <si>
    <t>LUXURY HAIR STORE LEKKI-AJAH-LAGOS</t>
  </si>
  <si>
    <t>🌟 WE DONT COMPROMISE ON OUR QUALITY👌
📍Shop 1, Lava Mall ado road ajah lekki 
      (Adjacent total fuel station)
⬇️ Click the link to shop ⬇️</t>
  </si>
  <si>
    <t>https://linktr.ee/arewahair</t>
  </si>
  <si>
    <t>bonaventure_lighting</t>
  </si>
  <si>
    <t>LUXURY HOME LIGHTING CHANDELIER IN LAGOS</t>
  </si>
  <si>
    <t>⚡Lower your electricity bill 📦
⚡ Interior and exterior lights 🌃
⚡ Best of quality 😎
⚡We deliver nationwide 🇳🇬
 CLICK HERE 👇 FOR MORE INFORMATION</t>
  </si>
  <si>
    <t>coachella_hairs</t>
  </si>
  <si>
    <t>LUXURY HAIRS IN LAGOS</t>
  </si>
  <si>
    <t>🛍️CEO- @_____nuella 
🛍️WhatsApp(08119119104)
🛍️Quality hair vendor
🛍️Braided wigs
🛍️No refund❌</t>
  </si>
  <si>
    <t>https://www.tiktok.com/@coachella_hairs?_t=ZM-8uSxwEibhQr&amp;_r=1</t>
  </si>
  <si>
    <t>hair_by_blingz</t>
  </si>
  <si>
    <t>LUXURY HAIR VENDOR IN LAGOS</t>
  </si>
  <si>
    <t>@thecolorroom_by_blingz 
‪Best quality guaranteed 
🌎Worldwide shipping 
Your best plug for luxury hairs
CLICK THE LINK TO PURCHASE 👇🏼</t>
  </si>
  <si>
    <t>https://chatwith.io/s/hair-by-blingz</t>
  </si>
  <si>
    <t>izu_best_lightning_world_</t>
  </si>
  <si>
    <t>LUXURY LIGHTNING CHANDELIERS IN LAGOS .</t>
  </si>
  <si>
    <t>Contemporary Luxury Lighting   
*Chandeliers / pendant light Sockets…  Wholesaler 📌 
Payment on delivery 
Alaba, Lagos F2129 industrial section</t>
  </si>
  <si>
    <t>obodoluxury_hairs</t>
  </si>
  <si>
    <t>🌸BN.3754269 
🌸 We Sell High Quality Wigs and Hair Extensions
🌸 We also provide Impeccable Hair services
🌸Click the link to chat with us on whatsapp 👇🏼</t>
  </si>
  <si>
    <t>https://taplink.cc/obodoluxuryhairs</t>
  </si>
  <si>
    <t>make-up artist Cape Town</t>
  </si>
  <si>
    <t>lalies_glamstudio</t>
  </si>
  <si>
    <t>Cape town make up artist💄</t>
  </si>
  <si>
    <t>CAPE TOWN MAKE UP ARTIST 👸💄
☎️ 0763906279/DM 
•APPOINTMENTS ONLY
•NO REFUNDS
📍 61 Samora Machel Crescent Mandela Pa</t>
  </si>
  <si>
    <t>make-up artist Doha</t>
  </si>
  <si>
    <t>bouktibdoha</t>
  </si>
  <si>
    <t>Doha Bk Make Up Artist 💄🇲🇦🇹🇷🇸🇦🇦🇪</t>
  </si>
  <si>
    <t>💄POFESIONAL MAKE UP ARTIST👄
💄🗣📱Phone&amp;What Up 0632017081
💄Made in Morroco🇲🇦</t>
  </si>
  <si>
    <t>https://www.youtube.com/channel/UCdoch-ZXjK6w23DEp5Mro3w</t>
  </si>
  <si>
    <t>dohamakeup_artist</t>
  </si>
  <si>
    <t>Doha Make Up</t>
  </si>
  <si>
    <t>🔹موثق في معروف 
🔹حاصله على شهادة احترافيه معتمده من المؤسسة العامة للتدريب التقني والمهني
🔹يوجد خدمة شعر عند الطلب
📍الخبر،الدمام ،والرياض وأنحائها</t>
  </si>
  <si>
    <t>doha_mostafa_makeup_artist</t>
  </si>
  <si>
    <t>Doha Mostafa Makeup Artist</t>
  </si>
  <si>
    <t>Makeup artist🇪🇬
Call &amp; Whatsapp 📞☎️ 01102059596</t>
  </si>
  <si>
    <t>https://m.facebook.com/Doha-Mostafa-makeup-artist-1172644786194653/</t>
  </si>
  <si>
    <t>makeup_artist_doha</t>
  </si>
  <si>
    <t>ماكيرا ضحى</t>
  </si>
  <si>
    <t>Doha .Makeup Artist
Professional Makeup Artist////LADY GAGA
Iraq/Baghdad
Married to @mohammedladygaga 
phone::07708992706
snapchat::dohaalhadad</t>
  </si>
  <si>
    <t>make-up artist Dubai</t>
  </si>
  <si>
    <t>asal.beauty.uae</t>
  </si>
  <si>
    <t>Makeup Artist Dubai</t>
  </si>
  <si>
    <t>📍Dubai, UAE🇦🇪
◻️ Permament makeup
◻️ Eyes and Lips ( Microblading and Lip Shading)
◻️ Home service Available
🇮🇷📱 +989170002466
Whatsapp⬇️</t>
  </si>
  <si>
    <t>http://wa.me/971505050198</t>
  </si>
  <si>
    <t>eldar_abdiev</t>
  </si>
  <si>
    <t>MAKEUP ARTIST DUBAI | МАКИЯЖ ДУБАЙ</t>
  </si>
  <si>
    <t>📍Dubai 🇦🇪 
Makeup of any complexity
More than 10,000 satisfied customers
To book an appointment👇🏻</t>
  </si>
  <si>
    <t>http://wa.me/77064011010</t>
  </si>
  <si>
    <t>makeup_artistdubai</t>
  </si>
  <si>
    <t>BurjBeauty Maestro</t>
  </si>
  <si>
    <t>Hanna Zdielnyk: Artistry with Elegance
💄Makeup Artist💄
🏆 London College of Makeup Graduate IMA
🏆 AOFM Graduate
🌉 Dubai Premier Freelance MUA</t>
  </si>
  <si>
    <t>makeupbyrabbiya</t>
  </si>
  <si>
    <t>MAKEUP ARTIST DUBAI | UAE</t>
  </si>
  <si>
    <t>Bridal Makeup | Hair &amp; Hijab Styling
🎨 1:1 Self &amp; Pro Makeup Classes
🏆 Filmfare Arab Asia Starz3
💌 DM for Bookings &amp; PR
📍 Dubai, UAE</t>
  </si>
  <si>
    <t>https://www.tiktok.com/@rabbiyatalha/</t>
  </si>
  <si>
    <t>makeupmoravets</t>
  </si>
  <si>
    <t>MAKE UP ARTIST| DUBAI</t>
  </si>
  <si>
    <t>💄10+ yrs makeup/hairstyling
🎬 Worked w/ celebs, TV, mags, shows
👰 Events, weddings, shoots
🎓 Personalized makeup classes
📞 Book a glam transformation👇</t>
  </si>
  <si>
    <t>http://wa.me/+971557554685</t>
  </si>
  <si>
    <t>spotless.vanity</t>
  </si>
  <si>
    <t>Makeup &amp; Hair Artist/Fashion Stylist 
Celebrities/Commercial/Editorial/Brides
Dubai 🇦🇪🌎</t>
  </si>
  <si>
    <t>viktoria.kuzminyh</t>
  </si>
  <si>
    <t>MAKEUP ARTIST | Dubai</t>
  </si>
  <si>
    <t>•makeup and hairstyle 
for shoots, events, podcasts 
•9 y of experience 
•worked for British Vogue
•more than 1500 satisfied clients
•home service UAE</t>
  </si>
  <si>
    <t>makeup Cairo</t>
  </si>
  <si>
    <t>napaskina_marybeauty</t>
  </si>
  <si>
    <t>MAKEUP ARTIST|HAIRSTYLIST|BRAIDER|CAIRO</t>
  </si>
  <si>
    <t>From 🇷🇺🇪🇬 with love ❤️ 
My beautiful world @icon_braids 🌟
Хвосты на заказ по всему🌍
Создаю красоту и крутых мастеров
И тебя научу
Online/offline 
Жми👇</t>
  </si>
  <si>
    <t>https://vk.com/napaskinamary</t>
  </si>
  <si>
    <t>makeup Cape Town</t>
  </si>
  <si>
    <t>beautyandthebest_cpt</t>
  </si>
  <si>
    <t>B&amp;B | Cape town makeup artist</t>
  </si>
  <si>
    <t>MAKEUP &amp; HAIR  
Strictly by Appointment‼️
📍SEAPOINT CAPE TOWN🇿🇦
To BOOK click “contact”⬇️</t>
  </si>
  <si>
    <t>kimlyn_makeuphair</t>
  </si>
  <si>
    <t>Kimlyn Sisam | MAKEUP ARTIST Cape Town</t>
  </si>
  <si>
    <t>Celebrity Makeup Artist Hairstylist 🇿🇦📍🍉
BRIDAL | EVENTS |  COMMERCIALS | CAMPAIGNS
Click link to Book ⬇️</t>
  </si>
  <si>
    <t>http://direct.me/kimlyns</t>
  </si>
  <si>
    <t>makeup_by_hedwin</t>
  </si>
  <si>
    <t>Cape Town based Makeup Artist| Makeup Artist in  Cape Town</t>
  </si>
  <si>
    <t>💄Professional Makeup Artist| Travel MUA
📍Based in Cape Town 🇿🇦
✈️ Travel Makeup Artist 
📅 Book via WhatsApp 0644643310 / Link in bio⬇️</t>
  </si>
  <si>
    <t>makeupbyropa</t>
  </si>
  <si>
    <t>CAPE TOWN MUA</t>
  </si>
  <si>
    <t>💄Makeup Artist 
📍Based in Cape Town / Available to travel ✈️
📩 063 424 0625 (WhatsApp Business) 
NB: 50% deposit secures your appointment
❌ No Refunds</t>
  </si>
  <si>
    <t>http://babes.makeupbyropa.com</t>
  </si>
  <si>
    <t>makeup Doha</t>
  </si>
  <si>
    <t>makeup_.doha</t>
  </si>
  <si>
    <t>메이크업&amp;헤어 아티스트 도하</t>
  </si>
  <si>
    <t>헤어메이크업  예약 오픈채팅 문의주세용
웨딩 예약 가능
광고/협찬 문의는 DM 또는📨dohad2b89d@gmail.com
샵주소: 강남구 신사동 657-38 3층
⬇메이크업 예약및 문의는 프로필링크⬇️</t>
  </si>
  <si>
    <t>https://open.kakao.com/o/sDk0Apgg</t>
  </si>
  <si>
    <t>makeup Johannesburg</t>
  </si>
  <si>
    <t>nthatimakeup</t>
  </si>
  <si>
    <t>JOHANNESBURG  MAKEUP ARTIST</t>
  </si>
  <si>
    <t>📍Nelson Mandela Square,Sandton
📖 Appointments Only
📞 +27817200184 (WhatsApp)
 ⚠️ App cancelled after 20 minutes of no show
🚨WhatsApp only. No Dm’s</t>
  </si>
  <si>
    <t>http://www.weightlossplug.com</t>
  </si>
  <si>
    <t>makeup Lagos</t>
  </si>
  <si>
    <t>7brushes_beauty</t>
  </si>
  <si>
    <t>MAKEUP ARTIST IN LEKKI LAGOS</t>
  </si>
  <si>
    <t>BRIDAL ARTIST 👰‍♀️ 
BEAUTY ARTIST
 I TRAVEL ✈️
📍Lekki Lagos 
STUDIO/HOME SERVICE 
Payment Validates Bookings
No Refund❌</t>
  </si>
  <si>
    <t>http://wa.me/+2347039521975</t>
  </si>
  <si>
    <t>adeogemua</t>
  </si>
  <si>
    <t>MAKEUP ARTIST IN LAGOS</t>
  </si>
  <si>
    <t>💄Bridal Mua
Beauty Tutor
Available to✈️🌎
Call for bookings:+2347062695951
Lekki phase 1 , Lagos 🇳🇬
No refund❗️
Check out (@shop.adeoge )</t>
  </si>
  <si>
    <t>https://linktr.ee/adeogemua</t>
  </si>
  <si>
    <t>ceendies_creation</t>
  </si>
  <si>
    <t>MAKEUP | RINGLIGHT |SKINCARE STORE IN LAGOS</t>
  </si>
  <si>
    <t>🧊WHOLESALE/RETAIL BEAUTY PRODUCTS 
🧊 MADE GLOBAL BRANDS ACCESSIBLE TO NIG.
OVER 80K SATISFIED CLIENTS 
🧊3 STORE BRANCHES IN LAGOS NIG.
CLICK TO SHOP👇🏾</t>
  </si>
  <si>
    <t>https://linktr.ee/ceendies_creation</t>
  </si>
  <si>
    <t>forteglamour</t>
  </si>
  <si>
    <t>Makeup Artist In Lagos</t>
  </si>
  <si>
    <t>Male makeup artist
Bridal makeup expert 
King of Dolls 🌸🌺 
I train and upgrade student ❤️
No refund ❌
Available to travel ✈️
📍Lekki phase 1</t>
  </si>
  <si>
    <t>kaffysbeauty</t>
  </si>
  <si>
    <t>Pro makeup artist 💄💄
Trainer &amp;booking 
Gele Expert 
Brand influencer 
Available to ✈️🚘
Pls note/ no refund ❌
Call/whatsapp 👉08079760257</t>
  </si>
  <si>
    <t>makeupbyteey</t>
  </si>
  <si>
    <t>Beauty Artist &amp; Educator 
“God is the greatest Artist”
Bridals/Events/Shoots/Trainings/Walk-ins
📞09099079089
Bookings &amp; enquiries👇🏽// DM</t>
  </si>
  <si>
    <t>moebeauty___</t>
  </si>
  <si>
    <t>🏆CERTIFIED MUA/BRIDAL ARTIST
💄CLEAN. CLASSY. SULTRY
✈️ TRAVEL READY!
👩🏽‍🎓 @moebeautyacademy
🛒 🛍️💄 @moebeautycosmeticz
💇‍♀️Salon @moebeautylounge
BOOK👇</t>
  </si>
  <si>
    <t>https://bookmoeservice.setmore.com/</t>
  </si>
  <si>
    <t>naveen_dawlley</t>
  </si>
  <si>
    <t>Makeup Artist in Lagos</t>
  </si>
  <si>
    <t>Bridal|Casual|event|shoot
Skin finish specialist 😍
For bookings and enquiries;‬
☎️:08155949672,07047573426
Lekki,Lagos.</t>
  </si>
  <si>
    <t>slaywithjbrian</t>
  </si>
  <si>
    <t>MAKEUP ARTIST IN LAGOS.</t>
  </si>
  <si>
    <t>💄PRO MUA\ TRAINER 
✨FEMALE ARTIST 
 ✨WhatsApp Only or call 07036972159, ‭08084359223
   PLEASE NO DM 🚫
✈️Available to Travel 
Contact us now 👇🏾</t>
  </si>
  <si>
    <t>sosoph24</t>
  </si>
  <si>
    <t>MAKEUP ARTIST IN ASABA/LAGOS</t>
  </si>
  <si>
    <t>TWINS MUA 👯 
BRIDAL MAKEUP &amp; GELE ARTIST
CERTIFIED BEAUTY EDUCATOR 
WE TRAVEL ✈️ 
NO REFUND 🚫
 For enquiry, DM or call 📞 07066540016. 08160558875.</t>
  </si>
  <si>
    <t>theurbanvanity</t>
  </si>
  <si>
    <t>•Bridal/Event MUA IN LAGOS
•I am an artist -your face is my canvas 🖌️
•
I am SIGNIFICANT
I am VISIBLE
I am PREFERRED 
I am CHOSEN</t>
  </si>
  <si>
    <t>tiasglamm</t>
  </si>
  <si>
    <t>Bridal Makeup Artist
Available to travel ✈️
No refund ❌
Magodo, Lagos
For bookings: WhatsApp 07066188985
call 09127415968</t>
  </si>
  <si>
    <t>touchoflamie</t>
  </si>
  <si>
    <t>Professional Makeup artist
Bridal/ Casual/ Shoot/ Trainings
‼️Appointments only
📞 / WhatsApp 08140915484
11 Eru-ifa street, ikate lekki 
@thebrowvilla</t>
  </si>
  <si>
    <t>xteebeauty</t>
  </si>
  <si>
    <t>XTEE BEAUTY | SOFT GLAM MUA LEKKI
Beauty and Bridal MUA
Soft. Elegant. Timeless.
Based in Lekki, Lagos
Proverbs 18:16 | Booking below 👇</t>
  </si>
  <si>
    <t>moda Cairo</t>
  </si>
  <si>
    <t>cairo.fashion_</t>
  </si>
  <si>
    <t>👗MODA PLUS ATACADO 👗</t>
  </si>
  <si>
    <t>🪡 Fabricação Própria 
 Moda Plus Size até o tamanho 60
🛒 Atacado+ de 6 Peças
📦 Enviamos todo Brasil
⬇️FALE CONOSCO⬇️</t>
  </si>
  <si>
    <t>https://linktr.ee/cairofashion</t>
  </si>
  <si>
    <t>usecairos</t>
  </si>
  <si>
    <t>Cairos | Moda masculina</t>
  </si>
  <si>
    <t>Design brasileiro.
📍@usecairosjeremoabo 
📍 @usecairosdelmiro</t>
  </si>
  <si>
    <t>https://linktr.ee/usecairos</t>
  </si>
  <si>
    <t>moda Cape Town</t>
  </si>
  <si>
    <t>adaltonbarbosaoficial</t>
  </si>
  <si>
    <t>Model in Cape Town</t>
  </si>
  <si>
    <t>ONE LIFE LIVE IT 
Entrepreneur /Model /YouTuber
Founder &amp; CEO @baianosincapetown
Contribua com o Baianos Café 👇🏿</t>
  </si>
  <si>
    <t>https://www.vakinha.com.br/5488608</t>
  </si>
  <si>
    <t>moda Dubai</t>
  </si>
  <si>
    <t>dubai_moda__</t>
  </si>
  <si>
    <t>Дизайнерская одежда из Дубая ОАЭ🇦🇪</t>
  </si>
  <si>
    <t>🔸Переходите 👉🏻 @dubai_moda_zulya 
🔸Представитель Karina Company 
🔸г.Грозный 
🔸ТРЦ Беркат 17 модуль 4б маг
🔸Доставка по всему миру
🔸+79285799975 Зуля</t>
  </si>
  <si>
    <t>https://mssg.me/zulfia.aldamova</t>
  </si>
  <si>
    <t>modadubai_</t>
  </si>
  <si>
    <t>Moda Dubai | Bayan Giyim</t>
  </si>
  <si>
    <t>Modern Kadın Giyim Modası ⚡
Kapıda ödeme güvencesi 📦
Sipariş Hattı : 0541 924 18 45 
Çarkı çevir hediyeni yakala !👇🏻</t>
  </si>
  <si>
    <t>https://modadubai.com.tr</t>
  </si>
  <si>
    <t>moda Lagos</t>
  </si>
  <si>
    <t>yasulagos</t>
  </si>
  <si>
    <t>𝗬𝗔𝗦𝗨 𝗟𝗔𝗚𝗢𝗦 💕 VIAJES | LIFESTYLE | MODA</t>
  </si>
  <si>
    <t>🍓Mami de bebé Fresita  
🌎 Mi vida es un continuo viaje 🛫 40 países
🇨🇺 Born in Cuba / Living in Spain📍
📩colab. yasulagos93@gmail.com</t>
  </si>
  <si>
    <t>http://linktr.ee/yasulagos</t>
  </si>
  <si>
    <t>nails Cairo</t>
  </si>
  <si>
    <t>russian.nails.store.cairo</t>
  </si>
  <si>
    <t>Russian Nails Store 📍Cairo</t>
  </si>
  <si>
    <t>💎Materials for nails &amp; lashes&amp;facial
🙌All Stuff for beauty masters 
💗 Nails &amp; Lashes Russian store 
🚀Shipping all over📍Egypt
For order👇 
01065430673</t>
  </si>
  <si>
    <t>https://russianstorecairo.com/</t>
  </si>
  <si>
    <t>nails Doha</t>
  </si>
  <si>
    <t>blossome.qa</t>
  </si>
  <si>
    <t>Nails | Hair | Lashes | Slimming | Facial | Makeup | Waxing Doha</t>
  </si>
  <si>
    <t>✨ The 1st and only salon in QA providing Nail services in private VIP pods for every Customer
💯 Best Value in town 
📞60014222 
📍Muntazah. Directions:</t>
  </si>
  <si>
    <t>https://t.ly/g97q</t>
  </si>
  <si>
    <t>doha_nails</t>
  </si>
  <si>
    <t>Doha nails</t>
  </si>
  <si>
    <t>تركيب اظافر جل 'جل على طبيعي وبكجات اظافر جل جاهزة 
حسب طلبك بالديزاين الي بتحبي 
طلب على الرسائل 
توصيل متوفر لجميع مناطق فلسطين والاردن🇯🇴🇵🇸</t>
  </si>
  <si>
    <t>https://www.facebook.com/profile.php?id=100083228867615</t>
  </si>
  <si>
    <t>nails.doha.qatar</t>
  </si>
  <si>
    <t>Moura.nails.doha</t>
  </si>
  <si>
    <t>Moura Beauty salon
🎀Russian stuff 
We will make your nails perfect 😊🌹
@hairextensions.qatar
For appointment please press here⬇️</t>
  </si>
  <si>
    <t>nails Lagos</t>
  </si>
  <si>
    <t>nails.bygale</t>
  </si>
  <si>
    <t>NAIL TECH IN IKEJA LAGOS</t>
  </si>
  <si>
    <t>Luxury Nails for Boss Babes  😍
Long-lasting Acrylics • BIAB • Gel• Pedi 
📍Opebi Ikeja | Appointments &amp; Walk-ins 
Mon–Sun, 9AM–6PM
👇Dm/ WhatsApp to 🗓️</t>
  </si>
  <si>
    <t>http://wa.me/2347032369740</t>
  </si>
  <si>
    <t>shinebydinmaofficial</t>
  </si>
  <si>
    <t>#1 Presson Nails, Bracelet, Necklace Wholesaler in Lagos</t>
  </si>
  <si>
    <t>WhatsApp: +2347047844633 🇳🇬
𝐖𝐞 𝐚𝐫𝐞 𝐭𝐡𝐞 𝐍𝐮𝐦𝐛𝐞𝐫 𝟏 𝐉𝐞𝐰𝐞𝐥𝐫𝐲 𝐚𝐧𝐝 𝐏𝐫𝐞𝐬𝐬𝐨𝐧 𝐧𝐚𝐢𝐥 𝐢𝐦𝐩𝐨𝐫𝐭𝐞𝐫 𝐢𝐧 𝐍𝐈𝐆𝐄𝐑𝐈𝐀
𝑾𝒉𝒐𝒍𝒆𝒔𝒂𝒍𝒆 𝒂𝒏𝒅 𝑹𝒆𝒕𝒂𝒊𝒍 𝐝𝐞𝐚𝐥𝐬
(𝑩𝑵:𝟑𝟕𝟒𝟖𝟕𝟔𝟔)</t>
  </si>
  <si>
    <t>https://shinebydinma.com</t>
  </si>
  <si>
    <t>natural beauty Lagos</t>
  </si>
  <si>
    <t>herret_skincare</t>
  </si>
  <si>
    <t>BEAUTY/ NATURAL/ORGANIC SKINCARE IN AJAH LAGOS</t>
  </si>
  <si>
    <t>WE ARE HERE TO MAKE SURE YOUR SKIN IS FLAWLESS AND BEAUTIFUL,WE PROVIDE SOLUTIONS FOR ALL YOUR SKINCARE PROBLEMS.
worldwide delivery 📦 
RC 2644699🥳
👇</t>
  </si>
  <si>
    <t>https://wa.link/6x6l9z</t>
  </si>
  <si>
    <t>ohis_beautyy</t>
  </si>
  <si>
    <t>NATURAL SKINCARE PRODUCTS IN LAGOS 🇳🇬</t>
  </si>
  <si>
    <t>SUITABLE FOR BOTH GENDERS ☘️
EMBRACE SELF-CARE AND CONFIDENCE EVERYDAY!
Giving you a clearer and healthier skin is our forte 
@ohis_beautyy 
EST. 2020</t>
  </si>
  <si>
    <t>pbellebeautyng</t>
  </si>
  <si>
    <t>LAGOS NIGERIA SKINCARE/ORGANIC/NATURAL/COSMETICS /BEAUTY STORE</t>
  </si>
  <si>
    <t>ADVANCED/NATURAL SKINCARE MADE4m SCRATCH 100% SAFE
@pbelleskincarewholesale @pbelleautos1 
@wigsbypbelle @wigsbypbelle 
🛍️Dm/WhatsApp+2348063267900.🌎🚢</t>
  </si>
  <si>
    <t>http://wa.me/2348063267900/</t>
  </si>
  <si>
    <t>royal_beauty_glow_</t>
  </si>
  <si>
    <t>NO1 NATURAL SKINCARE / SKIN SUPPLEMENT BRAND IN LAGOS 🌱🇳🇬 (RBG)</t>
  </si>
  <si>
    <t>BN:3531012
I’m the skincare therapist you heard about 😁 I help you achieve a flawless skin in few days 💪
You’re next to testify
click link👇to order 🛒🛍</t>
  </si>
  <si>
    <t>http://tinyurl.com/y8wesakc</t>
  </si>
  <si>
    <t>stabeautypalace</t>
  </si>
  <si>
    <t>𝐒𝐓𝐀𝐁𝐄𝐀𝐔𝐓𝐘 𝐍𝐎 𝟏 𝐓𝐑𝐔𝐒𝐓𝐄𝐃 𝐍𝐀𝐓𝐔𝐑𝐀𝐋 𝐋𝐔𝐗𝐔𝐑𝐘 𝐒𝐊𝐈𝐍𝐂𝐀𝐑𝐄 𝐈𝐍 𝐋𝐀𝐆𝐎𝐒</t>
  </si>
  <si>
    <t>🌟𝐂𝐎𝐔𝐍𝐓𝐋𝐄𝐒𝐒 𝐏𝐎𝐒𝐈𝐓𝐈𝐕𝐄 𝐑𝐄𝐕𝐈𝐄𝐖𝐒
🌟𝐍𝐎 𝐁𝐋𝐄𝐀𝐂𝐇𝐈𝐍𝐆 ❌
🌟𝐖𝐎𝐑𝐋𝐃𝐖𝐈𝐃𝐄 𝐃𝐄𝐋𝐈𝐕𝐄𝐑𝐘
🌟🅼🅾🅽-🆂🅰🆃(9🅰🅼 -7🅿🅼</t>
  </si>
  <si>
    <t>http://linktr.ee/stabeautypalace</t>
  </si>
  <si>
    <t>organic beauty Lagos</t>
  </si>
  <si>
    <t>kikibeautystore.ng</t>
  </si>
  <si>
    <t>Skincare promixing and organic raw materials in lagos.</t>
  </si>
  <si>
    <t>original skincare pro-mixing materials 
Raw skincare materials 
Packaging containers
Wholesale/Retail
World wide shipping</t>
  </si>
  <si>
    <t>perfume Dubai</t>
  </si>
  <si>
    <t>perfumes.dubai1</t>
  </si>
  <si>
    <t>شركة عطور دبي | Dubai perfume a company</t>
  </si>
  <si>
    <t>DUBAI PERFUME ✨
عطور فاخرة تجمع بين الأصالة والحداثة 🌿🌆
نفحات عربية بلمسة عالمية 🌍
💌 اطلب عطرك الآن عبر الرسائل
📍شحن لكل المدن | صنع بحب في دبي 🇦🇪
⸻</t>
  </si>
  <si>
    <t>perfume Lagos</t>
  </si>
  <si>
    <t>dazzlescloset</t>
  </si>
  <si>
    <t>PERFUME STORE IN LAGOS</t>
  </si>
  <si>
    <t>We have a perfume for every budget 🤩
Affordable perfume 🔌
Designer perfumes 💎
Arabian perfumes 
Body mists 💐
Perfume gift sets🎁
ORDER HERE👇🛒</t>
  </si>
  <si>
    <t>https://linktr.ee/dazzlescloset</t>
  </si>
  <si>
    <t>jennyscents__ng</t>
  </si>
  <si>
    <t>PERFUME VENDOR IN LAGOS</t>
  </si>
  <si>
    <t>✨WHEN YOU SHOP,YOU SHOP WITH PEACE OF MIND
✨WE RECOMMEND THE BEST FRAGRANCE THAT SUIT YOU
✨OVER 5K+ SATISFIED CUSTOMERS 💯</t>
  </si>
  <si>
    <t>https://jennyscents.ng</t>
  </si>
  <si>
    <t>scentsvine</t>
  </si>
  <si>
    <t>Perfume Store In Lagos•</t>
  </si>
  <si>
    <t>~Smell Good•Feel Good~®️
✨100% Authentic 
✨Luxury Perfumes
✨Perfume Gift Boxes 
✨Mon - Sat: 10am - 6pm 
✨Shop via Dm | WhatsApp | Walk-in</t>
  </si>
  <si>
    <t>http://wa.me/+2347033198234</t>
  </si>
  <si>
    <t>thescentarena</t>
  </si>
  <si>
    <t>👑Get luxury &amp; designer perfumes at best prices in Lagos
🌟 We give the best Recommendations
🌼 Wholesale &amp; Retail Deals 
Mon- Sat 9AM - 6PM
To Order ⤵️</t>
  </si>
  <si>
    <t>https://thescentarena.com</t>
  </si>
  <si>
    <t>the_scent_home</t>
  </si>
  <si>
    <t>𝑃𝐸𝑅𝐹𝑈𝑀𝐸 𝑉𝐸𝑁𝐷𝑂𝑅 𝐼𝑁 𝐿𝐴𝐺𝑂𝑆</t>
  </si>
  <si>
    <t>▪️𝑆𝐼𝑆𝑇𝐸𝑅'𝑆 𝑃𝐴𝐺𝐸 @luxury_scenthome 
▪️𝑃𝐸𝑅𝐹𝑈𝑀𝐸𝑆 | 𝐵𝑂𝐷𝑌 𝑆𝑃𝑅𝐴𝑌 | 𝑂𝐼𝐿𝑆
▪️𝑅𝐸𝐶𝑂𝑀𝑀𝐸𝑁𝐷𝐴𝑇𝐼𝑂𝑁 𝑇𝐻𝐴𝑇 𝑆𝑈𝐼𝑇𝑆 𝑌𝑂𝑈 𝐵𝐸𝑆𝑇
▪️𝑊𝐻𝑂𝐿𝐸𝑆𝐴𝐿𝐸
💌𝐷𝑀 𝑇𝑂 𝑆𝐻𝑂𝑃 𝑂𝑅 𝐶𝐿𝐼𝐶𝐾 𝐵𝐸𝐿𝑂𝑊👇🏽</t>
  </si>
  <si>
    <t>skincare Cairo</t>
  </si>
  <si>
    <t>bless_beauty_cairo</t>
  </si>
  <si>
    <t>MANICURE &amp; PEDICURE| LASH EXTENSIONS| BROW &amp; LASH LIFT |SKINCARE</t>
  </si>
  <si>
    <t>SLAVIC BEAUTY TEAM 💫
About style and quality📌 
We love what we do 🤍
4-hand procedures 🔥 
Manicure + brow lamination , all in one appointment!</t>
  </si>
  <si>
    <t>https://maps.app.goo.gl/P3cb9UwuEoVruMR8A?g_st=ic</t>
  </si>
  <si>
    <t>skincare Doha</t>
  </si>
  <si>
    <t>cosmetica.qa</t>
  </si>
  <si>
    <t>𝐇𝐚𝐢𝐫 &amp; 𝐒𝐤𝐢𝐧 𝐂𝐚𝐫𝐞📍𝐃𝐨𝐡𝐚</t>
  </si>
  <si>
    <t>𝐂𝐨𝐬𝐦𝐞𝐭𝐢𝐜𝐚 𝐓𝐫𝐚𝐝𝐢𝐧𝐠
🏅Official &amp; Authorized Distributor
🌍 Serving GCC🇶🇦 🇦🇪 🇸🇦 🇰🇼 🇧🇭
🛒 Order via DM / WhatsApp
📦 Fast Delivery
⠀
Shop Now ⬇️</t>
  </si>
  <si>
    <t>skincare Lagos</t>
  </si>
  <si>
    <t>doseofglamcosmetics</t>
  </si>
  <si>
    <t>Skincare Wholesale store in Lagos</t>
  </si>
  <si>
    <t>Most Affordable wholesale skincare vendor in 🇳🇬 
We sell Authentic skincare products on wholesale 
WE SHIP 🌏</t>
  </si>
  <si>
    <t>https://linktr.ee/Doseofglamcosmetics</t>
  </si>
  <si>
    <t>ellatrends_skincare_spa</t>
  </si>
  <si>
    <t>SKINCARE | SPA IN SURULERE LAGOS</t>
  </si>
  <si>
    <t>🏆BEST SPA IN SURULERE LAGOS
🏬SKINCARE PAGE @ellatrends_skincare 
🏡HOME SERVICE AVAILABLE
💬BOOK SPA APPOINTMENTS VIA DM
📍Lagos -&gt; 9am-7pm
NO REFUNDS</t>
  </si>
  <si>
    <t>https://buyellatrends.catlog.shop</t>
  </si>
  <si>
    <t>eniafe_skincare_arena</t>
  </si>
  <si>
    <t>SKINCARE IN LAGOS</t>
  </si>
  <si>
    <t>✨HEALTHY SKIN IS A WHAT WE PRECH
✨SKINCARE PRODUCTS 
✨AWARD WINNING SPECIALIST 
✨3 ALHAJI OGUNSHOLA STREET EGBEDA LAGOS 
✨NO REFUND❌
CLICK👇</t>
  </si>
  <si>
    <t>https://wa.link/2azlya</t>
  </si>
  <si>
    <t>hermosamart.ng</t>
  </si>
  <si>
    <t>Skincare in Lagos</t>
  </si>
  <si>
    <t>Welcome to Hermosa🐥
TAG US TO BE FEATURED🟢
NO ORDERS IN THE DMS 🙏🏽WEBSITE ONLY
Nationwide Delivery 🌍
Need to make a purchase? Click on 🔗 in bio</t>
  </si>
  <si>
    <t>http://www.hermosamartng.com</t>
  </si>
  <si>
    <t>just_prudence_</t>
  </si>
  <si>
    <t>I’m the skin care vendor you heard about . 
Asides skincare, My page dey give Joy 😁
The Dark knuckle BOSS!
WhatsApp👇</t>
  </si>
  <si>
    <t>http://api.whatsapp.com/send?phone=2347063174962</t>
  </si>
  <si>
    <t>kalopsia_skincare</t>
  </si>
  <si>
    <t>SKINCARE BRAND | LAGOS</t>
  </si>
  <si>
    <t>Nafdac Approved
Award winning skin care brand 
🇳🇬🚚Shipping by DHL
Email: KALOPSIAempire@gmail.com
WhatsApp: +2349032210701
Ogechi Ikonne-Obi</t>
  </si>
  <si>
    <t>reys.beautyshelf</t>
  </si>
  <si>
    <t>SKINCARE RETAIL STORE IN LAGOS</t>
  </si>
  <si>
    <t>Online Skincare Retail  Store
Products sourced from US,UK &amp; Korea
Nationwide delivery 
07082135843
Lagos Nigeria
Shop On Our Website,Using the link👇🏾</t>
  </si>
  <si>
    <t>https://linktr.ee/reysbeautyshelf</t>
  </si>
  <si>
    <t>tyra___luxe</t>
  </si>
  <si>
    <t>𝐒𝐊𝐈𝐍𝐂𝐀𝐑𝐄 𝐈𝐍 𝐋𝐄𝐊𝐊𝐈, 𝐋𝐀𝐆𝐎𝐒</t>
  </si>
  <si>
    <t>𝐖𝐞 𝐭𝐫𝐞𝐚𝐭 𝐚𝐥𝐥 𝐲𝐨𝐮𝐫 𝐬𝐤𝐢𝐧 𝐢𝐬𝐬𝐮𝐞𝐬 𝐬𝐮𝐜𝐡 𝐚𝐬👇
⬜Hyperpigmentation &amp; discolouration 
⚪𝐀𝐜𝐧𝐞&amp;𝐝𝐚𝐫𝐤𝐬𝐩𝐨𝐭𝐬&amp;dark knuckles
⬜With natural skincare products 
‼️𝐓𝐨 𝐨𝐫𝐝𝐞𝐫👇</t>
  </si>
  <si>
    <t>https://taplink.cc/tyra___skincare</t>
  </si>
  <si>
    <t>zinnyluxuriousskincare</t>
  </si>
  <si>
    <t>Helping you achieve a glowing skin with effective skincare products that works.
SHOP FROM THE WEBSITE 👇🏽👇🏽
Worldwide shipping🇳🇬🇬🇧🇺🇸</t>
  </si>
  <si>
    <t>https://zinnyluxuriousskincare.bumpa.shop</t>
  </si>
  <si>
    <t>sneakers Cairo</t>
  </si>
  <si>
    <t>cairo__shoes_</t>
  </si>
  <si>
    <t>Shopping _ sneakers</t>
  </si>
  <si>
    <t>CAIRO SHOES 
Men’ and women’s 
Experience since 2015
A lot of positive reviews 
You can check before payment 
Payments- cash- instapay</t>
  </si>
  <si>
    <t>cairoshoes.eg</t>
  </si>
  <si>
    <t>𝚈𝚘𝚞𝚛 𝙵𝚊𝚟𝚘 𝚂𝚗𝚎𝚊𝚔𝚎𝚛𝚜 𝙰𝚛𝚎 𝙷𝚎𝚛𝚎 🇪🇬.</t>
  </si>
  <si>
    <t>SINCE 2015 🪬A Store For Authentic Sneakers .
Delivery All Over Egypt 📍
𝗢𝗥𝗗𝗘𝗥 𝗡𝗢𝗪 𝗧𝗛𝗥𝗢𝗨𝗚𝗛 𝗢𝗨𝗥 𝗪𝗘𝗕𝗦𝗜𝗧𝗘 ! 🛒</t>
  </si>
  <si>
    <t>https://cairoshoes.com/en</t>
  </si>
  <si>
    <t>cairosneakers1</t>
  </si>
  <si>
    <t>CAIRO SNEAKERS👟</t>
  </si>
  <si>
    <t>ONLINE SHOPPING FOR WOMEN/MEN
•ORIGINAL ONLY👟
•SHIPPING ALL OVER EGYPT🚚
📍CAIRO, EGYPT🇪🇬</t>
  </si>
  <si>
    <t>sneakers Lagos</t>
  </si>
  <si>
    <t>360shops_ng</t>
  </si>
  <si>
    <t>𝐒𝐍𝐄𝐀𝐊𝐄𝐑𝐒 | ADULT 𝐂𝐑𝐎𝐂𝐒 | 𝐂𝐋𝐎𝐓𝐇𝐄𝐒 |IN LAGOS</t>
  </si>
  <si>
    <t>𝗕𝗡: 𝟯𝟱𝟮𝟱𝟯𝟴𝟴
▫️ONLINE STORE 🏬 
▫️50,000+ ITEMS SOLD SINCE 2019
📍Lagos, Nigeria 🇳🇬 
 🧑‍💻mg @kristen.antai 
 👟 page @shoes_by_360 
  📞 09073760463</t>
  </si>
  <si>
    <t>https://360shops.com.ng</t>
  </si>
  <si>
    <t>bglam_store</t>
  </si>
  <si>
    <t>𝐒𝐍𝐄𝐀𝐊𝐄𝐑𝐒, 𝐒𝐇𝐎𝐄𝐒 &amp; 𝐅𝐀𝐒𝐇𝐈𝐎𝐍 𝐀𝐂𝐂𝐄𝐒𝐒𝐎𝐑𝐈𝐄𝐒 𝐈𝐍 𝐋𝐀𝐆𝐎𝐒</t>
  </si>
  <si>
    <t>⬛𝐒𝐭𝐞𝐩 𝐮𝐩 𝐲𝐨𝐮𝐫 𝐬𝐭𝐲𝐥𝐞 𝐰𝐢𝐭𝐡 𝐨𝐮𝐫 𝐩𝐫𝐞𝐦𝐢𝐮𝐦 𝐬𝐧𝐞𝐚𝐤𝐞𝐫𝐬, 𝐬𝐡𝐨𝐞𝐬, 𝐚𝐧𝐝 𝐟𝐚𝐬𝐡𝐢𝐨𝐧 𝐚𝐜𝐜𝐞𝐬𝐬𝐨𝐫𝐢𝐞𝐬
◼️𝐄𝐥𝐞𝐯𝐚𝐭𝐞 𝐲𝐨𝐮𝐫 𝐥𝐨𝐨𝐤 𝐞𝐟𝐟𝐨𝐫𝐭𝐥𝐞𝐬𝐬𝐥𝐲
⬛𝐖𝐞 𝐝𝐞𝐥𝐢𝐯𝐞𝐫 𝐍𝐚𝐭𝐢𝐨𝐧𝐰𝐢𝐝𝐞 
‼️𝐓𝐨 𝐎𝐫𝐝𝐞𝐫👇</t>
  </si>
  <si>
    <t>https://bglamstore.taplink.ws</t>
  </si>
  <si>
    <t>street style Cairo</t>
  </si>
  <si>
    <t>cairostreetstyle</t>
  </si>
  <si>
    <t>Alia</t>
  </si>
  <si>
    <t>✨𝘞𝘏𝘈𝘛 𝘐 𝘞𝘌𝘈𝘙 𝘛𝘖 𝘞𝘖𝘙𝘒 &amp; 𝘖𝘕 𝘞𝘌𝘌𝘒𝘌𝘕𝘋𝘚✨
✨𝘌𝘝𝘌𝘙𝘠𝘋𝘈𝘠 𝘚𝘛𝘠𝘓𝘌 𝘐𝘕𝘚𝘗𝘖 ✨
📍 𝘿𝙐𝘽𝘼𝙄</t>
  </si>
  <si>
    <t>street style Lagos</t>
  </si>
  <si>
    <t>boleboxxlagos</t>
  </si>
  <si>
    <t>𝗕𝗢𝗟𝗘 | 𝗣𝗛 𝗦𝗧𝗬𝗟𝗘 𝗦𝗧𝗥𝗘𝗘𝗧 GRILLS</t>
  </si>
  <si>
    <t>Best Potakot Grade Bolè and Grills in Lagos
M-Su |9:30-19:30|
Event Catering + Private Grilling 👩‍🍳
Delivery all round Lagos
Click link below to order</t>
  </si>
  <si>
    <t>lagos_streetstyle</t>
  </si>
  <si>
    <t>LAGOS STREET STYLE</t>
  </si>
  <si>
    <t>@lagos_streetstyle
Photos taken by us (mother and son duo).
 💫</t>
  </si>
  <si>
    <t>http://www.lagosstreetstyle.com/</t>
  </si>
  <si>
    <t>thrift Lagos</t>
  </si>
  <si>
    <t>florynkiddies_store</t>
  </si>
  <si>
    <t>THRIFT BABY STORE IN LAGOS</t>
  </si>
  <si>
    <t>BN: 38353549 
I help moms SAVE money with affordable thrift baby items!
Up to 60% price reduction compared to price of new!</t>
  </si>
  <si>
    <t>just_thrifthair</t>
  </si>
  <si>
    <t>THRIFT HUMAN HAIR &amp; WIGS IN LAGOS</t>
  </si>
  <si>
    <t>💕 Affordable Used Human Hair Wigs
💕 Treated &amp; Styled With Care
🩷Backup PG @just_thrifthair_bckp 
🚚 Nationwide Delivery</t>
  </si>
  <si>
    <t>kiddiesworld.thrift</t>
  </si>
  <si>
    <t>THRIFT KIDS CLOTHINGS IN IKORODU LAGOS</t>
  </si>
  <si>
    <t>welcome to affordable and outstanding wears 
🎀 Last bus stop for quality clothes
🎀 New and preloved kids clothing
Back up @kiddiesworld.thriftbackup</t>
  </si>
  <si>
    <t>http://api.whatsapp.com/send?phone=2348180053818</t>
  </si>
  <si>
    <t>theokrikahub_</t>
  </si>
  <si>
    <t>THRIFT DRESSES|TOPS|JEANS|DENIM SKIRTS|SHIRTS| IN LAGOS</t>
  </si>
  <si>
    <t>✨𝑂𝑁𝐿𝐼𝑁𝐸 𝑇𝐻𝑅𝐼𝐹𝑇 𝑆𝑇𝑂𝑅𝐸  𝐼𝑁 𝐿𝐴𝐺𝑂𝑆 
 ✨𝑊𝐸 𝑆𝑃𝐸𝐶𝐼𝐴𝐿𝐼𝑍𝐸 𝐼𝑁 𝐹𝐼𝑅𝑆𝑇 𝐺𝑅𝐴𝐷𝐸𝐷 𝐴𝑁𝐷 𝐸𝑋𝑄𝑈𝐼𝑆𝐼𝑇𝐸 𝑇𝐻𝐼𝐹𝑇 𝑊𝐸𝐴𝑅𝑆
 ✨ NATIONWIDE 𝐷𝐸𝐿𝐼𝑉𝐸𝑅𝑌
 @theokrikahubbackup 
owner:@mi_d.e</t>
  </si>
  <si>
    <t>https://linktr.ee/theokrikahub</t>
  </si>
  <si>
    <t>thriftbagsbyadunni89</t>
  </si>
  <si>
    <t>THRIFT BAGS IN LAGOS.</t>
  </si>
  <si>
    <t>🌼Quality and affordability guranteed
👑Sold over 5k bags to over 200+customers 
🌼Location:Lagos Badagry 
👑Slay and save
ORDER HERE 👇</t>
  </si>
  <si>
    <t>https://t.me/+cH8y2yn8c3E4NTM0</t>
  </si>
  <si>
    <t>thriftbyisell_ikeja</t>
  </si>
  <si>
    <t>THRIFT STORE IN LAGOS</t>
  </si>
  <si>
    <t>Thrift &amp; Consignment Store</t>
  </si>
  <si>
    <t>🕰️ Vintage &amp; Designer Thrift in Lagos
🛍️ One stop Thrift Bag Shop &amp; More
💸 Quality Okrika
🚚 Nationwide Delivery
✉️DM Us!
Branch- @thriftbyisell_lekki</t>
  </si>
  <si>
    <t>https://whatsapp.com/channel/0029VbApSwa2P59hyZ8bl337</t>
  </si>
  <si>
    <t>thriftbyisell_lekki</t>
  </si>
  <si>
    <t>THRIFT STORE IN LEKKI LAGOS</t>
  </si>
  <si>
    <t>🕰️ Vintage &amp; Designer Thrift in Lagos
🎩 Men’s thrift Clothing| Thrift Bags
💸 Quality Okrika
🚚 Nationwide Delivery
✉️DM Us!
Branch-@thriftbyisell_ikeja</t>
  </si>
  <si>
    <t>https://whatsapp.com/channel/0029VaDAxhq9MF94Nz0f0m2b</t>
  </si>
  <si>
    <t>thriftplugbyjokie</t>
  </si>
  <si>
    <t>THRIFT SELLER IN LAGOS</t>
  </si>
  <si>
    <t>✨Your luxury for less new/ preloved plug 📌
✨Dm to order 👇👇
✨Lagos based online store 📌
✨Nationwide delivery 🚚📦
  No refund ✍️</t>
  </si>
  <si>
    <t>http://wa.me/+2348160068920</t>
  </si>
  <si>
    <t>thriftshop_lane</t>
  </si>
  <si>
    <t>Affordable Thrift Lagos • Petite &amp; Plus Size</t>
  </si>
  <si>
    <t>Affordable women’s thrift • Sizes 6–26
From Petite to Plus Size • Lagos same-day pickup 
Nationwide delivery
DM or WhatsApp to order</t>
  </si>
  <si>
    <t>womenswear Dubai</t>
  </si>
  <si>
    <t>alalyastudio</t>
  </si>
  <si>
    <t>ALALYA Studio | Dubai Luxury Womenswear</t>
  </si>
  <si>
    <t>Dubai luxury womenswear: suits, dresses, skirts, accessories. UAE next-day Worldwide 1–3 days. alalyastudio.com</t>
  </si>
  <si>
    <t>http://alalyastudio.com</t>
  </si>
  <si>
    <t>womenswear Lagos</t>
  </si>
  <si>
    <t>omobindulgence</t>
  </si>
  <si>
    <t>WOMENSWEAR IN LAGOS| ANKARA~ADIRE CLOTHINGS~R2W~LUXURY FASHION</t>
  </si>
  <si>
    <t>Made To Order | R2W
Contemporary &amp; Versatile Fashion For Confident and Stylish  Women
BULK ORDER
We ship 🌎  in 7-10 working days
Shop via DM or link👇🏻</t>
  </si>
  <si>
    <t>accessories Accra</t>
  </si>
  <si>
    <t>affordable_luxuries_</t>
  </si>
  <si>
    <t>Authentic fashion accessories in Accra 🇬🇧🇺🇸</t>
  </si>
  <si>
    <t>Authentic Goods🔥 👜⌚️🕶 
Personal page @nanaakua_adjeiwaa 
Clothing page @tasselsofficial WhatsApp 0501091017 .</t>
  </si>
  <si>
    <t>accessories Nairobi</t>
  </si>
  <si>
    <t>nairobi.accessories.store</t>
  </si>
  <si>
    <t>Nairobi Accessories store</t>
  </si>
  <si>
    <t>Online store
✨Top Notch service
📞 0717844121
Pickup point Moi avenue Digital Mall shop F8  or Delivery</t>
  </si>
  <si>
    <t>barbershop Lagos</t>
  </si>
  <si>
    <t>gloradiance</t>
  </si>
  <si>
    <t>SHORT HAIR SALON IN LAGOS 🇳🇬/ FEMALE BARBER SHOP💈</t>
  </si>
  <si>
    <t>GLORADIANCE SALON We’re Open From SUN 2 MON. Only BY APPOINTMENT
To Book a slot Kindly Call our Phone or Send TEXT MESSAGE (SMS) to +2348066051984 🇳🇬</t>
  </si>
  <si>
    <t>https://www.facebook.com/Gloradiance/</t>
  </si>
  <si>
    <t>curly hair Tokyo</t>
  </si>
  <si>
    <t>curlyhair_tokyo</t>
  </si>
  <si>
    <t>カーリーパーマ/レディースパーマ/明治神宮前・原宿/KAIKI</t>
  </si>
  <si>
    <t>@haircut_parlor_orwell 
📍 渋谷区神宮前２-３１-７ ビラ・グロリアB1F
⚠️必ずハイライトみてからご予約ください⚠️
完全マンツーマン
大阪出張もしてます。
※ご予約はdm or urlから
お返事は12時間以内に必ずします。</t>
  </si>
  <si>
    <t>https://stekina.com/profile/YU9V-UU3B?stype=lp</t>
  </si>
  <si>
    <t>fashion trends Lagos</t>
  </si>
  <si>
    <t>lillas_trend</t>
  </si>
  <si>
    <t>𝐓𝐑𝐄𝐍𝐃𝐘 𝐅𝐄𝐌𝐀𝐋𝐄 𝐅𝐀𝐒𝐇𝐈𝐎𝐍 𝐎𝐍𝐋𝐈𝐍𝐄 𝐒𝐓𝐎𝐑𝐄 ✨ 𝐈𝐍 𝐋𝐀𝐆𝐎𝐒</t>
  </si>
  <si>
    <t>👉𝐖𝐨𝐦𝐞𝐧 𝐨𝐧𝐥𝐢𝐧𝐞 𝐟𝐚𝐬𝐡𝐢𝐨𝐧 𝐬𝐭𝐨𝐫𝐞 
👉𝐖𝐞 𝐡𝐞𝐥𝐩 𝐞𝐥𝐞𝐯𝐚𝐭𝐞 𝐲𝐨𝐮𝐫 𝐬𝐭𝐲𝐥𝐞🫶🏻 
👉𝐖𝐡𝐞𝐫𝐞 ”𝐪𝐮𝐚𝐥𝐢𝐭𝐲 𝐦𝐞𝐞𝐭𝐬 𝐚𝐟𝐟𝐨𝐫𝐝𝐚𝐛𝐥e”
👉𝐒𝐨𝐥𝐝 𝐭𝐨 𝐨𝐯𝐞𝐫 𝟐𝟎𝟎𝟎 𝐬𝐚𝐭𝐢𝐬𝐟𝐢𝐞𝐝 𝐜𝐮𝐬𝐭𝐨𝐦𝐞𝐫𝐬
👉𝐂𝐥𝐢𝐜𝐤 𝐥𝐢𝐧𝐤 𝐨𝐫 𝐃𝐦</t>
  </si>
  <si>
    <t>_trendsaddict__</t>
  </si>
  <si>
    <t>LAGOS FASHION STORE</t>
  </si>
  <si>
    <t>HIGH QUALITY WEARS(NEW &amp; THRIFT ) 
SOLD OVER 5000 BOYFRIENDSHORT 
WE HAVE REFUND AND EXCHANGE POLICY 
Owner @senamiii__ Building @rtw_by_ta</t>
  </si>
  <si>
    <t>https://trendsaddict.bumpa.shop</t>
  </si>
  <si>
    <t>handbags Tokyo</t>
  </si>
  <si>
    <t>atlantisvintagetokyo</t>
  </si>
  <si>
    <t>Atlantis Vintage Tokyo - Luxury Handbags</t>
  </si>
  <si>
    <t>⭐️Vintage luxury for you since ‘02, featured in VOGUE and FORBES!
⭐️Kōenji closed 7/20-8/31. Open at Hiroo Shibuya store!
⭐️Not affiliated w/ brands</t>
  </si>
  <si>
    <t>https://atlantisvintagetokyo.com/</t>
  </si>
  <si>
    <t>luxury Accra</t>
  </si>
  <si>
    <t>accra_luxury_apartments</t>
  </si>
  <si>
    <t>Accra Luxury Apartments</t>
  </si>
  <si>
    <t>Luxury and Modern Living || Apartments Tailored For Your Comfort || Short Stay || Long Stay.</t>
  </si>
  <si>
    <t>https://www.accra.luxury/</t>
  </si>
  <si>
    <t>closures_frontals_gh</t>
  </si>
  <si>
    <t>Luxury Hair Wholesale Shop in Accra</t>
  </si>
  <si>
    <t>📌Raw &amp; Luxury Hair Bundles 
📌Hair Accessories 
📌Factory Made WIGS
NO REFUNDS❌
Working ⏰ 8:30am-5pm
📍Westland, beside ABSA Bank
0244401962
👇🏼Order link</t>
  </si>
  <si>
    <t>dollydoll_wigxclusive_gh</t>
  </si>
  <si>
    <t>AFFORDABLE AND LUXURY HAIR SHOP IN ACCRA,GHANA 🇬🇭</t>
  </si>
  <si>
    <t>Wig Store</t>
  </si>
  <si>
    <t>NO FACEBOOK❌
🎀LUXURY HAIRS
🎀5000+ Satisfied Clients
🎀MON-SAT/8am-5pm
Sister shop @closures_frontals_gh 
📍Haatso Abrefi Plaza 
☎️0205821373
To Order👇🏿</t>
  </si>
  <si>
    <t>https://bit.ly/2V3heD9</t>
  </si>
  <si>
    <t>sugarhill_luxury_houses</t>
  </si>
  <si>
    <t>Accra Real Estate</t>
  </si>
  <si>
    <t>🏠𝙋𝙧𝙤𝙥𝙚𝙧𝙩𝙮 𝙎𝙖𝙡𝙚𝙨, 𝙍𝙚𝙣𝙩𝙖𝙡, 𝙎𝙝𝙤𝙧𝙩 𝙎𝙩𝙖𝙮𝙨, &amp; 𝘼𝙞𝙧𝘽𝙣𝘽
📚 𝘼𝙧𝙘𝙝𝙞𝙩𝙚𝙘𝙩𝙪𝙧𝙖𝙡 𝙇𝙞𝙗𝙧𝙖𝙧𝙮 &amp; 𝟥𝒟 𝑀♡𝒹𝑒𝓁𝒾𝓃𝑔
📍Accra-Ghana🇬🇭🇬🇭
0550400027</t>
  </si>
  <si>
    <t>thehairbundlsgh</t>
  </si>
  <si>
    <t>Matilda Annan . Luxury Hair Store Accra</t>
  </si>
  <si>
    <t>100% RAW DONOR HAIR 
GLUELESS READY TO WEAR WIGS
PROFESSIONAL WIGMAKING SERVICES
SHIPS 🌎
9am-7pm(Mon-Sat)
📍Nmai Dzorn Papafio Hills Road 
Tap to Shop👇</t>
  </si>
  <si>
    <t>wigs_by_priscy</t>
  </si>
  <si>
    <t>LUXURY HAIRS IN SPINTEX ACCRA</t>
  </si>
  <si>
    <t>LUXURY HAIRS , SALONS SERVICES 
🚚: WORLDWIDE SHIPPING,
📞0540173518
📍: Spintex, opposite/standard chartered bank</t>
  </si>
  <si>
    <t>luxury Nairobi</t>
  </si>
  <si>
    <t>vinefinishesltd</t>
  </si>
  <si>
    <t>Vine Finishes | Luxury Lighting &amp; Decor, Nairobi Kenya</t>
  </si>
  <si>
    <t>🌟 Exquisite Chandeliers &amp; Lighting| Nairobi 
🏡 Premium Home Decor Items &amp; services
📍 Showroom at Kijabe Street, Nairobi. 
📞 0786643921/ 0707363699</t>
  </si>
  <si>
    <t>http://wa.me/254786643921/</t>
  </si>
  <si>
    <t>windoor_star_curtains</t>
  </si>
  <si>
    <t>Luxury Curtains |Rods |Blinds |Motorized Rails |Nairobi</t>
  </si>
  <si>
    <t>Blinds &amp; Curtains Store</t>
  </si>
  <si>
    <t>🛑  𝐃𝐢𝐬𝐜𝐨𝐯𝐞𝐫 |𝐋𝐮𝐱𝐮𝐫𝐲 𝐁𝐥𝐚𝐜𝐤𝐨𝐮𝐭 |𝐂𝐮𝐫𝐭𝐚𝐢𝐧𝐬
🌸 Sheer Curtains | Curtain Rods | Motorized Rails
📞 𝐂𝐚𝐥𝐥: 𝟎𝟕𝟐𝟎 𝟏𝟏𝟏 𝟔𝟗𝟔 | 💬 DM for Inquiries</t>
  </si>
  <si>
    <t>luxury Tokyo</t>
  </si>
  <si>
    <t>tokyoluxury777</t>
  </si>
  <si>
    <t>@Tokyo Luxury</t>
  </si>
  <si>
    <t>👜 大人可愛いライフスタイルセレクト  
✨ トレンドバッグ &amp; デイリースタイル  
🚚 全国発送対応 / Tokyo base  
📩 DMまたはLINEでお問い合わせください
LINE：https://line.me/ti/p/yV4mSYeGpC</t>
  </si>
  <si>
    <t>makeup Accra</t>
  </si>
  <si>
    <t>felidavbeautystore</t>
  </si>
  <si>
    <t>MAKEUP,SKINCARE &amp; BEAUTY STORE IN ACCRA✨✨</t>
  </si>
  <si>
    <t>AUTHENTIC BEAUTY PRODUCTS 💯 
☎️0550907850
📍Dansoman, 13 bus stop- (9am to 7pm)
📌Closed on Thurs &amp; Sun
🚫Not affiliated with brands posted 
WhatsApp👇🏾</t>
  </si>
  <si>
    <t>ftlbeauty_</t>
  </si>
  <si>
    <t>MAKEUP ARTIST IN ACCRA</t>
  </si>
  <si>
    <t>📞 0209420960 
💄 Brides• Events• Shoots
💄 Unique Eyes &amp; Radiant Skin 
💄 All skin tones are welcome👌🏿👌🏾👌🏽👌🏼👌🏻
Available to travel ✈️
Book Here 👇🏽</t>
  </si>
  <si>
    <t>https://www.fresha.com/book-now/ftl-beauty-studio-qr6c0aw4/services?lid=709952&amp;pId=666756</t>
  </si>
  <si>
    <t>luxyglam_beauty</t>
  </si>
  <si>
    <t>Timeless looks for YOU!
BRIDAL• ALL EVENTS• TRAININGS 
Available to travel ✈️ 
Inquire/Book with link below 👇🏻</t>
  </si>
  <si>
    <t>make-up artist Lagos</t>
  </si>
  <si>
    <t>debbysez</t>
  </si>
  <si>
    <t>MAKE UP ARTIST IN LAGOS</t>
  </si>
  <si>
    <t>🦋Bridal Make up artist and Educator
🦋Soft glam 
🦋Make up classes available
☎️ 08020775803 
08058428282</t>
  </si>
  <si>
    <t>http://wa.me/2348020775803/</t>
  </si>
  <si>
    <t>makeup Nairobi</t>
  </si>
  <si>
    <t>marirabeauty</t>
  </si>
  <si>
    <t>PERMAMENT MAKEUP NAIROBI 🇰🇪 KENYA</t>
  </si>
  <si>
    <t>🖊 BROWS (Strokes/Shading/Combo) and LIPS 👄 🖊
📱 +254769937737
🕋 Private Studio. By Appointment only
💵 Click highlight titled PRICELIST for prices</t>
  </si>
  <si>
    <t>https://linktr.ee/marirabeauty</t>
  </si>
  <si>
    <t>moda Nairobi</t>
  </si>
  <si>
    <t>nairobiclothingoficial</t>
  </si>
  <si>
    <t>Moda Masculina | Casual e Esporte Fino</t>
  </si>
  <si>
    <t>Uma boa aparência abre portas e fecha negócios 🤝
📍Av. Marechal Floriano Peixoto, 5573 - Hauer. Curitiba - Pr
🌐 Descubra mais clicando no link 👇</t>
  </si>
  <si>
    <t>https://linktr.ee/nairobiclothing</t>
  </si>
  <si>
    <t>nails Accra</t>
  </si>
  <si>
    <t>beautysupplybychicup</t>
  </si>
  <si>
    <t>MICROBLADING, SPA , TATTOO, NAILS , LASH SUPPLIES IN ACCRA GHANA</t>
  </si>
  <si>
    <t>#spmu
Serving 20,000+ clients &amp; still counting
Microblading | Lashes | Nails | Spa | Tattoo Tools
📍 Accra, Ghana lakeside 
DM or WhatsApp to order ⬇️</t>
  </si>
  <si>
    <t>gigibeautybar</t>
  </si>
  <si>
    <t>GIGI BEAUTY| BIAB Nails | Pedicure| Lashes| Salon Accra</t>
  </si>
  <si>
    <t>FIRST EVER Non Toxic Nail Salon Ghana
•CLEANER •SAFER •BEAUTY🌱
Hema and TPO free 
📍Airport Residential 
📍Cantonments</t>
  </si>
  <si>
    <t>https://linktr.ee/gigibeautybar</t>
  </si>
  <si>
    <t>nails Nairobi</t>
  </si>
  <si>
    <t>black_ink_nail_lab_nairobi</t>
  </si>
  <si>
    <t>Black-ink Nails Nairobi</t>
  </si>
  <si>
    <t>technician : Wycliffe 
CEO @allure_nails_and_hair_studio 
Location apple wood Ngong road 
Suite 105
Service 
Acrylic 
Ovalays 
Russian manicure
Pedi</t>
  </si>
  <si>
    <t>melaki_nailbar</t>
  </si>
  <si>
    <t>Acylics Nails, Overlay nails,Builder Gel Nails. NAIROBI</t>
  </si>
  <si>
    <t>🤍 Home of Trendy Designs &amp; Luxurious Care💅
🤍 we do walk ins and appointments 💯
🤍Beba beba trade center 1st floor suite F33📍
🤍0792261213📲💬</t>
  </si>
  <si>
    <t>nairobinails</t>
  </si>
  <si>
    <t>Nairobi nails</t>
  </si>
  <si>
    <t>•Esculpidas en GEL
•Kapping
•Semipermanente
•Solo con cita previa 
📥 Turnos y consultas al mensaje directo</t>
  </si>
  <si>
    <t>nairobinailspty</t>
  </si>
  <si>
    <t>𝑵𝒂𝒊𝒍𝒔 by Nairobi</t>
  </si>
  <si>
    <t>NAILS ART ✨Luce Manos  💅 hermosas✨
POLYGEL | Rubber | Mani &amp; Pedy EDUCADOR Instructor 
@mashaprofesional   PIDE tu CITA 🕛9 a 6
📍HOME STUDIO</t>
  </si>
  <si>
    <t>http://wa.me/50761111458</t>
  </si>
  <si>
    <t>urbannailske</t>
  </si>
  <si>
    <t>NAIROBI,KENYA BEST NAILS</t>
  </si>
  <si>
    <t>WALK IN ACCEPTED
Westfield_mall gitanga Road 0799792347
Marsabit plaza shop u12 0763856711
Kikuyu 0718890680
Monday-saturday 7am-8pm
Sundays 10am -6pm</t>
  </si>
  <si>
    <t>nails Tokyo</t>
  </si>
  <si>
    <t>yukamizz</t>
  </si>
  <si>
    <t>NAILS by YUKA♡tokyo♡</t>
  </si>
  <si>
    <t>NailArtist💅🏻Tokyo
渋谷にあるプライベートサロンです♡
9月、10月
ご予約受付中です♡
・
・
名古屋サロン💐
10/1〜10/5
ご案内できます✭
・
・
🌜ご予約は下記リンクからお願いいたします🌿</t>
  </si>
  <si>
    <t>https://lit.link/nailsbyyuka</t>
  </si>
  <si>
    <t>ootd Tokyo</t>
  </si>
  <si>
    <t>tokyootd</t>
  </si>
  <si>
    <t>MAY’S STYLE DIARY</t>
  </si>
  <si>
    <t>🍒🍸🪩</t>
  </si>
  <si>
    <t>https://pin.it/54bTYsU</t>
  </si>
  <si>
    <t>perfume Accra</t>
  </si>
  <si>
    <t>kcollectionsgh</t>
  </si>
  <si>
    <t>PERFUME SHOP IN ACCRA 🇬🇭</t>
  </si>
  <si>
    <t>🚫Not Affiliated to brands posted 🚫
AVON | FRAGRANCE WORLD | LATTAFA</t>
  </si>
  <si>
    <t>https://linktr.ee/kcollectionsghana</t>
  </si>
  <si>
    <t>perfume_girl_gh</t>
  </si>
  <si>
    <t>No.1 Online Perfume Shop in Accra🇬🇭  24/7</t>
  </si>
  <si>
    <t>Free 🎁 wrapping on request 
GIFT  PACKAGES 
SCENTS AND GIFTS 🎁 
📍Ghana 🇬🇭🏅CERTIFIED SHOP
  Message links👇🏼/ ☎️ 0505802919</t>
  </si>
  <si>
    <t>http://wa.me/505802919</t>
  </si>
  <si>
    <t>perfume__goddess_</t>
  </si>
  <si>
    <t>Perfume Shop in Kwabenya Accra - Perfume Goddess 🇬🇭</t>
  </si>
  <si>
    <t>👑 A wide range of exquisite fragrances for all tastes and occasions. Indulge in our curated collection of high-end perfumes 💎
------👇👇👇------</t>
  </si>
  <si>
    <t>https://wa.link/g2n2im</t>
  </si>
  <si>
    <t>scentedluxury__gh</t>
  </si>
  <si>
    <t>𝑷𝑬𝑹𝑭𝑼𝑴𝑬 𝑹𝑬𝑻𝑨𝑰𝑳 𝑺𝑻𝑶𝑹𝑬 𝑰𝑵 𝑨𝑪𝑪𝑹𝑨, 𝑮𝑯</t>
  </si>
  <si>
    <t>✨Lattafa|Fragrance world|Mini perfumes | Avon|Splashes. Delivery and pickup available 
✨𝑶𝒓𝒊𝒈𝒊𝒏𝒂𝒍𝒔 𝒐𝒏𝒍𝒚
.   NB// NOT AFFILIATED TO BRANDS POSTED.</t>
  </si>
  <si>
    <t>perfume Nairobi</t>
  </si>
  <si>
    <t>scentastic.perfumes</t>
  </si>
  <si>
    <t>Scentastic Perfumes, Nairobi</t>
  </si>
  <si>
    <t>For all your Perfume &amp; Beauty essentials 💯
📥 or ☎️ 0724 809 899 | 0732 54 55 55
🚛 Free Delivery nationally 
💵 Cash on Delivery*</t>
  </si>
  <si>
    <t>skincare Accra</t>
  </si>
  <si>
    <t>nickchels.skincare</t>
  </si>
  <si>
    <t>Skincare products, Accra</t>
  </si>
  <si>
    <t>We are your skincare partner. 
Organic skincare products. 
No Refund 
Worldwide Delivery🌍
Wholesale &amp; Retail. 
☎️:   +233246430843 /0203808256</t>
  </si>
  <si>
    <t>http://nickchelsskincare.co.uk/</t>
  </si>
  <si>
    <t>skincare Nairobi</t>
  </si>
  <si>
    <t>knightsskincare254</t>
  </si>
  <si>
    <t>KNIGHTsSKINCARE COSMEDICAL CLINIC Nairobi Kenya</t>
  </si>
  <si>
    <t>We are your best bet in Personalized skincare treatment. Appointments ☎️ +254714667041 📍BBS MALL EASTLEIGH (Lower ground floor)</t>
  </si>
  <si>
    <t>http://tiktok.com/@knightsskincare254</t>
  </si>
  <si>
    <t>skincare Tokyo</t>
  </si>
  <si>
    <t>hadalabotokyo_uki</t>
  </si>
  <si>
    <t>Hada Labo Tokyo UKI | Japan’s No.1 Skincare Line</t>
  </si>
  <si>
    <t>As seen in Vogue 🪭
Cleanse, Hydrate, Moisturise💧
#HydrateWithHadaLabo 🌸</t>
  </si>
  <si>
    <t>https://widgit.bio/hadalabo</t>
  </si>
  <si>
    <t>tokyo.skin_</t>
  </si>
  <si>
    <t>𝐓𝐎𝐊𝐘𝐎 𝐒𝐊𝐈𝐍𝐂𝐀𝐑𝐄 🐝</t>
  </si>
  <si>
    <t>Strictly Authentic skincare products 
Feel a new beauty experience
🦅Inquiries call +256705985219</t>
  </si>
  <si>
    <t>tokyo.zebra</t>
  </si>
  <si>
    <t>Maiko | Japan Mom ✴︎ Anti-Aging Skincare</t>
  </si>
  <si>
    <t>🎥 I make videos [Youtube 3.6M | Facebook 1.1M]
🎀 Beauty ✴︎ Travel ✴︎ Mom Life in Tokyo
お仕事依頼はDMまで😊</t>
  </si>
  <si>
    <t>https://youtube.com/@paolofromtokyo</t>
  </si>
  <si>
    <t>sneakers Nairobi</t>
  </si>
  <si>
    <t>nairobi.sneakers</t>
  </si>
  <si>
    <t>NAIROBI SNEAKERS</t>
  </si>
  <si>
    <t>To order;
📠 WHATSAPP +254 798542232
📌Payments done on delivery! 
Tiktok  handle ; nairobi_sneakers
        📍We do not represent any brand</t>
  </si>
  <si>
    <t>street style Nairobi</t>
  </si>
  <si>
    <t>nairobistreetstyle</t>
  </si>
  <si>
    <t>Nairobi Street Style</t>
  </si>
  <si>
    <t>Magazine of Art, Culture, Events, Music and Fashion
Showcasing Nairobi in a different way 
Follow, tag &amp; #NairobiStreetStyle for a feature
👇🏿 Click</t>
  </si>
  <si>
    <t>http://www.nairobistreetstyle.co.ke/</t>
  </si>
  <si>
    <t>thrift Nairobi</t>
  </si>
  <si>
    <t>clothe.nairobi</t>
  </si>
  <si>
    <t>nairobi thrift store</t>
  </si>
  <si>
    <t>Tommboya street(nairobi kenya🇰🇪)
📍RASUMAL HSE SHOP NO 2F 23 (2nd floor)
"Nothing haunts us like things we didn't buy"
 ☎️0718861728/0705560126</t>
  </si>
  <si>
    <t>nairobi_thrift</t>
  </si>
  <si>
    <t>nairobi bodysuits, bikinis 254</t>
  </si>
  <si>
    <t>ᴛʜʀɪꜰᴛ ꜱʜᴏᴘ
X UK styles
physical Shop :𝑰𝒎𝒆𝒏𝒕𝒊 Z7
𝙉𝙖𝙞𝙧𝙤𝙗𝙞 𝙦𝙪𝙞𝙘𝙠 𝙨𝙖𝙢𝙚 𝙙𝙖𝙮 𝙙𝙚𝙡𝙞𝙫𝙚𝙧𝙮 
we send parcels across east Africa</t>
  </si>
  <si>
    <t>http://wa.link/qsmb6l</t>
  </si>
  <si>
    <t>slay_in_thrift_kenya</t>
  </si>
  <si>
    <t>Nguo Affordable Nairobi</t>
  </si>
  <si>
    <t>Thrifted♻️
Daily delivery(Charged) 
Pickup delivery Wed &amp; Sat morning
Owner👇
@thrift_shoes_kenya
@the_kulture_thriftshop
NO RETURNS/REFUNDS/EXCHANGES</t>
  </si>
  <si>
    <t>https://chat.whatsapp.com/FHXjOlkPWNsBhZ5roho64Y</t>
  </si>
  <si>
    <t>thriftsocialnairobi</t>
  </si>
  <si>
    <t>Thrift Social Nairobi</t>
  </si>
  <si>
    <t>A community providing a platform for creativity and the exploration of fashion and music.</t>
  </si>
  <si>
    <t>https://thriftsocial.hustlesasa.shop/?product=51904</t>
  </si>
  <si>
    <t>thriftwithmueni</t>
  </si>
  <si>
    <t>THRIFTSHOP (Nairobi,KE🇰🇪)</t>
  </si>
  <si>
    <t>THRIFTWITHMUENI ORGINALS/THRIFTWITHMUENI SELECT/BYMUENI
(Read highlight)
UK SIZES
NOT AFFILIATED WITH ANY BRAND!
Delivery countrywide
 📩/📞0702740441</t>
  </si>
  <si>
    <t>https://chat.whatsapp.com/DVnf4JbONeYA33CgzxIv3v</t>
  </si>
  <si>
    <t>thrift Tokyo</t>
  </si>
  <si>
    <t>thrift_tokyo</t>
  </si>
  <si>
    <t>Thrift tokyo /スリフト・トーキョー</t>
  </si>
  <si>
    <t>アメリカから仕入れたグッドレギュラーからVINTAGE等様々なラインナップを取り揃えてます。　
東京都世田谷区北沢2-29-3
オンラインショップ、YouTubeはリンクからご覧下さい。
系列店 @thrift_tokyo_outlet 
lady's @thrift_tokyo.ladies</t>
  </si>
  <si>
    <t>https://youtube.com/@thrifttokyotoru5088?si=L2PRSwN7x8eTN4U1</t>
  </si>
  <si>
    <t>accessories Tokyo</t>
  </si>
  <si>
    <t>toki.tokyo.accessories</t>
  </si>
  <si>
    <t>toki.Tokyo _Accessories</t>
  </si>
  <si>
    <t>🫧toki.Tokyo東京飾品，打造獨一無二的飾品配件
.
📍門市
台北市大同區赤峰街71巷1號
營業時間:平日11~20、假日12~21
.
📍寄售
華山未來市
台北市中正區八德路一段1號</t>
  </si>
  <si>
    <t>https://crafttokyo.shoplineapp.com/</t>
  </si>
  <si>
    <t>tokyo_accessories</t>
  </si>
  <si>
    <t>TOKYO_ACCESSORİES</t>
  </si>
  <si>
    <t>by SÜMEYYE
⛓️‍💥 Çelik Takılar
📍 İstanbul / Bahceşehir
🛒 Sipariş : https://www.shopier.com/tokyo_accessoires
📩 Dm'den ulaşabilirsiniz.</t>
  </si>
  <si>
    <t>https://www.shopier.com/tokyo_accessoires</t>
  </si>
  <si>
    <t>tokyo____town</t>
  </si>
  <si>
    <t>𝐂𝐀𝐑  𝐀𝐂𝐂𝐄𝐒𝐒𝐎𝐑𝐈𝐄𝐒 |  𝐓𝐑𝐔𝐒𝐓𝐄𝐃 | 𝐌𝐀𝐆𝐀𝐑𝐈</t>
  </si>
  <si>
    <t>🫱🏽‍🫲🏾:|𝐉𝐔𝐌𝐋𝐀 𝐍𝐀 𝐑𝐄𝐉𝐀𝐑𝐄𝐉𝐀|
☎️ : 𝟶𝟽𝟷𝟿𝟷𝟿𝟷𝟽𝟷𝟶</t>
  </si>
  <si>
    <t>barbershop Seoul</t>
  </si>
  <si>
    <t>billycatbarbershopseoul</t>
  </si>
  <si>
    <t>𝕭𝖎𝖑𝖑𝖞𝖈𝖆𝖙𝖇𝖆𝖗𝖇𝖊𝖗𝖘𝖍𝖔𝖕𝖘𝖊𝖔𝖚𝖑 빌리캣바버샵</t>
  </si>
  <si>
    <t>@billycatbarbershopseoul 
@billycatbarbershopyongsan 
@billycat_barberschool 
@hothands__official 🇰🇷 ambassador</t>
  </si>
  <si>
    <t>https://www.youtube.com/channel/UCUFFOJJznwNx62ZKdum3bSw</t>
  </si>
  <si>
    <t>slumdogbarbershop</t>
  </si>
  <si>
    <t>용산바버샵 이태원바버샵 English speaking barbershop seoul | fade tape</t>
  </si>
  <si>
    <t>♦️Appointment
☎070-7804-0427. 
🔥OPEN EVERY DAYS
@slumdogbarberACADEMY</t>
  </si>
  <si>
    <t>https://m.place.naver.com/hairshop/38544201/home?entry=plt</t>
  </si>
  <si>
    <t>high heels Seoul</t>
  </si>
  <si>
    <t>lisa_inkorea</t>
  </si>
  <si>
    <t>리사 선생님 | HIGH HEELS•TWERK SEOUL 🇰🇷</t>
  </si>
  <si>
    <t>Choreographer</t>
  </si>
  <si>
    <t>@7hillsdancestudio EVERY SAT 6:20PM
하이힐이랑 트워킹 가르치는 서양 언니
Русский аккаунт @lisa.classes
team @boo.lit__official</t>
  </si>
  <si>
    <t>luxury Hong Kong</t>
  </si>
  <si>
    <t>dcwatch_hk</t>
  </si>
  <si>
    <t>𝐋𝐮𝐱𝐮𝐫𝐲 𝐖𝐚𝐭𝐜𝐡 &amp; 𝐉𝐞𝐰𝐞𝐥𝐥𝐞𝐫𝐲 𝐓𝐫𝐚𝐝𝐢𝐧𝐠 | 𝐇𝐨𝐧𝐠 𝐊𝐨𝐧𝐠 🇭🇰</t>
  </si>
  <si>
    <t>高價徵收以下品牌名錶
❗️ROLEX｜AP｜PP｜RM❗️
💰現金即時交
- - -
📍尖沙咀門市設有驗錶服務，歡迎查詢（只接受預約）
✦ Cash / Paypal / Payme / FPS / Credit Card
✦ 香港註冊公司，只接受正貨買賣
✦ 不接受換貨或退貨</t>
  </si>
  <si>
    <t>ones_vintageluxury</t>
  </si>
  <si>
    <t>𝐨𝐧𝐞𝐬.𝐯𝐢𝐧𝐭𝐚𝐠𝐞 正品名牌寄賣│𝐇𝐨𝐧𝐠 𝐊𝐨𝐧𝐠 𝐋𝐮𝐱𝐮𝐫𝐲 𝐒𝐭𝐨𝐫𝐞👜 │𝐬𝐢𝐧𝐜𝐞 𝟐𝟎𝟏𝟗</t>
  </si>
  <si>
    <t>🇭🇰ʜᴋ &amp; 🇸🇬ꜱɢ ʀᴇɢɪꜱᴛᴇʀᴇᴅ ᴄᴏᴍᴘᴀɴʏ 
🏠ꜱᴛᴏʀᴇꜱ ɪɴ🇭🇰🇸🇬🇦🇪 | ʙʏ ᴀᴘᴘᴏɪɴᴛᴍᴇɴᴛ 
 🎯 100% ᴀᴜᴛʜᴇɴᴛɪᴄ ɢᴜᴀʀᴀɴᴛᴇᴇᴅ 
📩 ᴅᴍ ꜰᴏʀ ɪɴQᴜɪʀɪᴇꜱ | 🌍ᴡᴏʀʟᴅᴡɪᴅᴇ ꜱʜɪᴘᴘɪɴɢ</t>
  </si>
  <si>
    <t>https://www.onesvintage.com</t>
  </si>
  <si>
    <t>luxury Shanghai</t>
  </si>
  <si>
    <t>livnshanghai</t>
  </si>
  <si>
    <t>Luxury Apartments in Shanghai</t>
  </si>
  <si>
    <t>Service Apartments</t>
  </si>
  <si>
    <t>LIV’N Residences is an upscale rental housing brand developed by Greystar, the group's first residential brand in China.</t>
  </si>
  <si>
    <t>http://livn.greystar.cn/833</t>
  </si>
  <si>
    <t>make-up artist Tokyo</t>
  </si>
  <si>
    <t>makeupbycacayrkhs</t>
  </si>
  <si>
    <t>Makeup Artist Tokyo - Japan MUA🇯🇵</t>
  </si>
  <si>
    <t>📍Indonesian MUA in Tokyo, Japan🇯🇵 (since 2017)
————————————
🔻Business Inquiries &amp; Pricelist  
👇🏻Class, Reguler &amp; Wedding | Click link below☎️👇🏻</t>
  </si>
  <si>
    <t>https://msha.ke/callalilyproject</t>
  </si>
  <si>
    <t>makeup Hong Kong</t>
  </si>
  <si>
    <t>megumisofficial</t>
  </si>
  <si>
    <t>Hong Kong Makeup Artist | Megumi Sekine</t>
  </si>
  <si>
    <t>HK Makeup Artist | Beauty Content Creator 
💌glambymegumi@gmail.com</t>
  </si>
  <si>
    <t>http://www.megumisekine.com/</t>
  </si>
  <si>
    <t>makeup Osaka</t>
  </si>
  <si>
    <t>vittorosaka</t>
  </si>
  <si>
    <t>Vittor Osaka Makeup</t>
  </si>
  <si>
    <t>RJ/MG/SP
Formação:
Colorist @lorealprobr 🇧🇷
wedding makeup. @makeupbymario 🇺🇸
 Personal Hairdresser @toniandguybrasil 🇬🇧
@alexandredeparis_official 🇫🇷</t>
  </si>
  <si>
    <t>moda Hong Kong</t>
  </si>
  <si>
    <t>modachina002</t>
  </si>
  <si>
    <t>Kong lu</t>
  </si>
  <si>
    <t>we’re from china&amp;wholesale,we can send orders all over the world, pls message us (Somos de China y mayoristas, podemos enviar pedidos a todo el mundo)</t>
  </si>
  <si>
    <t>https://swtrade.en.alibaba.com/</t>
  </si>
  <si>
    <t>moda Shanghai</t>
  </si>
  <si>
    <t>shanghai.moda</t>
  </si>
  <si>
    <t>SHANGHAI MODA | SHEIN | ROPA</t>
  </si>
  <si>
    <t>🛒VENTAS AL MAYOR Y AL DETAL DE ROPA SHEIN  
🛍️Damas | Caballeros | Niños
👛Accesorios | Calzados
👩🏽‍💻Importadores Directo 
🚚Envíos a Nivel Nacional</t>
  </si>
  <si>
    <t>https://bit.ly/m/SHANGHAIMODA</t>
  </si>
  <si>
    <t>ootd Seoul</t>
  </si>
  <si>
    <t>ootd_seoul_official</t>
  </si>
  <si>
    <t>OOTD Seoul</t>
  </si>
  <si>
    <t>Life is short wear whatever you want
오오티디서울 공식 계정
서울 스트릿패션의 모든 것 TikTok 70k+
비즈니스 문의 Business Inquiries 📩 ootdseoulofficial@gmail.com</t>
  </si>
  <si>
    <t>https://linktr.ee/ootdseoul</t>
  </si>
  <si>
    <t>red_as_arose</t>
  </si>
  <si>
    <t>ʀᴏsᴇ | ootd | 패션모델 | 서울핫플 | 패션계정맞팔</t>
  </si>
  <si>
    <t>✨인곧베(인친은 곧 베스트프렌드)✨/ 📩맞팔,협찬 DM</t>
  </si>
  <si>
    <t>https://www.tiktok.com/@red_as_rose0?_t=8qtQEUQEjUP&amp;_r=1</t>
  </si>
  <si>
    <t>perfume Osaka</t>
  </si>
  <si>
    <t>charmeperfumesmarilia</t>
  </si>
  <si>
    <t>CHARME PERFUMES IMPORTADOS EM MARÍLIA - OSAKA ME</t>
  </si>
  <si>
    <t>A ESCOLHA DOS APAIXONADOS POR PERFUMES EM MARÍLIA-SP
🏅17 anos de confiança e atendimento atencioso
📍Loja física + envios nacionais
Whatsapp ⤵️</t>
  </si>
  <si>
    <t>http://beacons.ai/charmeperfumes</t>
  </si>
  <si>
    <t>skincare Hong Kong</t>
  </si>
  <si>
    <t>pretti5_hk</t>
  </si>
  <si>
    <t>Botanic Pretti5 l Clean Skincare l Hong Kong 🇭🇰</t>
  </si>
  <si>
    <t>🤟🏻On @sephorahk @cathayshop 
💖Sensitive Skin 🍀Vegan 🐰Cruelty Free
🏆Award Winning 🇯🇵Made in Japan</t>
  </si>
  <si>
    <t>https://linktr.ee/botanic.pretti5</t>
  </si>
  <si>
    <t>sneakers Hong Kong</t>
  </si>
  <si>
    <t>nabwork</t>
  </si>
  <si>
    <t>12年老店❤️‍🔥Largest Sneaker Collection in Hong Kong⚡️</t>
  </si>
  <si>
    <t>🔥網站會員滿$800免運🚚
過千款現貨波鞋🛒舊款預訂🎶
特價場 @nab_outlet 
旺角西洋菜南街百寶利商業中心11樓
Everyday⚠️11:30-20:30
正版正貨2014-2025
☎️ 2711-3883
WhatsApp 查詢/購買👇🏻</t>
  </si>
  <si>
    <t>https://www.nabwork.hk</t>
  </si>
  <si>
    <t>wear43way</t>
  </si>
  <si>
    <t>Sneaker &amp; Apparel Collection in Hong Kong 香港波鞋潮服</t>
  </si>
  <si>
    <t>📍旺角百寶利商業中心11樓01室
🏠2015年成立, 「正版正貨承諾2024」編號2024275
🕐營業時間: 13:00 - 21:00
📲點擊網店連結 或Whatsapp查詢</t>
  </si>
  <si>
    <t>http://www.wear43way.com/</t>
  </si>
  <si>
    <t>sneakers Tokyo</t>
  </si>
  <si>
    <t>sneakersnstuff.tokyo</t>
  </si>
  <si>
    <t>SNS Tokyo / SNS CAFÉ TOKYO</t>
  </si>
  <si>
    <t>http://sneakersnstuff.com</t>
  </si>
  <si>
    <t>streetwear Hong Kong</t>
  </si>
  <si>
    <t>kong_streetwear</t>
  </si>
  <si>
    <t>Kong Store</t>
  </si>
  <si>
    <t>Independent since 87’
#kongcv1</t>
  </si>
  <si>
    <t>http://www.kongonline.co.uk</t>
  </si>
  <si>
    <t>tradepoint</t>
  </si>
  <si>
    <t>🇭🇰香港•九龍•旺角•信和•潮流服飾•STREETWEAR IN HONG KONG</t>
  </si>
  <si>
    <t>EST. 2014
🛍𝗦𝘂𝗽𝗿𝗲𝗺𝗲 / 𝗣𝗮𝗹𝗮𝗰𝗲 / 𝗛𝘂𝗺𝗮𝗻 𝗠𝗮𝗱𝗲 / 𝗦𝘁𝘂𝘀𝘀𝘆 / 𝗪𝘁𝗮𝗽𝘀
.
🇭🇰旺角彌敦道信和中心8樓804室
.
🈺MON-SUN : 13:00-21:00
.
⬇️Click Link🔗WhatsApp📲Online Store🛒⬇️</t>
  </si>
  <si>
    <t>https://tradepointhk.com</t>
  </si>
  <si>
    <t>thrift Hong Kong</t>
  </si>
  <si>
    <t>asianangel_hk</t>
  </si>
  <si>
    <t>歐美二手衫舖頭🐲Hong Kong Thrift Store</t>
  </si>
  <si>
    <t>📍Pop Up Shop: 尖沙咀慶芳商場 Heath Mall
二手時裝｜歐美穿搭｜環保🌈
✩
Stay Pretty,Stay Eco-friendly💖
「一齊做自信歐美風女孩！」
［買衫update在story!!]
✩
•舊衣捐贈♻️
Founder：@smile_bell_</t>
  </si>
  <si>
    <t>https://maps.app.goo.gl/CisLbh422dBr76KC7?g_st=com.google.maps.preview.copy</t>
  </si>
  <si>
    <t>thrift Seoul</t>
  </si>
  <si>
    <t>seoulthrift_ph</t>
  </si>
  <si>
    <t>Seoul Thrift PH</t>
  </si>
  <si>
    <t>🔔 𝐔𝐩𝐜𝐨𝐦𝐢𝐧𝐠 𝐜𝐨𝐥𝐥 ~ June 14 • Sat, 3pm
🌿 HQ tops, dress, jackets
🌿 ORDER FORM HERE ➡️ @seoulthrift_phv3</t>
  </si>
  <si>
    <t>womenswear Tokyo</t>
  </si>
  <si>
    <t>tokyofoxtrot</t>
  </si>
  <si>
    <t>TOKYO FOXTROT | Australian Womenswear</t>
  </si>
  <si>
    <t>Australian Luxury Women’s Fashion 
Your destination for classic, dramatic &amp; unapologetically bold elegance. 
FREE SHIPPING | AFTERPAY AVAILABLE</t>
  </si>
  <si>
    <t>https://www.tokyofoxtrot.com/collections/new-arrivals</t>
  </si>
  <si>
    <t>accessories Bangkok</t>
  </si>
  <si>
    <t>bangkokbootery.accessories</t>
  </si>
  <si>
    <t>Bangkok Bootery Accessories</t>
  </si>
  <si>
    <t>Lifestyle exotic world. Better for your life</t>
  </si>
  <si>
    <t>http://bangkokbootery.com/</t>
  </si>
  <si>
    <t>gw.bangkok.accessories</t>
  </si>
  <si>
    <t>leris.bangkok</t>
  </si>
  <si>
    <t>Accessories / Rings</t>
  </si>
  <si>
    <t>(เลอ-ริส)
Line : @lerisbangkok 
ใส่@ด้านหน้า
📍สินค้าพร้อมส่ง
▫️Premium Rings/Jewelry
▫️Chic | Classy | Elegant 
▫️Wholesale | Retail</t>
  </si>
  <si>
    <t>https://instabio.cc/4053011V7ln9s</t>
  </si>
  <si>
    <t>napbangkok</t>
  </si>
  <si>
    <t>Accessories Premium Grade</t>
  </si>
  <si>
    <t>line id : @napbangkok (with)
Located at
📍ร้าน fys ภูเก็ต
สั่งซื้อออนไลน์/สอบถามเพิ่มเติม คลิ๊กด้านล่าง 👇🏻</t>
  </si>
  <si>
    <t>http://goo.gl/ZwdSGr</t>
  </si>
  <si>
    <t>wish_bangkok</t>
  </si>
  <si>
    <t>Necklace / Accessories</t>
  </si>
  <si>
    <t>🔹Premium Accessories
🔹Retail &amp; Wholesaler 
🔹Line ID : @wish_bangkok
Or click link as below</t>
  </si>
  <si>
    <t>http://bit.ly/2hktjN1</t>
  </si>
  <si>
    <t>accessories Jakarta</t>
  </si>
  <si>
    <t>jakarta_camera</t>
  </si>
  <si>
    <t>𝗣𝗥𝗘𝗠𝗜𝗨𝗠 𝗖𝗔𝗠𝗘𝗥𝗔 𝗔𝗖𝗖𝗘𝗦𝗦𝗢𝗥𝗜𝗘𝗦 𝗦𝗧𝗢𝗥𝗘 [BUY | UPGRADE | REPAIR]</t>
  </si>
  <si>
    <t>@babe_jakcam #jakartacamera #jakcamers
☎️ : 021-58354635/ WA : +6281367808989
👇 🅲🅻🅸🅲🅺 🅷🅴🆁🅴 👇</t>
  </si>
  <si>
    <t>https://linktr.ee/jakartacamera</t>
  </si>
  <si>
    <t>accessories Mumbai</t>
  </si>
  <si>
    <t>a2z_car_accessories</t>
  </si>
  <si>
    <t>A2Z Car Accessories | Navi Mumbai ( NERUL )</t>
  </si>
  <si>
    <t>Automotive Restoration Service</t>
  </si>
  <si>
    <t>CAR  DECOR  !! 🚗 
OWNER - @taiyab.q 
ALL TYPES OF CAR 𝗠ODIFICATIONS &amp; 𝗗ETAILING 🛠️ 
📞 9167864447/9022264447</t>
  </si>
  <si>
    <t>https://www.youtube.com/@A2Z_Car_Accessories/</t>
  </si>
  <si>
    <t>accessories Singapore</t>
  </si>
  <si>
    <t>ladynjewelry</t>
  </si>
  <si>
    <t>Brooch &amp; Hijab Accessories Singapore</t>
  </si>
  <si>
    <t>✨ Bringing brooches back in style since 2017
📦 Free local shipping above $70
🌷 ONLINE 24/7 • STOCKISTS
🛒 Shop👇🏼</t>
  </si>
  <si>
    <t>https://www.ladynjewelry.com</t>
  </si>
  <si>
    <t>barbershop Bangkok</t>
  </si>
  <si>
    <t>gclub_bangkok</t>
  </si>
  <si>
    <t>Gclub bangkok barbershop  💈🇹🇭</t>
  </si>
  <si>
    <t>⏰open 11.00am - 8pm 
📍Sukhumvit 18  bangkok  Thailand 
📲 Appointment 🗺️ location  click 👇👇</t>
  </si>
  <si>
    <t>https://lin.ee/GkEFzj2</t>
  </si>
  <si>
    <t>lil_maxz</t>
  </si>
  <si>
    <t>Lilmaxz / gclub bangkok barbershop</t>
  </si>
  <si>
    <t>💇🏻‍♂️My name is Maxz
🕦 11.00am-8pm ❌Day off Tuesday Wednesday 🇹🇭
📲Only appointment  
💈owner/barber @gclub_bangkok 
🎖️Professional barber</t>
  </si>
  <si>
    <t>https://linktr.ee/lil_maxz</t>
  </si>
  <si>
    <t>beauty reviews  Jakarta</t>
  </si>
  <si>
    <t>amaltheakezia</t>
  </si>
  <si>
    <t>Review Salon &amp; Beauty Clinic Se-Jakarta!</t>
  </si>
  <si>
    <t>👙: @nipplets_official 
🧏🏽‍♀️: Dry, cyst &amp; hormonal acne
💇🏽‍♀️: Wavy, dry damaged &amp; hairfall
🖐🏽: Medium cold, keratosis pilaris &amp; super dry skin</t>
  </si>
  <si>
    <t>https://linktr.ee/amaltheakezia</t>
  </si>
  <si>
    <t>fashion trends Singapore</t>
  </si>
  <si>
    <t>orchardroadfashion</t>
  </si>
  <si>
    <t>Orchard Road Fashion   |   Singapore Fashion and Trends</t>
  </si>
  <si>
    <t>GET SPOTTED. BE SWAG!
Tiktok (120K Followers)
____________________________________
Affiliated with @newwwavecreators</t>
  </si>
  <si>
    <t>https://youtube.com/@whatareyouwearingtoday</t>
  </si>
  <si>
    <t>luxury Bangkok</t>
  </si>
  <si>
    <t>turbocar.bkk</t>
  </si>
  <si>
    <t>Turbo Luxury Car Rental Bangkok | เช่ารถหรู</t>
  </si>
  <si>
    <t>• Luxury &amp; Supercar rental
• Limousine Service &amp; Free Delivery
• เช่ารถหรูที่มี Supercar มากสุดในไทย
Line: @turbocar.bkk | Tel: 064-464-9944</t>
  </si>
  <si>
    <t>https://turboluxurycarrental.com/</t>
  </si>
  <si>
    <t>luxury Jakarta</t>
  </si>
  <si>
    <t>hunterskeepers.id</t>
  </si>
  <si>
    <t>Luxury authentic hermes chanel gucci preloved jakarta</t>
  </si>
  <si>
    <t>Authenticated Preloved luxury
Catalog @hunterskeepers_catalog 
Trusted seller since 2017
Bags . Shoes . Jewelry
LiveSale @17:00pm</t>
  </si>
  <si>
    <t>https://linkr.bio/hunterskeepers</t>
  </si>
  <si>
    <t>luxurybus.jakarta</t>
  </si>
  <si>
    <t>Luxury Bus Jakarta</t>
  </si>
  <si>
    <t>Charter Bus Service</t>
  </si>
  <si>
    <t>PT. RF LINTAS BATAS
🚍 "Safe &amp; Comfortable"
☎ Reservation : 0821 9564 8881 / 0812 9689 3613</t>
  </si>
  <si>
    <t>https://www.luxurybus-jakarta.com/</t>
  </si>
  <si>
    <t>luxuryinkjakarta</t>
  </si>
  <si>
    <t>LuxuryinkJakarta Tattoo Studio</t>
  </si>
  <si>
    <t>INK YOUR STORY, WEAR YOUR ART
Merchandise: @luxuryink_merchandise 
📍West Park A15 BSDCity
📍@luxuryinkbali 
📍@luxuryinkcanggu</t>
  </si>
  <si>
    <t>https://bit.ly/3lPNRNI</t>
  </si>
  <si>
    <t>luxuryphonestore.jakarta</t>
  </si>
  <si>
    <t>Luxury phone store jakarta</t>
  </si>
  <si>
    <t>Owner 
AKUN RESMI 
GARANSI IBOX 
PENGIRIMAN SE-INDONESIA 
Whatssap</t>
  </si>
  <si>
    <t>theluckyjewerly</t>
  </si>
  <si>
    <t>Luxury Jewellery Jakarta</t>
  </si>
  <si>
    <t>SINCE 2011
WE GIA SUPPLIER 
IGI HK 
Office hours - Sunday OFF
2nd account @theluckyjewerly.official</t>
  </si>
  <si>
    <t>https://linktr.ee/theluckyjewerlyofficial</t>
  </si>
  <si>
    <t>luxury Manila</t>
  </si>
  <si>
    <t>luxurycarsmanila</t>
  </si>
  <si>
    <t>Luxury Cars Manila</t>
  </si>
  <si>
    <t>Automotive Store</t>
  </si>
  <si>
    <t>BEST AUTO BROKER 🇵🇭We are the leader in: 
🔸 #armoredvehicle &amp; #bulletproofcars 
🔸#luxurycars  &amp; #luxurytrucks
📞 Call (0917) 463 0077 Youtube 👇🏻👇🏻👇🏻</t>
  </si>
  <si>
    <t>https://bit.ly/39lzdZC</t>
  </si>
  <si>
    <t>luxurymanila_yannyph</t>
  </si>
  <si>
    <t>Yanny Fueconcillo</t>
  </si>
  <si>
    <t>Bags &amp; Luggage Store</t>
  </si>
  <si>
    <t>Est. 2009 DTI Reg 💖
FB Account: Yanny Fueconcillo
📲 +639173853185
Visit us: 🇵🇭 Fort Bonifacio 
Taguig Philippines</t>
  </si>
  <si>
    <t>luxury Mumbai</t>
  </si>
  <si>
    <t>convoy_india</t>
  </si>
  <si>
    <t>Convoy | Luxury Mumbai Guide</t>
  </si>
  <si>
    <t>Your Favourite Insider to all things
Travel | Dining | Exclusive Curations🥂</t>
  </si>
  <si>
    <t>luxurybyayaan</t>
  </si>
  <si>
    <t>Luxury by Ayaan Mumbai</t>
  </si>
  <si>
    <t>Private gallery of rare finds &amp; styles✨
Curated with care, shared quietly🤫
For those who appreciate subtle luxury💎
Close friends &amp; good vibes only❤️</t>
  </si>
  <si>
    <t>mumbai_magazine</t>
  </si>
  <si>
    <t>Luxury Mumbai Guide</t>
  </si>
  <si>
    <t>Mumbai’s curated guide to all things luxury🍸
-  By @mumbai.bucketlist</t>
  </si>
  <si>
    <t>luxury Singapore</t>
  </si>
  <si>
    <t>luxuryevermore</t>
  </si>
  <si>
    <t>Luxury Evermore @ Marina Bay Singapore</t>
  </si>
  <si>
    <t>Authenticated Preloved Luxury From Asia to the World
🌐 Available listings on website
📍Headquartered in Singapore
🌍 Worldwide delivery 3-7 days</t>
  </si>
  <si>
    <t>http://luxuryevermore.com</t>
  </si>
  <si>
    <t>singaporeshopping23</t>
  </si>
  <si>
    <t>Singapore Shopping with Kelly Luxury Singapore</t>
  </si>
  <si>
    <t>Kelly Luxury Singapore
Singapore GST Registered on IRAS UEN 201927588H 
Since 2011 ☎️ +6592737160
Marina One Office 
7 Straits View</t>
  </si>
  <si>
    <t>https://bit.ly/JoinKellyHere</t>
  </si>
  <si>
    <t>make-up artist Jakarta</t>
  </si>
  <si>
    <t>vs_makeupstudio</t>
  </si>
  <si>
    <t>Makeup Artist Jakarta</t>
  </si>
  <si>
    <t>Makeup is My Art 🎨
.
Associate @ingganim
.
For pricelist &amp; bookings:</t>
  </si>
  <si>
    <t>make-up artist Singapore</t>
  </si>
  <si>
    <t>make_up_with_kashmira</t>
  </si>
  <si>
    <t>kashmira 🇮🇳🇸🇬 Singapore makeup artist</t>
  </si>
  <si>
    <t>💄 Kash | Beauty . UGC Creator /skincare
🎨 Embrace the art of makeup magic   
👇 Dive into the glam journey!📍singapore🇸🇬
📦Dm for collab 📧</t>
  </si>
  <si>
    <t>https://taplink.cc/make_up_with_kashmira</t>
  </si>
  <si>
    <t>makeup Jakarta</t>
  </si>
  <si>
    <t>tehademakeup</t>
  </si>
  <si>
    <t>Makeup Barbie Muslimah Jakarta</t>
  </si>
  <si>
    <t>📍 Jakarta Selatan
💄 Spesialis Makeup Barbie Look
🚫 Tanpa Cukur Alis
✈️ Melayani seluruh Indonesia
📩 Booking &amp; info👇🏻klik link dibawah</t>
  </si>
  <si>
    <t>https://linktr.ee/tehademakeup</t>
  </si>
  <si>
    <t>tinamakeup79</t>
  </si>
  <si>
    <t>Make Up Jakarta</t>
  </si>
  <si>
    <t>💄𝗠𝗨𝗔 𝗝𝗮𝗸𝗮𝗿𝘁𝗮 𝗨𝘁𝗮𝗿𝗮
📱𝗪𝗔 : 𝟬𝟴𝟳-𝟴𝟴𝟴𝟮𝟮-𝟰𝟭𝟯𝟯
N̶o̶ ̶C̶u̶k̶u̶r̶ ̶A̶l̶i̶s̶
𝑷𝒓𝒊𝒗𝒂𝒕𝒆 𝑴𝒂𝒌𝒆 𝑼𝒑 𝑯𝒊𝒋𝒂𝒃 
𝑭𝒓𝒆𝒆𝒍𝒂𝒏𝒄𝒆 𝑴𝒂𝒌𝒆 𝑼𝒑 &amp; 𝑯𝒊𝒋𝒂𝒃 ,𝑺𝒕𝒚𝒍𝒊𝒔t
👰𝑾𝒆𝒅𝒅𝒊𝒏𝒈, 𝑷𝒂𝒓𝒕𝒚, 𝑷𝒓𝒆𝒘𝒆𝒅𝒅</t>
  </si>
  <si>
    <t>makeup Mumbai</t>
  </si>
  <si>
    <t>makeoverbypritiii</t>
  </si>
  <si>
    <t>PRITI TRIPATHI | MUMBAI | BRIDAL MAKEUP ARTIST</t>
  </si>
  <si>
    <t>राधे कृष्ण 📿
📍Mumbai 
Pvt : @pritii_85
 #mumbaimakeupartist</t>
  </si>
  <si>
    <t>makeupbyfaizamomin</t>
  </si>
  <si>
    <t>Faiza Momin | Bridal &amp; Celebrity Makeup Artist | Mumbai</t>
  </si>
  <si>
    <t>Bridal • Commercial • Fashion • Editorial
📍Mumbai 🌍 | Works Globally</t>
  </si>
  <si>
    <t>makeupbygincy</t>
  </si>
  <si>
    <t>Gɪɴᴄʏ  | Mumbai Bridal Makeup Artist</t>
  </si>
  <si>
    <t>⚜️ Luxury Bridal Makeup Artist
⚜️ BRIDES | FASHION | SHOOTS | EDUCATOR
⚜️ Creating timeless bridal looks✨
📍MUMBAI | 10yrs of professional experience</t>
  </si>
  <si>
    <t>makeupbykinnari</t>
  </si>
  <si>
    <t>KINNARI | Bridal Makeup Artist Mumbai</t>
  </si>
  <si>
    <t>#BridesByKinnari
Soft Glam • Elegance • Classic ✨
Only Unfiltered Magic
𝐕𝐈𝐒𝐈𝐎𝐍𝐄𝐃 𝐁𝐘 𝐘𝐎𝐔, 𝐂𝐑𝐄𝐀𝐓𝐄𝐃 𝐁𝐘 𝐌𝐄
📍Mumbai, Available 🌎
Managed: @sociiallyoberai</t>
  </si>
  <si>
    <t>makeupbymausam</t>
  </si>
  <si>
    <t>Mausam Gandhi | Bridal Makeup Artist Mumbai | Makeup Academy</t>
  </si>
  <si>
    <t>💄 Celebrity &amp; Bridal Makeup Artist 
📖 Makeup Academy 
📍 Mumbai 🇮🇳 Call / WhatsApp : +919930572712
@teammakeupbymausam @makeupbymausamacademy</t>
  </si>
  <si>
    <t>makeupby_tanvichitalia</t>
  </si>
  <si>
    <t>Tanvi Chitalia |Bridal Makeup Artist|Mumbai🧿</t>
  </si>
  <si>
    <t>📍Mumbai based | Available globally 🌍 
Versatile Artist, from minimal to glam✨
No filter work, you get what you see!🌷</t>
  </si>
  <si>
    <t>makeupmumbai</t>
  </si>
  <si>
    <t>Makeup Mumbai</t>
  </si>
  <si>
    <t>makeup Singapore</t>
  </si>
  <si>
    <t>ladyyclairemakeup</t>
  </si>
  <si>
    <t>Top Singapore Korean Makeup Artists 👰💄</t>
  </si>
  <si>
    <t>▪️Number 1 — Luxury Korean Style Bridal Makeup Artists in SG🇸🇬
▪️Sensitive Skin Friendly | KR Trained
📞: +65 9727 7096
📬: studio@ladyyclairemakeup.com</t>
  </si>
  <si>
    <t>https://linktr.ee/ladyyclairemakeup</t>
  </si>
  <si>
    <t>menswear Manila</t>
  </si>
  <si>
    <t>onlyfittingmanila</t>
  </si>
  <si>
    <t>ONLY FITTING | Menswear</t>
  </si>
  <si>
    <t>#OnlyFittingForYou</t>
  </si>
  <si>
    <t>menswear Mumbai</t>
  </si>
  <si>
    <t>primaczar</t>
  </si>
  <si>
    <t>Prima Czar | Menswear Mumbai</t>
  </si>
  <si>
    <t>Ceremonial • Bespoke Modern Luxury Menswear • Womenswear @sanchiarora.mumbai</t>
  </si>
  <si>
    <t>https://primaczar.com/</t>
  </si>
  <si>
    <t>thebigcloset.in</t>
  </si>
  <si>
    <t>TBC : Rent / Buy / Customise || Womenswear &amp; Menswear || Mumbai</t>
  </si>
  <si>
    <t>🛍𝗥𝗲𝗻𝘁/𝗕𝘂𝘆/𝗖𝘂𝘀𝘁𝗼𝗺𝗶𝘀𝗲 𝗯𝘆 @riabasantani 
💫𝘞𝘰𝘮𝘦𝘯𝘴𝘸𝘦𝘢𝘳/𝘔𝘦𝘯𝘴𝘸𝘦𝘢𝘳
🪡Designing:𝐁𝐫𝐢𝐝𝐚𝐥/𝐓𝐫𝐨𝐮𝐬𝐬𝐞𝐚𝐮/𝑲𝒊𝒅𝒔𝒘𝒆𝒂𝒓
📷𝘗𝘳𝘦𝘞𝘦𝘥 /𝘔𝘢𝘵𝘦𝘳𝘯𝘪𝘵𝘺 𝘴𝘩𝘰𝘰𝘵
💍𝘙𝘦𝘯𝘵𝘢𝘭 𝘑𝘦𝘸𝘦𝘭𝘭𝘦𝘳𝘺
📞𝟴𝟮𝟬𝟴𝟵𝟬𝟳𝟭𝟲𝟮</t>
  </si>
  <si>
    <t>moda Bangkok</t>
  </si>
  <si>
    <t>jualmodalbangkok</t>
  </si>
  <si>
    <t>JUAL MODAL BARANG BANGKOK FEE START 5.000</t>
  </si>
  <si>
    <t>💵HARGA MODAL BANGKOK
❌ BUKAN UNTUK PEMULA ❌SATUAN
🔥 UNTUK STOCK TOKO + JASTIPER
Dibawah pengawasan @belajarjastip</t>
  </si>
  <si>
    <t>https://msha.ke/sipenebarracun_official</t>
  </si>
  <si>
    <t>moda Jakarta</t>
  </si>
  <si>
    <t>istana_mode_jakarta</t>
  </si>
  <si>
    <t>ISTANA MODE JAKARTA</t>
  </si>
  <si>
    <t>Hi IMJ Lovers 🥰
💲Free ongkir via Shopee or Tiktok😊
🏢Open Senin-Sabtu 💃
👩‍💻Affiliate / Reseller Welcome ❤️
😊Order via SHOPEE or TIKTOK or DM 🫶</t>
  </si>
  <si>
    <t>https://msha.ke/istana_mode_jakarta</t>
  </si>
  <si>
    <t>moda Manila</t>
  </si>
  <si>
    <t>manilasansebastian</t>
  </si>
  <si>
    <t>MANILA San Sebastián | Moda | Tienda multimarca</t>
  </si>
  <si>
    <t>DISEÑOS ÚNICOS | LOCALES, NACIONALES E INTERNACIONALES
📲 Whatsapp: 943 90 50 57
📦 Envío gratuito</t>
  </si>
  <si>
    <t>https://linktr.ee/manilasansebastian</t>
  </si>
  <si>
    <t>moda Singapore</t>
  </si>
  <si>
    <t>modan_hwa</t>
  </si>
  <si>
    <t>[ modan ] Singapore tattoo</t>
  </si>
  <si>
    <t>𝐄𝐭𝐞𝐫𝐧𝐚𝐥 𝐀𝐫𝐭.
​​𝗕𝗮𝘀𝗲𝗱 𝗶𝗻 𝗦𝗶𝗻𝗴𝗮𝗽𝗼𝗿𝗲 🇰🇷
◦ 𝖮𝗋𝗂𝖾𝗇𝗍𝖺𝗅 𝗍𝖺𝗍𝗍𝗈𝗈
𝗆𝗈𝖽𝖺𝗇@𝗁𝖺𝗇𝗌𝖺𝗇𝗌𝗍𝗎𝖽𝗂𝗈.𝖼𝗈𝗆
@hansanstudio</t>
  </si>
  <si>
    <t>https://www.hansanstudio.com/modan</t>
  </si>
  <si>
    <t>nails Bangkok</t>
  </si>
  <si>
    <t>nailattitude</t>
  </si>
  <si>
    <t>NAIL ATTITUDE/Bangkok</t>
  </si>
  <si>
    <t>𝙉𝘼𝙄𝙇. 𝘼𝙍𝙏. 𝘾𝙍𝘼𝙁𝙏. 𝘾𝙇𝘼𝙎𝙎
Sukhumvit31
OPEN BY APPOINTMENT
line@ nailattitude(with@)</t>
  </si>
  <si>
    <t>https://linktr.ee/nailattitude</t>
  </si>
  <si>
    <t>nails Singapore</t>
  </si>
  <si>
    <t>clawsbyizui</t>
  </si>
  <si>
    <t>𝐍𝐀𝐈𝐋𝐒 &amp; 𝐏𝐑𝐄𝐒𝐒 𝐎𝐍𝐒 | Singapore ₊˚⊹</t>
  </si>
  <si>
    <t>♡ 🌍𝗪𝗼𝗿𝗹𝗱𝘄𝗶𝗱𝗲 shipping: Shop Press ons via link/ DMs 
♡ 🗓️Appointments: Sept slots avail!
♡ 📍🏡Kovan, Singapore</t>
  </si>
  <si>
    <t>http://www.izui.store</t>
  </si>
  <si>
    <t>natural beauty Mumbai</t>
  </si>
  <si>
    <t>beauty_by_herbs_mumbai</t>
  </si>
  <si>
    <t>🧿Beauty by Herbs🧿( Be Natural Be Beautiful )</t>
  </si>
  <si>
    <t>FOUNDER : *SAMEERA SAYED*
NATURAL ORGANIC SKIN &amp; HAIR CARE PRODUCTS 
LIVE WITH THE FLAWLESS SKIN FOREVER 
GENUINE SELLERS SINCE 2018
@beauty_by_herbs</t>
  </si>
  <si>
    <t>sargamnaturalbeauty</t>
  </si>
  <si>
    <t>Sargam Mumbai (Content Creator)</t>
  </si>
  <si>
    <t>DM for Collaboration:- sargambaby10@gmail.com MyYouTube Channel 5k+Subscribe videos content skincare tips, haircare tips and beauty
 Channel link 👇👇</t>
  </si>
  <si>
    <t>https://youtube.com/c/sargamnaturalbeauty</t>
  </si>
  <si>
    <t>ootd Bangkok</t>
  </si>
  <si>
    <t>dinshoplatinum</t>
  </si>
  <si>
    <t>PREMIUM OOTD CHINA BANGKOK BANDA ACEH</t>
  </si>
  <si>
    <t>Jl. Prof. Ali Hasyimi, Lambhuk, Kec. Ulee Kareng, Banda Aceh
11.00-22.10
Adm082320165990
Adm082320165998
Part of @dindinshop 
REK AN: DINA MUS
Order</t>
  </si>
  <si>
    <t>https://www.canva.com/design/DAGZK8NmXQE/VhS0iKaIv3uPUPpjHL3J4g/view?utm_content=DAGZK8NmXQE&amp;utm_campaign=designshare&amp;utm_medium=link2&amp;utm_source=uniquelinks&amp;utlId=h9aba66fa37</t>
  </si>
  <si>
    <t>perfume Jakarta</t>
  </si>
  <si>
    <t>goperfume.jakartaofficial</t>
  </si>
  <si>
    <t>GO PERFUME | Jkt</t>
  </si>
  <si>
    <t>Klik link dibawah for order!
Rekening : BCA/MANDIRI
Alamat : jln. Hos Cokroaminoto no 40 larangan utara kota Tangerang</t>
  </si>
  <si>
    <t>https://linktr.ee/Goperfume</t>
  </si>
  <si>
    <t>moira.workshop</t>
  </si>
  <si>
    <t>Workshop Perfume Parfum Jakarta</t>
  </si>
  <si>
    <t>#1 ONLY WORKSHOP WITH PERSONALTRAIT Since 2024
🖌️ Group Classes &amp; Private Event with 3.000+ participants
📍Holland Village, Jakarta Pusat
📩 DM to join</t>
  </si>
  <si>
    <t>http://wa.me/6282312126865</t>
  </si>
  <si>
    <t>perfume Singapore</t>
  </si>
  <si>
    <t>mydaily_sheetmask</t>
  </si>
  <si>
    <t>PERFUME 100% ORI SINGAPORE</t>
  </si>
  <si>
    <t>👔 READY STOCK
💳 BCA
📌 Jakarta
📦 Sicepat
-
ORDER
📮 WA 
📲 LINE</t>
  </si>
  <si>
    <t>skincare Bangkok</t>
  </si>
  <si>
    <t>christloveshop</t>
  </si>
  <si>
    <t>SKINCARE ORIGINAL BANGKOK</t>
  </si>
  <si>
    <t>100% ORIGINAL 
Pengiriman Senin - Jumat
*WA : 0878.7689.6943
*SHOPEE : heyiv</t>
  </si>
  <si>
    <t>https://msha.ke/shoppingyukk</t>
  </si>
  <si>
    <t>skincare Jakarta</t>
  </si>
  <si>
    <t>drw.skincare.jakarta</t>
  </si>
  <si>
    <t>DRW SKINCARE Jakarta</t>
  </si>
  <si>
    <t>1 PAKET HARGA 270rb
bisa chat dan konsultasi 
Admin1 0811 111 2790 
Admin2 08777 4028 202
Link WA dll👇@</t>
  </si>
  <si>
    <t>https://lynk.id/drw.skincare.jakarta</t>
  </si>
  <si>
    <t>mytabitaglow_28</t>
  </si>
  <si>
    <t>𝐒𝐊𝐈𝐍𝐂𝐀𝐑𝐄  𝐉𝐀𝐊𝐀𝐑𝐓𝐀</t>
  </si>
  <si>
    <t>. 
📍𝐒𝐇𝐎𝐏𝐄𝐄 : TABITAGLOW_LINA 
. 
📍𝐖𝐇𝐀𝐓𝐒𝐀𝐏𝐏  𝐊𝐋𝐈𝐊 👇👇👇
.</t>
  </si>
  <si>
    <t>skincare Manila</t>
  </si>
  <si>
    <t>manila.rezaeiyan.skincare</t>
  </si>
  <si>
    <t>مانيلا رضائيان</t>
  </si>
  <si>
    <t>بیوتی تراپیست
انجام کلیه خدمات با بهترین محصولات 
درمان انواع عارضه های پوستی
ویژه بانوان
پیج مغازه
👇
@sahandgallery</t>
  </si>
  <si>
    <t>skincarebudmnl.ph</t>
  </si>
  <si>
    <t>Skincarebud Manila 🕶 | The Ordinary • CeraVe • BOJ &amp; more!</t>
  </si>
  <si>
    <t>✨FREE SHIPPING: ₱3K AND UP!✨
🏍️: Same Day | Nationwide Shipping!
📦: Personalized Packaging.
📄: FDA | DTI | BIR reg. 
💌: skincarebudmanila@gmail.com</t>
  </si>
  <si>
    <t>https://linktr.ee/skincarebudmanila</t>
  </si>
  <si>
    <t>sneakers Bangkok</t>
  </si>
  <si>
    <t>arigato.bkk</t>
  </si>
  <si>
    <t>ARIGATO BANGKOK-Sneakers&amp;More</t>
  </si>
  <si>
    <t>** อินสตาแกรมนี้เพื่อการโฆษณาประชาสัมพันธ์เท่านั้น**
หากสนใจติดต่อ 👉🏻 line : @arigatobkk 
Worldwide Shipping from Thailand 🇹🇭</t>
  </si>
  <si>
    <t>https://lin.ee/fPBIGPS</t>
  </si>
  <si>
    <t>sneakers Jakarta</t>
  </si>
  <si>
    <t>sepatu_sneakers_jakarta</t>
  </si>
  <si>
    <t>SEPATU SNEAKERS JAKARTA</t>
  </si>
  <si>
    <t>CARI SEPATU KEREN? DI SINI TEMPATNYA
NYAMAN DIPAKAI, GAYA MAKSIMAL
👞SEPATU KEKINIAN PRIA DAN WANITA
READY STOCK
ORDER ? WA : 0895 0457 9833</t>
  </si>
  <si>
    <t>syazasneakers</t>
  </si>
  <si>
    <t>JASA TITIP SNEAKERS JAKARTA</t>
  </si>
  <si>
    <t>CEK INSTASTORY🔥
Part of @syazaofficial 
✨Rek a/n Pasya M
➖
🍓Shopee : syazaofficial
🍓WA 1 | 0812 - 8846 - 7864
🍓WA 2 | 0877 - 7770 - 4877</t>
  </si>
  <si>
    <t>http://linktr.ee/syazaofficial</t>
  </si>
  <si>
    <t>sneakers Manila</t>
  </si>
  <si>
    <t>hellotinycami</t>
  </si>
  <si>
    <t>Children Sneakers Manila 👧🏻</t>
  </si>
  <si>
    <t>📦 Shopping for Kids Shoes / Sandals / Sneakers 
🛒PASABUY FOR ALL KIDS BRANDS
📆 ETA 1-2 WEEKS via Air 🛬
🛍️Adult Sneakers &amp; FEEDBACKS click the link 📍QC</t>
  </si>
  <si>
    <t>http://instagram.com/camikins.shop</t>
  </si>
  <si>
    <t>sneakers Singapore</t>
  </si>
  <si>
    <t>momandkidsneakersanak</t>
  </si>
  <si>
    <t>JASTIP CROCS SALE SINGAPORE &amp; SEPATU ANAK DISKON STORE ORIGINAL</t>
  </si>
  <si>
    <t>🛍PERSONAL SHOPPER
ORIGINAL STORE ONLY‼️( FEE JASTIP +25rb/item )
KATALOG CEK STORY / HL
📲Order by WA 0877 6271 2819 atau DM
📍SHIPPING from JAKARTA</t>
  </si>
  <si>
    <t>street style Singapore</t>
  </si>
  <si>
    <t>streetstyle_singapore</t>
  </si>
  <si>
    <t>Street Style Singapore</t>
  </si>
  <si>
    <t>Tag your favourite travels and lifestyle @streetstyle_singapore to be featured on our page! 😊👄👠👒👙👗👝👡🕶👢👣👚👔👖💍🌂👛🌟✨🌏💎
#streetstyle_singapore</t>
  </si>
  <si>
    <t>streetwear Jakarta</t>
  </si>
  <si>
    <t>solejakarta</t>
  </si>
  <si>
    <t>💯Authentic Sneaker &amp; Streetwear Store</t>
  </si>
  <si>
    <t>Est. 2016
Authenticity Guaranteed
Ready Stock &amp; PO
〰️
@luxurybysole_ 
@titipbysole 
@solelaundry
〰️
WA: 0878-0878-6011 (shop online 24/7)
〰️
Click👇🏼</t>
  </si>
  <si>
    <t>http://www.linktree.com/solejakarta/</t>
  </si>
  <si>
    <t>streetwear Manila</t>
  </si>
  <si>
    <t>manilasneakerexpo</t>
  </si>
  <si>
    <t>Manila Sneaker &amp; Streetwear Expo</t>
  </si>
  <si>
    <t>Biggest Sneaker event in Manila.</t>
  </si>
  <si>
    <t>http://www.manilasneakerexpo.com/</t>
  </si>
  <si>
    <t>sustainable fashion Hong Kong</t>
  </si>
  <si>
    <t>sustainable fashion Manila</t>
  </si>
  <si>
    <t>thrift Bangkok</t>
  </si>
  <si>
    <t>gallerycantik_medan</t>
  </si>
  <si>
    <t>Thrift Bangkok Medan</t>
  </si>
  <si>
    <t>Since 2019
By @juwita.pobian 
HARGA PAS🌷JANGAN DITAWAR LAGI🙌🏻
💳BNI,BRI,DANA
Order by WA👇🏻</t>
  </si>
  <si>
    <t>http://wa.me/6283199714269/</t>
  </si>
  <si>
    <t>thrift Jakarta</t>
  </si>
  <si>
    <t>reuse.able</t>
  </si>
  <si>
    <t>Thrift Store Jakarta</t>
  </si>
  <si>
    <t>➡️ Check highlight ‘READY STOCK’
🔄 @reuse.daily backup acc
⬇️ Shopee • Tokopedia</t>
  </si>
  <si>
    <t>https://msha.ke/reuse</t>
  </si>
  <si>
    <t>thrift Manila</t>
  </si>
  <si>
    <t>thriftermanila</t>
  </si>
  <si>
    <t>Thrifter Manila</t>
  </si>
  <si>
    <t>go-to thrift shop since 2017 🌐
carefully curated pieces</t>
  </si>
  <si>
    <t>thrift Singapore</t>
  </si>
  <si>
    <t>hdsfashionbranded</t>
  </si>
  <si>
    <t>THRIFT SHOP SECOND SINGAPORE</t>
  </si>
  <si>
    <t>DISKON 5RB/Pcs Min Order 3pcs
❣️ DM
❣️ WA 081903386652
❣️ SHOPEE
❣️ TOKPED
REK hanya AN HELEN DAMAYANTI
Part of : @hdsfashion.id 
🏠 Pekanbaru,Riau</t>
  </si>
  <si>
    <t>https://api.whatsapp.com/send?phone=6281903386652</t>
  </si>
  <si>
    <t>womenswear Mumbai</t>
  </si>
  <si>
    <t>accessories Bangalore</t>
  </si>
  <si>
    <t>cc_car_accessories</t>
  </si>
  <si>
    <t>CarCraze11 Bangalore | B2B &amp; B2C</t>
  </si>
  <si>
    <t>2 Brothers Redefining EveryRide
• A to Z Car Accessories
• Visual Mods | Performance Upgrades
• Best Prices Guaranteed
Nationwide delivery🇮🇳 DM NOW</t>
  </si>
  <si>
    <t>accessories Melbourne</t>
  </si>
  <si>
    <t>babymelbourneclothing</t>
  </si>
  <si>
    <t>Baby Melbourne Clothing &amp; Accessories</t>
  </si>
  <si>
    <t>📍Melbourne, Australia
👕 Hustler’s streetwear 
EVERY RELEASE IS A 1 OFF; NEVER TO BE RELEASED AGAIN 🔥🔐
Since 2022 
SHOP NOW👇🏻🛒</t>
  </si>
  <si>
    <t>http://www.babymelbourne.com/</t>
  </si>
  <si>
    <t>lowbrazilmotors_oficial</t>
  </si>
  <si>
    <t>LBM Automotive • Car Service and Customs Accessories •Melbourne</t>
  </si>
  <si>
    <t>🚘 GENERAL SERVICE  | RWC | TIRES  | WHEEL ALIGNMENT | FORGED WHEELS</t>
  </si>
  <si>
    <t>http://www.lowbrazilmotors.com.au/</t>
  </si>
  <si>
    <t>accessories Sydney</t>
  </si>
  <si>
    <t>sydney_accessoriesh</t>
  </si>
  <si>
    <t>Sydney accessories</t>
  </si>
  <si>
    <t>‎مدة التوصيل 28-35 يوم
—
✨Make your outfit more stylish✨
—
‎الحجز هو التزام و وعد، و الوفاء بِه من الأخلاق الكريمة</t>
  </si>
  <si>
    <t>barbershop Bali</t>
  </si>
  <si>
    <t>bercutbarbershop</t>
  </si>
  <si>
    <t>Best Barbershop in Bali</t>
  </si>
  <si>
    <t>No.1 BARBER in The Island
Premium Barbershop with qualified barbers
OPEN DAILY 10am-8pm
💈Seminyak
💈Canggu
💈Dewi Sri
💈Uluwatu
💈Sanur</t>
  </si>
  <si>
    <t>https://linktr.ee/bercutbarbershop</t>
  </si>
  <si>
    <t>blissbarberbali</t>
  </si>
  <si>
    <t>Bali’s Finest Quality Barbershop Est. 2015</t>
  </si>
  <si>
    <t>💈BALI 16 outlets
💈BANDUNG (Kota Baru Parahyangan) 
💈Barber Academy @blissbarber.course
✨BLISS SOLO, NOW OPEN, 
PROMO Bayar Suka Suka ✨</t>
  </si>
  <si>
    <t>https://linktr.ee/blissbarberbali</t>
  </si>
  <si>
    <t>terasrumahbarber</t>
  </si>
  <si>
    <t>Barbershop Bali | Home Service Barber Bali</t>
  </si>
  <si>
    <t>Teras Rumah Barber
📩DM / Appointment 👇🏻 
•
📍Jln Pulau Misol  📍Jln Raya Dalung📍Jln Raya Canggu📍Jln Merpati 📍Jl Pura Demak 📍Jl Panji, Kebo Iwa</t>
  </si>
  <si>
    <t>https://linktr.ee/terasbarber</t>
  </si>
  <si>
    <t>barbershop Melbourne</t>
  </si>
  <si>
    <t>empirebarbershopau</t>
  </si>
  <si>
    <t>Empire Barbershop | Melbourne</t>
  </si>
  <si>
    <t>💈 The #1 Google Rated Barbershop in Melbourne
🕒 Open 7 Days a Week
✂️ Appointments &amp; Walk Ins Available
⬇️ Book Online Now ⬇️</t>
  </si>
  <si>
    <t>https://www.fresha.com/a/empire-barbershop-melbourne-3a-station-street-zss2miiy</t>
  </si>
  <si>
    <t>curly hair Sydney</t>
  </si>
  <si>
    <t>itssydneylynn</t>
  </si>
  <si>
    <t>Curly Hair Care | Sydney</t>
  </si>
  <si>
    <t>📍KY
🌀 Curly Hair Specialist @beautyxsyd 
TikTok- itssydneylynn
Email: beautyxsyd@gmail.com
⬇️Fave Products &amp; Discounts</t>
  </si>
  <si>
    <t>https://linktr.ee/__sydneylynnn</t>
  </si>
  <si>
    <t>mouseybrowne</t>
  </si>
  <si>
    <t>Tara | Sydney Specialist in Curly &amp; Dry Hair Cutting</t>
  </si>
  <si>
    <t>✂️ Dry haircutter + Hair Educator 
👤 New clients welcome!                      🏳️‍🌈Gender Free Pricing!  Gadigal Country,  Surry Hills, Sydney</t>
  </si>
  <si>
    <t>https://linktr.ee/mouseybrowne</t>
  </si>
  <si>
    <t>hairstyle Bali</t>
  </si>
  <si>
    <t>dahliasalonbali</t>
  </si>
  <si>
    <t>HAIR DESIGN | HAIR STYLE SOLUTION | FACE CONTOURING</t>
  </si>
  <si>
    <t>@dahliasalonbali.catalog 
@dahliasalonbali.testimoni 
Manage By @hanacitha_mngt 
🏆Influent Hairdresser by Loreal
✂️Hikari JPN 
✂️Korean Cut by Hwan</t>
  </si>
  <si>
    <t>https://dahliasalonbali.com/detail-informasi-dahlia-salon-bali/</t>
  </si>
  <si>
    <t>hairstyle Melbourne</t>
  </si>
  <si>
    <t>hair_by_mishel</t>
  </si>
  <si>
    <t>MELBOURNE HAIRSTYLES</t>
  </si>
  <si>
    <t>-Melbourne | Roxburgh park
- Bridal | Events
-DMs for all bookings and enquirers</t>
  </si>
  <si>
    <t>haute-couture Sydney</t>
  </si>
  <si>
    <t>panachehautecouture</t>
  </si>
  <si>
    <t>Panache Haute Couture | Indian Wedding Wear in Sydney</t>
  </si>
  <si>
    <t>Luxury | Couture | Bespoke
Lehenga | Saree | Punjabi Suits | Fusion wear 
Jewels: @jewels_by_panache 
Shipping Worldwide
By Appointment only.</t>
  </si>
  <si>
    <t>https://panachehautecouture.com/</t>
  </si>
  <si>
    <t>luxury Bali</t>
  </si>
  <si>
    <t>luxurybali1</t>
  </si>
  <si>
    <t>Villas, Events, Cars, Helicopters, Yachts, Jets, Activities</t>
  </si>
  <si>
    <t>Hospitality Service</t>
  </si>
  <si>
    <t>#1 VIP concierge company in Bali since 2017
⚜️Villas | Cars | Yachts
⚜️Helicopters
⚜️Entertainments 
⚜️Events Management
⚜️Private Jets
⚜️Events</t>
  </si>
  <si>
    <t>luxuryinkbali</t>
  </si>
  <si>
    <t>LUXURY INK BALI TATTOO STUDIO</t>
  </si>
  <si>
    <t>📍 @luxuryinkcanggu 
📍 @luxuryinkjakarta 
▪️𝗛𝗜𝗧𝗧𝗜𝗡𝗚 𝗬𝗢𝗨 𝗨𝗣 𝗪𝗜𝗧𝗛 𝗧𝗛𝗘 𝗕𝗘𝗦𝗧 𝗔𝗥𝗧 𝗜𝗡 𝗕𝗔𝗟𝗜
💥𝗦𝗣𝗢𝗡𝗦𝗢𝗥𝗘𝗗
💥𝗔𝗪𝗔𝗥𝗗 𝗪𝗜𝗡𝗡𝗜𝗡𝗚
💥𝗜𝗡𝗧𝗘𝗥𝗡𝗔𝗧𝗜𝗢𝗡𝗔𝗟 𝗛𝗬𝗚𝗜𝗘𝗡𝗘</t>
  </si>
  <si>
    <t>http://wa.me/6281353701800</t>
  </si>
  <si>
    <t>luxuryvillabali</t>
  </si>
  <si>
    <t>LUXURY VILLA BALI</t>
  </si>
  <si>
    <t>Luxury villas private pool in bali ✨
.
📩 reservations@luxuryvillabali.com
📞 +62 878-9992-3777
.
Click here for more information! 👇</t>
  </si>
  <si>
    <t>https://bio.site/LuxuryVillaBali24</t>
  </si>
  <si>
    <t>nouruluwatu</t>
  </si>
  <si>
    <t>Luxury Boutique Hotel in Uluwatu, Bali</t>
  </si>
  <si>
    <t>1-3 bedroom villas 
Private pools &amp; breathtaking views
Where sculptural design meets endless horizons 
Book your sanctuary ↓</t>
  </si>
  <si>
    <t>https://www.nourbali.com</t>
  </si>
  <si>
    <t>rentalgacorbali</t>
  </si>
  <si>
    <t>Luxury Rent Car Bali</t>
  </si>
  <si>
    <t>#SewaAlphardTerumurahdiBali Available in : 
📍Bali
📍 Bandung
📍Jakarta
📍Makassar
📍Yogyakarta
📍Surabaya
For More Info &amp; Reserve You Can Contact Us👇🏻</t>
  </si>
  <si>
    <t>theluxurybali</t>
  </si>
  <si>
    <t>THE LUXURY BALI</t>
  </si>
  <si>
    <t>#1 Bali - Beyond Luxury Villas &amp; Yacht Charter. 
Best Rate Guarantee!
Yacht &amp; Helicopter @yhcharter
Book Now | Partner With Us. Link in Bio.</t>
  </si>
  <si>
    <t>https://linktr.ee/the.luxury.bali</t>
  </si>
  <si>
    <t>ulamanbali</t>
  </si>
  <si>
    <t>Ulaman Eco Luxury Resort</t>
  </si>
  <si>
    <t>Award-winning 5 stars eco-luxury retreat,
Where nature and serenity meet.
Riverside Spa @riversidebyulaman 
E.A.R.T.H Restaurant @earthbyulaman</t>
  </si>
  <si>
    <t>https://ulamanbali.com/</t>
  </si>
  <si>
    <t>villa.luxury.bali</t>
  </si>
  <si>
    <t>VILLA LUXURY BALI</t>
  </si>
  <si>
    <t>📍Denpasar Bali.
 we offer you the most luxurious &amp; affordable villas in Bali. VILLA LUXURY BALI 
👇 contact US on whatsApp for inquiries.</t>
  </si>
  <si>
    <t>https://desty.page/villa.luxury.bali</t>
  </si>
  <si>
    <t>luxury Delhi</t>
  </si>
  <si>
    <t>delhi_luxury_hub</t>
  </si>
  <si>
    <t>𝐃𝐞𝐥𝐡𝐢 𝐏𝐫𝐨𝐩𝐞𝐫𝐭𝐢𝐞𝐬🏡</t>
  </si>
  <si>
    <t>𝐒𝐚𝐜𝐡𝐢𝐧 𝐘𝐚𝐝𝐚𝐯 (☎️𝟗𝟗𝟗𝟎𝟖𝟔𝟎𝟗𝟑𝟑)
𝐑𝐞𝐚𝐥 𝐄𝐬𝐭𝐚𝐭𝐞| 𝐈𝐧𝐭𝐞𝐫𝐢𝐨𝐫 𝐝𝐞𝐬𝐢𝐠𝐧| 𝐂𝐨𝐧𝐬𝐭𝐫𝐮𝐜𝐭𝐢𝐨𝐧 
We make dream true🏡</t>
  </si>
  <si>
    <t>luxurybyroop</t>
  </si>
  <si>
    <t>Luxury By Roop | Delhi</t>
  </si>
  <si>
    <t>𝑼𝒏𝒊𝒔𝒆𝒙 𝑺𝒂𝒍𝒐𝒏 &amp; 𝑨𝒄𝒂𝒅𝒆𝒎𝒚
10𝐤 +  𝑯𝒂𝒑𝒑𝒚 𝑪𝒖𝒔𝒕𝒐𝒎𝒆𝒓𝒔🎀❤️ 
𝑯𝒂𝒊𝒓 | 𝑺𝒌𝒊𝒏 | 𝑴𝒂𝒌𝒆𝒖𝒑 | 𝑵𝒂𝒊𝒍𝒔
Available 🌍 wide DM for bookings</t>
  </si>
  <si>
    <t>https://www.luxurybyroop.com</t>
  </si>
  <si>
    <t>luxurypropertiesdelhi</t>
  </si>
  <si>
    <t>Luxury Properties Delhi</t>
  </si>
  <si>
    <t>Boutique Residential Properties
📍Delhi | Gurugram | Goa 
Call | Whatsapp - 8860046006 for Site Visits | Details
A unit of @alivehomesinfo</t>
  </si>
  <si>
    <t>luxury Melbourne</t>
  </si>
  <si>
    <t>grazewithlove.co</t>
  </si>
  <si>
    <t>LUXURY MELBOURNE EVENTS + STYLING</t>
  </si>
  <si>
    <t>Melbourne's leading pop-up dining, styling + events business. 
Husband + Wife team 🙋🏽‍♀️🙋🏾‍♂️ 
Celebrating events since 2019</t>
  </si>
  <si>
    <t>luxecoutureevents</t>
  </si>
  <si>
    <t>𝐋𝐔𝐗𝐔𝐑𝐘 𝐄𝐕𝐄𝐍𝐓 𝐒𝐓𝐘𝐋𝐈𝐒𝐓𝐒 &amp; 𝐏𝐑𝐎𝐏 𝐇𝐈𝐑𝐄 𝐌𝐄𝐋𝐁𝐎𝐔𝐑𝐍𝐄</t>
  </si>
  <si>
    <t>LEADING LUXURY EVENT STYLING|PROP HIRE MELBOURNE|PREMIUM FAUX FLORAL SPECIALISTS  
 BRIDAL @luxecoutureeventsweddings  🚫Dms 
FREE PALESTINE 🇵🇸</t>
  </si>
  <si>
    <t>luxury Sydney</t>
  </si>
  <si>
    <t>lavish_platters</t>
  </si>
  <si>
    <t>Luxury Event Catering • Grazing Tables Sydney</t>
  </si>
  <si>
    <t>✨ Luxury Grazing Tables + Event Catering
🍇 Weddings • Milestones • Corporate Events
📅 Book now &amp; wow your guests with unforgettable food</t>
  </si>
  <si>
    <t>http://www.lavishplatters.com.au</t>
  </si>
  <si>
    <t>luxury.picnic.events</t>
  </si>
  <si>
    <t>Luxury Picnic Events &amp; Proposals Sydney</t>
  </si>
  <si>
    <t>We create Amazing yet Affordable Picnics setups.
Proposals, Baby Shower ,Bridal Shower, Birthdays .
📍 Sydney
0400 655 199</t>
  </si>
  <si>
    <t>http://www.luxurypicnicandevents.com.au</t>
  </si>
  <si>
    <t>make-up artist Bali</t>
  </si>
  <si>
    <t>sita_makeup</t>
  </si>
  <si>
    <t>Makeup Artist Bali | MUA BALI</t>
  </si>
  <si>
    <t>Make Up Artist Based in Bali
Wa only 087777327508 ( Shanty )
arisita1922@gmail.com</t>
  </si>
  <si>
    <t>http://wa.me/+6287777327508</t>
  </si>
  <si>
    <t>tirta_harum</t>
  </si>
  <si>
    <t>Make up Artist  Bali</t>
  </si>
  <si>
    <t>Jln Noja I no 21 c Denpasar Bali
contact  +6281239774679</t>
  </si>
  <si>
    <t>make-up artist Bangalore</t>
  </si>
  <si>
    <t>beautylook_by_naina</t>
  </si>
  <si>
    <t>Makeup artist Bangalore</t>
  </si>
  <si>
    <t>Naina Reddy🤍
Enhancing your natural beauty 🪽
Contact: 9️⃣9️⃣6️⃣4️⃣7️⃣0️⃣9️⃣7️⃣3️⃣3️⃣
#bangloremakeupartist 
📍Banglore, India</t>
  </si>
  <si>
    <t>http://wa.me/+919964709733</t>
  </si>
  <si>
    <t>makeup_artist_bangalore_</t>
  </si>
  <si>
    <t>Twinkle Makeovers / Makeup Artist Banglore</t>
  </si>
  <si>
    <t>"𝑳𝒆𝒔𝒔 𝒎𝒂𝒌𝒆𝒖𝒑 𝒎𝒐𝒓𝒆 𝒄𝒐𝒏𝒇𝒊𝒅𝒆𝒏𝒄𝒆,
𝑻𝒉𝒆 𝑻𝒘𝒊𝒏𝒌𝒍𝒆'𝒔 𝒘𝒂𝒚"
• ISO Certified
• Diploma in MUA
• Bridal | Celebrity|Occasions</t>
  </si>
  <si>
    <t>makeupstudiobyaanuraaja</t>
  </si>
  <si>
    <t>Makeup Artist | Bangalore</t>
  </si>
  <si>
    <t>🌟Pro Artist | Bridal Makeup Specialist 
🚫 Strictly No dm’s 
Enquiries 👇🏻 * what'sapp only *</t>
  </si>
  <si>
    <t>make-up artist Delhi</t>
  </si>
  <si>
    <t>delhi.makeup.artist</t>
  </si>
  <si>
    <t>Delhi Makeup Artist</t>
  </si>
  <si>
    <t>We Post the Makeup Pictures &amp; Reels. 
We do not own any content posted on this page.
DM for Paid Promotion.
DM for Credit or Removal.</t>
  </si>
  <si>
    <t>dolledupbysimran</t>
  </si>
  <si>
    <t>Simran Malik | Makeup Artist | Delhi-NCR</t>
  </si>
  <si>
    <t>✨ 2000+ Happy Brides (&amp; counting). 
Professional Makeup Artist💫
Based in Delhi 🇮🇳, serving globally 🌏 
WhatsApp to enquire &amp; book 📱👇🏻</t>
  </si>
  <si>
    <t>https://wa.link/1lnlys</t>
  </si>
  <si>
    <t>makeoverbykanika</t>
  </si>
  <si>
    <t>Makeup artist delhi /chandigarh /shimla /kanika sharma</t>
  </si>
  <si>
    <t>💄Bridal &amp; party makeup artist 
🧑‍🎨 Makeup Educator 
 ✈️ travel worldwide 🇮🇳 🇷🇺 🇦🇺 
💯 1000+ clients 
☎️ DM for paid collab 
Contact no. 9560309970</t>
  </si>
  <si>
    <t>shwetaarora_makeupartistdelhi</t>
  </si>
  <si>
    <t>Shweta Arora | Makeup Artist In Delhi</t>
  </si>
  <si>
    <t>Pro Make Up Artist l Educator l Hairs l Nails
New Delhi📍India 
DM for Bookings 🤳 8130929797
✈️ Open for Travel</t>
  </si>
  <si>
    <t>make-up artist Melbourne</t>
  </si>
  <si>
    <t>abbeyparkemakeup</t>
  </si>
  <si>
    <t>MAKEUP ARTIST MELBOURNE</t>
  </si>
  <si>
    <t>Enquiries 📧 abbeyparkemakeup@outlook.com
📍Studio Location - Taylors Lakes</t>
  </si>
  <si>
    <t>https://bookings.gettimely.com/abbeyparkemakeup/bb/book</t>
  </si>
  <si>
    <t>make-up artist Sydney</t>
  </si>
  <si>
    <t>shagunmakeupartist</t>
  </si>
  <si>
    <t>SYDNEY MAKEUP ARTIST &amp; ACADEMY</t>
  </si>
  <si>
    <t>.Internationally Certified MUA &amp; Educator
•Sydney Based MUA 
📍13 bullaburra street, The Ponds,
0452322536</t>
  </si>
  <si>
    <t>https://instagram.com/shagunmakeupartist?igshid=Mzc1MmZhNjY%3D</t>
  </si>
  <si>
    <t>makeup Bali</t>
  </si>
  <si>
    <t>ds_makeupbali</t>
  </si>
  <si>
    <t>MUA &amp; HAIRDO | DS Makeup Bali</t>
  </si>
  <si>
    <t>📍BALI
💄Makeup Hairdo Wisuda,Yudisium,Pengantin dll
   Curi foto/video denda 50juta ‼️
👔 @ds_kebayakbali 
📝Info/Booking /Private MakeupHairdo ⬇️</t>
  </si>
  <si>
    <t>makeup Bangalore</t>
  </si>
  <si>
    <t>bloom_by_nehaa</t>
  </si>
  <si>
    <t>Nehaa Anand I Bangalore Makeup Artist</t>
  </si>
  <si>
    <t>@chandnisinghstudio @kannanraajamanickam @poojakhuranabeauty @ishakhannamakeup 
Wedmegood Best Makeup Artist B’lore 2022
Skin Finish Makeup Expert💜</t>
  </si>
  <si>
    <t>http://www.bloombynehaa.com/</t>
  </si>
  <si>
    <t>facesculpturesbyshweta</t>
  </si>
  <si>
    <t>Shweta Singh | Bangalore Makeup Artist</t>
  </si>
  <si>
    <t>Top 3 MUAs 2021, Lotus
Luxury Bridal Makeup Expert &amp; Educator
 London College of Makeup
(Trained from Dubai, U.K)
Bangalore based
#bridalmakeup #vegan</t>
  </si>
  <si>
    <t>makeoverby_bhumikasom</t>
  </si>
  <si>
    <t>Bhumika Som | Makeup | Bangalore ಕನ್ನಡತಿ</t>
  </si>
  <si>
    <t>⚜️ISO 9001:2015 CERTIFIED⚜️
International Certified Makeup Artist💄
For Pro Course/Bridals/Engagement/Special Event Makeup Order💖
Call:7975189148</t>
  </si>
  <si>
    <t>makeup Delhi</t>
  </si>
  <si>
    <t>bakeandblushbyneha</t>
  </si>
  <si>
    <t>Neha Kakkar | Makeup Artist | Delhi/Ncr 🧿</t>
  </si>
  <si>
    <t>Bridal Makeup Artist ✨ 
Soft Glam•Dewy Skin•Luxe Brides
📍Delhi NCR | Available Globally 🌍 
DM/WA: +91-9700085666•link below
Sabr•Shukr•Jai Guruji 🧿</t>
  </si>
  <si>
    <t>khushbudua_makeovers</t>
  </si>
  <si>
    <t>Khushbu Dua | Bridal Make-up Artist | Delhi 💄</t>
  </si>
  <si>
    <t>💄 Delhi’s Trusted Bridal &amp; Glam MUA
🎓 Makeup Educator &amp; Content Creator
💅Nails :- @dollynailslash_studio
📞 For queries : +91 9711190886</t>
  </si>
  <si>
    <t>kryolan.delhi</t>
  </si>
  <si>
    <t>Kryolan Delhi | Professional Make-Up</t>
  </si>
  <si>
    <t>Professional Make-up for over 80 years
Kryolan City Delhi, Lajpat Nagar
Home Delivery : 9560373454 / 9599811677</t>
  </si>
  <si>
    <t>makeoversby_vidhiii</t>
  </si>
  <si>
    <t>Vidhi Oberoi | Delhi Based Make-up Artist</t>
  </si>
  <si>
    <t>Minimal glam only ✨
I choose to post without filter💅
Your beauty bestie 💖
📍Delhi 
📩 Bookings: 9311696990</t>
  </si>
  <si>
    <t>makeupbyrihaabhatia</t>
  </si>
  <si>
    <t>Rihaa | Delhi Makeup Artist</t>
  </si>
  <si>
    <t>MUA🇮🇳
9yrs+ experience 
Senior educator of team @meerasakhrani 
Delhi 📍Travels Globally✈️
Crafting Perfection ✨💫
📮For booking WhatsApp: +91 9999995525</t>
  </si>
  <si>
    <t>makeupbyvinniekapoor</t>
  </si>
  <si>
    <t>Vinnie Kapoor Chopra | Delhi Makeup Artist</t>
  </si>
  <si>
    <t>Makeup Artist | Bridal Stylist | Image Consultant
Certified by the best @meerasakhrani
📍Delhi-Based 🌍Travels Globally</t>
  </si>
  <si>
    <t>paavnibeauty_</t>
  </si>
  <si>
    <t>Paavni | Delhi Makeup Artist</t>
  </si>
  <si>
    <t>I do Makeup that looks like skin, best seen up close👌
🌍 Delhi, India 
💍 Bookings +91-931-12-16845
📧 paavnibeauty@gmail.com</t>
  </si>
  <si>
    <t>makeup Melbourne</t>
  </si>
  <si>
    <t>jackcail</t>
  </si>
  <si>
    <t>JACK CAIL/MELBOURNE-AUSTRALIA MAKEUP ARTIST</t>
  </si>
  <si>
    <t>instant bookings - click link below
shoots/collabs - maxi@maxmgmt.com.au
other - click email below
no dms</t>
  </si>
  <si>
    <t>https://makeupbookings.as.me/schedule/d481d812/appointment/8106889/calendar/2532041</t>
  </si>
  <si>
    <t>makeupartistanastasia</t>
  </si>
  <si>
    <t>Makeup Melbourne &amp; Online sales Expert</t>
  </si>
  <si>
    <t>My 1 on 1 makeup course $5000
For $100 makeup booking only DM OR TEXT 0403414333 💌 
📍Southbank Melbourne</t>
  </si>
  <si>
    <t>merton_muaremi_makeup</t>
  </si>
  <si>
    <t>Merton Muaremi | Melbourne Makeup Artist</t>
  </si>
  <si>
    <t>Makeup Artist &amp; Hair Stylist | 21 Yrs Experience
▫️ Fashion | Bridal | Education
▫️ Founder @studio.kit.aus
▫️ Masterclass Dates &amp; Enquiries ⬇️</t>
  </si>
  <si>
    <t>https://linktr.ee/merton_muaremi_makeup</t>
  </si>
  <si>
    <t>makeup Sydney</t>
  </si>
  <si>
    <t>judithsarahmakeup</t>
  </si>
  <si>
    <t>Judith | Sydney Make-Up Artist</t>
  </si>
  <si>
    <t>🌹 Judith Sarah ✡︎
🇬🇧 International Make-Up Artist
📍 Eastern Suburbs | Sydney
💄 SHOOTS | CAMPAIGN | BRIDAL</t>
  </si>
  <si>
    <t>leilasmakeupstudio</t>
  </si>
  <si>
    <t>SYDNEY MAKEUP ARTIST</t>
  </si>
  <si>
    <t>Bridal &amp; Event Makeup Artist | Educator 
Studio Bookings: BOOK NOW ↴
Bridal Enquiries, PR — EMAIL or 0493 106 721
1428 Canterbury Road, Punchbowl 2196</t>
  </si>
  <si>
    <t>https://www.leilasmakeupstudio.com.au</t>
  </si>
  <si>
    <t>makeupbytinaly_sydney</t>
  </si>
  <si>
    <t>makeup by tinaly sydney</t>
  </si>
  <si>
    <t>Beauty advisor @sephoraaus 💄
Based in Sydney with freelance available 
Contact: 0433802909 or DM to book
1:1 makeup course is available</t>
  </si>
  <si>
    <t>menswear Bali</t>
  </si>
  <si>
    <t>balibaris</t>
  </si>
  <si>
    <t>Balibaris • Menswear</t>
  </si>
  <si>
    <t>Celebrating french art de vivre.</t>
  </si>
  <si>
    <t>https://linktr.ee/balibaris</t>
  </si>
  <si>
    <t>thefranksland</t>
  </si>
  <si>
    <t>BALI MENSWEAR | FRANKSLAND®</t>
  </si>
  <si>
    <t>ᬧ᭄ᬭᬦ᭄ᬓ᭄ᬲ᭄ᬮᬦ᭄ᬤ᭄
FASHION ❌ LIFESTYLE
⚡️BALI'S ICONIC MENSWEAR
⚡️LUXURY UNIFORMS | CUSTOM 
▶️BRANDING • PR • SOCIAL MAVEN
👉🏼@frankslandthemaven</t>
  </si>
  <si>
    <t>https://linktr.ee/FRANKSLAND</t>
  </si>
  <si>
    <t>menswear Delhi</t>
  </si>
  <si>
    <t>salman_collection_delhi</t>
  </si>
  <si>
    <t>Salman collection | Menswear Brand</t>
  </si>
  <si>
    <t>✨ Menswear Brand | Wedding Collection
👔 Sherwani • Suit • Kurta Pajama • Formals
📍 Delhi | India
📩 DM for orders &amp; collabs</t>
  </si>
  <si>
    <t>suitupdelhi</t>
  </si>
  <si>
    <t>Suit Up - Bespoke Menswear</t>
  </si>
  <si>
    <t>Branch in Delhi ONLY📦Shipping Worldwide🌍 Bespoke Tailoring | Men’s fashion |Couture🐆  
📍B-268/ Derawal Nagar 
💌suitupdelhi@gmail.com</t>
  </si>
  <si>
    <t>http://wa.me/+918988888431</t>
  </si>
  <si>
    <t>menswear Melbourne</t>
  </si>
  <si>
    <t>gezzaseyes</t>
  </si>
  <si>
    <t>Gerry Nelson - Menswear In Melbourne</t>
  </si>
  <si>
    <t>Photographer/Musician/Model
Highlighting menswear enthusiasts in my town. 
As featured in Put This On and Styleforum.
Melbourne/Naarm, Australia.</t>
  </si>
  <si>
    <t>https://tinyurl.com/Melbourne-Suit-Walk-2025</t>
  </si>
  <si>
    <t>moda Bali</t>
  </si>
  <si>
    <t>alexbalimoda</t>
  </si>
  <si>
    <t>Alex Bali Moda Praia</t>
  </si>
  <si>
    <t>🛍️| Fábrica de Moda Praia
🛒| Para Lojistas, revendedores e empreendedores
👇🏼| Envio para todo o Brasil</t>
  </si>
  <si>
    <t>http://bento.me/alexbali</t>
  </si>
  <si>
    <t>balimoda_com</t>
  </si>
  <si>
    <t>BALI MODA</t>
  </si>
  <si>
    <t>للمرأة اللي تجمع بين الستر والأناقة
تصاميم محتشمة، راقية، وبثمن فالمتناول
📍 زايو | 🚚 الشحن متوفر لجميع مدن المغرب</t>
  </si>
  <si>
    <t>http://www.tiktok.com/@balimodaa</t>
  </si>
  <si>
    <t>nails Bali</t>
  </si>
  <si>
    <t>looksnaill.id</t>
  </si>
  <si>
    <t>Nails Bali</t>
  </si>
  <si>
    <t>𝐓𝐡𝐞 𝐁𝐞𝐚𝐮𝐭𝐲 𝐒𝐩𝐨𝐭 ᡣ𐭩
By appointment only
Open 9.00 - 18.00 
📍Kerobokan Bali
Appointment through the link below👇🤍</t>
  </si>
  <si>
    <t>https://msha.ke/looksnaill.id</t>
  </si>
  <si>
    <t>nails Melbourne</t>
  </si>
  <si>
    <t>lesilvir_nails</t>
  </si>
  <si>
    <t>LE SILVIR NAILS ✦ MELBOURNE JAPANESE NAILART ✦ IVANHOE 3079</t>
  </si>
  <si>
    <t>✧ @lunabeauty_store  “ʟᴇsɪʟᴠɪʀ” 10% ᴏғғ 
✧ @artisdivoce_au “sʏʟᴠɪᴀ20” 20% ᴏғғ
✧ɴᴏ XL ɴᴀɪʟs •ɢᴇʟ ᴏɴʟʏ
✧ʜᴏᴍᴇʙᴀsᴇᴅ 𝟷:𝟷 sᴇʀᴠɪᴄᴇ
SEPTEMBER BOOKING</t>
  </si>
  <si>
    <t>https://www.fresha.com/book-now/le-silvir-nails-k7s6ibl6/services?lid=793431&amp;eid=2054746&amp;share=true&amp;pId=745560</t>
  </si>
  <si>
    <t>linz_nailslux8</t>
  </si>
  <si>
    <t>Nail Tech, Melbourne Nails, Acrylic, Nail Design, Biab</t>
  </si>
  <si>
    <t>📍DELAHEY, MELBOURNE🇦🇺| Qualified Nails Technicians
❗️$30 DEPOSIT IS REQUIRED
❗️PLEASE READ POLICY BEFORE BOOK
📲DM IG OR TEXT 0421 686 656 for booking</t>
  </si>
  <si>
    <t>nails Sydney</t>
  </si>
  <si>
    <t>nbjnails_</t>
  </si>
  <si>
    <t>Nails by Jenny •  Sydney</t>
  </si>
  <si>
    <t>| ACRYLICS • SNS • BIAB • MANI PEDI • EVO GEL • GEL-X • HARD GEL | 
💗 BOOK VIA LINK BELOW 💗
📍77 Howard road Padstow 2211</t>
  </si>
  <si>
    <t>http://nbjpadstow.gettimely.com/</t>
  </si>
  <si>
    <t>natural beauty Bali</t>
  </si>
  <si>
    <t>balinaturalbeauty.official</t>
  </si>
  <si>
    <t>Bali Natural Beauty</t>
  </si>
  <si>
    <t>made from natural ingredients</t>
  </si>
  <si>
    <t>https://shope.ee/20UYQb3gn2</t>
  </si>
  <si>
    <t>tsbaliofficial</t>
  </si>
  <si>
    <t>𝑻𝑺 𝑩𝒂𝒍𝒊 | 𝑵𝒂𝒕𝒖𝒓𝒂𝒍 𝑾𝒆𝒍𝒍𝒏𝒆𝒔𝒔 &amp; 𝑩𝒆𝒂𝒖𝒕𝒚</t>
  </si>
  <si>
    <t>Herbal Medicine Industry Bali
Essential Oils | Skin Care | Healthy Food
BPOM &amp; HALAL
🛒Fast Order/Fast Respon Klik Link Below⬇️</t>
  </si>
  <si>
    <t>http://lynk.id/tsbaliofficial</t>
  </si>
  <si>
    <t>ootd Bali</t>
  </si>
  <si>
    <t>gabriela.iid</t>
  </si>
  <si>
    <t>OOTD MURAH BALI🥳</t>
  </si>
  <si>
    <t>📍 Based in Jimbaran - Denpasar
💼 COD,J&amp;T 
💫 PO &amp; Ready Stock
Welcome Ressler</t>
  </si>
  <si>
    <t>https://linktr.ee/eckygbr</t>
  </si>
  <si>
    <t>ootd Sydney</t>
  </si>
  <si>
    <t>ootdstylistaa</t>
  </si>
  <si>
    <t>NISHA | Sydney Blogger</t>
  </si>
  <si>
    <t>📍Sydney, Australia 
High Fashion, exploring places &amp; all things luxe ✨
🏷New fashion &amp; styles everyday
📩Dm/Email for Collabs</t>
  </si>
  <si>
    <t>https://www.facebook.com/ootdstylistaa</t>
  </si>
  <si>
    <t>perfume Bali</t>
  </si>
  <si>
    <t>amthra.bali</t>
  </si>
  <si>
    <t>Amthra Bali | Perfume Brand</t>
  </si>
  <si>
    <t>Wearable luxury. Always relatable.
Bali-inspired perfumes for every vibe 🌺
Explore the scents at Shopee &amp; TikTok Shop!
#WhatDoesAmthraSmellLike</t>
  </si>
  <si>
    <t>https://bit.ly/amthra_shopee</t>
  </si>
  <si>
    <t>balisurfers.perfume</t>
  </si>
  <si>
    <t>Bali Surfers Perfume</t>
  </si>
  <si>
    <t>💯 BPOM Certified
🇮🇩 Made In Indonesia
📍 Local Pride
Chat &amp; Order Bali Surfers Perfume 👇</t>
  </si>
  <si>
    <t>https://linktr.ee/balisurfers.perfume</t>
  </si>
  <si>
    <t>perfume Melbourne</t>
  </si>
  <si>
    <t>fragrancee.co</t>
  </si>
  <si>
    <t>Perfume Original Melbourne</t>
  </si>
  <si>
    <t>SINCE 2011
ORIGINAL 💯|Lebih 200 Jenis Wangian | Set Hantaran | Birthday Suprise</t>
  </si>
  <si>
    <t>https://linktr.ee/fragrancee.co</t>
  </si>
  <si>
    <t>perfume Sydney</t>
  </si>
  <si>
    <t>perfumessydney</t>
  </si>
  <si>
    <t>FOLLOW &amp; DM to enquire ‼️
🔝Custom Sourcing on ALL Products
📍Australia Based
We are able to Source Any Perfumes Mens &amp; Womens</t>
  </si>
  <si>
    <t>skincare Bali</t>
  </si>
  <si>
    <t>chancollection_</t>
  </si>
  <si>
    <t>𝐒𝐊𝐈𝐍𝐂𝐀𝐑𝐄 &amp; 𝐊𝐎𝐒𝐌𝐄𝐓𝐈𝐊 𝐃𝐄𝐍𝐏𝐀𝐒𝐀𝐑 𝐁𝐀𝐋𝐈</t>
  </si>
  <si>
    <t>⏰ TOKO BUKA SETIAP HARI 09.00 - 22.00 
📍JL.PULAU MOYO NO.40 DENPASAR
📞WA : 085-339-399-398
“gmaps : chan collection”
Link Shopee (bisa instan)👇🏼</t>
  </si>
  <si>
    <t>https://id.shp.ee/E57GEjZ</t>
  </si>
  <si>
    <t>yfbeauty_balikpapan</t>
  </si>
  <si>
    <t>TOKO KOSMETIK SKINCARE VIRAL #1 DI BALIKPAPAN</t>
  </si>
  <si>
    <t>✨ Gn Guntur 
✨ Manggar ( seberang asrama haji , deretan ruko kimia farma)
✨ Kilo 2,5 (samping karaoke suka suka)
✨ Gn Pasir (sederetan maxi swalayan)</t>
  </si>
  <si>
    <t>https://msha.ke/yfbeauty/</t>
  </si>
  <si>
    <t>skincare Bangalore</t>
  </si>
  <si>
    <t>darren__emmanuel</t>
  </si>
  <si>
    <t>Darren Emanuel Shiri | Skincare | Bangalore📍</t>
  </si>
  <si>
    <t>I help you upgrade in👇🏻
Skincare | Fashion | Grooming
DM “CHANGE” to transform yourself
Work: darreninfluences@gmail.com</t>
  </si>
  <si>
    <t>hairmagixsalonhsr</t>
  </si>
  <si>
    <t>Haircare &amp; Skincare Salon Bangalore | Hair Magix ™️</t>
  </si>
  <si>
    <t>Transforming your hair and skin services 💇🏻‍♀️
“We transform your look,enhancing your confidence”
Salon Services | Home care
📞 +91 6366333335</t>
  </si>
  <si>
    <t>https://linktr.ee/Hairmagixhsr</t>
  </si>
  <si>
    <t>skincare Delhi</t>
  </si>
  <si>
    <t>daisies.and.dawn</t>
  </si>
  <si>
    <t>Prachi Sharma | Makeup and Skincare | Weird Finds | Delhi</t>
  </si>
  <si>
    <t>✨Jai Bajrang Bali 🙏
💄Your guide for everything in beauty
📧 Email: daisiesanddawn@gmail.com</t>
  </si>
  <si>
    <t>http://wishlink.com/daisies.and.dawn</t>
  </si>
  <si>
    <t>delhikimommy_skincaremagic</t>
  </si>
  <si>
    <t>Dr. Shilpi Gupta | Dentist ✨ Skincare • Lifestyle</t>
  </si>
  <si>
    <t>✨ Mrs Himalayan 2016 | Author
🦷 Dentist • Skincare • Fashion • Lifestyle
📺 growing -YouTube Family
📩 DM for Collabs</t>
  </si>
  <si>
    <t>https://youtube.com/channel/UCjSQDlP1caNHSd8CwGHYkWA</t>
  </si>
  <si>
    <t>meenakshi_dowerah</t>
  </si>
  <si>
    <t>Myria by Meenakshi | Skincare Expert | Delhi 🧿</t>
  </si>
  <si>
    <t>Entrepreneur | MYRIA | Real solutions to skin problems with 24K Pure Gold,Science &amp; Botanicals. LLB -IIM-C,2011. ADITYAMYRIA WELLNESS OPC LTD</t>
  </si>
  <si>
    <t>skincare Sydney</t>
  </si>
  <si>
    <t>sydneygivens_skin</t>
  </si>
  <si>
    <t>Sydney Givens, PA-C | PERSONALIZED SKINCARE</t>
  </si>
  <si>
    <t>friendly, affordable skin health advice 
👩🏻‍⚕️ board-certified dermatology prescriber
Dive deeper with me @theskinfixclub</t>
  </si>
  <si>
    <t>https://skincarebysydney.com/pages/the-skincare-matchmaker-quiz</t>
  </si>
  <si>
    <t>sneakers Bali</t>
  </si>
  <si>
    <t>dewinst.id</t>
  </si>
  <si>
    <t>Dewinst Sneakers Original Store in Bali</t>
  </si>
  <si>
    <t>𝐒𝐭𝐚𝐲 𝐀𝐮𝐭𝐡𝐞𝐧𝐭𝐢𝐜 
-
📲: +62 812 3222 9131
🛒: Shopee | Tokopedia | Tiktok : 𝐝𝐞𝐰𝐢𝐧𝐬𝐭𝐬𝐧𝐞𝐚𝐤𝐞𝐫𝐬
-
📍Denpasar (store)
📍Jakarta (wh)
-
Shop 𝟐𝟒/𝟕⤵️</t>
  </si>
  <si>
    <t>https://dewinstsneakers.com/kontak/</t>
  </si>
  <si>
    <t>gallerysneaker.id</t>
  </si>
  <si>
    <t>#1 Original Sneakers Store In Bali</t>
  </si>
  <si>
    <t>100% Original Money Back Guaranteed
-
📍BALI , JL.Tukad Yeh Aya IX No 90,Renon,Denpasar Selatan
Opening Store : (Everyday 11.00 - 22.00)
Shop 24/7⤵️</t>
  </si>
  <si>
    <t>https://linktr.ee/gallerysneakerid</t>
  </si>
  <si>
    <t>sneakers Sydney</t>
  </si>
  <si>
    <t>sneakerspasydney</t>
  </si>
  <si>
    <t>SYDNEY SHOE &amp; BAG CLEANING/RESTORATION</t>
  </si>
  <si>
    <t>🏆 Sydney’s No.1 Professional Luxury Item Cleaning &amp; Restoration
👟 Cleaned/Repaired 80k items &amp; counting…
🧼 Products @sammichael.au
📍BONDI | DOUBLE BAY</t>
  </si>
  <si>
    <t>http://www.sneakerspasydney.com.au</t>
  </si>
  <si>
    <t>street style Bali</t>
  </si>
  <si>
    <t>street style Delhi</t>
  </si>
  <si>
    <t>streetstyledelhi</t>
  </si>
  <si>
    <t>Street Style Delhi | Aliya</t>
  </si>
  <si>
    <t>Documenting YOUR style/ I @matargasht, click photos of people whose style I like+ my style+ write on feshun &amp; kalchar</t>
  </si>
  <si>
    <t>streetwear Bali</t>
  </si>
  <si>
    <t>kutastreetwear</t>
  </si>
  <si>
    <t>Oleh - Oleh Kaos Bali Modern</t>
  </si>
  <si>
    <t>Oleh-oleh Kaos Bali dan Makanan
Tiktok, Shopee &amp; Offiline store
📍Jl. Raya Kuta, No 62. Kab. Badung. Bali</t>
  </si>
  <si>
    <t>https://linktr.ee/kutastreet</t>
  </si>
  <si>
    <t>thrift Bali</t>
  </si>
  <si>
    <t>oldman.stuff</t>
  </si>
  <si>
    <t>Thrift &amp; Vintage Store Bali</t>
  </si>
  <si>
    <t>Store open everyday from 10am - 10pm</t>
  </si>
  <si>
    <t>preciousproject_co</t>
  </si>
  <si>
    <t>KOREAN THRIFT BALI✨</t>
  </si>
  <si>
    <t>👚Gudangnya outfit buat kerja/kuliah di Bali
📍Store : 
- Kediri, Tabanan 
- Tukad Barito, Panjer 
⏰09.00-21.00 Wita
Link Order👇🏻</t>
  </si>
  <si>
    <t>https://msha.ke/preciousproject</t>
  </si>
  <si>
    <t>shineandprettyy</t>
  </si>
  <si>
    <t>Thrift Store di Badung Bali</t>
  </si>
  <si>
    <t>😍👗👕Korean Outfit Style
Open 8am-10pm everyday
Order ? Dm aja kakak 😁😚
Wa admin  087863209866</t>
  </si>
  <si>
    <t>https://maps.app.goo.gl/dBexDUR85JLnsdhQ8?g_st=ic</t>
  </si>
  <si>
    <t>zen.idd</t>
  </si>
  <si>
    <t>THRIFT SHOP PRIA &amp; WANITA SINGARAJA BALI</t>
  </si>
  <si>
    <t>⏰ Buka tiap hari jam 10 pagi - 9 malam
📍Jl. srikandi 100m setelah lampu merah kanan jalan
ADA PAKET USAHA
Order via  WA: 0878-6074-4755
Google Maps 👇🏻</t>
  </si>
  <si>
    <t>https://maps.app.goo.gl/dj1dvYFDnMZcpnBp9?g_st=ic</t>
  </si>
  <si>
    <t>thrift Melbourne</t>
  </si>
  <si>
    <t>thriftersofmelbourne</t>
  </si>
  <si>
    <t>Thrifters of Melbourne</t>
  </si>
  <si>
    <t>Thrifters of Melbourne is here to help you find the best second-hand/Op-Shop/Thrift stores in Melbourne/Victoria. End fast fashion and save money!</t>
  </si>
  <si>
    <t>thrift Sydney</t>
  </si>
  <si>
    <t>sydneyodelia</t>
  </si>
  <si>
    <t>Sydney Odelia | Thrift Blog</t>
  </si>
  <si>
    <t>Shop owner: @curatedbysydneyodelia
Omaha, NE
Shop my thrift finds + more ↓</t>
  </si>
  <si>
    <t>https://curatedbysydneyodelia.com/pages/links</t>
  </si>
  <si>
    <t>womenswear Bali</t>
  </si>
  <si>
    <t>bali_style_wear_store</t>
  </si>
  <si>
    <t>BALISTYLEWEARSTORE Women'sWear</t>
  </si>
  <si>
    <t>Women's Fashion Wear🔥
Quality Unique Women's Wear
✈️Free Worldwide Shipping
30Days EasyReturn
BUY X GET Y 20%OFF. use code: GIFT20
Shop online now at👇</t>
  </si>
  <si>
    <t>http://balistylewear.store/</t>
  </si>
  <si>
    <t>thesaintxsinner</t>
  </si>
  <si>
    <t>Bali | womenswear | SAINT AND SINNER</t>
  </si>
  <si>
    <t>📍Bali ♡ Independent, women-owned &amp; operated | Known as Bali’s most chic.
FREE SHIPPING ALL OVER INDONESIA</t>
  </si>
  <si>
    <t>http://linktr.ee/thesaintxsinner</t>
  </si>
  <si>
    <t>barbershop Ibiza</t>
  </si>
  <si>
    <t>famous_barbershop_ibiza</t>
  </si>
  <si>
    <t>Famous Barbershop Ibiza</t>
  </si>
  <si>
    <t>📍Carrer del Bisbe Abad y Lasierra 22
 🏡VIP Services • Braids • Colour 
☎️ 654 075 286
@shinebarber__  @mati_blends
 @nico_faded @santiagobarbercutz</t>
  </si>
  <si>
    <t>https://famousbarbershop211.booksy.com/a</t>
  </si>
  <si>
    <t>hairstyle Mallorca</t>
  </si>
  <si>
    <t>wedding_makeup_mallorca</t>
  </si>
  <si>
    <t>Bridal 👰🏼‍♀️ Make Up&amp;Hairstyle💄in Palma de Mallorca</t>
  </si>
  <si>
    <t>🏆PROFESSIONAL BRIDAL👰🏻💍MAKE UP &amp; HAIRSTYLE, total look for bridegroom🤵🏻, bridesmaids💃🏽and wedding guests🕺🏼Transfer to your place🚗🇷🇺🇺🇦🇩🇪🇬🇧🇪🇸</t>
  </si>
  <si>
    <t>https://www.instagram.com/beautylab_mallorca/</t>
  </si>
  <si>
    <t>hairstyle Santorini</t>
  </si>
  <si>
    <t>jozefinaaa</t>
  </si>
  <si>
    <t>Santorini makeup and hairstyle</t>
  </si>
  <si>
    <t>💄 12+ yrs MUA &amp; Hairstylist in Santorini  
👰‍♀️ Bridal • Photoshoots • Elopements  
🌎 All skin tones | High-end products  
💌 Booking via WhatsApp ⬇</t>
  </si>
  <si>
    <t>luxury Capri</t>
  </si>
  <si>
    <t>capriluxurybags</t>
  </si>
  <si>
    <t>Capri Luxury Bags</t>
  </si>
  <si>
    <t>✨Handmade Luxury Crochet Bags✨
All bags are made to order</t>
  </si>
  <si>
    <t>https://www.etsy.com/shop/CapriLuxuryBags</t>
  </si>
  <si>
    <t>capriluxuryflats</t>
  </si>
  <si>
    <t>Capri Luxury Flats</t>
  </si>
  <si>
    <t>Property management.
Luxury villas and apartments 🏠 for holiday rentals.
Capri Lifestyle🏝⛵🌞
Concierge Service 🚤🛎🚘🧳</t>
  </si>
  <si>
    <t>http://www.capriluxuryflats.com/</t>
  </si>
  <si>
    <t>capriluxurytravel</t>
  </si>
  <si>
    <t>Capri Luxury Travel</t>
  </si>
  <si>
    <t>"Vive la experiencia de explorar nuevos destinos"
#ExperienciaCapriLuxuryTravel
RNT 183298</t>
  </si>
  <si>
    <t>https://wa.link/6j7iwv</t>
  </si>
  <si>
    <t>capri_moments</t>
  </si>
  <si>
    <t>Luxury Weddings on Capri Island</t>
  </si>
  <si>
    <t>Elevated wedding experiences w/ an artful touch &amp; vibrant soul
BASED IN CAPRI | ITALY 
Seen on Vogue
@elopements_capri
@capri_marriageproposal_planner</t>
  </si>
  <si>
    <t>https://caprimoments.com/get-inspired/</t>
  </si>
  <si>
    <t>luxury Mallorca</t>
  </si>
  <si>
    <t>luxurylifemallorca</t>
  </si>
  <si>
    <t>Luxury Life Mallorca</t>
  </si>
  <si>
    <t>✨ Your daily dose of Mallorca
☁️ We know where the magic is
☀️ Make an enquiry via the link below</t>
  </si>
  <si>
    <t>http://luxurylifemallorca.com/</t>
  </si>
  <si>
    <t>millepapillons</t>
  </si>
  <si>
    <t>LUXURY WEDDING PLANNER MALLORCA</t>
  </si>
  <si>
    <t>Mastering the Art of Legendary Weddings
Wedding Planner &amp; Art Direction
Mallorca | Barcelona &amp; Worldwide
CEO @judpapillons 
info@millepapillons.com</t>
  </si>
  <si>
    <t>http://www.millepapillons.com/</t>
  </si>
  <si>
    <t>momentsweddingsandevents</t>
  </si>
  <si>
    <t>Luxury Wedding Planner Mallorca</t>
  </si>
  <si>
    <t>Since 2003
Mallorca, Illes Balears
info@m-moments.com</t>
  </si>
  <si>
    <t>https://www.m-moments.com/</t>
  </si>
  <si>
    <t>pasion_eventos</t>
  </si>
  <si>
    <t>Luxury Wedding Planner | Mallorca</t>
  </si>
  <si>
    <t>10 high-end weddings per year 
For discerning couples worldwide 
16 years of seamless planning &amp; timeless style 
Effortless elegance &amp; authenticity</t>
  </si>
  <si>
    <t>https://linktr.ee/pasioneventos</t>
  </si>
  <si>
    <t>superluxurymallorca</t>
  </si>
  <si>
    <t>SUPER LUXURY CLUB MALLORCA | SPAIN</t>
  </si>
  <si>
    <t>Social Concierge &amp; Luxury Assets by @superluxuryclub_ — Mallorca &amp; Ibiza 🇪🇸 Unique Experiences &amp; Rentals | Real Estates | Hotels | Gastro | Retreats</t>
  </si>
  <si>
    <t>luxury Mykonos</t>
  </si>
  <si>
    <t>luxuryyachtsmykonos</t>
  </si>
  <si>
    <t>Luxury Yachts Mykonos</t>
  </si>
  <si>
    <t>Your Luxury Tailor-Made Vacation 
-Yacht  Charter
  📳 +30 6974353681 Tel-Viber-WhatsApp
@helicopterathens
@luxury_life_villa
@privatejetathens</t>
  </si>
  <si>
    <t>http://www.luxuryyachtsmykonos.com/</t>
  </si>
  <si>
    <t>mileomykonos</t>
  </si>
  <si>
    <t>Mykonos Mileo 5* Luxury Hotel</t>
  </si>
  <si>
    <t>📸  #mileomykonos</t>
  </si>
  <si>
    <t>http://www.mileomykonos.com/</t>
  </si>
  <si>
    <t>mykonos.luxury</t>
  </si>
  <si>
    <t>www.Mykonos.Luxury</t>
  </si>
  <si>
    <t>🧿 Exclusive Mykonos villas &amp; Yachts
🧿 Awarded concierge services 24/7
🧿 Public Relations @themykonosguy
⏬️Visit Our Website &amp; Read our reviews ⏬️</t>
  </si>
  <si>
    <t>https://mykonos.luxury</t>
  </si>
  <si>
    <t>santamarinamykonos</t>
  </si>
  <si>
    <t>Santa Marina, a Luxury Collection Resort, Mykonos</t>
  </si>
  <si>
    <t>@theluxurycollection
As good as you imagined.
@buddhabarbeachmykonos 
@elaisbysantamarina</t>
  </si>
  <si>
    <t>https://linktr.ee/santamarinamykonos</t>
  </si>
  <si>
    <t>luxury Santorini</t>
  </si>
  <si>
    <t>cilon_suites</t>
  </si>
  <si>
    <t>Cilon Suites Santorini | Luxury Suites with Volcano view</t>
  </si>
  <si>
    <t>8 unique suites in Imerovigli, Santorini with panoramic views of Caldera and Volcano</t>
  </si>
  <si>
    <t>http://www.cilonsantorini.com/</t>
  </si>
  <si>
    <t>lecielsantorini</t>
  </si>
  <si>
    <t>Le Ciel | Luxury Destination Wedding Venue</t>
  </si>
  <si>
    <t>Wedding Venue</t>
  </si>
  <si>
    <t>A unique, luxurious and elegant wedding venue in Santorini, Greece, with stunning views of the Aegean Sea. 
Enquire today:
✉️info@leciel-santorini.com</t>
  </si>
  <si>
    <t>http://linktr.ee/lecielsantorini</t>
  </si>
  <si>
    <t>marrymesantorini</t>
  </si>
  <si>
    <t>Santorini luxury proposal</t>
  </si>
  <si>
    <t>✨Put some glitter in her life ✨
SANTORINI LUXURY PROPOSALS 💍
#marrymesantorini 
Founder : @franko_photographer
@santoriniloveproposal</t>
  </si>
  <si>
    <t>http://santoriniproposal.gr</t>
  </si>
  <si>
    <t>saintsantorini</t>
  </si>
  <si>
    <t>S A I N T Luxury Suites</t>
  </si>
  <si>
    <t>Discreet luxury in the heart of Santorini. Privacy, elegance, and world-class service in #Oia. 🇬🇷 ☀️
@saintyachting @saintskybar @qherasantorini</t>
  </si>
  <si>
    <t>http://www.saintsuitesoia.com/</t>
  </si>
  <si>
    <t>santorinikastelliresort</t>
  </si>
  <si>
    <t>Santorini Kastelli Resort &amp; Luxury Suites</t>
  </si>
  <si>
    <t>5 star luxury resort close to the beach providing upscale accommodation, state-of-the-art facilities, and impeccable services
#santorinikastelliresort</t>
  </si>
  <si>
    <t>https://www.kastelliresort.com</t>
  </si>
  <si>
    <t>santorini.luxury.dress</t>
  </si>
  <si>
    <t>Santorini luxury dress</t>
  </si>
  <si>
    <t>👗 Women’s Luxury Dress Store
📍 Erbil | Zaga Mall, Bakhtyari
🕑 Open Daily: 2:00 PM – 9:00 PM
📞 07508760000</t>
  </si>
  <si>
    <t>santorinimotel</t>
  </si>
  <si>
    <t>Santorini Luxury Motel</t>
  </si>
  <si>
    <t>Motel</t>
  </si>
  <si>
    <t>Escápate al placer del lujo. Suites temáticas para momentos inolvidables.
🔞 Solo +18 | Antiguo Punto Cero.
 Visítanos YA, servicio las 24 horas.</t>
  </si>
  <si>
    <t>http://www.motelsantorini.com</t>
  </si>
  <si>
    <t>santoriniskygreece</t>
  </si>
  <si>
    <t>Santorini Sky | Luxury Villas</t>
  </si>
  <si>
    <t>🏅 Rated # 1 in Santorini 🇬🇷
The highest resort, 2,000 feet above sea level. 
Featured in CNN, Architectural Digest, Travel + Leisure, Condé Nast.</t>
  </si>
  <si>
    <t>https://santorinisky.com/</t>
  </si>
  <si>
    <t>luxury Sicily</t>
  </si>
  <si>
    <t>luxurylifesicily</t>
  </si>
  <si>
    <t>Salvo Spina</t>
  </si>
  <si>
    <t>◾️PROCACCIATORE DI AFFARI: SICILIA / MILANO / M. MARITTIMA / PORTO CERVO
◾LUXURY CONSIERGE SERVICES🛥️🏎️,🚁🚕🕋🍾💃🏻
www.luxurylifesicily.com
📲+393470052118</t>
  </si>
  <si>
    <t>https://luxurylifesicily.com/</t>
  </si>
  <si>
    <t>sicilyluxuryvillas</t>
  </si>
  <si>
    <t>Sicily Luxury Villas</t>
  </si>
  <si>
    <t>Exclusive luxury villa rentals in Sicily with tailored concierge service for an unforgettable stay.</t>
  </si>
  <si>
    <t>https://www.sicilyluxuryvillas.com/</t>
  </si>
  <si>
    <t>make-up artist Mallorca</t>
  </si>
  <si>
    <t>ksenia_sieg</t>
  </si>
  <si>
    <t>Make Up&amp;Nail artist Palma de Mallorca</t>
  </si>
  <si>
    <t>Make Up &amp; Nail artist, hair stylist 📍Mallorca 👩🏼‍💻Owner and creator of @beautylab_mallorca 💄@wedding_makeup_mallorca 👰🏼‍♀️ @cleanlove_tampon 🤍</t>
  </si>
  <si>
    <t>make-up artist Santorini</t>
  </si>
  <si>
    <t>santorini.makeup.artist</t>
  </si>
  <si>
    <t>SANTORINI MAKEUP ARTIST</t>
  </si>
  <si>
    <t>➵ Bridal specialist @katieannmakeupartist
➵ 15 years exp
➵ Book for 2025/26
#Santorini // #GreekIslands // #SantoriniMakeupArtist #SantoriniWedding</t>
  </si>
  <si>
    <t>https://www.santorinimakeupartist.com</t>
  </si>
  <si>
    <t>makeup Mallorca</t>
  </si>
  <si>
    <t>makeup Santorini</t>
  </si>
  <si>
    <t>athena.makeup.santorini</t>
  </si>
  <si>
    <t>Athena Giannakou</t>
  </si>
  <si>
    <t>✨ Soft glam bridal makeup expert
📍Santorini | Destination weddings🌍
💌Bookings open 2026/2027
💄Timeless beauty 
📩 DM to book | Multilingual 🇬🇷🇬🇧🇩🇪🇷🇺</t>
  </si>
  <si>
    <t>https://www.athenamakeup.com/</t>
  </si>
  <si>
    <t>juliarta.santo</t>
  </si>
  <si>
    <t>Julia Afanasenka | Santorini Bridal Makeup Hair Stylist</t>
  </si>
  <si>
    <t>INTERNATIONAL BRIDAL BEAUTY STYLIST
🏆Pro MUA&amp;Hair Stylist
⚡️2400+ brides•14 years
WEDDINGS |EDITORIAL
✨Bridal Expert
Glam team @bridenificent.official</t>
  </si>
  <si>
    <t>makeup Sicily</t>
  </si>
  <si>
    <t>claudia_castiglione_mua</t>
  </si>
  <si>
    <t>Bride Makeup artist Catania &amp; Sicily</t>
  </si>
  <si>
    <t>▪️Makeup artist since 2009
▪️More than 300 Bride/Elopement
▪️Speak English/American 🇬🇧🇺🇸 
▪️Available Worldwide 🌎
#bridalmakeup 
📍Sicily, Italy</t>
  </si>
  <si>
    <t>https://www.claudiacastiglionemua.it/</t>
  </si>
  <si>
    <t>elisa_calcagni_makeup</t>
  </si>
  <si>
    <t>Bridal Make-up Sicily</t>
  </si>
  <si>
    <t>BRIDAL EXPERT
LUXURY CONCEPT
MUA TRAINER @accademiabenesserefima 
Whatsapp 3️⃣2️⃣9️⃣3️⃣9️⃣5️⃣2️⃣8️⃣1️⃣0️⃣</t>
  </si>
  <si>
    <t>irinafarfallina</t>
  </si>
  <si>
    <t>Irina, Bridal Hair &amp; Makeup, Sicily</t>
  </si>
  <si>
    <t>🌟10 years bridal expert @irinafarfallina.brides 
•Makeup &amp; Hair Artist, content creator•
📍04.08-10.09 Russia
👰🏼‍♀️Booking ‘26 via mail 💌</t>
  </si>
  <si>
    <t>https://www.fionafranchimon.com/irinafarfallina</t>
  </si>
  <si>
    <t>parmamakeovers</t>
  </si>
  <si>
    <t>Hair and makeup artist Lake Como ! Tuscany ! Sicily</t>
  </si>
  <si>
    <t>ɪᴍᴀɢɪɴᴇ ᴡᴇ ᴡɪʟʟ ᴄʀᴇᴀᴛᴇ 🖌 Asian skin expert 👸ᴄᴇʀᴛɪғɪᴇᴅ ᴍᴜᴀ 💄 UK 🇬🇧 / ITALY 🇮🇹  - 𝐒𝐞𝐫𝐯𝐞 𝐰𝐨𝐫𝐥𝐝𝐰𝐢𝐝𝐞 🌎 
@kirankour96 @shopgermangel</t>
  </si>
  <si>
    <t>http://www.germangel.it</t>
  </si>
  <si>
    <t>menswear Santorini</t>
  </si>
  <si>
    <t>santorini_menswear</t>
  </si>
  <si>
    <t>Santorini Mens’Wear ®</t>
  </si>
  <si>
    <t>🦅 Referência em imagem masculina 
📍Av. Dom Cabral 288- Jardim dos Lagos - NS
🔗Link para atendimento e compras</t>
  </si>
  <si>
    <t>https://bio.site/SantoriniOficial</t>
  </si>
  <si>
    <t>moda Ibiza</t>
  </si>
  <si>
    <t>bohomoda_ibiza</t>
  </si>
  <si>
    <t>Boho Moda Ibiza</t>
  </si>
  <si>
    <t>VENTA DE ROPA CON ESTILO BOHO👗👚👙🧤. Se realizan envíos 📦✉️</t>
  </si>
  <si>
    <t>tomodachi.ibiza</t>
  </si>
  <si>
    <t>Tomodachi Ibiza</t>
  </si>
  <si>
    <t>Ibizas new venue
Open every Tuesday/Thursday/Saturday
“Quality is never an accident.”
No Phone Policy
A high quality audio experience by TPI sound</t>
  </si>
  <si>
    <t>http://www.tomodachiibiza.es</t>
  </si>
  <si>
    <t>moda Mallorca</t>
  </si>
  <si>
    <t>cenicientablog</t>
  </si>
  <si>
    <t>Moda • Mallorca • ALBA SOTO</t>
  </si>
  <si>
    <t>🧘🏻‍♀️🩰🧚🏼‍♀️🌙🔮🪬🧿✨
Aquí encontrarás solo un 2% de mí. El otro 98% es mejor.
Mi regreso al blog: nueva etapa creativa, consciente y con alma.</t>
  </si>
  <si>
    <t>http://www.1cenicientamoderna.com/vuelve-blog-moda-nueva-etapa</t>
  </si>
  <si>
    <t>nails Capri</t>
  </si>
  <si>
    <t>nailscapricho.ofc</t>
  </si>
  <si>
    <t>nails capricho</t>
  </si>
  <si>
    <t>❤️ |Conteúdos exclusivos diarios🤩
💅 |Melhores dicas e inspirações!🎁
⏰ |Ative as notificações 🔔</t>
  </si>
  <si>
    <t>https://bio.site/Especialistaemdesigner</t>
  </si>
  <si>
    <t>skincare Capri</t>
  </si>
  <si>
    <t>caprices_dete</t>
  </si>
  <si>
    <t>CAPRICE LUXURY HOME Skincare &amp; Spa</t>
  </si>
  <si>
    <t>Cosmétiques, bien-être &amp; spa de luxe — l’excellence au service de votre beauté. Venez briller ✨ 
👻 elyam7</t>
  </si>
  <si>
    <t>http://www.caprice-dete.com</t>
  </si>
  <si>
    <t>caprichorosa.skincare</t>
  </si>
  <si>
    <t>Dani Albarrán | Skincare</t>
  </si>
  <si>
    <t>🩷 Nuevo contenido en mi otra cuenta  @danialb_cosmetologa ⬅️ ¡Allá te veo!</t>
  </si>
  <si>
    <t>caprichos_makeu</t>
  </si>
  <si>
    <t>MAYORISTA DE BELLEZA | SKINCARE | CAPILAR</t>
  </si>
  <si>
    <t>🚀Compra mínima $100.000 | Stock listo📦
🌎Importador directo | Precios de fábrica🔥
📍CC Colombia local 97 B/quilla
🛒Accede a precios mayoristas aquí⬇️</t>
  </si>
  <si>
    <t>https://www.caprichosmakeup.com/</t>
  </si>
  <si>
    <t>sustainable fashion Mallorca</t>
  </si>
  <si>
    <t>barbershop Hvar</t>
  </si>
  <si>
    <t>barbershopharmonysociety</t>
  </si>
  <si>
    <t>Barbershop Harmony Society</t>
  </si>
  <si>
    <t>Our mission is to enrich lives through singing. #everyoneinharmony</t>
  </si>
  <si>
    <t>https://linktr.ee/barbershopharmonysociety</t>
  </si>
  <si>
    <t>haraldbarbershop</t>
  </si>
  <si>
    <t>Harald Barbershop</t>
  </si>
  <si>
    <t>“Your Look Your Legacy”
𝐁𝐮𝐤𝐚: 
💈Harald Inggit 10.00am-10.00pm
💈Harald Dipatiukur 10.00am-11.00pm
-
Part of @haraldpillargroup</t>
  </si>
  <si>
    <t>https://haraldbarbershop.com/about-us/</t>
  </si>
  <si>
    <t>samsharbarbershop</t>
  </si>
  <si>
    <t>Sam’s hår barbershop</t>
  </si>
  <si>
    <t>Öppet måndag till fredag  kl 10:00 till kl 18:00
Drop in.</t>
  </si>
  <si>
    <t>https://www.facebook.com/profile.php?id=100063511393341</t>
  </si>
  <si>
    <t>curly hair Hvar</t>
  </si>
  <si>
    <t>hair tutorial Hvar</t>
  </si>
  <si>
    <t>samanthasbeautyconfessions</t>
  </si>
  <si>
    <t>SAMANTHA HARMAN | HAIR TUTORIALS | HAIRSTYLIST EDUCATION</t>
  </si>
  <si>
    <t>Podcast: Samantha’s Beauty Confessions 🎙️
BTC TEAM @behindthechair_com
LINKS, DISCOUNT CODES &amp; CLASSES 👇🏻</t>
  </si>
  <si>
    <t>https://linktr.ee/samanthaharman</t>
  </si>
  <si>
    <t>high heels Hvar</t>
  </si>
  <si>
    <t>almeya_poledance</t>
  </si>
  <si>
    <t>Алмея-pole,стретчинг,strip,high heels,повітряна гімнаст Харків</t>
  </si>
  <si>
    <t>Pole dance, high heels, стретчинг, strip dance Харків
@almeya_kids Дитячі тренування
🏡Безпека, комфорт та розвиток-наші пріорітети
🧡Заснована в 2008</t>
  </si>
  <si>
    <t>http://www.almeya.com.ua</t>
  </si>
  <si>
    <t>veronika_ti</t>
  </si>
  <si>
    <t>High Heels • Харків • Танці</t>
  </si>
  <si>
    <t>Приходь на танці 🫵🏼
Пн|Пт 18/19:00 • Вт|Чт 19:00 • Сб 12:00👠
Індивідуальні  в Dr 🫶🏼
Co-founder: @idol_danceteam 
Самопроголошений амбасадор Jordan</t>
  </si>
  <si>
    <t>luxury Corsica</t>
  </si>
  <si>
    <t>dolce_notte_hotel_st_florent</t>
  </si>
  <si>
    <t>DOLCE NOTTE  luxury hotel st florent corsica</t>
  </si>
  <si>
    <t>luxury Reunion</t>
  </si>
  <si>
    <t>akbrows_reunion</t>
  </si>
  <si>
    <t>AK BROWS • LUXURY BEAUTY HOUSE</t>
  </si>
  <si>
    <t>🇷🇪 𝐁𝐫𝐨𝐰𝐬 𝐬𝐢𝐠𝐧𝐚𝐭𝐮𝐫𝐞 @kichenamaadeline 
🅿️ 𝐏𝐫𝐢𝐯𝐚𝐭𝐞 𝐩𝐚𝐫𝐤𝐢𝐧𝐠
• Permanent Brows | Tint &amp; Lamination | Air brush
• Halal Brows
• Aesthetic | Nails arts</t>
  </si>
  <si>
    <t>luxury Sardinia</t>
  </si>
  <si>
    <t>luxuryesmeralda</t>
  </si>
  <si>
    <t>Luxury Esmeralda Real Estate | Savills Residential Sardinia</t>
  </si>
  <si>
    <t>💎Luxury Real Estate | Savills International Sole Associate Residential Porto Cervo &amp; Sardinia : 
🏡 Sale | Management| Consulting |Concierge| Finance</t>
  </si>
  <si>
    <t>https://www.luxuryesmeralda.com/</t>
  </si>
  <si>
    <t>make-up artist Hvar</t>
  </si>
  <si>
    <t>hasan_harfosh_make_up_artist_</t>
  </si>
  <si>
    <t>Hasan Harfosh</t>
  </si>
  <si>
    <t>SALON HASAN HARFOSH♥️
Mobile: 0942069278📲📲
Mobile : 0982147808
📍Homs_Syria</t>
  </si>
  <si>
    <t>makeupartistlilit</t>
  </si>
  <si>
    <t>Harutyunyan Make UP Lilit</t>
  </si>
  <si>
    <t>Makeup Artist Lilit 
📍Currently in Artashat
@lnstylestuido 
📍Currently in Yerevan 
@maravilla_beauty_house 
📲 +37498338551
12 տարվա աշխատանքային փորձ</t>
  </si>
  <si>
    <t>https://instagram.com/lil_style_studio?igshid=YmMyMTA2M2Y%3D</t>
  </si>
  <si>
    <t>makeup Hvar</t>
  </si>
  <si>
    <t>emily_harper_</t>
  </si>
  <si>
    <t>E M I L Y - Makeup Artist</t>
  </si>
  <si>
    <t>L O S  A N G E L E S  •   
TikTok 240k👇🏼 YouTube 440k</t>
  </si>
  <si>
    <t>https://lnk.bio/emilyharper</t>
  </si>
  <si>
    <t>harmanbeautyy</t>
  </si>
  <si>
    <t>YEG LIPS BROW LASH MAKEUP ARTIST🇨🇦</t>
  </si>
  <si>
    <t>•MUA @harman_beauty 
•Laser Hair Removal 
•Skin Rejuvenation Treatments
•Cosmetic Permanent Makeup
•Professional Henna Artist
•DM for paid promotions</t>
  </si>
  <si>
    <t>https://linktr.ee/contactharmanbeauty</t>
  </si>
  <si>
    <t>hpkaurmakeovers</t>
  </si>
  <si>
    <t>HARPREET KAUR | MAKEUP ARTIST</t>
  </si>
  <si>
    <t>Bridal Makeup &amp; Nail Artist 🇨🇦
📍Brampton, ON
For bookings : +1(204)9623661
Nails @getsetpolish 💅🏻
🎥6K YouTube fam</t>
  </si>
  <si>
    <t>https://g.co/kgs/BRFZ3wm</t>
  </si>
  <si>
    <t>lola.sharipova.makeup</t>
  </si>
  <si>
    <t>ВИЗАЖИСТ | 𝐃𝐔𝐒𝐇𝐀𝐍𝐁𝐄 | 𝐓𝐀𝐉𝐈𝐊𝐈𝐒𝐓𝐀𝐍 🇹🇯</t>
  </si>
  <si>
    <t>Люблю то, чем занимаюсь 💄 
▫️Создаю красивые образы✨
▫️Более 1000 довольных клиентов ты следующая…
ЗАПИСАТЬСЯ👇🏻
+(992) 886 98 7575</t>
  </si>
  <si>
    <t>makeup_anuw</t>
  </si>
  <si>
    <t>ПРОФЕССИОНАЛЬНЫЙ ВИЗАЖИСТ СТИЛИСТ | ХАРЕЗМ</t>
  </si>
  <si>
    <t>📞+998-50-001-69-68
💄 Макияж | ✂️ Стрижки | 💇‍♀️ Укладки
👰 Специальный макияж для невест
⬇️ Подпишитесь на мой YouTube-канал⤵️</t>
  </si>
  <si>
    <t>https://youtube.com/@makeupanuw?si=we-pwoMI6ChS686_</t>
  </si>
  <si>
    <t>makeupbyhardik</t>
  </si>
  <si>
    <t>Hardik</t>
  </si>
  <si>
    <t>• Makeup by @hardiiiiiiiiiiik   
• Certified Pro Makeup Artist
• Call/Whatsapp 7983371766
• Works Globally 🌍
📍Shahnaz Unisex Salon, Mathura</t>
  </si>
  <si>
    <t>makeupbyharika</t>
  </si>
  <si>
    <t>Harika Marumamula | Makeup Artist</t>
  </si>
  <si>
    <t>Beauty | Fashion | Editorial | Bridal
Certified from @londonschoolofmakeup @ishakhannamakeup 
DM for bookings and queries
📍Hyderabad</t>
  </si>
  <si>
    <t>https://wa.link/hdjk4k</t>
  </si>
  <si>
    <t>makeupbyharmandevgun</t>
  </si>
  <si>
    <t>Harman Devgun</t>
  </si>
  <si>
    <t>Based in Punjab | Available for travel
For bookings : +91 99963 29518</t>
  </si>
  <si>
    <t>makeupbyharmanjatana</t>
  </si>
  <si>
    <t>HARMAN JATANA✨</t>
  </si>
  <si>
    <t>Professional Bridal MUA 💄
Based in Chandigarh | Travels Globally
Enquires/Bookings: DM or WhatsApp at (+91 7087225876)
Former Dentist
@makeupbymario</t>
  </si>
  <si>
    <t>makeupbyharry</t>
  </si>
  <si>
    <t>Harry Keenan</t>
  </si>
  <si>
    <t>~ MUA 10 +years in the industry
~ bridal/party/shoots MUA
~ 🫧facials
~📍𝟗𝟕 𝐨𝐥𝐝𝐡𝐚𝐦 𝐫𝐨𝐚𝐝 𝐫𝐨𝐜𝐡𝐝𝐚𝐥𝐞 OL165QR
~ OWNER OF @hjkcosmetics</t>
  </si>
  <si>
    <t>https://hjkcosmetics.store/</t>
  </si>
  <si>
    <t>makeup_by_harshaa</t>
  </si>
  <si>
    <t>Harsha bhati | Jaipur Makeup Artist</t>
  </si>
  <si>
    <t>▫️Professional Makeup Artist
▫️Fashion Stylist 
▫️Brides | Glam | Commercial
📍Jaipur | Works Globally 🌍
#makeupartist</t>
  </si>
  <si>
    <t>makeupbymiko7</t>
  </si>
  <si>
    <t>Miko Harutyunyan</t>
  </si>
  <si>
    <t>_____________________________________________
Makeup Artist 🧑🏻‍🎨🎨
Los Angeles 🌴
I teach makeup 💄
 Creator @makeupbymiko77 
Booking 📝</t>
  </si>
  <si>
    <t>http://makeupbymiko.com/</t>
  </si>
  <si>
    <t>makeupbysamanthaharvey</t>
  </si>
  <si>
    <t>Sam ♡</t>
  </si>
  <si>
    <t>a glam girly 🫦
dejah@intertalentgroup.com</t>
  </si>
  <si>
    <t>https://www.tiktok.com/@makeupbysamanthaharvey?_t=8iuaaiUFH3x&amp;_r=1</t>
  </si>
  <si>
    <t>makeup.koreanlooks</t>
  </si>
  <si>
    <t>Tips Makeup Korean Looks | Berbagi Tips Makeup Setiap Hari</t>
  </si>
  <si>
    <t>Temukan alat makeup korea TERMURAH link dibawah ⤵️</t>
  </si>
  <si>
    <t>http://shoplinks.to/Flashsaleskincare</t>
  </si>
  <si>
    <t>makeup Mauritius</t>
  </si>
  <si>
    <t>ashish_rughoobur</t>
  </si>
  <si>
    <t>Makeup Artist Mauritius</t>
  </si>
  <si>
    <t>Director @thebeautyroom_by_n_a_rughoobur
Makeup artist - M•A•C Cosmetics Indian Ocean</t>
  </si>
  <si>
    <t>https://goo.gl/maps/519UkZ4qb3q5jY2c9</t>
  </si>
  <si>
    <t>moda Corsica</t>
  </si>
  <si>
    <t>studio_moda49</t>
  </si>
  <si>
    <t>STUDIO MODA 49 | CORSI DI CUCITO</t>
  </si>
  <si>
    <t>📍 Roma, Italia
✂️ Corsi di cucito in presenza e online  
📥 Cartamodelli - scarica istantaneo  
👉 Segui @sewingpatterns.it</t>
  </si>
  <si>
    <t>https://linktr.ee/StudioModa49</t>
  </si>
  <si>
    <t>moda Hvar</t>
  </si>
  <si>
    <t>modacocukhatay</t>
  </si>
  <si>
    <t>Harun Akçay</t>
  </si>
  <si>
    <t>💻www.modacocuk.net 
👍Değişim Hattı 0552 713 5661
📦Kargo 50 TL+KapıdaÖdeme 15 TL
📬PTTKargo
📌SadeceDeğişim Mevcut
⬇️sipariş linki</t>
  </si>
  <si>
    <t>http://www.modacocuk.net</t>
  </si>
  <si>
    <t>moda_harim</t>
  </si>
  <si>
    <t>Fatima Zahra Azyae Turkya</t>
  </si>
  <si>
    <t>مرحبا بكم😊 في محلناModa _harim🇹🇷🇹🇷 
في تمارة  المسيرة 1 قرب مخبزة احد إقامة الامانة 12 
🚚 التوصيل لجميع مدن المغرب
💵 الدفع عند الاستلام
📲0668838362</t>
  </si>
  <si>
    <t>https://maps.app.goo.gl/pGugzmHM9SLmLcF19</t>
  </si>
  <si>
    <t>useharmonikids</t>
  </si>
  <si>
    <t>HARMONI | Moda Infantil Atemporal</t>
  </si>
  <si>
    <t>Pré-venda dos básicos canelados 👇🏻</t>
  </si>
  <si>
    <t>https://www.useharmoni.com</t>
  </si>
  <si>
    <t>nails Corsica</t>
  </si>
  <si>
    <t>nailsbymartina2.0</t>
  </si>
  <si>
    <t>MARTINA NAILS BOUTIQUE | UNGHIE BRESCIA | CORSI UNGHIE</t>
  </si>
  <si>
    <t>Formo onicotecniche consapevoli, precise e veloci 💅
+500 corsiste con il mio metodo da salone💫
Inizia la tua trasformazione adesso anche online👇🏼</t>
  </si>
  <si>
    <t>https://martina-nails-academy.teachable.com/?fbclid=PAQ0xDSwMlK_lleHRuA2FlbQIxMQABp_3IKQT3VSIsMpo4fgp3AualQAbQk7C0vu7EbEQhUUtwn5XLFASgUB5OdA3U_aem_RdGkvrIM8UkJxpkFXgOBVw</t>
  </si>
  <si>
    <t>nails Hvar</t>
  </si>
  <si>
    <t>harmonienails</t>
  </si>
  <si>
    <t>All You Need In A Life Of Cyn</t>
  </si>
  <si>
    <t>Licensed  |  God,Family,Nails
Accepting New Clients ✨
📍Woodland Hills (LA) &amp; Sacramento 
Text to Book 💅🏽</t>
  </si>
  <si>
    <t>https://m.youtube.com/@cynzcity32</t>
  </si>
  <si>
    <t>haruno.nails_</t>
  </si>
  <si>
    <t>はるの (𝑯𝑨𝑹𝑼𝑵𝑶)</t>
  </si>
  <si>
    <t>🍄@hiromi.de.haruno (another me🪼)🕰️ 9am-9pm📍Tầng 2, số 1 NGÕ Phan Chu Trinh, Hoàn Kiếm, HN</t>
  </si>
  <si>
    <t>https://maps.app.goo.gl/QbGjSYTxji2Arhh48?g_st=com.google.maps.preview.copy</t>
  </si>
  <si>
    <t>jpn_nails_studio</t>
  </si>
  <si>
    <t>Chicago e-file hard gel,nochip💅🏼Yuliia Lutsiv</t>
  </si>
  <si>
    <t>JPN Nails Studio 💅🏻🇺🇦
E-file no-chip,rubber base,hard gel,dry pedicure 
Hospital-level sterilization
852 N Ashland ave, Chicago,Illinois 
BOOK ONLINE🔻</t>
  </si>
  <si>
    <t>https://www.vagaro.com/jpnnailsstudio</t>
  </si>
  <si>
    <t>krystalsnails_harpenden_</t>
  </si>
  <si>
    <t>Krystal’s Nails Harpenden</t>
  </si>
  <si>
    <t>💕 Walk-in &amp; Appointment 
☎️ 01582361669 
⏰ Mon-Wed: 10am-7pm
      Thurs-Sat: 9.30am-7pm</t>
  </si>
  <si>
    <t>https://maps.app.goo.gl/xMfHpoo3GrijswULA?g_st=ic</t>
  </si>
  <si>
    <t>nails_harbor</t>
  </si>
  <si>
    <t>МАНІКЮР ПЕДИКЮР БРОВИ Харків</t>
  </si>
  <si>
    <t>Більше ніж манікюр ❤️
🪄фанати своєї роботи 
⚡️сучасні техніки
🌪️одночасні послуги
⠀
Засновниця @halyna_oriabinska 
⠀
Для запису 24/7 натискай👇🏻</t>
  </si>
  <si>
    <t>https://cbox.mobi/go/harbor</t>
  </si>
  <si>
    <t>racha_nails_</t>
  </si>
  <si>
    <t>Racha Haroun</t>
  </si>
  <si>
    <t>PROFESSIONAL NAIL ARTIST💅🏾
Nail artist/nail designs/nail stylist 
📍Verdun 03/242621📲 salon zeina&amp;racha 
Founder of Racha Nails @rasha_haroun9</t>
  </si>
  <si>
    <t>https://maps.google.com/?q=33.891781%2C35.485363</t>
  </si>
  <si>
    <t>ootd Hvar</t>
  </si>
  <si>
    <t>deroses_catalog</t>
  </si>
  <si>
    <t>LUBUK PAKAIAN OOTD HARIAN ANDA</t>
  </si>
  <si>
    <t>⛔Hati Hati dgn PS SCAMMER FADILA
🏘️ BUTIK OPEN EVERYDAY
✈️Postage (Weekdays) 
SSM 1443773-A
Catalog @deroseshop_
To order click link 📲</t>
  </si>
  <si>
    <t>https://linktr.ee/deroseshop</t>
  </si>
  <si>
    <t>__harshie.xx1111__</t>
  </si>
  <si>
    <t>Harshika Naarayan| Fashion aesthetics| OOTD| Style🧿🕉</t>
  </si>
  <si>
    <t>🇮🇳 🕉🙏🏻🧿
Fashion|Style videos|Outfit inspo
For collaboration- mail only 
In quest for raison d'être in my perchance existence!</t>
  </si>
  <si>
    <t>https://www.amazon.in/shop/__harshie.xx1111__</t>
  </si>
  <si>
    <t>inspirasiootd_harian</t>
  </si>
  <si>
    <t>OOTD hijab harian</t>
  </si>
  <si>
    <t>💖 Berbagi seputar OOTD keseharian
💖 yang mau di repost bisa dm
📌 Dm for business inq 📩
💖 Racun OOTD harian 👇🏻</t>
  </si>
  <si>
    <t>ootdshopnitiww</t>
  </si>
  <si>
    <t>HARGA ECER RASA GROSIR</t>
  </si>
  <si>
    <t>Offline STORE : OotdShopNitiwSTORE (GOOGLE MAPS) 
Join Reseller ? WA ke kami aja ya ka
Admin 1  : 0852-9514-7135
Admin 2 : 0857-8112-4524
Shopee⬇️</t>
  </si>
  <si>
    <t>http://shopee.co.id/ootdshopnitiw/</t>
  </si>
  <si>
    <t>uppa_collection</t>
  </si>
  <si>
    <t>OOTD Terupdate Harga Trjangkau</t>
  </si>
  <si>
    <t>All ReStock
SOLD=Dlete
Real Pic by Own @uppaaah
@ups_collection 
Order langsung chat via DM IG
Offline Store Jln.Sul-Has Rappang
By Admin</t>
  </si>
  <si>
    <t>perfume Hvar</t>
  </si>
  <si>
    <t>harlemperfumeco</t>
  </si>
  <si>
    <t>Harlem Perfume Co.</t>
  </si>
  <si>
    <t>ART . CULTURE . LEGACY
Fine fragrance for every era.
Meet us #BetweenTheLines @sephora</t>
  </si>
  <si>
    <t>https://www.sephora.com/brand/harlem-perfume-co</t>
  </si>
  <si>
    <t>harmanperfume</t>
  </si>
  <si>
    <t>Harman Perfume</t>
  </si>
  <si>
    <t>كوردستان دهـوك بازاري برا.سه ري فرعي زيرنگرا📍
يوجد لدينا توصيل كافة محافظات كردستان و العراق
ژمارا موبايل 07504827300</t>
  </si>
  <si>
    <t>https://www.snapchat.com/add/harmanrekany?share_id=sUCl14L3Qqe_2Umcd2GCsQ&amp;locale=ar_US</t>
  </si>
  <si>
    <t>haryad.perfume</t>
  </si>
  <si>
    <t>هریاد پرفیوم_عطر و ادکلن</t>
  </si>
  <si>
    <t>فروش تخصصی عطر و ادکلن 
 با ضمانت کیفیت  | همراه با فاکتور رسمی
ارسال سریع | 🚚
مشاوره خرید تخصصی قبل از خرید
 سفارش از دایرکت یا واتساپ 
 09185362417</t>
  </si>
  <si>
    <t>hobb.perfume</t>
  </si>
  <si>
    <t>حُب پرفیوم|ادکلن اورجینال، تستر هاردباکس، اماراتی</t>
  </si>
  <si>
    <t>ما عطر با عشق می‌فروشیم🕊
خودت میری ولی عطرت میمونه 💠
هایلایت دخترونه ها 🌷🌺 و عاشقانه ها ❣️ را ببین
میشه کیفیت بالا و قیمت منصفانه را باهم داشت 💫</t>
  </si>
  <si>
    <t>skincare Hvar</t>
  </si>
  <si>
    <t>harshhgandhii</t>
  </si>
  <si>
    <t>Harsh Gandhi | Skincare &amp; Lifestyle</t>
  </si>
  <si>
    <t>Building: @noxapparels 
Alter Ego: @harshreps 
Managed by: @cloutpocketaces</t>
  </si>
  <si>
    <t>https://www.youtube.com/@HarshGandhi</t>
  </si>
  <si>
    <t>harukaskincare</t>
  </si>
  <si>
    <t>Haruka Skincare Official</t>
  </si>
  <si>
    <t>Haruka Skincare by @findaharuka
Satu-satunya skincare
✨ Autoimmune-Friendly
✨ Anti-Inflamaging = Anti-Inflamasi + Anti-Aging
👩‍⚕️ #RewelSkinApproved</t>
  </si>
  <si>
    <t>https://linktr.ee/harukaskincare</t>
  </si>
  <si>
    <t>harumiglobal</t>
  </si>
  <si>
    <t>Skincare Coreano Colombia</t>
  </si>
  <si>
    <t>🙋🏻‍♀️ @viviana.revelo
🇰🇷Síguenos y conoce la rutina facial coreana
🧑🏻‍🔬Asesoría por videollamada
📦Venta mayorista y unidad
⬇️Página web - WhatsApp</t>
  </si>
  <si>
    <t>https://linktr.ee/harumiglobal</t>
  </si>
  <si>
    <t>queen_sadi_skincare</t>
  </si>
  <si>
    <t>halimatu sadiya haruna</t>
  </si>
  <si>
    <t>Ta Annabi:
Karamin sana,a yafi maula
Munada shago a Maiduguri da Kano
Call or WhatsApp us for more information  08063303709
CEO @sayyada_sadeya_haruna</t>
  </si>
  <si>
    <t>tataharperskincare</t>
  </si>
  <si>
    <t>Tata Harper Skincare</t>
  </si>
  <si>
    <t>Plant potent, results oriented.
Powered by botanic-tech, made with 💚 in Vermont 
by @tataharper.
ECOCERT ♻️ &amp; Cruelty-Free</t>
  </si>
  <si>
    <t>https://likeshop.me/tataharperskincare</t>
  </si>
  <si>
    <t>tyah.haro</t>
  </si>
  <si>
    <t>Wellness With Tyah | Health &amp; Skincare</t>
  </si>
  <si>
    <t>Women’s Wellness Nurse Practitioner 🌿
Holistic Glow UP. Hormones, metabolism, nutrition &amp; skincare- it’s all connected. Book a Call to dive deeper. 🪷</t>
  </si>
  <si>
    <t>https://boards.com/a/43gH9v.EMq1AM</t>
  </si>
  <si>
    <t>sneakers Corsica</t>
  </si>
  <si>
    <t>corsican_sneakers</t>
  </si>
  <si>
    <t>Colonna Pierre</t>
  </si>
  <si>
    <t>𝘚𝘕𝘌𝘈𝘒𝘌𝘙𝘚 𝘓𝘐𝘍𝘌𝘚𝘛𝘠𝘓𝘌 
Sneakers News &amp; pop culture
📸 𝘢𝘯𝘥 🎥 𝘉𝘺 𝘔𝘦
👟 𝘛𝘦𝘢𝘮 @klekt</t>
  </si>
  <si>
    <t>https://www.klekt.com/</t>
  </si>
  <si>
    <t>accessories Maui</t>
  </si>
  <si>
    <t>driftwoodmaui</t>
  </si>
  <si>
    <t>Driftwood Maui | Clothing • Jewelry • Accessories</t>
  </si>
  <si>
    <t>Women's Boutique for Chic Island Living!
Shop our sister store Coast By Driftwood for all things beach, 2 doors down. Online 24/7 free shipping.</t>
  </si>
  <si>
    <t>https://www.driftwoodmaui.com/</t>
  </si>
  <si>
    <t>luxury Maldives</t>
  </si>
  <si>
    <t>all.luxurymaldives</t>
  </si>
  <si>
    <t>منتجعات  المالديف الفاخرة  .. Luxury Maldives Hotels</t>
  </si>
  <si>
    <t>☆I مختصين بحجز منتجعات المالديف الفاخرة
☆I Part Of @all.luxuryhotels 
I📍الرياض
I لحجز المنتجعات بإشراف فريق محترف ⬇️</t>
  </si>
  <si>
    <t>aurora_travel_agency</t>
  </si>
  <si>
    <t>💫 Luxury/Maldives/Resorts 💫</t>
  </si>
  <si>
    <t>Álomnyaralás a Maldív-szigeteken? 😎🌴 
Mi ebben utazunk.💥✈️
📩: info@auroratravel.hu</t>
  </si>
  <si>
    <t>https://linktr.ee/auroratravel</t>
  </si>
  <si>
    <t>azaleacruise</t>
  </si>
  <si>
    <t>Luxury Yacht In Maldives</t>
  </si>
  <si>
    <t>The only Luxury yacht partnered with National Geographic &amp; Playboy Magazine in the Maldives 
📧 info@azaleacruise.com or call 
📱+9607781881 (WhatsApp)</t>
  </si>
  <si>
    <t>http://www.azaleacruise.com/</t>
  </si>
  <si>
    <t>baglionimaldives</t>
  </si>
  <si>
    <t>Baglioni Maldives Luxury All-Inclusive</t>
  </si>
  <si>
    <t>Welcome to our All-Inclusive Resort in the Maldives. Find Baglioni luxury hospitality in paradise.
Member of @leadinghotelsoftheworld</t>
  </si>
  <si>
    <t>https://bit.ly/Baglionimaldives</t>
  </si>
  <si>
    <t>furaverimaldives</t>
  </si>
  <si>
    <t>Furaveri Maldives | Luxury Resort in Maldives</t>
  </si>
  <si>
    <t>One Island, Many Memories!
To enhance your stay and create special memories, click here</t>
  </si>
  <si>
    <t>https://furaveri.com/offers/</t>
  </si>
  <si>
    <t>ultraluxurymaldives</t>
  </si>
  <si>
    <t>Ultra Luxury Maldives</t>
  </si>
  <si>
    <t>⭐️ Luxury Resorts, Destination Weddings, Spa &amp; Yachts
⭐️ For bookings: sales@ultraluxurymaldives.com 
⭐️ Contact us: +9607877788 Available on WhatsApp</t>
  </si>
  <si>
    <t>http://www.ultraluxurymaldives.com/</t>
  </si>
  <si>
    <t>luxury Zanzibar</t>
  </si>
  <si>
    <t>balinese_spa_zanzibar</t>
  </si>
  <si>
    <t>ZANZIBAR LUXURY SPA</t>
  </si>
  <si>
    <t>Health Spa</t>
  </si>
  <si>
    <t>✨ Authentic Balinese Spa in Zanzibar
🌿 Massage • Facials • Body Care
📍 Stone Town &amp; Nungwi
📞 DM or WhatsApp to book today!</t>
  </si>
  <si>
    <t>https://balinesespazanzibar.com</t>
  </si>
  <si>
    <t>joharidevelopers</t>
  </si>
  <si>
    <t>Zanzibar | Luxury Beach Villas</t>
  </si>
  <si>
    <t>Luxury Real Estate Developer &amp;
Winner of Best Luxury Villa Developer in Zanzibar 2024 
•Sandbank Villas
•@joharibeach</t>
  </si>
  <si>
    <t>https://linktr.ee/joharidevelopers</t>
  </si>
  <si>
    <t>safirabluresort</t>
  </si>
  <si>
    <t>SafiraBlu Luxury Resort &amp; Villas | Zanzibar</t>
  </si>
  <si>
    <t>Luxury Redefined in Zanzibar
Private Pool Villas • Secluded Beachfront • Ocean Views
Unmatched Privacy &amp; Comfort 
Your Exclusive Island Escape</t>
  </si>
  <si>
    <t>https://www.safirablu.com/reservations%23/</t>
  </si>
  <si>
    <t>whitesandvillas</t>
  </si>
  <si>
    <t>Zanzibar White Sand Luxury Villas - Relais &amp; Châteaux</t>
  </si>
  <si>
    <t>• Award-winning @relaischateaux 5-star resort
• Spacious villas crafted for peace and harmony
• Mindful luxury on the beachfront of Zanzibar</t>
  </si>
  <si>
    <t>https://linktr.ee/whitesandvillas</t>
  </si>
  <si>
    <t>xanadu_villas</t>
  </si>
  <si>
    <t>Xanadu Luxury Villas Zanzibar</t>
  </si>
  <si>
    <t>🐚 9 villas each equipped with private plunge pools
🐚 Gourmet restaurant with customer tailored menu
🐚 A spa located right on the beach</t>
  </si>
  <si>
    <t>https://xanadu-villas.com/</t>
  </si>
  <si>
    <t>yconaluxuryresort</t>
  </si>
  <si>
    <t>Ycona | Eco-Luxury Resort in Zanzibar</t>
  </si>
  <si>
    <t>🥇Multi award winning resort 
🏆Outstanding Eco-Luxury Boutique Resort 2025
🏅Best Eco Resort East-Africa,Zanzibar
BOOK NOW at the link below👇🏻/WhatsApp📲</t>
  </si>
  <si>
    <t>https://linktr.ee/yconaluxuryresort</t>
  </si>
  <si>
    <t>make-up artist Mauritius</t>
  </si>
  <si>
    <t>makeupartist_mauritius</t>
  </si>
  <si>
    <t>Hans Dax</t>
  </si>
  <si>
    <t>Celebrity Makeup Artist / Bridal Makeup Artist 
CEO - Trinity Group
✈️🇲🇺  🇫🇷  🇮🇳  🇪🇬   🇷🇪 🇿🇦   🇬🇧  🇳🇬 🇪🇸 🇲🇬 🇰🇪</t>
  </si>
  <si>
    <t>make-up artist Zanzibar</t>
  </si>
  <si>
    <t>zanzibar_makeup_artist</t>
  </si>
  <si>
    <t>Wahida Sheikhan</t>
  </si>
  <si>
    <t>Tunapamba maharusi na makeup aina zote
Simple makeup za kwenda na wakati.
☎️ CALL or WHATSAPP
+255778087878
Mkunazi wa kwanza barabara ya airport</t>
  </si>
  <si>
    <t>makeup Maldives</t>
  </si>
  <si>
    <t>glamourbyraee</t>
  </si>
  <si>
    <t>Makeup &amp; hijab stylist | Maldives 🇲🇻</t>
  </si>
  <si>
    <t>Bridal and occasional MUA
DM to book your appointments 
#glamourbyraee
•
•
📍Male’ ,maldives</t>
  </si>
  <si>
    <t>makeup Maui</t>
  </si>
  <si>
    <t>breerubinhair</t>
  </si>
  <si>
    <t>Maui Makeup Artist + Hair</t>
  </si>
  <si>
    <t>🌴#MAUI 
👰🏼Bridal HMU Expert 1,800+ brides 
🏆Voted #1 by The Knot 
💎Maui Bridal Hair + Makeup
💌For Bridal Bookings👇🏼</t>
  </si>
  <si>
    <t>https://linktr.ee/Breerubinhair</t>
  </si>
  <si>
    <t>makeupwithbarbie_</t>
  </si>
  <si>
    <t>MAUI MAKEUP ARTIST | Barbara Gillespie</t>
  </si>
  <si>
    <t>•Full glam / Soft glam specialist
•Team available for hair/makeup services.
•4+ years of experience / Hablamos español
•Based on Maui, Hawaii 📍</t>
  </si>
  <si>
    <t>http://www.makeupwithbarbie.com/</t>
  </si>
  <si>
    <t>wavesofbeauty.maui</t>
  </si>
  <si>
    <t>Maui Hairstylist and Makeup Artist • Weddings in Hawaii</t>
  </si>
  <si>
    <t>I make you feel like the most beautiful woman on your wedding day!
✨Maui, Hawaii
✨Specialist in brides|Seasonal Color Analyst 
✨by Renata 
Book now👇🏼</t>
  </si>
  <si>
    <t>https://wavesofbeautymaui.com</t>
  </si>
  <si>
    <t>makeup Oahu</t>
  </si>
  <si>
    <t>faithyxomakeup</t>
  </si>
  <si>
    <t>Hawaii • Oahu Makeup Artist</t>
  </si>
  <si>
    <t>Oahu, Hawaii • Travel ✈️ 
Click the link below for pricing/booking 👇🏽</t>
  </si>
  <si>
    <t>https://bio.site/Faithyxo</t>
  </si>
  <si>
    <t>mua.manda</t>
  </si>
  <si>
    <t>MANDA | OAHU MAKEUP ARTIST, BROW ARTIST &amp; TRAINER</t>
  </si>
  <si>
    <t>Makeup • Brows • Lip Blush • Oahu, HI📍 
Bridal | @mua.mandaxbridal 
Training | @mua.mandaxtraining 
APPTS:
Brows | Text 808.201.4012
MU | Link Below</t>
  </si>
  <si>
    <t>https://docs.google.com/forms/d/e/1FAIpQLSfayRwwX1L9lOS05P4SGUPZn4XVDQ2NcPcam3tSMo0P6EP3QQ/viewform</t>
  </si>
  <si>
    <t>makeup Zanzibar</t>
  </si>
  <si>
    <t>moda Maui</t>
  </si>
  <si>
    <t>maislinhof</t>
  </si>
  <si>
    <t>Mais Linho | Moda Feminina em Linho</t>
  </si>
  <si>
    <t>Conforto e Sofisticação 
Fabricação Própria | Atacado e Varejo
📍 Loja Física: Goiânia-GO
🛍 Compre no link e receba em todo o Brasil 👇🏻</t>
  </si>
  <si>
    <t>maisonlatinafestas</t>
  </si>
  <si>
    <t>Moda Festa Acessórios e Noivas</t>
  </si>
  <si>
    <t>Aluguel, Venda e Couture Sob medida. Festas, Debutantes e Noivas Goiânia e Brasil ⚜️ 
Loja e Bazar @maisonlatinastore  siga</t>
  </si>
  <si>
    <t>modamaiaatacarejo</t>
  </si>
  <si>
    <t>Moda Maia</t>
  </si>
  <si>
    <t>LOJA MASCULINA DE SURF &amp; MULTIMARCAS 
🛑Atacado e varejo 
📍Av Presidente Costa e Silva Abolição 4
📲 (84) 98725-5075
⚠️Catálogo on-line no link abaixo 👇</t>
  </si>
  <si>
    <t>https://linktr.ee/Modamaia</t>
  </si>
  <si>
    <t>moda.maior</t>
  </si>
  <si>
    <t>Moda Maior Plus Size</t>
  </si>
  <si>
    <t>Moda FASHION Plus Size do 46 ao 60👗
Enviamos para todo o Brasil 🇧🇷
FRETE GRÁTIS confira condições*🚚
Em até 6x sem juros 💳
⬇️CLIQUE para comprar⬇️</t>
  </si>
  <si>
    <t>https://linktr.ee/moda.maior</t>
  </si>
  <si>
    <t>modamaisbaratabh</t>
  </si>
  <si>
    <t>Moda Mais Barata - Roupas Femininas</t>
  </si>
  <si>
    <t>💸 Preço único 49,99 dinheiro ou Pix 55 Cartão 
📱 31986589392
👗P ao G2
📍Rua Caetés 252 centro
📍 Afonso pena 749
 🕥 09:00 as 18:00 sáb de 09:00 às 14:00</t>
  </si>
  <si>
    <t>http://www.modamaisbarata.com.br</t>
  </si>
  <si>
    <t>modamaisitb</t>
  </si>
  <si>
    <t>Moda Mais</t>
  </si>
  <si>
    <t>Viva a moda do seu jeito.
•Moda Feminina 
📍Itabuna/BA
(Fale com nossa equipe no link⤵️)</t>
  </si>
  <si>
    <t>http://linktr.ee/modamaisitabuna</t>
  </si>
  <si>
    <t>modamaisuberlandia</t>
  </si>
  <si>
    <t>Moda Mais Boutique Uberlândia</t>
  </si>
  <si>
    <t>💰Preço Único R$ 55,00
🕑 Segunda a Sexta: 9h às 18:30h
🕠 Sábado: 9h às 17h
⚠️ Não fazemos entregas
⚠️ Não vendemos online
⚠️ Não enviamos fotos</t>
  </si>
  <si>
    <t>modas.maisa_s</t>
  </si>
  <si>
    <t>Modas Maisa</t>
  </si>
  <si>
    <t>MODAS MAISA🍂
Universo feminino cheio de estilo ✨
Enviamos para todo o Brasil!
Excursões 🚌 | Correios 📦
📲 (11) 98545-1388 | (11) 95383-8377</t>
  </si>
  <si>
    <t>moda Oahu</t>
  </si>
  <si>
    <t>oahumodas</t>
  </si>
  <si>
    <t>Oahu Modas | Loja de Roupa</t>
  </si>
  <si>
    <t>Vestuário masculino e feminino!
Desde 2007 trabalhando com as melhores marcas nacionais e importadas. 
📦Enviamos Brasil todo
📲 WhatsApp (19) 991928574</t>
  </si>
  <si>
    <t>https://linktr.ee/oahumodas</t>
  </si>
  <si>
    <t>oahuu.cl</t>
  </si>
  <si>
    <t>CHOKERS, MODA Y ACCESORIOS</t>
  </si>
  <si>
    <t>Handcrafted jewerly. Desde 2017 
📍Retiros en Las Condes
Compras por DM o PÁGINA WEB 
Santiago ¡Envios a todo chile!</t>
  </si>
  <si>
    <t>https://oahuu.cl</t>
  </si>
  <si>
    <t>moda Seychelles</t>
  </si>
  <si>
    <t>gabriellagonthier</t>
  </si>
  <si>
    <t>Seychelles Model || Miss Universe Seychelles</t>
  </si>
  <si>
    <t>🇦🇺 x 🇸🇨
Model | Pageant Queen | UGC Content Creator📨:gabriellagonthier4@gmail.com</t>
  </si>
  <si>
    <t>nails Maui</t>
  </si>
  <si>
    <t>nails.maie</t>
  </si>
  <si>
    <t>Nails.maie</t>
  </si>
  <si>
    <t>Des ongles qui claquent sans RDV 💥
Press on personnalisés &amp; livrés chez toi 📦
✨slay tes mains ✨
📍boutique en ligne
ممنوع اخد الصور 📸❌🙂</t>
  </si>
  <si>
    <t>natural beauty Maui</t>
  </si>
  <si>
    <t>vivamaia.beauty</t>
  </si>
  <si>
    <t>Viva Maia - Natural Mexican Skincare</t>
  </si>
  <si>
    <t>Making Your Skin Feel Loved.
Born in México. Perfected in Berlin.
Guided by Nature. Proven by Science.
#mbeauty #mexicanskincare</t>
  </si>
  <si>
    <t>https://linktr.ee/vivamaia.beauty</t>
  </si>
  <si>
    <t>perfume Zanzibar</t>
  </si>
  <si>
    <t>zanzibarperfume_cosmetis</t>
  </si>
  <si>
    <t>Cosmetic &amp; Perfume_org🔥</t>
  </si>
  <si>
    <t>👉TUNAUZA PERFUME&amp; VIPODOZI JUMLA NA REJAREJ
👉TUNAFANYA FAST DELIVERY KWA MIKOA YOTE 
👉TUPIGIE / WHASAP 0776303008
🏆 Winner BEST SELLER 
♎️ LIBRA</t>
  </si>
  <si>
    <t>streetwear Maui</t>
  </si>
  <si>
    <t>mauisland_</t>
  </si>
  <si>
    <t>Unisex streetwear</t>
  </si>
  <si>
    <t>.
🛒 ORDER KLIK LINK DI ⬇️</t>
  </si>
  <si>
    <t>https://linktr.ee/Mauico_</t>
  </si>
  <si>
    <t>sustainable fashion Maldives</t>
  </si>
  <si>
    <t>sustainable fashion Maui</t>
  </si>
  <si>
    <t>sustainable fashion Mauritius</t>
  </si>
  <si>
    <t>accessories Dallas</t>
  </si>
  <si>
    <t>manuu_wedding_accessories</t>
  </si>
  <si>
    <t>DALLAS &amp; INDIA, INDIAN WEDDING ACCESSORIES</t>
  </si>
  <si>
    <t>Serving across DALLAS | USA | INDIA | World Wide Shipping Available!
DM to order! | LLC &amp; Pvt. Ltd.
24/7-Customer Support.</t>
  </si>
  <si>
    <t>accessories Houston</t>
  </si>
  <si>
    <t>mundoquinceaneratx</t>
  </si>
  <si>
    <t>Quinceañera Dresses &amp; Accessories Houston ♡ TX</t>
  </si>
  <si>
    <t>🎀 Say 𝓨𝓮𝓼 To Your Dream Dress
🩰 Largest Inventory In Texas
✨ 7501 Harwin Dr. 106A, HTX 77036
✨ 7636 Harwin Dr. A111, HTX 77036
💌 @princesstobe_bymq ᯓ★</t>
  </si>
  <si>
    <t>https://linktr.ee/mundoquinceanera</t>
  </si>
  <si>
    <t>barbershop Atlanta</t>
  </si>
  <si>
    <t>barbershop_atlanta</t>
  </si>
  <si>
    <t>BARBERSHOP «ATLANTA»</t>
  </si>
  <si>
    <t>🔹Стрижки🔹Бритье🔹Камуфляж 
🔹Моделирование бороды и усов
🎓Обучение «АКАДЕМИЯ»
☎️ +7(985)333-70-70 📲WhatsApp
Запись Онлайн ⬇️</t>
  </si>
  <si>
    <t>https://n382040.yclients.com/</t>
  </si>
  <si>
    <t>harispa_atlanta_barbershop</t>
  </si>
  <si>
    <t>Harispa Atlanta Barbershop Kediri 💈</t>
  </si>
  <si>
    <t>Since 1996 ! ✊
ENJOY YOUR STYLE.....!!!
• 📅 : EVERYDAY 
• ⏰ :  8 Pagi  - 12 malam
📍Ngancar (Selatan Koramil)
📍Bangsal 
Product check : @harispa_store</t>
  </si>
  <si>
    <t>http://www.facebook.com/harispaatlantabarbershopkediri</t>
  </si>
  <si>
    <t>barbershop Boston</t>
  </si>
  <si>
    <t>barbershop_boston_maylina</t>
  </si>
  <si>
    <t>Барбершоп</t>
  </si>
  <si>
    <t>Здесь Барберы знают толк в работе!
 💈 Крутое оформление бороды.
 🔝 Территория мужких стрижек. 
 💈 Только профессиональные мастера.
 🕒 10.00 - 21.00</t>
  </si>
  <si>
    <t>https://zapis.kz/boston-maylina</t>
  </si>
  <si>
    <t>bostonbarbershop.pku</t>
  </si>
  <si>
    <t>Boston Barbershop</t>
  </si>
  <si>
    <t>💈Barbershop 🇮🇩
⏰ Open Daily(10.30AM-09PM) 
Booking here, click link👇
https://bit.ly/BostonBarberPKU
Jl Thamrin No 60 Gobah Pekanbaru. Indonesia</t>
  </si>
  <si>
    <t>https://bit.ly/BostonBarber.PKU</t>
  </si>
  <si>
    <t>bostonianbarbershop</t>
  </si>
  <si>
    <t>Bostonian Barber Shop</t>
  </si>
  <si>
    <t>🏆 Voted “Boston's Best" Barber Shop
🏆 Voted “South Shore’s Best” Barber Shop
💈⛳️ 💈FENWAY // WHITMAN // HANSON
⬇️ BOOK APPOINTMENTS ⬇️</t>
  </si>
  <si>
    <t>http://www.bostonianbarbershop.com/</t>
  </si>
  <si>
    <t>barbershop Houston</t>
  </si>
  <si>
    <t>headspace.barbershop</t>
  </si>
  <si>
    <t>Houston Barbershop</t>
  </si>
  <si>
    <t>⭐️ PREMIUM PRIVATE BARBER STUDIO ⭐️
Fluent in all textures &amp; styles
Featuring @sheeznifty 
BOOK HERE ⬇️</t>
  </si>
  <si>
    <t>http://booksy.info/SidneyHeadSpace</t>
  </si>
  <si>
    <t>curly hair Dallas</t>
  </si>
  <si>
    <t>hercurls.studio</t>
  </si>
  <si>
    <t>DALLAS CURLY HAIR SALON | ALL TEXTURES</t>
  </si>
  <si>
    <t>The blueprint for elevated texture. Dallas salon. Global energy.
DAL | LA | NY | ATL
Founder/Stylist @gethaiya
@danididit1 Braider @strandedxamanda_</t>
  </si>
  <si>
    <t>http://hercurls.com/</t>
  </si>
  <si>
    <t>lynn__styles</t>
  </si>
  <si>
    <t>Dallas Curly Hair Stylist | Patricia Lynn</t>
  </si>
  <si>
    <t>|discover YOUR style|
Helping clients discover/embrace THEIR natural texture while providing a relaxing calming space and experience. 
BOOK ONLINE 👇🏽</t>
  </si>
  <si>
    <t>https://www.lynnstyles.com/</t>
  </si>
  <si>
    <t>sonceria_carolina</t>
  </si>
  <si>
    <t>SONNIE  CAROLINA | Dallas Curly Hair Specialst</t>
  </si>
  <si>
    <t>Wife  💍  + Boy Mom 🫅🏾
Curl Enthusiast - Hair Color Expert 
The Creator of the “Silk Brush” by Sonnie
Salon Owner @thecurlspotdallas 
📍 Dallas,TX</t>
  </si>
  <si>
    <t>https://www.silkedbysonnie.com</t>
  </si>
  <si>
    <t>curly hair Houston</t>
  </si>
  <si>
    <t>forthecurlturee</t>
  </si>
  <si>
    <t>📍Houston|Broward Curly Hair</t>
  </si>
  <si>
    <t>NO REFUNDS
Fluent in Waves, Curls, &amp; Coils
Curly cuts • Natural Styling • Blowouts 
Steam Therapy with Every service
No chemicals No colors — Just You</t>
  </si>
  <si>
    <t>http://forthecurlturellc.booksy.com/a/</t>
  </si>
  <si>
    <t>hairstyle Boston</t>
  </si>
  <si>
    <t>romina_hairstyles</t>
  </si>
  <si>
    <t>BOSTON BRIDAL HAIRSTYLIST</t>
  </si>
  <si>
    <t>Celebrity | Bridal Hairstylist 
📍 Boston MA  + Worldwide ✈️
📩 rominahairstyles@gmail.com
Bridal Inquiries and Classes ⬇️</t>
  </si>
  <si>
    <t>https://www.rominahairtyles.com/contact</t>
  </si>
  <si>
    <t>hairstyle Dallas</t>
  </si>
  <si>
    <t>rosestylestudio</t>
  </si>
  <si>
    <t>DALLAS SALON | PREMIUM HAIR EXTENSIONS</t>
  </si>
  <si>
    <t>“Where Healthy Hair &amp; Luxury Extensions Meet!”
📍Dallas, TX
Proud partner @dccheerleaders 
Ambassador @crickettools 
We Ship Nationwide 👇🏾</t>
  </si>
  <si>
    <t>https://linktr.ee/Rosemaryo</t>
  </si>
  <si>
    <t>handbags Dallas</t>
  </si>
  <si>
    <t>luxury Atlanta</t>
  </si>
  <si>
    <t>atlantaluxurybags</t>
  </si>
  <si>
    <t>Atlanta Luxury Bags</t>
  </si>
  <si>
    <t>100% Authentic, Pre-owned, Luxury Handbags</t>
  </si>
  <si>
    <t>https://www.atlantaluxurybags.com</t>
  </si>
  <si>
    <t>luxury_art_of_atlanta</t>
  </si>
  <si>
    <t>Charles Childs</t>
  </si>
  <si>
    <t>Winning 🏆</t>
  </si>
  <si>
    <t>luxury Boston</t>
  </si>
  <si>
    <t>bostoncommag</t>
  </si>
  <si>
    <t>Boston Common | Modern Luxury</t>
  </si>
  <si>
    <t>A side of Boston that's anything but common. @modernluxury</t>
  </si>
  <si>
    <t>https://linkin.bio/bostoncommag</t>
  </si>
  <si>
    <t>primaveradreams</t>
  </si>
  <si>
    <t>Luxury Weddings Italy &amp; Boston</t>
  </si>
  <si>
    <t>Destination Luxury Weddings
New England | ITALY
The KNOT Hall of Fame 🏆
Style Me Pretty 🏆
Party Slate 🏆
Multilingual Award-Winning Wedding Enthusiast</t>
  </si>
  <si>
    <t>http://www.primaveradreams.com</t>
  </si>
  <si>
    <t>luxury Dallas</t>
  </si>
  <si>
    <t>hallartshotel</t>
  </si>
  <si>
    <t>HALL Arts Hotel - Luxury Dallas Hotel</t>
  </si>
  <si>
    <t>Forbes Recommended '24
Condé Nast Readers’ Choice Awards '24 #1 in Dallas | #3 in TX
Elevated Style | Boundless Creativity
📍Dallas Arts District</t>
  </si>
  <si>
    <t>https://linktr.ee/HALLArtsHotel</t>
  </si>
  <si>
    <t>modluxdallas</t>
  </si>
  <si>
    <t>Modern Luxury Dallas</t>
  </si>
  <si>
    <t>Your destination for the best the city has to offer. Connecting you to Dallas’ cultural scene in a way no one else can. @modernluxury</t>
  </si>
  <si>
    <t>https://linkin.bio/modluxdallas</t>
  </si>
  <si>
    <t>theadolphushotel</t>
  </si>
  <si>
    <t>The Adolphus | Luxury Hotel In Downtown Dallas</t>
  </si>
  <si>
    <t>A combination of history and timeless tradition.
@thefrenchroom_
@ottoscoffee
@rodeobarofficial
@shop.commerce
@cityhallbistro
Part of @makereadyexp</t>
  </si>
  <si>
    <t>https://linkin.bio/theadolphushotel/</t>
  </si>
  <si>
    <t>luxury Houston</t>
  </si>
  <si>
    <t>houseoffleurhouston</t>
  </si>
  <si>
    <t>Luxury Houston Wedding Decor and Events</t>
  </si>
  <si>
    <t>Luxury Event Production and Rentals 
Floral | Weddings | Signage | Corporate Events | many more ! 
📍TX , NYC, LA ✈️
Website|Rental|Inquire|purchase ⬇️</t>
  </si>
  <si>
    <t>https://ecde30-2.myshopify.com/</t>
  </si>
  <si>
    <t>houston_magazine</t>
  </si>
  <si>
    <t>Modern Luxury Houston</t>
  </si>
  <si>
    <t>All aspects of luxury living in Houston: fashion, culture, dining and more from @modernluxury.</t>
  </si>
  <si>
    <t>https://linkin.bio/houston_magazine</t>
  </si>
  <si>
    <t>jadeluxe__</t>
  </si>
  <si>
    <t>Houston Luxury Hairstylist</t>
  </si>
  <si>
    <t>Luxury Hairstylist &amp; Beauty Coach
Raw Hair Extensions ✨ @jadeluxeofficial 
Wig installs | Tape Ins | Quickweaves
Booking Link &amp; Ebook Courses below👇🏾</t>
  </si>
  <si>
    <t>https://beaconsai.com/jadeluxe</t>
  </si>
  <si>
    <t>magicrosesluxury</t>
  </si>
  <si>
    <t>Houston Photography</t>
  </si>
  <si>
    <t>Andres Rosas LUXURY WEDDINGS / FILM / PHOTOGRAPHY 
Capture Memories
🇺🇸 #HoustonTx 📷🎥👰‍♀️
#Quinceañera #weddingphotographer 
Prod: @andresrosasph</t>
  </si>
  <si>
    <t>https://www.facebook.com/magicrosesweddings</t>
  </si>
  <si>
    <t>picnicperfecthtx</t>
  </si>
  <si>
    <t>LUXURY PICNICS HOUSTON 🧺🥂</t>
  </si>
  <si>
    <t>Established 2021💗Katy based and serving the greater Houston area! Helping to create memorable events for any occasion! Dm us for pricing and inquiries</t>
  </si>
  <si>
    <t>https://linktr.ee/picnicperfecthtx</t>
  </si>
  <si>
    <t>skyliferecovery</t>
  </si>
  <si>
    <t>Luxury Post Op Care Houston</t>
  </si>
  <si>
    <t>Houston’s #1 luxury post op lodging for elective and non-elective surgery! All-inclusive • Airbnb alternative • VIP transportation • FAMILY STAYS FREE</t>
  </si>
  <si>
    <t>https://www.skyliferecovery.com/pricing</t>
  </si>
  <si>
    <t>luxury Philadelphia</t>
  </si>
  <si>
    <t>quarta__</t>
  </si>
  <si>
    <t>K Davis| Atlanta/Philadelphia Luxury Realtor &amp; Investor</t>
  </si>
  <si>
    <t>Realtor 🏡 Credit Pro 💳 Mentor 
5 Million and counting generated in funding🤑
Join my @innercircleofhustlers to learn how to become a 6 💵 Figure Earner!</t>
  </si>
  <si>
    <t>https://linktr.ee/Quartaki</t>
  </si>
  <si>
    <t>make-up artist Atlanta</t>
  </si>
  <si>
    <t>lexupnext</t>
  </si>
  <si>
    <t>Makeup Artist | 📍Atlanta</t>
  </si>
  <si>
    <t>✨SEPTEMBER BOOKS ARE OPEN!!✨
💄| Beauty Expert &amp; Business Educator
📧| lexupnext.business@yahoo.com
⬇️LEARN MY MAKEUP TECHNIQUE⬇️</t>
  </si>
  <si>
    <t>https://linktr.ee/lexupnext</t>
  </si>
  <si>
    <t>touchupbysindhu</t>
  </si>
  <si>
    <t>Atlanta Makeup Artist|Srisindhu Nannapaneni</t>
  </si>
  <si>
    <t>📍Atlanta
🎖️Licensed Cosmetologist
💫 Expert in Bridal | Celebrity Makeup Artist
Travel for brides 🛫entire USA 🇺🇸
💌 what’s app me</t>
  </si>
  <si>
    <t>http://wa.me/14704692295</t>
  </si>
  <si>
    <t>make-up artist Boston</t>
  </si>
  <si>
    <t>boston.makeup.artist</t>
  </si>
  <si>
    <t>𝐊𝐞𝐫𝐫𝐢 𝐇𝐞𝐫𝐥𝐢𝐡𝐲</t>
  </si>
  <si>
    <t>𝙿𝚛𝚘 𝙼𝚊𝚔𝚎𝚞𝚙 𝙰𝚛𝚝𝚒𝚜𝚝 
𝙱𝚘𝚜𝚝𝚘𝚗, 𝙼𝙰
~𝙴𝚗𝚑𝚊𝚗𝚌𝚎𝚍 𝚋𝚎𝚊𝚞𝚝𝚢 𝚏𝚘𝚛 𝚝𝚑𝚎 𝚖𝚊𝚔𝚎𝚞𝚙 𝚖𝚒𝚗𝚒𝚖𝚊𝚕𝚒𝚜𝚝</t>
  </si>
  <si>
    <t>https://linktr.ee/kerriherlihy</t>
  </si>
  <si>
    <t>facedesignbydenise</t>
  </si>
  <si>
    <t>♥ 𝑩𝒐𝒔𝒕𝒐𝒏 𝑴𝒂𝒌𝒆-𝒖𝒑 𝑨𝒓𝒕𝒊𝒔𝒕 ♥  Denise Samaha</t>
  </si>
  <si>
    <t>📍Boston 🇺🇸
Lebanese🇱🇧
Best of Boston 2025 
Ft @bostonmagazine
• ✈️ MUA
• Celebrity MUA| Weddings | Fashion shows | Magazines
(with over 15 yrs.exp.)</t>
  </si>
  <si>
    <t>http://facedesignbydenise.booksy.com/a/</t>
  </si>
  <si>
    <t>make-up artist Dallas</t>
  </si>
  <si>
    <t>gloupbyshanel</t>
  </si>
  <si>
    <t>Dallas Makeup Artist ✨</t>
  </si>
  <si>
    <t>10+ yrs exp 💫 God 1st 🙏🏾
✨-Glo’ing One Face Up At A Time | 5,000+ glogrls
✨-VERSATILE Makeup Artist &amp; Educator
⬇️ Book Your Glo Up Session Today ⬇️</t>
  </si>
  <si>
    <t>http://linktr.ee/gloupbyshanel/</t>
  </si>
  <si>
    <t>plusbarbb</t>
  </si>
  <si>
    <t>Dallas make up artist</t>
  </si>
  <si>
    <t>• influencer 
•6’2
💉 lip injector
CEO @high_volumelash 
📲book me  @theglamlaboratory_ 
🎥YouTuber
📍 Dallas</t>
  </si>
  <si>
    <t>https://linktr.ee/Plusbarbb</t>
  </si>
  <si>
    <t>upscale_artistry</t>
  </si>
  <si>
    <t>DALLAS MAKEUP ARTIST</t>
  </si>
  <si>
    <t>Javier DeLeon
Pro Mua , 📩 Dm for Inquiries  
÷ Touring | Pageants | Production ÷</t>
  </si>
  <si>
    <t>make-up artist Houston</t>
  </si>
  <si>
    <t>makeuphouston</t>
  </si>
  <si>
    <t>Make-up artist &amp; Photographer</t>
  </si>
  <si>
    <t>💄MAKE-UP💄
📷 PHOTOGRAPHER📷: family, couples, seniors, nuptials. 
💗To book:
💗8328074337</t>
  </si>
  <si>
    <t>http://makeupvstudio.com</t>
  </si>
  <si>
    <t>make-up artist Philadelphia</t>
  </si>
  <si>
    <t>ravenalexiss_</t>
  </si>
  <si>
    <t>Philadelphia Make Up Artist</t>
  </si>
  <si>
    <t>🇧🇸♒️ 
📍Philadelphia, PA 
  💻 Online SELF BOOKING✨
  📅 SEPTEMBERS CALENDAR IS OPEN  
  🎨 PRO Make-Up Artist
@ravenalexisartistry_ I ACCEPT AFTERPAY</t>
  </si>
  <si>
    <t>http://kokosdollhousellc.as.me/</t>
  </si>
  <si>
    <t>makeup Atlanta</t>
  </si>
  <si>
    <t>a_beautiful5</t>
  </si>
  <si>
    <t>AUBREE💋 ATLANTA MAKEUP ARTIST</t>
  </si>
  <si>
    <t>MUA |📍ATL
I enhance your natural beauty ✨ 
Business page @lashmeartistry 
rip mommy 👼🏽</t>
  </si>
  <si>
    <t>https://www.lashmeartistry.co/</t>
  </si>
  <si>
    <t>arielleantoinette_makeup</t>
  </si>
  <si>
    <t>Atlanta Makeup Artist</t>
  </si>
  <si>
    <t>Pro Makeup Artist
“Glam The Wright Way”
Bridal•Beauty•Mua•Travel 
📧 Doubleamakeup@gmail.com
@arielleantoinette_ @_doubleamakeup
#atlantamakeupartist</t>
  </si>
  <si>
    <t>https://double-a-makeup-artistry.square.site/</t>
  </si>
  <si>
    <t>enhancedbyteisha</t>
  </si>
  <si>
    <t>ATLANTA MAKEUP ARTIST</t>
  </si>
  <si>
    <t>Beauty | Travel | Lifestyle  
Products @enhancedbeautycare 
Suites @enhancebeautysalonrooms 
To book an appointment 👇🏾</t>
  </si>
  <si>
    <t>https://linktr.ee/enhancedbyteisha</t>
  </si>
  <si>
    <t>itshotchiick</t>
  </si>
  <si>
    <t>📍 Atlanta + Worldwide
✨ Luxury Pro Makeup Artist | Beauty Creator
📸 Co-Founder: @theglamcapturestudio
📧 Collabs/PR: info@becomeahotchick.com</t>
  </si>
  <si>
    <t>http://www.becomeahotchick.com</t>
  </si>
  <si>
    <t>keysbeautytouch</t>
  </si>
  <si>
    <t>Based In Atlanta📍
▫️ Trusted For Grammys- NYFW - GQ - Magazine Cover
📧: Bookingkeysbeauty@gmail.com
| Keep Resting Dad🙏🏾</t>
  </si>
  <si>
    <t>https://keysbeautytouch.as.me/</t>
  </si>
  <si>
    <t>makeupbybo</t>
  </si>
  <si>
    <t>Shop: @makeupbybobeauty 
412-889-6405 Bookings ⤵️</t>
  </si>
  <si>
    <t>https://make-upbybo.com/</t>
  </si>
  <si>
    <t>prettishglam.chic</t>
  </si>
  <si>
    <t>ATLANTA PRO Makeup Artist 💄💋</t>
  </si>
  <si>
    <t>MUA ❤️| Lifestyle ✨| iTravel ✈️
BRIDAL 💍 | RED CARPET | TV &amp; FILM 🎥 
•BOOK YOUR APPOINTMENT👇🏼👇🏼
Makeup Classes &amp; Wedding Inquiries</t>
  </si>
  <si>
    <t>https://prettishglamchic.as.me/</t>
  </si>
  <si>
    <t>whippedbykiara</t>
  </si>
  <si>
    <t>Kiara | Atlanta Makeup Artist 🎨💄</t>
  </si>
  <si>
    <t>✨ Pro Makeup Artist | Licensed Esthetician
💄 Soft Glam | TV | Bridal | 1:1 classes
📍 Atlanta, GA 
#atlmua #atlantamakeupartist #atlmakeupartist</t>
  </si>
  <si>
    <t>http://whippedbykiara.as.me/</t>
  </si>
  <si>
    <t>makeup Boston</t>
  </si>
  <si>
    <t>aexiasbeautywork</t>
  </si>
  <si>
    <t>Boston Makeup Artist</t>
  </si>
  <si>
    <t>📍Danvers Massachusetts 
Makeup, Makeup Classes, Spa Parties🎉
📧Aexiasbeautywork@gmail.com
🛍️Shop Our Collection Now  Available</t>
  </si>
  <si>
    <t>https://linktr.ee/aexiasbeautywork</t>
  </si>
  <si>
    <t>dgmakeup.boston</t>
  </si>
  <si>
    <t>Dilenia  German / Micropigmentacion Boston</t>
  </si>
  <si>
    <t>🎓Certificada /                      Micropigmentadora &amp; Lash Artist  
📍 Boston, MA  
🌸 Resultados naturales y personalizados  
📲 Reserva tu cita aquí👇</t>
  </si>
  <si>
    <t>jdmxcv</t>
  </si>
  <si>
    <t>Boston Bridal Makeup Artist</t>
  </si>
  <si>
    <t>Makeup Artist 🌸 Saturday and Sunday
BOOKING WEDDINGS 2025 and 2026 ONLY😄
I service New England 🙏🏾
Emails only for wedding bookings! TY 🥰
Luke 1:45 ❤️</t>
  </si>
  <si>
    <t>http://jdmxcv.as.me/</t>
  </si>
  <si>
    <t>makeupboston_</t>
  </si>
  <si>
    <t>Laman Sadikhova</t>
  </si>
  <si>
    <t>Boston Ma 
CONTACT-781 873 21 10 Dm📲 
Makeupbostonlama@gmail.com
Makeup | Hair
#bostonmakeupartist</t>
  </si>
  <si>
    <t>http://wa.me/17818732110</t>
  </si>
  <si>
    <t>makeup Dallas</t>
  </si>
  <si>
    <t>fatimathemua</t>
  </si>
  <si>
    <t>Dallas Makeup Artist &amp; Beauty Influencer</t>
  </si>
  <si>
    <t>📍🇺🇸dallas mua 
📚beauty educator 
💖makeup | lifestyle | family 
📤fatima@1dsmgmt.com</t>
  </si>
  <si>
    <t>https://beacons.ai/fatimathemua</t>
  </si>
  <si>
    <t>jasmine_thestylist</t>
  </si>
  <si>
    <t>Dallas Makeup Artist 💕</t>
  </si>
  <si>
    <t>September books are Now Open 
John 3:16 🙏
The Jasmine Experience 
Makeup Artist &amp; Beauty Influencer ❤️
📍 Dallas, texas
Yes! I travel ✈️</t>
  </si>
  <si>
    <t>https://linktr.ee/jasmine_thestylist</t>
  </si>
  <si>
    <t>makeup Houston</t>
  </si>
  <si>
    <t>asia_makeupartistry</t>
  </si>
  <si>
    <t>Houston Makeup Artist</t>
  </si>
  <si>
    <t>✨HOUSTON LUXURY MAKEUP ARTIST✨
Bridal • Celebrity • Special Events 
Bridal Bookings: asiamua.brides@gmail.com</t>
  </si>
  <si>
    <t>http://linktr.ee/asiamua</t>
  </si>
  <si>
    <t>asiastylez</t>
  </si>
  <si>
    <t>HOUSTON MAKEUP ARTIST</t>
  </si>
  <si>
    <t>📍Downtown Houston, TX 
📱: (832) 779-6272 (Text only)
📧: asiastylezartistry@gmail.com</t>
  </si>
  <si>
    <t>http://www.asiastylez.as.me/</t>
  </si>
  <si>
    <t>beautybrea_</t>
  </si>
  <si>
    <t>Bridal &amp; Beauty Glam
Classes + Salon Services ✨
Book your glow up below ↓</t>
  </si>
  <si>
    <t>http://beautybreacosmetics.com</t>
  </si>
  <si>
    <t>kissandmakeuphouston</t>
  </si>
  <si>
    <t>Houston Makeup and Hair Artist</t>
  </si>
  <si>
    <t>Bridal┃Pageant┃Professional┃Event┃Lessons
▫️Local, national &amp; international travel✈️
▫️Luxury GLAM for every occasion⁣⁣💋
↓  BOOK NOW ↓</t>
  </si>
  <si>
    <t>https://linktr.ee/kissandmakeuphouston</t>
  </si>
  <si>
    <t>makeupbysarahii</t>
  </si>
  <si>
    <t>Sarahi Houston Makeup Artist Houstonmua  Hairstylist</t>
  </si>
  <si>
    <t>MAKEUP &amp; HAIR 
⚠️ALL 2025 SATURDAYS BOOKED⚠️
•Hᴏᴜsᴛᴏɴ /Pasadena TX 77503📍
•Tʀᴀᴠᴇʟ group of4+
•Fᴏʀ Bᴏᴏᴋɪɴɢ DM 📥
•𝘿𝙚𝙥𝙤𝙨𝙞𝙩 𝙍𝙚𝙦𝙪𝙞𝙧𝙚𝙙 
#ʜᴏᴜsᴛᴏɴᴍᴀᴋᴇᴜᴘᴀʀᴛɪsᴛ</t>
  </si>
  <si>
    <t>https://www.tiktok.com/@makeupbysarahii?_t=8ptki4AF363&amp;_r=1</t>
  </si>
  <si>
    <t>muanessa</t>
  </si>
  <si>
    <t>HOUSTON MUA (GALLERIA AREA)
📧 BUSINESS: muanessa@yahoo.com
⬇️⬇️BOOKING LINK HERE⬇️⬇️
#houstonmua #htxmua #makeupartisthtx</t>
  </si>
  <si>
    <t>https://linktr.ee/muanessa</t>
  </si>
  <si>
    <t>nikkifacesmua</t>
  </si>
  <si>
    <t>📧 nikkifacesinquiries@gmail.com
📞(713) 292-8194
💍Email for bridal inquires
Booking link below ↙️</t>
  </si>
  <si>
    <t>https://nikkifacesmua.as.me/schedule.php</t>
  </si>
  <si>
    <t>poshthemua</t>
  </si>
  <si>
    <t>📍 GALLERIA AREA 77056
Books open monthly on the 26th @ 12pm
Same day appointments⬇️
- TEXT (713) 364-6437 -
✉️ poshthemua1@gmail.com</t>
  </si>
  <si>
    <t>https://form.jotform.com/250065587990063</t>
  </si>
  <si>
    <t>shea_mua</t>
  </si>
  <si>
    <t>Shea➖Houston Makeup Artist</t>
  </si>
  <si>
    <t>▫️Professional Makeup Artist
▫️Queen of Soft Glam ✨
▫️Houston, TX 📍
▫️Bookings ➡️ Click Book 
▫️sheamandel_mua@yahoo.com
▫️artist - @xosheaa</t>
  </si>
  <si>
    <t>https://squareup.com/appointments/book/6TD1N5SFZZ8JX</t>
  </si>
  <si>
    <t>thefacebully_</t>
  </si>
  <si>
    <t>🚫 I DO NOT TRAVEL 🚫 
Brands/PR: support@thefacebully.com
⬇️ Booking/Availability/ADDRESS ⬇️</t>
  </si>
  <si>
    <t>https://thefacebully.as.me/</t>
  </si>
  <si>
    <t>makeup Philadelphia</t>
  </si>
  <si>
    <t>beauty_studio_philadelphia</t>
  </si>
  <si>
    <t>Makeup philadelphia</t>
  </si>
  <si>
    <t>dianakelasova_studio</t>
  </si>
  <si>
    <t>PERMANENT MAKE UP •PHILADELPHIA USA</t>
  </si>
  <si>
    <t>Diana Kelasova
🔝Top permanent make up 
Splendor Lumenis X - laser hair removal              
Zemits 
190$ full body🔥
Endosphere 99$ 🔥</t>
  </si>
  <si>
    <t>https://maps.app.goo.gl/DbAYQk5Kn9mBLofU8?g_st=com.google.maps.preview.copy</t>
  </si>
  <si>
    <t>makeup Seattle</t>
  </si>
  <si>
    <t>blushbybibi</t>
  </si>
  <si>
    <t>SEATTLE MAKEUP ARTIST | TRAVELING MUA |</t>
  </si>
  <si>
    <t>#seattle based | Travel Anywhere ✈️
Celeb | Bridal | Classes |
All Shades Welcome 
For Booking email
📧 Birktihaile2017@gmail.com 
#seattlemakeupartist</t>
  </si>
  <si>
    <t>https://blushbybibi.com/</t>
  </si>
  <si>
    <t>moda Atlanta</t>
  </si>
  <si>
    <t>modatl</t>
  </si>
  <si>
    <t>Museum Of Design Atlanta</t>
  </si>
  <si>
    <t>📍A design hub for Atlanta + beyond
🌎 Connecting people who believe in the power of design
💡 Exhibits + programs that inspire change</t>
  </si>
  <si>
    <t>https://linkin.bio/modatl</t>
  </si>
  <si>
    <t>moda Boston</t>
  </si>
  <si>
    <t>anastasia_in_us</t>
  </si>
  <si>
    <t>Мода | стиль | жизнь в Бостоне</t>
  </si>
  <si>
    <t>Здесь лучшие находки Zara и H&amp;M
И теплота нашей семьи 👩‍❤️‍👨🐕
📍Бостон, но ищем новое место для жизни</t>
  </si>
  <si>
    <t>bostonmodacom</t>
  </si>
  <si>
    <t>Bostonmoda x Helios Sandals</t>
  </si>
  <si>
    <t>Handmade Greek Leather Sandals 
Accessories &amp; more
🌍Worldwide delivery
📞D.M. | 📱Whatsupp +306936997365 | 
📧info@bostonmoda.com
🛍️ Λιανικη Πωληση</t>
  </si>
  <si>
    <t>https://www.bostonmoda.com/</t>
  </si>
  <si>
    <t>moda Dallas</t>
  </si>
  <si>
    <t>dallas_boutiquemv</t>
  </si>
  <si>
    <t>Dallas Boutique | Moda femenina</t>
  </si>
  <si>
    <t>Te asesoramos para que encuentres tu look y aumentes tu autoestima 🌸💖
✨Soñado:@mikaela_destrades @vanesadestrades 
🛍️ Envios a todo🇺🇾
📍 Rivera-Uruguay</t>
  </si>
  <si>
    <t>dallastorebrasil</t>
  </si>
  <si>
    <t>DallaStore | Loja Moda Feminina</t>
  </si>
  <si>
    <t>🌟|10 ANOS de Conforto, Estilo e Praticidade
🚚|Leve 2 conjuntos e ganhe FRETE GRÁTIS
✨|Referência em Conjuntos Femininos
📲|CLIQUE AQUI PARA COMPRAR👇🏻</t>
  </si>
  <si>
    <t>https://linktr.ee/dallastorebrasil</t>
  </si>
  <si>
    <t>moda Houston</t>
  </si>
  <si>
    <t>expomoda_houston</t>
  </si>
  <si>
    <t>Expo Moda Houston</t>
  </si>
  <si>
    <t>La Noche de Moda Latina,</t>
  </si>
  <si>
    <t>https://www.tickeri.com/events/5bbcd7a6f3423b000497b17d</t>
  </si>
  <si>
    <t>nails Atlanta</t>
  </si>
  <si>
    <t>nailsbylolu</t>
  </si>
  <si>
    <t>ATLANTA NAILTECH</t>
  </si>
  <si>
    <t>𝑳𝒊𝒄𝒆𝒏𝒔𝒆𝒅 𝑵𝒂𝒊𝒍 𝑻𝒆𝒄𝒉𝒏𝒊𝒄𝒊𝒂𝒏 
September Booking Now Open
Acrylic • Builder Gel • Gel-x • 1-on-1 classes
ASK ME ABOUT MY NATURAL NAIL COURSE🤍</t>
  </si>
  <si>
    <t>https://nailsbylolu.as.me/</t>
  </si>
  <si>
    <t>nails Boston</t>
  </si>
  <si>
    <t>bostonsnailsandspa</t>
  </si>
  <si>
    <t>Boston's Nails &amp; Spa</t>
  </si>
  <si>
    <t>🍀 We recommend booking in ADVANCE.
📞 Call for SAME DAY APPTS! (857) 233 2325
🩶 Questions ? DM for consultation 
💗 Tag us @bostonsnailsandspa</t>
  </si>
  <si>
    <t>http://www.bostonsnailsandspa.com/</t>
  </si>
  <si>
    <t>boston_the_best_nails</t>
  </si>
  <si>
    <t>The Best Nail Salon in Boston 💅🏻</t>
  </si>
  <si>
    <t>✍🏻 Book your appointment Online 24/7
💅🏻 REAL, #organic #nails that last 6 WEEKS
🌍 European Gel Manicure/E-FILE
🇺🇸 Locations all over USA ©️TRADEMARKED</t>
  </si>
  <si>
    <t>http://thebestnailsusa.com</t>
  </si>
  <si>
    <t>dimsumnails</t>
  </si>
  <si>
    <t>Gel X Nails (Boston)</t>
  </si>
  <si>
    <t>Licensed ᕕ( ᐛ )ᕗ
Conceptual Gel-X Nails 🦋
DIY Press Ons @tinychaos.studios 
@functionofvex &amp; @sweetienailsupply: DIMSUM10
Shop/Book July⬇️</t>
  </si>
  <si>
    <t>https://linktr.ee/dimsumnails</t>
  </si>
  <si>
    <t>nails Dallas</t>
  </si>
  <si>
    <t>adaria.nails</t>
  </si>
  <si>
    <t>Dallas Nail Tech || NailzzByNayy  ꨄ</t>
  </si>
  <si>
    <t>ꨄ @adaria.denay 
ꨄ Duncanville tx 
ꨄ BOOK SEPTEMBER 🍂 CLICK HERE TO BOOK⬇️</t>
  </si>
  <si>
    <t>https://youtu.be/beaufoxV8ko?si=8NJoo2zwdbF9Yx7b</t>
  </si>
  <si>
    <t>dallas_the_best_nails</t>
  </si>
  <si>
    <t>The Best Nail Salon in Dallas 💅🏻</t>
  </si>
  <si>
    <t>_nailsbyjoana</t>
  </si>
  <si>
    <t>𝑫𝒂𝒍𝒍𝒂𝒔 𝒏𝒂𝒊𝒍 &amp; 𝒕𝒐𝒆 𝒕𝒆𝒄𝒉🎀</t>
  </si>
  <si>
    <t>♡ ︎Mesquite | 75149📍
♡ FULLY BOOKED FOR SEP⭐️ 
♡ dm/text #4694395248 to book🩷
♡ CASH ONLY!!</t>
  </si>
  <si>
    <t>__nailsbyviviana</t>
  </si>
  <si>
    <t>Dallas/Mesquite Nail&amp;Toe Tech🎀</t>
  </si>
  <si>
    <t>♡ 𝑫𝒂𝒍𝒍𝒂𝒔 𝑻𝒙,75227📍
♡ 𝑷𝒍𝒆𝒂𝒔𝒆 𝒓𝒆𝒂𝒅 𝒉𝒊𝒈𝒉𝒍𝒊𝒈𝒉𝒕𝒔 𝒃𝒆𝒇𝒐𝒓𝒆 𝒃𝒐𝒐𝒌𝒊𝒏𝒈</t>
  </si>
  <si>
    <t>nails Houston</t>
  </si>
  <si>
    <t>jade_nails_houston</t>
  </si>
  <si>
    <t>JADE NAILS HOUSTON</t>
  </si>
  <si>
    <t>Walk-ins are welcome. Appointments recommended 713-988-1186</t>
  </si>
  <si>
    <t>https://booking.gocheckin.net/v2/16997</t>
  </si>
  <si>
    <t>monicagarciaaa_</t>
  </si>
  <si>
    <t>Houston Nails</t>
  </si>
  <si>
    <t>9 Yrs Licensed Nailtech 💕
DM me For Appointment 🎀
Classes Available ✨
@thepinkspaandloungee</t>
  </si>
  <si>
    <t>https://linktr.ee/monicagarciaaa_</t>
  </si>
  <si>
    <t>nailbar.vv</t>
  </si>
  <si>
    <t>𝒱𝒾𝒸𝓉𝑜𝓇𝒾𝒶 •|• 𝐻𝑜𝓊𝓈𝓉𝑜𝓃 .𝒯𝒳 𝓃𝒶𝒾𝓁𝓈 𝒶𝓃𝒹 𝓉𝑜𝑒𝓈 𝓉𝑒𝒸𝒽🎀</t>
  </si>
  <si>
    <t>Home based ೀ⋆｡77049
2 years experience .ೃ࿐
$15 booking fee (ZELLE ONLY)
DM or text (832) 729-6698 to book!👩‍❤️‍💋‍👩</t>
  </si>
  <si>
    <t>https://novoovonails.com?sca_ref=8792073.a5Yp0FESbMCwaf1</t>
  </si>
  <si>
    <t>nailsbykerra</t>
  </si>
  <si>
    <t>Houston, TX. 77060📍</t>
  </si>
  <si>
    <t>books open the 20th of every month 💕
please read site before booking !
| @jakerraa</t>
  </si>
  <si>
    <t>https://nailsbykerraa.as.me/schedule.php</t>
  </si>
  <si>
    <t>_nailsbywendy</t>
  </si>
  <si>
    <t>Houston,Tx</t>
  </si>
  <si>
    <t>• LICENSED NAIL TECH💅🏼  
• HB🏡(77074)
@heybeautifulnailsupplies Dc:Wendy5 or Wen5
@2cutenailsupply Dc:Nailsbywendy</t>
  </si>
  <si>
    <t>https://nails-by-wendy-101237.square.site/</t>
  </si>
  <si>
    <t>nailsbyydrea</t>
  </si>
  <si>
    <t>𝑯𝑶𝑼𝑺𝑻𝑶𝑵 𝑻𝑿 𝑵𝑨𝑰𝑳 𝑻𝑬𝑪𝑯 ☆</t>
  </si>
  <si>
    <t>🎀 𝐁𝐎𝐎𝐊𝐈𝐍𝐆 𝐋𝐈𝐍𝐊 𝐈𝐍 𝐁𝐈𝐎
  $ @_drrea | 𝟐𝟏𝐘𝐑 ⭐️
  $ 𝐇𝐎𝐔𝐒𝐓𝐎𝐍,𝐓𝐗 | 𝟕𝟕𝟎𝟔𝟔</t>
  </si>
  <si>
    <t>https://nailsbyydrea.as.me/</t>
  </si>
  <si>
    <t>nailsofamericamemorial</t>
  </si>
  <si>
    <t>Nails of America Memorial | Best Nail Salon in Houston</t>
  </si>
  <si>
    <t>🔥 Houston' Premier Nail Salon | Luxe Manicures, Pedicures &amp; Nail Art Custom
❤️Best customer service | Quality work in Memorial 77079
☎️(281) 372 6899</t>
  </si>
  <si>
    <t>https://booking.nailsofamericamemorial.com</t>
  </si>
  <si>
    <t>natural beauty Atlanta</t>
  </si>
  <si>
    <t>hairinpeacebeautysalon</t>
  </si>
  <si>
    <t>Atlanta Natural Hair Care | Chamblee Tucker Rd. | 678.395.7805</t>
  </si>
  <si>
    <t>Welcome to Hair In Peace Beauty Salon 🩷
Your new favorite salon 🙌🏾
For all of your natural hair needs 🌿
CALL FOR SAME-DAY APPOINTMENTS
BOOK ONLINE  ⬇️</t>
  </si>
  <si>
    <t>http://hairinpeace.com/</t>
  </si>
  <si>
    <t>kymbas_beauty</t>
  </si>
  <si>
    <t>Atlanta Natural Hairstylist</t>
  </si>
  <si>
    <t>LICENSED COSMETOLOGIST LOCATION:TUCKER ,GEORGIA 
COLLABS/PR :kymbasbeauty@gmail.com
 HAIR APPOINTMENTS CLICK HERE ⬇️</t>
  </si>
  <si>
    <t>https://kymbasbeauty.as.me/schedule/5a2f6773</t>
  </si>
  <si>
    <t>naturalbeauty365</t>
  </si>
  <si>
    <t>Atlanta Natural Hair Stylist</t>
  </si>
  <si>
    <t>Adrianna Nicole
Owner of @suedecurlbar                                No DM’s/Emails/ or Text 🚫     Please call between business hours</t>
  </si>
  <si>
    <t>http://www.suedecurlbar.com</t>
  </si>
  <si>
    <t>ootd Atlanta</t>
  </si>
  <si>
    <t>ootdatlanta</t>
  </si>
  <si>
    <t>Wants to 📷 with you.</t>
  </si>
  <si>
    <t>// FREE PHOTOSHOOTS - COMING 2026
WAITING LIST DROPPING SOON-ISH</t>
  </si>
  <si>
    <t>http://www.ootdatlanta.com/</t>
  </si>
  <si>
    <t>skincare Atlanta</t>
  </si>
  <si>
    <t>skinbylauryn</t>
  </si>
  <si>
    <t>LAURYN COLQUITT | Atlanta Skincare Pro</t>
  </si>
  <si>
    <t>healthy skin starts here
ꕥ owner of @luminaire.atlanta
ꕥ facials, peels + microneedling 
ꕥ accepting new clients via waitlist only
📍atlanta, ga</t>
  </si>
  <si>
    <t>http://linktr.ee/skinbylauryn</t>
  </si>
  <si>
    <t>slayybylayy</t>
  </si>
  <si>
    <t>Atlanta Corrective Skincare Specialist</t>
  </si>
  <si>
    <t>Transforming skin and careers as a Six-Figure Esthetician!
Mentorship &amp; Trainings Available
Cuties, download FREE product list! 🩷
@sbl.salonandsuites</t>
  </si>
  <si>
    <t>https://linktr.ee/slayybylayyesthetics</t>
  </si>
  <si>
    <t>skincare Dallas</t>
  </si>
  <si>
    <t>s8909292</t>
  </si>
  <si>
    <t>Dallas ｜Eyelashes｜EyeBrow ｜Skincare</t>
  </si>
  <si>
    <t>Serene Beauty &amp; Spa 主理人Deby.Y｜高級審美 美學之鑰
Eyelash Extensions｜Facial｜Microblading
Dallas,Plano ｜Appointment only 
✉️ hello.serenebeautyspa@gmail.com</t>
  </si>
  <si>
    <t>https://www.serenebeautyspas.com/</t>
  </si>
  <si>
    <t>skincare Houston</t>
  </si>
  <si>
    <t>camelliaalise</t>
  </si>
  <si>
    <t>Houston Spa | Skincare &amp; Body Sculpting</t>
  </si>
  <si>
    <t>Day Spa</t>
  </si>
  <si>
    <t>💎 Houston’s Luxury Spa | Relaxation Meets Results | Seen in @blackenterprise @essence @yahoofinance | 💬 Text SPA to 866-944-7767 for 20% off</t>
  </si>
  <si>
    <t>https://linktr.ee/camelliaalise</t>
  </si>
  <si>
    <t>skincarebykristie</t>
  </si>
  <si>
    <t>Kristie LE | Houston Skincare Expert</t>
  </si>
  <si>
    <t>Clinical Aesthetician, 12+ years
Anti-aging expert 
Lasers | Microneedling | Facials | Peels | Custom Skincare Routines
(346) 808 8177</t>
  </si>
  <si>
    <t>s_laplante_</t>
  </si>
  <si>
    <t>Sephora Beauty UGC /Skincare Houston,TX</t>
  </si>
  <si>
    <t>Makeup  | Skincare |Daily Tips 
Psalm 112:4-5
Psalm 115:14-15
Helping brands tell their story authentically
Collabs:⬇️
sephorainfluencer2@gmail.com</t>
  </si>
  <si>
    <t>thebawdybar</t>
  </si>
  <si>
    <t>HOUSTON TX CORRECTIVE SKINCARE SPECIALIST ❤️‍🔥</t>
  </si>
  <si>
    <t>Luxury Esthetics👑 
Healing Skin &amp; Transforming Careers ✨
⬇️⬇️Appointments, Products, Mentoring &amp; More ✨</t>
  </si>
  <si>
    <t>http://linktr.ee/theebawdy.bar/</t>
  </si>
  <si>
    <t>sneakers Dallas</t>
  </si>
  <si>
    <t>clutchdallas</t>
  </si>
  <si>
    <t>Vintage|Streetwear|Sneakers</t>
  </si>
  <si>
    <t>4540 Ross Ave Dallas TX Suite 150
Tuesday-Saturday 12-7
Sunday 12-6
Closed Monday</t>
  </si>
  <si>
    <t>http://theclutchvintage.com</t>
  </si>
  <si>
    <t>dallas.sneakers2</t>
  </si>
  <si>
    <t>DALLAS SNEAKERS</t>
  </si>
  <si>
    <t>N1 EN VENTAS ONLINE📲
Compra 100% segura. 🔐
+ de 4000 clientes satisfechos. 🫂
Envíos a todo el país. 🇦🇷
⬇️ Visita la web y hace tu pedido en minutos ⬇️</t>
  </si>
  <si>
    <t>https://dallassneakers2.callbell.shop/</t>
  </si>
  <si>
    <t>street style Boston</t>
  </si>
  <si>
    <t>taylasnts</t>
  </si>
  <si>
    <t>Tayla Santos | Boston Street Style</t>
  </si>
  <si>
    <t>BOSTON | 2025 Bride
•Lifestyle driven by faith 
•casual street style
•content creator &amp; model  
✉️ tayla@taylascloset.com</t>
  </si>
  <si>
    <t>https://linktr.ee/taylasnts</t>
  </si>
  <si>
    <t>streetwear Atlanta</t>
  </si>
  <si>
    <t>atlantastreetwearmarket</t>
  </si>
  <si>
    <t>The Atlanta Streetwear Market ™</t>
  </si>
  <si>
    <t>The World Famous Atlanta Streetwear Market returns November 22-23rd | Cultivating culture is our code | TICKETS HERE👇🎟️</t>
  </si>
  <si>
    <t>http://atlantastreetwearmarket.com</t>
  </si>
  <si>
    <t>beautifuldisaster.wrld</t>
  </si>
  <si>
    <t>Atlanta Streetwear</t>
  </si>
  <si>
    <t>Worldwide Shipping 🌐
Premium Graphics &amp; Quality
Summer Collection Previews Dropping Soon ⏳</t>
  </si>
  <si>
    <t>https://beautifuldisasterwrld.com</t>
  </si>
  <si>
    <t>streetwear Dallas</t>
  </si>
  <si>
    <t>streetwear Houston</t>
  </si>
  <si>
    <t>vintage_houston</t>
  </si>
  <si>
    <t>the ORIGINAL Vintage Houston | Vintage &amp; Streetwear Curator</t>
  </si>
  <si>
    <t>🔥Always 100% Authentic.
📍Houston, TX | 🇺🇸Free US Shipping.
🌵Curate pieces for MLB, NFL, NBA, &amp; UFC athletes
📦Our webstore is always open! ⬇️TAP IN⬇️</t>
  </si>
  <si>
    <t>https://vintage-houston.myshopify.com/</t>
  </si>
  <si>
    <t>sustainable fashion Houston</t>
  </si>
  <si>
    <t>thrift Atlanta</t>
  </si>
  <si>
    <t>thethriftguru</t>
  </si>
  <si>
    <t>Symphony | Atlanta Influencer | Lifestyle</t>
  </si>
  <si>
    <t>Tryna make heaven crowded ✞
All glory to God
Atlanta 📍
Creator Relations @redbull
Galatians 6:9</t>
  </si>
  <si>
    <t>https://egohome.com/products/ego-black-mattress-with-graphene-technology-14-inch/?igkol=thsymphony0808</t>
  </si>
  <si>
    <t>thriftingatlanta</t>
  </si>
  <si>
    <t>Thrifting Atlanta</t>
  </si>
  <si>
    <t>Thrift Influencer @beingkeren 
Exploring Atlanta’s Resale Stores
Sharing Thrift Finds Daily!
Tag your finds #ThriftingAtlanta 
FB &amp; YT community 👇👇</t>
  </si>
  <si>
    <t>https://linktr.ee/thriftingatlanta</t>
  </si>
  <si>
    <t>thrift Dallas</t>
  </si>
  <si>
    <t>sarathriftsintexas</t>
  </si>
  <si>
    <t>Sara | Dallas Thrifter ✨</t>
  </si>
  <si>
    <t>Thrifting | Life in Dallas 🤠
Your Texas thrifting adventure guide ❤️
📧danielle@daniellemedia.com</t>
  </si>
  <si>
    <t>https://linktr.ee/sarathriftsintexas</t>
  </si>
  <si>
    <t>barbershop Montreal</t>
  </si>
  <si>
    <t>montrealbarbershop</t>
  </si>
  <si>
    <t>Montreal Barber Shop🇵🇪</t>
  </si>
  <si>
    <t>Con más de 6 años en el mercado Montreal Barber Shop ofrece una experiencia exclusiva. 
Nuestro Spa @montrealspasalon 💆🏽‍♂️</t>
  </si>
  <si>
    <t>http://montrealspabarberia.com</t>
  </si>
  <si>
    <t>barbershop Vancouver</t>
  </si>
  <si>
    <t>5star.barbershop</t>
  </si>
  <si>
    <t>Vancouver barber shop</t>
  </si>
  <si>
    <t>⭐️⭐️⭐️⭐️⭐️
📍1388 W Georgia St Vancouver
📞 Vancouver 604-648-0983
Walk-in welcome &amp; Appointment Available</t>
  </si>
  <si>
    <t>https://5star-barbershop.ca</t>
  </si>
  <si>
    <t>barberontheriver</t>
  </si>
  <si>
    <t>pjhair 💈✂️ VANCOUVER BARBERSHOP</t>
  </si>
  <si>
    <t>Established, highly skilled gentleman barber and women's hairsytlist. Passionate about my craft, with a loyal male and devoted female clientel.</t>
  </si>
  <si>
    <t>http://www.mmbarbershop.com/</t>
  </si>
  <si>
    <t>curly hair Brussels</t>
  </si>
  <si>
    <t>kingdomofbeauty.brussels</t>
  </si>
  <si>
    <t>Afro/Curl’s Hair &amp; Beauty Expert</t>
  </si>
  <si>
    <t>Ton safe place beauté 
2 salons 🇧🇪 📍quartier Royal et Louise
Service beauté, formation et vente de produits
Uniquement sur rendez-vous via le lien ⬇️</t>
  </si>
  <si>
    <t>https://linktr.ee/kingdomofbeautybelgium</t>
  </si>
  <si>
    <t>curly hair San Diego</t>
  </si>
  <si>
    <t>evanjosephsalon</t>
  </si>
  <si>
    <t>Curly Hair Salon in San Diego CA  &amp; Columbus OH</t>
  </si>
  <si>
    <t>ᴄᴜʀʟʏ ʜᴀɪʀ sᴀʟᴏɴ. 
ɴᴀᴍᴇᴅ ᴏɴᴇ ᴏғ ᴇʟʟᴇ ᴍᴀɢᴀᴢɪɴᴇs
ᴛᴏᴘ 100 sᴀʟᴏɴs!
Columbus OH | San Diego CA
Accepting new clients
Click link to book!👇</t>
  </si>
  <si>
    <t>https://mtr.bio/evanjosephsalon</t>
  </si>
  <si>
    <t>hairstyle Las Vegas</t>
  </si>
  <si>
    <t>hairstylesbymary</t>
  </si>
  <si>
    <t>Pro Stylist - Las Vegas👸🏾</t>
  </si>
  <si>
    <t>💫Hair + Scalp Specialist
[aveda educated] 
💫Instructor
💫Salon &amp; Spa Owner
Detroit ✈️ Vegas</t>
  </si>
  <si>
    <t>https://linktr.ee/MaryMaryMary</t>
  </si>
  <si>
    <t>luxury Las Vegas</t>
  </si>
  <si>
    <t>atelierbysquaresalon</t>
  </si>
  <si>
    <t>Las Vegas Luxury Salon</t>
  </si>
  <si>
    <t>NAHA Award 
Most Inspiring Salon of the Year
702.906.1770</t>
  </si>
  <si>
    <t>http://www.squaresalon.com/</t>
  </si>
  <si>
    <t>cb.luxuryvegas</t>
  </si>
  <si>
    <t>Chris Brown | Las Vegas New-Construction &amp; Relocation Realtor</t>
  </si>
  <si>
    <t>▪️I help CA→Vegas buyers 
relocate &amp; build new homes
▪️Tour luxury homes &amp; explore Vegas as a local
▪️Relocated 50+ families
▪️Free Relocation Guide⤵️</t>
  </si>
  <si>
    <t>https://linktr.ee/cbluxuryvegas</t>
  </si>
  <si>
    <t>luxury Montreal</t>
  </si>
  <si>
    <t>montrealluxurymotors</t>
  </si>
  <si>
    <t>مونتريال للسيارات الفخمة والمميزة</t>
  </si>
  <si>
    <t>Car dealership</t>
  </si>
  <si>
    <t>مملكة البحرين 🇧🇭
 الرفاع | شارع ولي العهد📍
☎️: +973 17007222
📱: +973 36280000
‎ 
⏰️: 9:00 AM - 1:00 PM || 4:00 PM - 9:00 PM
‎ 
CR NO. 32601-12</t>
  </si>
  <si>
    <t>times_luxury_montreal</t>
  </si>
  <si>
    <t>Private Chauffeur - Luxury Black Car Service - Limousine</t>
  </si>
  <si>
    <t>Limo Service</t>
  </si>
  <si>
    <t>⚜️Chauffeur Privé Deluxe Montréal⚜️ 514-835-4545
🛫Airport⌚Hourly🛣️Short-Long Distance
🛬Return Airport 🎉Events🏢Corporate 
Avec Réservation Seulement</t>
  </si>
  <si>
    <t>http://www.timesluxury.com</t>
  </si>
  <si>
    <t>luxury San Diego</t>
  </si>
  <si>
    <t>ayannasweetsco</t>
  </si>
  <si>
    <t>AyannaSweets | San Diego Luxury Wedding Cakes &amp; Desserts 🎀🧁</t>
  </si>
  <si>
    <t>Baker | Dessert Artist | Sweets Designer 🍰🎀🧁
FREE delivery in San Diego &amp; surrounding areas! 
CLOSED SUN &amp; MON!
Fill out form for quotes &amp; to order ⬇️</t>
  </si>
  <si>
    <t>https://linktr.ee/Ayannasweets.co</t>
  </si>
  <si>
    <t>jasonbarryteam</t>
  </si>
  <si>
    <t>Jason Barry Team | Barry Estates | San Diego Luxury Real Estate</t>
  </si>
  <si>
    <t>🏆 #𝟏 𝐓𝐞𝐚𝐦 in San Diego Per WSJ
⚡️ $6+ Billion in Career Sales: Most in SD History
📞 858.756.4024 | info@barryestates.com
💼 DRE #02013631 &amp; #01147550</t>
  </si>
  <si>
    <t>https://jasonbarryteam.com/</t>
  </si>
  <si>
    <t>jenniferdelonge</t>
  </si>
  <si>
    <t>Jennifer Delonge | San Diego Luxury Realtor | Designer</t>
  </si>
  <si>
    <t>Luxury Real Estate Advisor
Interior Designer, ASID
Compass | Rancho Santa Fe | DRE 02241130
@pioneertownranch</t>
  </si>
  <si>
    <t>http://jenniferdelonge.com</t>
  </si>
  <si>
    <t>luxurysocalrealty</t>
  </si>
  <si>
    <t>LUXURYSOCALREALTY | San Diego Realtor | Lifestyle &amp; Homes</t>
  </si>
  <si>
    <t>Founded by @robertaumann and @joy.aumann 
📍San Diego Real Estate Agents
📩Let’s work together 👇🏼</t>
  </si>
  <si>
    <t>modernluxurysd</t>
  </si>
  <si>
    <t>Modern Luxury San Diego</t>
  </si>
  <si>
    <t>Your high-end luxury lifestyle publication that champions the vibrant style and sophistication of Southern California. @modernluxury</t>
  </si>
  <si>
    <t>https://linkin.bio/modernluxurysd</t>
  </si>
  <si>
    <t>luxury Seattle</t>
  </si>
  <si>
    <t>luxuryhomeseattle</t>
  </si>
  <si>
    <t>Luxury Home Magazine Seattle</t>
  </si>
  <si>
    <t>Seattle’s premier #luxuryrealestate resource since 2007.
In Print | Targeted Direct Mail | Online | Digital | Social</t>
  </si>
  <si>
    <t>https://linkin.bio/luxuryhomeseattle</t>
  </si>
  <si>
    <t>seattlepartyrentals</t>
  </si>
  <si>
    <t>Seattle Luxury Event Decor | Marquee LED Letters</t>
  </si>
  <si>
    <t>Luxury Seattle event decor &amp; rentals 
Regular &amp; LED Marquee Letters @seattlepartymarqueerentals 
Book Below⤵️</t>
  </si>
  <si>
    <t>https://www.seattlepartyrentals.us/contact</t>
  </si>
  <si>
    <t>luxury Vancouver</t>
  </si>
  <si>
    <t>allclassbeautyvancouver</t>
  </si>
  <si>
    <t>LUXURY WIGS &amp; INSTALLS 🇨🇦 | Vancouver</t>
  </si>
  <si>
    <t>Hair Extensions Service &amp; Retail Shop luxurious Bundles Wigs Ponytails Clip-ins 
🎓 Install Class Education
@luminous_bridal_hair__makeup 
👰🏽‍♀️Bridal</t>
  </si>
  <si>
    <t>https://allclassbeauty.setmore.com</t>
  </si>
  <si>
    <t>masterpiece.luxuryvan</t>
  </si>
  <si>
    <t>Luxury Consignment Vancouver</t>
  </si>
  <si>
    <t>Authentic and Original
Price: CAD (Canadian $)
Worldwide Shipping🌎
Final Sale</t>
  </si>
  <si>
    <t>make-up artist Las Vegas</t>
  </si>
  <si>
    <t>jaydendoesmakeup</t>
  </si>
  <si>
    <t>LAS VEGAS MAKE UP ARTIST</t>
  </si>
  <si>
    <t>⁣⁣⁣⁣I love soft but sculpted Glam &amp; Iced coffee 🫶🏼⁣
⁣⁣Face painter in Las Vegas 🎨⁣
⁣⁣Celebrity • Red Carpet • Special Event • Bridal</t>
  </si>
  <si>
    <t>muacouturee</t>
  </si>
  <si>
    <t>Makeup Artist Las Vegas Based 🎰❤️‍🔥</t>
  </si>
  <si>
    <t>📍LAS VEGAS 
NO DM’s ONLY SERIOUS INQUIRIES.  
BOOKING LINK below!
Award Winning/ Published Artist.
⬇️Booking link below⬇️</t>
  </si>
  <si>
    <t>http://muacouturee.glossgenius.com</t>
  </si>
  <si>
    <t>make-up artist Montreal</t>
  </si>
  <si>
    <t>firdamake_up</t>
  </si>
  <si>
    <t>Montreal makeup artist</t>
  </si>
  <si>
    <t>Makeup and wig install
Location : Repentigny,Montréal, Canada  🇨🇦🇨🇦
Facebook: firdamake-up</t>
  </si>
  <si>
    <t>make-up artist San Diego</t>
  </si>
  <si>
    <t>etherealstudio.sd</t>
  </si>
  <si>
    <t>San Diego | Multiple artist | Permanent make up | Training</t>
  </si>
  <si>
    <t>✦ Nano brows, Microblading, Lip Blush, ombre brows
✦ Body Art 
✦ Lash Lifts &amp; Brow lamination
✦ Beginners &amp; advanced classes</t>
  </si>
  <si>
    <t>http://linktr.ee/etherealcosmetictattoo</t>
  </si>
  <si>
    <t>samoha.mua</t>
  </si>
  <si>
    <t>𝐒𝐚𝐧 𝐝𝐢𝐞𝐠𝐨 𝐦𝐚𝐤𝐞 𝐮𝐩 𝐚𝐫𝐭𝐢𝐬𝐭</t>
  </si>
  <si>
    <t>✨𝑴𝒂𝒌𝒆𝒖𝒑 | 𝑯𝒂𝒊𝒓𝒔𝒕𝒚𝒍𝒆 | 𝑯𝒂𝒊𝒓 𝑪𝒐𝒍𝒐𝒓 ✨
💎𝑳𝒊𝒄𝒆𝒏𝒔𝒆𝒅 𝑪𝒐𝒔𝒎𝒆𝒕𝒐𝒍𝒐𝒈𝒊𝒔𝒕|10 years in beauty
💡 Makeup tricks&amp;translations @samah.glam
📍San Diego|📲 Book via WhatsApp</t>
  </si>
  <si>
    <t>make-up artist Vancouver</t>
  </si>
  <si>
    <t>vtrendemakeup</t>
  </si>
  <si>
    <t>Vancouver Makeup Artist</t>
  </si>
  <si>
    <t>🌿Bridal Makeup &amp; Hair 
10+ years of experience
2000+ happy brides 
DM to book your big day!
Lana</t>
  </si>
  <si>
    <t>makeup Brussels</t>
  </si>
  <si>
    <t>julikamakeup</t>
  </si>
  <si>
    <t>MAKEUP ARTIST Brussels</t>
  </si>
  <si>
    <t>Je t’aide à glow up inside &amp; out
Makeup • Mindset • Confidence
Looks, tutos &amp; talks 
📩 Collabs : julikamkp@gmail.com</t>
  </si>
  <si>
    <t>makeup Las Vegas</t>
  </si>
  <si>
    <t>gwendolyn_laumatia</t>
  </si>
  <si>
    <t>Las Vegas Makeup Artist</t>
  </si>
  <si>
    <t>BOOKINGS: 📧 gwendolynlaumatia@gmail.com
Saved by Grace through Faith ✝️</t>
  </si>
  <si>
    <t>jolisarena</t>
  </si>
  <si>
    <t>JO-Las Vegas Makeup Artist</t>
  </si>
  <si>
    <t>▫️Twin mom
▫️Professional MUA.
▫️CEO @jolisarenacosmetics 
Romans 8:28| Jeremiah 29:11|Mark 11:24|LAS VEGAS| ✈️|📧Booking:jolisarena.booking@gmail.com</t>
  </si>
  <si>
    <t>http://jolisarena.booksy.com</t>
  </si>
  <si>
    <t>lasvegasmakeupgirl</t>
  </si>
  <si>
    <t>LAS VEGAS HAIR &amp; MAKEUP - KIERA ❤️</t>
  </si>
  <si>
    <t>💋LAS VEGAS HAIR &amp; MAKEUP TEAM
💋BRIDAL + PRODUCTION + EVENTS 
💋 702-354-8020 📲
💋BOOKINGS + CONSULTATIONS ⬇️
#lasvegasmakeupartist #vegasmua</t>
  </si>
  <si>
    <t>http://www.lasvegasmakeupandhair.com</t>
  </si>
  <si>
    <t>makeup_by_angelaa</t>
  </si>
  <si>
    <t>LAS VEGAS MAKEUP ARTIST</t>
  </si>
  <si>
    <t>PRO MUA | LAS VEGAS STRIP ➡️ Anywhere ✈️
CELEBRITY | BRIDAL | PHOTO | EVENT | MORE+
Book Apt below ⬇️ Email for Bridal 💌</t>
  </si>
  <si>
    <t>https://linktr.ee/MakeupByAngela</t>
  </si>
  <si>
    <t>makeupsex702</t>
  </si>
  <si>
    <t>LAS VEGAS CELEBRITY MUA</t>
  </si>
  <si>
    <t>• Published Celebrity Licensed Mua 
• makeupseckz@gmail.com
• click the book now button ⬇️
• VEGAS BASED MUA</t>
  </si>
  <si>
    <t>http://www.theglamhussle.com</t>
  </si>
  <si>
    <t>malessanicoleee</t>
  </si>
  <si>
    <t>Malessa • Las Vegas Makeup Artist</t>
  </si>
  <si>
    <t>𝙻𝚊𝚜 𝚅𝚎𝚐𝚊𝚜 𝙼𝚊𝚔𝚎𝚞𝚙 𝙰𝚛𝚝𝚒𝚜𝚝 &amp; 𝙲𝚘𝚗𝚝𝚎𝚗𝚝 𝙲𝚛𝚎𝚊𝚝𝚘𝚛 🪬
• 𝕍𝕖𝕘𝕒𝕤 🎰✈️
• Owner @makeupbymalessa 
• Malessa@makeupbymalessa.com 📩
• Book a makeup appointment ⬇️</t>
  </si>
  <si>
    <t>https://bio.site/MakeupByMalessa</t>
  </si>
  <si>
    <t>oliviarosebeautyy</t>
  </si>
  <si>
    <t>🌏Worldwide H&amp;MU💄
🏠Las Vegas
More me: @oliveiarose 
Beauty.oliviarose@gmail.com</t>
  </si>
  <si>
    <t>http://www.oliviarosebeautyy.com/</t>
  </si>
  <si>
    <t>makeup Montreal</t>
  </si>
  <si>
    <t>aj.makeup</t>
  </si>
  <si>
    <t>EDUCATOR for future MUA at @mkup.academy👩‍🎓
BEAUTY &amp; BRIDAL makeup SPECIALIST✨
Email for booking</t>
  </si>
  <si>
    <t>https://ajmakeup.ca</t>
  </si>
  <si>
    <t>makeupbydsleiman</t>
  </si>
  <si>
    <t>Montreal Makeup Artist</t>
  </si>
  <si>
    <t>Dana • Montreal • ✈︎
Luxury Makeup Artist
Bridal Expert 
Bookings — Email or Message</t>
  </si>
  <si>
    <t>https://visibook.com/wybejxypc6srhwe5s</t>
  </si>
  <si>
    <t>makeup San Diego</t>
  </si>
  <si>
    <t>artistrybybrianna</t>
  </si>
  <si>
    <t>San Diego Makeup Artist</t>
  </si>
  <si>
    <t>NOW BOOKING 2026
specialized in bridal makeup
contact form + website ↓</t>
  </si>
  <si>
    <t>http://artistrybybrianna.com/contact</t>
  </si>
  <si>
    <t>fari_makeup</t>
  </si>
  <si>
    <t>▫️𝗠𝗔𝗞𝗘𝗨𝗣▫️ 𝗦𝗔𝗡 𝗗𝗜𝗘𝗚𝗢▫️ 𝗖𝗟𝗔𝗦𝗦𝗘𝗦</t>
  </si>
  <si>
    <t>𝐌𝐀𝐊𝐄𝐔𝐏 𝐀𝐑𝐓𝐈𝐒𝐓 | Luxury and Modern Styles
𝐒𝐚𝐧 𝐃𝐢𝐞𝐠𝐨 | 𝐎𝐂 | 𝐋𝐀 | 𝐓𝐫𝐚𝐯𝐞𝐥 ✈️
𝗕𝗢𝗢𝗞𝗜𝗡𝗚 𝟮𝟬𝟮𝟱/2026 𝘊𝘭𝘪𝘤𝘬 𝘧𝘰𝘳 𝘣𝘰𝘰𝘬𝘪𝘯𝘨  Link ⤵️
✉️farimakeup.sd@gmail.com</t>
  </si>
  <si>
    <t>https://taplink.cc/fari_makeup</t>
  </si>
  <si>
    <t>makeupbykamielea</t>
  </si>
  <si>
    <t>Kamie| San Diego Makeup Artist</t>
  </si>
  <si>
    <t>✨BOOKING 2025 - 2026 WEDDINGS✨
💌 EMAIL to book your WEDDING DAY 
🔗 CLICK THE LINK to book 1:1 MAKEUP APPT. OR LESSON 🚫 NO DMS
💄12+ yrs. exp.</t>
  </si>
  <si>
    <t>https://www.makeupbykamielea.com/</t>
  </si>
  <si>
    <t>mariannematar_</t>
  </si>
  <si>
    <t>SAN DIEGO MAKEUP &amp; BROW ARTIST</t>
  </si>
  <si>
    <t>LA JEFA 🇲🇽🇱🇧
Owner of @beautyrepublicsd + @shopmarianne 
- Makeup @mariannemmakeup 
- Brows @browsbymariannesd 
📍SD
@diosafitofficial code: MARIANNE</t>
  </si>
  <si>
    <t>https://www.vagaro.com/beautyrepublicsandiego</t>
  </si>
  <si>
    <t>mualaciexo</t>
  </si>
  <si>
    <t>➳ HI ✌🏼I’m Lacie—Pro Makeup Artist &amp; Hype Woman 
➳ Specializing in Soft Glam Bridal 
➳ 2026 BOOKS ARE OPEN🎉
➳ EMAIL ONLY to Inquire (NO DMS)</t>
  </si>
  <si>
    <t>https://laciepencemakeupartist.com/links</t>
  </si>
  <si>
    <t>makeup Vancouver</t>
  </si>
  <si>
    <t>glambyzohal</t>
  </si>
  <si>
    <t>Vancouver Makeup &amp; Hair Artist</t>
  </si>
  <si>
    <t>Vancouver/International Hair &amp; Makeup Artist 
Bridal ♡ Non Bridal ♡ Celebrity ♡ Editorial 
#glambyzohal 🧿
Accepting Bridal Booking 2026</t>
  </si>
  <si>
    <t>https://linktr.ee/glambyzohal</t>
  </si>
  <si>
    <t>moda Las Vegas</t>
  </si>
  <si>
    <t>lasvegas.moda</t>
  </si>
  <si>
    <t>Geyim Mağazası | Qadın &amp; Kişi  Geyimləri</t>
  </si>
  <si>
    <t>📍 Azadlıq filialı  0993111190
📍Nərimanov filialı  0513111166
📍M.Əcəmi filialı  0513111175
📍Əhmədli filialı  0513111140
📍Neftçilər filialı  0513111160</t>
  </si>
  <si>
    <t>http://wa.me/994513116666</t>
  </si>
  <si>
    <t>moda Montreal</t>
  </si>
  <si>
    <t>montreal.modaecasa</t>
  </si>
  <si>
    <t>Montreal Moda e Casa</t>
  </si>
  <si>
    <t>Há 30 anos com você ❤️
+ de 60 lojas em 4 estados,
Moda, casa e muita história!
Compre online! 👇</t>
  </si>
  <si>
    <t>http://montrealmodaecasa.com.br/</t>
  </si>
  <si>
    <t>nails Las Vegas</t>
  </si>
  <si>
    <t>lvnailspa</t>
  </si>
  <si>
    <t>LV Nails &amp; Spa | Las Vegas Nails &amp; Lashes Salon</t>
  </si>
  <si>
    <t>💅Aesthetic, Luxury Nail Salon in Henderson, NV
🤍Mani - Pedi - Lashes- Waxing- Facial 
🗓️Book your appointment online or via 702-750-9045</t>
  </si>
  <si>
    <t>https://lv.hayven.ai/</t>
  </si>
  <si>
    <t>nailsbylitaa_</t>
  </si>
  <si>
    <t>licensed las vegas nails + toe tech 🧸🎀</t>
  </si>
  <si>
    <t>suite based located on craig and decatur 💗 scroll &amp; please read policy highlight labeled (🌟) before booking ! response time is best on wed/thurs</t>
  </si>
  <si>
    <t>nails San Diego</t>
  </si>
  <si>
    <t>amayanailzz</t>
  </si>
  <si>
    <t>San Diego Nail Tech</t>
  </si>
  <si>
    <t>licensed manicurist• Acrylic &amp; Gel-X nail enhancements • 
91977📍booking for October🧡</t>
  </si>
  <si>
    <t>easy.beautyspace</t>
  </si>
  <si>
    <t>NAILS | BROWS | LASH LIFT - SAN DIEGO</t>
  </si>
  <si>
    <t>RUSSIAN MANICURE&amp;PEDICURE | EYEBROW TINTING | LASH EXTENSIONS 
sterile tool | top masters | any design 🔥
Book appointment or DM 👇🏼</t>
  </si>
  <si>
    <t>https://book.heygoldie.com/easy-beautyspace</t>
  </si>
  <si>
    <t>sandiego_the_best_nails</t>
  </si>
  <si>
    <t>The Best Nail Salon in San Diego 💅🏻</t>
  </si>
  <si>
    <t>nails Seattle</t>
  </si>
  <si>
    <t>styledbyangela</t>
  </si>
  <si>
    <t>Angela | Hair &amp; Nails Seattle</t>
  </si>
  <si>
    <t>Multifaceted artist👩🏻‍🎨 
📍Bad &amp; Boujee Beauty Bar, RENTON (Hair/Wed-Sat)
📍Home Based, FEDERAL WAY (Nails/Tues-Fri)
👇Link to book 4 hair</t>
  </si>
  <si>
    <t>https://www.fresha.com/a/bad-and-boujee-beauty-bar-renton-216-wells-avenue-south-pgaen2hs</t>
  </si>
  <si>
    <t>urbannailbox</t>
  </si>
  <si>
    <t>Seattle Nail Art | Nails Talk</t>
  </si>
  <si>
    <t>sorry NO DMs for BOOKING 
📍Ballard: 1453 NW 54th St, Unit B Seattle, WA 98107 
📍Fremont: 4106 Stoneway N, Suite 105 Seattle WA 98103</t>
  </si>
  <si>
    <t>https://squareup.com/appointments/book/mwwda5xc0owb50/LFKS50CQFWS3B/services</t>
  </si>
  <si>
    <t>perfume Vancouver</t>
  </si>
  <si>
    <t>scentrique</t>
  </si>
  <si>
    <t>Vancouver's Finest Niche Perfumerie</t>
  </si>
  <si>
    <t>Your hub for luxury &amp; niche fragrances, education and fragrance reviews. Join our #fragcomm. 
Based in Vancouver
Ships to 🇨🇦🇺🇲</t>
  </si>
  <si>
    <t>https://linktr.ee/scentrique</t>
  </si>
  <si>
    <t>skincare Las Vegas</t>
  </si>
  <si>
    <t>germonbeauty</t>
  </si>
  <si>
    <t>Las Vegas SkinCare Enhancement’s</t>
  </si>
  <si>
    <t>🧖🏾‍♀️🧘🏾‍♀️
Skincare is not a luxury it’s a necessity ✨
🌱ORGANIC Hair Growth Oil 🌱
📦 DM to Purchase 📬
📍Vegas 🛫 Cali🌴
🙋🏽‍♀️ @lifewitfee 👩🏽‍⚕️
🚨SPF👮🏾‍♀️</t>
  </si>
  <si>
    <t>skincare San Diego</t>
  </si>
  <si>
    <t>cruzalevzla</t>
  </si>
  <si>
    <t>Cruzale| Makeup | Skincare | San Diego</t>
  </si>
  <si>
    <t>Inauguración 15 Octubre</t>
  </si>
  <si>
    <t>kiwi.spa.san.diego</t>
  </si>
  <si>
    <t>Skincare &amp; Facials | Vegan Day Spa</t>
  </si>
  <si>
    <t>🥝Jet Peel Facial Expert: Acne/Anti-Aging/Pigmentation. Chemical Peels. Medical Grade Skincare. 
🥝15% OFF all new clients 
🥝DM for Free Consultation</t>
  </si>
  <si>
    <t>https://linktr.ee/KiwiSpa</t>
  </si>
  <si>
    <t>kruzale.vzla</t>
  </si>
  <si>
    <t>Maquillaje | Skincare | Makeup | Belleza| San Diego | Valencia</t>
  </si>
  <si>
    <t>📍Valencia, San Diego, El Morro II 
❌No Vendemos Réplica❌  TASA BCV💵
CEO:@axeldlgado
AL MAYOR EN @KOSMETICOSALMAYOR</t>
  </si>
  <si>
    <t>https://beacons.ai/cruzalevzla</t>
  </si>
  <si>
    <t>papelon_chocolate</t>
  </si>
  <si>
    <t>Papelon Ch | Maquillaje &amp; Skincare San Diego🇻🇪</t>
  </si>
  <si>
    <t>💖100% Original
✨Cuida tu piel y luce radiante a diario✨
📍Showroom en San Diego (previa cita)
🚚Delivery &amp; envíos a toda Ve🇻🇪
📲Clic Catálogos y compras</t>
  </si>
  <si>
    <t>https://papelonstoreve.catalog.to/s/papelon-store/maquillaje/uff</t>
  </si>
  <si>
    <t>skincare Vancouver</t>
  </si>
  <si>
    <t>vancouverlaser</t>
  </si>
  <si>
    <t>Vancouver Laser &amp; Skin Care Centre — Est. 1996</t>
  </si>
  <si>
    <t>The Leading Experts &amp; Trainers in Non-Surgical Aesthetic Treatments ✨</t>
  </si>
  <si>
    <t>https://lnk.bio/vlscc</t>
  </si>
  <si>
    <t>sneakers San Diego</t>
  </si>
  <si>
    <t>corpssneakers</t>
  </si>
  <si>
    <t>San Diego Sneakers</t>
  </si>
  <si>
    <t>Veteran owned. “Core- Sneakers”
Dm to join the backdoor group!👟  
The only Backdoor provider</t>
  </si>
  <si>
    <t>san_diego_sneaker_</t>
  </si>
  <si>
    <t>SAN DIEGO SNEAKERS</t>
  </si>
  <si>
    <t>TIENDA CERRADA 
nos encontras en sucursal cruce Varela 📍
@san_diego_showroom_</t>
  </si>
  <si>
    <t>streetwear Seattle</t>
  </si>
  <si>
    <t>seattleselect</t>
  </si>
  <si>
    <t>#️⃣1️⃣ Streetwear Plug 🔌🏆</t>
  </si>
  <si>
    <t>Seattle, Wa ☔️ 
Personal @8oone 👱🏻
YT Channel “8oone” 🎥
Group @8rowser 🕵️‍♂️ 
New Items Every Saturday 💰
International Shipping 🌏⠀
Browse My Shop ⬇️</t>
  </si>
  <si>
    <t>https://www.seattleselect.store/shop</t>
  </si>
  <si>
    <t>thrift San Diego</t>
  </si>
  <si>
    <t>honestthriftstudio</t>
  </si>
  <si>
    <t>Honest Thrift Studio &amp; Plants, San Diego</t>
  </si>
  <si>
    <t>🩷 A space for everyone 🩷
🏳️‍🌈 Queer &amp; woman-owned
🌿 Open Wednesday-Saturday, 10am-3pm
☀️ $4 clothes 🌈 New Treasures Daily 🪴Lots of Plants</t>
  </si>
  <si>
    <t>https://linktr.ee/honestthrift</t>
  </si>
  <si>
    <t>platosclosetsandiego</t>
  </si>
  <si>
    <t>Plato's Closet San Diego | Clothing Fashion Thrift Secondhand</t>
  </si>
  <si>
    <t>Discount ➡️ Clothing, Shoes, Purses and More
Up to 70% off regular mall prices 
Save huge 💰 for your fashion style
Open 7 Days a week Buy Sell Trade</t>
  </si>
  <si>
    <t>https://www.linktr.ee/pcsandiego</t>
  </si>
  <si>
    <t>accessories Moscow</t>
  </si>
  <si>
    <t>accessories.moscow1</t>
  </si>
  <si>
    <t>Отправка по всему миру🌏</t>
  </si>
  <si>
    <t>Добро пожаловать наш онлайн-Магазин</t>
  </si>
  <si>
    <t>beauty reviews  Moscow</t>
  </si>
  <si>
    <t>beauty_reviewsmoscow</t>
  </si>
  <si>
    <t>БЬЮТИ ОБЗОРЫ БЕЗ ЛИЦА 👋🏻</t>
  </si>
  <si>
    <t>🆘 Первый анонимный бьютиблог 
👱🏻‍♀️ Обзоры на косметику и салоны Красоты 
📌 Сотрудничество — direct</t>
  </si>
  <si>
    <t>makeeva___sveta</t>
  </si>
  <si>
    <t>Света, со мной на ты🌼|Moscow|UGC creator|travel|beauty|reviews|</t>
  </si>
  <si>
    <t>UGC creator
Снимаю для брендов&amp;экспертов
Restaurants, travel, beauty, reviews
Сотрудничество 👉 @makeeva.pr</t>
  </si>
  <si>
    <t>https://t.me/makeevstofamily</t>
  </si>
  <si>
    <t>hairstyle Moscow</t>
  </si>
  <si>
    <t>araksya_hairstyle_</t>
  </si>
  <si>
    <t>Hairstylist Moscow-Krasnodar</t>
  </si>
  <si>
    <t>|Твой свадебный стилист|Преподаватель 
Обновленный курс по причёскам и укладкам «AIR HAIR”☄️
•Запись в👇🏻W’app</t>
  </si>
  <si>
    <t>hairstyle Warsaw</t>
  </si>
  <si>
    <t>handbags Warsaw</t>
  </si>
  <si>
    <t>hollie.warsaw</t>
  </si>
  <si>
    <t>Hollie Warsaw Handbags</t>
  </si>
  <si>
    <t>Premium quality leather handbags &amp; accessories
Female founded. Over 10 000+ satisfied customers. 
Skórzane torebki i akcesoria. Szyte w Polsce.</t>
  </si>
  <si>
    <t>http://www.hollie.pl/</t>
  </si>
  <si>
    <t>high heels Moscow</t>
  </si>
  <si>
    <t>di__0_1</t>
  </si>
  <si>
    <t>MODEL | UGC | MOSCOW | TWERK | HIGH HEELS</t>
  </si>
  <si>
    <t>Диана🐆
▫️индивидуальные/групповые тренировки
▫️выступления/съемки с артистами
▫️UGC-контент для брендов</t>
  </si>
  <si>
    <t>marina.abramovaaa</t>
  </si>
  <si>
    <t>MARINA XCLUSIVE 👠High Heels• Vogue•Moscow</t>
  </si>
  <si>
    <t>21.09 Мастер класс 👠 Dirty Diana
⭐️Мишлен в мире танцев
Ко мне приходят танцевать, меняют жизни</t>
  </si>
  <si>
    <t>https://marinaabramova.ru/magichands</t>
  </si>
  <si>
    <t>luxury Dublin</t>
  </si>
  <si>
    <t>monaghanscashmere</t>
  </si>
  <si>
    <t>Luxury Cashmere Specialist Dublin</t>
  </si>
  <si>
    <t>Family business. EST. 1960. Celebrating over 64 years of timeless cashmere and knitwear. The trusted cashmere specialists. Worldwide shipping 🌍</t>
  </si>
  <si>
    <t>https://monaghanscashmere.ie/products/13882?_pos=1&amp;_psq=flora&amp;_ss=e&amp;_v=1.0</t>
  </si>
  <si>
    <t>luxury Warsaw</t>
  </si>
  <si>
    <t>warsawluxury</t>
  </si>
  <si>
    <t>Warsaw 🇵🇱 Luxury</t>
  </si>
  <si>
    <t>▪ Best exotic car content! 🚗💨 🏁
▪️ Turn on post notifications! 🔔</t>
  </si>
  <si>
    <t>make-up artist Brussels</t>
  </si>
  <si>
    <t>make-up artist Geneva</t>
  </si>
  <si>
    <t>tinatmakeup</t>
  </si>
  <si>
    <t>𝗠𝗔𝗞𝗘𝗨𝗣 𝗮𝗿𝘁𝗶𝘀𝘁 𝗚𝗘𝗡𝗘𝗩𝗔🇨🇭</t>
  </si>
  <si>
    <t>PRO Wedding / Celebrity stylist🪄✨
My beauty team: @beautyconcierge.ch 
13 years of experience 🙌🏻
Main account:  @christina_tsygankova</t>
  </si>
  <si>
    <t>https://tinat.ch</t>
  </si>
  <si>
    <t>make-up artist Moscow</t>
  </si>
  <si>
    <t>chikalo_yana</t>
  </si>
  <si>
    <t>makeup artist Moscow/Dubai/Europe</t>
  </si>
  <si>
    <t>Yana Chikálo
🇦🇪 Dubai/Abu Dhabi December 1-10
makeup and classes for beginner and practicing artists
Booking for services in DM or taplink 👇🏽</t>
  </si>
  <si>
    <t>https://t.me/YCmanager</t>
  </si>
  <si>
    <t>elena__cherkashina</t>
  </si>
  <si>
    <t>💄MAKE UP ARTIST💋  Moscow</t>
  </si>
  <si>
    <t>👄 Макияж любой сложности
💄 Опыт работы 7 лет
👑 Работаю по Москве и МО/выезжаю НА ДОМ 
☎ +79854526280</t>
  </si>
  <si>
    <t>http://vk.com/club38590895</t>
  </si>
  <si>
    <t>makeup Dublin</t>
  </si>
  <si>
    <t>bronzeandglow_makeup</t>
  </si>
  <si>
    <t>Holly OMara | Dublin Makeup Artist</t>
  </si>
  <si>
    <t>Pro Makeup Artist &amp; Educator
Glam | Bridal | Photoshoots 
Owner @millimedia.ie @haleyhollyacademy
Book your appointment 👇</t>
  </si>
  <si>
    <t>http://linktr.ee/bronzeandglow</t>
  </si>
  <si>
    <t>brownsugar_ie</t>
  </si>
  <si>
    <t>HAIR &amp; MAKEUP | DUBLIN</t>
  </si>
  <si>
    <t>☁️ 3 Salons | Dublin, Ireland.
🥂 Open Monday to Saturday.
🤎 Hair &amp; Makeup Artists.
 ☕️Est. 2005</t>
  </si>
  <si>
    <t>https://www.phorest.com/salon/brownsugar?utm_source=insta_book_now</t>
  </si>
  <si>
    <t>cakedwcian</t>
  </si>
  <si>
    <t>dublin makeup artist</t>
  </si>
  <si>
    <t>🪐 face painter 
💌 cianmacken14@gmail.com</t>
  </si>
  <si>
    <t>victoria.dobrojan</t>
  </si>
  <si>
    <t>MAKEUP ARTIST&amp;Stylist💄| Dublin</t>
  </si>
  <si>
    <t>@victoria.signiturebeautystudio</t>
  </si>
  <si>
    <t>makeup Moscow</t>
  </si>
  <si>
    <t>medinamakeupmakeup</t>
  </si>
  <si>
    <t>MAKEUP MOSCOW 🌓</t>
  </si>
  <si>
    <t>Make up Artist 
Visage training/ Обучение 89289166176
М.Баррикадная Конюшковская 28</t>
  </si>
  <si>
    <t>makeup St. Petersburg</t>
  </si>
  <si>
    <t>anna_light_muah</t>
  </si>
  <si>
    <t>CELEBRITY MAKEUP ARTIST IN MOSCOW/ ST.PETERSBURG</t>
  </si>
  <si>
    <t>Профессиональный макияж для красных дорожек и съемок 📸
Работала с Еленой Ваенгой, Марией Погребняк, Александрой Кабаевой, Юлией Сапарниязовой</t>
  </si>
  <si>
    <t>https://taplink.cc/anna_light_muah</t>
  </si>
  <si>
    <t>makeup Warsaw</t>
  </si>
  <si>
    <t>barskaya.mua</t>
  </si>
  <si>
    <t>Beauty blog | UGC • Content creator | Makeup artist📍Warsaw</t>
  </si>
  <si>
    <t>💄 Beauty hacks &amp; makeup tutorials
📸 Creating authentic UGC for brands
✨ 4,5M views in the last 30 days
💌 For collabs: DM | muabarskaya@gmail.com</t>
  </si>
  <si>
    <t>https://www.youtube.com/@KatarinaBarska</t>
  </si>
  <si>
    <t>kseyonce</t>
  </si>
  <si>
    <t>MAKEUP | Warsaw, Cannes, Europe</t>
  </si>
  <si>
    <t>hi, I’m Ksu! freelance makeup artist 🇺🇦
clients, shootings, bridal, education
kseyonce@icloud.com</t>
  </si>
  <si>
    <t>makeupbykaca_</t>
  </si>
  <si>
    <t>Make-up, Warszawa</t>
  </si>
  <si>
    <t>Kasia Kaca 
Make-up Artist 💄
Collab: kasiakaca7@wp.pl
KURS MAKIJAŻU DZIENNEGO ONLINE PONIŻEJ</t>
  </si>
  <si>
    <t>https://makeupbykaca.myvod.eu/kurs/386/kurs-makijazu-dziennego</t>
  </si>
  <si>
    <t>yana_makeychik</t>
  </si>
  <si>
    <t>Makeup Warsaw | Визажист Варшава | Makijaz Warszawa</t>
  </si>
  <si>
    <t>Makeup artist ALICANTE/WARSAW/KRAKÓW 🇪🇸🇵🇱 ОБУЧЕНИЕ МАКИЯЖУ
CEO @vim_school 
💫OMCWORLD laureate 2020
💫MUAFESTIVAL EUROPE
ChampionMakeupartist Belarus</t>
  </si>
  <si>
    <t>moda Brussels</t>
  </si>
  <si>
    <t>cliffbrussels</t>
  </si>
  <si>
    <t>CLIFF MODERN COFFEE HOUSE</t>
  </si>
  <si>
    <t>all day coffee and eatery 
⏱️open 7/7
🍵8h - 20h
🧑‍🍳8h - 19h
❌ no booking</t>
  </si>
  <si>
    <t>https://taplink.cc/cliffbrussels?from=qr</t>
  </si>
  <si>
    <t>moda Dublin</t>
  </si>
  <si>
    <t>acomodacoesd</t>
  </si>
  <si>
    <t>Acomodações Dublin</t>
  </si>
  <si>
    <t>🏡🏣🇮🇪
*Contract_*
* Minimum 5 months, automatically renewed</t>
  </si>
  <si>
    <t>https://chat.whatsapp.com/L5SkYJ5iHcT8RrqUPz3XM4</t>
  </si>
  <si>
    <t>dublinperfumesemodapraia</t>
  </si>
  <si>
    <t>Dublin Perfumes &amp; Moda Praia</t>
  </si>
  <si>
    <t>®️ | Compre MUITO gastando pouco!!!
📱 | (34)99856-1235 WhatsApp
⏰ | Segunda a Sexta 9h às 20h
⏰ | Sábado 9h às 18h
🛵 | Entregas Express Uberlândia-MG</t>
  </si>
  <si>
    <t>http://wa.me/5534998561235/</t>
  </si>
  <si>
    <t>moda St. Petersburg</t>
  </si>
  <si>
    <t>kate_tii_</t>
  </si>
  <si>
    <t>model st.petersburg &amp; content creator</t>
  </si>
  <si>
    <t>Ekaterina 
St. Petersburg
Model &amp; lifestyle creator
Fashion | Travel | Beauty
Advertising|cooperation
-&gt;direct💌</t>
  </si>
  <si>
    <t>nastenkayankina</t>
  </si>
  <si>
    <t>Anastasia Asilkhanova Model St. Petersburg / Moscow</t>
  </si>
  <si>
    <t>Cooperation 📨 direct</t>
  </si>
  <si>
    <t>https://t.me/nastenkayankinaa</t>
  </si>
  <si>
    <t>moda Warsaw</t>
  </si>
  <si>
    <t>moda_fryzjer</t>
  </si>
  <si>
    <t>Moda Fryzjer &amp; Beauty Warszawa | hair • barber • makijaż |</t>
  </si>
  <si>
    <t>•koloryzacja nowoczesna 💇🏻‍♂️💇🏻‍♀️
•rekonstrukcja włosów
•stylizacja brody oraz fryzury męskie 🇹🇷🇵🇱🇺🇦🇦🇿
🕖09.00-21.00</t>
  </si>
  <si>
    <t>sempre_di_moda_warszawa</t>
  </si>
  <si>
    <t>Sempre di moda Warszawa</t>
  </si>
  <si>
    <t>@justuniquewarszawa</t>
  </si>
  <si>
    <t>nails Dublin</t>
  </si>
  <si>
    <t>nailsdublin</t>
  </si>
  <si>
    <t>✨🧡💅🏻
37 Wicklow St, Penneys O’Connell St, Mary St, Liffey Valley, Waterford, Tallaght, Newbridge, Galway and Dundrum!</t>
  </si>
  <si>
    <t>https://www.dublinnails.com/</t>
  </si>
  <si>
    <t>nails Warsaw</t>
  </si>
  <si>
    <t>g.bar.warsaw</t>
  </si>
  <si>
    <t>G × WARSAW | hair • makeup • nails • skin</t>
  </si>
  <si>
    <t>• Well – Klimczaka 17 
• Hip – Marszałkowska 32
• Milk – Nowogrodzka 6A 
• Urban – Grzybowska 4
• Match – Przyokopowa 26
@g.shop.pl 🛁</t>
  </si>
  <si>
    <t>https://linktr.ee/gbarwarsaw</t>
  </si>
  <si>
    <t>natural beauty Warsaw</t>
  </si>
  <si>
    <t>ceracera.beauty</t>
  </si>
  <si>
    <t>Naturalny lifting∙masaż twarzy∙Kobido∙bruksizm∙Warszawa WILANÓW</t>
  </si>
  <si>
    <t>👩‍⚕️ Dypl. terapeutka twarz/ciało/oddech
🏋️ Uczę Face Fitness 🎂46
✨ Pomagam🙎‍♀️wyglądać zdrowiej/lepiej bez 💉
⬇️Umów się na masaż lub konsulatcję FF⬇️</t>
  </si>
  <si>
    <t>http://ceracera.booksy.com/a/</t>
  </si>
  <si>
    <t>perfume Dublin</t>
  </si>
  <si>
    <t>perfume Geneva</t>
  </si>
  <si>
    <t>geneva_perfumes</t>
  </si>
  <si>
    <t>•GENEVA PERFUMES | جينيفا للعطور</t>
  </si>
  <si>
    <t>• Based in Oman 
•كل المعروض اصلي ١٠٠٪؜
•Every thing in account is original
• To order | DM or click the link
للطلب ٩٦٩٩٣٥١٥</t>
  </si>
  <si>
    <t>perfume Moscow</t>
  </si>
  <si>
    <t>perfume_in__moscow</t>
  </si>
  <si>
    <t>🏺Только оригинальные парфюмы из: 
🌍Франции, ОАЭ, США, Италии 
 🛒 Большой ассортимент товаров в наличии
🚚Доставка по всему миру
✍🏻писать  в Директ 📩</t>
  </si>
  <si>
    <t>skincare Moscow</t>
  </si>
  <si>
    <t>prosto.sapi</t>
  </si>
  <si>
    <t>Skincare adept 📍Moscow</t>
  </si>
  <si>
    <t>• Инъекции и Эстет космет-я 
• S.M.Kirov Military Medical Academy при МОРФ
• RUDN Faculty of cosmetology
• Запись👇🏼ведёт администратор по ссылке ниже</t>
  </si>
  <si>
    <t>sneakers Dublin</t>
  </si>
  <si>
    <t>dublin_closet</t>
  </si>
  <si>
    <t>SNEAKERS CALZADO👟 | HOBBIES</t>
  </si>
  <si>
    <t>🤩| 𝗣𝗔𝗚𝗔 𝗔 𝗖𝗥𝗘𝗗𝗜𝗧𝗢 𝗦𝗜𝗡 𝗜𝗡𝗧𝗘𝗥𝗘𝗦 
✈️| 𝙀𝙉𝙑Í𝙊 𝙂𝙍𝘼𝙏𝙄𝙎 𝘼 𝙏𝙊𝘿𝙊 𝙀𝙇 𝙋𝘼Í𝙎 
👟| @team_lasociedaddelsneaker
📕|𝗖𝗔𝗧𝗔𝗟𝗢𝗚𝗢 👇🏻👇🏻👇🏻
📲|322-685-0189</t>
  </si>
  <si>
    <t>https://linktr.ee/dublincloset</t>
  </si>
  <si>
    <t>sneakers Warsaw</t>
  </si>
  <si>
    <t>warsawsneakerstore</t>
  </si>
  <si>
    <t>WS2</t>
  </si>
  <si>
    <t>WARSAW SNEAKER STORE
Tag us #warsawsneakerstore #ws2</t>
  </si>
  <si>
    <t>https://linktr.ee/warsawsneakerstore_wss?utm_source=instagram&amp;utm_medium=post&amp;utm_campaign=linktree</t>
  </si>
  <si>
    <t>street style Dublin</t>
  </si>
  <si>
    <t>dubstreetwear</t>
  </si>
  <si>
    <t>Dublin Street Wear•Mens Style</t>
  </si>
  <si>
    <t>Style | Design | Culture
Email | dubstreetwear@gmail.com
Coffee stuff | @dubstreetcafe
Work stuff | @dubstreetphotography</t>
  </si>
  <si>
    <t>street style Moscow</t>
  </si>
  <si>
    <t>moscowstreetstylee</t>
  </si>
  <si>
    <t>Moscow Street Style 🇷🇺</t>
  </si>
  <si>
    <t>◍ Актуальные образы уличной моды Москвы
◍ Новости из мира моды 
◍ Подборки</t>
  </si>
  <si>
    <t>streetwear Dublin</t>
  </si>
  <si>
    <t>dublingarden</t>
  </si>
  <si>
    <t>STREET WEAR | OVER SIZE | BAGGYS 🍀</t>
  </si>
  <si>
    <t>📍 | Ocampo 3227 - Rosario
🇦🇷 | Envíos a todo el país 
🌐 | Tienda online [ACTIVA] 👇🏻</t>
  </si>
  <si>
    <t>http://www.dublingarden.com.ar/</t>
  </si>
  <si>
    <t>sustainable fashion Brussels</t>
  </si>
  <si>
    <t>thisisalovesong</t>
  </si>
  <si>
    <t>Sustainable Fashion Brand | THIS IS A LOVE SONG = TIALS</t>
  </si>
  <si>
    <t>Apparel • Intimates • Swim
Website restock &amp; refresh in progress
DM us for orders</t>
  </si>
  <si>
    <t>wearekin.co</t>
  </si>
  <si>
    <t>Sustainable Fashion Brand</t>
  </si>
  <si>
    <t>Ethical #timelessstaples sustainably manufactured in London sizes 6-26 
By @ngoni
Seen in Vogue, MarieClaire, Forbes, WhoWhatWear, Refinery29, Stylist</t>
  </si>
  <si>
    <t>https://www.wearekin.co/</t>
  </si>
  <si>
    <t>sustainable fashion St. Petersburg</t>
  </si>
  <si>
    <t>barbershop Dublin</t>
  </si>
  <si>
    <t>queerhawkdublin</t>
  </si>
  <si>
    <t>Queer Hawk Barber Shop | Salon | Community Space</t>
  </si>
  <si>
    <t>Unapologetically QUEER 🏳️‍🌈🏳️‍⚧️ 
Straight-friendly
2 locations to love: 
📍Temple Bar
📍Liffey Street 
Tag @queerhawkdublin to be featured
Book now ⬇️</t>
  </si>
  <si>
    <t>hairstyle Oslo</t>
  </si>
  <si>
    <t>oslo.hairstyle</t>
  </si>
  <si>
    <t>Khouk ana 👌🏻</t>
  </si>
  <si>
    <t>📍Casablanca ,hakam 03 rue 02 
🏠: service à domicile ✂️
📞:+212638306616</t>
  </si>
  <si>
    <t>https://maps.app.goo.gl/kJbbHjBH7SuKw7Wr8?g_st=com.google.maps.preview.copy</t>
  </si>
  <si>
    <t>hair tutorial Valencia</t>
  </si>
  <si>
    <t>larionovanastasia</t>
  </si>
  <si>
    <t>Anastasiia Larionova | Makeup | Hair tutorials | Valencia 🇪🇸</t>
  </si>
  <si>
    <t>Bridal Hair &amp; Makeup Artist
Hair Tutorials / Education 
📍Valencia | Worldwide Weddings
WEDDING ELEGANCE — Online Course 
📩 WhatsApp: +34 665 487 732</t>
  </si>
  <si>
    <t>https://larionovabeauty.com/</t>
  </si>
  <si>
    <t>luxury Edinburgh</t>
  </si>
  <si>
    <t>theedinburghgrand</t>
  </si>
  <si>
    <t>The Edinburgh Grand, a Luxury Collection Hotel</t>
  </si>
  <si>
    <t>A neoclassical landmark reimagined for the modern traveller, in the heart of Edinburgh’s New Town. Now part of @theluxurycollection.</t>
  </si>
  <si>
    <t>https://bio.site/theedinburghgrand</t>
  </si>
  <si>
    <t>luxury Helsinki</t>
  </si>
  <si>
    <t>luxuryhelsinki</t>
  </si>
  <si>
    <t>Luxury Helsinki</t>
  </si>
  <si>
    <t>Luxury with a story🌹
Authentic pre-loved handbags, watches &amp; accessories
In the heart of Helsinki with free worldwide shipping
Open Tue-Sat</t>
  </si>
  <si>
    <t>https://www.luxuryhelsinki.fi</t>
  </si>
  <si>
    <t>luxury Marseille</t>
  </si>
  <si>
    <t>midchelle_therealtor</t>
  </si>
  <si>
    <t>Midchelle Marseille | Luxury Realtor ®️</t>
  </si>
  <si>
    <t>🌴South Florida Realtor l Fashion l Faith l Lifestyle</t>
  </si>
  <si>
    <t>make-up artist Valencia</t>
  </si>
  <si>
    <t>estefaniavalenciamakeupartist</t>
  </si>
  <si>
    <t>Make up  &amp; Hair Studio</t>
  </si>
  <si>
    <t>📍 Quito 
Celebrity Make up Artist ✨
Available worldwide 🌎 
Content Creator 🎬
God first 🙏🏼</t>
  </si>
  <si>
    <t>http://www.estefaniavalenciamakeupartist.com</t>
  </si>
  <si>
    <t>makeup Edinburgh</t>
  </si>
  <si>
    <t>allanawilsonmakeup</t>
  </si>
  <si>
    <t>Allana Wilson | Edinburgh Bridal Makeup Artist Scotland</t>
  </si>
  <si>
    <t>Owner of @archistry.browstudio
Professional Makeup Artist 
✨ Specialist in Glam Brides ✨
12 years experience 🫧 🪄
DM for bridal bookings 📱</t>
  </si>
  <si>
    <t>https://that-time.co.uk/archistry-brow-studio</t>
  </si>
  <si>
    <t>makeup Helsinki</t>
  </si>
  <si>
    <t>noaloft</t>
  </si>
  <si>
    <t>🔝HAIR and makeup HELSINKI/DUBAI/ALANYA</t>
  </si>
  <si>
    <t>Beauty And soul therapy  
14 years of experience #blonde #foilayage
▫️𝔹𝕖𝕒𝕦𝕥𝕪 𝕤𝕒𝕝𝕠𝕟/𝔹𝕖𝕤𝕥 𝕙𝕒𝕚𝕣 𝕖𝕩𝕥𝕖𝕟𝕤𝕚𝕠𝕟𝕤/𝕄𝕒𝕜𝕖 𝕦𝕡
▫️𝕎𝕖𝕕𝕕𝕚𝕟𝕘 𝕤𝕥𝕪𝕝𝕖</t>
  </si>
  <si>
    <t>http://www.noaloft.com/</t>
  </si>
  <si>
    <t>makeup Marseille</t>
  </si>
  <si>
    <t>_makeupbyshaa</t>
  </si>
  <si>
    <t>MAKEUP ARTIST 👩🏻‍🎨 | 📍 MARSEILLE</t>
  </si>
  <si>
    <t>📍 AVAILABLE WORLDWIDE 🇵🇸🍉🫀
⠀⠀⠀⠀⠀⠀⠀⠀⠀ 💄 Formation | Bride | Shoot
⠀⠀⠀⠀⠀⠀⠀⠀⠀ 📞 Rendez-vous en DM ou WhatsApp</t>
  </si>
  <si>
    <t>makeup Valencia</t>
  </si>
  <si>
    <t>kasatka.yari</t>
  </si>
  <si>
    <t>MakeUp Valencia 🧑‍🎨 🇪🇸</t>
  </si>
  <si>
    <t>MAKEUP ARTIST DUBAI | MADRID | PARIS
🧚‍♂️ ✨ I am your beauty fairy all over the world. 
Travelling around the world 🌍 
💌: yarizakharchuk@gmail.com</t>
  </si>
  <si>
    <t>https://t.me/+OAkkXqZAK405NWQy</t>
  </si>
  <si>
    <t>moda Oslo</t>
  </si>
  <si>
    <t>veromodaoslo</t>
  </si>
  <si>
    <t>veromodaoslo.no</t>
  </si>
  <si>
    <t>VERO MODA NORGE
Klikk &amp; Hent i våre butikker🛒
Besøk nettbutikk:</t>
  </si>
  <si>
    <t>https://veromodaoslo.no</t>
  </si>
  <si>
    <t>moda Valencia</t>
  </si>
  <si>
    <t>pepe_furnieles_valencia_</t>
  </si>
  <si>
    <t>Pepe Furnieles Valencia | Moda | Tienda Multimarca</t>
  </si>
  <si>
    <t>Diseñadores Locales, Nacionales e internacionales .
Conde de Salvatierra 45, 46004. Valencia.
Whatsapp  637.46.04.16</t>
  </si>
  <si>
    <t>http://pepefurnieles.es</t>
  </si>
  <si>
    <t>nails Edinburgh</t>
  </si>
  <si>
    <t>dianas.nail.art</t>
  </si>
  <si>
    <t>Nails | Nail education | Edinburgh</t>
  </si>
  <si>
    <t>💅Teaching nail techs worldwide to master hard gel, prevent lifting &amp; keep natural nails healthy
⬇️ Learn &amp; grow with ONLINE COURSES</t>
  </si>
  <si>
    <t>http://hard-gel.dianasnailart.com</t>
  </si>
  <si>
    <t>perfume Marseille</t>
  </si>
  <si>
    <t>marseille.perfume</t>
  </si>
  <si>
    <t>مرسيليا للعطور ✨</t>
  </si>
  <si>
    <t>http://marrsile.com</t>
  </si>
  <si>
    <t>skincare Edinburgh</t>
  </si>
  <si>
    <t>edinburghnaturalskincare</t>
  </si>
  <si>
    <t>Edinburgh Natural Skincare</t>
  </si>
  <si>
    <t>🌱 Our ethos is simple: natural means natural 
🌱 Cruelty-free 
🌱 Made in Scotland 🏴󠁧󠁢󠁳󠁣󠁴󠁿 
tag us using #ENSC</t>
  </si>
  <si>
    <t>https://www.edinburghskincare.com/?gad_source=1&amp;gclid=CjwKCAjwrIixBhBbEiwACEqDJdzqxEu3JODiQW2Igw_IyenCIcFqX3HOEuRiX561B_lLy8whPge4GxoCkKsQAvD_BwE</t>
  </si>
  <si>
    <t>skincare Valencia</t>
  </si>
  <si>
    <t>biancablovesu</t>
  </si>
  <si>
    <t>Bianca Valencia• Mama • Foodie • Skincare Guru • Bridal MUA</t>
  </si>
  <si>
    <t>🤍A Woman of Many Talents ✨ Psalm 5:12
🤍Book facials w/ me! @skinrefinemedspa 🧖‍♀️ 
🤍Licensed 📍Bay Area
Watch me cook on TikTok! 👩🏻‍🍳🇵🇷🇲🇽</t>
  </si>
  <si>
    <t>sneakers Edinburgh</t>
  </si>
  <si>
    <t>flip.supply</t>
  </si>
  <si>
    <t>Flip Supply | Sneakers &amp; Clothing Edinburgh</t>
  </si>
  <si>
    <t>• Edinburgh Exclusive Footwear &amp; Clothing Store
• Drop in Shoe Cleaning Service 🧼
• 88 Hanover Street, EH2 1EL📍
Mon-Sat | 11am-7pm 
Sun | 11am-6pm</t>
  </si>
  <si>
    <t>http://www.flipsupply.co.uk/</t>
  </si>
  <si>
    <t>sneakers Marseille</t>
  </si>
  <si>
    <t>m.ta.sneakers</t>
  </si>
  <si>
    <t>M.ta.sneakers 👟👟 Maxime | Marseille / Paris</t>
  </si>
  <si>
    <t>#mtasneakers
⚠️collection personnelle⚠️
Size : 8US
Team @klekt #klekttakeover
📧 Collabs : m.ta.sneakers@gmail.com
📍 Fr, Paris
Sneakers aficionado</t>
  </si>
  <si>
    <t>sustainable fashion Marseille</t>
  </si>
  <si>
    <t>barbershop Lyon</t>
  </si>
  <si>
    <t>chrissbarber_shop</t>
  </si>
  <si>
    <t>Chrissbarbershop lyon</t>
  </si>
  <si>
    <t>🕘Du lundi au samedi, 9H-20H
Lyon 2, 📍3 rue Henri IV
Lyon 6 ,📍73-📍75 rue Pierre Corneille
🎓 Deviens Barber ➡️ @chrissbarberacademy</t>
  </si>
  <si>
    <t>https://www.planity.com/chriss-barber-lyon-2-69002</t>
  </si>
  <si>
    <t>luxury Lyon</t>
  </si>
  <si>
    <t>luxurywatchlyon</t>
  </si>
  <si>
    <t>Luxury Watch Lyon</t>
  </si>
  <si>
    <t>🥇 Vendeur / Négociant
🇨🇭 Swiss Watches</t>
  </si>
  <si>
    <t>http://www.luxury-watch-lyon.fr/</t>
  </si>
  <si>
    <t>make-up artist Lyon</t>
  </si>
  <si>
    <t>cams_beauty_</t>
  </si>
  <si>
    <t>- MAKE UP ARTIST LYON 🇫🇷-</t>
  </si>
  <si>
    <t>Bridal Visagism Specialist 🤍 
Réservation via WhatsApp 0664556158
Snap : cams_beauty1 👻</t>
  </si>
  <si>
    <t>make-up artist Marseille</t>
  </si>
  <si>
    <t>skincare Lyon</t>
  </si>
  <si>
    <t>lyonskinstore</t>
  </si>
  <si>
    <t>Lyon Skincare</t>
  </si>
  <si>
    <t>جمالك يبدا من هنا 
وجهتك الاولى للحصول على افضل المنتجات العناية بالبشرة والشعر
07803333222 قسم العناية داخل ليون للتجميل @lyonbeautyclinic</t>
  </si>
  <si>
    <t>streetwear Lyon</t>
  </si>
  <si>
    <t>acttd_store</t>
  </si>
  <si>
    <t>ACTITUD OG • Tribal Streetwear • NewEra • Portal Lyon</t>
  </si>
  <si>
    <t>⚜️ ACTITUD OG • StreetStore
📍 Tienda Portal Lyon L80
⌚️ Lun - Vier 13 a 19 • Sáb 11 a 19 hrs
#tribalstreetwear #neweracap #mtncolors #portallyon #locs</t>
  </si>
  <si>
    <t>https://www.acttd.cl</t>
  </si>
  <si>
    <t>womenswear Lyon</t>
  </si>
  <si>
    <t>lonelylabel</t>
  </si>
  <si>
    <t>Lonely Womenswear</t>
  </si>
  <si>
    <t>.
Womenswear by @lonelylingerie 
.
. 
#LonelyLabel &amp; #lonelyswim 💦
.</t>
  </si>
  <si>
    <t>http://bit.ly/WomenswearByLonely</t>
  </si>
  <si>
    <t>absolute.amy</t>
  </si>
  <si>
    <t>ABSOLUTE AMY</t>
  </si>
  <si>
    <t>The UK’s new authentic tribute to AMY WINEHOUSE performed by @whoisfable (Holly Cosgrove) 
💋🎶🧲🐦‍⬛♥️
To book contact: admin@showbizuk.com</t>
  </si>
  <si>
    <t>https://linktr.ee/absoluteamy</t>
  </si>
  <si>
    <t>absolutebasics</t>
  </si>
  <si>
    <t>ABSOLUTE</t>
  </si>
  <si>
    <t>Shop slow made #essentials in 🇱🇰
🚚 Islandwide Delivery 
📍377B, Galle Road , Colombo 03
📍One Galle Face Mall - L2</t>
  </si>
  <si>
    <t>http://www.absolutebasics.lk</t>
  </si>
  <si>
    <t>absolutedu</t>
  </si>
  <si>
    <t>ABSOLUTEDU</t>
  </si>
  <si>
    <t>#Marketing • #LifestyleInfluencer • #Architect
Censurado de la radio🎙️
pero NO de mis redes… 
—
Made in: 🇻🇪 |  Living: 🇺🇸
Noticias del 🌎</t>
  </si>
  <si>
    <t>https://linktr.ee/absolutedu</t>
  </si>
  <si>
    <t>absolutelyamyable</t>
  </si>
  <si>
    <t>Amy Alford RN | Midlife FASTer Way Coach</t>
  </si>
  <si>
    <t>I help ladies 40+ lose fat, boost energy, &amp; build lean muscle (hello, lean legs!)💪
👇Join my 42-Day Reset: home workouts, simple meal plans, &amp; more</t>
  </si>
  <si>
    <t>https://bossladybio.com/amyalford/</t>
  </si>
  <si>
    <t>absolutenutcase162</t>
  </si>
  <si>
    <t>HEY!!!! SPONGE KRABS h</t>
  </si>
  <si>
    <t>IM A NUTTER! I AM EVIL AND CANNOT BE REASONED WITH!!! 👹
for contact please write to H E DOUBLE HOCKEY STICKS‼️‼️‼️‼️</t>
  </si>
  <si>
    <t>https://youtu.be/CrTtOFeSbDs?feature=shared</t>
  </si>
  <si>
    <t>absoluterecomp</t>
  </si>
  <si>
    <t>Absolute Recomp</t>
  </si>
  <si>
    <t>📍North Richland Hills
📍Las Colinas
📍Fort Worth
📍Lewisville 🚧 SEPTEMBER 20th
📍Frisco 🚧
ALL CLUBS OPEN &amp; STAFFED 24/7</t>
  </si>
  <si>
    <t>https://linktr.ee/absoluterecomp?utm_source=linktree_admin_share</t>
  </si>
  <si>
    <t>the.absolutely</t>
  </si>
  <si>
    <t>† ABSOLUTELY †</t>
  </si>
  <si>
    <t>Jesus lover
.
I JUST DON’T KNOW YOU YET - OUT NOW</t>
  </si>
  <si>
    <t>https://absolutely.lnk.to/IJDKYY</t>
  </si>
  <si>
    <t>accordingtomandy</t>
  </si>
  <si>
    <t>Amanda West</t>
  </si>
  <si>
    <t>Home decor + DIY + recipes 
Adding character to our builder grade home 🔨
Shop my feed 👇🏼</t>
  </si>
  <si>
    <t>https://www.shopltk.com/explore/accordingtomandy</t>
  </si>
  <si>
    <t>accord.kz</t>
  </si>
  <si>
    <t>ПАРФЮМ | ДУХИ | АЛМАТЫ</t>
  </si>
  <si>
    <t>Продажа оригинальных нишевых ароматов
Доставка по РК 📦
📲 Пиши — подберём аромат под твой стиль</t>
  </si>
  <si>
    <t>https://taplink.cc/accordkz</t>
  </si>
  <si>
    <t>accordsalud</t>
  </si>
  <si>
    <t>Accord Salud</t>
  </si>
  <si>
    <t>Planes Superadores de la Obra Social Unión Personal.
Importantes Sanatorios y Centros propios
Hechos para cuidarte</t>
  </si>
  <si>
    <t>https://linktr.ee/accordsalud</t>
  </si>
  <si>
    <t>flowaccord_rd</t>
  </si>
  <si>
    <t>🇺🇸FLOW ACCORD RD🇩🇴</t>
  </si>
  <si>
    <t>🫡Accord4Life
✝️Cartunerstyle
🔥Ceo @juan_142d
😈Los accord con más pikete🥵
❌No subo accord sin pikete❌
⚡️Manda la foto de tu accord🔥</t>
  </si>
  <si>
    <t>advertising360.in</t>
  </si>
  <si>
    <t>Advertising 360 | Creative Agency</t>
  </si>
  <si>
    <t>Your Brand’s New Hype Squad 😎
📍Bhopal | Infused by Chai &amp; Creativity 
Social Media | Meta Ads | UGC &amp; beyond!
Founders: @yashjain3110 @__iishhii__</t>
  </si>
  <si>
    <t>https://link-tree.advertising360.in/</t>
  </si>
  <si>
    <t>advertisingweek</t>
  </si>
  <si>
    <t>Advertising Week</t>
  </si>
  <si>
    <t>We’ve been a go-to for all things marketing, advertising, tech and media since 2004.</t>
  </si>
  <si>
    <t>https://linktr.ee/advertisingweek</t>
  </si>
  <si>
    <t>alihamidistudio</t>
  </si>
  <si>
    <t>Wedding , Advertising</t>
  </si>
  <si>
    <t>Owner:Ali Hamidi
Based in 🇩🇪Gemany🇩🇪
🌎🇪🇺🇹🇷🇫🇷🇦🇹🇮🇹🇳🇱🇵🇱🇨🇭🇦🇪🇪🇺🌎</t>
  </si>
  <si>
    <t>https://www.alihamidistudio.com</t>
  </si>
  <si>
    <t>iconicadvertisingarchives</t>
  </si>
  <si>
    <t>Advertising Archive</t>
  </si>
  <si>
    <t>Here to show you the most Iconic Adverts from the Archive! 📺</t>
  </si>
  <si>
    <t>matty_krommy</t>
  </si>
  <si>
    <t>Advertising | Videographer</t>
  </si>
  <si>
    <t>🎬 Advertising Reels
▪️ Art in motion I 3D I CGI
📍 Slovakia</t>
  </si>
  <si>
    <t>mwg.advertising</t>
  </si>
  <si>
    <t>MWG</t>
  </si>
  <si>
    <t>Hello! You made it to the official MWG Instagram page! Here you can find revolutionary marketing strategies &amp; techniques with the most talented team.</t>
  </si>
  <si>
    <t>http://www.mwg.co.com/</t>
  </si>
  <si>
    <t>navandadagency</t>
  </si>
  <si>
    <t>NAVAND Advertising Agency</t>
  </si>
  <si>
    <t>WE THINK CAPITAL
WE BELIEVE IN SCIENTIFIC CREATIVITY; 
AND YOU ASK ABOUT MEDIA? 
WE HAVE BEEN DOING IT SINCE 1996 🏪🇮🇷</t>
  </si>
  <si>
    <t>http://navand.co/</t>
  </si>
  <si>
    <t>stuffaboutadvertising</t>
  </si>
  <si>
    <t>Ash | Advertising, Copywriting</t>
  </si>
  <si>
    <t>A CD’s honest commentary on the industry &amp; honest effort to help more discover a career in it
📍Denver
stuffaboutadvertising@gmail.com</t>
  </si>
  <si>
    <t>http://linktr.ee/stuffaboutadvertising/</t>
  </si>
  <si>
    <t>aestheticbycoco</t>
  </si>
  <si>
    <t>𝐏𝐢𝐧𝐤𝐜𝐨𝐜𝐨𝐧𝐮𝐭𝐭♡</t>
  </si>
  <si>
    <t>𝐚𝐞𝐬𝐭𝐡𝐞𝐭𝐢𝐜 𝐥𝐢𝐟𝐞𝐬𝐭𝐲𝐥𝐞 𝐜𝐨𝐧𝐭𝐞𝐧𝐭 𝐜𝐫𝐞𝐚𝐭𝐨𝐫
🌷𝐀𝐧𝐚𝐬𝐭𝐚𝐳𝐣𝐚🌷
routines | wellness 
💌COLLAB: pinkcoconutt1@gmail.com
TIKTOK: pinkcoconutt (1.5M)
YT: Pink Coconut</t>
  </si>
  <si>
    <t>https://linktr.ee/pinkcoconut</t>
  </si>
  <si>
    <t>aestheticsmasculinity</t>
  </si>
  <si>
    <t>Aesthetic Masculinity</t>
  </si>
  <si>
    <t>Helping boys become men. 
⚔️ Build strength | Discipline | Purpose  
Follow me to become unstoppable.</t>
  </si>
  <si>
    <t>https://masculineframe.framer.website/</t>
  </si>
  <si>
    <t>aestheticvillain</t>
  </si>
  <si>
    <t>A Testosterone Project for Men</t>
  </si>
  <si>
    <t>💪 The most valuable Testosterone account on instagram
DM me “T” if you want to change the course of your life
🌍 Over 400+ changed lives
👇 Method Here</t>
  </si>
  <si>
    <t>http://aestheticvillain.com</t>
  </si>
  <si>
    <t>aesthetistt</t>
  </si>
  <si>
    <t>𝐀𝐞𝐬𝐭𝐡𝐞𝐭𝐢𝐜 𝐦𝐚𝐠𝐚𝐳𝐢𝐧𝐞 🇺🇦</t>
  </si>
  <si>
    <t>Included in stories 
Use this #aesthetistt
PR/AD @ad.aesthetistt ⇦
English/Русский/Українська</t>
  </si>
  <si>
    <t>https://t.me/aesthetistt</t>
  </si>
  <si>
    <t>aesthxguy</t>
  </si>
  <si>
    <t>aesthetic !˚₊☆</t>
  </si>
  <si>
    <t>#looksmaxxing</t>
  </si>
  <si>
    <t>bikesaesthetics</t>
  </si>
  <si>
    <t>Bikes Aesthetics</t>
  </si>
  <si>
    <t>♠️ - #1 Aesthetic Bike’s page  
📩 | DM for paid promotion and collaboration
Shop here ⬇️</t>
  </si>
  <si>
    <t>https://bikesaesthetics.com/</t>
  </si>
  <si>
    <t>cosmiccgirlss</t>
  </si>
  <si>
    <t>♡❀˖⁺. 𝑨𝒆𝒔𝒕𝒉𝒆𝒕𝒊𝒄 ⋆˙⊹❀♡</t>
  </si>
  <si>
    <t>🪄Daily aesthetic inspo💫
DM for anything 🌼
Tag us for a chance to be featured 💘</t>
  </si>
  <si>
    <t>https://www.montfashshop.com/products/aria-cross-back-cami-romper-dress</t>
  </si>
  <si>
    <t>medest.kg</t>
  </si>
  <si>
    <t>Медицинский центр «MEDEST» (Aesthetic Med) Бишкек</t>
  </si>
  <si>
    <t>▫️Дерматолог
▫️Невролог
▫️Ортопед
▫️Ревматолог 
▫️Мануальная терапия
▫️Лечебный массаж
▫️Кинезиотерапия
▫️ЛФК
▫️Косметолог
▫️Трихолог
▫️Аллерголог</t>
  </si>
  <si>
    <t>https://medest.kg/</t>
  </si>
  <si>
    <t>myaesthetic.ai</t>
  </si>
  <si>
    <t>shazam for clothes on instagram 💫
dm us content to shop the look 🔎 
message us “join” to get started 🚀</t>
  </si>
  <si>
    <t>https://www.myaesthetic.ai</t>
  </si>
  <si>
    <t>now.aesthetic</t>
  </si>
  <si>
    <t>Now Aesthetic</t>
  </si>
  <si>
    <t>Official Instagram Account of Now Aesthetic 
Now Aesthetic by @now.hairtime  
+905365901900  🇺🇸🇬🇧🇨🇦🇦🇺
+905428062971 🇫🇷🇧🇪
+905365902004 🇮🇹</t>
  </si>
  <si>
    <t>http://www.nowaesthetic.com/</t>
  </si>
  <si>
    <t>dublincorkdutyfree</t>
  </si>
  <si>
    <t>Dublin and Cork Airport Duty Free</t>
  </si>
  <si>
    <t>✈️ Airport shopping in Dublin &amp; Cork
🛍 All the brands you love for less
📱 Click &amp; Collect available!
👇 Shop at Dublin and Cork Airport Duty Free</t>
  </si>
  <si>
    <t>https://linktr.ee/dublincorkdutyfree</t>
  </si>
  <si>
    <t>aa_airport</t>
  </si>
  <si>
    <t>AA Airport | Retail and F&amp;B Management</t>
  </si>
  <si>
    <t>We are a Tirana-based company specialized in providing F&amp;B, Specialty Retail and BLounge experiences to passengers traveling through Tirana Airport.</t>
  </si>
  <si>
    <t>http://aa-group.net/</t>
  </si>
  <si>
    <t>alexandramitroshina_life</t>
  </si>
  <si>
    <t>Саша Митрошина, амбассадор дисциплины</t>
  </si>
  <si>
    <t>👟Эстетика чтения, ранних подьемов и спорта. Кто рано встает, тот всех достает😀
Веду бизнес в Дубае: @moova.space</t>
  </si>
  <si>
    <t>https://docabakumoff.ru/stop-deficit-list?utm_source=storiesmitroshina&amp;utm_medium=storiesmitroshina&amp;utm_campaign=storiesmitroshina</t>
  </si>
  <si>
    <t>ambassador</t>
  </si>
  <si>
    <t>AMBASSADOR Sunglasses</t>
  </si>
  <si>
    <t>🕶 - Timeless is Back in Style.
☀️ - Classics made in 2023
📍 - Based in NYC, shipping worldwide
✨ - Tag @ambassador to be featured</t>
  </si>
  <si>
    <t>http://ambassadorsun.com/</t>
  </si>
  <si>
    <t>ambassadorcruiseline</t>
  </si>
  <si>
    <t>Ambassador Cruise Line</t>
  </si>
  <si>
    <t>Cruise Line</t>
  </si>
  <si>
    <t>We are Ambassador. Britain’s authentic no-fly cruise line offering affordable quality with authentic experiences and the warmest welcome at sea 🛳💜</t>
  </si>
  <si>
    <t>https://likeshop.me/ambassadorcruiseline</t>
  </si>
  <si>
    <t>tu_ambassador</t>
  </si>
  <si>
    <t>Thammasat University Ambassador</t>
  </si>
  <si>
    <t>Thammasat University Cheer Club Ambassador 
Line / Tiktok : @tu_ambassador
FB : Thammasat University Ambassador
Youtube : TU_Ambassador Official</t>
  </si>
  <si>
    <t>arabianaroma_ja</t>
  </si>
  <si>
    <t>Arabian Aroma 🇦🇪-🇯🇲 | Arabian Fragrances in Jamaica</t>
  </si>
  <si>
    <t>🔴#1 Arabian Fragrance Online Store 💻
🟢DM to place order 📲
⚪️Delivery Islandwide 🇯🇲🛵
⚫️Fragrances made in UAE,Dubai</t>
  </si>
  <si>
    <t>aroma_lab.ru</t>
  </si>
  <si>
    <t>Aroma Lab - Создай свой аромат     Москва</t>
  </si>
  <si>
    <t>Мск • Спб • Крд • Кзн • Ннв • Рнд
▪️Подарочные сертификаты
▪️Мастер-классы
▪️Арома-свидания
▪️Арома-бар
▪️Аромат бренда
Предварительная запись</t>
  </si>
  <si>
    <t>aroma_restaurant</t>
  </si>
  <si>
    <t>AROMA Restaurant</t>
  </si>
  <si>
    <t>Michelin-starred AROMA, the quintessential Roman dining experience with the best view of the Colosseum.
📍@palazzomanfredi
✉️booking@aromarestaurant.it</t>
  </si>
  <si>
    <t>https://www.manfredihotels.com/aroma/</t>
  </si>
  <si>
    <t>aromathaispakw</t>
  </si>
  <si>
    <t>AROMA THAI SPA</t>
  </si>
  <si>
    <t>•THAI LADIES SPA•
📞25339123                                      
•WORKING HOURS
11:00pm-9:00PM
•ADDRESS
JABRIYA B3A-ST5-B21</t>
  </si>
  <si>
    <t>https://maps.app.goo.gl/9zR88MkeuvQuBKPr9?g_st=com.google.maps.preview.copy</t>
  </si>
  <si>
    <t>aroma_zone_spa</t>
  </si>
  <si>
    <t>صالون أروما زون</t>
  </si>
  <si>
    <t>بين الشغف والجمال نرسم الفارق.
 االأطفال أقل من 12 سنة ممنوع   
الرقعي 22022890 /9781 9654 
صباح السالم 61114688
 60614707 
الحجز عبر الواتساب ⬇️</t>
  </si>
  <si>
    <t>cafeteria.aroma</t>
  </si>
  <si>
    <t>Aroma Café | Blumenau®️</t>
  </si>
  <si>
    <t>Feito à mão, no tempo certo! 🥖🥐
⏰Aroma Centro • Seg 10-20h • Ter a Sex 8h-20h • Sáb 8h-19h
⏰Aroma Petit • Seg a Sex 8h-19h • Sáb 9h-18h</t>
  </si>
  <si>
    <t>https://g.co/kgs/r7Hqvtr</t>
  </si>
  <si>
    <t>cube_aroma</t>
  </si>
  <si>
    <t>Cube Aroma</t>
  </si>
  <si>
    <t>Aromatherapy Service</t>
  </si>
  <si>
    <t>• روائح رائعة تدوم طويلاً
• أجهزة تعطير بمختلف الأحجام
• تشكيلاتنا الخاصة من العطور
📍الكويت، الشويخ، شارع كندادراي</t>
  </si>
  <si>
    <t>http://wa.me/96566171699</t>
  </si>
  <si>
    <t>anna_pryadko_foto_artistica</t>
  </si>
  <si>
    <t>Fotógrafa familiar | David, Chiriqui</t>
  </si>
  <si>
    <t>Donde cada etapa de tu familia merece ser recordada 📸
Estudio con luz natural✨
Vestuario para embarazadas, bebés y niños</t>
  </si>
  <si>
    <t>http://annapryadko.com/</t>
  </si>
  <si>
    <t>artistic.aestheticss</t>
  </si>
  <si>
    <t>Alejandro lopez</t>
  </si>
  <si>
    <t>COLOR ARTIST🎨
@lealmarstonsalon Orlando fl🌈
@saloncentric pro team 
@pravana creator 
@olaplex pro collective 
Dm for services</t>
  </si>
  <si>
    <t>https://www.youtube.com/@artistic.aestheticss</t>
  </si>
  <si>
    <t>artistic.dan</t>
  </si>
  <si>
    <t>Daniel Scherrer</t>
  </si>
  <si>
    <t>@ocarllo 💍
  Social media | Artista visual 
  Contato⭣</t>
  </si>
  <si>
    <t>https://bio.site/artistic.dan</t>
  </si>
  <si>
    <t>artistic.globe</t>
  </si>
  <si>
    <t>Daily Artwork 🎨</t>
  </si>
  <si>
    <t>🎨 The Best Daily Art 👇
📧 Email or Dm for ad/promotion
DM For Credit/Removal
📲buy here your product 👇</t>
  </si>
  <si>
    <t>https://zavinox.com/products/zavinox-solar-power-bank</t>
  </si>
  <si>
    <t>artistic_viral</t>
  </si>
  <si>
    <t>Artistic Viral</t>
  </si>
  <si>
    <t>📩 DM for Features/Collaborations 
🎨 Showcasing Viral Art Daily
👇Get it 50% off today👇</t>
  </si>
  <si>
    <t>https://www.spotsalenow.com/product-page/car-cymbal-air-vent-mini-drum-beatride-pro?fbclid=PARlRTSAMpgB5leHRuA2FlbQIxMAABp2bwRuXCUyW1ClumSHjZuAmK4tZ-plPgoZN6DIYbNGeWKtSoYM17ScKkZfjS_aem_cxCYSIQxm0RoMXpylL-Exg</t>
  </si>
  <si>
    <t>artisticwafflesvc</t>
  </si>
  <si>
    <t>Comic Artist and Animator 🇲🇽
Welcome to my anthology of 💞stories! 💐
Link to DOVA comic &amp; Patreon below!! 💕</t>
  </si>
  <si>
    <t>https://linktr.ee/artisticwafflesvc</t>
  </si>
  <si>
    <t>dentalartistic</t>
  </si>
  <si>
    <t>Clinica Dental Artistic Abrew</t>
  </si>
  <si>
    <t>✨ Leaders in Dental @makeupartisticr in the DR 🇩🇴
🦷 Whitening | Veneers | Implants
🌍 Spanish &amp; English
📲 WhatsApp: +1 (849) 850-5338</t>
  </si>
  <si>
    <t>sergey.ivanov.photographer</t>
  </si>
  <si>
    <t>📷 ARTISTIC PHOTOGRAPHER 📷</t>
  </si>
  <si>
    <t>My WORKSHOPS
📍 Romania / 22-23-24 October 2025 
📍 Italy / 29-30 October 2025
📍 France / 5-6 November 2025
🔻 Video Tutorials and TEXTURE Packs🔻</t>
  </si>
  <si>
    <t>http://seriv.com/shop</t>
  </si>
  <si>
    <t>atelierkato</t>
  </si>
  <si>
    <t>加藤 らう(良)/アトリエカトー</t>
  </si>
  <si>
    <t>Shoe Repair Shop</t>
  </si>
  <si>
    <t>【スニーカー再生事業】
📌エキセントリックスニーカー再生中年
📌全国配送対応
📌大阪南森町駅らへん
📌Worldwide shipping
📌材料倉庫 @solesjapan 
📌ドレス垢 @atelierkato_dressroom
👇🏻質問やご依頼はこちらのLINEにお願いします👇🏻</t>
  </si>
  <si>
    <t>https://lin.ee/1Ft082Y</t>
  </si>
  <si>
    <t>atelier_pierrot</t>
  </si>
  <si>
    <t>ATELIER PIERROT/ゴシック&amp;ロリィタブランド</t>
  </si>
  <si>
    <t>原宿 @atelierpierrot.harajuk
@maison_de_atelierpierrot
大阪 @atelierpierrotosaka
新宿 @atelierpierrot_shinjuku
横浜 @atelier_pierrot2
@atelier_pierrot_english</t>
  </si>
  <si>
    <t>https://atelier-pierrot.jp/</t>
  </si>
  <si>
    <t>atelier_yc</t>
  </si>
  <si>
    <t>YASSINE CHAHBANI</t>
  </si>
  <si>
    <t>📍Paris 
Food &amp; lifestyle blogger
📩 atelieryccontact@gmail.com</t>
  </si>
  <si>
    <t>atpatelier</t>
  </si>
  <si>
    <t>ATP ATELIER</t>
  </si>
  <si>
    <t>Smart Luxury - designed in Stockholm, made in Italy</t>
  </si>
  <si>
    <t>https://atpatelier.com/</t>
  </si>
  <si>
    <t>concordia.atelier</t>
  </si>
  <si>
    <t>Concordia Atelier</t>
  </si>
  <si>
    <t>▪️ Award winning fashion designer
▪️ BRIDAL &amp; BESPOKE PIECES
By @fave_iy
Appointments only, kindly send a DM 👇🏿</t>
  </si>
  <si>
    <t>elena_lorenzoatelier</t>
  </si>
  <si>
    <t>Couture
Confección a medida
🧵Cursos de costura y patronaje
☎️ 638702370 
📬 Doctor José Portero 2 Torrijos Toledo
🕘 Horario 9:00 a13:30 16:00 a 19:30</t>
  </si>
  <si>
    <t>haebmau.atelier</t>
  </si>
  <si>
    <t>h.ATELIER</t>
  </si>
  <si>
    <t>International communications &amp; strategic sales agency — a creative showcase for culture, beauty &amp; fashion. 
BERLIN-PARIS-MILAN</t>
  </si>
  <si>
    <t>https://atelier.haebmau.com/</t>
  </si>
  <si>
    <t>latui.atelier</t>
  </si>
  <si>
    <t>LATUI ATELIER</t>
  </si>
  <si>
    <t>▪ WORLDWIDE SHIPPING
▪ contact@latuiatelier.com
▪ Online store, based in HCMC, Vietnam</t>
  </si>
  <si>
    <t>http://latuiatelier.com</t>
  </si>
  <si>
    <t>manu_atelier</t>
  </si>
  <si>
    <t>Manu Atelier</t>
  </si>
  <si>
    <t>https://manuatelier.com/?utm_source=Instagram&amp;utm_medium=Instagram+Bio&amp;utm_campaign=Manu+Atelier+</t>
  </si>
  <si>
    <t>prudential_atelier</t>
  </si>
  <si>
    <t>P R U D E N T I A L</t>
  </si>
  <si>
    <t>BRIDAL 👗CUSTOM👗
DESIGNER @prudent_gabriel 
BRIDAL @prudential_bridal 
RTW @the_prudentgabriel 
Training @prudential_fashion_academy</t>
  </si>
  <si>
    <t>https://linktr.ee/prudentgabriel29</t>
  </si>
  <si>
    <t>sach_atelier</t>
  </si>
  <si>
    <t>SACH Atelier</t>
  </si>
  <si>
    <t>For magnetic women.
Handcrafted Jewelry, Unique &amp; Timeless.
Worldwide shipping.
By Lola, Alejandra &amp; Manuela.</t>
  </si>
  <si>
    <t>http://www.sachatelier.com</t>
  </si>
  <si>
    <t>sak.atelier</t>
  </si>
  <si>
    <t>est. 2021 🇵🇰
thoughtful design for an effortless lifestyle
office hours: monday to friday 10am - 5pm</t>
  </si>
  <si>
    <t>http://www.sakatelier.com</t>
  </si>
  <si>
    <t>soosatelier</t>
  </si>
  <si>
    <t>SOOS Atelier</t>
  </si>
  <si>
    <t>“Where the table becomes a timeless stage for life’s most precious stories” 💙as seen in @vogueliving_nl</t>
  </si>
  <si>
    <t>http://www.soosatelier.com</t>
  </si>
  <si>
    <t>sv_atelier</t>
  </si>
  <si>
    <t>Wig | Natural hair | Hair systems</t>
  </si>
  <si>
    <t>Hair system•Hairstyle•Coloring •Haircut •Hair solution for people with alopecia, cancer
Serg 🧜🏻‍♂️.travel 🇺🇸🇫🇷🇬🇧🇪🇸🇨🇳🇹🇭🇺🇦🇩🇪🇨🇳🇯🇵🇦🇪</t>
  </si>
  <si>
    <t>http://svatelier.org/</t>
  </si>
  <si>
    <t>volidam_atelier_</t>
  </si>
  <si>
    <t>Volidam Atelier</t>
  </si>
  <si>
    <t>⚜️Магазин женской детской одежды 
⚜️Собственное производство
🎖️Ткань Premium
🕰ПН-ВС10:00-21:00
🌎Доставка имеется 
☎️+998903990000
💰 Rek @volidam_uzb</t>
  </si>
  <si>
    <t>whenever.atelier</t>
  </si>
  <si>
    <t>WHENEVER ATELIER</t>
  </si>
  <si>
    <t>WHENE​VER ATELIER® 
Worldwide Shipping 🌍
PR | Press | Celebrity → pr@whenever.vn
STORE : 
141/8 Bàn Cờ, Q3 
Vincom Center Q1
26 Lý Tự Trọng Q1</t>
  </si>
  <si>
    <t>https://whenever.vn/</t>
  </si>
  <si>
    <t>atomizer</t>
  </si>
  <si>
    <t>Konstantin</t>
  </si>
  <si>
    <t>Community Manager @wtbcommunity ✈️                                 Owner @brewedpassport 🍺
🚁 Remote Pilot📍Munich, Germany 🇩🇪</t>
  </si>
  <si>
    <t>avant_garde1990</t>
  </si>
  <si>
    <t>💞قلبت هر شکلی باشد،دنیا همان گونه به چشمت می آید💞
Whatever shape your heart is, the world will appear to you the same way</t>
  </si>
  <si>
    <t>avant.garde_ag</t>
  </si>
  <si>
    <t>avant garde AG افانت گارد</t>
  </si>
  <si>
    <t>للاستفسار والاتصال على 07733346574
العنوان :المنصور-١٤ رمضان هيرون ستي قرب مطعم شميساني</t>
  </si>
  <si>
    <t>avant_garde_boutique</t>
  </si>
  <si>
    <t>Avant Garde Boutique</t>
  </si>
  <si>
    <t>Boutique de prêt-à-porter &amp; couture
La mode se démode, le style jamais  "CC"</t>
  </si>
  <si>
    <t>https://maps.google.com/?q=33.584385%2C-7.633268</t>
  </si>
  <si>
    <t>avant_garden</t>
  </si>
  <si>
    <t>Avant Garden</t>
  </si>
  <si>
    <t>A Floral &amp; Event Design Studio in Los Angeles 
Private Events + Interior Design  
SHOP &amp; INQUIRES ↙️
(818) 279-5600</t>
  </si>
  <si>
    <t>http://avantgardenla.com/</t>
  </si>
  <si>
    <t>avantgardeoriginal</t>
  </si>
  <si>
    <t>AVANT GARDE ®</t>
  </si>
  <si>
    <t>Curtain Call — Fall 2025
Releasing Soon.</t>
  </si>
  <si>
    <t>https://www.avantgardeoriginal.com/</t>
  </si>
  <si>
    <t>avantgarderetails</t>
  </si>
  <si>
    <t>Avant Garde Retails Home Decor Manufacturing</t>
  </si>
  <si>
    <t>We Ship Nationwide 🇵🇭
Custom Made Furnitures 
📨 Quotation@ avantgarderetails@gmail.com
📩 Viber 09525029668</t>
  </si>
  <si>
    <t>avant_garde.wear</t>
  </si>
  <si>
    <t>Avant Garde</t>
  </si>
  <si>
    <t>🛍️ONLINE SHOP
💰Payments via Mpesa 0748811177
🚚County-wide delivery...Pickup Mtaani
🚪Pickup Point. Sawa Mall Shop C8 3rd Floor Moi Avenue Nairobi Kenya</t>
  </si>
  <si>
    <t>avantgardexalapa</t>
  </si>
  <si>
    <t>Aquí Xalapa sabe distinto</t>
  </si>
  <si>
    <t>base.notes</t>
  </si>
  <si>
    <t>BaseNotesHQ</t>
  </si>
  <si>
    <t>Be unique &amp; confident.
SSM (1172610-T)
019 567 6468 / 011 1577 5780 
📢Stockist, agent &amp; dropshipper are needed. PM us 😊
FB: BaseNotesHQ</t>
  </si>
  <si>
    <t>http://www.mybasenotes.com/</t>
  </si>
  <si>
    <t>bntehran</t>
  </si>
  <si>
    <t>basenotes/بُن</t>
  </si>
  <si>
    <t>functional simple design.
sustainable production.
share with us #bnbyyou
powered by BNSTUD/O.</t>
  </si>
  <si>
    <t>http://bntehran.com/</t>
  </si>
  <si>
    <t>beauty_mad_gal</t>
  </si>
  <si>
    <t>Beauty Mad Gal</t>
  </si>
  <si>
    <t>beauty_theqoo</t>
  </si>
  <si>
    <t>Korea No.1 beauty instagram
ㆍ뷰티에 관심 많은 더쿠👀
ㆍ데일리메이크업 &amp; 뷰티템 정보 함께 공유해요💄💅
ㆍ#뷰티스타그램 #데일리메이크업 #뷰티템 #화장품</t>
  </si>
  <si>
    <t>diorbeauty</t>
  </si>
  <si>
    <t>Dior Beauty Official</t>
  </si>
  <si>
    <t>“Happiness is the secret to all beauty: there is no beauty that is attractive without happiness”
— Christian Dior</t>
  </si>
  <si>
    <t>http://on.dior.com/backstage</t>
  </si>
  <si>
    <t>luxebeauty</t>
  </si>
  <si>
    <t>Luxe beauty</t>
  </si>
  <si>
    <t>✨Inspired by Chemist Jane’s Mom’s       cancer healing 
✨Elevate Your Inner &amp; Outer Glow 
✨Transformative Organic Skincare &amp; Wellness</t>
  </si>
  <si>
    <t>https://linktr.ee/luxebeauty.com</t>
  </si>
  <si>
    <t>beauty_addict_meryem</t>
  </si>
  <si>
    <t>вєαυту α∂∂ι¢т мєяуєм</t>
  </si>
  <si>
    <t>📍Agadir
🎥Youtube (+600k subs)
Mom of 2🧒🧒:@shaman.aissa &amp; @shaman.noah
💕youtube:Beauty Addict Meryem 
📧beauty.addict.mery@gmail.com</t>
  </si>
  <si>
    <t>beauty_.addicts_</t>
  </si>
  <si>
    <t>Beauty Addicts ✨ lenceria</t>
  </si>
  <si>
    <t>❤️‍🔥SavageXFenty | Rihanna 
Y importada sin marca 
Piezas únicas 
📍GDL Jal
📦 Envíos a todo 🇲🇽
🚫 No cambios/devoluciones
 Lun-Vie 4:00-8:00hrs con cita</t>
  </si>
  <si>
    <t>https://maps.app.goo.gl/XDJazdY8eaavhm619?g_st=ic</t>
  </si>
  <si>
    <t>beautyaddicts.pe</t>
  </si>
  <si>
    <t>Beauty Addicts ✨ SKINCARE PERÚ</t>
  </si>
  <si>
    <t>Skincare global con el método K-beauty
📍| Tu skincare favorito, a un solo clic
📱| Tiktok (+52k)
🇵🇪| Envíos a todo el Perú
👇🏼| Haz tu pedido aquí</t>
  </si>
  <si>
    <t>https://beacons.ai/beautyaddicts.pe</t>
  </si>
  <si>
    <t>beauty_adina</t>
  </si>
  <si>
    <t>Top Визажист Алматы</t>
  </si>
  <si>
    <t>• Топ визажист 💄
Mommy @safika_aidarbekova 🐣
И двух футболистов 🫶🏻
📍𝐀𝐥𝐦𝐚𝐭𝐲 𝐊𝐚𝐳𝐚𝐤𝐡𝐬𝐭𝐚𝐧 🇰🇿
Запись по номеру</t>
  </si>
  <si>
    <t>http://wa.me/+77770472020</t>
  </si>
  <si>
    <t>beauty_admire12</t>
  </si>
  <si>
    <t>Admire the beauty</t>
  </si>
  <si>
    <t>Male Admin
DM for Promotion
Respect women and privacy
Feel free to chat😉
Bad comments 🚫
https://t.me/marathicelebrity12</t>
  </si>
  <si>
    <t>beauty_adrinn2</t>
  </si>
  <si>
    <t>آرایشی|بهداشتی|پینترست|آدرین🎀</t>
  </si>
  <si>
    <t>اینجا منبع ارزون فروشی ایرانه🩷!
قیمت هامون پایینه ولی کیفیت بالا🍥.
هایلایت رضایت مشتری از واجباته🎀...
ثبت سفارش فقط از طریق سایت☁️</t>
  </si>
  <si>
    <t>https://beautyadrin.ir/</t>
  </si>
  <si>
    <t>ryma_beautyaddict</t>
  </si>
  <si>
    <t>Ryma Doumandji</t>
  </si>
  <si>
    <t>Beauty&amp;Lifestyle influencer 
Snap : rymouchk 
Collaboration : ryma.ba.mg@gmail.com</t>
  </si>
  <si>
    <t>http://www.tiktok.com/@rymabeauty03</t>
  </si>
  <si>
    <t>julie_belanska_beauty</t>
  </si>
  <si>
    <t>Photo &amp; RETOUCH - Beauty - Fashion - Commercial - Product</t>
  </si>
  <si>
    <t>📸 Saint Petersburg/Moscow
🚩Снимаю для брендов/ Съемки под ключ/ Beauty/Fashion/предметка
🖥 RETOUCHING SERVICE WORLDWIDE 🌍</t>
  </si>
  <si>
    <t>ann.littlebruke</t>
  </si>
  <si>
    <t>Ann🌻 beauty  influencer</t>
  </si>
  <si>
    <t>Tiktok - 900k
PR/Collab: denn.manager@gmail.com</t>
  </si>
  <si>
    <t>certified_stylez_</t>
  </si>
  <si>
    <t>ATLANTA 
•Hair | Fashion | Beauty 
•SHOP MY HAIR 🛍️🛒@_thecertifiedco</t>
  </si>
  <si>
    <t>https://linktr.ee/thecertifiedway?utm_source=linktree_admin_share</t>
  </si>
  <si>
    <t>jadegodbolt</t>
  </si>
  <si>
    <t>Jade Kendle Godbolt | Beauty &amp; Mom Influencer</t>
  </si>
  <si>
    <t>Jesus 🙌🏽 Wife | Mama | Your SistaFriend!
✨Formerly #LipsticknCurls 
🏆Sephora Squad ‘20 + Macy’s StyleCrew ‘25
📍Dallas,TX
📧 letsconnect@jadegodbolt.com</t>
  </si>
  <si>
    <t>https://jadegodbolt.com/rollerset/</t>
  </si>
  <si>
    <t>kikafrutostv</t>
  </si>
  <si>
    <t>KIKA FRUTOS | Humor • Fashion • Beauty • Influencer |</t>
  </si>
  <si>
    <t>💜Presentadora TV
PROMOS➡️kfcontratacion@gmail.com 
Haciendo comedia con @ninona_comedy 
🎤 MI SHOW EN TEATROS “La Tele Que Me Parió” ⬇️</t>
  </si>
  <si>
    <t>https://linktr.ee/kikafrutos</t>
  </si>
  <si>
    <t>mis_makeover</t>
  </si>
  <si>
    <t>BEAUTY INFLUENCER</t>
  </si>
  <si>
    <t>NIGERIAN PROFESSIONAL MUA 
▪️MISOFLAGOS
▪️🇳🇬BRIDAL ARTIST
▪️TEACHER/MENTOR
✈️:AVAILABLE TO TRAVEL 📌
For enquiries: 08034407924
NO REFUND</t>
  </si>
  <si>
    <t>http://api.whatsapp.com/send?phone=2348034407924</t>
  </si>
  <si>
    <t>naz_ankaa</t>
  </si>
  <si>
    <t>Beauty Influencer</t>
  </si>
  <si>
    <t>Azerbaycan diyari candir biza❤️
Ureyinde merhemet hisi olan insanlarin ureyinin qonaği Allah talladir🌸🌱</t>
  </si>
  <si>
    <t>https://t.me/+5_USStNFCHowMzI8</t>
  </si>
  <si>
    <t>vatheau</t>
  </si>
  <si>
    <t>Василиса / beauty influencer📍Москва</t>
  </si>
  <si>
    <t>скупаю без конца бьюти тренды и снимаю об этом рилс
⠀
готовлюсь к 👰🏼‍♀️💍, воспитываю собакодочь, восстанавливаюсь после рино👃🏼</t>
  </si>
  <si>
    <t>https://t.me/vatheaux</t>
  </si>
  <si>
    <t>beautymusical</t>
  </si>
  <si>
    <t>Beauty and the Beast - On Tour</t>
  </si>
  <si>
    <t>Bonjour! 🥀✨ Bienvenue to the official account for the North American tour of Disney’s BEAUTY AND THE BEAST: The Musical. #BeOurGuest</t>
  </si>
  <si>
    <t>http://beautyontour.com</t>
  </si>
  <si>
    <t>_beauty_spot_____</t>
  </si>
  <si>
    <t>Beauty—Spot</t>
  </si>
  <si>
    <t>📌Alo khalid 0771842822
📌Rabat CYM Amal 4
📌Fix 0537294072☎️
📌Sala Aljadida Rés Romana mag 9
📌Fix 0537538935☎️
📌Whatsp  0682-249992📱</t>
  </si>
  <si>
    <t>beautyspot_cosmo</t>
  </si>
  <si>
    <t>گەیاندن بۆ سەرجەم کوردستان و عێراق بەردەستە📦🚖
لقی یەکەم - سلێمانی - پارك تاوەر 
📞0770 003 8090
لقی دووەم - سلێمانی - ماجدی مۆڵ 
📞0771 971 6841</t>
  </si>
  <si>
    <t>http://fb.com/beautyspotcosmo</t>
  </si>
  <si>
    <t>beautyspot.ea</t>
  </si>
  <si>
    <t>Beautyspot_ea</t>
  </si>
  <si>
    <t>ONE STOP ONLINE BEAUTY STORE 👝
BUDGET FRAGRANCES 🧴
ORIGINAL SKINCARE 🧖🏽
DM/TEXT FOR FASTEST SERVICE
0790117681 WhatsApp📱 
NO EXCHANGES/ REFUNDS</t>
  </si>
  <si>
    <t>beautyspot.eg</t>
  </si>
  <si>
    <t>Beauty Spot</t>
  </si>
  <si>
    <t>https://beautyspoteg.com</t>
  </si>
  <si>
    <t>beautyspotgtm</t>
  </si>
  <si>
    <t>BEAUTY SPOT</t>
  </si>
  <si>
    <t>Beauty Store</t>
  </si>
  <si>
    <t>Distribuidores Oficiales 
ENVÍOS A TODO EL PAÍS 🇬🇹</t>
  </si>
  <si>
    <t>beauty.spot.syy</t>
  </si>
  <si>
    <t>Beauty Spot.</t>
  </si>
  <si>
    <t>Stornoway. DM to enquire</t>
  </si>
  <si>
    <t>the_beautyspot_official</t>
  </si>
  <si>
    <t>𝙏𝙃𝙀 𝘽𝙀𝘼𝙐𝙏𝙔 𝙎𝙋𝙊𝙏</t>
  </si>
  <si>
    <t>𝗥𝗲𝗱𝗲𝗳𝗶𝗻𝗶𝗻𝗴 𝗕𝗲𝗮𝘂𝘁𝘆 𝗦𝘁𝗮𝗻𝗱𝗮𝗿𝗱𝘀
📍4531 ᴛʀᴏᴏꜱᴛ ᴀᴠᴇ ᴋᴀɴꜱᴀꜱ ᴄɪᴛʏ, ᴍᴏ 64110
Click the link below for the monthly Sale 💕
〰️〰️〰️〰️〰️〰️〰️〰️〰️〰️〰️〰️</t>
  </si>
  <si>
    <t>https://thebeautyspot.myportfolio.com</t>
  </si>
  <si>
    <t>blend</t>
  </si>
  <si>
    <t>Blend Hamburger</t>
  </si>
  <si>
    <t>🍴Burger restaurant · Paris · Since 2011
🍔 Sharing burger culture
📍Blend Argout, Blend Beaumarchais, Blend Madeleine</t>
  </si>
  <si>
    <t>https://linktr.ee/blendhamburger</t>
  </si>
  <si>
    <t>blender.official</t>
  </si>
  <si>
    <t>Blender 🔶</t>
  </si>
  <si>
    <t>Official account for the Free and Open Source 3D Creation Suite.
Freedom to Create.</t>
  </si>
  <si>
    <t>https://www.blender.org</t>
  </si>
  <si>
    <t>blenders</t>
  </si>
  <si>
    <t>Blenders</t>
  </si>
  <si>
    <t>Every Day is Gameday.
Shop the new Kingpin at the link in bio.
#blenderseyewear</t>
  </si>
  <si>
    <t>http://linktr.ee/blenders</t>
  </si>
  <si>
    <t>blendloungenyc</t>
  </si>
  <si>
    <t>Blend Lounge</t>
  </si>
  <si>
    <t>⌚️Fri•Sat•Sun 10PM-4AM
⁣📱For Reservations Text #Blend To 917.232.7098 Or 347.398.2449
127-07 Atlantic Ave Richmond Hill NY, 11419</t>
  </si>
  <si>
    <t>https://shor.by/xI6p</t>
  </si>
  <si>
    <t>blendonthewater</t>
  </si>
  <si>
    <t>Blend On The Water</t>
  </si>
  <si>
    <t>Latin American Restaurant</t>
  </si>
  <si>
    <t>🥘 Latin Fusion &amp; Craft Cocktails 
 🧺 Takeout
⏳ Open From 11am - 11pm Daily
📍 45-40 Center Blvd LIC, NY</t>
  </si>
  <si>
    <t>http://www.blendonthewater.com</t>
  </si>
  <si>
    <t>blendprojectsco</t>
  </si>
  <si>
    <t>Blend Projects</t>
  </si>
  <si>
    <t>Creative builders for modern living.
Innovative prefabricated homes inspired by nature and built for real life.</t>
  </si>
  <si>
    <t>https://blendprojects.co/</t>
  </si>
  <si>
    <t>blend_shop</t>
  </si>
  <si>
    <t>Blénd</t>
  </si>
  <si>
    <t>Health Food Restaurant</t>
  </si>
  <si>
    <t>•בית קפה שכונתי עם תפריט טרי שמקדם אורח חיים בריא. במקום מעדנייה עשירה וגם תוכניות תזונה וניקוי רעלים. שעות פתיחה:
א-ה 07:00-19:00 
שישי 07:00-15:00</t>
  </si>
  <si>
    <t>https://linktr.ee/blend_shop</t>
  </si>
  <si>
    <t>blendwilliamsburg</t>
  </si>
  <si>
    <t>Blend Williamsburg</t>
  </si>
  <si>
    <t>Latin Fusion &amp; Craft Cocktails
📍291 Kent Avenue, Williamsburg, Brooklyn
Open 11am-11pm Daily</t>
  </si>
  <si>
    <t>http://www.blendwilliamsburg.com</t>
  </si>
  <si>
    <t>bremer.blend</t>
  </si>
  <si>
    <t>BREMER blend</t>
  </si>
  <si>
    <t>• PLAZA 31ceroseis L-V: 9-7 S: 9-5
• Cookie shop🍪
• Postres saludables
• Sugar free, sin gluten, sin lácteos, keto
• Pasteles sobre pedido
• @ubereats</t>
  </si>
  <si>
    <t>http://wa.link/2pngdc</t>
  </si>
  <si>
    <t>a_bouquet_story</t>
  </si>
  <si>
    <t>История одного букета | Цветы Доставка Москва</t>
  </si>
  <si>
    <t>• букеты 
• оформление и фитодизайн 
• доставка день в день 
Оформить заказ ⤵️</t>
  </si>
  <si>
    <t>https://taplink.cc/a_bouquet_story</t>
  </si>
  <si>
    <t>bouquetsbyal</t>
  </si>
  <si>
    <t>𝐄𝐭𝐞𝐫𝐧𝐚𝐥 𝐛𝐨𝐮𝐪𝐮𝐞𝐭𝐬 💐</t>
  </si>
  <si>
    <t>GALT / ELK GROVE / SACRAMENTO 📍
📦 U.S shipping ONLY
Press “text” to order 
Para español -&gt; (916) 346-2167
Deposit required</t>
  </si>
  <si>
    <t>bouquetsbyruby</t>
  </si>
  <si>
    <t>Houston Flowers By the best !💖</t>
  </si>
  <si>
    <t>📍Houston Texas (Houston Flower Shop)
#1 Luxury Best Florist in Houston🩷
NEXT DAY PICKUP||  ORDER Online 👇🏻
Bouquet shipping👉🏼 @shippingbouquetsbyruby</t>
  </si>
  <si>
    <t>http://bouquetsbyrubyhouston.com</t>
  </si>
  <si>
    <t>bouquetsbyvic</t>
  </si>
  <si>
    <t>i like playing with flowers 🧚💐🍃✨</t>
  </si>
  <si>
    <t>https://vm.tiktok.com/ZMd4AsQY9/</t>
  </si>
  <si>
    <t>luxe.bouquet</t>
  </si>
  <si>
    <t>Luxe Bouquet® | Everlasting Flowers &amp; Gifts</t>
  </si>
  <si>
    <t>🌹 Real Roses That Last A Year
✨ As seen in @vogue @vanityfair @bazaaraustralia 
🇦🇺 Free Aus shipping
🌏 Worldwide delivery
💫 Pay later with Afterpay</t>
  </si>
  <si>
    <t>http://luxebouquet.com.au/</t>
  </si>
  <si>
    <t>piflow.id</t>
  </si>
  <si>
    <t>BOUQUET SERANG BARU - CIKARANG - BEKASI</t>
  </si>
  <si>
    <t>🌹 Artificial flower 
☎️ Whatsap 081214839210
🚚 Gosend, Ambil kerumah, Shopee
📍Telaga Harmony Residence 2, Blok a2 no 17, serang baru, bekasi</t>
  </si>
  <si>
    <t>https://msha.ke/piflow.id</t>
  </si>
  <si>
    <t>inspiro__brand</t>
  </si>
  <si>
    <t>БРЕНД ОДЯГУ SIZE PLUS /ЖІНОЧИЙ ОДЯГ/Сукні, костюми, боді</t>
  </si>
  <si>
    <t>ВИРОБНИК ✨СТИЛЬНИЙ ОДЯГ ПО ДОСТУПНІЙ ЦІНІ✨ 
✨ВЛАСНЕ ВИРОБНИЦТВО 
ОПТ /ДРОП
World🌍 
Оплата/передопалата на ФОП
Від 5 од безкоштовна  🚚</t>
  </si>
  <si>
    <t>http://inspiro.com.ua</t>
  </si>
  <si>
    <t>lichi_brand</t>
  </si>
  <si>
    <t>Women’s Fashion Brand</t>
  </si>
  <si>
    <t>- Est. 2012.      Designed in Germany
- 69 Shops and Online ⇨ @lichi_info 
- Worldwide ⇨ @lichi.eu    Tap link⇩</t>
  </si>
  <si>
    <t>http://lichi.com</t>
  </si>
  <si>
    <t>onebyoneua</t>
  </si>
  <si>
    <t>ONEBYONE • UKRAINIAN BRAND</t>
  </si>
  <si>
    <t>СТИЛЬ ДЛЯ КОЖНОЇ ІСТОРІЇ
Offline мережа: 25 магазинів | 16 міст</t>
  </si>
  <si>
    <t>https://onebyone.ua</t>
  </si>
  <si>
    <t>ori_brand_</t>
  </si>
  <si>
    <t>Ori</t>
  </si>
  <si>
    <t>🎗️</t>
  </si>
  <si>
    <t>http://tiktok.com/@ori_brand_</t>
  </si>
  <si>
    <t>activecampaign</t>
  </si>
  <si>
    <t>ActiveCampaign</t>
  </si>
  <si>
    <t>Autonomous marketing that turns ideas into impact 🚀
Automate across all channels 🔄
Built to help you win 🤝
Powered by Active Intelligence 💡</t>
  </si>
  <si>
    <t>https://www.activecampaign.com/blog/ai-customer-knowledge-center-howto</t>
  </si>
  <si>
    <t>campaigncincinnati</t>
  </si>
  <si>
    <t>CAMPAIGN</t>
  </si>
  <si>
    <t>i don’t know why i’m here, but i’m glad you are here too.</t>
  </si>
  <si>
    <t>http://www.campaigncincinnati.com/</t>
  </si>
  <si>
    <t>campaignforcampsafety</t>
  </si>
  <si>
    <t>Campaign for Camp Safety</t>
  </si>
  <si>
    <t>http://campaignforcampsafety.com</t>
  </si>
  <si>
    <t>humanrightscampaign</t>
  </si>
  <si>
    <t>Human Rights Campaign</t>
  </si>
  <si>
    <t>We’re America’s largest LGBTQ+ civil rights organization. We fight for a world where equality wins at home, school, work, and every community.</t>
  </si>
  <si>
    <t>https://linkin.bio/humanrightscampaign</t>
  </si>
  <si>
    <t>kawf_campaign</t>
  </si>
  <si>
    <t>한국예술인복지재단</t>
  </si>
  <si>
    <t>예술인의 권리 보호와 복지 지원을 위해 2012년에 설립된 문화체육관광부 산하 공공기관입니다.</t>
  </si>
  <si>
    <t>https://linkbio.co/7061801kRxCM3</t>
  </si>
  <si>
    <t>noh8campaign</t>
  </si>
  <si>
    <t>NOH8 Campaign</t>
  </si>
  <si>
    <t>Putting a face to the fight for equality! 
Join us in taking a stand against hate #NOH8
info@noh8campaign.com
To see our full schedule &amp; shop click ⬇️</t>
  </si>
  <si>
    <t>http://www.noh8campaign.com</t>
  </si>
  <si>
    <t>seventyfourbgc</t>
  </si>
  <si>
    <t>@seventyfouriswar</t>
  </si>
  <si>
    <t>http://seventyfourboysandgirlsclub.com</t>
  </si>
  <si>
    <t>surgecampaigning</t>
  </si>
  <si>
    <t>Surge</t>
  </si>
  <si>
    <t>Creative non-profit for animal rights.
Watch our new film Matilda and the Brave Escape, narrated by Bella Ramsey.</t>
  </si>
  <si>
    <t>http://youtu.be/lRyKX5WPTfY</t>
  </si>
  <si>
    <t>__christian.dior__</t>
  </si>
  <si>
    <t>𝘾𝙃𝙍𝙄𝙎𝙏𝙄𝘼𝙉</t>
  </si>
  <si>
    <t>If you Adore him, Dior him 🌹</t>
  </si>
  <si>
    <t>christian_dior_couture_</t>
  </si>
  <si>
    <t>Christian Dior Couture</t>
  </si>
  <si>
    <t>#diordüsseldorf</t>
  </si>
  <si>
    <t>http://www.dior.com/</t>
  </si>
  <si>
    <t>diorreign</t>
  </si>
  <si>
    <t>| ♍︎ | 
beauty &amp; lifestyle ♡</t>
  </si>
  <si>
    <t>classic</t>
  </si>
  <si>
    <t>Where wellness and knowledge begin</t>
  </si>
  <si>
    <t>classic.energy</t>
  </si>
  <si>
    <t>CLASSIC ENERGY</t>
  </si>
  <si>
    <t>BELARUS SYMPHONY ORCHESTRA 🇧🇾
𝒮𝑜𝓊𝓁 𝒾𝓈 𝒽𝑒𝓇𝑒 
CONCERTS 🔽</t>
  </si>
  <si>
    <t>http://classic-energy.com/</t>
  </si>
  <si>
    <t>classichorrorart</t>
  </si>
  <si>
    <t>CLASSIC HORROR ART</t>
  </si>
  <si>
    <t>Instagram's best pulp horror art curator!
🎨Start your art journey here👇👇</t>
  </si>
  <si>
    <t>https://www.proko.com/s/T3eW?af=407820</t>
  </si>
  <si>
    <t>classic_luxury_home_</t>
  </si>
  <si>
    <t>طراحی/نما ویلا و اپارتمان</t>
  </si>
  <si>
    <t>⚜️طراحی و اجرا لوکسترین وخاص ترین پروژه های کشور رو تو این پیج ببینید⚜️
.
⚜️ فقط برای خاص پسند ها⚜️
جهت اشتراک پروژه هاتون پیج مارو تگ منشن کنین
.</t>
  </si>
  <si>
    <t>classicusacars</t>
  </si>
  <si>
    <t>Classic Cars</t>
  </si>
  <si>
    <t>Stop Hybrid, Go V8 💪
American Classic And Muscle Cars</t>
  </si>
  <si>
    <t>paintingsmood</t>
  </si>
  <si>
    <t>Classic Art</t>
  </si>
  <si>
    <t>𝑊ℎ𝑎𝑡 𝑖𝑠 𝑙𝑜𝑠𝑡 𝑖𝑛 𝑙𝑖𝑓𝑒 𝑖𝑠 𝑓𝑜𝑢𝑛𝑑 𝑖𝑛 𝑎𝑟𝑡.</t>
  </si>
  <si>
    <t>zh_classiccar</t>
  </si>
  <si>
    <t>علیرضا اشکبوس</t>
  </si>
  <si>
    <t>۰۹۱۲۱۱۱۷۹۱۸
۰۹۱۲۱۱۱۸۱۲۴
۰۹۱۲۱۱۱۵۱۴۶
۰۹۱۲۱۱۱۴۶۳۳
📍سه راه اقدسیه تنگستان ۴ مجتمع حیات ط ۲ واحد ۲۰۵ 
⛔️تشریف فرمایی فقط با هماهنگی قبلی
۱۰ صبح تا ۸ شب</t>
  </si>
  <si>
    <t>https://whatsapp.com/channel/0029VaUzKAiJZg4FrrnD4Z0y</t>
  </si>
  <si>
    <t>deodap_collaboration</t>
  </si>
  <si>
    <t>DeoDap collaboration</t>
  </si>
  <si>
    <t>Our Official I'd is @deodap_india  🫶🏻
Collabrations Are Welcomed! 😉
• We've more than 5 thousand products
• Also helping new businesses to grow</t>
  </si>
  <si>
    <t>girlbosssuites</t>
  </si>
  <si>
    <t>Collaboration + Community 💕✨</t>
  </si>
  <si>
    <t>The #1 platform for networking + collaborations for women in business. Keep God the CEO. 
National events &amp; meet-ups 💕✨🙌🏾
Deut. 8:18</t>
  </si>
  <si>
    <t>https://www.girlbosssuites.com/event-details/girlboss-awards-houston-2025</t>
  </si>
  <si>
    <t>women._business</t>
  </si>
  <si>
    <t>❕ collaboration ❕</t>
  </si>
  <si>
    <t>✨ women supporters ✨
ᴡᴇ ᴘʀᴏᴍᴏᴛᴇ ʜᴇʀᴇ ᴀʟʟ ᴛʏᴘᴇꜱ ʙᴜꜱɪɴᴇꜱꜱ / ᴍᴏᴅᴇʟꜱ / ꜱᴍᴀʟʟʙᴜꜱɪɴᴇꜱꜱ /ᴊᴇᴡᴇʟʀʏ/ ᴇᴛꜱʏ
ꜰᴏʀ ᴘʀᴏᴍᴏᴛɪᴏɴ ᴊᴜꜱᴛ ɢɪᴠᴇ ᴜꜱ Dm 📧</t>
  </si>
  <si>
    <t>calcologne</t>
  </si>
  <si>
    <t>Cal Cologne</t>
  </si>
  <si>
    <t>800k On TikTok
📸 - Fragrance Content Creator
📧 - thecalcologne@gmail.com
Blind Buy 🐐</t>
  </si>
  <si>
    <t>cologne.house</t>
  </si>
  <si>
    <t>Cologne House | Perfume Recreation</t>
  </si>
  <si>
    <t>Celebrity perfumes are costly, so we make them affordable. High-quality, long-lasting, same scent &amp; power. Not even a 1% difference
Cod &amp; prepaid 📦</t>
  </si>
  <si>
    <t>master.cologneofficial</t>
  </si>
  <si>
    <t>Master Cologne</t>
  </si>
  <si>
    <t>Master Cologne: Inspired Fragrances
Crafting unique scents that stand out
Locations: Andheri | Vashi | Mumbra | Pune |Bangalore
Nationwide delivery 🇮🇳</t>
  </si>
  <si>
    <t>http://www.mastercologne.com</t>
  </si>
  <si>
    <t>master.cologne.official2</t>
  </si>
  <si>
    <t>master.cologne</t>
  </si>
  <si>
    <t>Master Cologne provides revolutionary to ur designer &amp; niche perfumes. 
Delivery Pan India.
Stores- Mumbai, Bangalore, Pune, Navi Mumbai, Thane.</t>
  </si>
  <si>
    <t>qualitycologne</t>
  </si>
  <si>
    <t>Hairstylist @qualitybycologne 
Creative director 
Reality tv star 🌟 
@nowthats_tv 
| snapchat: ohsoyoumad |🤑</t>
  </si>
  <si>
    <t>http://www.qualitycolognehair.com/</t>
  </si>
  <si>
    <t>thecolognecollection</t>
  </si>
  <si>
    <t>Cologne Collection</t>
  </si>
  <si>
    <t>💯 Authentic Fragrance Samples
⭐ 700+ 5-Star Reviews
⬇️ Get A Free Sample!</t>
  </si>
  <si>
    <t>https://linktr.ee/colognecollection</t>
  </si>
  <si>
    <t>thomas_in_koeln</t>
  </si>
  <si>
    <t>cologne, germany 🇩🇪🏳️‍🌈🏳️‍🌈</t>
  </si>
  <si>
    <t>bsdcommercial</t>
  </si>
  <si>
    <t>BSD Commercial</t>
  </si>
  <si>
    <t>Info terupdate Ruko, Gudang dan
Business Loft di BSD City.
•
Official Account of BSD City Commercial
Project Member of @sinarmas_land</t>
  </si>
  <si>
    <t>https://linktr.ee/commercialbsdcity</t>
  </si>
  <si>
    <t>commercial_observer</t>
  </si>
  <si>
    <t>Commercial Observer</t>
  </si>
  <si>
    <t>Covering the people, deals &amp; trends shaping global commercial real estate.</t>
  </si>
  <si>
    <t>https://linkin.bio/commercial_observer</t>
  </si>
  <si>
    <t>fariddun_92</t>
  </si>
  <si>
    <t>Commercial enquirers</t>
  </si>
  <si>
    <t>AUT VINCERE ,AUT MORI.</t>
  </si>
  <si>
    <t>http://yahoo.com</t>
  </si>
  <si>
    <t>haleproductionstudios</t>
  </si>
  <si>
    <t>Commercial Photo + Video</t>
  </si>
  <si>
    <t>We create impactful content for consumer brands. SD + LA. DM for more info. Check our sister studios @sd.influencestudios | @la.influencestudios</t>
  </si>
  <si>
    <t>https://haleproductionstudios.com</t>
  </si>
  <si>
    <t>ilcommerciale_</t>
  </si>
  <si>
    <t>il Commerciale ®</t>
  </si>
  <si>
    <t>#Sales addicted
Qui se sei:
🔸 #commerciale #salesman
🔸 #salesmanager #areamanager 
🔸 #agentedicommercio #venditore
🔸 Fai #vendita #b2b 
Per info qui👇</t>
  </si>
  <si>
    <t>https://linktr.ee/ilcommerciale_</t>
  </si>
  <si>
    <t>jmmyylee</t>
  </si>
  <si>
    <t>Jimmy Lee | Commercial Photographer</t>
  </si>
  <si>
    <t>Commercial &amp; Advertising Photographer
@kurvatura_creative @kurvatura_studio
✉️ jimmy@kurvatura.com | Global Reach
📍Jakarta, Indonesia</t>
  </si>
  <si>
    <t>http://linktr.ee/jmmyylee</t>
  </si>
  <si>
    <t>memphisnews</t>
  </si>
  <si>
    <t>The Commercial Appeal</t>
  </si>
  <si>
    <t>The official Instagram page of the Commercial Appeal in #Memphis, #Tennessee</t>
  </si>
  <si>
    <t>https://smartlink.bio/memphisnews</t>
  </si>
  <si>
    <t>tiffannryland</t>
  </si>
  <si>
    <t>Commercial Real Estate Advisor</t>
  </si>
  <si>
    <t>▪️ Tiffany Ann Ryland, CCIM
▪️ Houston | Atlanta W/Nationwide Capabilities 
▪️ Named one of the most influential women in CRE</t>
  </si>
  <si>
    <t>https://tiffanyryland.com/unsolicited-advice/ols/products/ebook</t>
  </si>
  <si>
    <t>composition</t>
  </si>
  <si>
    <t>by @johneveretthelm 
Sign up for our newsletter ↓</t>
  </si>
  <si>
    <t>http://compositionallyinclined.com</t>
  </si>
  <si>
    <t>compositionschool.ir</t>
  </si>
  <si>
    <t>مدرسه‌ی آهنگسازی</t>
  </si>
  <si>
    <t>علی‌توکلی
@alitavakolic
آهنگ‌ساز | مدرسِ دانشگاه هنر تهران
دوره‌های آموزشی را در هایلایت‌ها ببینید</t>
  </si>
  <si>
    <t>https://t.me/compositionschool/865</t>
  </si>
  <si>
    <t>concoctionzz</t>
  </si>
  <si>
    <t>Concoctionzz_the_brand</t>
  </si>
  <si>
    <t>Licensed Mobile Mixologist
We cater to ALL events w/ personalized cocktails &amp; mocktails.We don’t make drinks we create them. Ask about our packages!</t>
  </si>
  <si>
    <t>http://barboss.org/2023/candace-goode</t>
  </si>
  <si>
    <t>craftsmanship_tutorials</t>
  </si>
  <si>
    <t>Nahla</t>
  </si>
  <si>
    <t>•Creative designer 
•Customised Handmade Gifts
•No Return &amp; No Refund 
Calicut, Malappuram 
@nahla_ck 
DM for orders &amp; queries 📩</t>
  </si>
  <si>
    <t>https://youtube.com/@craftsmanshiptutorials1836</t>
  </si>
  <si>
    <t>5ms_creation</t>
  </si>
  <si>
    <t>~ 𝑼𝒓_𝑲𝒓𝒊𝒔𝒉𝒏𝒂🔻</t>
  </si>
  <si>
    <t>" 𝑆𝑡𝑎𝑡𝑢𝑠 𝑃𝑎𝑔𝑒🙇 "
" 𝐸𝑣𝑒𝑟𝑦𝑡ℎ𝑖𝑛𝑔 𝑦𝑜𝑢 𝐍𝐄𝐄𝐃 𝑖𝑠 ℎ𝑒𝑟𝑒❤️"
📍𝐵𝐴𝐿𝐿𝐼𝐴☘️ (𝑼𝑡𝑡𝑒𝑟 𝑃𝑟𝑎𝑑𝑒𝑠ℎ)🩸
" Just Scroll down👇"</t>
  </si>
  <si>
    <t>https://odinbet.com/r/boom/signup</t>
  </si>
  <si>
    <t>creationent</t>
  </si>
  <si>
    <t>Creation Entertainment</t>
  </si>
  <si>
    <t>Fun for Fans Since 1971🌟 
Producing fan conventions - #SPN, #TVD, #StarTrek, #CobraKai
For questions: customer.service@creationent.com</t>
  </si>
  <si>
    <t>http://bit.ly/CreationEnt</t>
  </si>
  <si>
    <t>creationsross</t>
  </si>
  <si>
    <t>Ross</t>
  </si>
  <si>
    <t>Sarasota, FL</t>
  </si>
  <si>
    <t>creationwithjacki</t>
  </si>
  <si>
    <t>Jacqueline Gross | Content Creation &amp; Motivation</t>
  </si>
  <si>
    <t>• Teaching women how to get paid to create content
• Founder @womensidehustle @creator.bestiies 
• 31k students taught 
Start here ↓</t>
  </si>
  <si>
    <t>dip.creation_</t>
  </si>
  <si>
    <t>ᴅɪᴘ ᴄʀᴇᴀᴛɪᴏɴ !! 🌸</t>
  </si>
  <si>
    <t>✿ Music Video Creator ✂️
✿ Ms Dhoni  💗🦋 | @chennaiipl 💛 
✿ Target - 30k 📌  | Dm for paid edits 📥
✿ Campign Managed - @bong_campaing</t>
  </si>
  <si>
    <t>dream_creation_studio_</t>
  </si>
  <si>
    <t>Dream Creation Studio</t>
  </si>
  <si>
    <t>Architectural model making company based in 
📍Pune-Maharashtra,India</t>
  </si>
  <si>
    <t>http://www.dreamcreationstudio.com</t>
  </si>
  <si>
    <t>gk_creation_801</t>
  </si>
  <si>
    <t>🍁creation801 💫</t>
  </si>
  <si>
    <t>| 𝗪𝗘𝗟𝗖𝗢𝗠𝗘 𝗧𝗢 𝗠𝗬 𝗣𝗥𝗢𝗙𝗜𝗟𝗘
|𝗠𝗬 𝗟𝗜𝗙𝗘𝗟𝗜𝗡𝗘🌎𝗠𝗢𝗠 𝗗𝗔𝗗 
| 𝗧𝗔𝗥𝗚𝗘𝗧🎯100𝗞 𝗙𝗢𝗟𝗟𝗢𝗪𝗘𝗥𝗦
| Content creator daily ⏰ upload video</t>
  </si>
  <si>
    <t>https://filmm.me/3tJTh1Z6</t>
  </si>
  <si>
    <t>inc_creation</t>
  </si>
  <si>
    <t>Ink Creation</t>
  </si>
  <si>
    <t>🔹"Artistic 🎨 &amp; Tattoo ✨ Inspiration 
💌Collab :( arvind222146@gmail.com )
💲Paid Promotion available (DM)</t>
  </si>
  <si>
    <t>https://youtube.com/@ink_creation?si=cAm1VRtBwIN04LgV</t>
  </si>
  <si>
    <t>jk_creation__09_</t>
  </si>
  <si>
    <t>J A C K X X</t>
  </si>
  <si>
    <t>🏴‍☠️🍋🌶️
“IT'S NOT US BUT OUR NEME THAT MAKES NOISE „
.        "👑⚜️❤️‍🔥„
DM FOR PAID PROMOTION 💸💌
ONE MAN SHOW....🤴🏻
QUALITY MATTER......💎</t>
  </si>
  <si>
    <t>jk__creation_status</t>
  </si>
  <si>
    <t>★ ᴊᴜɴᴀɪᴅ ᴋʜᴀɴ ★</t>
  </si>
  <si>
    <t>📍ᴍᴏʀᴀᴅᴀʙᴀᴅ
𝗔𝗹𝗹 𝘁𝘆𝗽𝗲𝘀 4𝗞 𝘃𝗶𝗱𝗲𝗼
𝗧𝗿𝘆 𝗢𝗻𝗰𝗲 𝗮𝗻𝗱 𝗳𝗲𝗲𝗹 𝗶𝘁 🔉🎶💿
🔸Love || Romantic || Sad🔹
Daily Status Update</t>
  </si>
  <si>
    <t>mohitcreation1111</t>
  </si>
  <si>
    <t>Mohit Creation</t>
  </si>
  <si>
    <t>🙏❤️जय जय श्री राम🙏❤️</t>
  </si>
  <si>
    <t>riya_creations27</t>
  </si>
  <si>
    <t>Riya Gupta | The Jewel Artist💎</t>
  </si>
  <si>
    <t>Illustrator</t>
  </si>
  <si>
    <t>Jewellery Designer &amp; Educator🇮🇳
🖌️2000+ gems illustrated through guided hands
Dm for collaboration, freelance work and online classes.
YOUTUBE ⬇️</t>
  </si>
  <si>
    <t>https://www.youtube.com/@riya_creations27</t>
  </si>
  <si>
    <t>royal_creation__09</t>
  </si>
  <si>
    <t>𝙎𝙍_𝘾𝙍𝙀𝘼𝙏𝙄𝙊𝙉___𝟬𝟵 💕👑</t>
  </si>
  <si>
    <t>• ᴊᴀʏ ꜱʜɪᴠʀᴀʏ 👑
• ᴊᴀʏ ꜱʜʀᴇᴇ ʀᴀᴍ 🚩
• ꜱʜʀᴇᴇ ꜱᴡᴀᴍɪ ꜱᴀᴍʀᴛʜ 🌸🙌
• ᴛᴀʀɢᴇᴛ 100ᴋ 🔜...
• ᴋᴏʟʜᴀᴘᴜʀᴋᴀʀ 👑</t>
  </si>
  <si>
    <t>https://www.threads.net/@royal__creation__09</t>
  </si>
  <si>
    <t>sid_creation._</t>
  </si>
  <si>
    <t>𝗦𝗜𝗗 𝗖𝗥𝗘𝗔𝗧𝗜𝗢𝗡❤️‍🔥</t>
  </si>
  <si>
    <t>_ 𝒮𝒾𝒹𝒹𝓎𝒶_👑
✪ 𝙀𝘿𝙄𝙏𝙊𝙍💋🎧
✪ जय श्री महाकाल 🤍🔱
✪ 𝘼𝙇𝙇 𝙏𝙔𝙋𝙀𝙎 𝙎𝙏𝘼𝙏𝙐𝙎❤️🍃
✪ 𝘿𝙈 𝙁𝙊𝙍 𝙋𝘼𝙄𝘿 𝙋𝙍𝙊𝙈𝙊𝙏𝙄𝙊𝙉</t>
  </si>
  <si>
    <t>sk__creation_4k</t>
  </si>
  <si>
    <t>Saurabh Kushwaha</t>
  </si>
  <si>
    <t>🔴 अपने तो सिर्फ #राम है। 🌍✨
@kushwaha_saurabh_0
🟠JÄɎ §HRÈÈ RÄM 🙏🏻🚩
🟤 B̶h̶o̶j̶p̶u̶r̶i̶ ̶&amp;̶ ̶h̶i̶n̶d̶i̶ ̶s̶t̶a̶t̶u̶s̶ ̶H̶D̶#</t>
  </si>
  <si>
    <t>sur_icreation</t>
  </si>
  <si>
    <t>ꜱᴜʀɪ ᴄʀᴇᴀᴛɪᴏɴ-&gt;500k🎯</t>
  </si>
  <si>
    <t>🔹ᴡᴇʟᴄᴏᴍᴇ ᴛᴏ ᴍʏ ᴘᴀɢᴇ💐
🔹ᴘᴀɪᴅ ᴘʀᴏᴍᴏᴛɪᴏɴꜱ💌
🔹ᴛᴇʟᴜɢᴜ ʟʏʀɪᴄᴀʟ ᴠɪᴅᴇᴏꜱ💫
🔹ᴋᴀʀɴᴀᴛᴀᴋᴀ ʙᴏʏ 😎</t>
  </si>
  <si>
    <t>https://youtube.com/@suricreation-yu7lh?si=KtRN4AWv6CUgLwoF</t>
  </si>
  <si>
    <t>vv_creation_s</t>
  </si>
  <si>
    <t>Chinnu Vvcreations</t>
  </si>
  <si>
    <t>VV CREATIONS 
paid video available 
plz like and follow.</t>
  </si>
  <si>
    <t>a4_creative_37</t>
  </si>
  <si>
    <t>♥ ᴀ4 ᴄʀᴇᴀᴛɪᴠᴇ ♥</t>
  </si>
  <si>
    <t>♥ ᴡᴇʟᴄᴏᴍᴇ ᴛᴏ ᴍʏ ᴘʀᴏꜰɪʟᴇ ♥
♥ ᴀᴀʏᴇ ʜᴏ ᴛᴏ ꜰᴏʟʟᴏᴡ ʙʜɪ ᴋᴀʀ ʟᴏ ♥</t>
  </si>
  <si>
    <t>arlan_creative</t>
  </si>
  <si>
    <t>Arlan Creative</t>
  </si>
  <si>
    <t>🌿 𝗗𝗮𝗶𝗹𝘆 𝗡𝗮𝘁𝘂𝗿𝗲 𝗥𝗲𝗲𝗹𝘀
🎯 𝗧𝗮𝗿𝗴𝗲𝘁 𝟱𝟬𝟬𝗸
🎥 𝗗𝗮𝗶𝗹𝘆 𝗢𝗿𝗶𝗴𝗶𝗻𝗮𝗹 𝗖𝗼𝗻𝘁𝗲𝗻𝘁
💌𝗗𝗠 𝗳𝗼𝗿 𝗣𝗮𝗶𝗱 𝗣𝗿𝗼𝗺𝗼𝘁𝗶𝗼𝗻</t>
  </si>
  <si>
    <t>creative2_7</t>
  </si>
  <si>
    <t>Creative2_7</t>
  </si>
  <si>
    <t>Enjoy Every Moment Of Life Because
         जिंदगी ना मिलेगी दोबारा....।
📌DM for paid promotion and collaboration</t>
  </si>
  <si>
    <t>creative__99</t>
  </si>
  <si>
    <t>𝗖𝗿𝗲𝗮𝘁𝗶𝘃𝗲__𝟵𝟵</t>
  </si>
  <si>
    <t>• 𝙛𝙤𝙧 𝙗𝙪𝙨𝙞𝙣𝙚𝙨𝙨 𝙞𝙣𝙦𝙪𝙞𝙧𝙞𝙚𝙨 𝘿𝙈📩
• 𝙋𝙧𝙞𝙞𝙫 @ahmedyassen.1</t>
  </si>
  <si>
    <t>creative_abhii_</t>
  </si>
  <si>
    <t>𝐀𝐛𝐡𝐢𝐢 𝐊𝐮𝐬𝐡𝐰𝐚𝐡𝐚</t>
  </si>
  <si>
    <t>𝗖𝗼𝗻𝘁𝗲𝗻𝘁 𝗖𝗿𝗲𝗮𝘁𝗼𝗿 🫶🏻
📍𝗚𝗶𝗿𝗶𝗱𝗶𝗵 𝗭𝗶𝗹𝗮 𝗕𝗮𝘀𝗲𝗱 𝗜𝗻𝗳𝗹𝘂𝗲𝗻𝗰𝗲𝗿 
Paid Promotion- 8002271146</t>
  </si>
  <si>
    <t>https://fb.openinapp.co/c6uw2</t>
  </si>
  <si>
    <t>creativeartistsagency</t>
  </si>
  <si>
    <t>CAA</t>
  </si>
  <si>
    <t>The world’s leading entertainment and sports agency. 
@caamusic
@caa_sports
@caafashion 
@caafoundation 
@caaamplify
@caaspeakers
@caadigitaltalent</t>
  </si>
  <si>
    <t>http://caa.com</t>
  </si>
  <si>
    <t>creativebanx</t>
  </si>
  <si>
    <t>http://boxd.it/877eB</t>
  </si>
  <si>
    <t>creativebespoke</t>
  </si>
  <si>
    <t>Creative Bespoke International</t>
  </si>
  <si>
    <t>Automotive Dealership</t>
  </si>
  <si>
    <t>State of the art full service automotive design and customization shop🏎️ 
CEO @sysalari 
@cb_autosalon</t>
  </si>
  <si>
    <t>http://creativebespoke.com/</t>
  </si>
  <si>
    <t>creative_.circle</t>
  </si>
  <si>
    <t>ART &amp; CRAFT</t>
  </si>
  <si>
    <t>Crafting dreams into reality ✂️ 
Join me on a colorful journey of imagination and creation 🌈
💌 DM us for business &amp; queries 
#Artandcraft</t>
  </si>
  <si>
    <t>https://creativecirclestore.com/collections/all</t>
  </si>
  <si>
    <t>creative_explained</t>
  </si>
  <si>
    <t>Armen Adamjan</t>
  </si>
  <si>
    <t>📩Business: creative@untitledent.com
🥇IG: 9.6m🥈TikTok: 7.1m🥉YT: 4.4m🎖️FB: 3.9m
👇Grab My Books Here!👇</t>
  </si>
  <si>
    <t>https://creativeexplained.com</t>
  </si>
  <si>
    <t>creative_insann</t>
  </si>
  <si>
    <t>Insaan</t>
  </si>
  <si>
    <t>🇮🇳
• Maje ke liye banai hai Id , toh maje karo..</t>
  </si>
  <si>
    <t>creative_memss</t>
  </si>
  <si>
    <t>كريتيف - Cerative</t>
  </si>
  <si>
    <t>• 𝙄’𝙈 𝙉𝙊𝙏 𝙏𝙃𝙀 𝙊𝙉𝙇𝙔 𝙊𝙉𝙀 𝘽𝙐𝙏 𝙄’𝙈 𝙏𝙃𝙀 𝘽𝙀𝙎𝙏 👑
-
• for business inquiries DM 📩</t>
  </si>
  <si>
    <t>creative.punch</t>
  </si>
  <si>
    <t>Sharing creative inspiration</t>
  </si>
  <si>
    <t>Enjoy 
✌🌎📷
DM for removal
👇👇👇Mootiny T Shirt Merch 👇👇👇</t>
  </si>
  <si>
    <t>https://linktr.ee/mootiny</t>
  </si>
  <si>
    <t>creative_viip</t>
  </si>
  <si>
    <t>Vishnu (VIIP)</t>
  </si>
  <si>
    <t>20 | Jaipur 🇮🇳
🎭Acting•Editing•Filmmaking 
🫶🏻फॉलो कर लो निराश नहीं करूंगा 
📈सबसे हटके विडियो बनाता हूँ 
📧business- viipcreationswork@gmail.com</t>
  </si>
  <si>
    <t>hecreative</t>
  </si>
  <si>
    <t>HE Creative - Illustrator</t>
  </si>
  <si>
    <t>❤️Husband-and-wife design and illustration team.
🎸 Posters &amp; merch for bands
🖼️ Prints for punks &amp; misfits
📬 Open for work → DM or email</t>
  </si>
  <si>
    <t>https://hecreative.dashery.com</t>
  </si>
  <si>
    <t>delicat.eg</t>
  </si>
  <si>
    <t>Délicat</t>
  </si>
  <si>
    <t>📍 🇪🇬 
• Thoughfully Designed • Locally Made • Internationally Delivered
🛍️ Refund and Exchange Available
🌎 Find us at @fridayatnooncollective</t>
  </si>
  <si>
    <t>http://delicateg.com</t>
  </si>
  <si>
    <t>delicate.jewelz</t>
  </si>
  <si>
    <t>⁺ ⋆ ✧˖°.˗ˋˏ ཐི❤︎ཋྀ ˎˊ˗˖°.✧ ⋆ ⁺</t>
  </si>
  <si>
    <t>⋆ ♱ 𝐨𝐧𝐞 𝐨𝐟 𝐚 𝐤𝐢𝐧𝐝 𝐣𝐞𝐰𝐞𝐥𝐫𝐲 𝐟𝐨𝐫 𝖛𝖆𝖒𝖕𝖎𝖗𝖊𝖘 &amp; 𝖌𝖔𝖙𝖍 𝖋𝖆𝖎𝖗𝖎𝖊𝖘 ♱ ⋆
✮ ⋆｡‧₊˚ 𝒉𝒂𝒏𝒅𝒎𝒂𝒅𝒆 𝒘𝒊𝒕𝒉 𝒍𝒐𝒗𝒆 𝒊𝒏 𝑴𝒊𝒏𝒏𝒆𝒔𝒐𝒕𝒂 ˚₊‧｡⋆ ✮</t>
  </si>
  <si>
    <t>http://delicatejewelz.etsy.com</t>
  </si>
  <si>
    <t>delicatelinks</t>
  </si>
  <si>
    <t>CLOSING JULY 31ST 2025</t>
  </si>
  <si>
    <t>delicatemasc</t>
  </si>
  <si>
    <t>delicate masc</t>
  </si>
  <si>
    <t>Bio</t>
  </si>
  <si>
    <t>delicatesquash</t>
  </si>
  <si>
    <t>Tia Naayem</t>
  </si>
  <si>
    <t>Ethnic Grocery Store</t>
  </si>
  <si>
    <t>Los Angeles 
Books open | Flash Preferred*
Resident at @proudofyou.la 
LONDON Sept. 25 &amp; 26
Dm @delicateboss to book
*open to some customs</t>
  </si>
  <si>
    <t>http://linktr.ee/delicatesquash/</t>
  </si>
  <si>
    <t>delicatesteve</t>
  </si>
  <si>
    <t>Delicate Steve</t>
  </si>
  <si>
    <t>New Album ‘Luke’s Garage’ - OUT NOW
Order Now
On Tour - Get Tickets Today!</t>
  </si>
  <si>
    <t>https://linktr.ee/delicatesteve</t>
  </si>
  <si>
    <t>katzsdeli</t>
  </si>
  <si>
    <t>🌭Katz's Delicatessen</t>
  </si>
  <si>
    <t>Come by and have a nosh! And if you’re not in town, don’t worry, we ship, we cater and we deliver!🌭📦✈️</t>
  </si>
  <si>
    <t>https://www.katzsdelicatessen.com/</t>
  </si>
  <si>
    <t>a_design_lab</t>
  </si>
  <si>
    <t>A DESIGN LAB</t>
  </si>
  <si>
    <t>ゑデザインラボ　
お問合せはDM,またはメールでお願いいたします。
Please contact us via DM or email for inquiries.</t>
  </si>
  <si>
    <t>https://adesignlaboratory.com/</t>
  </si>
  <si>
    <t>mt.dessign</t>
  </si>
  <si>
    <t>Mt Design</t>
  </si>
  <si>
    <t>Designer @maryamtoousi @laya_tolou 
ارسال به کل ایران| 👚
📍Mashhad-09154777345
ثبت سفارش از طریق دایرکت📩</t>
  </si>
  <si>
    <t>numen_design</t>
  </si>
  <si>
    <t>Numen Design</t>
  </si>
  <si>
    <t>Hand Made Pencils 
Designed for those who, oblivious to technology, have made a habit of creating.
TABASCO 189  local D  Col. Roma 
ENTRADA: Jalapa 90</t>
  </si>
  <si>
    <t>http://numendesignstore.com</t>
  </si>
  <si>
    <t>out_of_design</t>
  </si>
  <si>
    <t>Out Of Design 圈外設計 TW｜Chris</t>
  </si>
  <si>
    <t>📱 介面/平面設計師 Chris
🎨 配色/排版/設計軟體教學
合作邀約請來信 chris@out-of-design.com</t>
  </si>
  <si>
    <t>https://out-of-design.com/</t>
  </si>
  <si>
    <t>phai.design</t>
  </si>
  <si>
    <t>Phai Design</t>
  </si>
  <si>
    <t>Mergulhe no mundo onde cada peça é um testemunho da beleza dos rituais caseiros.
por Ingrid Haratani e Alexandre Paranaguá</t>
  </si>
  <si>
    <t>https://www.phai.design/</t>
  </si>
  <si>
    <t>wanderer_design</t>
  </si>
  <si>
    <t>Wanderer Design</t>
  </si>
  <si>
    <t>Wanderer Design工作室｜專業圍裙訂製
專為調酒／咖啡／美業／餐飲/刺青師/等職人設計
布料＋真牛皮組合｜帆布・防水・防油・防染劑
全手工訂製｜依身形製作|
採用線上私訊討論訂製</t>
  </si>
  <si>
    <t>commercial_interior_design</t>
  </si>
  <si>
    <t>Commercial Interior Design</t>
  </si>
  <si>
    <t>The leading title for the commercial interior design industry in the Middle East &amp; North Africa</t>
  </si>
  <si>
    <t>http://www.commercialinteriordesign.com</t>
  </si>
  <si>
    <t>day.crafter</t>
  </si>
  <si>
    <t>Kat | Car Diffusers + Rear View Mirror Car Charms</t>
  </si>
  <si>
    <t>✿ Rearview mirror charms for everyday drives 
✿ Handmade essential oil diffusers 
✿ Mama life + handcrafted with intention 
✿ Shop the vibe👇🏼</t>
  </si>
  <si>
    <t>https://linktr.ee/daycrafter</t>
  </si>
  <si>
    <t>diffusereality</t>
  </si>
  <si>
    <t>DIFFUSE REALITY</t>
  </si>
  <si>
    <t>Independent Record Label founded in 2013.
Focused on showcasing emerging artists and enhancing the Techno Scene.
Label | Shop | Promoter | Podcast</t>
  </si>
  <si>
    <t>https://linktr.ee/diffusereality</t>
  </si>
  <si>
    <t>diffusernigeria</t>
  </si>
  <si>
    <t>Diffuser Lut</t>
  </si>
  <si>
    <t>📍Shop 8, @No. 141 Adetokunbo Ademola Wuse 2, Abuja.
📍14bb university road Akoka yaba
☎️ +2347084517152 
TikTok 👉@DiffuserNigeria_Abj</t>
  </si>
  <si>
    <t>https://diffusernigeria.com/</t>
  </si>
  <si>
    <t>flairdiffusers</t>
  </si>
  <si>
    <t>Flair Diffusers</t>
  </si>
  <si>
    <t>Elevate the air, with Flair. 
For your home &amp; business
Luxury diffusers &amp; fragrances
Flair Boutiques 
Discover our new hotel inspired scents</t>
  </si>
  <si>
    <t>https://linktr.ee/flairdiffusers</t>
  </si>
  <si>
    <t>luxurys_reed_diffuser</t>
  </si>
  <si>
    <t>FRAGRANCE BOSS IN GHANA</t>
  </si>
  <si>
    <t>⚠️QUALITY &amp;AFFORDABLE
FDA APPROVED 🇬🇭
📍ACCRA 📍KUMASI 📍TAKORADI 📍TECHIMAN 📍SUNYANI  
📌OUR PRICES ARE THE SAME IN ALL OUR BRANCHES WATSAPP 0273237367</t>
  </si>
  <si>
    <t>http://www.tiktok.com/@luxurys_reed_diffuser</t>
  </si>
  <si>
    <t>004.jentro</t>
  </si>
  <si>
    <t>Dior 🚨</t>
  </si>
  <si>
    <t>Vip~Uzbek🇺🇿  
видео улаб койилмайди ❌
Талаб ва Таклифлар болса 
👇🏻
автор: @khakimovd_</t>
  </si>
  <si>
    <t>alldiorlovers</t>
  </si>
  <si>
    <t>Curated by @discoverurstyle</t>
  </si>
  <si>
    <t>dianydior</t>
  </si>
  <si>
    <t>DIOR 🎀</t>
  </si>
  <si>
    <t>BX NY 🇩🇴🇭🇹
GOD DID!
INDEPENDENT</t>
  </si>
  <si>
    <t>https://linktr.ee/dianydior</t>
  </si>
  <si>
    <t>dior</t>
  </si>
  <si>
    <t>Dior Official</t>
  </si>
  <si>
    <t>"Women, with their intuitive instinct, understood that I dreamed not only of making them more beautiful, but happier too." Christian Dior</t>
  </si>
  <si>
    <t>http://linkin.bio/dior</t>
  </si>
  <si>
    <t>di.or</t>
  </si>
  <si>
    <t>Diana Ordabekova</t>
  </si>
  <si>
    <t>Smiling at the world, chasing sunsets and new stories❤️</t>
  </si>
  <si>
    <t>http://www.instagram.com/di.or.di.or/</t>
  </si>
  <si>
    <t>diorbeautylovers</t>
  </si>
  <si>
    <t>Dior Beauty Lovers</t>
  </si>
  <si>
    <t>This is Dior Beauty through your eyes 🤍
A beauty space created by you, for you.
Tag @diorbeautylovers | #diorbeautylovers</t>
  </si>
  <si>
    <t>http://on.dior.com/shop</t>
  </si>
  <si>
    <t>diorbelisecheverria</t>
  </si>
  <si>
    <t>Dior🧿</t>
  </si>
  <si>
    <t>Unica cuenta
Hanna👧🏻Luciana👶🏻
Luisangel💍💘🔒</t>
  </si>
  <si>
    <t>dior.d3e</t>
  </si>
  <si>
    <t>𝓢𝓪𝓲𝓷𝓽 ”𝒟𝒾𝑜𝓇” 𝓡𝓪𝓭𝓪𝓱 ~ 𝓢𝓓 444
CEO of @saintradah 
Brand Ambassador for @saintradah 
DM/Email for Business Inquires/Promo
Dallas.TX📍</t>
  </si>
  <si>
    <t>diormhx</t>
  </si>
  <si>
    <t>Dior 🍸</t>
  </si>
  <si>
    <t>your daily dose of skincare &amp; lifestyle 
my art paige : @strunidushii</t>
  </si>
  <si>
    <t>https://t.me/+p6riRoTWg29lOGVi</t>
  </si>
  <si>
    <t>dior.n.goodjohn</t>
  </si>
  <si>
    <t>dior goodjohn</t>
  </si>
  <si>
    <t>playing your fav #ARES kid in @percyseries on @disneyplus 🐏♈️🔥 
all subscriber earnings go to @musicares 🫶🏽
STREAM BET BELOW 🎧🤭🎶✨⤵️</t>
  </si>
  <si>
    <t>https://distrokid.com/hyperfollow/diorgoodjohn/bet</t>
  </si>
  <si>
    <t>diorr</t>
  </si>
  <si>
    <t>Dior Johnson</t>
  </si>
  <si>
    <t>Point Guard at Tarleton State</t>
  </si>
  <si>
    <t>diorveneracion</t>
  </si>
  <si>
    <t>For bookings: 
bdb.phevents@gmail.com/ Diorveneracion06@gmail.com
09776965155</t>
  </si>
  <si>
    <t>https://vt.tiktok.com/ZSjEJAaem/</t>
  </si>
  <si>
    <t>diorvsyou</t>
  </si>
  <si>
    <t>(Find me)ᵒᵏᵎᵎᵎᵎ
No deal!
@lilwoah all business</t>
  </si>
  <si>
    <t>https://soundcloud.com/packrunnerrdior/sets/paussus99?ref=clipboard&amp;p=i&amp;c=1&amp;si=E9C9E27149324C3E9B93AA3BFCC31676&amp;utm_source=clipboard&amp;utm_medium=text&amp;utm_campaign=social_sharing</t>
  </si>
  <si>
    <t>fefediorr</t>
  </si>
  <si>
    <t>Dior ✪</t>
  </si>
  <si>
    <t>https://youtube.com/@fefediorr</t>
  </si>
  <si>
    <t>girlsfordior</t>
  </si>
  <si>
    <t>𝒟𝒾𝑜𝓇 ✩</t>
  </si>
  <si>
    <t>𝒕𝒉𝒆 𝒕𝒘𝒐-𝒇𝒂𝒄𝒆𝒅 𝒔𝒊𝒏𝒊𝒔𝒕𝒆𝒓 𝒂𝒏𝒅 𝒔𝒂𝒊𝒏𝒕𝒍𝒚 𝒘𝒐𝒎𝒂𝒏
- Tk : girlsfordior 🇵🇸🇩🇿
My youtube channel ( podcast ) ⤵️</t>
  </si>
  <si>
    <t>https://www.youtube.com/@ghazalawhispers</t>
  </si>
  <si>
    <t>ygdior</t>
  </si>
  <si>
    <t>𝐘𝐆 𝐃𝐈𝐎𝐑</t>
  </si>
  <si>
    <t>Barbie®
𝐏𝐇𝐋 | 𝐇𝐓𝐗
📥: ygdiorhost@gmail.com
𝐀𝐥𝐥 𝐒𝐨𝐜𝐢𝐚𝐥𝐬 𝐁𝐞𝐥𝐨𝐰 ⬇️</t>
  </si>
  <si>
    <t>https://linktr.ee/Ygdior</t>
  </si>
  <si>
    <t>dior.accessoriess</t>
  </si>
  <si>
    <t>عمده | اکسسوری | اکسسوری کیلویی 📦| اکسسوری اروپایی</t>
  </si>
  <si>
    <t>من آیدام و تخصصم اینه به دخترای هدفمند
 کمک کنم تا به درآمد برسن💵🩰
.
هایلایت نمونه باکس نشون میده سبک کارا ها چقدر پینترستیِ 🧉</t>
  </si>
  <si>
    <t>http://t.me/dior_acce</t>
  </si>
  <si>
    <t>diorad</t>
  </si>
  <si>
    <t>Khaled Aljneibi | Fashion Designer UAE</t>
  </si>
  <si>
    <t>مصمم أزياء إماراتي صانع محتوى راقٍ  
أقدم لكم قصص الموضة، التحفيز، والضحك  
أعيش التفاصيل وأشارككم إياها 
📩 للاستشارة والإعلان: 0507416655  
Abu Dhabi</t>
  </si>
  <si>
    <t>diora.daily</t>
  </si>
  <si>
    <t>DIORADAILY</t>
  </si>
  <si>
    <t>PUSAT OUTFIT VIRAL SURABAYA
Diora Store, (Mon-Sun, 10.00-19.00)
Jl. Raya MERR No. 104 Surabaya
🛍ORDER CLICK👇🏻
💚WA: 0813 5948 2190
🏧BCA an Diska</t>
  </si>
  <si>
    <t>https://bit.ly/dioradaily</t>
  </si>
  <si>
    <t>dior_backstage2</t>
  </si>
  <si>
    <t>Dior handbags |</t>
  </si>
  <si>
    <t>diorbeautysaopaulo</t>
  </si>
  <si>
    <t>Dior Beauty SP</t>
  </si>
  <si>
    <t>Dior Beauty Shop 🇧🇷
Unidade física Shopping JK São Paulo
Compre Online ⬇️</t>
  </si>
  <si>
    <t>http://linktr.ee/diorbeautysp</t>
  </si>
  <si>
    <t>dior_boutique_iq</t>
  </si>
  <si>
    <t>Dior Master-Quality Scents  
Maysan 🇮🇶• Fast Delivery🚚  
Authentic Luxury</t>
  </si>
  <si>
    <t>celebritynfts</t>
  </si>
  <si>
    <t>Discover Dior Celebrity NFT</t>
  </si>
  <si>
    <t>Celebrity NFT's</t>
  </si>
  <si>
    <t>https://www.discoverdior.com/</t>
  </si>
  <si>
    <t>dorrin__collection</t>
  </si>
  <si>
    <t>Eli Sh❤️</t>
  </si>
  <si>
    <t>شومیز | پیراهن | مانتو | ست |رشت
موجودی هاروزانه استوری میشن👗 
ارسال به سراسر ایران 🇮🇷
ثبت سفارش↩دایرکت
پیج دوم : @dorrin_collection2</t>
  </si>
  <si>
    <t>simdiorcollection</t>
  </si>
  <si>
    <t>𝐒𝐈𝐌𝐃𝐈𝐎𝐑 𝐂𝐎𝐋𝐋𝐄𝐂𝐓𝐈𝐎𝐍</t>
  </si>
  <si>
    <t>« 𝐹𝒶𝓈𝒽𝒾𝑜𝓃 » 𝒮𝑒𝓍𝓎 𝒷𝓊𝓉 𝓂𝒶𝓀𝑒 𝒾𝓉 𝒸𝓁𝒶𝓈𝓈𝓎
⤷ simdiorcollection@gmail.com
✄┈┈┈┈ ⋆ 
🎀 ⇘ 𝒪𝓊𝓉𝒻𝒾𝓉 𝓁𝒾𝓃𝓀𝓈 ⇙ 🎀</t>
  </si>
  <si>
    <t>https://beacons.ai/simdiorcollection</t>
  </si>
  <si>
    <t>diordresses1</t>
  </si>
  <si>
    <t>فساتين ديور |  DIOR_DRESSES👗✨</t>
  </si>
  <si>
    <t>لطلب واتساب 
‭050 170 5447‬🇸🇦
#فساتين #فستان 
موقعنا بـ جدة 📍🇸🇦
اطلبي ي أنيقة منا هنا 👇🏻</t>
  </si>
  <si>
    <t>_dior_events_</t>
  </si>
  <si>
    <t>DIOR EVENTS</t>
  </si>
  <si>
    <t>🔹️ Artist Manager💻📲
🔹️Rezervo Këngëtar/e !
🔹️Booking contact:0693368072
🔹️Whatsap.Mobile:0693368072</t>
  </si>
  <si>
    <t>doralfashionweekoficial</t>
  </si>
  <si>
    <t>Doral Fashion Week Oficial</t>
  </si>
  <si>
    <t>The official Fashion Week in #cityofdoral , Florida 🇺🇸
Want to take your career as a Designer/ Model to the next level?
Just apply in the link below!</t>
  </si>
  <si>
    <t>https://linktr.ee/doralfashionweek</t>
  </si>
  <si>
    <t>diorsejewelry</t>
  </si>
  <si>
    <t>𝙳𝙸𝙾𝚁𝚂𝙴</t>
  </si>
  <si>
    <t>𝑻𝒊𝒏𝒚 𝒕𝒓𝒆𝒂𝒔𝒖𝒓𝒆𝒔, 𝑬𝒏𝒅𝒍𝒆𝒔𝒔 𝒔𝒕𝒐𝒓𝒊𝒆𝒔
𝑫𝒊𝒐𝒓𝒔𝒆 𝒔𝒖𝒎𝒎𝒆𝒓 𝒑𝒂𝒓𝒕𝒚
📍𝘓𝘕𝘋-𝘶𝘬📍𝘋𝘜-𝘶𝘢𝘦📍𝘛𝘏𝘙-𝘪𝘳
𝘞𝘩𝘢𝘵𝘴𝘢𝘱𝘱  +44 7501 152232
𝘞𝘩𝘢𝘵𝘴𝘢𝘱𝘱  +971 55 832 6042</t>
  </si>
  <si>
    <t>diorchalet</t>
  </si>
  <si>
    <t>Dior luxury villa</t>
  </si>
  <si>
    <t>Luxury Villa for rent in airport st.
Together, we make beautiful memories 🏖️
Suitable for families &amp; married couples 
For Reservations: 0785559888</t>
  </si>
  <si>
    <t>https://maps.app.goo.gl/jkzewGJF8ctgvcVv5?g_st=ic</t>
  </si>
  <si>
    <t>dior_dior_makeup</t>
  </si>
  <si>
    <t>Hachelef djihad nor el houda</t>
  </si>
  <si>
    <t>⚽️💍❤️ Makeup artist                                                                             Certifié by @melinabilo @kennedy_mua @talalmorcos</t>
  </si>
  <si>
    <t>dior_makeup_1</t>
  </si>
  <si>
    <t>DIOR MAKE_UP</t>
  </si>
  <si>
    <t>معرض Dior يرحب بكم ❤
القامشلي .. وسطى ..
 بجانب حلويات أوسكار قبو قيصيرية ديلمان 
مكياجات/عطورات/ساعات/هدايا /جناطي  ❤
يوجد شحن لكافة مناطق روج افا 🌸</t>
  </si>
  <si>
    <t>https://www.facebook.com/DIOR-Make_up-323187929104753/</t>
  </si>
  <si>
    <t>jetsetdior</t>
  </si>
  <si>
    <t>Dior Choi [ Menswear - Actor ]</t>
  </si>
  <si>
    <t>DIOR CHOI Official Page 🇰🇷 Korean Actor ✌🏼 Atlanta Influencer🕺🏻 Menswear Model🤳 Professional Photographer🥃 https://bit.ly/3tnVvnZ</t>
  </si>
  <si>
    <t>dioritoff</t>
  </si>
  <si>
    <t>Outfit Inspo | Fashion Blog ✨</t>
  </si>
  <si>
    <t>Love Yourself 💘</t>
  </si>
  <si>
    <t>dior_paris___</t>
  </si>
  <si>
    <t>Jasper ✨</t>
  </si>
  <si>
    <t>Не сравнивай меня с другими, мою роль никто не сыграет лучше меня.</t>
  </si>
  <si>
    <t>diorparish</t>
  </si>
  <si>
    <t>NOT REAL LIFE.</t>
  </si>
  <si>
    <t>NEIGHBOURHOOD HERO🦸🏾‍♂️ 🪷
Contact: info@diorparish.com</t>
  </si>
  <si>
    <t>https://diorofficial.lnk.to/FineSh-t</t>
  </si>
  <si>
    <t>dior._perfume</t>
  </si>
  <si>
    <t>ادکلن اورجینال |عطر|پرفیوم</t>
  </si>
  <si>
    <t>🔱ادکلن های برند اورجینال🔱
⚜️با ۴۸ساعت ضمانت مرجوعی ⚜️
تماس📱09218054367
🔺هایلایت رضایتا حتما چک بشه😉💯
🚚ارسال به تمام نقاط کشور</t>
  </si>
  <si>
    <t>dior_store_212</t>
  </si>
  <si>
    <t>Dior Store</t>
  </si>
  <si>
    <t>Accessories and gifts
المنصوره_حي الجامعه أمام القريه الاولمبيه الشارع اللي قبل  شرقي اول محل شمال
شارع كليه الأداب القديمة الشارع اللي  اوله محل 212</t>
  </si>
  <si>
    <t>diorstyledyou</t>
  </si>
  <si>
    <t>MIA DIOR♡</t>
  </si>
  <si>
    <t>Hair Artist | Soft &amp; Natural Styles 
Cosmetology student 
BOOKINGS DROP EVERY SUNDAY 5PM
📍Hillside, NJ</t>
  </si>
  <si>
    <t>https://diorstyledyou.as.me/</t>
  </si>
  <si>
    <t>lady_dior_style</t>
  </si>
  <si>
    <t>Lady_Dior_Style</t>
  </si>
  <si>
    <t>CLASSY ELEGANT STYLE
⬇️ SHOP HERE ⬇️</t>
  </si>
  <si>
    <t>http://marachini.com/</t>
  </si>
  <si>
    <t>diorosunglasses</t>
  </si>
  <si>
    <t>Dioro | Sunglasses</t>
  </si>
  <si>
    <t>💛 | 3 Sunglasses for $49,30
🇪🇺 | Free Shipping to all of Europe
☀️ | UV400 Protection + Resistant Frame</t>
  </si>
  <si>
    <t>buchi.distillationlab</t>
  </si>
  <si>
    <t>Distillation By BUCHI 🇨🇭</t>
  </si>
  <si>
    <t>Tools/Equipment</t>
  </si>
  <si>
    <t>www.buchi.com
The lower the pressure, the lower the boiling point , the fresher the extracts!!!
Request quote, learn more ⬇️</t>
  </si>
  <si>
    <t>https://linktr.ee/buchi.distillationlab</t>
  </si>
  <si>
    <t>drudown4real41500</t>
  </si>
  <si>
    <t>Dru Down</t>
  </si>
  <si>
    <t>Jackrabbit500@gmail.com</t>
  </si>
  <si>
    <t>drydowninc</t>
  </si>
  <si>
    <t>Dry Down Inc</t>
  </si>
  <si>
    <t>Damage Restoration Service</t>
  </si>
  <si>
    <t>Established in 2000
24hr Water Damadge Emergency Service Company. 
Homeowners &amp; landlords trust Dry Down, drying California one square inch at a time!</t>
  </si>
  <si>
    <t>http://drydowninc.com/</t>
  </si>
  <si>
    <t>bridgetown_dutyfree</t>
  </si>
  <si>
    <t>Bridgetown Duty Free</t>
  </si>
  <si>
    <t>Department Store</t>
  </si>
  <si>
    <t>Welcome to Bridgetown Duty Free 🛍</t>
  </si>
  <si>
    <t>https://bridgetowndutyfree.com</t>
  </si>
  <si>
    <t>_dutyfree1</t>
  </si>
  <si>
    <t>Duty Free</t>
  </si>
  <si>
    <t>✈️ Exklusive Duty-Free-Angebote direkt am Flughafen.
🛍️ Markenvielfalt, Top-Preise &amp; steuerfreies Shopping.
✨ Ihr Shopping-Highlight vor dem Abflug!</t>
  </si>
  <si>
    <t>dutyfree.turkey</t>
  </si>
  <si>
    <t>🛍 ᴅᴜᴛʏ ꜰʀᴇᴇ ᴛᴜʀᴋᴇʏ™</t>
  </si>
  <si>
    <t>•Parfüm | Saat | Çanta
💳•Kapıda Ödeme | Havale | Kredi Kartı
📩•Sipariş için DM ve Whatsapp 
•İade ve Değişim</t>
  </si>
  <si>
    <t>spaindutyfree</t>
  </si>
  <si>
    <t>Spain Duty Free</t>
  </si>
  <si>
    <t>¡Bienvenidos a SpainDutyFree!
🌍 Haz tu viaje único                                                         
👉Tag us #spaindutyfree 
✈️Únete al club</t>
  </si>
  <si>
    <t>https://linkstre.am/spaindutyfree</t>
  </si>
  <si>
    <t>worlddutyfreeuk</t>
  </si>
  <si>
    <t>World Duty Free</t>
  </si>
  <si>
    <t>Follow for the latest launches and jet-setters’ favourites! Shop a wider range of products when you Reserve &amp; Collect online ⬇️</t>
  </si>
  <si>
    <t>https://smily.bio/worlddutyfreeuk</t>
  </si>
  <si>
    <t>aombeauty.everyday</t>
  </si>
  <si>
    <t>รับหิ้ว Duty free Kingpower</t>
  </si>
  <si>
    <t>เมคอัพ / สกินแคร์ / น้ำหอม เคาน์เตอร์แบรนด์ราคาพิเศษ  จาก duty free ของแท้ 100% ✨
📌สั่งซื้อ/อัพเดทสินค้าก่อนใครใน line openchat 👇</t>
  </si>
  <si>
    <t>https://aombeauty.bio.link/</t>
  </si>
  <si>
    <t>dutyfree.beauty</t>
  </si>
  <si>
    <t>Dutyfreebeauty</t>
  </si>
  <si>
    <t>📸ไลฟ์สดขายแบรนด์เนมมือ2 ของแท้👍🏻
🛍สินค้า dutyfree ของแท้ 💯
- since 2019 -🙏🏻
• แม่ค้าเป็นแอร์ บินเองค่า✈️ 
📲@dutyfree.beauty
เข้ากลุ่ม Line 👇🏻</t>
  </si>
  <si>
    <t>https://bit.ly/2U9ni9i</t>
  </si>
  <si>
    <t>duty_free__perfume</t>
  </si>
  <si>
    <t>السـوق الحـرة للعطـور</t>
  </si>
  <si>
    <t>Duty free perfume since 2019 
السوق الحره للعطور منذ ٢٠١٩ 
ابدا رحلتك العطرية المليئة بالفخامة معنا ، عالم عطري غير محدود ( العراق -بغداد ) 🇮🇶</t>
  </si>
  <si>
    <t>dutyfreeperfumesssssss</t>
  </si>
  <si>
    <t>Dutyfreeperfumes</t>
  </si>
  <si>
    <t>♦️offering ORIGINAL unboxed testers for affordable prices
♦️shipping worldwide directly to your doorstep</t>
  </si>
  <si>
    <t>erosdutyfree</t>
  </si>
  <si>
    <t>Eros Duty Free Perfumeria</t>
  </si>
  <si>
    <t>Perfumería En Tendencia, original y de buen gusto.
Carteras, lentes  y más!
Para asesorías 👇🏻
📲66144000
Web🛍️⬇️</t>
  </si>
  <si>
    <t>http://www.erosdutyfree.com/</t>
  </si>
  <si>
    <t>sintmaartendutyfreeshopping</t>
  </si>
  <si>
    <t>SXM Duty Free Shopping</t>
  </si>
  <si>
    <t>Sint Maarten's Finest Fashion &amp; Luxury Duty Free Shopping Destination.
2024 Best Reviews @sintmaartenmagazine
📱 | Tag us to be featured •</t>
  </si>
  <si>
    <t>https://www.facebook.com/SintMaartenDutyFreeShopping</t>
  </si>
  <si>
    <t>bestskin.co</t>
  </si>
  <si>
    <t>skin care duty free</t>
  </si>
  <si>
    <t>✨นําเข้าจาก UK แท้ 100%
✨bar code ตรวจสอบยืนยันสินค้าแท้ได้
✨รับปรึกษาทุกสภาพผิว
✨พร้อมส่ง
DM / line ⤵</t>
  </si>
  <si>
    <t>https://lin.ee/DGc7UlR</t>
  </si>
  <si>
    <t>crewskincare44</t>
  </si>
  <si>
    <t>รับหิ้วสินค้า Duty Free /เคาเตอร์ไทย</t>
  </si>
  <si>
    <t>‼️✈️หิ้วโดยทีมแอร์ ขายมานานกว่า7ปี /รีวิวแน่น1000+ /🛑ร้านน้ำหอมแบ่งขายK!ng P0wer @perfumebycrewskincare
⬇️เข้ากลุ่มลับ ของsale⬇️</t>
  </si>
  <si>
    <t>https://shorturl.at/bqwSV</t>
  </si>
  <si>
    <t>ffern.co</t>
  </si>
  <si>
    <t>Ffern | Artisan Eau De Parfum</t>
  </si>
  <si>
    <t>Small batch, organic, natural perfume. Made in the UK. Blended for the names on our ledger only.
Sign up👇🏼</t>
  </si>
  <si>
    <t>https://ffern.co/ig</t>
  </si>
  <si>
    <t>elegance</t>
  </si>
  <si>
    <t>Elegancè boutique</t>
  </si>
  <si>
    <t>CR: 286113
Buy | sell | consign authentic only 
Hèrmes bag 🍊</t>
  </si>
  <si>
    <t>https://maps.app.goo.gl/MdrtkNU21ubXU2fT7?g_st=ic</t>
  </si>
  <si>
    <t>elegancebeautymakeup</t>
  </si>
  <si>
    <t>ＥＬＥＧＡＮＣＥ ＢＥＡＵＴＹ ＭＡＫＥＵＰ</t>
  </si>
  <si>
    <t>Nigeria's #1 Makeup brand for the Elegant and unique. And that includes you. All products available to order online. Use #IntoElegance to get featured</t>
  </si>
  <si>
    <t>https://elegancebeauty.ng/</t>
  </si>
  <si>
    <t>elegance_branddd</t>
  </si>
  <si>
    <t>ELEGANCE</t>
  </si>
  <si>
    <t>صفحتنه الجديدة القديم احترك 💔
العنوان كركوك مجمع بولفارد 
٠٧٧٠٤٠٠٠٥٦٩</t>
  </si>
  <si>
    <t>elegancefaceoff</t>
  </si>
  <si>
    <t>crazy you viewed my page but chose not follow👀
Use code Tan50 for 50% off</t>
  </si>
  <si>
    <t>http://linktr.ee/finefitfitness</t>
  </si>
  <si>
    <t>elegancefeed</t>
  </si>
  <si>
    <t>MAY | Elegant Stylist &amp; Image Consultant</t>
  </si>
  <si>
    <t>⚜️ Guiding you to elevate your style and build your dream wardrobe through effortless elegance
🎓 3000+ Online students 
✉️ elegance@elegancefeed.com</t>
  </si>
  <si>
    <t>https://www.elegancefeed.com/hub</t>
  </si>
  <si>
    <t>elegancefoods</t>
  </si>
  <si>
    <t>Crafted For Delight.
Elegance Stars - Elegance Sandwich - Elegance Biscotto - Elegance ChocoBiscotto</t>
  </si>
  <si>
    <t>http://www.elegancefoods.com</t>
  </si>
  <si>
    <t>elegance.grodno</t>
  </si>
  <si>
    <t>НАРАЩИВАНИЕ И ОКРАШИВАНИЕ ВОЛОС | Гродно</t>
  </si>
  <si>
    <t>HAIR • NAILS • BROWS • MAKE UP • MASSAGE 
Open 10:00 - 20:00
BEST SERVICE 
📞 +375(29)507-00-88
ОНЛАЙН-ЗАПИСЬ👇🏼</t>
  </si>
  <si>
    <t>https://dikidi.net/980640</t>
  </si>
  <si>
    <t>elegancemajesty</t>
  </si>
  <si>
    <t>Elegance | Etiquette | Class</t>
  </si>
  <si>
    <t>⚜️ Helping women dress elegantly &amp; feel classy
⚜️ Elegant style, etiquette, and timeless guidelines to level up
📕 Start your transformation ↓</t>
  </si>
  <si>
    <t>https://www.elegancemajesty.com/themuseofelegance</t>
  </si>
  <si>
    <t>elegance_numberone</t>
  </si>
  <si>
    <t>89630092929📞</t>
  </si>
  <si>
    <t>eleganceny</t>
  </si>
  <si>
    <t>Olga Kuznetcova | Elegance Coach</t>
  </si>
  <si>
    <t>#Elegancetraining
Elegant Body Language / Etiquette / Heels
New York, Miami, On-Demand
Info:@eleganceny_edu 
Grace and kindness transform the world 🕊️</t>
  </si>
  <si>
    <t>https://eleganceny.komi.io</t>
  </si>
  <si>
    <t>modaelegancesl_</t>
  </si>
  <si>
    <t>Moda Elegance</t>
  </si>
  <si>
    <t>✨𝐀𝐬𝐬𝐢𝐬𝐭𝐚 𝐨𝐬 𝐬𝐭𝐨𝐫𝐢𝐞𝐬✨
•𝐒𝐨𝐦𝐨𝐬 𝐀𝐭𝐚𝐜𝐚𝐝𝐨 𝐞 𝐕𝐚𝐫𝐞𝐣𝐨
•𝐓𝐞𝐦𝐨𝐬 𝐏𝐫𝐨𝐯𝐚𝐝𝐨𝐫𝐞𝐬 𝐞𝐦 𝐋𝐨𝐣𝐚
•𝐄𝐧𝐭𝐫𝐞𝐠𝐚𝐦𝐨𝐬 𝐯𝐢𝐚 𝐒𝐞𝐝𝐞𝐱 𝐞 𝐌𝐨𝐭𝐨𝐛𝐨𝐲 
•𝐀𝐭𝐞𝐧𝐝𝐢𝐦𝐞𝐧𝐭𝐨 𝐏𝐫𝐞𝐬𝐞𝐧𝐜𝐢𝐚𝐥 𝐞 𝐎𝐧-𝐥𝐢𝐧𝐞</t>
  </si>
  <si>
    <t>https://chat.whatsapp.com/K5AxhuGyTuAAkaFM4CfcD0</t>
  </si>
  <si>
    <t>sourceofelegance</t>
  </si>
  <si>
    <t>Elegance | Luxury | Inspiration</t>
  </si>
  <si>
    <t>Timeless elegance, sophistication, and luxury.
Follow for daily inspiration and refined living.
DM for exclusive promos &amp; collabs.
#SourceOfElegance ✨</t>
  </si>
  <si>
    <t>elixir.byls</t>
  </si>
  <si>
    <t>Estética Integral | Elixir by LS</t>
  </si>
  <si>
    <t>Clinica de estética facial y corporal, Armonizacion Orofacial y Odontología. Depilación Láser 
🇻🇪 - 🇩🇴</t>
  </si>
  <si>
    <t>https://linktr.ee/Elixirbyls</t>
  </si>
  <si>
    <t>e.lixiroficial</t>
  </si>
  <si>
    <t>E.lixir</t>
  </si>
  <si>
    <t>E.lixir: quando a beleza encontra sua essência.</t>
  </si>
  <si>
    <t>http://linktr.ee/e.lixiroficial</t>
  </si>
  <si>
    <t>elixirorlando</t>
  </si>
  <si>
    <t>Elixir Orlando</t>
  </si>
  <si>
    <t>🍴 Scratch Kitchen &amp; Entertainment Venue
🌴 Outdoor Patio Bar &amp; Seating 
🍾 VIP: 407-719-9229
⬇️ Ticket Links Below 📍9 W Washington St.</t>
  </si>
  <si>
    <t>http://www.elixirorlando.com</t>
  </si>
  <si>
    <t>elixir.worldwide</t>
  </si>
  <si>
    <t>£LIX</t>
  </si>
  <si>
    <t>🇪🇺 | 🇺🇸
worldwide shipping 🌏 envios a todo el mundo
NEW DROP - 9 de septiembre</t>
  </si>
  <si>
    <t>http://elixirclothes.com</t>
  </si>
  <si>
    <t>essence</t>
  </si>
  <si>
    <t>ESSENCE</t>
  </si>
  <si>
    <t>We love Black women deeply. Since 1970. Proud home of the #ESSIES #BlackOwned #WeLoveUs
@EssenceFest  @essencegu_  @essencepodcasts.</t>
  </si>
  <si>
    <t>http://essence.com</t>
  </si>
  <si>
    <t>essencebyrubina</t>
  </si>
  <si>
    <t>Where heritage meets your step 👠
Khussas, Flats, Heels &amp; More
Crafted in 🇵🇰 | DM to Shop | Limited Stock</t>
  </si>
  <si>
    <t>https://essencebyrubina.com/collections/all</t>
  </si>
  <si>
    <t>essencecassh</t>
  </si>
  <si>
    <t>Essence ✨</t>
  </si>
  <si>
    <t>Just a #tallwoman living life 💭</t>
  </si>
  <si>
    <t>https://www.amazon.com/shop/exactly.e</t>
  </si>
  <si>
    <t>essenceeats_</t>
  </si>
  <si>
    <t>Essence B✨</t>
  </si>
  <si>
    <t>Personal Chef</t>
  </si>
  <si>
    <t>•Dallas,Tx 🏙️
•Weekly Meals : Thursday-Sunday
•Hours : 2pm-8pm
•Contact : 214-836-8222
•Private Chef &amp; Caterer 👩🏾‍🍳
Booking💌 essenceeatss@gmail.com</t>
  </si>
  <si>
    <t>https://calendly.com/essenceeats</t>
  </si>
  <si>
    <t>essencegu_</t>
  </si>
  <si>
    <t>Girls United</t>
  </si>
  <si>
    <t>🌐 @ESSENCE's Platform for Gen Z 
✨ In Our Next Era  
👇🏾 #GUYardTour RSVP!</t>
  </si>
  <si>
    <t>https://linkin.bio/essencegu_</t>
  </si>
  <si>
    <t>essence_htx</t>
  </si>
  <si>
    <t>🎟️ Grab your tickets below ⬇️</t>
  </si>
  <si>
    <t>https://essence-htx.eventbrite.com</t>
  </si>
  <si>
    <t>essenceofblackculture</t>
  </si>
  <si>
    <t>Essence of Black Culture</t>
  </si>
  <si>
    <t>Powered by @itscolorcoded 
Sharing culture, news, and stories that celebrate, educate, and inform.</t>
  </si>
  <si>
    <t>https://itscolorcoded.com</t>
  </si>
  <si>
    <t>essencetatiana</t>
  </si>
  <si>
    <t>LA @naturalmodelsla</t>
  </si>
  <si>
    <t>nuar.essence.oficial</t>
  </si>
  <si>
    <t>Nuar Essence | Casa, Corpo &amp; Alma</t>
  </si>
  <si>
    <t>📍Loja 1: Av. Antônio Basílio, 3262– Lagoa Nova
📍Loja 2: Av. Abel Cabral, 25 – Nova Parnamirim
💛Identidade olfativa para marcas e ambiente
👇🏻Compre já!</t>
  </si>
  <si>
    <t>http://bio.site/Nuaressence</t>
  </si>
  <si>
    <t>sayessence</t>
  </si>
  <si>
    <t>THE chicago it-girl | CHI &amp; NYC
@columbia alumna
💌essence@initiativetalent.com (100k+)</t>
  </si>
  <si>
    <t>https://linktr.ee/sayessence</t>
  </si>
  <si>
    <t>theeonlyessence</t>
  </si>
  <si>
    <t>♥ 𝐸𝒮𝒮𝐸𝒩𝒞𝐸 ♥</t>
  </si>
  <si>
    <t>🏥 💉 Registered Nurse BSN STUDENT 
Plastic surgery Recovery, MICU
LA GIRL🌴 / HTX
𝐅𝐮𝐭𝐮𝐫𝐞 NP
♡ ♡ 𝔹𝕖 𝔸 𝕎𝕠𝕞𝕒𝕟 𝕎𝕚𝕥𝕙 𝔸 𝕄𝕚𝕟𝕕,ℂ𝕝𝕒𝕤𝕤𝕪&amp; 𝔽𝕒𝕓𝕦𝕝𝕠𝕦𝕤.</t>
  </si>
  <si>
    <t>artistkitcompany</t>
  </si>
  <si>
    <t>MAKEUP ARTIST KIT ESSENTIALS</t>
  </si>
  <si>
    <t>📍NYC | Makeup Artist’s Kit Essentials
-Read the FAQ on the site before DM
-Makeup Space Rental: @akccreativestudio
-hello@akccreativestudio.com</t>
  </si>
  <si>
    <t>http://www.artistkitcompany.com</t>
  </si>
  <si>
    <t>babyfoodessentials</t>
  </si>
  <si>
    <t>Baby Food Essentials</t>
  </si>
  <si>
    <t>Dr/Reham Emam
MD | Board-Certified Pediatrician
Your Trusted Source for Pediatric Healthy Nutrition from First Bites
Explore My Parent E-books Here📱</t>
  </si>
  <si>
    <t>https://www.babyfoodessentials.com/</t>
  </si>
  <si>
    <t>bear.essentials.outdrs</t>
  </si>
  <si>
    <t>Bear Essentials</t>
  </si>
  <si>
    <t>CAMPING TIPS &amp; TUTORIALS 
🇨🇦Maker of Quality Gear 
🚒 Former Firefighter 
🎣 Former Fly Fishing Guide [Yukon] 
🌲Outdoor Enthusiast</t>
  </si>
  <si>
    <t>https://linktr.ee/bearessentials/</t>
  </si>
  <si>
    <t>boombox.essentials.hiphop</t>
  </si>
  <si>
    <t>Boombox Essentials • Hip Hop ©️</t>
  </si>
  <si>
    <t>EST 2019 • non profit
FOR THE CULTURE
HIP HOP ESSENTIALS
No copyrighted media is owned or claimed by page
#hiphop #emcee #hiphopculture #rap #legends</t>
  </si>
  <si>
    <t>https://open.spotify.com/playlist/62I3M2C7CIK8IppL1tndT0?si=gbzcdz51Q_2RQiChtWx8Mg</t>
  </si>
  <si>
    <t>designessentials</t>
  </si>
  <si>
    <t>Design  Essentials - Haircare</t>
  </si>
  <si>
    <t>Providing hair care solutions for over 35 years. Proud Black-owned brand! Find us at Ulta, SalonCentric, JCPenney, Sally, Walmart, Target &amp; Walgreens!</t>
  </si>
  <si>
    <t>https://linktr.ee/designessentials?utm_source=linktree_admin_share</t>
  </si>
  <si>
    <t>essentials</t>
  </si>
  <si>
    <t>FEAR OF GOD ESSENTIALS</t>
  </si>
  <si>
    <t>http://fearofgod.com/</t>
  </si>
  <si>
    <t>essentials.eg</t>
  </si>
  <si>
    <t>Essentiāls</t>
  </si>
  <si>
    <t>Quality &amp; Safe-use Skin, Hair &amp;Beauty💄 
📍CityCentreAlmaza
📍Point90
📍Citystars
📍Mall of Arabia
📍District 5
📍Downtown Mall
📍San Stefano
VAT:677-982-557</t>
  </si>
  <si>
    <t>https://essentialseg.com/</t>
  </si>
  <si>
    <t>essentials.pilates</t>
  </si>
  <si>
    <t>movement, nutrition, mindfulness and your new wellness community 🤍
certified pilates instructor @patri_zziaa
gold coast, au</t>
  </si>
  <si>
    <t>essentialsummer</t>
  </si>
  <si>
    <t>Summer Knight</t>
  </si>
  <si>
    <t>Helping women grow stronger—body, mind &amp; spirit
Faith | Fitness | Lifestyle 
@alphalete @1upnutrition code: SUMMER
💌essentialsummer@outlook.com</t>
  </si>
  <si>
    <t>https://linktr.ee/essentialsummer?fbclid=PAZXh0bgNhZW0CMTEAAaYgyb_e-qc3VCxYHMZSzpYegFp2DJpe6BXbBT_0Rrz_sEf8hxKWvZ-mRjQ_aem_mt7w4AO-Jj20bqJGV5kiPA</t>
  </si>
  <si>
    <t>essentialsven</t>
  </si>
  <si>
    <t>Essentials Venezuela |Productos naturales |Cabello</t>
  </si>
  <si>
    <t>🌱 Alopecia, Crecimiento, Caspa
 ✨Productos orgánicos | Sin parabenos | Sin siliconas | Sin fosfato
📲Contáctanos👇🏼</t>
  </si>
  <si>
    <t>https://bethsa19-ccp.systeme.io/8e9e5142</t>
  </si>
  <si>
    <t>gagaessentials</t>
  </si>
  <si>
    <t>Lady Gaga Essentials</t>
  </si>
  <si>
    <t>Your essential @LadyGaga fan page. 🖤
MAYHEM 💿 OUT NOW
THE DEAD DANCE ⚰️ OUT NOW</t>
  </si>
  <si>
    <t>http://linktr.ee/gagaessentials</t>
  </si>
  <si>
    <t>oakessentials</t>
  </si>
  <si>
    <t>Oak Essentials</t>
  </si>
  <si>
    <t>The Art of Aging Beautifully.
Clean skincare by Jenni Kayne.
Available at oakessentials.com
@jennikayne @ultabeauty @nordstrom @bloomingdales</t>
  </si>
  <si>
    <t>https://likeshop.me/oakessentials</t>
  </si>
  <si>
    <t>exclusivity.lima</t>
  </si>
  <si>
    <t>Ropa para mujeres💗
Galería Estilo, 2do piso, 210, Jr Gamarra 949, La Victoria, Lima
📲 994-299-538
🛍️ Blazers/Blusas/Pantalones</t>
  </si>
  <si>
    <t>faceaface_boutique</t>
  </si>
  <si>
    <t>Face À Face</t>
  </si>
  <si>
    <t>☎️Commande: WhatsApp: 58300237
📍Mall of Sousse tél : 58300237
📍Sousse Slim Centre  tél:58300287
📍Tunis Lac2 tél:58300288
     Rue de la Bourse Mag N°4</t>
  </si>
  <si>
    <t>facedownlondon</t>
  </si>
  <si>
    <t>Face Down</t>
  </si>
  <si>
    <t>The Wildest Pop Punk, Metal &amp; Emo party! 🎉
First Friday @scalaldn, London and beyond! 
Don’t book acts on Insta
Get tickets now and join the chaos! 👇</t>
  </si>
  <si>
    <t>https://linktr.ee/Facedown</t>
  </si>
  <si>
    <t>facemodelsagency</t>
  </si>
  <si>
    <t>Face Models</t>
  </si>
  <si>
    <t>Founded in 1998</t>
  </si>
  <si>
    <t>http://www.facemodels.pt/</t>
  </si>
  <si>
    <t>hanako.face</t>
  </si>
  <si>
    <t>Hanako</t>
  </si>
  <si>
    <t>✨ta safe place entre girls 
✨mannequin • bien-être &amp; vérité
✨sport, skincare &amp; mode</t>
  </si>
  <si>
    <t>https://linktr.ee/hanako.face</t>
  </si>
  <si>
    <t>naomi_face.it</t>
  </si>
  <si>
    <t>Naomi lurcat | פייס פיטנס</t>
  </si>
  <si>
    <t>✨עוזרת לך לטשטש קמטים, להדק את הסנטר ולהפוך את הפנים שלך לחלקות ורכות יותר 
רק בכמה דקות ביום, בלי 💉
לתכנית FACE IT 0.1 👇🏽</t>
  </si>
  <si>
    <t>https://facefit.co.il/</t>
  </si>
  <si>
    <t>starface</t>
  </si>
  <si>
    <t>it’s fun to be a star ⭐ 100% vegan + cruelty-free skincare favs :) 
now @target @walmart @ultabeauty @cvspharmacy @walgreens &amp; @superdrug</t>
  </si>
  <si>
    <t>https://starface.world</t>
  </si>
  <si>
    <t>collegegameday</t>
  </si>
  <si>
    <t>College GameDay</t>
  </si>
  <si>
    <t>https://promo.espn.com/collegegameday/</t>
  </si>
  <si>
    <t>fameflora_official</t>
  </si>
  <si>
    <t>FAME FLORA 💗</t>
  </si>
  <si>
    <t>👗 Dressing you for fame and beyond 
🔐 Get noticed ? DM 📥
🌍 Worldwide Shipping 
👇 Shop Now</t>
  </si>
  <si>
    <t>famemmatv</t>
  </si>
  <si>
    <t>FAME MMA</t>
  </si>
  <si>
    <t>FAME 27: KINGDOM
Dziękujemy! 🫶</t>
  </si>
  <si>
    <t>https://famemma.tv/</t>
  </si>
  <si>
    <t>fame_sportwear</t>
  </si>
  <si>
    <t>Makes a Famous Style</t>
  </si>
  <si>
    <t>فقط وارداتی🌍
ثبت از طریق تلگرام📥
(دایرکت به علت نقص فنی در دسترس نیست)
خوزستان-بهبهان-میدان معلم به سمت سیلو-بعد از پل نصر -فیم</t>
  </si>
  <si>
    <t>https://t.me/famesportwear</t>
  </si>
  <si>
    <t>fmmanews</t>
  </si>
  <si>
    <t>FAME MMA FANPAGE</t>
  </si>
  <si>
    <t>🌐•Newsy o federacji Fame MMA 
🏟️• FAME 27 KINGDOM | 6.09.2025</t>
  </si>
  <si>
    <t>gamechangershow</t>
  </si>
  <si>
    <t>Game Changer</t>
  </si>
  <si>
    <t>🌟 ONLY ON @dropouttv!🌟</t>
  </si>
  <si>
    <t>https://gamechanger.dropout.tv/</t>
  </si>
  <si>
    <t>phfame</t>
  </si>
  <si>
    <t>Tesla williams</t>
  </si>
  <si>
    <t>Model-Real Estate Investor-int-design
THE BLUEPRINT                                              
My properties @leolalnproperties</t>
  </si>
  <si>
    <t>http://link.me/phfame</t>
  </si>
  <si>
    <t>squidgamenetflix</t>
  </si>
  <si>
    <t>Squid Game</t>
  </si>
  <si>
    <t>Squid Squad forever. Squid Game the complete series, now playing.</t>
  </si>
  <si>
    <t>https://www.netflix.com/title/81040344</t>
  </si>
  <si>
    <t>71.fashion</t>
  </si>
  <si>
    <t>•Stylist &amp; Personal Shopper
•Worldwide service &amp; shipping | DM or use the link below to chat with me on Telegram ❤️</t>
  </si>
  <si>
    <t>https://t.me/fashion_71</t>
  </si>
  <si>
    <t>amfashion</t>
  </si>
  <si>
    <t>Ramona McDermott 🇬🇭 🇬🇧</t>
  </si>
  <si>
    <t>My Personality Is On SnapChat: am_fashion 
SHOP MY LOOKS ⬇️</t>
  </si>
  <si>
    <t>http://www.liketoknow.it/amfashion/</t>
  </si>
  <si>
    <t>cffashioninstitute</t>
  </si>
  <si>
    <t>CF</t>
  </si>
  <si>
    <t>School</t>
  </si>
  <si>
    <t>x</t>
  </si>
  <si>
    <t>e.fashion_oficial</t>
  </si>
  <si>
    <t>E Fashion</t>
  </si>
  <si>
    <t>Fabricação própria 
ATACADO | VAREJO  
⬇️Compre através do link:</t>
  </si>
  <si>
    <t>https://vaka.me/5484843?utm_campaign=whatsapp&amp;utm_medium=website&amp;utm_content=5484843&amp;utm_source=social-shares</t>
  </si>
  <si>
    <t>fashi0nfly</t>
  </si>
  <si>
    <t>F A S H I O N ✨ F L Y</t>
  </si>
  <si>
    <t>🔹 Lifestyles | Destinations | Homes | Cars 🔹
Email: LifesLuxuries10@gmail.com
👇🏻 Holiday SALE 👇🏻</t>
  </si>
  <si>
    <t>http://www.globaltacticalsupply.com/</t>
  </si>
  <si>
    <t>fashion.cds</t>
  </si>
  <si>
    <t>Celeste design studio | Fashion</t>
  </si>
  <si>
    <t>•Conceptualizing &amp; Crafting Timeless Wearable Art 
•Asian Fashion Designed for a Global Audience 
Celeste.designteam@gmail.com</t>
  </si>
  <si>
    <t>fashion.connections</t>
  </si>
  <si>
    <t>fashionmodel.it</t>
  </si>
  <si>
    <t>FASHION MODEL MANAGEMENT</t>
  </si>
  <si>
    <t>🇮🇹 MADE IN ITALY 🇮🇹 
SINCE THE 1960s
@fashioninfluencers.it</t>
  </si>
  <si>
    <t>http://www.fashionmodel.it/en/home</t>
  </si>
  <si>
    <t>fashion.selection</t>
  </si>
  <si>
    <t>Fashion Selection 🦄💕</t>
  </si>
  <si>
    <t>Everyday fashion inspiration 🌎
💌 info@fashioninvibes.com
How to dress for your body shape👇</t>
  </si>
  <si>
    <t>https://linktr.ee/fashioninvibes</t>
  </si>
  <si>
    <t>fashionweek</t>
  </si>
  <si>
    <t>Fashion Week</t>
  </si>
  <si>
    <t>The official Instagram account for global Fashion Weeks: get access to backstage, runway, and the best of street style. #FashionWeek</t>
  </si>
  <si>
    <t>http://www.wmefashion.com</t>
  </si>
  <si>
    <t>holafashion_es</t>
  </si>
  <si>
    <t>FASHION</t>
  </si>
  <si>
    <t>Toda la información sobre moda y tendencias. Perfil oficial de la revista Fashion.</t>
  </si>
  <si>
    <t>https://mtr.bio/fashion</t>
  </si>
  <si>
    <t>milanfashionweek</t>
  </si>
  <si>
    <t>Milano Fashion Week</t>
  </si>
  <si>
    <t>Official page of #MFW by @cameramoda 
(Italian Fashion Council).
Discover More:</t>
  </si>
  <si>
    <t>http://linktr.ee/cameramoda/</t>
  </si>
  <si>
    <t>trindade_fashion</t>
  </si>
  <si>
    <t>Trindade Fashion</t>
  </si>
  <si>
    <t>• Easy Chic Style • Basic &amp; Casual •
Apenas atacado com CNPJ de vestuário. 
Catálogo online e contato através do link abaixo
Rua Aimorés, 59 Loja 30</t>
  </si>
  <si>
    <t>https://linktr.ee/trindade_fashion</t>
  </si>
  <si>
    <t>ukrainianfashionweek_official</t>
  </si>
  <si>
    <t>Ukrainian Fashion Week</t>
  </si>
  <si>
    <t>🇺🇦 #ukrainianfashionweek #ufw #StandWithUkraine</t>
  </si>
  <si>
    <t>http://fashionweek.ua</t>
  </si>
  <si>
    <t>faihengesther</t>
  </si>
  <si>
    <t>fashion commercial  stylist .</t>
  </si>
  <si>
    <t>- I also create Streetwear  Fashion.
-📧 estherfaiheng623@gmail.com.
Based at +965</t>
  </si>
  <si>
    <t>varunpatelphotography</t>
  </si>
  <si>
    <t>Commercial Fashion Photographer - Varun Patel</t>
  </si>
  <si>
    <t>Fashion photographer and mentor of 5000+ students/photographers from the entire globe</t>
  </si>
  <si>
    <t>https://www.varunpatelphotography.com/blog/master-the-art-of-fashion-photography-with-varun-patel-exclusive-indoor-lighting-workshop-with-a-nigerian-model/</t>
  </si>
  <si>
    <t>blog_formula1</t>
  </si>
  <si>
    <t>Blog Fórmula 1</t>
  </si>
  <si>
    <t>O seu lugar para falar sobre F1: De fã para fã!</t>
  </si>
  <si>
    <t>http://blog-formula1.com/</t>
  </si>
  <si>
    <t>cadillacf1</t>
  </si>
  <si>
    <t>Cadillac Formula 1 Team</t>
  </si>
  <si>
    <t>https://www.cadillacf1team.com/</t>
  </si>
  <si>
    <t>en_formula</t>
  </si>
  <si>
    <t>enformula</t>
  </si>
  <si>
    <t>*This account is not for impersonating anyone.*</t>
  </si>
  <si>
    <t>f1</t>
  </si>
  <si>
    <t>FORMULA 1®</t>
  </si>
  <si>
    <t>NEXT STOP: Monza! 
September 05-07 🇮🇹</t>
  </si>
  <si>
    <t>http://f1.com/</t>
  </si>
  <si>
    <t>fernula.gp</t>
  </si>
  <si>
    <t>Fernula</t>
  </si>
  <si>
    <t>🏎️ Explaining what’s happening in F1
🏎️ อธิบายเรื่อง F1 แบบเข้าใจง่าย
💻 Marketing consultant turned F1 enthusiast 
DM for work</t>
  </si>
  <si>
    <t>https://linktr.ee/fernula</t>
  </si>
  <si>
    <t>fiaf3</t>
  </si>
  <si>
    <t>Formula 3</t>
  </si>
  <si>
    <t>Official account of the FIA Formula 3 Championship</t>
  </si>
  <si>
    <t>https://www.fiaformula3.com/</t>
  </si>
  <si>
    <t>fiaformulae</t>
  </si>
  <si>
    <t>Formula E</t>
  </si>
  <si>
    <t>ABB FIA Formula E World Championship 🏎️
The future of motorsport is electric ⚡️🌏 
Season 12 starts December 6 🇧🇷</t>
  </si>
  <si>
    <t>https://linktr.ee/FIAFormulaE</t>
  </si>
  <si>
    <t>formula2</t>
  </si>
  <si>
    <t>Formula 2</t>
  </si>
  <si>
    <t>Official account of the FIA Formula 2 Championship</t>
  </si>
  <si>
    <t>https://www.fiaformula2.com/</t>
  </si>
  <si>
    <t>formula_bean</t>
  </si>
  <si>
    <t>https://formulabean.shop</t>
  </si>
  <si>
    <t>formula.car.gallery</t>
  </si>
  <si>
    <t>فرمولا گالری</t>
  </si>
  <si>
    <t>خرید و فروش خودرو (عباس دریانلی)
آدرس نمایشگاها و پارکینگ ها در هایلایت آدرس
واتس اپ ارسال خودرو 
09129009430</t>
  </si>
  <si>
    <t>https://maps.app.goo.gl/1HguifB64WxQ9CN27?g_st=ic</t>
  </si>
  <si>
    <t>formulad</t>
  </si>
  <si>
    <t>Formula DRIFT</t>
  </si>
  <si>
    <t>The Official Formula DRIFT Instagram Account. Tag us: @formulad @formuladriftprospec
Official Hashtags: #FormulaDRIFT #FormulaD</t>
  </si>
  <si>
    <t>https://linktr.ee/formulad</t>
  </si>
  <si>
    <t>formulaoriginals</t>
  </si>
  <si>
    <t>Formula • ფორმულა</t>
  </si>
  <si>
    <t>გაიგეთ ყველა მნიშვნელოვანი ამბავი პირველმა!</t>
  </si>
  <si>
    <t>http://linktr.ee/TVFormula</t>
  </si>
  <si>
    <t>formula_sae_international</t>
  </si>
  <si>
    <t>FORMULA SAE</t>
  </si>
  <si>
    <t>"Formula student is raising the calibre of Engineering that we see in Formula one"
#formulastudent #becauseracecar
Subscribe to our YouTube channel 👇</t>
  </si>
  <si>
    <t>https://linktr.ee/bhavikjoshi</t>
  </si>
  <si>
    <t>formula_semii</t>
  </si>
  <si>
    <t>Формула Семьи</t>
  </si>
  <si>
    <t>🔻Магазин-Интернет-Склад "Формула Семьи" 
🔻Самые низкие цены, огромный выбор🤩 
🔻Ждем вас с 9:00 до 20:00, вся семья будет довольна👍
🔻Мы ВКонтакте👇</t>
  </si>
  <si>
    <t>https://vk.com/formulasemii</t>
  </si>
  <si>
    <t>fragrancefind</t>
  </si>
  <si>
    <t>Akshatha Kamath</t>
  </si>
  <si>
    <t>Your ex-corporate girlie turned perfume reviewer 💼🌸
New launches • Real reviews • Budget &amp; bougie 
📍India | 💌 fragrance.find@outlook.com</t>
  </si>
  <si>
    <t>https://www.wishlink.com/fragrancefind</t>
  </si>
  <si>
    <t>fragranceflan</t>
  </si>
  <si>
    <t>Ciaran Flanagan</t>
  </si>
  <si>
    <t>all things fragrance; smelly water enthusiast 
📧 - FragranceFlan@gmail.com
🇺🇸 based 🇬🇧 born
135k on TikTok</t>
  </si>
  <si>
    <t>http://linktr.ee/fragranceflan</t>
  </si>
  <si>
    <t>fragranceknowledge</t>
  </si>
  <si>
    <t>Evan Hall</t>
  </si>
  <si>
    <t>NYC 📍Acts 20:24 evanfragrance@gmail.com | Self-improvement &amp; fragrance</t>
  </si>
  <si>
    <t>https://hype.co/@fragranceknowledge</t>
  </si>
  <si>
    <t>fragrancenet</t>
  </si>
  <si>
    <t>Fragrance.com (FragranceNet)</t>
  </si>
  <si>
    <t>💜 All Your Fragrance &amp; Beauty Needs 
✨ Up to 80% Off Retail Price
🛍️ Stores in Westchester, NYC &amp; Long Island 
Shop now ⬇️</t>
  </si>
  <si>
    <t>https://www.fragrancenet.com/?mv_pc=igbio&amp;utm_source=instagram&amp;utm_medium=Social&amp;utm_campaign=igbio&amp;fbclid=PAZXh0bgNhZW0CMTEAAaYoi2j6q697bzxe9VAmDY300Cro0Q7PPcLOtTfNJxj4KCOgnel1PXiWscY_aem_Je_52d9olsy1-_dSon76Yw</t>
  </si>
  <si>
    <t>fragranceworldofficial</t>
  </si>
  <si>
    <t>Fragrance World</t>
  </si>
  <si>
    <t>For Everyday. For Everyone. 
Affordable Luxury | Global Scents
WE JUST WENT DIGITAL 🔉                                       
✨shopfragranceworld.com✨</t>
  </si>
  <si>
    <t>https://shopfragranceworld.com</t>
  </si>
  <si>
    <t>fragranceworldofficial.id</t>
  </si>
  <si>
    <t>Fragrance World Indonesia</t>
  </si>
  <si>
    <t>Second Account Fragrance World 
Akun pertama kena HACK!!!
📌 Perfumes Dubai
✨️ Approve BPOM
📍 Offline Store Matahari, transmart &amp; Metro
Order Now 👇</t>
  </si>
  <si>
    <t>https://linktr.ee/fragranceworldofficial</t>
  </si>
  <si>
    <t>fragrancex</t>
  </si>
  <si>
    <t>Real Fragrances, Unreal Prices</t>
  </si>
  <si>
    <t>Shop over 14,000 brand name perfumes up to 80% off. Free shipping.
@fragranceX to be featured.
Shop now:</t>
  </si>
  <si>
    <t>https://www.fragrancex.com/</t>
  </si>
  <si>
    <t>jeremyfragrance</t>
  </si>
  <si>
    <t>Jeremy Fragrance</t>
  </si>
  <si>
    <t>The Number 1 Fragrance Icon That Follows The Teachings Of Jesus.</t>
  </si>
  <si>
    <t>https://linktr.ee/jeremyfragrance</t>
  </si>
  <si>
    <t>lelabofragrances</t>
  </si>
  <si>
    <t>LE LABO Fragrances</t>
  </si>
  <si>
    <t>Slow Perfumery &amp; Personal Care.
Born in Grasse. Raised in NYC.</t>
  </si>
  <si>
    <t>https://www.lelabofragrances.com/store-search.html</t>
  </si>
  <si>
    <t>noeldeyzel_fragrance</t>
  </si>
  <si>
    <t>Noel Deyzel</t>
  </si>
  <si>
    <t>All things fragrance &amp; cologne🫡
Yes I still make fitness content lol
mgmnt@noeldeyzel.com</t>
  </si>
  <si>
    <t>french.bulldog.gang</t>
  </si>
  <si>
    <t>French Bulldog Gang</t>
  </si>
  <si>
    <t>A community for frenchie lovers around the world! 
Shop Here👇</t>
  </si>
  <si>
    <t>https://furrydogshop.com/collections/french-bulldog</t>
  </si>
  <si>
    <t>french_bulldogs_only</t>
  </si>
  <si>
    <t>french bulldogs 🐶🐾</t>
  </si>
  <si>
    <t>🐾 Please follow us and help to grow 💕</t>
  </si>
  <si>
    <t>https://www.pawsfurriends.shop/products/interactive-reward-toy?from-dashboard=1</t>
  </si>
  <si>
    <t>french_clips</t>
  </si>
  <si>
    <t>French clips 💜⚡</t>
  </si>
  <si>
    <t>Learn French with me! 🇫🇷🎉
📩 For promotions &amp; business enquiries, DM me.</t>
  </si>
  <si>
    <t>https://youtube.com/@french_clips?si=pxpbWN01F1c5pwpm</t>
  </si>
  <si>
    <t>french_funkids</t>
  </si>
  <si>
    <t>📢 Rejoins-nous maintenant et commence ton aventure avec Simple French !</t>
  </si>
  <si>
    <t>https://t.me/+3KlZJgsbKDs3NTY0</t>
  </si>
  <si>
    <t>french__i</t>
  </si>
  <si>
    <t>Sylvain “Frenchi” Francisco</t>
  </si>
  <si>
    <t>The Arrow🏹
Paris🗼- Miami🏝️
@bczalgiriskaunas Player
🕋🤲🏾</t>
  </si>
  <si>
    <t>french.meadows</t>
  </si>
  <si>
    <t>French Meadows Corsets</t>
  </si>
  <si>
    <t>Alternative fashion brand specializing in corsets, Renaissance Faire costumes, and fantasy inspired clothing
Sizes XXS-5X 🪻
Please no DMs about orders</t>
  </si>
  <si>
    <t>http://linktr.ee/frenchmeadows</t>
  </si>
  <si>
    <t>frenchmontana</t>
  </si>
  <si>
    <t>French Montana</t>
  </si>
  <si>
    <t>‎مونتانا الفرنسي
Thecokeboys.com
info@frenchmontana.com
@cokeboys.music</t>
  </si>
  <si>
    <t>https://www.youtube.com/watch?v=NEP33e3tVJY</t>
  </si>
  <si>
    <t>frenchs</t>
  </si>
  <si>
    <t>French's</t>
  </si>
  <si>
    <t>the one and only 💛</t>
  </si>
  <si>
    <t>https://linkmy.photos/frenchs</t>
  </si>
  <si>
    <t>french_super</t>
  </si>
  <si>
    <t>Гаврилов Илья / Французский язык</t>
  </si>
  <si>
    <t>🔴 НЕТИПИЧНЫЙ репетитор
Почему? Смотри в актуальном 👉🏻
▪️Мои ученики: актеры, гонщики F1, бизнесмены
▪️Основатель онлайн-школы French.Super</t>
  </si>
  <si>
    <t>https://french-super.com</t>
  </si>
  <si>
    <t>french.sw</t>
  </si>
  <si>
    <t>FrenchW</t>
  </si>
  <si>
    <t>contact: blackpenguin.official@gmail.com</t>
  </si>
  <si>
    <t>https://forms.gle/PtbHhe2iJv8v2wrr9</t>
  </si>
  <si>
    <t>kd_french</t>
  </si>
  <si>
    <t>KD French</t>
  </si>
  <si>
    <t>Singer</t>
  </si>
  <si>
    <t>Faith Influencer. Independent Artist/Songwriter. Thank you for streaming my music!! ❤️‍🔥 Bk: kdfrench.com📍Atlanta, Ga. will travel.</t>
  </si>
  <si>
    <t>the_french_fit</t>
  </si>
  <si>
    <t>Pauline Perina</t>
  </si>
  <si>
    <t>✨Helping women get strong + confident
📲 Custom Programs + 1:1 Coaching
💞 @womensbest | Code: FRENCHFIT  
⬇️ Work with me</t>
  </si>
  <si>
    <t>https://www.thefrenchfit.com/vip-coaching</t>
  </si>
  <si>
    <t>tyfrench</t>
  </si>
  <si>
    <t>Ty French</t>
  </si>
  <si>
    <t>i like to shoot @tyfrenchphoto 
ty@tyfrench.com - venice beach, ca</t>
  </si>
  <si>
    <t>global_brand__</t>
  </si>
  <si>
    <t>Брендовая одежда из Америки</t>
  </si>
  <si>
    <t>💗ОРИГИНАЛЫ ИЗ США 
💗ДОСТАВКА 1900₽/КГ
💗МИНИМАЛЬНЫЙ ЗАКАЗ: 1 КГ
💗ПО ВСЕМ ВОПРОСАМ DIRECT
⬇️ЕЩЁ БОЛЬШЕ АССОРТИМЕНТ</t>
  </si>
  <si>
    <t>https://t.me/global_brand</t>
  </si>
  <si>
    <t>global.brands01</t>
  </si>
  <si>
    <t>Оригиналы брендов США ЕВРОПА</t>
  </si>
  <si>
    <t>Аксессуары @global.brands.accessories 
ОРИГИНАЛЬНЫЕ ТОВАРЫ ИЗ США 🇺🇸И ЕВРОПЫ
Kaspi QR🔴 
Наш адрес:📍АСТАНА,ул.Анет баба 9/2
11:00 - 21:00 
Whatsapp⬇️</t>
  </si>
  <si>
    <t>https://api.whatsapp.com/send?phone=77051519804</t>
  </si>
  <si>
    <t>global_brand_ua</t>
  </si>
  <si>
    <t>Global_brand_ua</t>
  </si>
  <si>
    <t>Founder: @bogdan_laba01</t>
  </si>
  <si>
    <t>https://send.monobank.ua/jar/2B6wqhrgL8</t>
  </si>
  <si>
    <t>seyizyshotv</t>
  </si>
  <si>
    <t>Global Brand</t>
  </si>
  <si>
    <t>An Extension for Seyizy Sho 📽
Amazing and Exclusive contents only.
comment session is always on fire 🔥 🔥 🔥 
YouTube link below</t>
  </si>
  <si>
    <t>https://linktr.ee/seyizysho</t>
  </si>
  <si>
    <t>adamo.hautecouture</t>
  </si>
  <si>
    <t>ADAMO Haute Couture</t>
  </si>
  <si>
    <t>Exclusive designs for the discerning woman
📍Istanbul
📍London</t>
  </si>
  <si>
    <t>http://www.adamoonline.com</t>
  </si>
  <si>
    <t>catwalkhautecouture</t>
  </si>
  <si>
    <t>Fashion and celebrities</t>
  </si>
  <si>
    <t>Fashion, Haute Couture,
art, celebrities, aesthetic</t>
  </si>
  <si>
    <t>hautecouturefashionista</t>
  </si>
  <si>
    <t>Haute Couture Fashionista</t>
  </si>
  <si>
    <t>For lovers of fashion, runway, models, &amp; more✨
💌 hcfashionista2@gmail.com</t>
  </si>
  <si>
    <t>haute_couture_kenza</t>
  </si>
  <si>
    <t>Kenza Makhloufi</t>
  </si>
  <si>
    <t>🍁créatrice de tenue traditionnelle 🇩🇿
🍁numéro : 0542899876 0542070063
🍁lieu : ain taya</t>
  </si>
  <si>
    <t>https://maps.google.com/?q=36.791698%2C3.303429</t>
  </si>
  <si>
    <t>lovinghautecouture</t>
  </si>
  <si>
    <t>Loving Haute Couture🦋</t>
  </si>
  <si>
    <t>✨Fashion, Beauty, Weddings, Style and Celebrities
💌Advertising/Shoutout/Promotions: DM only 📥
DM Remove/Credit 💕
⬇️SHOP HERE⬇️</t>
  </si>
  <si>
    <t>https://larmossi.com/</t>
  </si>
  <si>
    <t>rafinityhautecouture</t>
  </si>
  <si>
    <t>Rafinity Haute Couture</t>
  </si>
  <si>
    <t>📞 : +212770200300
𝐖𝐨𝐫𝐝𝐰𝐢𝐝𝐞 𝐝𝐞𝐥𝐢𝐯𝐞𝐫y
📍Morocco Mall, 1er étage</t>
  </si>
  <si>
    <t>http://www.rafinityhautecouture.com/</t>
  </si>
  <si>
    <t>tazi_haute_couture</t>
  </si>
  <si>
    <t>tazi haute couture</t>
  </si>
  <si>
    <t>▫️Livraison partout 🌍
▫️00212664394064 🇲🇦
▫️Echange possible max 3 jrs /pas de remboursement</t>
  </si>
  <si>
    <t>tugceozkurtdesign</t>
  </si>
  <si>
    <t>Tuğçe Özkurt Haute Couture</t>
  </si>
  <si>
    <t>Sipariş 0541 574 00 85 
Kişiye Özel dikim ✂️
İade ❌
Toptan ve perakende 📞
Yurtiçi kargo ücreti 160₺</t>
  </si>
  <si>
    <t>heritagebarbecue</t>
  </si>
  <si>
    <t>Heritage Barbecue</t>
  </si>
  <si>
    <t>@beardfoundation Finalist
@texasmonthly Top 10 TX BBQ 🇺🇸
@latimes 101 Best Restaurants
@michelinguide Bib Gourmand 
𝗪𝗲𝗱,𝗧𝗵𝘂𝗿𝘀,𝗦𝘂𝗻 11-7
𝗙𝗿𝗶-𝗦𝗮𝘁 11-8</t>
  </si>
  <si>
    <t>https://linktr.ee/heritagecraftbbq</t>
  </si>
  <si>
    <t>heritageclass</t>
  </si>
  <si>
    <t>HeritageClass™</t>
  </si>
  <si>
    <t>Timeless luxury defined by heritage and class.
📩 | DM for paid promotions and collaborations.</t>
  </si>
  <si>
    <t>https://beacons.ai/heritageclass</t>
  </si>
  <si>
    <t>heritagefarm</t>
  </si>
  <si>
    <t>Heritage Farm</t>
  </si>
  <si>
    <t>Developing riders from their earliest lessons to the top levels of the sport, Heritage Farm is an equestrian training facility based out of NY  &amp; FL</t>
  </si>
  <si>
    <t>https://linktr.ee/HeritageFarm</t>
  </si>
  <si>
    <t>heritage_glam1</t>
  </si>
  <si>
    <t>Beautyblog 🇿🇦🇳🇬🇰🇪🇬🇭🇷🇼🇺🇬🇹🇿🇿🇲🇨🇲🇱🇷🇸🇱</t>
  </si>
  <si>
    <t>heritage.pune</t>
  </si>
  <si>
    <t>Heritage Pune</t>
  </si>
  <si>
    <t>Explore Pune With Us❤️
Food | Travel | Explore
DM for paid promotions &amp; collaborations</t>
  </si>
  <si>
    <t>heritagewheel</t>
  </si>
  <si>
    <t>HERITAGE WHEEL</t>
  </si>
  <si>
    <t>info@heritagewheel.com
#heritagewheel</t>
  </si>
  <si>
    <t>http://www.heritagewheel.com/</t>
  </si>
  <si>
    <t>k.heritage</t>
  </si>
  <si>
    <t>K-헤리티지(국가유산진흥원)</t>
  </si>
  <si>
    <t>한국 국가유산의 아름다움을 이야기합니다
𝑲𝒐𝒓𝒆𝒂 𝑯𝒆𝒓𝒊𝒕𝒂𝒈𝒆, 𝑲-𝑯</t>
  </si>
  <si>
    <t>https://linktr.ee/k.heritage</t>
  </si>
  <si>
    <t>high_end_blogger</t>
  </si>
  <si>
    <t>Fashion Addict 💎</t>
  </si>
  <si>
    <t>Banker 🇰🇼 
Aries 
369</t>
  </si>
  <si>
    <t>randomandchic</t>
  </si>
  <si>
    <t>High Fashion Vintage</t>
  </si>
  <si>
    <t>For The Girls Who Stand Out On Purpose
No DMs. Email Only✨</t>
  </si>
  <si>
    <t>http://randomandchic.com/</t>
  </si>
  <si>
    <t>1iconic.store</t>
  </si>
  <si>
    <t>Ｉｃｏｎｉｃ</t>
  </si>
  <si>
    <t>BE ICONIC &amp; CLASSY
MADE IN ALGERIA🇩🇿
•livraison disponible📦
•pas de remboursement ❌</t>
  </si>
  <si>
    <t>cineiconic</t>
  </si>
  <si>
    <t>Take your broken heart and turn it into art🥀</t>
  </si>
  <si>
    <t>iconic</t>
  </si>
  <si>
    <t>ICONIC</t>
  </si>
  <si>
    <t>Account Hacked at 3.7M😩
ReFollow for Everything #ICONIC 😉👌</t>
  </si>
  <si>
    <t>_iconic05_</t>
  </si>
  <si>
    <t>Iconic⭐️</t>
  </si>
  <si>
    <t>GRWM kosmetyki makijaże💋
Cel 20.000 obs💕
Konto pod nadzorem rodzica
Szczecin</t>
  </si>
  <si>
    <t>iconicallyalex</t>
  </si>
  <si>
    <t>Alexandra Nichole ⟡</t>
  </si>
  <si>
    <t>somewhere between psychotic n iconic ⋆｡°✩
iconicallyalex@gmail.com
@fashionnova</t>
  </si>
  <si>
    <t>https://linktr.ee/iconicallyalex</t>
  </si>
  <si>
    <t>iconicdailly</t>
  </si>
  <si>
    <t>Iconic Daily ✨</t>
  </si>
  <si>
    <t>iconic_quotes</t>
  </si>
  <si>
    <t>✝️God first✝️
Motivation📈
Your potential is limitless🚀
God first I’m second bracelets⬇️</t>
  </si>
  <si>
    <t>https://www.tiktok.com/t/ZTjgatLXP/</t>
  </si>
  <si>
    <t>iconic_star17</t>
  </si>
  <si>
    <t>Iconic_star17</t>
  </si>
  <si>
    <t>💎 I'm the risk you’ll never regret.
📍Toronto
Unmixed.</t>
  </si>
  <si>
    <t>iconic.watchsquare_</t>
  </si>
  <si>
    <t>Iconic Watchsquare</t>
  </si>
  <si>
    <t>📍WatchsquareGallery(Offlinestore)
Sub Account Of @watchsquare.id 
Watch OriginaL &amp; Garansi Resmi
⌚Alexandre Christie
⌚Exp
⌚Casio
⌚Seiko
⌚Bonia
⌚Garmin</t>
  </si>
  <si>
    <t>boxinginfluencers</t>
  </si>
  <si>
    <t>Boxing Influencers</t>
  </si>
  <si>
    <t>🗓️Zondag 5 Oktober 2025
📍Sportcampus Den Haag
🎟️Tickets verkrijgbaar via ⬇️</t>
  </si>
  <si>
    <t>http://www.boxinginfluencers.nl</t>
  </si>
  <si>
    <t>indoinfluence.id</t>
  </si>
  <si>
    <t>𝐀𝐆𝐄𝐍𝐂𝐘 &amp; 𝐌𝐀𝐍𝐀𝐆𝐄𝐌𝐄𝐍𝐓 𝐈𝐍𝐅𝐋𝐔𝐄𝐍𝐂𝐄𝐑 𝐈𝐍𝐃𝐎𝐍𝐄𝐒𝐈𝐀</t>
  </si>
  <si>
    <t>𝑲𝒖𝒂𝒔𝒂 𝑯𝒖𝒌𝒖𝒎 @riniramalis
𝑶𝒖𝒓 𝑻𝒂𝒍𝒆𝒏𝒕 @talentindoinfluence.id
𝑯𝒂𝒏𝒅𝒍𝒆𝒅 𝑩𝒚 @teamindoinfluence.id
𝑬𝒏𝒅𝒐𝒓𝒔𝒆𝒎𝒆𝒏𝒕,𝑷𝒂𝒊𝒅𝒑𝒓𝒐𝒎𝒐𝒕𝒆,𝑪𝒂𝒎𝒑𝒂𝒊𝒈𝒏,𝑩𝒖𝒛𝒛𝒆𝒓,𝑩𝑨
𝑴𝒐𝒓𝒆 𝒊𝒏𝒇𝒐👇🏻</t>
  </si>
  <si>
    <t>https://heylink.me/indoinfluence</t>
  </si>
  <si>
    <t>influencercity_</t>
  </si>
  <si>
    <t>INFLUENCER CITY</t>
  </si>
  <si>
    <t>CREATOR: @mannytreo 
INFLUENCER CITY 
Patreon: Influencer City 
Kick: Influencer City
YouTube: InfluencerCity</t>
  </si>
  <si>
    <t>http://premohouse.com</t>
  </si>
  <si>
    <t>influencer.in</t>
  </si>
  <si>
    <t>Influencer.in</t>
  </si>
  <si>
    <t>Elevating brands. Engaging influencers. Driving business outcomes. 
Connecting 200+ brands with 1,50,000+ creators, join our community today!</t>
  </si>
  <si>
    <t>https://product.influencer.in/signup</t>
  </si>
  <si>
    <t>revistainfluencer</t>
  </si>
  <si>
    <t>Revista InFluencer⚡️</t>
  </si>
  <si>
    <t>El medio donde encuentras a tus creadores favoritos ⚡️
🗞️Revista impresa @influencerlaguna  
Síguenos en👇🏻</t>
  </si>
  <si>
    <t>https://linktr.ee/revista_influencermx</t>
  </si>
  <si>
    <t>stunnagirl</t>
  </si>
  <si>
    <t>The Influence</t>
  </si>
  <si>
    <t>FOLLOW @stunnamfgirly 
TikTok @ Stunnagirllie
stunnagirlmedia@gmail.com</t>
  </si>
  <si>
    <t>https://www.eventbrite.com/e/1425402851299?aff=oddtdtcreator</t>
  </si>
  <si>
    <t>infusion_band</t>
  </si>
  <si>
    <t>INFUSION</t>
  </si>
  <si>
    <t>🎤@krishna_chaitanya_karamchedu @manasa_seshu 
🥁@premdrummer_bhandaru
🎸@vikas_b22 
🎸 @yanni_nelapati 
🎹 @ruthvikdalli</t>
  </si>
  <si>
    <t>https://youtu.be/iEi0bmYWYJg?si=wk2FWAU3qpzZUIa2</t>
  </si>
  <si>
    <t>infusion_barrestaurant</t>
  </si>
  <si>
    <t>InFusion Bar &amp; Restaurant</t>
  </si>
  <si>
    <t>InFusion: An exquisite fusion of Asian and European cuisines.
Delivery - @yandex_eats_am @glovo_am 
⏱Working hours: 09:00-23:00
📞 010 360 360</t>
  </si>
  <si>
    <t>https://infusion.am/menu</t>
  </si>
  <si>
    <t>infusioncrab</t>
  </si>
  <si>
    <t>Infusion Crab ATL</t>
  </si>
  <si>
    <t>Teen Owner &amp; Founders McKenzie &amp; Madison (Sister’s) Established 2020: 
📍ORDER ONLINE
📍LINK IN BIO 
📍TAKEOUT
Women Owned Business</t>
  </si>
  <si>
    <t>http://www.infusioncrab.com</t>
  </si>
  <si>
    <t>infusionvictor</t>
  </si>
  <si>
    <t>Victor Gabriel Gonzalez Rodriguez</t>
  </si>
  <si>
    <t>Founder @marketsnackapp 
$60M AUM
Enterprise value $75M</t>
  </si>
  <si>
    <t>https://www.infusioninvestments.com/agendar-llamada</t>
  </si>
  <si>
    <t>symporloungeinfusion</t>
  </si>
  <si>
    <t>Sympor Lounge Infusion</t>
  </si>
  <si>
    <t>Clínica Médica de Vitaminoterapia e Emagrecimento!
A maior referência do 🇧🇷| @draandrealucas
Agende sua consulta 👇🏻</t>
  </si>
  <si>
    <t>https://linktr.ee/Sympormatriz</t>
  </si>
  <si>
    <t>cbsinnovationtv</t>
  </si>
  <si>
    <t>Innovation Nation w/ Mo Rocca</t>
  </si>
  <si>
    <t>💡#InnovationNation | Powered by @thehenryford
🏆3X Daytime Emmy® Award Winning Series
📺Watch Saturdays on @cbstv WKND</t>
  </si>
  <si>
    <t>http://bit.ly/THFIN_YouTube</t>
  </si>
  <si>
    <t>cosmeticinnovation</t>
  </si>
  <si>
    <t>Cosmetic Innovation</t>
  </si>
  <si>
    <t>Principal portal de conteúdo da Indústria Cosmética</t>
  </si>
  <si>
    <t>https://tap.bio/@cosmeticinnovation</t>
  </si>
  <si>
    <t>engineeringenigma</t>
  </si>
  <si>
    <t>Innovation and Technology</t>
  </si>
  <si>
    <t>#technology | #engineering 🛠️
🔹Sharing Tech and Innovation around the 🌏</t>
  </si>
  <si>
    <t>innovationrc</t>
  </si>
  <si>
    <t>Brandon Botwinick</t>
  </si>
  <si>
    <t>Official InnovationRC on YouTube! 
👇 Subscribe to see the action! 👇</t>
  </si>
  <si>
    <t>https://www.youtube.com/channel/UCsJjXrrnKSuTrih97FOQjwg</t>
  </si>
  <si>
    <t>innovations_mastery</t>
  </si>
  <si>
    <t>Innovations Mastery</t>
  </si>
  <si>
    <t>How Innovations were Created?!⚡️
DM to highlight Your Story🔥
contact@innovationsmastery.com</t>
  </si>
  <si>
    <t>http://www.innovationsmastery.com</t>
  </si>
  <si>
    <t>innovations_of_the_world</t>
  </si>
  <si>
    <t>Innovative of the world</t>
  </si>
  <si>
    <t>Get here your product👇</t>
  </si>
  <si>
    <t>https://avoxz.com/products/gay-rainbow-heat-change-mug?sca_ref=6606475.KREKadnjTmjo</t>
  </si>
  <si>
    <t>innovationweightloss</t>
  </si>
  <si>
    <t>Innovation Weight Loss</t>
  </si>
  <si>
    <t>🍽️ Healthy Market Woodbury NY and on Uber Eats
🎙️Love to Live Healthy KJOY98.3
🥤HOME OF THE DETOX 
As seen on CBS, NYWEEKLY
PREORDER SHED THE POUNDS 👇</t>
  </si>
  <si>
    <t>https://innovationweightlossandfitness.com/product/shed-the-pounds-navigating-weight-loss-through-perimenopause-and-menopause-by-josephine-fitzpatrick/</t>
  </si>
  <si>
    <t>kline.innovation</t>
  </si>
  <si>
    <t>Kline Innovation</t>
  </si>
  <si>
    <t>Inconel/Titanium/Carbon fiber exhaust specialists
Sales@kline-innovation.com</t>
  </si>
  <si>
    <t>http://kline-innovation.com/</t>
  </si>
  <si>
    <t>intensecycles</t>
  </si>
  <si>
    <t>INTENSE</t>
  </si>
  <si>
    <t>Bicycle Shop</t>
  </si>
  <si>
    <t>INTENSE Cycles manufactures premium bicycles that are developed in the U.S.A.</t>
  </si>
  <si>
    <t>https://linktr.ee/INTENSECYCLES</t>
  </si>
  <si>
    <t>intensecycleseurope</t>
  </si>
  <si>
    <t>INTENSE CYCLES EUROPE</t>
  </si>
  <si>
    <t>INTENSE Cycles manufactures premium bicycles that are developed in the U.S.A. and built for the thrill of cycling #intenseforlife</t>
  </si>
  <si>
    <t>https://linktr.ee/intensecycleseurope</t>
  </si>
  <si>
    <t>intense_dancehall</t>
  </si>
  <si>
    <t>Intense Dancehall</t>
  </si>
  <si>
    <t>#musicalmind🎧
#DancehallMoments🎙 
#MushuNetwork📻
💾📼💿💽🎧🎤🎺🎻🎹📻🎼🎵🎶
#Dancehall &amp; #Reggae #soundclash  📺 #dancehallhistory</t>
  </si>
  <si>
    <t>https://youtu.be/ntwZkSYS6j4</t>
  </si>
  <si>
    <t>intensefactoryracing</t>
  </si>
  <si>
    <t>Intense Factory Racing</t>
  </si>
  <si>
    <t>@joe_breeden17 
@millejohnset 
@fergyferg__ 
@oscaregriffiths 
@juanfervelez25 
@milaaaaa_89
@camdenrutherfurd</t>
  </si>
  <si>
    <t>https://www.axessunltd.com</t>
  </si>
  <si>
    <t>intense_oud</t>
  </si>
  <si>
    <t>Intense Oud</t>
  </si>
  <si>
    <t>Experience the Arabian Essence in the Heart of America
Arabian Perfumes, Beauty, and More from the Middle East are now available in the U.S</t>
  </si>
  <si>
    <t>https://www.instagram.com/intense_oud/shop</t>
  </si>
  <si>
    <t>intensepanjab</t>
  </si>
  <si>
    <t>𝑰𝒏𝒕𝒆𝒏𝒔𝒆🧿</t>
  </si>
  <si>
    <t>𝗪𝗵𝗲𝗿𝗲 𝗣𝗮𝗻𝗷𝗮𝗯 𝗿𝗼𝗼𝘁𝘀 𝗺𝗲𝗲𝘁 𝘀𝘁𝘆𝗹𝗶𝘀𝗵 𝗰𝗵𝗮𝗼𝘀🏇
For Inquires~ @arjanraw</t>
  </si>
  <si>
    <t>intensevalue</t>
  </si>
  <si>
    <t>Intensevalue</t>
  </si>
  <si>
    <t>Follow and manifest to become a millionaire by 2028✨</t>
  </si>
  <si>
    <t>thisizintense</t>
  </si>
  <si>
    <t>𝕴 𝖓 𝖙 𝖊 𝖓 𝖘 𝖊</t>
  </si>
  <si>
    <t>Mgmt: @anr.vind
"Intense" The album out now
Listen below!</t>
  </si>
  <si>
    <t>https://intense.lnk.to/album</t>
  </si>
  <si>
    <t>itsjohnnydepp</t>
  </si>
  <si>
    <t>𝐉𝐎𝐇𝐍𝐍𝐘 𝐃𝐄𝐏𝐏</t>
  </si>
  <si>
    <t>Eꜱᴛ. Jᴜɴᴇ 5ᴛʜ, 2020
Here to love and support @johnnydepp ❤️</t>
  </si>
  <si>
    <t>johnnydepp</t>
  </si>
  <si>
    <t>Occasional Thespian</t>
  </si>
  <si>
    <t>https://johnnydepp.komi.io/</t>
  </si>
  <si>
    <t>johnnydeppbrazilfc</t>
  </si>
  <si>
    <t>Johnny Depp BR 🇧🇷</t>
  </si>
  <si>
    <t>Brazilian fan page dedicated to the legendary actor and musician Johnny Depp.
⏩️ @johnnydepp</t>
  </si>
  <si>
    <t>https://twitter.com/deppbrazilfc</t>
  </si>
  <si>
    <t>johnny_depp_ru_</t>
  </si>
  <si>
    <t>Johnny Depp's army🏴‍☠️</t>
  </si>
  <si>
    <t>🖤Russian fan club 🇷🇺
Always support and love for daddy @johnnydepp
#JohnnyDepp #ДжонниДепп</t>
  </si>
  <si>
    <t>https://vk.com/public208208116</t>
  </si>
  <si>
    <t>johnny.depps.fann</t>
  </si>
  <si>
    <t>Johnny Depp Lover✨</t>
  </si>
  <si>
    <t>Johnny Depp T-Shirts: Pirate Style, Artist’s Soul. Dress Like a Legend!
🔴  SHOP HERE  🔴
             🔻↘️⏬⬇️⏬↙️🔻</t>
  </si>
  <si>
    <t>https://bouncy.ai/the-best-johnny-depp-merchs-here</t>
  </si>
  <si>
    <t>johnnydeppchile2023</t>
  </si>
  <si>
    <t>Fans de Johnny Depp Chile</t>
  </si>
  <si>
    <t>Somos fans de #johnnydepp desde Chile . El mejor actor..❤️🎥❤️</t>
  </si>
  <si>
    <t>johnny_depp_edits__</t>
  </si>
  <si>
    <t>johnny Depp edits</t>
  </si>
  <si>
    <t>All edits on this page are done by me (Maggy🇳🇱)
I am NOT Johnny Depp, follow ➡️  @johnnydepp</t>
  </si>
  <si>
    <t>https://vm.tiktok.com/ZMN1EhE4N/</t>
  </si>
  <si>
    <t>deppdrug</t>
  </si>
  <si>
    <t>JOHNNY DEPP FANPAGE 🕊️</t>
  </si>
  <si>
    <t>"we're broken, but we're here"
johnny's instagram: @johnnydepp
met johnny on july 15th, 2023 🤍</t>
  </si>
  <si>
    <t>depp_lover16</t>
  </si>
  <si>
    <t>Johnny Depp Fanpage</t>
  </si>
  <si>
    <t>I love Johnny Depp I am not impersonating I’m only a fan page
official Johnny Depp @johnnydepp</t>
  </si>
  <si>
    <t>https://unitedmasters.com/m/6346d5c450866722ad0067aa</t>
  </si>
  <si>
    <t>johnny_depp_fan_page___</t>
  </si>
  <si>
    <t>𝐉𝐎𝐇𝐍𝐍𝐘 𝐃𝐄𝐏𝐏 𝐅𝐀𝐍𝐒🧿</t>
  </si>
  <si>
    <t>DM NOW FOR PAID PROMOTIONS AND COLLABORATION✨
🅱🅸🅶🅶🅴🆂🆃  🅵🅰🅽 🅿🅰🅶🅴 🅾🅵 🅹🅾🅷🅽🅽🆈 🅳🅴🅿🅿
🅷🅰🅽🅳🆂🅾🅼🅴 🅷🆄🅽🅺 
🅷🅴 🅸🆂 🅶🆁🅴🅰🆃🅴🆂🆃 🅴🆅🅴🆁 
@johnnydepp
#johnnydeppforever</t>
  </si>
  <si>
    <t>https://kessla.com/products/automatic-rotating-masturbator</t>
  </si>
  <si>
    <t>johnnydepp___fan01p</t>
  </si>
  <si>
    <t>Johnny Depp Fans</t>
  </si>
  <si>
    <t>Father of Lily-Rose and Jack</t>
  </si>
  <si>
    <t>johnnydeppfansofficial</t>
  </si>
  <si>
    <t>Johnny depp fans account</t>
  </si>
  <si>
    <t>Silence, Exile, and Cunning.
#freepalestine 💔</t>
  </si>
  <si>
    <t>johnnydepponly</t>
  </si>
  <si>
    <t>We are with you @johnnydepp  
Photos &amp; Video 🎬 Johnny Depp 
Thank you for follow me 💙</t>
  </si>
  <si>
    <t>johnnydepp_rock</t>
  </si>
  <si>
    <t>Johnny Depp Rock</t>
  </si>
  <si>
    <t>Fanpage of @johnnydepp 
💫🎸🎶</t>
  </si>
  <si>
    <t>aboutlayering</t>
  </si>
  <si>
    <t>About Layering</t>
  </si>
  <si>
    <t>By @shivanik1
🤍 Personal Stylist &amp; Shopper
🤍 Daily outfit inspos
🤍 DM or E-mail for styling services &amp; collabs
Shop my looks 👇🏼</t>
  </si>
  <si>
    <t>https://linktr.ee/aboutlayering</t>
  </si>
  <si>
    <t>layering_dentall_vip</t>
  </si>
  <si>
    <t>لیرینگ دنتال|کامپوزیت|لمینیت|طراحی لبخند به صورت دیجیتال</t>
  </si>
  <si>
    <t>لبخندتو *خودت*🫵🏻انتخاب کن
کد نظام پزشکی 32245
تنها مرکز‌طراحی لبخند به صورت "دیجیتال"
کامپوزیت طرحِ لمینیت
 سعادت آباد📍
☎️09008118704</t>
  </si>
  <si>
    <t>1klegacy</t>
  </si>
  <si>
    <t>Content Creator
Streamer/Youtuber/Brand Owner 📈</t>
  </si>
  <si>
    <t>https://youtu.be/l3Rn45rTeCI</t>
  </si>
  <si>
    <t>crownlegacyfc</t>
  </si>
  <si>
    <t>Crown Legacy FC</t>
  </si>
  <si>
    <t>Build the Legacy.
@mlsnextpro affiliate of @charlottefc</t>
  </si>
  <si>
    <t>https://bit.ly/3TMCJUn</t>
  </si>
  <si>
    <t>legacychurchabq</t>
  </si>
  <si>
    <t>Legacy Church</t>
  </si>
  <si>
    <t>Christian Church</t>
  </si>
  <si>
    <t>Legacy Church® helps people connect with God, grow in relationships, &amp; live generously. 
@stevesmothermon | @legacy.worship | @legacyacademynm</t>
  </si>
  <si>
    <t>https://linktr.ee/legacychurchnm</t>
  </si>
  <si>
    <t>legacyggbr</t>
  </si>
  <si>
    <t>This is #OurLegacy.
Esports é a nossa paixão.
Counter-Strike 2</t>
  </si>
  <si>
    <t>http://twitter.com/legacyggbr</t>
  </si>
  <si>
    <t>legacy.leee</t>
  </si>
  <si>
    <t>LEGACY</t>
  </si>
  <si>
    <t>CEO : @dreamxlegacy                                                              back up: @unfiltered.legacy  YNR Queen @nowthats_tv Manager: @ceopopz</t>
  </si>
  <si>
    <t>http://beacons.ai/legacyleee</t>
  </si>
  <si>
    <t>legacy_mx2</t>
  </si>
  <si>
    <t>Legacy MX</t>
  </si>
  <si>
    <t>⚽ Football - 💪🏋 Fitness 
🎥 Journey Documentary to success 🤑 
📩 Email: ballerfits9@gmail.com</t>
  </si>
  <si>
    <t>legacy.orlando</t>
  </si>
  <si>
    <t>LIVING TO MAKE HISTORY ϟ
Ministry of @lagoinhaorlandochurch
Pastors @joaopedrobutzke e @sarahbeatrizm
Friday - 8PM</t>
  </si>
  <si>
    <t>https://bio.site/legacyorlando</t>
  </si>
  <si>
    <t>ourlegacy</t>
  </si>
  <si>
    <t>OUR LEGACY</t>
  </si>
  <si>
    <t>http://ourlegacy.com</t>
  </si>
  <si>
    <t>annelinawaller</t>
  </si>
  <si>
    <t>Annelina - Longevity Yogi</t>
  </si>
  <si>
    <t>MOOD FOOD, MIND-BODY BALANCE
Yoga &amp; Pilates Teacher
B.A. Pädagogik &amp; Psychologie 
M.Sc. Health Mgmt. 
🎙️ @consciousgangster_ 
cook&amp;nutrition-books</t>
  </si>
  <si>
    <t>https://onescreener.com/annelina-waller</t>
  </si>
  <si>
    <t>benyim33</t>
  </si>
  <si>
    <t>Benjamin Yim | Longevity &amp; Aligned Movement</t>
  </si>
  <si>
    <t>🔥 helping high performers reverse aging &amp; inflammation with an Eastern ritual
💧Trusted by hospitals, retreats + athletes  DM “WATER” to begin</t>
  </si>
  <si>
    <t>https://beacons.ai/benyim33</t>
  </si>
  <si>
    <t>dr.longevity</t>
  </si>
  <si>
    <t>Thomas Paloschi MD</t>
  </si>
  <si>
    <t>Helping you live longer — with science.  
Medical Doctor 🇮🇹| Longevity + AI Health Optimization  
⬇️ Start your journey 
www.drlongevity.ai</t>
  </si>
  <si>
    <t>http://www.drlongevity.ai</t>
  </si>
  <si>
    <t>drpoonamdesai</t>
  </si>
  <si>
    <t>Dr. Poonam Desai| Longevity Expert</t>
  </si>
  <si>
    <t>Concierge Longevity Doctor
UCLA, Cornell, NYP
Hormone, Peptides, GLP-1 expert
Board x2,Fellowship x3
Speaker Tedx
Founder @longevity_place</t>
  </si>
  <si>
    <t>https://yourlongevity.ticketspice.com/her-longevity</t>
  </si>
  <si>
    <t>eraofhealth</t>
  </si>
  <si>
    <t>Mind | Body | Longevity</t>
  </si>
  <si>
    <t>For Health Enthusiasts
• Inspired By Research And Health Trends
• Enriching Your Wellness Journey
Check Out Our Favourite Magnesium Oil ⬇️</t>
  </si>
  <si>
    <t>longevity2.0</t>
  </si>
  <si>
    <t>The Longevity Experts</t>
  </si>
  <si>
    <t>🥇No.1 Longevity Channel to Learn How to Reverse Aging &amp; Live Longer (For Educational Purposes Only)
🧬Discover All The Longevity Tools &amp; Biohacks ⤵️</t>
  </si>
  <si>
    <t>https://linktr.ee/longevity2.0</t>
  </si>
  <si>
    <t>longevitybylauren</t>
  </si>
  <si>
    <t>Lauren Taylor | Women’s Wellness</t>
  </si>
  <si>
    <t>✧Enhancing life with movement, mindset &amp; nutrition
✧Wellness girl | Healthy lifestyle
✧Certified pilates instructor &amp; personal trainer
✧Grow with me🌱👇</t>
  </si>
  <si>
    <t>https://stan.store/longevitybylauren</t>
  </si>
  <si>
    <t>longevitydaily_</t>
  </si>
  <si>
    <t>Longevity Daily ™ - Live Better For Longer</t>
  </si>
  <si>
    <t>Helping you live better, for longer.
Longevity is built while you’re aging - not once you’ve aged.
🎯 Get your healthspan estimate. Takes just 2-min ⬇️</t>
  </si>
  <si>
    <t>http://scorecard.longevitydaily.com</t>
  </si>
  <si>
    <t>longevity_enthusiasts</t>
  </si>
  <si>
    <t>Longevity l Biohacking l Health</t>
  </si>
  <si>
    <t>#1 Longevity hacks page
🧬 Follow for the latest research and tips🧬
👇 Get free longevity guide → 7 proven habits to add 10 healthy years 👇</t>
  </si>
  <si>
    <t>http://longevityenthusiasts.org</t>
  </si>
  <si>
    <t>longevity_live</t>
  </si>
  <si>
    <t>Official profile for Longevity magazine, website and Longevity app.  Reporting on the Art &amp; Science of Staying Well for + 30 years  #longevity</t>
  </si>
  <si>
    <t>https://linkin.bio/longevity_live</t>
  </si>
  <si>
    <t>longevity.muse</t>
  </si>
  <si>
    <t>steph chen</t>
  </si>
  <si>
    <t>🌿 Science &amp; Soul of Longevity
🦋 Live younger, love longer
✨ Co-Founder @thehouseofAEON
💌 Join the Collective ↓</t>
  </si>
  <si>
    <t>longevitypetsolutions</t>
  </si>
  <si>
    <t>Longevity Pet | Integratori per Cani &amp; Gatti</t>
  </si>
  <si>
    <t>🐾 Integratori e prodotti per il benessere del tuo Pet
✨ Più tempo di qualità insieme
👇🏼 Fai il test e ricevi la sua routine di benessere</t>
  </si>
  <si>
    <t>https://linktr.ee/longevitypet</t>
  </si>
  <si>
    <t>longevityxlab</t>
  </si>
  <si>
    <t>Longevity | Biohacking | Strength</t>
  </si>
  <si>
    <t>Trusted by 450k+ health-obsessed Americans
Helping you break free from Big Pharma’s monopoly
DM us for partnerships
Our daily stack👇</t>
  </si>
  <si>
    <t>https://linktr.ee/LongevityxLab</t>
  </si>
  <si>
    <t>spirosvcoach</t>
  </si>
  <si>
    <t>Spiros Varotsis • Fitness &amp; Longevity Coach</t>
  </si>
  <si>
    <t>Ζήσε με περισσότερη δύναμη &amp; ευεξία από ποτέ 
🎓Msc Nutrition / Bsc Exercise
📚Κατέβασε τα E-books μου ΕΔΩ⬇️</t>
  </si>
  <si>
    <t>https://spirosvarotsis.com/product/allaxe-soma-se-21-meres/</t>
  </si>
  <si>
    <t>bella_luxury_cars</t>
  </si>
  <si>
    <t>BELLA LUXURY CARS L.L.C</t>
  </si>
  <si>
    <t>We Buy Sell and trade in the luxury premium and sport vehicles. 
⭐️ Over 15 years experience in 🇬🇧 &amp; 🇦🇪 
📌 Dubai - Al Quoz 2
🕚 Every day 10 - 8 pm</t>
  </si>
  <si>
    <t>http://bellaluxurycars.com</t>
  </si>
  <si>
    <t>kosmetik_fachinstitut_luxury</t>
  </si>
  <si>
    <t>Kosmetik Fachinstitut für Damen und Herren.
Staatlich geprüfte Fachkosmetikerin.
☎️ 0174-5858715
📬 info@kosmetikfachinstitut-luxury.de
⭐️⭐️⭐️⭐️⭐️</t>
  </si>
  <si>
    <t>https://kosmetikfachinstitut-luxury.de/</t>
  </si>
  <si>
    <t>luxurydances_</t>
  </si>
  <si>
    <t>Luxury Dances</t>
  </si>
  <si>
    <t>راقصون محترفون
DM للأعمال 💌
محتوى خاص مميز👇</t>
  </si>
  <si>
    <t>http://luxurydances.bio.link</t>
  </si>
  <si>
    <t>luxuryksa</t>
  </si>
  <si>
    <t>LUXURYKSA</t>
  </si>
  <si>
    <t>Cultivating Entertainment and Lifestyles in Different Destinations 💫
#LuxuryKSA</t>
  </si>
  <si>
    <t>luxury_plugg_</t>
  </si>
  <si>
    <t>B A D D I E S S _ B O U T I Q U E 💕</t>
  </si>
  <si>
    <t>🤍NO SALE | LUXURY FANPAGE 🤍
B A C K U P @baddiesss_shopp 
⬇️JOIN FOR 🛍️ ⬇️</t>
  </si>
  <si>
    <t>https://t.me/baddiesboutique</t>
  </si>
  <si>
    <t>urbanluxuryw</t>
  </si>
  <si>
    <t>URBAN LUXURY - MODA CIRCULAR PREMIUM</t>
  </si>
  <si>
    <t>-Selección Second Hand Premium 💎
📍Palermo, 📍Belgrano, 📍Almagro, 📍Lanús, 📍Martínez.</t>
  </si>
  <si>
    <t>https://urbanluxurymarcas.com/</t>
  </si>
  <si>
    <t>famestate.luxury</t>
  </si>
  <si>
    <t>Fam Estate Luxury &amp; Commercial</t>
  </si>
  <si>
    <t>By : @alvinjoner &amp; @fahmialhadad
Luxury property | Soho | Office | Land
Part of @fam.estate @famestate.group</t>
  </si>
  <si>
    <t>https://lynk.id/famestateid</t>
  </si>
  <si>
    <t>luxury.dz.house__bs</t>
  </si>
  <si>
    <t>Luxury house dz</t>
  </si>
  <si>
    <t>Welcome to ur dream house ✨                            هنا تخدم دارك كيما تتخيلها و كيما تحبها 🤍
📍Blida                         -0542295634-0555000325</t>
  </si>
  <si>
    <t>luxury_house006</t>
  </si>
  <si>
    <t>LUXURY HOUSE</t>
  </si>
  <si>
    <t>Magasin de :
Vaisselle 🍽️🍶🍴
Décoration 🕯️🖼️🪞
Cadeaux 🎁
📍 1 boutique kherratta djermouna w. Bejaia 
📍 2 boutique city Dallas 3 quartier w . Béjaïa</t>
  </si>
  <si>
    <t>https://www.facebook.com/Articles-de-M%C3%A9nage-Smaoun-1671004769858828/</t>
  </si>
  <si>
    <t>luxury_house_19</t>
  </si>
  <si>
    <t>محل منذر للأفرشة</t>
  </si>
  <si>
    <t>📍مرحبا بكم في محلاتنا 🙂‍↔️
📍التوصيل متوفر 58ولاية 🚚
📍للطلب والإستفسار تواصلو مع الصفحة 
اوإتصلو على :0772979276</t>
  </si>
  <si>
    <t>luxuryhousedesignn</t>
  </si>
  <si>
    <t>Luxury house designs</t>
  </si>
  <si>
    <t>◾Interior &amp; exterior design
◾Daily inspirational houses 
◾DM for PROMOS/SHOUTOUTS</t>
  </si>
  <si>
    <t>luxury_house_dot_com</t>
  </si>
  <si>
    <t>Luxury House Dot Com</t>
  </si>
  <si>
    <t>Dm For Any Queries !</t>
  </si>
  <si>
    <t>luxury.housedz</t>
  </si>
  <si>
    <t>Linge de maison 🏠 &amp; décoration d’intérieur&amp; tapis de luxe &amp; ensemble de literie &amp; vaisselle de luxe 🇹🇷. 
🚚 livraison 48 wilaya 📦 /0555771634</t>
  </si>
  <si>
    <t>luxuryhouseeg</t>
  </si>
  <si>
    <t>Luxury House</t>
  </si>
  <si>
    <t>Where luxury, Quality &amp; Value blend 
Furniture &amp; Home accessories
📍el mtwakel st. Tanta
📞01200440055</t>
  </si>
  <si>
    <t>https://www.facebook.com/LuxuryHouseeg</t>
  </si>
  <si>
    <t>luxury_house.ps1</t>
  </si>
  <si>
    <t>Luxury House | Home Furniture &amp; More</t>
  </si>
  <si>
    <t>نحن عائلةLuxury houseموقعنا في مدينة جنين-شارع حيفا-مقابل منتزه وقاعة حيفا ،نضمن لك أفضل تجربة شراء أثاث بجودة عالية وخدمة ما بعد البيع</t>
  </si>
  <si>
    <t>luxury_house_tz</t>
  </si>
  <si>
    <t>Торговый дом 𝓛𝓾𝔁𝓾𝓻𝔂 Тараз одежда</t>
  </si>
  <si>
    <t>Адрес: г.Тараз Конаева 39
•Доставка по всему Kz🇰🇿
•Мужская одежда @luxury_mens_taraz 
•Детская одежда  @luxury_kids_taraz 
•По поводу доставки⬇️</t>
  </si>
  <si>
    <t>luxuryhouseview</t>
  </si>
  <si>
    <t>luxury house</t>
  </si>
  <si>
    <t>https://www.facebook.com/profile.php?id=61572930750691&amp;mibextid=ZbWKwL</t>
  </si>
  <si>
    <t>perfumeology101</t>
  </si>
  <si>
    <t>Luxury Perfumes and Scents UK</t>
  </si>
  <si>
    <t>Helping fragrance lovers discover premium scents that would fetch you endless compliments at affordable prices 🎁 Free sample
08061904829 📌 UK.Nigeria</t>
  </si>
  <si>
    <t>maisonmargiela</t>
  </si>
  <si>
    <t>Maison Margiela</t>
  </si>
  <si>
    <t>The iconoclastic, avant-garde fashion house, founded in Paris in 1988.</t>
  </si>
  <si>
    <t>https://www.maisonmargiela.com/</t>
  </si>
  <si>
    <t>maison.mykolaiv</t>
  </si>
  <si>
    <t>MAISON restaurant &amp; bar</t>
  </si>
  <si>
    <t>11:00 - 23:00
▪️літня тераса
▪️дитяча кімната 
▪️караоке 
▪️резерв: 063 519 77 95  
▪️доставка: 063 436 63 16</t>
  </si>
  <si>
    <t>https://maison.choiceqr.com/section:menyu</t>
  </si>
  <si>
    <t>maison.nora</t>
  </si>
  <si>
    <t>𝐌𝐀𝐈𝐒𝐎𝐍 𝐍𝐎𝐑𝐀 | 𝐁𝐑𝐈𝐃𝐀𝐋𝐒𝐓𝐘𝐋𝐈𝐍𝐆</t>
  </si>
  <si>
    <t>❝ Exclusive Haute Couture Collection 
Ziana - Bridal Expert Make up &amp; Hair  
Belgium - Morocco | Worldwide
Info@maisonnora.com</t>
  </si>
  <si>
    <t>maisonsbond</t>
  </si>
  <si>
    <t>Maison Sbond/メゾンエスボンド</t>
  </si>
  <si>
    <t>【Popup】9/5.6 東京 代官山駅3分 「ZA Space」
【Website open】 9/12(金)20:00
【DM】Weekdays 9am-5pm Japan time
【毎月1〜2回のみご予約受付】
ジェンダーレスなアイテムをご提案</t>
  </si>
  <si>
    <t>https://maisonsbond.com/</t>
  </si>
  <si>
    <t>maisonseasons</t>
  </si>
  <si>
    <t>MAISON SEASONS</t>
  </si>
  <si>
    <t>A Mood. An Emotion.
pr.maisonseasons@gmail.com</t>
  </si>
  <si>
    <t>maisonvalentino</t>
  </si>
  <si>
    <t>Valentino</t>
  </si>
  <si>
    <t>Creative Director @Alessandro_Michele.  
Founded in 1960 by Valentino Garavani and Giancarlo Giammetti.</t>
  </si>
  <si>
    <t>https://on.valentino.com/ValentinoLeMetaTheatreDesIntimites</t>
  </si>
  <si>
    <t>wie.maison</t>
  </si>
  <si>
    <t>مرو خِفافا" إن لم تنفعو لا تضروُ</t>
  </si>
  <si>
    <t>diormaison</t>
  </si>
  <si>
    <t>Dior Maison Official</t>
  </si>
  <si>
    <t>"Living in a house which doesn't reflect who you are is like wearing someone else’s clothes." Christian Dior</t>
  </si>
  <si>
    <t>http://linkin.bio/diormaison/</t>
  </si>
  <si>
    <t>maison__dor</t>
  </si>
  <si>
    <t>𝗠𝗮𝗶𝘀𝗼𝗻 𝗗’𝗼𝗿</t>
  </si>
  <si>
    <t>𝐎𝐧𝐞 𝐒𝐭𝐨𝐩 𝐒𝐡𝐨𝐩 𝐟𝐨𝐫 𝐘𝐨𝐮𝐫 𝐇𝐨𝐦𝐞
𝐖𝐞 𝐂𝐮𝐬𝐭𝐨𝐦𝐢𝐳𝐞
📍  𝐒𝐡𝐨𝐰𝐫𝐨𝐨𝐦 : 𝐀𝐫𝐤𝐚𝐧 𝐏𝐥𝐚𝐳𝐚 , 𝐒𝐡𝐞𝐢𝐤𝐡 𝐙𝐚𝐲𝐞𝐝
       𝐂𝐚𝐢𝐫𝐨
       𝐒𝐡𝐢𝐩𝐩𝐢𝐧𝐠 𝐚𝐥𝐥𝐨𝐯𝐞𝐫 𝐄𝐠𝐲𝐩𝐭</t>
  </si>
  <si>
    <t>http://maisondoreg.com/</t>
  </si>
  <si>
    <t>maisondor18k</t>
  </si>
  <si>
    <t>Maison d'Or</t>
  </si>
  <si>
    <t>📍Temara تمارة المسيرة 1
Gérer par Mahir / Abdelhak
📞 +212652-688193 / 📞+212611-164552
🕚11:00-14:30/16:00-21:00
📦Livraison gratuite partout au Maroc</t>
  </si>
  <si>
    <t>http://tiktok.com/@maisondor18kk</t>
  </si>
  <si>
    <t>maison_dor_biskra</t>
  </si>
  <si>
    <t>Maison d'or</t>
  </si>
  <si>
    <t>- décoration d'intérieur et cadeaux -
📞 - 0553676697 - 
 ° biskra 07 ° 🌴 🌴
• livraison disponible vers 58 wilayas •</t>
  </si>
  <si>
    <t>https://www.facebook.com/Maison-dor-114614051221254/</t>
  </si>
  <si>
    <t>belindassmakeupp</t>
  </si>
  <si>
    <t>✨Belinda | Makeup✨</t>
  </si>
  <si>
    <t>•Si eres compradora compulsiva, esta es tu cuenta🛍️
💌: belindassmakeupp@gmail.com
🩷Tiktok: belindasmakeup (+58K)🩷
✨Youtube: belindassmakeupp (+38K)✨</t>
  </si>
  <si>
    <t>https://linktr.ee/belindasmakeup</t>
  </si>
  <si>
    <t>elena_sanko_make_up</t>
  </si>
  <si>
    <t>Make-up artist</t>
  </si>
  <si>
    <t>Спикер международного уровня
Makeup artist 💄
Minsk
Более 20000 учеников по всему миру 🌎</t>
  </si>
  <si>
    <t>fenzzamakeup</t>
  </si>
  <si>
    <t>Fenzza Make Up</t>
  </si>
  <si>
    <t>Valorizando a Beleza!🩷
Produtos de maquiagem e skincare acessíveis e de qualidade🧖🏻‍♀️💄
Livre de crueldade animal🐰</t>
  </si>
  <si>
    <t>https://linktr.ee/FENZZAMAKEUP</t>
  </si>
  <si>
    <t>lola.makeupwithlove</t>
  </si>
  <si>
    <t>Lola | Makeup Artist</t>
  </si>
  <si>
    <t>Візажист з унікальним баченням,навчаю 
Співвласниця: @she.beautyspace.lviv · @she.beautyeducation · @she.beautyshop.ua 
Запис — @she.beautyspace.lviv</t>
  </si>
  <si>
    <t>https://empireofmakeup.wayforpay.link</t>
  </si>
  <si>
    <t>mollymmua</t>
  </si>
  <si>
    <t>Molly May - UK based Make-Up Artist</t>
  </si>
  <si>
    <t>✨☁️DECEMBER DIARY IS NOW OPEN ☁️✨
Based at @_ckm_beauty_aesthetics_ 🦋🧚🏼‍♀️</t>
  </si>
  <si>
    <t>theemakeupp</t>
  </si>
  <si>
    <t>Makeup Tutorials</t>
  </si>
  <si>
    <t>Short and simple makeup tutorials💕
Dm for credits or removal👀
@theemakeupp</t>
  </si>
  <si>
    <t>abysalammakeup</t>
  </si>
  <si>
    <t>PRO MAKEUP ARTIST WEDDING AND COMMERCIAL</t>
  </si>
  <si>
    <t>ARTIST 💄 
@byabysalam  
📍JKT - PLM</t>
  </si>
  <si>
    <t>http://wa.me/6281222570230</t>
  </si>
  <si>
    <t>alaynecurtissbeauty</t>
  </si>
  <si>
    <t>Bridal Beauty Hair Makeup &amp; Commercial Stylist</t>
  </si>
  <si>
    <t>30 years helping women create the most beautiful versions of themselves by doing it for you or teaching you how with easy tips &amp; affordable products.</t>
  </si>
  <si>
    <t>https://linktr.ee/alaynecurtissbridalbeauty</t>
  </si>
  <si>
    <t>itsmodernmillie</t>
  </si>
  <si>
    <t>Camille Adrian | Content Creator Tips</t>
  </si>
  <si>
    <t>600k+ on YouTube
📈 Helping you grow on social
⬇️ 12-Month Creator Plan (step by step to going full time!)</t>
  </si>
  <si>
    <t>https://stan.store/itsmodernmillie</t>
  </si>
  <si>
    <t>lux_yadak_modern</t>
  </si>
  <si>
    <t>لوکس یدک مدرن</t>
  </si>
  <si>
    <t>Automotive Parts Store</t>
  </si>
  <si>
    <t>«لوکس یدک مدرن»🏎️
اسپرتی و یدکی از بهترین کیفیت برای خودرو
مشاوره در بازسازی خودرو و موتور 
ارسال به کل کشور 
09374012211
09118362781
آدرس گیلان رشت</t>
  </si>
  <si>
    <t>https://www.youtube.com/@lux_yadak_modern</t>
  </si>
  <si>
    <t>modernfamily</t>
  </si>
  <si>
    <t>Modern Family</t>
  </si>
  <si>
    <t>The official Instagram account for #ModernFamily.</t>
  </si>
  <si>
    <t>http://hulu.tv/ModernFamily</t>
  </si>
  <si>
    <t>modern__mansion</t>
  </si>
  <si>
    <t>모던맨션</t>
  </si>
  <si>
    <t>Good vibes only.</t>
  </si>
  <si>
    <t>http://m.modernmansion.co.kr/index.html</t>
  </si>
  <si>
    <t>modern_n_j</t>
  </si>
  <si>
    <t>빅사이즈 쇼핑몰 모던앤제이</t>
  </si>
  <si>
    <t>🍀부산에서 빅사이즈 예쁜 옷 가장 많은 곳
❤️매장방문가능&amp;피팅가능
🍀체형커버 완벽한 코디 추천 맛집</t>
  </si>
  <si>
    <t>https://m.smartstore.naver.com/modern_jjj</t>
  </si>
  <si>
    <t>themodernhouse</t>
  </si>
  <si>
    <t>The Modern House</t>
  </si>
  <si>
    <t>“Best interiors Instagram account” — Vogue
Selling design-led homes ↴
Discover our sister site @inigo.house</t>
  </si>
  <si>
    <t>https://linktr.ee/themodernhouse</t>
  </si>
  <si>
    <t>themodernnonna</t>
  </si>
  <si>
    <t>Snejana Andreeva</t>
  </si>
  <si>
    <t>👵 Cooking like a Nonna with a MODERN twist 
🤪 I’m more fun on stories 
📧 hello@themodernnonna.com 
All recipes ⬇️</t>
  </si>
  <si>
    <t>themodernproper</t>
  </si>
  <si>
    <t>The Modern Proper</t>
  </si>
  <si>
    <t>Holly Erickson &amp; Natalie Mortimer.  Simple, delicious dinner recipes! 
You’ll LOVE our COOKBOOK
book and recipes here👇🏻👇🏻</t>
  </si>
  <si>
    <t>https://themodernproper.com/links</t>
  </si>
  <si>
    <t>couplesnotes</t>
  </si>
  <si>
    <t>Couples Notes</t>
  </si>
  <si>
    <t>Daily love letters 💌
Weekly proposals 💍</t>
  </si>
  <si>
    <t>hamasahnotes</t>
  </si>
  <si>
    <t>Hamasah Notes</t>
  </si>
  <si>
    <t>📣JANGAN LUPA FOLLOW
📝Kirim gambar, foto atau kata-katamu lewat DM, mari berbagi manfaat.
🌕Keep Hamasah, Stay Lillah, to get Jannah🌕
🇮🇩🇮🇩🇮🇩</t>
  </si>
  <si>
    <t>hidden_notes_shayari</t>
  </si>
  <si>
    <t>Notes ❤️‍🩹</t>
  </si>
  <si>
    <t>Admin tumhe khatam karke saans lega (khudko bhi)
.</t>
  </si>
  <si>
    <t>lb.notes</t>
  </si>
  <si>
    <t>The World of Comedy 🇱🇧</t>
  </si>
  <si>
    <t>lovvenotes</t>
  </si>
  <si>
    <t>𝐋𝐎𝐕𝐄 𝐍𝐎𝐓𝐄𝐒</t>
  </si>
  <si>
    <t>🧾 Certified Love &amp; Relationship Coach
🚀 0 to 90K+ followers in 50 days
🔗 Join the journey to deeper love
✨ Founder &amp; Admin @rakiibmondal</t>
  </si>
  <si>
    <t>notesbook.eg</t>
  </si>
  <si>
    <t>NoteBook.</t>
  </si>
  <si>
    <t>NoteBook is a Quotes from the wisest people who ever lived on earth.</t>
  </si>
  <si>
    <t>notes._.engineer</t>
  </si>
  <si>
    <t>notes engineering</t>
  </si>
  <si>
    <t>Tnx For Check in 🫰
For Paid Collab DM @notes._.engineer</t>
  </si>
  <si>
    <t>notes_fx__</t>
  </si>
  <si>
    <t>music_world__🎀🎶</t>
  </si>
  <si>
    <t>🔹Notes Challenge ❤️🪄
🔹Love💗Live🦋Music🎧
🔹Target 🎯 80k
🔹DM for Paid collaboration 💸</t>
  </si>
  <si>
    <t>https://music.youtube.com/playlist?list=PLVXDrQiMqkA97ht9YQ8urG9kwG4PM2296&amp;feature=shared</t>
  </si>
  <si>
    <t>notesonifone</t>
  </si>
  <si>
    <t>Notes📝</t>
  </si>
  <si>
    <t>All OC credit me if u take stuff and we cool☺️📝
dms r always open vros 🫰👅
Opps slimed out: 27.8😷😷🤧
Joeyy connoisseur 📸
@peacefulpetunia @alwaysunaware</t>
  </si>
  <si>
    <t>_notes._.songs</t>
  </si>
  <si>
    <t>Notes _songs</t>
  </si>
  <si>
    <t>100 Days Notes Idea🎶
+Simple Edits 🎞️
.
.
.
.</t>
  </si>
  <si>
    <t>ludovitodor</t>
  </si>
  <si>
    <t>Ľudovít Ódor</t>
  </si>
  <si>
    <t>Europoslanec za @progresivne_sk 🇸🇰🇪🇺</t>
  </si>
  <si>
    <t>https://form.qomon.org/zdvihnute-obocie-ludovita-odora/</t>
  </si>
  <si>
    <t>odoricoreis</t>
  </si>
  <si>
    <t>Odorico Reis | Agro gay internacional🏳️‍🌈</t>
  </si>
  <si>
    <t>🩷O pontinho Rosa do Barretão
🎤Apresentador 
Sou ponte entre mundos: fé e diversidade, tradição e coragem.</t>
  </si>
  <si>
    <t>https://umusicplay.lnk.to/TopnejobyOdorico</t>
  </si>
  <si>
    <t>odoriko.eg</t>
  </si>
  <si>
    <t>Odoriko</t>
  </si>
  <si>
    <t>踊り子 
Contemporary Japanese Fusion
📍Arkan Plaza</t>
  </si>
  <si>
    <t>https://linktr.ee/Odorikoeg</t>
  </si>
  <si>
    <t>odor_kr</t>
  </si>
  <si>
    <t>ODOR BASED IN SEOUL</t>
  </si>
  <si>
    <t>https://odorshop.co.kr</t>
  </si>
  <si>
    <t>adivasi_karnataka_hakkipikki</t>
  </si>
  <si>
    <t>Adivasi Herbal Original Hair Oil</t>
  </si>
  <si>
    <t>*For 𝐇𝐞𝐚𝐥𝐭𝐡𝐢𝐞𝐫 Growth
*Reduces 𝐃𝐚𝐧𝐝𝐫𝐮𝐟𝐟 
*Add 𝐓𝐡𝐢𝐜𝐤𝐧𝐞𝐬𝐬 
*More Benefits
Use Adivasi Karnataka Tejaswini Hair Oil.
Contact Us : 𝟗𝟗𝟔𝟒𝟐𝟗𝟕𝟑𝟕𝟑/ 𝟗𝟑𝟖𝟎𝟒𝟎𝟐𝟕𝟐𝟏</t>
  </si>
  <si>
    <t>https://adivasikarnataka.com/products/original-south-indian-karnataka-adivasi-hair-oil</t>
  </si>
  <si>
    <t>biooillebanon</t>
  </si>
  <si>
    <t>Bio-Oil</t>
  </si>
  <si>
    <t>Bio-Oil Lebanon 
35 years, 4 pioneering skincare products.</t>
  </si>
  <si>
    <t>http://bio-oil.com</t>
  </si>
  <si>
    <t>dolce.vivaa</t>
  </si>
  <si>
    <t>Spell Jar - Magic Oil - Tarot Online</t>
  </si>
  <si>
    <t>🌗 Founder : @nguyennga.dolce 
Chúng tôi không bán sản phẩm. Chúng tôi bán trạng thái cảm xúc.</t>
  </si>
  <si>
    <t>nancys.oil</t>
  </si>
  <si>
    <t>𝑵𝒂𝒏𝒄𝒚’𝒔 𝑶𝒊𝒍</t>
  </si>
  <si>
    <t>• HOMEMADE ORGANIC OILS 
• Natural Cosmetics, Cold Pressed, Handmade in Lebanon 
• Certifications 
• 100% ORGANIC🌿
• Delivery All Over Lebanon</t>
  </si>
  <si>
    <t>https://nancysoil.myshopify.com/</t>
  </si>
  <si>
    <t>oil</t>
  </si>
  <si>
    <t>OIL</t>
  </si>
  <si>
    <t>God First ✝️
A: Always 
B: Be
C: Closing</t>
  </si>
  <si>
    <t>oil_1929</t>
  </si>
  <si>
    <t>ออย สาวแว่น (ช่องจริง)</t>
  </si>
  <si>
    <t>🐰oily oily🐰 พี่ๆfcสมัครเนื้อหาพิเศษvipที่โปรแกรมได้เลยงับที่รัก ผลงานพิเศษ ชุดนอน ชั้นใน มือ2 บ้านเขียว💚  รับรีวิว ไม่ได้ขายกี  ไม่รับเว็บพนัน</t>
  </si>
  <si>
    <t>https://www.facebook.com/share/1BmX4xMizT/?mibextid=wwXIfr</t>
  </si>
  <si>
    <t>oilatj</t>
  </si>
  <si>
    <t>ОИЛА</t>
  </si>
  <si>
    <t>Сомона барои Оила!</t>
  </si>
  <si>
    <t>https://oila.tj</t>
  </si>
  <si>
    <t>oil_c25</t>
  </si>
  <si>
    <t>キャベツはうちの</t>
  </si>
  <si>
    <t>❤️19
DM全部見てます❕気まぐれ返信⸍ɞ̴̶̷ ·̫ ɞ̴̶̷⸌</t>
  </si>
  <si>
    <t>https://huart.jp/ja/profile/47525</t>
  </si>
  <si>
    <t>standoil</t>
  </si>
  <si>
    <t>STAND OIL / 스탠드오일</t>
  </si>
  <si>
    <t>Stand for your daily life full of inspiration.
✸
Worldwide shipping available</t>
  </si>
  <si>
    <t>http://linktr.ee/standoil</t>
  </si>
  <si>
    <t>bibliotheque_de_parfum</t>
  </si>
  <si>
    <t>Niche perfumery brand 🇺🇦</t>
  </si>
  <si>
    <t>Для знайомства з ароматами, пиши в direct “magic”
Спеціальні пропозиції за посиланням нижче 👇🏼</t>
  </si>
  <si>
    <t>https://bibliotheque-de-parfum.ua/collections/product-of-the-month?utm_source=instagram&amp;utm_medium=page</t>
  </si>
  <si>
    <t>colibriparfum</t>
  </si>
  <si>
    <t>𝗖𝗢𝗟𝗜𝗕𝗥𝗜 𝗣𝗔𝗥𝗙𝗨𝗠 • 𝗟𝗼𝗷𝗮 𝗱𝗲 𝗽𝗲𝗿𝗳𝘂𝗺𝗮𝗿𝗶𝗮</t>
  </si>
  <si>
    <t>O mundo da perfumaria na palma da sua mão!
🎟️ Primeira compra? CUPOM: PRIMEIRA
🇧🇷 Enviamos para todo Brasil!
COMPRE PELO SITE 👇</t>
  </si>
  <si>
    <t>http://www.colibriparfum.com.br</t>
  </si>
  <si>
    <t>jaroslav_parfum</t>
  </si>
  <si>
    <t>Jaroslav_parfum | Parfémy | Recenze</t>
  </si>
  <si>
    <t>💎 | Váš průvodce světem vůní
🔍 | Kód Jaroslav15 pro 15% slevu na vše u @fragranza_parfumerie</t>
  </si>
  <si>
    <t>https://czechfragranceclub.cz</t>
  </si>
  <si>
    <t>jo__parfum</t>
  </si>
  <si>
    <t>Joy Only</t>
  </si>
  <si>
    <t>Парфюмерия от мировых брендов 
Подберем для вас идеальный аромат 
Только оригинальная Парфюмерия 
⏰ Режим работы: 24/7 
 📍Шахрисабз, 15</t>
  </si>
  <si>
    <t>parfumbar.moscow</t>
  </si>
  <si>
    <t>ПАРФЮМ БАР | ПОКРОВКА</t>
  </si>
  <si>
    <t>Коктейль-бар в бывшей парфюмерной лавке🍸
Будни — квартирники и гастро-иммерсивы @bardamshow 
Выходные — DJ-сеты и вечеринки 🪩
Ср-Сб с 17:00 | Бронь ↓</t>
  </si>
  <si>
    <t>https://wa.clck.bar/79915949944</t>
  </si>
  <si>
    <t>parfumbrasiloficial</t>
  </si>
  <si>
    <t>PARFUM BRASIL</t>
  </si>
  <si>
    <t>As fragrâncias mais desejadas do mundo ao alcance de todos! 
• Cruelty Free •
👇🏼 Saiba mais sobre a #parfumbrasil👇🏼</t>
  </si>
  <si>
    <t>https://parfumbrasil.com.br/encontre/</t>
  </si>
  <si>
    <t>parfumerorg</t>
  </si>
  <si>
    <t>Парфумерія ◉ оригінал ◉ розпив ◉ Parfumerorg</t>
  </si>
  <si>
    <t>Бутік нішевих ароматів і не лише ароматів
Косметика @profcosmetic_org 
Founder @katrusj
Шпилька #1 @fiona_franchimon.ukr
Полтава, вул. Стрітенська, 18</t>
  </si>
  <si>
    <t>https://parfumer.org</t>
  </si>
  <si>
    <t>parfumsdemarly</t>
  </si>
  <si>
    <t>PARFUMS de MARLY</t>
  </si>
  <si>
    <t>À Nul Autre Pareil — Beyond Compare.
French Haute Parfumerie created by Julien Sprecher.
#ParfumsdeMarly</t>
  </si>
  <si>
    <t>https://parfums-de-marly.com/pages/vision</t>
  </si>
  <si>
    <t>palinparis</t>
  </si>
  <si>
    <t>Parisian ✨</t>
  </si>
  <si>
    <t>A colorful mind 🌈</t>
  </si>
  <si>
    <t>parisianamour</t>
  </si>
  <si>
    <t>Araqs</t>
  </si>
  <si>
    <t>Digital influencer &amp; Content creator 
Run by @masensus
For business inquiries and promotions✉️
masensusco@gmail.com</t>
  </si>
  <si>
    <t>parisianamours</t>
  </si>
  <si>
    <t>Ma Advani</t>
  </si>
  <si>
    <t>маня । 🇺🇸🇷🇺🇮🇳
🔴 I stream twice a week &gt; YT:ArtemisADV 
📍 NYC/ FL
🌶️ Dropping Halloween Exclusives👇🏼
Email for Collaborations 𓆩♡𓆪</t>
  </si>
  <si>
    <t>parisianbeautyacademy</t>
  </si>
  <si>
    <t>Parisian Beauty Academy PMPS | NJ Beauty School</t>
  </si>
  <si>
    <t>Cosmetology | Esthetics | Teacher Training 
🌟 Transforming Passion into Profession since 1949 🎨 
Clases disponibles en Español!</t>
  </si>
  <si>
    <t>https://beacons.ai/parisianbeautyacademy</t>
  </si>
  <si>
    <t>parisian_off</t>
  </si>
  <si>
    <t>Pãrį Sãin</t>
  </si>
  <si>
    <t>The right person never laves ...
✨ Bienvenue chez moi 🇩🇿 ✨
💈| Coiffeurr de Luxe 💇🏻‍♂️
📍|@lahcen_modern_barber
📱| Contact : 0670601390🥇</t>
  </si>
  <si>
    <t>https://www.tiktok.com/@parisian_officiel?_t=8qX3e7tTxnK&amp;_r=1</t>
  </si>
  <si>
    <t>parisianthreats</t>
  </si>
  <si>
    <t>Parisian Threats</t>
  </si>
  <si>
    <t>🇫🇷 Les plus belles bombes Françaises
📩 Collaboration en DM</t>
  </si>
  <si>
    <t>parisianvibe</t>
  </si>
  <si>
    <t>ParisianVibe</t>
  </si>
  <si>
    <t>Bringing you a piece of Paris and elegance, wherever you are.</t>
  </si>
  <si>
    <t>https://youtu.be/PXRoeaaTZUc?si=3H1itBvW_dsF1nSi</t>
  </si>
  <si>
    <t>theparisianvintage</t>
  </si>
  <si>
    <t>THE PARISIAN VINTAGE</t>
  </si>
  <si>
    <t>Redefine luxury, commit to the future 
High-end vintage selection for women &amp; men</t>
  </si>
  <si>
    <t>https://linktr.ee/theparisianvintage</t>
  </si>
  <si>
    <t>astccessories</t>
  </si>
  <si>
    <t>Perfumes</t>
  </si>
  <si>
    <t>Por mayor y detalle💕@astmart1 CEO
Hacemos envíos a todo el país📦🚚
NO CONTRAENTREGA🚫
Calle Ramon Santana, Plaza AMAPOLA, local 104, SD</t>
  </si>
  <si>
    <t>https://api.whatsapp.com/send?phone=18493609623&amp;text=Buenas</t>
  </si>
  <si>
    <t>br_perfume2</t>
  </si>
  <si>
    <t>Brand.perfume2</t>
  </si>
  <si>
    <t>◻️ متجر اونلاين متخصص في بيع العطور الاصلية 💯
◻️ يوجد لدينا بدائل للعطور المميزه  👌🏻
◻️ التوصيل متوفر لجميع مناطق فلسطين 🚚</t>
  </si>
  <si>
    <t>jperfumes_ms</t>
  </si>
  <si>
    <t>JP Perfumes - Venta de perfumes - Tienda de perfumes</t>
  </si>
  <si>
    <t>• Perfumes, Accesorios y algo más ♠️
• Envíos nacionales 🇻🇪
👇🏼 Pide tu favorito 👇🏼</t>
  </si>
  <si>
    <t>luxury_perfume_oils_nbo</t>
  </si>
  <si>
    <t>Jane Gathoni Orumoi</t>
  </si>
  <si>
    <t>Main HQ DXB 
Location:  NAIROBI HH Towers shop F03 1st floor 
Phone: 0723 70 24 93 
paybill :247247
Act: 0713618648
OPEN 7 DAYS A WEEK</t>
  </si>
  <si>
    <t>perfumegenius</t>
  </si>
  <si>
    <t>Perfume Genius</t>
  </si>
  <si>
    <t>https://linktr.ee/perfumegenius</t>
  </si>
  <si>
    <t>perfumesiren</t>
  </si>
  <si>
    <t>Sol Pacheco</t>
  </si>
  <si>
    <t>Fragrance Collector &amp; Reviewer | 175k+ on TikTok
PR &amp; Collaborations: ap@sollaniagency.com
Shop my videos 👇🏼</t>
  </si>
  <si>
    <t>https://linktr.ee/Perfumesiren</t>
  </si>
  <si>
    <t>perfumesreal</t>
  </si>
  <si>
    <t>PERFUMES REAL</t>
  </si>
  <si>
    <t>Comunidad #1 Colombia en perfumes de las mejores casas del mundo
📍QOffice-CC Florida-CC Viva envigado
👇🏼Envíame un mensaje y encontramos tu perfume</t>
  </si>
  <si>
    <t>sele_perfume</t>
  </si>
  <si>
    <t>Sèlé_perfume</t>
  </si>
  <si>
    <t>Original perfumes&amp;mirror
Big discount up to50%
Shipping to all governorates of Egypt
🚛📦
متاح طلب الجمله</t>
  </si>
  <si>
    <t>https://www.facebook.com/profile.php?id=61565877723726&amp;mibextid=ZbWKwL</t>
  </si>
  <si>
    <t>zava.perfume</t>
  </si>
  <si>
    <t>ادکلن | عطر | زاوا پرفیوم</t>
  </si>
  <si>
    <t>عطر همان زیبایی ست 
عطر روح زندگی‌ست
تماس : ۰۹۱۲۱۷۷۶۸۳۹
وارد کننده ادکلن های م-سترکوا لیتی با ضمانت پخش و ماندگاری</t>
  </si>
  <si>
    <t>https://zil.ink/zava.perfume</t>
  </si>
  <si>
    <t>victoriaperfumeid</t>
  </si>
  <si>
    <t>Official Account Victoria Perfume Indonesia</t>
  </si>
  <si>
    <t>Fragrance Body Serum dengan UV Protection!
Body Mist wangi mewah tahan lama
Shop now, Tap link ⬇️⬇️</t>
  </si>
  <si>
    <t>http://linktr.ee/victoriaperfumeid</t>
  </si>
  <si>
    <t>adika_perfume</t>
  </si>
  <si>
    <t>ADIKA | Парфюмы и уход</t>
  </si>
  <si>
    <t>Выбирай индивидуальность. Выбирай себя
▫Парфюм на основе натуральных масел
▫Бесплатная доставка от 35 000₸
▫Алматы • Астана • Шымкент • Караганда</t>
  </si>
  <si>
    <t>https://taplink.cc/adikaperfume</t>
  </si>
  <si>
    <t>mr.perfume.review</t>
  </si>
  <si>
    <t>بررسی عطر و ادکلن | MR PERFUME</t>
  </si>
  <si>
    <t>امین هستم | مستر پرفیوم 
🔴 نظرات شخصی در مورد عطرها
Perfume &amp; Travel ✈️
🔴 لینک جشنواره دکانتها 👇👇👇</t>
  </si>
  <si>
    <t>https://mrperfumestore.com/product-category/%D8%AC%D8%B4%D9%86%D9%88%D8%A7%D8%B1%D9%87-%D9%81%D8%B1%D9%88%D8%B4-%D8%AF%DA%A9%D8%A7%D9%86%D8%AA/</t>
  </si>
  <si>
    <t>perfume.adicta</t>
  </si>
  <si>
    <t>Camila • Reseñas de Perfumes | Beauty ®️</t>
  </si>
  <si>
    <t>Biotecnóloga | Influencer de perfumes
Reseño productos con🧪 👩🏻‍🔬
Creadora de Scent Charms ✨®️
Perfumeros Premium 🫰🏻
@lancomeofficial squad 💖</t>
  </si>
  <si>
    <t>http://www.perfumeadicta.com</t>
  </si>
  <si>
    <t>little.miss.perfume</t>
  </si>
  <si>
    <t>Bailee | Fragrance Influencer + UGC Beauty Creator</t>
  </si>
  <si>
    <t>✨Sephora Squad 2023: Perfume, Beauty &amp; Self-Care   
 🎶| TikTok: LittleMissPerfume 80k+
💌| littlemissperfume@gmail.com
⬇️| Links to Perfumes &amp; My Recs</t>
  </si>
  <si>
    <t>https://littlemissperfume.komi.io</t>
  </si>
  <si>
    <t>lina.berd</t>
  </si>
  <si>
    <t>PERFUME | SKINCARE | BEAUTY | REELS AESTHETICS</t>
  </si>
  <si>
    <t>▫️Aesthetic Feed
▫️PR DM</t>
  </si>
  <si>
    <t>zianreviews</t>
  </si>
  <si>
    <t>Zian - Perfume Reviews</t>
  </si>
  <si>
    <t>Reviews, tips y datos sobre perfumes 🙌🏼🌈
📍Buenos Aires, Argentina</t>
  </si>
  <si>
    <t>https://youtu.be/mbdTmqiuvNo</t>
  </si>
  <si>
    <t>perfume.spot.eg</t>
  </si>
  <si>
    <t>𝐏𝐞𝐫𝐟𝐮𝐦𝐞 𝐒𝐩𝐨𝐭</t>
  </si>
  <si>
    <t>Discover a curated selection of outlets, testers, and master box perfumes—all in one place! ✨</t>
  </si>
  <si>
    <t>duyenperfume</t>
  </si>
  <si>
    <t>𝙎𝙝𝙤𝙥𝙚𝙚 &amp; 𝙏𝙞𝙠𝙩𝙤𝙠𝙨𝙝𝙤𝙥: 𝙙𝙪𝙮𝙚𝙣𝙥𝙚𝙧𝙛𝙪𝙢𝙚 Ⓡ</t>
  </si>
  <si>
    <t>📍 𝗕𝗔𝗦𝗘𝗗 𝗶𝗻 𝗛𝗖𝗠 
 ✿ Xem 𝐅𝐄𝐄𝐃𝐁𝐀𝐂𝐊 - tin nổi bật /IB tư vấn mùi
 ✿ Chuyên 𝐏𝐞𝐫𝐟𝐮𝐦𝐞 chiết giá tốt nhất ♥
                📦𝘍𝘳𝘦𝘦𝘴𝘩𝘪𝘱 𝘵𝘢̣𝘪 𝐒𝐇𝐎𝐏𝐄𝐄 𝘭𝘪𝘯𝘬👇🏻</t>
  </si>
  <si>
    <t>https://s.shopee.vn/3fstTowGgk</t>
  </si>
  <si>
    <t>omidfragrance</t>
  </si>
  <si>
    <t>Omid Karimi  |  اُميد كريمى  |  perfume blogger</t>
  </si>
  <si>
    <t>trainer &amp; blogger perfume
CEO &amp; Founder @sellero.ir
Sales leader &amp; growth architect @griffin.care
Business consultant
Perfume Content Creator</t>
  </si>
  <si>
    <t>perfumes_blogger</t>
  </si>
  <si>
    <t>‎لعرض تَجاربي للعطور والبخور 🌸
وميك اب وعناية 💁🏻‍♀️ 
للإستفسار عن الإعلان دايركت 📥
ماشاءالله تبارك الله ✨</t>
  </si>
  <si>
    <t>pkpowerful</t>
  </si>
  <si>
    <t>PK powerful</t>
  </si>
  <si>
    <t>welcome to my</t>
  </si>
  <si>
    <t>https://youtube.com/@ikramulhussain-12?si=7jBs7BmyOz5gktKy</t>
  </si>
  <si>
    <t>powerful</t>
  </si>
  <si>
    <t>Joseph Ayoub</t>
  </si>
  <si>
    <t>@scentiment</t>
  </si>
  <si>
    <t>powerful_com_</t>
  </si>
  <si>
    <t>Hudo hohlasa harakatdan tohtamayman📊
Barcha multfilmlar botimizda🔵
Botimiz👇🏻</t>
  </si>
  <si>
    <t>https://t.me/powerful_com_multik_bot</t>
  </si>
  <si>
    <t>powerfulcountries</t>
  </si>
  <si>
    <t>Powerful Countries</t>
  </si>
  <si>
    <t>Like maps 🗺️ , geopolitics 🌍 📰, and memes relating to such 🤯?¿?
If so you came to the right place!
-
From 🇺🇸</t>
  </si>
  <si>
    <t>powerful___muslim</t>
  </si>
  <si>
    <t>powerfulmuslim</t>
  </si>
  <si>
    <t>powerfulpiece</t>
  </si>
  <si>
    <t>🦄 Badass JessieLynn 🦄</t>
  </si>
  <si>
    <t>Look like a lady ride like a beast 👸🏼🦄  #777
2701 del paso rd 130/66 sacramento ca 95835</t>
  </si>
  <si>
    <t>https://joinfambase.com/invite?c=7WnoDpLm</t>
  </si>
  <si>
    <t>arqprestige</t>
  </si>
  <si>
    <t>JONAS MANFRIN ARQUITETURA</t>
  </si>
  <si>
    <t>Arquitetura | Home Design | Imóveis de Alto padrão 
✦ Inspirações de arquitetura e design de interiores.
✦ Curadoria de excelência em imóveis de luxo.</t>
  </si>
  <si>
    <t>bossyprestige</t>
  </si>
  <si>
    <t>✨WATCH MY STORIES &amp; SHOP
✨Prestige Luxury, Next To Pinocchio, Jungle Ave, East legon Accra
✨Luxury Personal Shopping 🛍️
✨Jeweller💎
✨Real Estate Boss 🏡</t>
  </si>
  <si>
    <t>https://t.snapchat.com/VYLpD8VI</t>
  </si>
  <si>
    <t>pinprestige</t>
  </si>
  <si>
    <t>品 Prestige (PIN Prestige)</t>
  </si>
  <si>
    <t>改写奢华 有品
Singapore’s Chinese luxury fashion and lifestyle magazine that redefines luxury.
点击以下链接阅读更多精彩内容</t>
  </si>
  <si>
    <t>https://www.pinprestige.com/sg/</t>
  </si>
  <si>
    <t>prestige.dan</t>
  </si>
  <si>
    <t>Memes by Dan 👑</t>
  </si>
  <si>
    <t>i post memes every day ❤️❤️
Follow to become part of the prestige army 😤
Dank memes since 2016 👊👊</t>
  </si>
  <si>
    <t>prestigefinancials</t>
  </si>
  <si>
    <t>Prestige Financials</t>
  </si>
  <si>
    <t>🔥 | Inspiration &amp; Motivation
⚖️ | Personal Development
🙌🏼 | Join The Prestige Family
💰 | DM For Shout Outs</t>
  </si>
  <si>
    <t>prestigehk</t>
  </si>
  <si>
    <t>Prestige Hong Kong</t>
  </si>
  <si>
    <t>Follow us for the very best in life, exclusive behind the scenes and not-to-be-missed events.</t>
  </si>
  <si>
    <t>https://linkin.bio/prestigehk</t>
  </si>
  <si>
    <t>prestigehomess</t>
  </si>
  <si>
    <t>Prestige Homes</t>
  </si>
  <si>
    <t>Explore the world of luxury real estate!
-
📱Tiktok @ prstgehomes (400k+)
📧Contact: Prstgehomes@gmail.com</t>
  </si>
  <si>
    <t>prestigeimports</t>
  </si>
  <si>
    <t>Prestige Imports</t>
  </si>
  <si>
    <t>EST. 1977
Largest Exotic Inventory in the USA
@lamborghinimiami
@paganiofmiami 
@czingermiami 
@lotusofmiami
@karmamiami</t>
  </si>
  <si>
    <t>https://prestigeimports.store</t>
  </si>
  <si>
    <t>prestigeth</t>
  </si>
  <si>
    <t>Prestige Magazine Thailand</t>
  </si>
  <si>
    <t>Asia’s Inner Circle</t>
  </si>
  <si>
    <t>https://linkstre.am/prestigeth</t>
  </si>
  <si>
    <t>theprestigeofficial</t>
  </si>
  <si>
    <t>Official Prestige Instagram
We deliver all over Bangladesh 🇧🇩
Trusted by 40,000 satisfied customers ⚡️</t>
  </si>
  <si>
    <t>http://prestigestyles.com</t>
  </si>
  <si>
    <t>prestige_house.ik</t>
  </si>
  <si>
    <t>ГОСТЕВЫЕ ДОМА | ИССЫК-КУЛЬ | ИППОДРОМ</t>
  </si>
  <si>
    <t>🏡 Prestige House | Чолпон-Ата | Ипподром 
✨ Гостевые дома у озера
🔥 Баня • Бассейн • BBQ • Детская зона
🌊 До берега — 500 м
📲 Бронь и вопросы ⤵️</t>
  </si>
  <si>
    <t>prestigehouses</t>
  </si>
  <si>
    <t>Prestige Houses</t>
  </si>
  <si>
    <t>Official Instagram account of Prestige Houses, your ultimate guide to the world's most stunning properties, hotels and resorts.</t>
  </si>
  <si>
    <t>pres.garm</t>
  </si>
  <si>
    <t>Prestigious Garments</t>
  </si>
  <si>
    <t>Essential Threads For Everyone
Mental Health Tee Shipping This Week!</t>
  </si>
  <si>
    <t>http://www.presgarm.com</t>
  </si>
  <si>
    <t>prestigiousjewellers</t>
  </si>
  <si>
    <t>Prestigious Jewellers</t>
  </si>
  <si>
    <t>Official Instagram Account 📸  EST. 2019
Globally Recognised 🌍
Leeds City Centre📍U.K 🇬🇧
*Not affiliated with the brands that we sell*</t>
  </si>
  <si>
    <t>https://linktr.ee/prestigiousjewellers</t>
  </si>
  <si>
    <t>prestigious.pearls</t>
  </si>
  <si>
    <t>Prestigious  Pearls</t>
  </si>
  <si>
    <t>Based in Atlanta GA ... Members age 6-19 
💗Sisterhood
💗Empowerment
Bookings Prestigious.Pearls@yahoo.com</t>
  </si>
  <si>
    <t>https://youtube.com/channel/UCi1BHBZ18Ezz2AAR6qrwItQ</t>
  </si>
  <si>
    <t>urprestigious</t>
  </si>
  <si>
    <t>PRESTIGIOUS</t>
  </si>
  <si>
    <t>DM for pricing
MON - SAT  11 am - 8 pm
Sun.  12 pm - 5 pm
Men's &amp; Women's Clothing Store
29740 Southfield Rd.
Southfield, MI 48076
248.234.8907</t>
  </si>
  <si>
    <t>http://www.urprestigious.com/</t>
  </si>
  <si>
    <t>projection_mapping_world</t>
  </si>
  <si>
    <t>PMW Projection Mapping Immersive Interactive &amp; New Media Arts</t>
  </si>
  <si>
    <t>▪️But not only Projection Mapping…
▪️DM for collaborations 
.
➕ Curated by @palnoise_</t>
  </si>
  <si>
    <t>puprojections</t>
  </si>
  <si>
    <t>Projections</t>
  </si>
  <si>
    <t>Projections is Gujarat’s Largest Technical Fest that is being organized by Parul University, with more than 50+ Tech, Non-Tech events, Workshops etc</t>
  </si>
  <si>
    <t>http://projections.co.in</t>
  </si>
  <si>
    <t>therefinement.official</t>
  </si>
  <si>
    <t>Refinement Official</t>
  </si>
  <si>
    <t>Specialty store offering Finest Men's Footwear and Accessories.
(+66) 91-566-3969
𝘓𝘪𝘯𝘦 𝘖𝘈 @𝘳𝘦𝘧𝘪𝘯𝘦𝘮𝘦𝘯𝘵𝘰𝘧𝘧𝘪𝘤𝘪𝘢𝘭</t>
  </si>
  <si>
    <t>https://refinementofficial.com</t>
  </si>
  <si>
    <t>reputationbusinessforum</t>
  </si>
  <si>
    <t>REPUTATION</t>
  </si>
  <si>
    <t>Деловой информационный ресурс и Всероссийский образовательный бизнес-форум «Репутация»</t>
  </si>
  <si>
    <t>https://t.me/reputationbusinessforum</t>
  </si>
  <si>
    <t>reputationextensions</t>
  </si>
  <si>
    <t>Reputation Extension Company</t>
  </si>
  <si>
    <t>Professional luxury extensions. 
Join the movement. ♥️
@kathynunezhair + @colorbyliv 
ReputationExtensions@gmail.com
Tag #reputationextensions 
SHOP⬇️</t>
  </si>
  <si>
    <t>https://reputationextensions.com/</t>
  </si>
  <si>
    <t>reputation_studios_</t>
  </si>
  <si>
    <t>Reputation Studios</t>
  </si>
  <si>
    <t>Your everyday streetwear brand, Worldwide delivery 🌎 
Shop HERE 👇🏼</t>
  </si>
  <si>
    <t>http://www.reputation-studios.com</t>
  </si>
  <si>
    <t>tributetotaylor</t>
  </si>
  <si>
    <t>Reputation a Tribute Band to Taylor</t>
  </si>
  <si>
    <t>We are a tribute band to Taylor Swift. We aren't associated with or claim to be the real Taylor Swift. We do not represent or speak for Taylor  Swift.</t>
  </si>
  <si>
    <t>http://www.tributetotaylor.com</t>
  </si>
  <si>
    <t>don_resin</t>
  </si>
  <si>
    <t>Don resin</t>
  </si>
  <si>
    <t>𝘼𝙧𝙩𝙞𝙨𝙩|𝙗𝙪𝙨𝙞𝙣𝙚𝙨𝙨|𝘾𝙤𝙡𝙤𝙢𝙗𝙞𝙖𝙣🇨🇴| 𝐔𝐒&amp;𝐈𝐧𝐭𝐞𝐫𝐧𝐚𝐭𝐢𝐨𝐧𝐚𝐥
Installs &amp; Classes🎨
donresinstudios@gmail.com
Donresin.org &amp; Resinclass.com
@donresin.espanol (𝙎𝙥𝙖𝙣𝙞𝙨𝙝)</t>
  </si>
  <si>
    <t>https://link.me/don_resin</t>
  </si>
  <si>
    <t>jp.resin</t>
  </si>
  <si>
    <t>Juan Antonio Perez-Espitia</t>
  </si>
  <si>
    <t>✝️
26 1ST GEN 🇲🇽X🇺🇸
I CREATE QUALITY RESIN FLOORS 🧪 
FILL OUT FORM ON MY WEBSITE TO GET IN CONTACT📲
SIGN UPS R LIVE🗒️
I TRAVEL ANYWHERE 🛸
ATLANTA📍</t>
  </si>
  <si>
    <t>https://beacons.ai/jpresin</t>
  </si>
  <si>
    <t>letsresin</t>
  </si>
  <si>
    <t>Let's Resin</t>
  </si>
  <si>
    <t>🛍One-Stop Shop-Resin Molds &amp; Pigments, Resin, Alcohol Inks, Tools
Art is all about sailing across an unpredictable ocean, let us be your oars</t>
  </si>
  <si>
    <t>https://taplink.cc/letsresin</t>
  </si>
  <si>
    <t>nadera_resin_</t>
  </si>
  <si>
    <t>Resin &amp; Silver 🦋❤️</t>
  </si>
  <si>
    <t>مجوهرات فضة و فن الريزن💍❤️
📍فلسطين🤍
متوفر خدمة التوصل لجميع مناطق الضفة و القدس و الداخل 🇵🇸
و يوجد خدمة توصيل للاردن 🇯🇴❤️
للطلب التواصل واتس او انستا✨</t>
  </si>
  <si>
    <t>odontoliderprime</t>
  </si>
  <si>
    <t>Facetas em Resina | Implante | Aparelho | Dentista Caruaru</t>
  </si>
  <si>
    <t>📍UND 1 - Praça Teotônio Vilela n75
CRO 448 - RT Anny Maia CRO 9695 PE
📍UND 2 - Rua Sete de Setembro n36
CRO 599 - RT Flávio Rodrigues CRO 9711 PE</t>
  </si>
  <si>
    <t>resinart_daily</t>
  </si>
  <si>
    <t>RESIN ART ⭐ Art sharing page</t>
  </si>
  <si>
    <t>THE BIGGEST RESINART COMMUNITY 💫</t>
  </si>
  <si>
    <t>resinbeautyla</t>
  </si>
  <si>
    <t>Resin Beauty LA</t>
  </si>
  <si>
    <t>Resin Art🪴 Jewelry 🪴&amp; Accessories🪴
🌿Ships Internationally
Handcrafted in LA🌴
🌿Click the Link👇🏼To Shop</t>
  </si>
  <si>
    <t>https://linktr.ee/ResinBeautyLA</t>
  </si>
  <si>
    <t>resin.by.amarr</t>
  </si>
  <si>
    <t>Amar Zein | Resin Artist</t>
  </si>
  <si>
    <t>Expert in resin souvenir,clocks,accessories and more ..✨
1800+ Happy Customer 😃
Worldwide shipping 🌎
Orders byDM/WP</t>
  </si>
  <si>
    <t>resin_lovee</t>
  </si>
  <si>
    <t>UVレジンハンドメイドチャンネル</t>
  </si>
  <si>
    <t>YouTubチャンネル登録者12万人 もりもとまきこ
■著書本「レジンで作るアクアカラーのアクセサリー」
■ユーキャン レジンアクセサリー講座監修
⁡■隠れ工房GreenOcean公式クリエイター⁡
⁡■手作り工房MYmama公式アンバサダー
■croccha公認クリエイター
■POEMディレクター</t>
  </si>
  <si>
    <t>https://youtube.com/@resin_lovee</t>
  </si>
  <si>
    <t>richa.chandrawanshi.arts</t>
  </si>
  <si>
    <t>RICHA CHANDRAWANSHI  ARTS - RCA || Resin</t>
  </si>
  <si>
    <t>Upcoming workshops
lotus online- 6sep
lotus &amp; ocean Blr- 7Sep
ocean online - 4&amp;5 oct
online 
Personal profile @richa.chandrawanshi</t>
  </si>
  <si>
    <t>theartstore_resin_24</t>
  </si>
  <si>
    <t>Resin | Pigment | Silicon mold | Resin Art Workshops</t>
  </si>
  <si>
    <t>🏭 Resin and Mold Manufacturer🤩
📦 1200000 +Prepaid Orders Shipped 🌎
🤑 UNBEATABLE PRICES
👨‍🎓 10000+ Workshop Student 🌟</t>
  </si>
  <si>
    <t>https://resin24.com</t>
  </si>
  <si>
    <t>uniresinas</t>
  </si>
  <si>
    <t>Uni Resinas - Resina Criativa🦄</t>
  </si>
  <si>
    <t>🦄 Curso Gravado por R$100,00
✨ Dicas gratuitas seeeeempre
🛍️ Nossa lojinha @atelie.daline 
🦄 Desde 2020</t>
  </si>
  <si>
    <t>https://linktr.ee/Uniresinas</t>
  </si>
  <si>
    <t>archivedrunway</t>
  </si>
  <si>
    <t>Archived Runway</t>
  </si>
  <si>
    <t>A source of inspiration and insight for those who shape and love the craft.</t>
  </si>
  <si>
    <t>breerunway</t>
  </si>
  <si>
    <t>☆ Bree Runway</t>
  </si>
  <si>
    <t>MY COLORS DEBUT “EAT IN SILENCE” OUT NOW🎂🩵</t>
  </si>
  <si>
    <t>https://colors.lnk.to/breerunway1119</t>
  </si>
  <si>
    <t>projectrunwayeldjazair</t>
  </si>
  <si>
    <t>Project Runway El Djazair</t>
  </si>
  <si>
    <t>البرنامج العالمي لتصميم و الموضة Project Runway بنسخته الجزائرية 🇩🇿 حصرياً على @echorouktv.officiel 🪡✂️
كل سبت على 21:20 ⏳📺
رابط النهائي ⬇️⬇️</t>
  </si>
  <si>
    <t>https://youtu.be/GshIsVOt1pg?si=s6NZYaKd6NlB_qlM</t>
  </si>
  <si>
    <t>runway7fashion</t>
  </si>
  <si>
    <t>Runway 7</t>
  </si>
  <si>
    <t>New York Fashion Week’s Premier Runway Production featured on the #Inc5000 list. NYFW September 10-14, 2025 @ Sony Hall 
2-for-1 Tickets, use GA2X1 ⤵️</t>
  </si>
  <si>
    <t>https://runway7fashion.komi.io</t>
  </si>
  <si>
    <t>runwayapp</t>
  </si>
  <si>
    <t>Runway is an applied research company building for the next era of art, entertainment and human creativity.</t>
  </si>
  <si>
    <t>https://runwayml.com/news/runway-fabula-partnership</t>
  </si>
  <si>
    <t>runway_billionaire</t>
  </si>
  <si>
    <t>Maurice Bowman</t>
  </si>
  <si>
    <t>AI - DIGITAL MARKETING- FUNNELS- AUTOMATION
💰 I teach people how to go from $0-100k+ online
Free 3 day challenge ⬇️</t>
  </si>
  <si>
    <t>https://billionairemarketing.agency/linkinbio-page</t>
  </si>
  <si>
    <t>runway.pakistan</t>
  </si>
  <si>
    <t>Runway Pakistan®</t>
  </si>
  <si>
    <t>An online content creation platform owned by @runwayadvertisingpakistan
Publisher Blogger | Digital &amp; PR Agency | Production House</t>
  </si>
  <si>
    <t>https://youtu.be/G9wijoT0h54?si=oQ0I4mSFVwE3Hy1t</t>
  </si>
  <si>
    <t>runwayroom</t>
  </si>
  <si>
    <t>Runway Room Cosmetics</t>
  </si>
  <si>
    <t>AUSTRALIAN made cosmetics delivering UNCOMPLICATED, AGELESS and ETHICAL beauty ✨
Founded by @alexfevolamakeup 
40% PRO Discount</t>
  </si>
  <si>
    <t>https://www.runwayroom.com</t>
  </si>
  <si>
    <t>runwayscout</t>
  </si>
  <si>
    <t>RUNWAY SCOUT</t>
  </si>
  <si>
    <t>* Australian-based online store
* Worldwide Shipping</t>
  </si>
  <si>
    <t>https://linktr.ee/runwayscout</t>
  </si>
  <si>
    <t>runwayskirts</t>
  </si>
  <si>
    <t>Runway Skirts Online Boutique</t>
  </si>
  <si>
    <t>Online Boutique 
Runway Inspired Fashion
🌎 Worldwide Shipping
Contact Us: support@runwayskirt.com
Visit online store 👇🏻</t>
  </si>
  <si>
    <t>http://www.runwayskirts.com/</t>
  </si>
  <si>
    <t>runwaytienda</t>
  </si>
  <si>
    <t>Maquillaje en Colombia - Runway ✨</t>
  </si>
  <si>
    <t>Maquillaje, cuidado del cabello y skincare. 
.
Especializados en productos de 🇺🇸 high end.
.
Whatsapp 3206800135 y DM. 
.
CLICK A WHATSAPP⬇️</t>
  </si>
  <si>
    <t>http://api.whatsapp.com/send?phone=573206800135</t>
  </si>
  <si>
    <t>therunwayboutiquepr</t>
  </si>
  <si>
    <t>Runway Boutique</t>
  </si>
  <si>
    <t>Tue-Sat 12pm to 5pm - Guaynabo</t>
  </si>
  <si>
    <t>https://therunwayboutiquepr.com/</t>
  </si>
  <si>
    <t>theshikhasistersofficial</t>
  </si>
  <si>
    <t>Int/Runway/Campaign/Models/Beauty👑/ChildArtists.ManagedbyMum</t>
  </si>
  <si>
    <t>Chindian
AsiaPacificIntBookOfRecord
👑 JuniorMsIdol Int'24
👑JuniorMsIdolMsia'23
👑 GrandWinnerS'gorModelHunt'23
IAMSI🥉/👑IAMSM'22
Top10M'siaR'w</t>
  </si>
  <si>
    <t>https://www.bookd.online/T_10252062</t>
  </si>
  <si>
    <t>perfumee100</t>
  </si>
  <si>
    <t>Sauvage 🌼</t>
  </si>
  <si>
    <t>Original European Perfume
بۆنی ڕەسەنی ئەوڕوپی</t>
  </si>
  <si>
    <t>escentcandle</t>
  </si>
  <si>
    <t>Escent Candle • Velas Aromáticas</t>
  </si>
  <si>
    <t>💫trazendo experiências incríveis para você
✨mais de 15000 lares perfumados e iluminados
🍃cera vegetal e alta performance
Compre aqui ⤵</t>
  </si>
  <si>
    <t>http://escentcandle.com.br</t>
  </si>
  <si>
    <t>lootahperfumes</t>
  </si>
  <si>
    <t>Scent For Every Moment</t>
  </si>
  <si>
    <t>http://www.lootahperfumes.com</t>
  </si>
  <si>
    <t>scentadvice</t>
  </si>
  <si>
    <t>ScentAdvice</t>
  </si>
  <si>
    <t>by @brainfragrances 🧠👃
Website, App &amp; Discounts ↙️</t>
  </si>
  <si>
    <t>https://linktr.ee/scentadvice</t>
  </si>
  <si>
    <t>scentbird</t>
  </si>
  <si>
    <t>Scentbird</t>
  </si>
  <si>
    <t>A World of Fragrance. Scentbird is your fragrance destination—a single place to discover, explore, learn about, and experience scents just for you.</t>
  </si>
  <si>
    <t>https://likeshop.me/scentbird</t>
  </si>
  <si>
    <t>scent.br_</t>
  </si>
  <si>
    <t>Scent.Br</t>
  </si>
  <si>
    <t>Mundo dourado. Fragrâncias exclusivas.
⭐️ Para todos que brilham com essência. 
⤵️ Compre aqui</t>
  </si>
  <si>
    <t>http://www.scentbr.com.br</t>
  </si>
  <si>
    <t>scentgasm</t>
  </si>
  <si>
    <t>❤️‍🔥 SCENTGASM ❤️‍🔥</t>
  </si>
  <si>
    <t>Sharing icons, classics &amp; latest launches SO good, guaranteed to give u a #SCENTGASM ❤️‍🔥
“Because Perfume is Pleasure!” By @monakattan</t>
  </si>
  <si>
    <t>http://www.scentgasm.com/</t>
  </si>
  <si>
    <t>scentiment</t>
  </si>
  <si>
    <t>Scentiment</t>
  </si>
  <si>
    <t>✨ Make Your Home Smell Luxurious
🫧 Clean Scents Made in the US
🐶 Safe for Pets &amp; Kids
👇 Shop up to 75% OFF Sitewide!</t>
  </si>
  <si>
    <t>https://scentiment.com</t>
  </si>
  <si>
    <t>_scentsgalore</t>
  </si>
  <si>
    <t>Candle hoarder 🕯🕯🕯 est. 2015 
❌DRAMA❌I WILL BLOCK YOU❌
✨POSITIVITY ONLY ✨
📧:scentsgalore123@gmail.com</t>
  </si>
  <si>
    <t>https://linktr.ee/_scentsgalore</t>
  </si>
  <si>
    <t>scent_station_official</t>
  </si>
  <si>
    <t>SCENT STATION</t>
  </si>
  <si>
    <t>Deira,Dubai wholesale&amp;retail ALNABEEL building202 جميع العطور أصليه من الوكلاء مباشرة مع الضمان توصيل لكافه انحاء الإمارات- للطلب الدايركت TO ORDER DM</t>
  </si>
  <si>
    <t>https://scentstation.ae</t>
  </si>
  <si>
    <t>scentsy</t>
  </si>
  <si>
    <t>Scentsy | Home Fragrance</t>
  </si>
  <si>
    <t>Fragrance &amp; décor for how you live. ✨
📷 share + tag to be featured
Find a Consultant or shop👇</t>
  </si>
  <si>
    <t>https://sprout.link/scentsy</t>
  </si>
  <si>
    <t>signature_scent_1992</t>
  </si>
  <si>
    <t>Signature_Scent🪷</t>
  </si>
  <si>
    <t>#توزيعات_راقيه و أنيقة صنعت بكل حب🫶🏻
لجميع المناسبات 👏🏻
للطلب على الدايركت 💌
*🇦🇪📍Abu‪ Dhabi
توصيل لكافة الامارات 🚚*</t>
  </si>
  <si>
    <t>realsillage</t>
  </si>
  <si>
    <t>sillage</t>
  </si>
  <si>
    <t>i make purple music</t>
  </si>
  <si>
    <t>https://beacons.ai/sillage</t>
  </si>
  <si>
    <t>sillage.me</t>
  </si>
  <si>
    <t>Sillage ME</t>
  </si>
  <si>
    <t>Handmade Pearl Jewellery Design</t>
  </si>
  <si>
    <t>http://www.sillageme.com/</t>
  </si>
  <si>
    <t>sillage.online</t>
  </si>
  <si>
    <t>Inspired by the world, made in Japan,
shipping worldwide.</t>
  </si>
  <si>
    <t>http://www.sillage.online/</t>
  </si>
  <si>
    <t>sillage_store</t>
  </si>
  <si>
    <t>Sɪʟʟᴀɢᴇ</t>
  </si>
  <si>
    <t>Vᴇɢᴀɴ, Eᴄᴏ Fʀɪᴇɴᴅʟʏ, Cʀᴜᴇʟᴛʏ Fʀᴇᴇ, Fᴀɪʀ, Oʀɢᴀɴɪᴄ, Cᴏᴍᴘᴏsᴛᴀʙʟᴇ, Sᴜsᴛᴀɪɴᴀʙʟᴇ Aʟᴛᴇʀɴᴀᴛɪᴠᴇs Aɴᴅ Rᴇғɪʟʟ Sᴇʀᴠɪᴄᴇ 🌱🌏🐖
                 📦📦📦WHOLESALE📦📦📦</t>
  </si>
  <si>
    <t>http://www.sillage.gr/</t>
  </si>
  <si>
    <t>sillageturkey</t>
  </si>
  <si>
    <t>Kokun İle İz Bırak 🙂‍↔️
Yüksek esanslı, kalıcı ve etkileyici parfümler.
Hemen Keşfet ⬇️</t>
  </si>
  <si>
    <t>http://sillage-perfume.com</t>
  </si>
  <si>
    <t>skinchemistryofficial</t>
  </si>
  <si>
    <t>Skin Chemistry</t>
  </si>
  <si>
    <t>🧪 Clinically Proven Skincare | Real Results 
🖇️ Backed by UK Dermatologists | Data-Powered Formulas 🧬
Book Your Free Skin Consultation Today ⬇️</t>
  </si>
  <si>
    <t>http://skinchemistryofficial.com</t>
  </si>
  <si>
    <t>7newsspotlight</t>
  </si>
  <si>
    <t>7NEWS Spotlight</t>
  </si>
  <si>
    <t>The investigative series from @7newsaustralia.
Sunday Nights on @channel7 📺 
Watch on demand on @7plus. 🖥️📱</t>
  </si>
  <si>
    <t>https://m.youtube.com/watch?v=zHabwicaibc&amp;pp=ygURI29uZWV5ZWJsaW5rdmlkZW8%253D</t>
  </si>
  <si>
    <t>animespotlight</t>
  </si>
  <si>
    <t>Anime Spotlight | Anime News</t>
  </si>
  <si>
    <t>🚨 | Covering Anime News,Trends &amp; Updates 
🌐 | World No.1 &amp; Trusted by Anime Fans 
📬 | Collab/PR - animespotlight.in@gmail.com</t>
  </si>
  <si>
    <t>http://www.animespotlight.net</t>
  </si>
  <si>
    <t>sjspotlight</t>
  </si>
  <si>
    <t>San José Spotlight</t>
  </si>
  <si>
    <t>San José Spotlight: A nonprofit newsroom.
Silicon Valley residents deserve a trusted source for local, unbiased reporting and we’re here for you.</t>
  </si>
  <si>
    <t>https://linkin.bio/sjspotlight</t>
  </si>
  <si>
    <t>spot._light</t>
  </si>
  <si>
    <t>بقعة ضوء</t>
  </si>
  <si>
    <t>ضو بسيط بيكشف عتمة كبيرة
والمسرحية بعدها ما خلصت
مسلّطين #بقعة_ضوء علكواليس
@spot._light</t>
  </si>
  <si>
    <t>spotlight.la</t>
  </si>
  <si>
    <t>The Spotlight</t>
  </si>
  <si>
    <t>Redefining the nightlife experience by fostering a creative hub for all things music, art, and culture
Brought to you by @thisisframework</t>
  </si>
  <si>
    <t>http://thespotlight.la</t>
  </si>
  <si>
    <t>spotlighttime</t>
  </si>
  <si>
    <t>Ofri Weintraub (Cohen)</t>
  </si>
  <si>
    <t>Fashion Producer &amp; Creative Director 
Bringing visions to life ✨
For inquiries 💌: info@spotlight-time.com</t>
  </si>
  <si>
    <t>spotlightuk</t>
  </si>
  <si>
    <t>🌟 Where performers amplify their talent and find their stage since 1927. Driving the creative sector forward with our SaaS platform.</t>
  </si>
  <si>
    <t>http://sprout.link/spotlightuk</t>
  </si>
  <si>
    <t>theistanbulspotlight</t>
  </si>
  <si>
    <t>The Istanbul Spotlight</t>
  </si>
  <si>
    <t>A cultural hub &amp; your exclusive pass to favorite celebs.
Everything you need, under The Spotlight.</t>
  </si>
  <si>
    <t>https://youtube.com/@theistanbulspotlight?si=lL4M0Ky-YmVPs7LF</t>
  </si>
  <si>
    <t>wearespotlight_</t>
  </si>
  <si>
    <t>Lavoriamo nel settore dell’animazione da oltre 20 anni, abbiamo raccolto tutte le esperienze necessarie per fornire servizi sempre più completi.</t>
  </si>
  <si>
    <t>liamweis.art</t>
  </si>
  <si>
    <t>Spraypaintguy</t>
  </si>
  <si>
    <t>23 VCU Sculpture senior
🎨 Muralist &amp; wearable art creator
🏙 From city walls to custom tees
📩 DM for commissions &amp; murals
🕺
🛹 Richmond VA📍</t>
  </si>
  <si>
    <t>https://www.tiktok.com/@liamweis.art?_t=ZS-8ypTzjHYlPg&amp;_r=1</t>
  </si>
  <si>
    <t>mindspray</t>
  </si>
  <si>
    <t>SPRAY</t>
  </si>
  <si>
    <t>min4574@gmail.com</t>
  </si>
  <si>
    <t>https://youtube.com/@mindspray</t>
  </si>
  <si>
    <t>sapporospray</t>
  </si>
  <si>
    <t>Sapporo Spray</t>
  </si>
  <si>
    <t>Official Of Sapporo
Follow: @sapporoultimate 
.
Konsultasi : 081-2200-3378
Bandar Pusat : 0895-3390-25441
Jateng : 0812-2555-5861
Check 👇🏼</t>
  </si>
  <si>
    <t>https://whatsapp.com/channel/0029VaFpk54AojYn7Or5fQ1O</t>
  </si>
  <si>
    <t>spray</t>
  </si>
  <si>
    <t>Memes &amp; Entertainment</t>
  </si>
  <si>
    <t>I think Insta warns you or sum wen you follow me but anyways ts a ginormous social experiment. Since 2015 by @Clips 12/08/2027… watch</t>
  </si>
  <si>
    <t>spraybaby1</t>
  </si>
  <si>
    <t>📍OH 330 CREATOR OF “37U”
-NFL/WWE/NBA etc
-600k on TikTok 
-Posted on ESPN &amp; More 
MADDEN 🐐#RipDonnie @the_pfa_ @spraybabynofilter @lilleafsmoke</t>
  </si>
  <si>
    <t>https://youtube.com/@spraybaby?si=ojx1cqoEoNVuyhL6</t>
  </si>
  <si>
    <t>spray.forever</t>
  </si>
  <si>
    <t>@spriitzz_ 
@tiarnan.mcmorrow 
@punctuality.records 
mgmt: cg@285.group
booking: peter@klsbookings.com
NA/SA: marlena@liaisonartists.com</t>
  </si>
  <si>
    <t>https://temple.fans/spray</t>
  </si>
  <si>
    <t>sprayground</t>
  </si>
  <si>
    <t>SPRAYGROUND</t>
  </si>
  <si>
    <t>EST. 2010 NYC. WE GOT YOUR BACK!
SHOP NEW GOODS</t>
  </si>
  <si>
    <t>https://bit.ly/3mKgddE</t>
  </si>
  <si>
    <t>spraypal</t>
  </si>
  <si>
    <t>Spray Pal: Clean Cloth Diapers The Easy Way!</t>
  </si>
  <si>
    <t>💦 Spray on full blast with no mess! 
Invented &amp; patented by a cloth diapering family. 
📦 Amazon
🎙 @clothdiapersmadeeasy 
We #makeclothmainstream ™</t>
  </si>
  <si>
    <t>https://www.spray-pal.com/</t>
  </si>
  <si>
    <t>sprayplanet</t>
  </si>
  <si>
    <t>SprayPlanet</t>
  </si>
  <si>
    <t>The Official US🇺🇸 Distributor of all Montana Colors products and more. Free Shipping on $99+ Orders! #sprayplanet</t>
  </si>
  <si>
    <t>http://www.sprayplanet.com</t>
  </si>
  <si>
    <t>spray_sp</t>
  </si>
  <si>
    <t>𝕾𝖕𝖗𝖆𝖞 🐶</t>
  </si>
  <si>
    <t>americanstyle</t>
  </si>
  <si>
    <t>American Style</t>
  </si>
  <si>
    <t>❤️Curated fashion, hair &amp; makeup inspo</t>
  </si>
  <si>
    <t>harrystyles</t>
  </si>
  <si>
    <t>http://hstyles.lnk.to/harryshouse</t>
  </si>
  <si>
    <t>nytstyle</t>
  </si>
  <si>
    <t>New York Times Fashion &amp; Style</t>
  </si>
  <si>
    <t>The New York Times’s glam account.</t>
  </si>
  <si>
    <t>http://likeshop.me/nytstyle</t>
  </si>
  <si>
    <t>style</t>
  </si>
  <si>
    <t>Your Source for Style &amp; Beauty
By @10pmcurfew 
#1 largest female focused network on social! ✨
📧 partnerships@10pmcurfew.com for promo 💫</t>
  </si>
  <si>
    <t>https://10pmcurfew.com</t>
  </si>
  <si>
    <t>styleaddict</t>
  </si>
  <si>
    <t>STYLE ADDICT</t>
  </si>
  <si>
    <t>Our New Capsule is here - Meet your new uniform. 
💌 Based in Melbourne, Australia. We ship worldwide.</t>
  </si>
  <si>
    <t>https://www.styleaddict.com.au/</t>
  </si>
  <si>
    <t>style_byanna</t>
  </si>
  <si>
    <t>Anna🦄</t>
  </si>
  <si>
    <t>Hi I’m Anna, your favorite slavic mum❤️      
check out @curvy_goddess_priv for all my socials</t>
  </si>
  <si>
    <t>stylebyfel</t>
  </si>
  <si>
    <t>Style By Fel</t>
  </si>
  <si>
    <t>Stylist / Personal shopper🛍️
Dm or email me for collabs/PR/promos🩷
Hire me to style you! 🤍</t>
  </si>
  <si>
    <t>stylebyrihab</t>
  </si>
  <si>
    <t>*ੈ✩‧₊˚</t>
  </si>
  <si>
    <t>Email for collab/promo ✧˖°
Stylebyrihabriri@gmail.com</t>
  </si>
  <si>
    <t>style.demon</t>
  </si>
  <si>
    <t>Elina  | ДЕМОН СТИЛЯ</t>
  </si>
  <si>
    <t>SUPERSTAR ⭐️ FASHION INFLUENCER⭐️
ARCHITECT @styledemon.interiors
Ivy League alumni 👩‍🎓🍀
Шоу Fashion Cafe🎤⬇️
Сотрудничество - @pr.styledemon 📩
📍Moscow</t>
  </si>
  <si>
    <t>https://vkvideo.ru/video-225226867_456239270</t>
  </si>
  <si>
    <t>styledsara</t>
  </si>
  <si>
    <t>Sara Walker</t>
  </si>
  <si>
    <t>fashion consultant. stylist. previous fashion buyer.
sara@styledsara.com</t>
  </si>
  <si>
    <t>http://www.styledsara.com</t>
  </si>
  <si>
    <t>stylegator</t>
  </si>
  <si>
    <t>STYLEGATOR
Business Inquiries: stylegator@gmail.com
Tag @stylegator #stylegator to get featured 
Founded by @klaudiadika</t>
  </si>
  <si>
    <t>https://www.wornby.co.uk/outfit-suggestions</t>
  </si>
  <si>
    <t>style_marjan</t>
  </si>
  <si>
    <t>Marjan Ghiasi | مد و استایل</t>
  </si>
  <si>
    <t>📍Dubai🇦🇪
Fashion.Lifestyle.Model.Personal Stylist  
اینجا هم بهت خوش میگذره هم نکات خوش‌ استایل بودن رو یاد میگیری 🤗</t>
  </si>
  <si>
    <t>style.memess</t>
  </si>
  <si>
    <t>styleto</t>
  </si>
  <si>
    <t>STYLETO</t>
  </si>
  <si>
    <t>premier album disponible!
☆ en tournée &amp; zénith de Paris le 05/12/25</t>
  </si>
  <si>
    <t>https://tix.to/STYLETO_TOUR</t>
  </si>
  <si>
    <t>yasaman_style</t>
  </si>
  <si>
    <t>YaSaman Tarasi</t>
  </si>
  <si>
    <t>Beauty blogger | Skincare reviews
Honest routines • Hydration first 💦📍dubai
for collabs &amp; partnerships👇🏼</t>
  </si>
  <si>
    <t>a.subtle.space</t>
  </si>
  <si>
    <t>a subtle space</t>
  </si>
  <si>
    <t>by @kino.eye 
mini-jardins of iridescent feelings🧚
✨merch; prints; CASETiFY⬇️✨</t>
  </si>
  <si>
    <t>https://asubtlespace.carrd.co/</t>
  </si>
  <si>
    <t>bodywisdomacademy</t>
  </si>
  <si>
    <t>Leslie ॐ♡☆ Subtle Body Trauma Release ™</t>
  </si>
  <si>
    <t>✨Healing anxiety &amp; trapped trauma, with a comprehensive system.
✨Practical Spirituality for Empaths, HSPs, and Healers
👇Free 7 Day Audio Challenge👇</t>
  </si>
  <si>
    <t>https://linktr.ee/lesliehudddart</t>
  </si>
  <si>
    <t>foreshadow.meme</t>
  </si>
  <si>
    <t>Subtle Foreshadowing ✨📹</t>
  </si>
  <si>
    <t>or Non-linear Storytelling
✨ Stay for the Edits + Audio ✨
💌 DM for CREDIT/REMOVAL ❤️‍🔥</t>
  </si>
  <si>
    <t>shopsubtledust</t>
  </si>
  <si>
    <t>Subtle Dust</t>
  </si>
  <si>
    <t>high end premium comfy clothing
for the theme park lovers and beyond
🏰🐭💫🧚‍♀️✨🦄</t>
  </si>
  <si>
    <t>https://subtledust.com</t>
  </si>
  <si>
    <t>subtle.foreshadowing</t>
  </si>
  <si>
    <t>S̵u̴b̷t̵l̴e̵.F̶o̴r̸e̸s̵h̸a̵d̶o̷w̴i̷n̷g̷</t>
  </si>
  <si>
    <t>subtleseries</t>
  </si>
  <si>
    <t>Subtle Series – work essentials for the quietly ambitious.</t>
  </si>
  <si>
    <t>Playbook for the quietly ambitious.
Tools for inner growth, self-expression and quiet influence.
🎧 @awfullyquietpodcast 
New: The Subtle Scripts Pack</t>
  </si>
  <si>
    <t>https://www.subtleseries.com/start</t>
  </si>
  <si>
    <t>subtle.somebody</t>
  </si>
  <si>
    <t>Kishan</t>
  </si>
  <si>
    <t>Attraversiamo!🍃
Life, learnings, little moments 💫
📍New Delhi, India
📩subtlesomebody@gmail.com
@infinitograph 📷</t>
  </si>
  <si>
    <t>symbolaudio</t>
  </si>
  <si>
    <t>Symbol Audio</t>
  </si>
  <si>
    <t>Vinyl &amp; audio storage collections designed to fit comfortably in your home like real furniture.</t>
  </si>
  <si>
    <t>http://www.symbolaudio.com/</t>
  </si>
  <si>
    <t>symbolic.haze</t>
  </si>
  <si>
    <t>✝️
J.T.B. 💍🤍
Wanderlust✨
UofH📚</t>
  </si>
  <si>
    <t>symbolicmagicart</t>
  </si>
  <si>
    <t>Symbolic Magic Art</t>
  </si>
  <si>
    <t>@symbolicmagic @symbolicmagicstudios 
👇 Click here to shop</t>
  </si>
  <si>
    <t>https://symbolicmagic.com/collections/essential-oil-sprays/products/sleep-spray-4oz</t>
  </si>
  <si>
    <t>symboll</t>
  </si>
  <si>
    <t>Symboll ®</t>
  </si>
  <si>
    <t>Art x Weddings⚡
Photo, Film &amp; Cinema 📷 🎥
Based in LA, NY &amp; SF ❤️</t>
  </si>
  <si>
    <t>http://symboll.com/</t>
  </si>
  <si>
    <t>symbol.ua</t>
  </si>
  <si>
    <t>SYMBOL</t>
  </si>
  <si>
    <t>Найбільший український ритейлер люксових брендів.
56 магазинів в Україні
@symbol_stenzel
@symbol.fur 
@symbol_baby
@symbol__twinset</t>
  </si>
  <si>
    <t>https://go.symbol.ua/online-store</t>
  </si>
  <si>
    <t>crafthouseng</t>
  </si>
  <si>
    <t>Tailoring store, Appliques</t>
  </si>
  <si>
    <t>Shop 10 petrocam elf bustop lekki 
Tailoring supply
Sewing Tool
Applique, crystal Trimming
whatsapp:+2348184121778 
COMPLAINT: 08078015501</t>
  </si>
  <si>
    <t>https://www.crafthouseng.com/collections/all</t>
  </si>
  <si>
    <t>fakor__m</t>
  </si>
  <si>
    <t>Fâkor Garment Tailoring</t>
  </si>
  <si>
    <t>🌸 Bridesmaid couture
🌸 Bridal couture
🌸 Kids couture
Shop our RTW pieces @visualabstract_</t>
  </si>
  <si>
    <t>pinsent_tailoring</t>
  </si>
  <si>
    <t>Zack Pinsent</t>
  </si>
  <si>
    <t>Historical Tailor, consultant, featured in Vogue, BBC, Elle, Esquire, Vanity Fair, The Times &amp; worldwide media. Linktree for contact, Email me</t>
  </si>
  <si>
    <t>https://linktr.ee/pinsent_tailoring</t>
  </si>
  <si>
    <t>rol_tailoring</t>
  </si>
  <si>
    <t>ROL Tailoring</t>
  </si>
  <si>
    <t>👗Creating stylish and sustainable pieces.
📍Empowering individuals with optimum skills.
📍 Click on the link below to contact 👇</t>
  </si>
  <si>
    <t>suja_fashion_tailoring</t>
  </si>
  <si>
    <t>Suja Tailoring</t>
  </si>
  <si>
    <t>10 days tailoring 
Easy to learn 
Class fees 100 only 
Live and recorded classes</t>
  </si>
  <si>
    <t>tailoring_accessories</t>
  </si>
  <si>
    <t>Tailors supermarket by Tailoring accessories/fabrics</t>
  </si>
  <si>
    <t>Specialized Online shop for customized/Unique Tailoring Accessories/Fabrics #tailoringmaterials #tailoringaccessories #appliques #crystals #rhinestone</t>
  </si>
  <si>
    <t>the_aesthetic.tailoring</t>
  </si>
  <si>
    <t>This Account on sale kindly dm
Sewing Tips and tricks✌✨
Follow for more Updates ❤</t>
  </si>
  <si>
    <t>alwaystimeless.co</t>
  </si>
  <si>
    <t>TIMELESS</t>
  </si>
  <si>
    <t>Quality is Timeless
— Must be 21+ to view &amp; follow
— No online sales
— Have a question? Tap below to email us!</t>
  </si>
  <si>
    <t>http://flow.page/alwaystimeless</t>
  </si>
  <si>
    <t>dirtysouthstory</t>
  </si>
  <si>
    <t>South Italy Based
Dogs lover
Photography lover
Fast cars lover
MX lover
Sports lover</t>
  </si>
  <si>
    <t>timeless.jams</t>
  </si>
  <si>
    <t>Oldies | 90s | 2000s +</t>
  </si>
  <si>
    <t>𝐌𝐮𝐬𝐢𝐜 𝐢𝐬 𝐭𝐡𝐞 𝐜𝐥𝐨𝐬𝐞𝐬𝐭 𝐭𝐡𝐢𝐧𝐠 𝐭𝐨 𝐚 𝐓𝐢𝐦𝐞 𝐌𝐚𝐜𝐡𝐢𝐧𝐞 
• 𝔉𝔬𝔩𝔩𝔬𝔴 𝔣𝔬𝔯 𝔞𝔩𝔩 𝔱𝔥𝔢 𝔧𝔞𝔪𝔰 🎭</t>
  </si>
  <si>
    <t>timeless_journal</t>
  </si>
  <si>
    <t>Timeless Journal</t>
  </si>
  <si>
    <t>Let the mind wonder 🍸</t>
  </si>
  <si>
    <t>https://thetimelessjournal.com</t>
  </si>
  <si>
    <t>timelessmagg</t>
  </si>
  <si>
    <t>Timeless🐆</t>
  </si>
  <si>
    <t>Ünlüler dünyası ve stil üzerine zamansız yorumlarla espriler😆🐆
Fashion Columnist &amp; Critic✍️ 
Contributor for L’Officiel Türkiye🗞️</t>
  </si>
  <si>
    <t>timelessmedico</t>
  </si>
  <si>
    <t>Timeless Med</t>
  </si>
  <si>
    <t>Uma jornada pela excelência na prática médica.</t>
  </si>
  <si>
    <t>timelesspearly</t>
  </si>
  <si>
    <t>Timeless Pearly</t>
  </si>
  <si>
    <t>https://timelesspearly.com</t>
  </si>
  <si>
    <t>timeless__snaps</t>
  </si>
  <si>
    <t>🏛 | The Digital Side of History
📮 | Posting since 3000 BC 
📩 | timeless.snaps10@gmail.com
👇 Learn AI Content Like Us 👇</t>
  </si>
  <si>
    <t>https://www.aikami.link/ts-ig-bio</t>
  </si>
  <si>
    <t>timelesssports</t>
  </si>
  <si>
    <t>Timeless Sports</t>
  </si>
  <si>
    <t>Where Legacy Lives. 
FULL T-MAC INTERVIEW BELOW 👇</t>
  </si>
  <si>
    <t>https://youtu.be/l1E_SJUagmQ</t>
  </si>
  <si>
    <t>timeless_streets</t>
  </si>
  <si>
    <t>Street Photography Collective</t>
  </si>
  <si>
    <t>Tag: #timeless_streets
Founder: @eldalieee
Members:
@jb.0611 
@wolfdogz_</t>
  </si>
  <si>
    <t>https://linktr.ee/eldalieee</t>
  </si>
  <si>
    <t>timelessvixen</t>
  </si>
  <si>
    <t>Timeless Vixen</t>
  </si>
  <si>
    <t>Offering rare women's vintage designer couture fashion founded by Lauren Lepire❤️
1100 South Beverly Drive 
Tuesday through Saturday 11am-6pm💋✨</t>
  </si>
  <si>
    <t>http://www.timelessvixen.com/</t>
  </si>
  <si>
    <t>indrasbotanica</t>
  </si>
  <si>
    <t>Sweet Tings Medicinal Tinctures, Tonics, &amp; Extracts®️</t>
  </si>
  <si>
    <t>Assemblies of God</t>
  </si>
  <si>
    <t>“Im Indra &amp; God is in Everything I do.
Right handed by nature, but my left hand works too.”
🤍
Spiritual Items | Herbal Medicines | Spiritual Guidance</t>
  </si>
  <si>
    <t>http://indrasbotanica.com</t>
  </si>
  <si>
    <t>diengtrailrun</t>
  </si>
  <si>
    <t>OFFICIAL ACCOUNT OF DIENG TRAIL RUN</t>
  </si>
  <si>
    <t>The First Trail Run at Dieng Plateau
Organized by: @terramotion.id 
🗓 9-10 Agustus 2025
📍 Taman Syailendra, Dieng
🌿 Member of ITRA Green Program</t>
  </si>
  <si>
    <t>https://lynk.id/diengtrailrun</t>
  </si>
  <si>
    <t>trailrunnermag</t>
  </si>
  <si>
    <t>Trail Runner</t>
  </si>
  <si>
    <t>Informing the trail and ultra communities since 1999. #findyourdirt Powered by Outside. 🥾</t>
  </si>
  <si>
    <t>https://sprout.link/trailrunnermag</t>
  </si>
  <si>
    <t>trail__running</t>
  </si>
  <si>
    <t>TRAILRUNNING Channel</t>
  </si>
  <si>
    <t>📰 Noticias sobre el running y el trail running, sorteos, reviews de material y mucho más!
📲 Community of Runners 🏃🏽‍♂️🏃‍♀️ 
⬇️ Descuentos LinkTree ⬇️</t>
  </si>
  <si>
    <t>https://linktr.ee/trailrunningchannel</t>
  </si>
  <si>
    <t>trailrunningschool</t>
  </si>
  <si>
    <t>Trail Running School</t>
  </si>
  <si>
    <t>▶️Online training
▶️Training camps
By 
@mityaev.dmitry I @ekaterinamityaeva</t>
  </si>
  <si>
    <t>https://trailrunning.pro</t>
  </si>
  <si>
    <t>xrace.wild.trail</t>
  </si>
  <si>
    <t>Wild Trail | Разбуди себя настоящего</t>
  </si>
  <si>
    <t>🏃🏻‍♂️🎉 Спортивные фестивали и трейловые забеги в самых красивых местах России</t>
  </si>
  <si>
    <t>http://wildtrail.ru</t>
  </si>
  <si>
    <t>betterment.asia</t>
  </si>
  <si>
    <t>品牌招聘平台 Mass | Fashion | W&amp;J | Beauty | Travel Retail</t>
  </si>
  <si>
    <t>Recruiter</t>
  </si>
  <si>
    <t>Hong Kong｜Macau｜since 2012
為國際美容、時尚及奢侈品牌提供一站式人才招聘服務
為前線求職者提供優質品牌就業機會及面試培訓
⁃
職業介紹所牌照號碼：78693
#搵工 #職場 #打工仔 #零售業 #美容業 #服務業
⁃
⬇️ 職位申請連結 ⬇️</t>
  </si>
  <si>
    <t>https://form.betterment.asia/job/</t>
  </si>
  <si>
    <t>campustrendsetters</t>
  </si>
  <si>
    <t>Campus Trendsetters</t>
  </si>
  <si>
    <t>where gen z leads on campus &amp; online
 ⚡️Campus Trendsetters | 🎁Sampling Squad |🏅HC Athletic Club | 💬Zfluence
wanna join? click the link in bio</t>
  </si>
  <si>
    <t>https://likeshop.me/campustrendsetters</t>
  </si>
  <si>
    <t>trendsetter</t>
  </si>
  <si>
    <t>Curated by us. Inspired by you.
🌎 Carbon Neutral. Ethical. @trendsetter.
👯‍♀️ Women Owned &amp; Operated
🌟 New Drop Every Tuesday</t>
  </si>
  <si>
    <t>http://www.trendsetterave.com/</t>
  </si>
  <si>
    <t>trendsetters.ok</t>
  </si>
  <si>
    <t>TRENDSETTERS</t>
  </si>
  <si>
    <t>🤳 | Influence that Performs
🌟 | Talent Management &amp; Influencer Marketing
⚡️ | Meta, TikTok &amp; YouTube partners
📧 | pr@trendsetters.com</t>
  </si>
  <si>
    <t>https://linktr.ee/trendsetters.ok</t>
  </si>
  <si>
    <t>trendsetters.shopp</t>
  </si>
  <si>
    <t>Trend Setters</t>
  </si>
  <si>
    <t>Street wear &amp; Clothing studio🚀
Affordable streetwear for trendsetters | DM to order 📦
Transport 🇽🇰🇦🇱🇲🇰</t>
  </si>
  <si>
    <t>trendsetter__tuni</t>
  </si>
  <si>
    <t>Complete Middle class Brand💯
Whatsapp or call 6304056721
Follow kottu mowa🙃
Cash on delivery available (COD)
MAIN ROAD,TUNI-533401</t>
  </si>
  <si>
    <t>https://youtube.com/@Trendsetter_tuni?si=xSpvQN8FsqeoyEb3</t>
  </si>
  <si>
    <t>kola.incc</t>
  </si>
  <si>
    <t>Visionary🚀💫</t>
  </si>
  <si>
    <t>LETS MAKE NAIROBI PARTY AGAIN ‼️</t>
  </si>
  <si>
    <t>the.visionary.of</t>
  </si>
  <si>
    <t>visionary</t>
  </si>
  <si>
    <t>Seu futuro é construído pelas suas ações no presente.</t>
  </si>
  <si>
    <t>https://egoicismo.com/visionary</t>
  </si>
  <si>
    <t>visionary.atl</t>
  </si>
  <si>
    <t>Visionary Arts</t>
  </si>
  <si>
    <t>Owner: @mrvizionary 
ALL TEES $60 TIL’ DA END OF SEPTEMBER!</t>
  </si>
  <si>
    <t>https://www.visionaryarts.store/</t>
  </si>
  <si>
    <t>visionaryclub_</t>
  </si>
  <si>
    <t>Visionary Club</t>
  </si>
  <si>
    <t>OWNED BY @lpaul4_ 
MEMBERS ONLY.
📧:SUPPORT@VISIONARYCLUBCLOTHING.COM</t>
  </si>
  <si>
    <t>http://www.visionaryclubclothing.com/</t>
  </si>
  <si>
    <t>visionaryindians</t>
  </si>
  <si>
    <t>Visionary Indians</t>
  </si>
  <si>
    <t>India’s game-changers, risk-takers, and empire builders—one visionary at a time. 🚀
📩 hi.visionaryindians@gmail.com</t>
  </si>
  <si>
    <t>visionary.land</t>
  </si>
  <si>
    <t>VISIONARY</t>
  </si>
  <si>
    <t>Contenido exclusivo / eventos / artistas 🇦🇷🇵🇷🇨🇴🇧🇴🇨🇱
Powered by @xtage_</t>
  </si>
  <si>
    <t>https://linktr.ee/visionary.land</t>
  </si>
  <si>
    <t>visionaryyminds</t>
  </si>
  <si>
    <t>Business | Wealth | Tech</t>
  </si>
  <si>
    <t>• Sharing the latest updates and tips for business and tech
• Sharing insights from the most successful entrepreneurs</t>
  </si>
  <si>
    <t>00sfootwear</t>
  </si>
  <si>
    <t>00's footwear | Skateshoes OG</t>
  </si>
  <si>
    <t>Os tênis que marcaram os anos 2000!!
• Envios para todo Brasil!
• Mais de 300 pares vendidos
• Desde 2020</t>
  </si>
  <si>
    <t>acusa_wear</t>
  </si>
  <si>
    <t>$treetHawk</t>
  </si>
  <si>
    <t>ACUSA brand goods are shipped from China to all parts of the world. High quality, safe and convenient.</t>
  </si>
  <si>
    <t>http://acusa.taobao.com/</t>
  </si>
  <si>
    <t>_apollowear</t>
  </si>
  <si>
    <t>APOLLO WEAR</t>
  </si>
  <si>
    <t>⚔️ Junte-se ao Estilo de Vida Old Money e Vista-se com Classe. 
👇🏽 Compre seu Estilo Ainda Hoje.</t>
  </si>
  <si>
    <t>_ib_wear</t>
  </si>
  <si>
    <t>IB WEAR/мужская, женская одежда, костюмы</t>
  </si>
  <si>
    <t>◾️Делаем любой размер и рост 
◾️Минск,собственное производство
◾️Примерка ул. Лукьяновича, 6 по записи</t>
  </si>
  <si>
    <t>https://ibwearshop.com/</t>
  </si>
  <si>
    <t>kacewear</t>
  </si>
  <si>
    <t>KACE WEAR</t>
  </si>
  <si>
    <t>Moda urbana feita para o amanhã.
For international orders contact us</t>
  </si>
  <si>
    <t>https://www.kacewear.com.br/</t>
  </si>
  <si>
    <t>lojawearever</t>
  </si>
  <si>
    <t>Wear Ever® | essencial &amp; atemporal</t>
  </si>
  <si>
    <t>Desde 2012 criando roupas lindas pra você ✨ Estampas e modelos exclusivos ✂️
Fale com a equipe WE clicando em e-mail 💌
Compre aqui:</t>
  </si>
  <si>
    <t>http://www.wearever.com.br</t>
  </si>
  <si>
    <t>wearewewear</t>
  </si>
  <si>
    <t>WE ARE WE WEAR</t>
  </si>
  <si>
    <t>every𝘣𝘰𝘥𝘺 is a bikini body
swim, active &amp; lingerie in XS-3XL
♻️ made from recycled fabrics 
👇🏽 shop our feed</t>
  </si>
  <si>
    <t>http://lnk.bio/wearewewear</t>
  </si>
  <si>
    <t>wearrame</t>
  </si>
  <si>
    <t>Wear Rame | Community | Bali Based 🖤</t>
  </si>
  <si>
    <t>Runway-inspired Athleisure |  Designed &amp; ethically 
self-manufactured in Bali #WearRame
🌎 Ship Worldwide</t>
  </si>
  <si>
    <t>https://wearrame.com/collections/events</t>
  </si>
  <si>
    <t>wewearmiel</t>
  </si>
  <si>
    <t>MIEL BRAND</t>
  </si>
  <si>
    <t>BY DANIEL GREENBERG 
שירות לקוחות - 0543338555
Owner : @daniel_greenbergg</t>
  </si>
  <si>
    <t>http://www.wewearmiel.co.il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</si>
</sst>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theme="1"/>
      <name val="Arial"/>
    </font>
    <font>
      <u/>
      <color rgb="FF0000FF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0"/>
    </xf>
    <xf borderId="0" fillId="0" fontId="2" numFmtId="0" xfId="0" applyFont="1"/>
    <xf borderId="0" fillId="3" fontId="2" numFmtId="0" xfId="0" applyFill="1" applyFont="1"/>
    <xf borderId="0" fillId="0" fontId="4" numFmtId="0" xfId="0" applyAlignment="1" applyFont="1">
      <alignment readingOrder="0"/>
    </xf>
    <xf borderId="0" fillId="0" fontId="5" numFmtId="0" xfId="0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comicbook.com" TargetMode="External"/><Relationship Id="rId2" Type="http://schemas.openxmlformats.org/officeDocument/2006/relationships/hyperlink" Target="http://goal.com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://hautecouture.cc" TargetMode="External"/><Relationship Id="rId190" Type="http://schemas.openxmlformats.org/officeDocument/2006/relationships/hyperlink" Target="http://socialstocks.co" TargetMode="External"/><Relationship Id="rId42" Type="http://schemas.openxmlformats.org/officeDocument/2006/relationships/hyperlink" Target="http://heartinabowl.co" TargetMode="External"/><Relationship Id="rId41" Type="http://schemas.openxmlformats.org/officeDocument/2006/relationships/hyperlink" Target="http://heartinabowl.co" TargetMode="External"/><Relationship Id="rId44" Type="http://schemas.openxmlformats.org/officeDocument/2006/relationships/hyperlink" Target="http://highheels.ru" TargetMode="External"/><Relationship Id="rId194" Type="http://schemas.openxmlformats.org/officeDocument/2006/relationships/hyperlink" Target="http://tatler.no" TargetMode="External"/><Relationship Id="rId43" Type="http://schemas.openxmlformats.org/officeDocument/2006/relationships/hyperlink" Target="http://hiddengems.me" TargetMode="External"/><Relationship Id="rId193" Type="http://schemas.openxmlformats.org/officeDocument/2006/relationships/hyperlink" Target="http://jalalive.id" TargetMode="External"/><Relationship Id="rId46" Type="http://schemas.openxmlformats.org/officeDocument/2006/relationships/hyperlink" Target="http://arredato.do" TargetMode="External"/><Relationship Id="rId192" Type="http://schemas.openxmlformats.org/officeDocument/2006/relationships/hyperlink" Target="http://statement.mz" TargetMode="External"/><Relationship Id="rId45" Type="http://schemas.openxmlformats.org/officeDocument/2006/relationships/hyperlink" Target="http://coolrap.tv" TargetMode="External"/><Relationship Id="rId191" Type="http://schemas.openxmlformats.org/officeDocument/2006/relationships/hyperlink" Target="http://statementbeauty.co" TargetMode="External"/><Relationship Id="rId48" Type="http://schemas.openxmlformats.org/officeDocument/2006/relationships/hyperlink" Target="http://lifehacks.de" TargetMode="External"/><Relationship Id="rId187" Type="http://schemas.openxmlformats.org/officeDocument/2006/relationships/hyperlink" Target="http://salon.tw" TargetMode="External"/><Relationship Id="rId47" Type="http://schemas.openxmlformats.org/officeDocument/2006/relationships/hyperlink" Target="http://influencermarketing.ar" TargetMode="External"/><Relationship Id="rId186" Type="http://schemas.openxmlformats.org/officeDocument/2006/relationships/hyperlink" Target="http://radio.bh" TargetMode="External"/><Relationship Id="rId185" Type="http://schemas.openxmlformats.org/officeDocument/2006/relationships/hyperlink" Target="http://thegoodquote.co" TargetMode="External"/><Relationship Id="rId49" Type="http://schemas.openxmlformats.org/officeDocument/2006/relationships/hyperlink" Target="http://marketingmentor.in" TargetMode="External"/><Relationship Id="rId184" Type="http://schemas.openxmlformats.org/officeDocument/2006/relationships/hyperlink" Target="http://opinion.al" TargetMode="External"/><Relationship Id="rId189" Type="http://schemas.openxmlformats.org/officeDocument/2006/relationships/hyperlink" Target="http://series.so" TargetMode="External"/><Relationship Id="rId188" Type="http://schemas.openxmlformats.org/officeDocument/2006/relationships/hyperlink" Target="http://segment.id" TargetMode="External"/><Relationship Id="rId31" Type="http://schemas.openxmlformats.org/officeDocument/2006/relationships/hyperlink" Target="http://promill.dj" TargetMode="External"/><Relationship Id="rId30" Type="http://schemas.openxmlformats.org/officeDocument/2006/relationships/hyperlink" Target="http://digital.nomad.info" TargetMode="External"/><Relationship Id="rId33" Type="http://schemas.openxmlformats.org/officeDocument/2006/relationships/hyperlink" Target="http://escalade.id" TargetMode="External"/><Relationship Id="rId183" Type="http://schemas.openxmlformats.org/officeDocument/2006/relationships/hyperlink" Target="http://okmag.gr" TargetMode="External"/><Relationship Id="rId32" Type="http://schemas.openxmlformats.org/officeDocument/2006/relationships/hyperlink" Target="http://edm.us" TargetMode="External"/><Relationship Id="rId182" Type="http://schemas.openxmlformats.org/officeDocument/2006/relationships/hyperlink" Target="http://newsroom.nr" TargetMode="External"/><Relationship Id="rId35" Type="http://schemas.openxmlformats.org/officeDocument/2006/relationships/hyperlink" Target="http://indianfinance.in" TargetMode="External"/><Relationship Id="rId181" Type="http://schemas.openxmlformats.org/officeDocument/2006/relationships/hyperlink" Target="http://newsroom.lb" TargetMode="External"/><Relationship Id="rId34" Type="http://schemas.openxmlformats.org/officeDocument/2006/relationships/hyperlink" Target="http://kukaj.to" TargetMode="External"/><Relationship Id="rId180" Type="http://schemas.openxmlformats.org/officeDocument/2006/relationships/hyperlink" Target="http://newsroom.kz" TargetMode="External"/><Relationship Id="rId37" Type="http://schemas.openxmlformats.org/officeDocument/2006/relationships/hyperlink" Target="http://funny.jobs" TargetMode="External"/><Relationship Id="rId176" Type="http://schemas.openxmlformats.org/officeDocument/2006/relationships/hyperlink" Target="http://xas.post" TargetMode="External"/><Relationship Id="rId36" Type="http://schemas.openxmlformats.org/officeDocument/2006/relationships/hyperlink" Target="http://financialfreedom.us" TargetMode="External"/><Relationship Id="rId175" Type="http://schemas.openxmlformats.org/officeDocument/2006/relationships/hyperlink" Target="http://massmedia.ng" TargetMode="External"/><Relationship Id="rId39" Type="http://schemas.openxmlformats.org/officeDocument/2006/relationships/hyperlink" Target="http://augusta.gp" TargetMode="External"/><Relationship Id="rId174" Type="http://schemas.openxmlformats.org/officeDocument/2006/relationships/hyperlink" Target="http://mainstream.media.cl" TargetMode="External"/><Relationship Id="rId38" Type="http://schemas.openxmlformats.org/officeDocument/2006/relationships/hyperlink" Target="http://gamedev.tv" TargetMode="External"/><Relationship Id="rId173" Type="http://schemas.openxmlformats.org/officeDocument/2006/relationships/hyperlink" Target="http://lemonde.iq" TargetMode="External"/><Relationship Id="rId179" Type="http://schemas.openxmlformats.org/officeDocument/2006/relationships/hyperlink" Target="http://thenewspaper.pk" TargetMode="External"/><Relationship Id="rId178" Type="http://schemas.openxmlformats.org/officeDocument/2006/relationships/hyperlink" Target="http://orient.tm" TargetMode="External"/><Relationship Id="rId177" Type="http://schemas.openxmlformats.org/officeDocument/2006/relationships/hyperlink" Target="http://natgeo.la" TargetMode="External"/><Relationship Id="rId20" Type="http://schemas.openxmlformats.org/officeDocument/2006/relationships/hyperlink" Target="http://bubblebar.al" TargetMode="External"/><Relationship Id="rId22" Type="http://schemas.openxmlformats.org/officeDocument/2006/relationships/hyperlink" Target="http://bubble.tea.ua" TargetMode="External"/><Relationship Id="rId21" Type="http://schemas.openxmlformats.org/officeDocument/2006/relationships/hyperlink" Target="http://bubble_bliss.tj" TargetMode="External"/><Relationship Id="rId24" Type="http://schemas.openxmlformats.org/officeDocument/2006/relationships/hyperlink" Target="http://mentorship.ai" TargetMode="External"/><Relationship Id="rId23" Type="http://schemas.openxmlformats.org/officeDocument/2006/relationships/hyperlink" Target="http://budget.travel.hr" TargetMode="External"/><Relationship Id="rId26" Type="http://schemas.openxmlformats.org/officeDocument/2006/relationships/hyperlink" Target="http://callofduty.om" TargetMode="External"/><Relationship Id="rId25" Type="http://schemas.openxmlformats.org/officeDocument/2006/relationships/hyperlink" Target="http://callofduty.ar" TargetMode="External"/><Relationship Id="rId28" Type="http://schemas.openxmlformats.org/officeDocument/2006/relationships/hyperlink" Target="http://paper.crafts.in" TargetMode="External"/><Relationship Id="rId27" Type="http://schemas.openxmlformats.org/officeDocument/2006/relationships/hyperlink" Target="http://comedy.com" TargetMode="External"/><Relationship Id="rId29" Type="http://schemas.openxmlformats.org/officeDocument/2006/relationships/hyperlink" Target="http://addielamarr.sh" TargetMode="External"/><Relationship Id="rId11" Type="http://schemas.openxmlformats.org/officeDocument/2006/relationships/hyperlink" Target="http://apexlegends.co" TargetMode="External"/><Relationship Id="rId10" Type="http://schemas.openxmlformats.org/officeDocument/2006/relationships/hyperlink" Target="http://workoutonline.se" TargetMode="External"/><Relationship Id="rId13" Type="http://schemas.openxmlformats.org/officeDocument/2006/relationships/hyperlink" Target="http://artificialintelligence.co" TargetMode="External"/><Relationship Id="rId12" Type="http://schemas.openxmlformats.org/officeDocument/2006/relationships/hyperlink" Target="http://apex.legends.sa" TargetMode="External"/><Relationship Id="rId15" Type="http://schemas.openxmlformats.org/officeDocument/2006/relationships/hyperlink" Target="http://eluna.ai" TargetMode="External"/><Relationship Id="rId198" Type="http://schemas.openxmlformats.org/officeDocument/2006/relationships/hyperlink" Target="http://timesnews.pk" TargetMode="External"/><Relationship Id="rId14" Type="http://schemas.openxmlformats.org/officeDocument/2006/relationships/hyperlink" Target="http://artificialintelligencenews.in" TargetMode="External"/><Relationship Id="rId197" Type="http://schemas.openxmlformats.org/officeDocument/2006/relationships/hyperlink" Target="http://hollywoodreporter.it" TargetMode="External"/><Relationship Id="rId17" Type="http://schemas.openxmlformats.org/officeDocument/2006/relationships/hyperlink" Target="http://barbecue.az" TargetMode="External"/><Relationship Id="rId196" Type="http://schemas.openxmlformats.org/officeDocument/2006/relationships/hyperlink" Target="http://thefaceshop.kw" TargetMode="External"/><Relationship Id="rId16" Type="http://schemas.openxmlformats.org/officeDocument/2006/relationships/hyperlink" Target="http://power.ai" TargetMode="External"/><Relationship Id="rId195" Type="http://schemas.openxmlformats.org/officeDocument/2006/relationships/hyperlink" Target="http://athleticstore.tt" TargetMode="External"/><Relationship Id="rId19" Type="http://schemas.openxmlformats.org/officeDocument/2006/relationships/hyperlink" Target="http://logos.ai" TargetMode="External"/><Relationship Id="rId18" Type="http://schemas.openxmlformats.org/officeDocument/2006/relationships/hyperlink" Target="http://sunnysbeach.mq" TargetMode="External"/><Relationship Id="rId199" Type="http://schemas.openxmlformats.org/officeDocument/2006/relationships/hyperlink" Target="http://phymongshe.kr" TargetMode="External"/><Relationship Id="rId84" Type="http://schemas.openxmlformats.org/officeDocument/2006/relationships/hyperlink" Target="http://mjstyle.me" TargetMode="External"/><Relationship Id="rId83" Type="http://schemas.openxmlformats.org/officeDocument/2006/relationships/hyperlink" Target="http://p.didd.it" TargetMode="External"/><Relationship Id="rId86" Type="http://schemas.openxmlformats.org/officeDocument/2006/relationships/hyperlink" Target="http://sneakerhead.ba" TargetMode="External"/><Relationship Id="rId85" Type="http://schemas.openxmlformats.org/officeDocument/2006/relationships/hyperlink" Target="http://mundolulu.br" TargetMode="External"/><Relationship Id="rId88" Type="http://schemas.openxmlformats.org/officeDocument/2006/relationships/hyperlink" Target="http://parisa.hairstyle.ae" TargetMode="External"/><Relationship Id="rId150" Type="http://schemas.openxmlformats.org/officeDocument/2006/relationships/hyperlink" Target="http://spotlight.la" TargetMode="External"/><Relationship Id="rId87" Type="http://schemas.openxmlformats.org/officeDocument/2006/relationships/hyperlink" Target="http://londonbarbershop.la" TargetMode="External"/><Relationship Id="rId89" Type="http://schemas.openxmlformats.org/officeDocument/2006/relationships/hyperlink" Target="http://royalrental.co.uk" TargetMode="External"/><Relationship Id="rId80" Type="http://schemas.openxmlformats.org/officeDocument/2006/relationships/hyperlink" Target="http://zeero.ru" TargetMode="External"/><Relationship Id="rId82" Type="http://schemas.openxmlformats.org/officeDocument/2006/relationships/hyperlink" Target="http://sneakersnstuff.la" TargetMode="External"/><Relationship Id="rId81" Type="http://schemas.openxmlformats.org/officeDocument/2006/relationships/hyperlink" Target="http://sneakerheads.la" TargetMode="External"/><Relationship Id="rId1" Type="http://schemas.openxmlformats.org/officeDocument/2006/relationships/hyperlink" Target="http://evolving.ai" TargetMode="External"/><Relationship Id="rId2" Type="http://schemas.openxmlformats.org/officeDocument/2006/relationships/hyperlink" Target="http://babababy.mv" TargetMode="External"/><Relationship Id="rId3" Type="http://schemas.openxmlformats.org/officeDocument/2006/relationships/hyperlink" Target="http://brunch.us" TargetMode="External"/><Relationship Id="rId149" Type="http://schemas.openxmlformats.org/officeDocument/2006/relationships/hyperlink" Target="http://sillage.me" TargetMode="External"/><Relationship Id="rId4" Type="http://schemas.openxmlformats.org/officeDocument/2006/relationships/hyperlink" Target="http://codingmermaid.ai" TargetMode="External"/><Relationship Id="rId148" Type="http://schemas.openxmlformats.org/officeDocument/2006/relationships/hyperlink" Target="http://perfume.spot.eg" TargetMode="External"/><Relationship Id="rId9" Type="http://schemas.openxmlformats.org/officeDocument/2006/relationships/hyperlink" Target="http://wanderlust.nl" TargetMode="External"/><Relationship Id="rId143" Type="http://schemas.openxmlformats.org/officeDocument/2006/relationships/hyperlink" Target="http://fragranceworldofficial.id" TargetMode="External"/><Relationship Id="rId142" Type="http://schemas.openxmlformats.org/officeDocument/2006/relationships/hyperlink" Target="http://fernula.gp" TargetMode="External"/><Relationship Id="rId141" Type="http://schemas.openxmlformats.org/officeDocument/2006/relationships/hyperlink" Target="http://fashionmodel.it" TargetMode="External"/><Relationship Id="rId140" Type="http://schemas.openxmlformats.org/officeDocument/2006/relationships/hyperlink" Target="http://naomi_face.it" TargetMode="External"/><Relationship Id="rId5" Type="http://schemas.openxmlformats.org/officeDocument/2006/relationships/hyperlink" Target="http://anilan.dublaj.uz" TargetMode="External"/><Relationship Id="rId147" Type="http://schemas.openxmlformats.org/officeDocument/2006/relationships/hyperlink" Target="http://odoriko.eg" TargetMode="External"/><Relationship Id="rId6" Type="http://schemas.openxmlformats.org/officeDocument/2006/relationships/hyperlink" Target="http://crafters.mc" TargetMode="External"/><Relationship Id="rId146" Type="http://schemas.openxmlformats.org/officeDocument/2006/relationships/hyperlink" Target="http://notesbook.eg" TargetMode="External"/><Relationship Id="rId7" Type="http://schemas.openxmlformats.org/officeDocument/2006/relationships/hyperlink" Target="http://quickrecipes.us" TargetMode="External"/><Relationship Id="rId145" Type="http://schemas.openxmlformats.org/officeDocument/2006/relationships/hyperlink" Target="http://influencer.in" TargetMode="External"/><Relationship Id="rId8" Type="http://schemas.openxmlformats.org/officeDocument/2006/relationships/hyperlink" Target="http://startups.com.br" TargetMode="External"/><Relationship Id="rId144" Type="http://schemas.openxmlformats.org/officeDocument/2006/relationships/hyperlink" Target="http://indoinfluence.id" TargetMode="External"/><Relationship Id="rId73" Type="http://schemas.openxmlformats.org/officeDocument/2006/relationships/hyperlink" Target="http://banish.au" TargetMode="External"/><Relationship Id="rId72" Type="http://schemas.openxmlformats.org/officeDocument/2006/relationships/hyperlink" Target="http://sunriseonthereaping.pn" TargetMode="External"/><Relationship Id="rId75" Type="http://schemas.openxmlformats.org/officeDocument/2006/relationships/hyperlink" Target="http://travel.russia.travel" TargetMode="External"/><Relationship Id="rId74" Type="http://schemas.openxmlformats.org/officeDocument/2006/relationships/hyperlink" Target="http://thrift_keeper.ph" TargetMode="External"/><Relationship Id="rId77" Type="http://schemas.openxmlformats.org/officeDocument/2006/relationships/hyperlink" Target="http://lisbon.travel" TargetMode="External"/><Relationship Id="rId76" Type="http://schemas.openxmlformats.org/officeDocument/2006/relationships/hyperlink" Target="http://travelguide.kw" TargetMode="External"/><Relationship Id="rId79" Type="http://schemas.openxmlformats.org/officeDocument/2006/relationships/hyperlink" Target="http://violinia.de" TargetMode="External"/><Relationship Id="rId78" Type="http://schemas.openxmlformats.org/officeDocument/2006/relationships/hyperlink" Target="http://pablita.com.br" TargetMode="External"/><Relationship Id="rId71" Type="http://schemas.openxmlformats.org/officeDocument/2006/relationships/hyperlink" Target="http://stretching.ch" TargetMode="External"/><Relationship Id="rId70" Type="http://schemas.openxmlformats.org/officeDocument/2006/relationships/hyperlink" Target="http://streetwear.cartel.gr" TargetMode="External"/><Relationship Id="rId139" Type="http://schemas.openxmlformats.org/officeDocument/2006/relationships/hyperlink" Target="http://essentials.eg" TargetMode="External"/><Relationship Id="rId138" Type="http://schemas.openxmlformats.org/officeDocument/2006/relationships/hyperlink" Target="http://ffern.co" TargetMode="External"/><Relationship Id="rId137" Type="http://schemas.openxmlformats.org/officeDocument/2006/relationships/hyperlink" Target="http://bestskin.co" TargetMode="External"/><Relationship Id="rId132" Type="http://schemas.openxmlformats.org/officeDocument/2006/relationships/hyperlink" Target="http://beautyaddicts.pe" TargetMode="External"/><Relationship Id="rId131" Type="http://schemas.openxmlformats.org/officeDocument/2006/relationships/hyperlink" Target="http://aroma_lab.ru" TargetMode="External"/><Relationship Id="rId130" Type="http://schemas.openxmlformats.org/officeDocument/2006/relationships/hyperlink" Target="http://myaesthetic.ai" TargetMode="External"/><Relationship Id="rId136" Type="http://schemas.openxmlformats.org/officeDocument/2006/relationships/hyperlink" Target="http://delicat.eg" TargetMode="External"/><Relationship Id="rId135" Type="http://schemas.openxmlformats.org/officeDocument/2006/relationships/hyperlink" Target="http://compositionschool.ir" TargetMode="External"/><Relationship Id="rId134" Type="http://schemas.openxmlformats.org/officeDocument/2006/relationships/hyperlink" Target="http://piflow.id" TargetMode="External"/><Relationship Id="rId133" Type="http://schemas.openxmlformats.org/officeDocument/2006/relationships/hyperlink" Target="http://beautyspot.eg" TargetMode="External"/><Relationship Id="rId62" Type="http://schemas.openxmlformats.org/officeDocument/2006/relationships/hyperlink" Target="http://selfimprovementtips.in" TargetMode="External"/><Relationship Id="rId61" Type="http://schemas.openxmlformats.org/officeDocument/2006/relationships/hyperlink" Target="http://satisfying.xyz" TargetMode="External"/><Relationship Id="rId64" Type="http://schemas.openxmlformats.org/officeDocument/2006/relationships/hyperlink" Target="http://mr.sidehustle.co" TargetMode="External"/><Relationship Id="rId63" Type="http://schemas.openxmlformats.org/officeDocument/2006/relationships/hyperlink" Target="http://boutique_shopping.id" TargetMode="External"/><Relationship Id="rId66" Type="http://schemas.openxmlformats.org/officeDocument/2006/relationships/hyperlink" Target="http://smartdevices.ng" TargetMode="External"/><Relationship Id="rId172" Type="http://schemas.openxmlformats.org/officeDocument/2006/relationships/hyperlink" Target="http://instyle.tr" TargetMode="External"/><Relationship Id="rId65" Type="http://schemas.openxmlformats.org/officeDocument/2006/relationships/hyperlink" Target="http://smallbusiness.uk" TargetMode="External"/><Relationship Id="rId171" Type="http://schemas.openxmlformats.org/officeDocument/2006/relationships/hyperlink" Target="http://paradox.paradox.id" TargetMode="External"/><Relationship Id="rId68" Type="http://schemas.openxmlformats.org/officeDocument/2006/relationships/hyperlink" Target="http://streetphotographyfrance.fr" TargetMode="External"/><Relationship Id="rId170" Type="http://schemas.openxmlformats.org/officeDocument/2006/relationships/hyperlink" Target="http://harvestsalon.id" TargetMode="External"/><Relationship Id="rId67" Type="http://schemas.openxmlformats.org/officeDocument/2006/relationships/hyperlink" Target="http://smarttech.ao" TargetMode="External"/><Relationship Id="rId60" Type="http://schemas.openxmlformats.org/officeDocument/2006/relationships/hyperlink" Target="http://realestates.tv" TargetMode="External"/><Relationship Id="rId165" Type="http://schemas.openxmlformats.org/officeDocument/2006/relationships/hyperlink" Target="http://foxnewstoday.us" TargetMode="External"/><Relationship Id="rId69" Type="http://schemas.openxmlformats.org/officeDocument/2006/relationships/hyperlink" Target="http://global.streetwear.pe" TargetMode="External"/><Relationship Id="rId164" Type="http://schemas.openxmlformats.org/officeDocument/2006/relationships/hyperlink" Target="http://fashionist.ar" TargetMode="External"/><Relationship Id="rId163" Type="http://schemas.openxmlformats.org/officeDocument/2006/relationships/hyperlink" Target="http://euronews.tv" TargetMode="External"/><Relationship Id="rId162" Type="http://schemas.openxmlformats.org/officeDocument/2006/relationships/hyperlink" Target="http://elle.decor.kg" TargetMode="External"/><Relationship Id="rId169" Type="http://schemas.openxmlformats.org/officeDocument/2006/relationships/hyperlink" Target="http://cpnsindonesia.id" TargetMode="External"/><Relationship Id="rId168" Type="http://schemas.openxmlformats.org/officeDocument/2006/relationships/hyperlink" Target="http://hotheadlines.in" TargetMode="External"/><Relationship Id="rId167" Type="http://schemas.openxmlformats.org/officeDocument/2006/relationships/hyperlink" Target="http://headliner.th" TargetMode="External"/><Relationship Id="rId166" Type="http://schemas.openxmlformats.org/officeDocument/2006/relationships/hyperlink" Target="http://obuca_glamour.rs" TargetMode="External"/><Relationship Id="rId51" Type="http://schemas.openxmlformats.org/officeDocument/2006/relationships/hyperlink" Target="http://modakwt.co" TargetMode="External"/><Relationship Id="rId50" Type="http://schemas.openxmlformats.org/officeDocument/2006/relationships/hyperlink" Target="http://marketingmind.in" TargetMode="External"/><Relationship Id="rId53" Type="http://schemas.openxmlformats.org/officeDocument/2006/relationships/hyperlink" Target="http://homeschoolingideas.in" TargetMode="External"/><Relationship Id="rId52" Type="http://schemas.openxmlformats.org/officeDocument/2006/relationships/hyperlink" Target="http://organic.beauty.ae" TargetMode="External"/><Relationship Id="rId55" Type="http://schemas.openxmlformats.org/officeDocument/2006/relationships/hyperlink" Target="http://iperfumes.gr" TargetMode="External"/><Relationship Id="rId161" Type="http://schemas.openxmlformats.org/officeDocument/2006/relationships/hyperlink" Target="http://designboom.ru" TargetMode="External"/><Relationship Id="rId54" Type="http://schemas.openxmlformats.org/officeDocument/2006/relationships/hyperlink" Target="http://passive_income.us" TargetMode="External"/><Relationship Id="rId160" Type="http://schemas.openxmlformats.org/officeDocument/2006/relationships/hyperlink" Target="http://contente.vc" TargetMode="External"/><Relationship Id="rId57" Type="http://schemas.openxmlformats.org/officeDocument/2006/relationships/hyperlink" Target="http://positivevibes.id" TargetMode="External"/><Relationship Id="rId56" Type="http://schemas.openxmlformats.org/officeDocument/2006/relationships/hyperlink" Target="http://plantlover.bd" TargetMode="External"/><Relationship Id="rId159" Type="http://schemas.openxmlformats.org/officeDocument/2006/relationships/hyperlink" Target="http://cheddars.cl" TargetMode="External"/><Relationship Id="rId59" Type="http://schemas.openxmlformats.org/officeDocument/2006/relationships/hyperlink" Target="http://amozesh.py" TargetMode="External"/><Relationship Id="rId154" Type="http://schemas.openxmlformats.org/officeDocument/2006/relationships/hyperlink" Target="http://betterment.asia" TargetMode="External"/><Relationship Id="rId58" Type="http://schemas.openxmlformats.org/officeDocument/2006/relationships/hyperlink" Target="http://puppies.in" TargetMode="External"/><Relationship Id="rId153" Type="http://schemas.openxmlformats.org/officeDocument/2006/relationships/hyperlink" Target="http://alwaystimeless.co" TargetMode="External"/><Relationship Id="rId152" Type="http://schemas.openxmlformats.org/officeDocument/2006/relationships/hyperlink" Target="http://alwaystimeless.co" TargetMode="External"/><Relationship Id="rId151" Type="http://schemas.openxmlformats.org/officeDocument/2006/relationships/hyperlink" Target="http://symbol.ua" TargetMode="External"/><Relationship Id="rId158" Type="http://schemas.openxmlformats.org/officeDocument/2006/relationships/hyperlink" Target="http://businessinsider.de" TargetMode="External"/><Relationship Id="rId157" Type="http://schemas.openxmlformats.org/officeDocument/2006/relationships/hyperlink" Target="http://mpbreakingnews.in" TargetMode="External"/><Relationship Id="rId156" Type="http://schemas.openxmlformats.org/officeDocument/2006/relationships/hyperlink" Target="http://breaking.news.br" TargetMode="External"/><Relationship Id="rId155" Type="http://schemas.openxmlformats.org/officeDocument/2006/relationships/hyperlink" Target="http://bonappetit.tj" TargetMode="External"/><Relationship Id="rId107" Type="http://schemas.openxmlformats.org/officeDocument/2006/relationships/hyperlink" Target="http://hermosamart.ng" TargetMode="External"/><Relationship Id="rId106" Type="http://schemas.openxmlformats.org/officeDocument/2006/relationships/hyperlink" Target="http://cosmetica.qa" TargetMode="External"/><Relationship Id="rId105" Type="http://schemas.openxmlformats.org/officeDocument/2006/relationships/hyperlink" Target="http://kikibeautystore.ng" TargetMode="External"/><Relationship Id="rId104" Type="http://schemas.openxmlformats.org/officeDocument/2006/relationships/hyperlink" Target="http://blossome.qa" TargetMode="External"/><Relationship Id="rId109" Type="http://schemas.openxmlformats.org/officeDocument/2006/relationships/hyperlink" Target="http://hunterskeepers.id" TargetMode="External"/><Relationship Id="rId108" Type="http://schemas.openxmlformats.org/officeDocument/2006/relationships/hyperlink" Target="http://cairoshoes.eg" TargetMode="External"/><Relationship Id="rId103" Type="http://schemas.openxmlformats.org/officeDocument/2006/relationships/hyperlink" Target="http://bagdeals.ng" TargetMode="External"/><Relationship Id="rId102" Type="http://schemas.openxmlformats.org/officeDocument/2006/relationships/hyperlink" Target="http://thelolahshop.ng" TargetMode="External"/><Relationship Id="rId101" Type="http://schemas.openxmlformats.org/officeDocument/2006/relationships/hyperlink" Target="http://cluxury.ng" TargetMode="External"/><Relationship Id="rId100" Type="http://schemas.openxmlformats.org/officeDocument/2006/relationships/hyperlink" Target="http://digg.it" TargetMode="External"/><Relationship Id="rId129" Type="http://schemas.openxmlformats.org/officeDocument/2006/relationships/hyperlink" Target="http://medest.kg" TargetMode="External"/><Relationship Id="rId128" Type="http://schemas.openxmlformats.org/officeDocument/2006/relationships/hyperlink" Target="http://advertising360.in" TargetMode="External"/><Relationship Id="rId127" Type="http://schemas.openxmlformats.org/officeDocument/2006/relationships/hyperlink" Target="http://accord.kz" TargetMode="External"/><Relationship Id="rId126" Type="http://schemas.openxmlformats.org/officeDocument/2006/relationships/hyperlink" Target="http://ourcommonplace.co" TargetMode="External"/><Relationship Id="rId121" Type="http://schemas.openxmlformats.org/officeDocument/2006/relationships/hyperlink" Target="http://ourcommonplace.co" TargetMode="External"/><Relationship Id="rId120" Type="http://schemas.openxmlformats.org/officeDocument/2006/relationships/hyperlink" Target="http://oahuu.cl" TargetMode="External"/><Relationship Id="rId125" Type="http://schemas.openxmlformats.org/officeDocument/2006/relationships/hyperlink" Target="http://wearekin.co" TargetMode="External"/><Relationship Id="rId124" Type="http://schemas.openxmlformats.org/officeDocument/2006/relationships/hyperlink" Target="http://etherealstudio.sd" TargetMode="External"/><Relationship Id="rId123" Type="http://schemas.openxmlformats.org/officeDocument/2006/relationships/hyperlink" Target="http://ourcommonplace.co" TargetMode="External"/><Relationship Id="rId122" Type="http://schemas.openxmlformats.org/officeDocument/2006/relationships/hyperlink" Target="http://ourcommonplace.co" TargetMode="External"/><Relationship Id="rId95" Type="http://schemas.openxmlformats.org/officeDocument/2006/relationships/hyperlink" Target="http://ourcommonplace.co" TargetMode="External"/><Relationship Id="rId94" Type="http://schemas.openxmlformats.org/officeDocument/2006/relationships/hyperlink" Target="http://barcelonashops.be" TargetMode="External"/><Relationship Id="rId97" Type="http://schemas.openxmlformats.org/officeDocument/2006/relationships/hyperlink" Target="http://luxurydubai.ae" TargetMode="External"/><Relationship Id="rId96" Type="http://schemas.openxmlformats.org/officeDocument/2006/relationships/hyperlink" Target="http://drmilanyskincare.id" TargetMode="External"/><Relationship Id="rId99" Type="http://schemas.openxmlformats.org/officeDocument/2006/relationships/hyperlink" Target="http://dubai_sneakers.ae" TargetMode="External"/><Relationship Id="rId98" Type="http://schemas.openxmlformats.org/officeDocument/2006/relationships/hyperlink" Target="http://skincare.karim.ir" TargetMode="External"/><Relationship Id="rId91" Type="http://schemas.openxmlformats.org/officeDocument/2006/relationships/hyperlink" Target="http://santiagoperfumes.cl" TargetMode="External"/><Relationship Id="rId90" Type="http://schemas.openxmlformats.org/officeDocument/2006/relationships/hyperlink" Target="http://paris_perfume.kz" TargetMode="External"/><Relationship Id="rId93" Type="http://schemas.openxmlformats.org/officeDocument/2006/relationships/hyperlink" Target="http://paris_street.co" TargetMode="External"/><Relationship Id="rId92" Type="http://schemas.openxmlformats.org/officeDocument/2006/relationships/hyperlink" Target="http://kokopink.cl" TargetMode="External"/><Relationship Id="rId118" Type="http://schemas.openxmlformats.org/officeDocument/2006/relationships/hyperlink" Target="http://gallerysneaker.id" TargetMode="External"/><Relationship Id="rId117" Type="http://schemas.openxmlformats.org/officeDocument/2006/relationships/hyperlink" Target="http://dewinst.id" TargetMode="External"/><Relationship Id="rId116" Type="http://schemas.openxmlformats.org/officeDocument/2006/relationships/hyperlink" Target="http://fragrancee.co" TargetMode="External"/><Relationship Id="rId115" Type="http://schemas.openxmlformats.org/officeDocument/2006/relationships/hyperlink" Target="http://looksnaill.id" TargetMode="External"/><Relationship Id="rId119" Type="http://schemas.openxmlformats.org/officeDocument/2006/relationships/hyperlink" Target="http://ourcommonplace.co" TargetMode="External"/><Relationship Id="rId110" Type="http://schemas.openxmlformats.org/officeDocument/2006/relationships/hyperlink" Target="http://thebigcloset.in" TargetMode="External"/><Relationship Id="rId114" Type="http://schemas.openxmlformats.org/officeDocument/2006/relationships/hyperlink" Target="http://grazewithlove.co" TargetMode="External"/><Relationship Id="rId113" Type="http://schemas.openxmlformats.org/officeDocument/2006/relationships/hyperlink" Target="http://thebigcloset.in" TargetMode="External"/><Relationship Id="rId112" Type="http://schemas.openxmlformats.org/officeDocument/2006/relationships/hyperlink" Target="http://ourcommonplace.co" TargetMode="External"/><Relationship Id="rId111" Type="http://schemas.openxmlformats.org/officeDocument/2006/relationships/hyperlink" Target="http://skincarebudmnl.ph" TargetMode="External"/><Relationship Id="rId206" Type="http://schemas.openxmlformats.org/officeDocument/2006/relationships/hyperlink" Target="http://trulyenamoured.id" TargetMode="External"/><Relationship Id="rId205" Type="http://schemas.openxmlformats.org/officeDocument/2006/relationships/hyperlink" Target="http://kathleen.post" TargetMode="External"/><Relationship Id="rId204" Type="http://schemas.openxmlformats.org/officeDocument/2006/relationships/hyperlink" Target="http://heavenlystore.ni" TargetMode="External"/><Relationship Id="rId203" Type="http://schemas.openxmlformats.org/officeDocument/2006/relationships/hyperlink" Target="about:blank" TargetMode="External"/><Relationship Id="rId207" Type="http://schemas.openxmlformats.org/officeDocument/2006/relationships/drawing" Target="../drawings/drawing8.xml"/><Relationship Id="rId202" Type="http://schemas.openxmlformats.org/officeDocument/2006/relationships/hyperlink" Target="http://brucebolt.us" TargetMode="External"/><Relationship Id="rId201" Type="http://schemas.openxmlformats.org/officeDocument/2006/relationships/hyperlink" Target="http://writer.kh" TargetMode="External"/><Relationship Id="rId200" Type="http://schemas.openxmlformats.org/officeDocument/2006/relationships/hyperlink" Target="http://wekita.id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s://shopgr.id/digiday" TargetMode="External"/><Relationship Id="rId391" Type="http://schemas.openxmlformats.org/officeDocument/2006/relationships/hyperlink" Target="https://piano.trib.al/zeit" TargetMode="External"/><Relationship Id="rId390" Type="http://schemas.openxmlformats.org/officeDocument/2006/relationships/hyperlink" Target="https://diezeitmillionaerin.tentary.com/p/0yCjRQ" TargetMode="External"/><Relationship Id="rId1" Type="http://schemas.openxmlformats.org/officeDocument/2006/relationships/hyperlink" Target="http://9to5mac.com" TargetMode="External"/><Relationship Id="rId2" Type="http://schemas.openxmlformats.org/officeDocument/2006/relationships/hyperlink" Target="https://abcnews.go.com/social/abcnews" TargetMode="External"/><Relationship Id="rId3" Type="http://schemas.openxmlformats.org/officeDocument/2006/relationships/hyperlink" Target="http://sprout.link/abcnews4" TargetMode="External"/><Relationship Id="rId4" Type="http://schemas.openxmlformats.org/officeDocument/2006/relationships/hyperlink" Target="https://abcnews.al/" TargetMode="External"/><Relationship Id="rId9" Type="http://schemas.openxmlformats.org/officeDocument/2006/relationships/hyperlink" Target="https://linkin.bio/adweek" TargetMode="External"/><Relationship Id="rId385" Type="http://schemas.openxmlformats.org/officeDocument/2006/relationships/hyperlink" Target="https://designboom.ru/" TargetMode="External"/><Relationship Id="rId384" Type="http://schemas.openxmlformats.org/officeDocument/2006/relationships/hyperlink" Target="http://designboom.ru" TargetMode="External"/><Relationship Id="rId383" Type="http://schemas.openxmlformats.org/officeDocument/2006/relationships/hyperlink" Target="https://youtu.be/ZLJ7FdR_C7c" TargetMode="External"/><Relationship Id="rId382" Type="http://schemas.openxmlformats.org/officeDocument/2006/relationships/hyperlink" Target="https://www.designboom.com/" TargetMode="External"/><Relationship Id="rId5" Type="http://schemas.openxmlformats.org/officeDocument/2006/relationships/hyperlink" Target="https://linkvia.bio/abcnews_au" TargetMode="External"/><Relationship Id="rId389" Type="http://schemas.openxmlformats.org/officeDocument/2006/relationships/hyperlink" Target="http://sprout.link/dezeenjobs" TargetMode="External"/><Relationship Id="rId6" Type="http://schemas.openxmlformats.org/officeDocument/2006/relationships/hyperlink" Target="https://likeshop.me/abcnewslive" TargetMode="External"/><Relationship Id="rId388" Type="http://schemas.openxmlformats.org/officeDocument/2006/relationships/hyperlink" Target="https://sprout.link/dezeenawards_" TargetMode="External"/><Relationship Id="rId7" Type="http://schemas.openxmlformats.org/officeDocument/2006/relationships/hyperlink" Target="http://www.abcnews.media/" TargetMode="External"/><Relationship Id="rId387" Type="http://schemas.openxmlformats.org/officeDocument/2006/relationships/hyperlink" Target="http://sprout.link/dezeen" TargetMode="External"/><Relationship Id="rId8" Type="http://schemas.openxmlformats.org/officeDocument/2006/relationships/hyperlink" Target="https://likeshop.me/abcnewsstudios" TargetMode="External"/><Relationship Id="rId386" Type="http://schemas.openxmlformats.org/officeDocument/2006/relationships/hyperlink" Target="https://www.designboom.com/shop/" TargetMode="External"/><Relationship Id="rId381" Type="http://schemas.openxmlformats.org/officeDocument/2006/relationships/hyperlink" Target="https://spiegel.de/instagram-links" TargetMode="External"/><Relationship Id="rId380" Type="http://schemas.openxmlformats.org/officeDocument/2006/relationships/hyperlink" Target="http://sprout.link/denofgeek" TargetMode="External"/><Relationship Id="rId379" Type="http://schemas.openxmlformats.org/officeDocument/2006/relationships/hyperlink" Target="http://linktr.ee/soydelishus" TargetMode="External"/><Relationship Id="rId374" Type="http://schemas.openxmlformats.org/officeDocument/2006/relationships/hyperlink" Target="https://delishawl.ir" TargetMode="External"/><Relationship Id="rId373" Type="http://schemas.openxmlformats.org/officeDocument/2006/relationships/hyperlink" Target="http://likeshop.me/delish" TargetMode="External"/><Relationship Id="rId372" Type="http://schemas.openxmlformats.org/officeDocument/2006/relationships/hyperlink" Target="http://link.me/delisha" TargetMode="External"/><Relationship Id="rId371" Type="http://schemas.openxmlformats.org/officeDocument/2006/relationships/hyperlink" Target="http://link.alicedelish.com" TargetMode="External"/><Relationship Id="rId378" Type="http://schemas.openxmlformats.org/officeDocument/2006/relationships/hyperlink" Target="http://www.everything-delish.com" TargetMode="External"/><Relationship Id="rId377" Type="http://schemas.openxmlformats.org/officeDocument/2006/relationships/hyperlink" Target="http://www.delish.com.pk/" TargetMode="External"/><Relationship Id="rId376" Type="http://schemas.openxmlformats.org/officeDocument/2006/relationships/hyperlink" Target="https://delibeauty.ir" TargetMode="External"/><Relationship Id="rId375" Type="http://schemas.openxmlformats.org/officeDocument/2006/relationships/hyperlink" Target="http://delishoo.ir" TargetMode="External"/><Relationship Id="rId396" Type="http://schemas.openxmlformats.org/officeDocument/2006/relationships/hyperlink" Target="https://t.me/keeplookingbrands" TargetMode="External"/><Relationship Id="rId395" Type="http://schemas.openxmlformats.org/officeDocument/2006/relationships/hyperlink" Target="http://genesispicturesng.com/" TargetMode="External"/><Relationship Id="rId394" Type="http://schemas.openxmlformats.org/officeDocument/2006/relationships/hyperlink" Target="https://maps.app.goo.gl/G4aWh8Dw1g9LuYmy8?g_st=com.google.maps.preview.copy" TargetMode="External"/><Relationship Id="rId393" Type="http://schemas.openxmlformats.org/officeDocument/2006/relationships/hyperlink" Target="https://www.digitaltrends.com/social-links/" TargetMode="External"/><Relationship Id="rId399" Type="http://schemas.openxmlformats.org/officeDocument/2006/relationships/hyperlink" Target="https://linktr.ee/documentaryplus" TargetMode="External"/><Relationship Id="rId398" Type="http://schemas.openxmlformats.org/officeDocument/2006/relationships/hyperlink" Target="https://documentaryclubthailand.com/" TargetMode="External"/><Relationship Id="rId397" Type="http://schemas.openxmlformats.org/officeDocument/2006/relationships/hyperlink" Target="https://beautyinbrokennessphoto.mypixieset.com/inquire" TargetMode="External"/><Relationship Id="rId808" Type="http://schemas.openxmlformats.org/officeDocument/2006/relationships/hyperlink" Target="https://www.larepublica.co" TargetMode="External"/><Relationship Id="rId807" Type="http://schemas.openxmlformats.org/officeDocument/2006/relationships/hyperlink" Target="https://www.repubblica.it/" TargetMode="External"/><Relationship Id="rId806" Type="http://schemas.openxmlformats.org/officeDocument/2006/relationships/hyperlink" Target="https://kotaku.com" TargetMode="External"/><Relationship Id="rId805" Type="http://schemas.openxmlformats.org/officeDocument/2006/relationships/hyperlink" Target="https://linktr.ee/tkiplinger" TargetMode="External"/><Relationship Id="rId809" Type="http://schemas.openxmlformats.org/officeDocument/2006/relationships/hyperlink" Target="http://www.firenze.repubblica.it/" TargetMode="External"/><Relationship Id="rId800" Type="http://schemas.openxmlformats.org/officeDocument/2006/relationships/hyperlink" Target="https://youtube.com/@khaledalkafarna?si=uaaakuoUexaEtGbd" TargetMode="External"/><Relationship Id="rId804" Type="http://schemas.openxmlformats.org/officeDocument/2006/relationships/hyperlink" Target="http://linktr.ee/Kiplinger" TargetMode="External"/><Relationship Id="rId803" Type="http://schemas.openxmlformats.org/officeDocument/2006/relationships/hyperlink" Target="https://www.facebook.com/profile.php?id=100069103251564&amp;mibextid=ZbWKwL" TargetMode="External"/><Relationship Id="rId802" Type="http://schemas.openxmlformats.org/officeDocument/2006/relationships/hyperlink" Target="https://youtube.com/channel/UCAWaDh4tP_O-Y1VxYDGebGw" TargetMode="External"/><Relationship Id="rId801" Type="http://schemas.openxmlformats.org/officeDocument/2006/relationships/hyperlink" Target="https://lizmoody.komi.io" TargetMode="External"/><Relationship Id="rId40" Type="http://schemas.openxmlformats.org/officeDocument/2006/relationships/hyperlink" Target="http://sites.google.com/view/xflanalyst" TargetMode="External"/><Relationship Id="rId1334" Type="http://schemas.openxmlformats.org/officeDocument/2006/relationships/hyperlink" Target="https://linkin.bio/skynews" TargetMode="External"/><Relationship Id="rId1335" Type="http://schemas.openxmlformats.org/officeDocument/2006/relationships/hyperlink" Target="https://empli.fi/skynewsarabia/" TargetMode="External"/><Relationship Id="rId42" Type="http://schemas.openxmlformats.org/officeDocument/2006/relationships/hyperlink" Target="http://links.anchorandveilphotography.com/" TargetMode="External"/><Relationship Id="rId1336" Type="http://schemas.openxmlformats.org/officeDocument/2006/relationships/hyperlink" Target="https://www.skynews.com.au" TargetMode="External"/><Relationship Id="rId41" Type="http://schemas.openxmlformats.org/officeDocument/2006/relationships/hyperlink" Target="http://linktr.ee/AirandAnchor" TargetMode="External"/><Relationship Id="rId1337" Type="http://schemas.openxmlformats.org/officeDocument/2006/relationships/hyperlink" Target="https://linkin.bio/ig-slate" TargetMode="External"/><Relationship Id="rId44" Type="http://schemas.openxmlformats.org/officeDocument/2006/relationships/hyperlink" Target="https://linkin.bio/ig-anchorcrafting" TargetMode="External"/><Relationship Id="rId1338" Type="http://schemas.openxmlformats.org/officeDocument/2006/relationships/hyperlink" Target="http://tr.ee/WvPrH1" TargetMode="External"/><Relationship Id="rId43" Type="http://schemas.openxmlformats.org/officeDocument/2006/relationships/hyperlink" Target="https://linktr.ee/anchorball" TargetMode="External"/><Relationship Id="rId1339" Type="http://schemas.openxmlformats.org/officeDocument/2006/relationships/hyperlink" Target="https://linktr.ee/slatemilk" TargetMode="External"/><Relationship Id="rId46" Type="http://schemas.openxmlformats.org/officeDocument/2006/relationships/hyperlink" Target="https://youtube.com/@anchorshravankumar" TargetMode="External"/><Relationship Id="rId45" Type="http://schemas.openxmlformats.org/officeDocument/2006/relationships/hyperlink" Target="https://youtu.be/AOVpZdZkAco" TargetMode="External"/><Relationship Id="rId745" Type="http://schemas.openxmlformats.org/officeDocument/2006/relationships/hyperlink" Target="http://harvestsalon.id" TargetMode="External"/><Relationship Id="rId744" Type="http://schemas.openxmlformats.org/officeDocument/2006/relationships/hyperlink" Target="https://infocpns.id" TargetMode="External"/><Relationship Id="rId743" Type="http://schemas.openxmlformats.org/officeDocument/2006/relationships/hyperlink" Target="http://cpnsindonesia.id" TargetMode="External"/><Relationship Id="rId742" Type="http://schemas.openxmlformats.org/officeDocument/2006/relationships/hyperlink" Target="https://linktr.ee/amidaofficial" TargetMode="External"/><Relationship Id="rId749" Type="http://schemas.openxmlformats.org/officeDocument/2006/relationships/hyperlink" Target="http://paradox.paradox.id" TargetMode="External"/><Relationship Id="rId748" Type="http://schemas.openxmlformats.org/officeDocument/2006/relationships/hyperlink" Target="https://yuqi.lnk.to/Motivation" TargetMode="External"/><Relationship Id="rId747" Type="http://schemas.openxmlformats.org/officeDocument/2006/relationships/hyperlink" Target="http://i-d.co/instagram" TargetMode="External"/><Relationship Id="rId746" Type="http://schemas.openxmlformats.org/officeDocument/2006/relationships/hyperlink" Target="https://linktr.ee/Harvestsalon" TargetMode="External"/><Relationship Id="rId48" Type="http://schemas.openxmlformats.org/officeDocument/2006/relationships/hyperlink" Target="https://www.androidauthority.com" TargetMode="External"/><Relationship Id="rId47" Type="http://schemas.openxmlformats.org/officeDocument/2006/relationships/hyperlink" Target="https://linktr.ee/theanchorband" TargetMode="External"/><Relationship Id="rId49" Type="http://schemas.openxmlformats.org/officeDocument/2006/relationships/hyperlink" Target="http://likeshop.me/ad_germany" TargetMode="External"/><Relationship Id="rId741" Type="http://schemas.openxmlformats.org/officeDocument/2006/relationships/hyperlink" Target="https://linkin.bio/hypebeast" TargetMode="External"/><Relationship Id="rId1330" Type="http://schemas.openxmlformats.org/officeDocument/2006/relationships/hyperlink" Target="https://linktr.ee/showpo.com" TargetMode="External"/><Relationship Id="rId740" Type="http://schemas.openxmlformats.org/officeDocument/2006/relationships/hyperlink" Target="https://www.huffingtonpost.fr/" TargetMode="External"/><Relationship Id="rId1331" Type="http://schemas.openxmlformats.org/officeDocument/2006/relationships/hyperlink" Target="https://wa.link/6pdd3r" TargetMode="External"/><Relationship Id="rId1332" Type="http://schemas.openxmlformats.org/officeDocument/2006/relationships/hyperlink" Target="https://www.sight-sound.com" TargetMode="External"/><Relationship Id="rId1333" Type="http://schemas.openxmlformats.org/officeDocument/2006/relationships/hyperlink" Target="http://skyenewman.com" TargetMode="External"/><Relationship Id="rId1323" Type="http://schemas.openxmlformats.org/officeDocument/2006/relationships/hyperlink" Target="https://likeshop.me/seventeen" TargetMode="External"/><Relationship Id="rId1324" Type="http://schemas.openxmlformats.org/officeDocument/2006/relationships/hyperlink" Target="https://youtu.be/JC2J-10_8wk" TargetMode="External"/><Relationship Id="rId31" Type="http://schemas.openxmlformats.org/officeDocument/2006/relationships/hyperlink" Target="http://illegalaliencrimereport.com/" TargetMode="External"/><Relationship Id="rId1325" Type="http://schemas.openxmlformats.org/officeDocument/2006/relationships/hyperlink" Target="https://kof-shop.ru/" TargetMode="External"/><Relationship Id="rId30" Type="http://schemas.openxmlformats.org/officeDocument/2006/relationships/hyperlink" Target="http://patreon.com/tdi_allure" TargetMode="External"/><Relationship Id="rId1326" Type="http://schemas.openxmlformats.org/officeDocument/2006/relationships/hyperlink" Target="http://shallowshop.ir" TargetMode="External"/><Relationship Id="rId33" Type="http://schemas.openxmlformats.org/officeDocument/2006/relationships/hyperlink" Target="https://yt.openinapp.co/1i0ev" TargetMode="External"/><Relationship Id="rId1327" Type="http://schemas.openxmlformats.org/officeDocument/2006/relationships/hyperlink" Target="https://shoptoshop.ru" TargetMode="External"/><Relationship Id="rId32" Type="http://schemas.openxmlformats.org/officeDocument/2006/relationships/hyperlink" Target="http://linkin.bio/analystnews" TargetMode="External"/><Relationship Id="rId1328" Type="http://schemas.openxmlformats.org/officeDocument/2006/relationships/hyperlink" Target="http://www.showme.style" TargetMode="External"/><Relationship Id="rId35" Type="http://schemas.openxmlformats.org/officeDocument/2006/relationships/hyperlink" Target="https://fellou.ai/download" TargetMode="External"/><Relationship Id="rId1329" Type="http://schemas.openxmlformats.org/officeDocument/2006/relationships/hyperlink" Target="http://www.show-o.com/" TargetMode="External"/><Relationship Id="rId34" Type="http://schemas.openxmlformats.org/officeDocument/2006/relationships/hyperlink" Target="https://linktr.ee/theffanalyst" TargetMode="External"/><Relationship Id="rId739" Type="http://schemas.openxmlformats.org/officeDocument/2006/relationships/hyperlink" Target="https://www.huffpost.com/bio/ig/huffpostwomen" TargetMode="External"/><Relationship Id="rId734" Type="http://schemas.openxmlformats.org/officeDocument/2006/relationships/hyperlink" Target="https://www.huffpost.com/bio/ig/huffpostasianvoices" TargetMode="External"/><Relationship Id="rId733" Type="http://schemas.openxmlformats.org/officeDocument/2006/relationships/hyperlink" Target="http://huffpost.com/bio/huffpost" TargetMode="External"/><Relationship Id="rId732" Type="http://schemas.openxmlformats.org/officeDocument/2006/relationships/hyperlink" Target="https://www.huffingtonpost.es/static/politica-privacidad-usuarios-redes-sociales.html" TargetMode="External"/><Relationship Id="rId731" Type="http://schemas.openxmlformats.org/officeDocument/2006/relationships/hyperlink" Target="http://www.huffingtonpost.es" TargetMode="External"/><Relationship Id="rId738" Type="http://schemas.openxmlformats.org/officeDocument/2006/relationships/hyperlink" Target="https://www.huffpost.com/bio/huffpostuk" TargetMode="External"/><Relationship Id="rId737" Type="http://schemas.openxmlformats.org/officeDocument/2006/relationships/hyperlink" Target="https://www.huffpost.com/bio/ig/huffposttaste" TargetMode="External"/><Relationship Id="rId736" Type="http://schemas.openxmlformats.org/officeDocument/2006/relationships/hyperlink" Target="https://linkin.bio/huffpostin" TargetMode="External"/><Relationship Id="rId735" Type="http://schemas.openxmlformats.org/officeDocument/2006/relationships/hyperlink" Target="https://linkin.bio/ig-huffpostau" TargetMode="External"/><Relationship Id="rId37" Type="http://schemas.openxmlformats.org/officeDocument/2006/relationships/hyperlink" Target="https://the-footballanalyst.com" TargetMode="External"/><Relationship Id="rId36" Type="http://schemas.openxmlformats.org/officeDocument/2006/relationships/hyperlink" Target="https://linktr.ee/thefhanalyst" TargetMode="External"/><Relationship Id="rId39" Type="http://schemas.openxmlformats.org/officeDocument/2006/relationships/hyperlink" Target="https://t.me/vrednayamoda" TargetMode="External"/><Relationship Id="rId38" Type="http://schemas.openxmlformats.org/officeDocument/2006/relationships/hyperlink" Target="http://tvtantrum.com" TargetMode="External"/><Relationship Id="rId730" Type="http://schemas.openxmlformats.org/officeDocument/2006/relationships/hyperlink" Target="https://www.huffpost.com/bio/ig/blackvoices" TargetMode="External"/><Relationship Id="rId1320" Type="http://schemas.openxmlformats.org/officeDocument/2006/relationships/hyperlink" Target="https://likeshop.me/seriouseats" TargetMode="External"/><Relationship Id="rId1321" Type="http://schemas.openxmlformats.org/officeDocument/2006/relationships/hyperlink" Target="https://www.youtube.com/@say_7teen" TargetMode="External"/><Relationship Id="rId1322" Type="http://schemas.openxmlformats.org/officeDocument/2006/relationships/hyperlink" Target="https://youtu.be/NkbjgNh06bQ" TargetMode="External"/><Relationship Id="rId1356" Type="http://schemas.openxmlformats.org/officeDocument/2006/relationships/hyperlink" Target="https://beacons.ai/whitneybartlettesocial" TargetMode="External"/><Relationship Id="rId1357" Type="http://schemas.openxmlformats.org/officeDocument/2006/relationships/hyperlink" Target="https://linktr.ee/your_social_media_bestie" TargetMode="External"/><Relationship Id="rId20" Type="http://schemas.openxmlformats.org/officeDocument/2006/relationships/hyperlink" Target="http://chinese.aljazeera.net/" TargetMode="External"/><Relationship Id="rId1358" Type="http://schemas.openxmlformats.org/officeDocument/2006/relationships/hyperlink" Target="http://sc.mp/instagram" TargetMode="External"/><Relationship Id="rId1359" Type="http://schemas.openxmlformats.org/officeDocument/2006/relationships/hyperlink" Target="http://www.spinmodelmanagement.com/" TargetMode="External"/><Relationship Id="rId22" Type="http://schemas.openxmlformats.org/officeDocument/2006/relationships/hyperlink" Target="http://linktr.ee/aljazeeraworld/" TargetMode="External"/><Relationship Id="rId21" Type="http://schemas.openxmlformats.org/officeDocument/2006/relationships/hyperlink" Target="https://linkin.bio/aljazeeraenglish" TargetMode="External"/><Relationship Id="rId24" Type="http://schemas.openxmlformats.org/officeDocument/2006/relationships/hyperlink" Target="https://likeshop.me/allure" TargetMode="External"/><Relationship Id="rId23" Type="http://schemas.openxmlformats.org/officeDocument/2006/relationships/hyperlink" Target="http://www.jt.iq/" TargetMode="External"/><Relationship Id="rId767" Type="http://schemas.openxmlformats.org/officeDocument/2006/relationships/hyperlink" Target="http://xquiz.io/desafiocavernaei" TargetMode="External"/><Relationship Id="rId766" Type="http://schemas.openxmlformats.org/officeDocument/2006/relationships/hyperlink" Target="https://t.me/aviivip" TargetMode="External"/><Relationship Id="rId765" Type="http://schemas.openxmlformats.org/officeDocument/2006/relationships/hyperlink" Target="https://linkin.bio/indiewire" TargetMode="External"/><Relationship Id="rId764" Type="http://schemas.openxmlformats.org/officeDocument/2006/relationships/hyperlink" Target="https://www.indiatodayne.in/" TargetMode="External"/><Relationship Id="rId769" Type="http://schemas.openxmlformats.org/officeDocument/2006/relationships/hyperlink" Target="http://influencersinthewild.com" TargetMode="External"/><Relationship Id="rId768" Type="http://schemas.openxmlformats.org/officeDocument/2006/relationships/hyperlink" Target="https://hubs.la/Q02wDYS90" TargetMode="External"/><Relationship Id="rId26" Type="http://schemas.openxmlformats.org/officeDocument/2006/relationships/hyperlink" Target="https://hoo.be/allure.by.ana" TargetMode="External"/><Relationship Id="rId25" Type="http://schemas.openxmlformats.org/officeDocument/2006/relationships/hyperlink" Target="https://allurehtx.com/" TargetMode="External"/><Relationship Id="rId28" Type="http://schemas.openxmlformats.org/officeDocument/2006/relationships/hyperlink" Target="https://amzn.to/4nNwv3C" TargetMode="External"/><Relationship Id="rId1350" Type="http://schemas.openxmlformats.org/officeDocument/2006/relationships/hyperlink" Target="http://sociallybrimedia.com" TargetMode="External"/><Relationship Id="rId27" Type="http://schemas.openxmlformats.org/officeDocument/2006/relationships/hyperlink" Target="http://allurecounty.com" TargetMode="External"/><Relationship Id="rId1351" Type="http://schemas.openxmlformats.org/officeDocument/2006/relationships/hyperlink" Target="http://socialstocks.co" TargetMode="External"/><Relationship Id="rId763" Type="http://schemas.openxmlformats.org/officeDocument/2006/relationships/hyperlink" Target="http://www.indiatoday.in/magazine" TargetMode="External"/><Relationship Id="rId1352" Type="http://schemas.openxmlformats.org/officeDocument/2006/relationships/hyperlink" Target="https://linktr.ee/socialsstudio" TargetMode="External"/><Relationship Id="rId29" Type="http://schemas.openxmlformats.org/officeDocument/2006/relationships/hyperlink" Target="https://linktr.ee/allurethebrand" TargetMode="External"/><Relationship Id="rId762" Type="http://schemas.openxmlformats.org/officeDocument/2006/relationships/hyperlink" Target="https://m.youtube.com/@indiatodayglobal" TargetMode="External"/><Relationship Id="rId1353" Type="http://schemas.openxmlformats.org/officeDocument/2006/relationships/hyperlink" Target="https://beacons.ai/socialwithinitial" TargetMode="External"/><Relationship Id="rId761" Type="http://schemas.openxmlformats.org/officeDocument/2006/relationships/hyperlink" Target="http://indiatoday.in/insta/" TargetMode="External"/><Relationship Id="rId1354" Type="http://schemas.openxmlformats.org/officeDocument/2006/relationships/hyperlink" Target="http://contelp.com/links" TargetMode="External"/><Relationship Id="rId760" Type="http://schemas.openxmlformats.org/officeDocument/2006/relationships/hyperlink" Target="https://ink.inc/" TargetMode="External"/><Relationship Id="rId1355" Type="http://schemas.openxmlformats.org/officeDocument/2006/relationships/hyperlink" Target="https://linktr.ee/wayupmedia" TargetMode="External"/><Relationship Id="rId1345" Type="http://schemas.openxmlformats.org/officeDocument/2006/relationships/hyperlink" Target="https://www.organicsales.io/book-now-c1-ig-4765" TargetMode="External"/><Relationship Id="rId1346" Type="http://schemas.openxmlformats.org/officeDocument/2006/relationships/hyperlink" Target="https://stan.store/marketingharry" TargetMode="External"/><Relationship Id="rId1347" Type="http://schemas.openxmlformats.org/officeDocument/2006/relationships/hyperlink" Target="https://sales-dubai.com" TargetMode="External"/><Relationship Id="rId1348" Type="http://schemas.openxmlformats.org/officeDocument/2006/relationships/hyperlink" Target="http://www.officialpwnkumar.com" TargetMode="External"/><Relationship Id="rId11" Type="http://schemas.openxmlformats.org/officeDocument/2006/relationships/hyperlink" Target="https://afarvintage.com/en-us" TargetMode="External"/><Relationship Id="rId1349" Type="http://schemas.openxmlformats.org/officeDocument/2006/relationships/hyperlink" Target="https://www.pblaunch.com" TargetMode="External"/><Relationship Id="rId10" Type="http://schemas.openxmlformats.org/officeDocument/2006/relationships/hyperlink" Target="https://smartlink.bio/afarmedia" TargetMode="External"/><Relationship Id="rId13" Type="http://schemas.openxmlformats.org/officeDocument/2006/relationships/hyperlink" Target="https://gofund.me/811a7f58" TargetMode="External"/><Relationship Id="rId12" Type="http://schemas.openxmlformats.org/officeDocument/2006/relationships/hyperlink" Target="http://www.lettersafar.com" TargetMode="External"/><Relationship Id="rId756" Type="http://schemas.openxmlformats.org/officeDocument/2006/relationships/hyperlink" Target="https://t.me/+YzuoKwvJaiY5NTcy" TargetMode="External"/><Relationship Id="rId755" Type="http://schemas.openxmlformats.org/officeDocument/2006/relationships/hyperlink" Target="https://bossbabe.com/membership" TargetMode="External"/><Relationship Id="rId754" Type="http://schemas.openxmlformats.org/officeDocument/2006/relationships/hyperlink" Target="https://linktr.ee/ariatinternational" TargetMode="External"/><Relationship Id="rId753" Type="http://schemas.openxmlformats.org/officeDocument/2006/relationships/hyperlink" Target="https://www.shopimpressions.com/collections/what-s-new" TargetMode="External"/><Relationship Id="rId759" Type="http://schemas.openxmlformats.org/officeDocument/2006/relationships/hyperlink" Target="https://youtube.com/@beautyacne_inssi?si=q9sDN6YnWAKO7vUO" TargetMode="External"/><Relationship Id="rId758" Type="http://schemas.openxmlformats.org/officeDocument/2006/relationships/hyperlink" Target="http://cfl.com.br/" TargetMode="External"/><Relationship Id="rId757" Type="http://schemas.openxmlformats.org/officeDocument/2006/relationships/hyperlink" Target="https://linktr.ee/businesss_pro" TargetMode="External"/><Relationship Id="rId15" Type="http://schemas.openxmlformats.org/officeDocument/2006/relationships/hyperlink" Target="https://yt.openinapp.co/uxkbj" TargetMode="External"/><Relationship Id="rId14" Type="http://schemas.openxmlformats.org/officeDocument/2006/relationships/hyperlink" Target="https://x.com/sheikhindustry?t=A9n81hxteRa4EZfb1URBdw&amp;s=09" TargetMode="External"/><Relationship Id="rId17" Type="http://schemas.openxmlformats.org/officeDocument/2006/relationships/hyperlink" Target="https://linktr.ee/fuckyralgorithm" TargetMode="External"/><Relationship Id="rId16" Type="http://schemas.openxmlformats.org/officeDocument/2006/relationships/hyperlink" Target="https://workwith.headai.io/3HMA4GW" TargetMode="External"/><Relationship Id="rId1340" Type="http://schemas.openxmlformats.org/officeDocument/2006/relationships/hyperlink" Target="http://slatetulsa.com/" TargetMode="External"/><Relationship Id="rId19" Type="http://schemas.openxmlformats.org/officeDocument/2006/relationships/hyperlink" Target="https://www.youtube.com/c/aljazeera/live" TargetMode="External"/><Relationship Id="rId752" Type="http://schemas.openxmlformats.org/officeDocument/2006/relationships/hyperlink" Target="https://linkin.bio/imprensafalsa" TargetMode="External"/><Relationship Id="rId1341" Type="http://schemas.openxmlformats.org/officeDocument/2006/relationships/hyperlink" Target="https://msha.ke/adunoluwa" TargetMode="External"/><Relationship Id="rId18" Type="http://schemas.openxmlformats.org/officeDocument/2006/relationships/hyperlink" Target="https://music.apple.com/us/artist/lawson-vladimir/1550629574" TargetMode="External"/><Relationship Id="rId751" Type="http://schemas.openxmlformats.org/officeDocument/2006/relationships/hyperlink" Target="http://sprout.link/igndotcom/" TargetMode="External"/><Relationship Id="rId1342" Type="http://schemas.openxmlformats.org/officeDocument/2006/relationships/hyperlink" Target="https://selar.com/m/amuta-media1" TargetMode="External"/><Relationship Id="rId750" Type="http://schemas.openxmlformats.org/officeDocument/2006/relationships/hyperlink" Target="http://bio.site/puspitamartha" TargetMode="External"/><Relationship Id="rId1343" Type="http://schemas.openxmlformats.org/officeDocument/2006/relationships/hyperlink" Target="https://linktr.ee/clublifedesign" TargetMode="External"/><Relationship Id="rId1344" Type="http://schemas.openxmlformats.org/officeDocument/2006/relationships/hyperlink" Target="https://coaching.inspiredmediaco.com/" TargetMode="External"/><Relationship Id="rId84" Type="http://schemas.openxmlformats.org/officeDocument/2006/relationships/hyperlink" Target="https://bbc.in/3PkPm68" TargetMode="External"/><Relationship Id="rId83" Type="http://schemas.openxmlformats.org/officeDocument/2006/relationships/hyperlink" Target="https://empli.fi/bbcnewspidgin/" TargetMode="External"/><Relationship Id="rId86" Type="http://schemas.openxmlformats.org/officeDocument/2006/relationships/hyperlink" Target="http://bbc.co.uk/radio4" TargetMode="External"/><Relationship Id="rId85" Type="http://schemas.openxmlformats.org/officeDocument/2006/relationships/hyperlink" Target="https://empli.fi/bbcradio1/" TargetMode="External"/><Relationship Id="rId88" Type="http://schemas.openxmlformats.org/officeDocument/2006/relationships/hyperlink" Target="http://bbc.in/whatsappsport" TargetMode="External"/><Relationship Id="rId87" Type="http://schemas.openxmlformats.org/officeDocument/2006/relationships/hyperlink" Target="http://linkin.bio/bbcrussian/" TargetMode="External"/><Relationship Id="rId89" Type="http://schemas.openxmlformats.org/officeDocument/2006/relationships/hyperlink" Target="https://www.shopltk.com/explore/bbcvl" TargetMode="External"/><Relationship Id="rId709" Type="http://schemas.openxmlformats.org/officeDocument/2006/relationships/hyperlink" Target="https://linkin.bio/highsnobietyshop" TargetMode="External"/><Relationship Id="rId708" Type="http://schemas.openxmlformats.org/officeDocument/2006/relationships/hyperlink" Target="https://linkin.bio/highsnobietymusic" TargetMode="External"/><Relationship Id="rId707" Type="http://schemas.openxmlformats.org/officeDocument/2006/relationships/hyperlink" Target="http://hsnob.co/1buq5" TargetMode="External"/><Relationship Id="rId706" Type="http://schemas.openxmlformats.org/officeDocument/2006/relationships/hyperlink" Target="https://highsnobiety.jp/p/issue15_rukishiroiwa/" TargetMode="External"/><Relationship Id="rId80" Type="http://schemas.openxmlformats.org/officeDocument/2006/relationships/hyperlink" Target="https://piano.trib.al/bbcfood" TargetMode="External"/><Relationship Id="rId82" Type="http://schemas.openxmlformats.org/officeDocument/2006/relationships/hyperlink" Target="https://bbc.in/news" TargetMode="External"/><Relationship Id="rId81" Type="http://schemas.openxmlformats.org/officeDocument/2006/relationships/hyperlink" Target="https://bbc.in/3hSv7d9" TargetMode="External"/><Relationship Id="rId701" Type="http://schemas.openxmlformats.org/officeDocument/2006/relationships/hyperlink" Target="https://linkin.bio/hellokitty" TargetMode="External"/><Relationship Id="rId700" Type="http://schemas.openxmlformats.org/officeDocument/2006/relationships/hyperlink" Target="https://forms.gle/ThLFHmSm6ee9RQjY8" TargetMode="External"/><Relationship Id="rId705" Type="http://schemas.openxmlformats.org/officeDocument/2006/relationships/hyperlink" Target="https://linkin.bio/highsnobietydesign" TargetMode="External"/><Relationship Id="rId704" Type="http://schemas.openxmlformats.org/officeDocument/2006/relationships/hyperlink" Target="http://linkin.bio/highsnobiety" TargetMode="External"/><Relationship Id="rId703" Type="http://schemas.openxmlformats.org/officeDocument/2006/relationships/hyperlink" Target="https://linktr.ee/Helloperfectskin" TargetMode="External"/><Relationship Id="rId702" Type="http://schemas.openxmlformats.org/officeDocument/2006/relationships/hyperlink" Target="https://lin.ee/vEpogAY" TargetMode="External"/><Relationship Id="rId73" Type="http://schemas.openxmlformats.org/officeDocument/2006/relationships/hyperlink" Target="https://tinyurl.com/Young-Einstein-Reveal-Secret" TargetMode="External"/><Relationship Id="rId72" Type="http://schemas.openxmlformats.org/officeDocument/2006/relationships/hyperlink" Target="https://endthewokeness.com/?ref=barron" TargetMode="External"/><Relationship Id="rId75" Type="http://schemas.openxmlformats.org/officeDocument/2006/relationships/hyperlink" Target="https://empli.fi/bbc6music/" TargetMode="External"/><Relationship Id="rId74" Type="http://schemas.openxmlformats.org/officeDocument/2006/relationships/hyperlink" Target="https://bbc.in/m/BBC" TargetMode="External"/><Relationship Id="rId77" Type="http://schemas.openxmlformats.org/officeDocument/2006/relationships/hyperlink" Target="https://linkin.bio/bbcbrasil" TargetMode="External"/><Relationship Id="rId76" Type="http://schemas.openxmlformats.org/officeDocument/2006/relationships/hyperlink" Target="https://www.bbc.com/arabic" TargetMode="External"/><Relationship Id="rId79" Type="http://schemas.openxmlformats.org/officeDocument/2006/relationships/hyperlink" Target="https://www.bbcearth.com/instagram" TargetMode="External"/><Relationship Id="rId78" Type="http://schemas.openxmlformats.org/officeDocument/2006/relationships/hyperlink" Target="https://linkmy.photos/bbc_culture" TargetMode="External"/><Relationship Id="rId71" Type="http://schemas.openxmlformats.org/officeDocument/2006/relationships/hyperlink" Target="http://barronscbd.com" TargetMode="External"/><Relationship Id="rId70" Type="http://schemas.openxmlformats.org/officeDocument/2006/relationships/hyperlink" Target="https://linkin.bio/barrons" TargetMode="External"/><Relationship Id="rId62" Type="http://schemas.openxmlformats.org/officeDocument/2006/relationships/hyperlink" Target="https://linktr.ee/APStylebook" TargetMode="External"/><Relationship Id="rId1312" Type="http://schemas.openxmlformats.org/officeDocument/2006/relationships/hyperlink" Target="https://panelfuelresearch.trknw.com/?a=98&amp;c=1102&amp;s1=DICA&amp;S2=Unique_ID" TargetMode="External"/><Relationship Id="rId61" Type="http://schemas.openxmlformats.org/officeDocument/2006/relationships/hyperlink" Target="https://smartlink.bio/apnews" TargetMode="External"/><Relationship Id="rId1313" Type="http://schemas.openxmlformats.org/officeDocument/2006/relationships/hyperlink" Target="http://link.me/somosguerreros" TargetMode="External"/><Relationship Id="rId64" Type="http://schemas.openxmlformats.org/officeDocument/2006/relationships/hyperlink" Target="https://audience.org.uk/" TargetMode="External"/><Relationship Id="rId1314" Type="http://schemas.openxmlformats.org/officeDocument/2006/relationships/hyperlink" Target="https://youtube.com/@moviesforseries" TargetMode="External"/><Relationship Id="rId63" Type="http://schemas.openxmlformats.org/officeDocument/2006/relationships/hyperlink" Target="https://linktr.ee/Audience615" TargetMode="External"/><Relationship Id="rId1315" Type="http://schemas.openxmlformats.org/officeDocument/2006/relationships/hyperlink" Target="https://sandwiche.me/msbr" TargetMode="External"/><Relationship Id="rId66" Type="http://schemas.openxmlformats.org/officeDocument/2006/relationships/hyperlink" Target="http://linkin.bio/axios" TargetMode="External"/><Relationship Id="rId1316" Type="http://schemas.openxmlformats.org/officeDocument/2006/relationships/hyperlink" Target="http://series.so" TargetMode="External"/><Relationship Id="rId65" Type="http://schemas.openxmlformats.org/officeDocument/2006/relationships/hyperlink" Target="http://karamoshow.com/tickets" TargetMode="External"/><Relationship Id="rId1317" Type="http://schemas.openxmlformats.org/officeDocument/2006/relationships/hyperlink" Target="https://series.so" TargetMode="External"/><Relationship Id="rId68" Type="http://schemas.openxmlformats.org/officeDocument/2006/relationships/hyperlink" Target="https://linkin.bio/axiosraleigh" TargetMode="External"/><Relationship Id="rId1318" Type="http://schemas.openxmlformats.org/officeDocument/2006/relationships/hyperlink" Target="https://abrir.link/SiMzw" TargetMode="External"/><Relationship Id="rId67" Type="http://schemas.openxmlformats.org/officeDocument/2006/relationships/hyperlink" Target="https://linkin.bio/axioscharlotte" TargetMode="External"/><Relationship Id="rId1319" Type="http://schemas.openxmlformats.org/officeDocument/2006/relationships/hyperlink" Target="https://www.svns.com/en" TargetMode="External"/><Relationship Id="rId729" Type="http://schemas.openxmlformats.org/officeDocument/2006/relationships/hyperlink" Target="https://linkin.bio/houstonchron" TargetMode="External"/><Relationship Id="rId728" Type="http://schemas.openxmlformats.org/officeDocument/2006/relationships/hyperlink" Target="https://www.instagram.com/_house_beautiful?igsh=MW01bmhlb2JwczZpbw%25253D%25253D&amp;utm_source=qr" TargetMode="External"/><Relationship Id="rId60" Type="http://schemas.openxmlformats.org/officeDocument/2006/relationships/hyperlink" Target="https://articlesofstyle.com/products/how-to-buy-menswear-e-book-by-dan-trepanier" TargetMode="External"/><Relationship Id="rId723" Type="http://schemas.openxmlformats.org/officeDocument/2006/relationships/hyperlink" Target="https://www.instagram.com/_house_beautiful?igsh=MW01bmhlb2JwczZpbw%253D%253D&amp;utm_source=qr" TargetMode="External"/><Relationship Id="rId722" Type="http://schemas.openxmlformats.org/officeDocument/2006/relationships/hyperlink" Target="http://housebeautifuldecor.com/" TargetMode="External"/><Relationship Id="rId721" Type="http://schemas.openxmlformats.org/officeDocument/2006/relationships/hyperlink" Target="http://likeshop.me/housebeautiful" TargetMode="External"/><Relationship Id="rId720" Type="http://schemas.openxmlformats.org/officeDocument/2006/relationships/hyperlink" Target="https://open.spotify.com/show/0eFdeAalhFgHfYoLn5qW3u?si=6oKBg3gTRXq0PuUKJoooBQ" TargetMode="External"/><Relationship Id="rId727" Type="http://schemas.openxmlformats.org/officeDocument/2006/relationships/hyperlink" Target="https://housebeautifuli.com" TargetMode="External"/><Relationship Id="rId726" Type="http://schemas.openxmlformats.org/officeDocument/2006/relationships/hyperlink" Target="https://houseofbeautifulbusiness.com/explore" TargetMode="External"/><Relationship Id="rId725" Type="http://schemas.openxmlformats.org/officeDocument/2006/relationships/hyperlink" Target="https://likeshop.me/housebeautifuluk" TargetMode="External"/><Relationship Id="rId724" Type="http://schemas.openxmlformats.org/officeDocument/2006/relationships/hyperlink" Target="https://youtu.be/lT_-GKlbW_E" TargetMode="External"/><Relationship Id="rId69" Type="http://schemas.openxmlformats.org/officeDocument/2006/relationships/hyperlink" Target="https://linkin.bio/axiostwincities" TargetMode="External"/><Relationship Id="rId1310" Type="http://schemas.openxmlformats.org/officeDocument/2006/relationships/hyperlink" Target="https://linktr.ee/24hseries" TargetMode="External"/><Relationship Id="rId1311" Type="http://schemas.openxmlformats.org/officeDocument/2006/relationships/hyperlink" Target="https://lemon.go.link/c8wrO" TargetMode="External"/><Relationship Id="rId51" Type="http://schemas.openxmlformats.org/officeDocument/2006/relationships/hyperlink" Target="https://likeshop.me/admexico" TargetMode="External"/><Relationship Id="rId1301" Type="http://schemas.openxmlformats.org/officeDocument/2006/relationships/hyperlink" Target="https://smartlink.bio/screenrant" TargetMode="External"/><Relationship Id="rId50" Type="http://schemas.openxmlformats.org/officeDocument/2006/relationships/hyperlink" Target="https://likeshop.me/ad_magazine" TargetMode="External"/><Relationship Id="rId1302" Type="http://schemas.openxmlformats.org/officeDocument/2006/relationships/hyperlink" Target="http://seekingalpha.com" TargetMode="External"/><Relationship Id="rId53" Type="http://schemas.openxmlformats.org/officeDocument/2006/relationships/hyperlink" Target="https://likeshop.me/ad_spain" TargetMode="External"/><Relationship Id="rId1303" Type="http://schemas.openxmlformats.org/officeDocument/2006/relationships/hyperlink" Target="https://luma.com/9iq8didt" TargetMode="External"/><Relationship Id="rId52" Type="http://schemas.openxmlformats.org/officeDocument/2006/relationships/hyperlink" Target="https://www.admagazine.ru/" TargetMode="External"/><Relationship Id="rId1304" Type="http://schemas.openxmlformats.org/officeDocument/2006/relationships/hyperlink" Target="http://www.segment.kr/" TargetMode="External"/><Relationship Id="rId55" Type="http://schemas.openxmlformats.org/officeDocument/2006/relationships/hyperlink" Target="https://likeshop.me/archdigestindia" TargetMode="External"/><Relationship Id="rId1305" Type="http://schemas.openxmlformats.org/officeDocument/2006/relationships/hyperlink" Target="https://www.segmenta.co.kr" TargetMode="External"/><Relationship Id="rId54" Type="http://schemas.openxmlformats.org/officeDocument/2006/relationships/hyperlink" Target="https://likeshop.me/archdigest" TargetMode="External"/><Relationship Id="rId1306" Type="http://schemas.openxmlformats.org/officeDocument/2006/relationships/hyperlink" Target="http://segment.id" TargetMode="External"/><Relationship Id="rId57" Type="http://schemas.openxmlformats.org/officeDocument/2006/relationships/hyperlink" Target="https://likeshop.me/article" TargetMode="External"/><Relationship Id="rId1307" Type="http://schemas.openxmlformats.org/officeDocument/2006/relationships/hyperlink" Target="http://www.segment-id.com/" TargetMode="External"/><Relationship Id="rId56" Type="http://schemas.openxmlformats.org/officeDocument/2006/relationships/hyperlink" Target="https://likeshop.me/arstechnica" TargetMode="External"/><Relationship Id="rId1308" Type="http://schemas.openxmlformats.org/officeDocument/2006/relationships/hyperlink" Target="https://youtube.com/@segmentoarmado?si=HDkwWLaGXeS-QhSR" TargetMode="External"/><Relationship Id="rId1309" Type="http://schemas.openxmlformats.org/officeDocument/2006/relationships/hyperlink" Target="https://linktr.ee/segmentofutbol" TargetMode="External"/><Relationship Id="rId719" Type="http://schemas.openxmlformats.org/officeDocument/2006/relationships/hyperlink" Target="https://s.id/Jagoan-Hosting" TargetMode="External"/><Relationship Id="rId718" Type="http://schemas.openxmlformats.org/officeDocument/2006/relationships/hyperlink" Target="https://hostinger.bio/" TargetMode="External"/><Relationship Id="rId717" Type="http://schemas.openxmlformats.org/officeDocument/2006/relationships/hyperlink" Target="https://www.hawaiianhostgroup.com/careers/" TargetMode="External"/><Relationship Id="rId712" Type="http://schemas.openxmlformats.org/officeDocument/2006/relationships/hyperlink" Target="https://linkin.bio/hindustantimes" TargetMode="External"/><Relationship Id="rId711" Type="http://schemas.openxmlformats.org/officeDocument/2006/relationships/hyperlink" Target="http://linkin.bio/highsnobietystyle" TargetMode="External"/><Relationship Id="rId710" Type="http://schemas.openxmlformats.org/officeDocument/2006/relationships/hyperlink" Target="https://linkin.bio/highsnobietysneakers" TargetMode="External"/><Relationship Id="rId716" Type="http://schemas.openxmlformats.org/officeDocument/2006/relationships/hyperlink" Target="http://www.cjsparxx.com/" TargetMode="External"/><Relationship Id="rId715" Type="http://schemas.openxmlformats.org/officeDocument/2006/relationships/hyperlink" Target="https://www.hindustantimes.com/lifestyle/brunch" TargetMode="External"/><Relationship Id="rId714" Type="http://schemas.openxmlformats.org/officeDocument/2006/relationships/hyperlink" Target="https://www.hindustantimes.com/technology" TargetMode="External"/><Relationship Id="rId713" Type="http://schemas.openxmlformats.org/officeDocument/2006/relationships/hyperlink" Target="https://linkin.bio/ht_auto" TargetMode="External"/><Relationship Id="rId59" Type="http://schemas.openxmlformats.org/officeDocument/2006/relationships/hyperlink" Target="https://www.article-london.com/collections/latest" TargetMode="External"/><Relationship Id="rId58" Type="http://schemas.openxmlformats.org/officeDocument/2006/relationships/hyperlink" Target="http://www.article-blazers.com" TargetMode="External"/><Relationship Id="rId1300" Type="http://schemas.openxmlformats.org/officeDocument/2006/relationships/hyperlink" Target="https://linktr.ee/screendaily2" TargetMode="External"/><Relationship Id="rId349" Type="http://schemas.openxmlformats.org/officeDocument/2006/relationships/hyperlink" Target="http://bohotrips.com.ua/" TargetMode="External"/><Relationship Id="rId348" Type="http://schemas.openxmlformats.org/officeDocument/2006/relationships/hyperlink" Target="https://www.elcritic.cat/?utm_source=Instagram&amp;utm_medium=bio&amp;utm_campaign=vacances" TargetMode="External"/><Relationship Id="rId347" Type="http://schemas.openxmlformats.org/officeDocument/2006/relationships/hyperlink" Target="https://youtu.be/lTXgT_ih5NQ?si=zp51RJ4VFXZ2n2AQ" TargetMode="External"/><Relationship Id="rId346" Type="http://schemas.openxmlformats.org/officeDocument/2006/relationships/hyperlink" Target="https://youvora.com/collections/trescho" TargetMode="External"/><Relationship Id="rId341" Type="http://schemas.openxmlformats.org/officeDocument/2006/relationships/hyperlink" Target="http://www.redcarpet-fashionawards.com/" TargetMode="External"/><Relationship Id="rId340" Type="http://schemas.openxmlformats.org/officeDocument/2006/relationships/hyperlink" Target="https://linkmy.photos/criticapa02" TargetMode="External"/><Relationship Id="rId345" Type="http://schemas.openxmlformats.org/officeDocument/2006/relationships/hyperlink" Target="https://linktr.ee/mylittlefoodcritic" TargetMode="External"/><Relationship Id="rId344" Type="http://schemas.openxmlformats.org/officeDocument/2006/relationships/hyperlink" Target="http://la-criticalmass.org" TargetMode="External"/><Relationship Id="rId343" Type="http://schemas.openxmlformats.org/officeDocument/2006/relationships/hyperlink" Target="http://guillescentlover.com" TargetMode="External"/><Relationship Id="rId342" Type="http://schemas.openxmlformats.org/officeDocument/2006/relationships/hyperlink" Target="https://www.tiktok.com/@gastrocriticvlc?_t=8kN26mJWvhY&amp;_r=1" TargetMode="External"/><Relationship Id="rId338" Type="http://schemas.openxmlformats.org/officeDocument/2006/relationships/hyperlink" Target="https://sites.prh.com/tried-and-true-cookbook" TargetMode="External"/><Relationship Id="rId337" Type="http://schemas.openxmlformats.org/officeDocument/2006/relationships/hyperlink" Target="https://youtu.be/kZfz5UlsHlQ?si=5BP4QjQerC356FW5" TargetMode="External"/><Relationship Id="rId336" Type="http://schemas.openxmlformats.org/officeDocument/2006/relationships/hyperlink" Target="https://apps.apple.com/app/apple-store/id6738967378?pt=428156&amp;ct=%2540creators%252520bio%252520link&amp;mt=8" TargetMode="External"/><Relationship Id="rId335" Type="http://schemas.openxmlformats.org/officeDocument/2006/relationships/hyperlink" Target="http://x.com/uofmcoverage" TargetMode="External"/><Relationship Id="rId339" Type="http://schemas.openxmlformats.org/officeDocument/2006/relationships/hyperlink" Target="https://critrole.com/2026-echoes-of-exandria-tour/" TargetMode="External"/><Relationship Id="rId330" Type="http://schemas.openxmlformats.org/officeDocument/2006/relationships/hyperlink" Target="http://www.coverage.at" TargetMode="External"/><Relationship Id="rId334" Type="http://schemas.openxmlformats.org/officeDocument/2006/relationships/hyperlink" Target="https://wapo.st/climateig" TargetMode="External"/><Relationship Id="rId333" Type="http://schemas.openxmlformats.org/officeDocument/2006/relationships/hyperlink" Target="https://lifestyleproduction.com" TargetMode="External"/><Relationship Id="rId332" Type="http://schemas.openxmlformats.org/officeDocument/2006/relationships/hyperlink" Target="http://coverageskincare.com" TargetMode="External"/><Relationship Id="rId331" Type="http://schemas.openxmlformats.org/officeDocument/2006/relationships/hyperlink" Target="https://coverageesports.com" TargetMode="External"/><Relationship Id="rId370" Type="http://schemas.openxmlformats.org/officeDocument/2006/relationships/hyperlink" Target="http://linktr.ee/deadspin" TargetMode="External"/><Relationship Id="rId369" Type="http://schemas.openxmlformats.org/officeDocument/2006/relationships/hyperlink" Target="https://www.dr.dk/drtv/serie/deadline_7111" TargetMode="External"/><Relationship Id="rId368" Type="http://schemas.openxmlformats.org/officeDocument/2006/relationships/hyperlink" Target="https://linkin.bio/deadline" TargetMode="External"/><Relationship Id="rId363" Type="http://schemas.openxmlformats.org/officeDocument/2006/relationships/hyperlink" Target="https://linktr.ee/Dazeddoll" TargetMode="External"/><Relationship Id="rId362" Type="http://schemas.openxmlformats.org/officeDocument/2006/relationships/hyperlink" Target="http://dazed.fun" TargetMode="External"/><Relationship Id="rId361" Type="http://schemas.openxmlformats.org/officeDocument/2006/relationships/hyperlink" Target="https://dazedbutamazed.com/" TargetMode="External"/><Relationship Id="rId360" Type="http://schemas.openxmlformats.org/officeDocument/2006/relationships/hyperlink" Target="https://linkin.bio/dazedbeauty" TargetMode="External"/><Relationship Id="rId367" Type="http://schemas.openxmlformats.org/officeDocument/2006/relationships/hyperlink" Target="https://linktr.ee/Dazedmuzic" TargetMode="External"/><Relationship Id="rId366" Type="http://schemas.openxmlformats.org/officeDocument/2006/relationships/hyperlink" Target="https://lnk.at/dazedmiddleeast" TargetMode="External"/><Relationship Id="rId365" Type="http://schemas.openxmlformats.org/officeDocument/2006/relationships/hyperlink" Target="http://www.dazedkorea.com/fashion/article/3150/detail.do?fbclid=PARlRTSAMjH-FleHRuA2FlbQIxMQABp9INvzIryUM4K3ozYajOma-5_X-m_e-HL04aS-FYzCWhUKVKftunEwhaf3E__aem_Qu-lzNP36Er6lllU-S0R4Q" TargetMode="External"/><Relationship Id="rId364" Type="http://schemas.openxmlformats.org/officeDocument/2006/relationships/hyperlink" Target="http://linkin.bio/dazedfashion" TargetMode="External"/><Relationship Id="rId95" Type="http://schemas.openxmlformats.org/officeDocument/2006/relationships/hyperlink" Target="http://ca.billboard.com" TargetMode="External"/><Relationship Id="rId94" Type="http://schemas.openxmlformats.org/officeDocument/2006/relationships/hyperlink" Target="https://linkin.bio/billboardbr/" TargetMode="External"/><Relationship Id="rId97" Type="http://schemas.openxmlformats.org/officeDocument/2006/relationships/hyperlink" Target="http://billboard.com.co" TargetMode="External"/><Relationship Id="rId96" Type="http://schemas.openxmlformats.org/officeDocument/2006/relationships/hyperlink" Target="https://linkin.bio/billboardcharts" TargetMode="External"/><Relationship Id="rId99" Type="http://schemas.openxmlformats.org/officeDocument/2006/relationships/hyperlink" Target="http://fr.billboard.com" TargetMode="External"/><Relationship Id="rId98" Type="http://schemas.openxmlformats.org/officeDocument/2006/relationships/hyperlink" Target="http://linkin.bio/billboarddance" TargetMode="External"/><Relationship Id="rId91" Type="http://schemas.openxmlformats.org/officeDocument/2006/relationships/hyperlink" Target="https://likeshop.me/betterhomesandgardens" TargetMode="External"/><Relationship Id="rId90" Type="http://schemas.openxmlformats.org/officeDocument/2006/relationships/hyperlink" Target="https://bbc.in/bristol" TargetMode="External"/><Relationship Id="rId93" Type="http://schemas.openxmlformats.org/officeDocument/2006/relationships/hyperlink" Target="https://tr.ee/billboard" TargetMode="External"/><Relationship Id="rId92" Type="http://schemas.openxmlformats.org/officeDocument/2006/relationships/hyperlink" Target="http://linkin.bio/billboard" TargetMode="External"/><Relationship Id="rId359" Type="http://schemas.openxmlformats.org/officeDocument/2006/relationships/hyperlink" Target="https://linktr.ee/dazedayz" TargetMode="External"/><Relationship Id="rId358" Type="http://schemas.openxmlformats.org/officeDocument/2006/relationships/hyperlink" Target="https://dazd.co/2JBjUfr" TargetMode="External"/><Relationship Id="rId357" Type="http://schemas.openxmlformats.org/officeDocument/2006/relationships/hyperlink" Target="https://newsin.bio/dallasnews" TargetMode="External"/><Relationship Id="rId352" Type="http://schemas.openxmlformats.org/officeDocument/2006/relationships/hyperlink" Target="https://qrco.de/DMNews" TargetMode="External"/><Relationship Id="rId351" Type="http://schemas.openxmlformats.org/officeDocument/2006/relationships/hyperlink" Target="https://linkin.bio/ig-thedailybeast" TargetMode="External"/><Relationship Id="rId350" Type="http://schemas.openxmlformats.org/officeDocument/2006/relationships/hyperlink" Target="https://theculturetrip.com/link-in-bio/?utm_source=instagram&amp;utm_medium=social&amp;utm_content=lib" TargetMode="External"/><Relationship Id="rId356" Type="http://schemas.openxmlformats.org/officeDocument/2006/relationships/hyperlink" Target="http://lnk.bio/dailymailuk" TargetMode="External"/><Relationship Id="rId355" Type="http://schemas.openxmlformats.org/officeDocument/2006/relationships/hyperlink" Target="https://linktr.ee/mailsport" TargetMode="External"/><Relationship Id="rId354" Type="http://schemas.openxmlformats.org/officeDocument/2006/relationships/hyperlink" Target="http://dailymail.co.uk/palaceconfidential" TargetMode="External"/><Relationship Id="rId353" Type="http://schemas.openxmlformats.org/officeDocument/2006/relationships/hyperlink" Target="https://lnk.bio/dailymailau" TargetMode="External"/><Relationship Id="rId1378" Type="http://schemas.openxmlformats.org/officeDocument/2006/relationships/hyperlink" Target="https://shop.visualstatements.net" TargetMode="External"/><Relationship Id="rId1379" Type="http://schemas.openxmlformats.org/officeDocument/2006/relationships/hyperlink" Target="http://ig.rdstation.com/rdstation" TargetMode="External"/><Relationship Id="rId305" Type="http://schemas.openxmlformats.org/officeDocument/2006/relationships/hyperlink" Target="https://valcourse.com/link/" TargetMode="External"/><Relationship Id="rId789" Type="http://schemas.openxmlformats.org/officeDocument/2006/relationships/hyperlink" Target="http://wa.me/77714060953" TargetMode="External"/><Relationship Id="rId304" Type="http://schemas.openxmlformats.org/officeDocument/2006/relationships/hyperlink" Target="https://linktr.ee/aframdanielle" TargetMode="External"/><Relationship Id="rId788" Type="http://schemas.openxmlformats.org/officeDocument/2006/relationships/hyperlink" Target="https://www.inthestyle.com/collections/new-in?utm_source=Instagram&amp;utm_medium=Social&amp;utm_campaign=Instagram_Story&amp;utm_content=26.11.24_linkinbio" TargetMode="External"/><Relationship Id="rId303" Type="http://schemas.openxmlformats.org/officeDocument/2006/relationships/hyperlink" Target="https://linktr.ee/the.contentcove" TargetMode="External"/><Relationship Id="rId787" Type="http://schemas.openxmlformats.org/officeDocument/2006/relationships/hyperlink" Target="http://wtsp.kz/Instyle.zh2" TargetMode="External"/><Relationship Id="rId302" Type="http://schemas.openxmlformats.org/officeDocument/2006/relationships/hyperlink" Target="https://www.socialshirley.com/social-shirley-solutions-store-ig" TargetMode="External"/><Relationship Id="rId786" Type="http://schemas.openxmlformats.org/officeDocument/2006/relationships/hyperlink" Target="https://www.instyle.com.tr" TargetMode="External"/><Relationship Id="rId309" Type="http://schemas.openxmlformats.org/officeDocument/2006/relationships/hyperlink" Target="http://www.drleahkatz.com/7day-mindfulness-challenge" TargetMode="External"/><Relationship Id="rId308" Type="http://schemas.openxmlformats.org/officeDocument/2006/relationships/hyperlink" Target="http://www.getslayguide.com" TargetMode="External"/><Relationship Id="rId307" Type="http://schemas.openxmlformats.org/officeDocument/2006/relationships/hyperlink" Target="https://contributormagazine.com/" TargetMode="External"/><Relationship Id="rId306" Type="http://schemas.openxmlformats.org/officeDocument/2006/relationships/hyperlink" Target="https://wegetcontent.co/" TargetMode="External"/><Relationship Id="rId781" Type="http://schemas.openxmlformats.org/officeDocument/2006/relationships/hyperlink" Target="https://linktr.ee/instyle_helen" TargetMode="External"/><Relationship Id="rId1370" Type="http://schemas.openxmlformats.org/officeDocument/2006/relationships/hyperlink" Target="https://linktr.ee/statementbeauty" TargetMode="External"/><Relationship Id="rId780" Type="http://schemas.openxmlformats.org/officeDocument/2006/relationships/hyperlink" Target="https://t.me/instyle_brand_outlet" TargetMode="External"/><Relationship Id="rId1371" Type="http://schemas.openxmlformats.org/officeDocument/2006/relationships/hyperlink" Target="https://statementdowntown.com" TargetMode="External"/><Relationship Id="rId1372" Type="http://schemas.openxmlformats.org/officeDocument/2006/relationships/hyperlink" Target="https://linktr.ee/Statementbrandbr" TargetMode="External"/><Relationship Id="rId1373" Type="http://schemas.openxmlformats.org/officeDocument/2006/relationships/hyperlink" Target="http://www.statement-clo.de/" TargetMode="External"/><Relationship Id="rId301" Type="http://schemas.openxmlformats.org/officeDocument/2006/relationships/hyperlink" Target="https://www.pblaunch.com" TargetMode="External"/><Relationship Id="rId785" Type="http://schemas.openxmlformats.org/officeDocument/2006/relationships/hyperlink" Target="http://instyle.tr" TargetMode="External"/><Relationship Id="rId1374" Type="http://schemas.openxmlformats.org/officeDocument/2006/relationships/hyperlink" Target="https://statementcollective.com" TargetMode="External"/><Relationship Id="rId300" Type="http://schemas.openxmlformats.org/officeDocument/2006/relationships/hyperlink" Target="https://www.tiktok.com/@kate_in_london_?_t=ZN-8wGv9PjDM74&amp;_r=1" TargetMode="External"/><Relationship Id="rId784" Type="http://schemas.openxmlformats.org/officeDocument/2006/relationships/hyperlink" Target="https://www.instyle.es" TargetMode="External"/><Relationship Id="rId1375" Type="http://schemas.openxmlformats.org/officeDocument/2006/relationships/hyperlink" Target="http://statement.mz" TargetMode="External"/><Relationship Id="rId783" Type="http://schemas.openxmlformats.org/officeDocument/2006/relationships/hyperlink" Target="http://instyleshoes.com" TargetMode="External"/><Relationship Id="rId1376" Type="http://schemas.openxmlformats.org/officeDocument/2006/relationships/hyperlink" Target="https://vm.tiktok.com/ZMNQ2JUDs/" TargetMode="External"/><Relationship Id="rId782" Type="http://schemas.openxmlformats.org/officeDocument/2006/relationships/hyperlink" Target="https://likeshop.me/instylemagazine" TargetMode="External"/><Relationship Id="rId1377" Type="http://schemas.openxmlformats.org/officeDocument/2006/relationships/hyperlink" Target="http://statementnz.com" TargetMode="External"/><Relationship Id="rId1367" Type="http://schemas.openxmlformats.org/officeDocument/2006/relationships/hyperlink" Target="https://www.si.com/mx" TargetMode="External"/><Relationship Id="rId1368" Type="http://schemas.openxmlformats.org/officeDocument/2006/relationships/hyperlink" Target="https://bstatement.ru/" TargetMode="External"/><Relationship Id="rId1369" Type="http://schemas.openxmlformats.org/officeDocument/2006/relationships/hyperlink" Target="http://statementbeauty.co" TargetMode="External"/><Relationship Id="rId778" Type="http://schemas.openxmlformats.org/officeDocument/2006/relationships/hyperlink" Target="http://linktr.ee/yesstyleinfluencers/" TargetMode="External"/><Relationship Id="rId777" Type="http://schemas.openxmlformats.org/officeDocument/2006/relationships/hyperlink" Target="https://vladislavar.online/letswork" TargetMode="External"/><Relationship Id="rId776" Type="http://schemas.openxmlformats.org/officeDocument/2006/relationships/hyperlink" Target="https://t.me/viiushaaaa" TargetMode="External"/><Relationship Id="rId775" Type="http://schemas.openxmlformats.org/officeDocument/2006/relationships/hyperlink" Target="https://t.me/sashavizual" TargetMode="External"/><Relationship Id="rId779" Type="http://schemas.openxmlformats.org/officeDocument/2006/relationships/hyperlink" Target="https://msha.ke/danainstyle" TargetMode="External"/><Relationship Id="rId770" Type="http://schemas.openxmlformats.org/officeDocument/2006/relationships/hyperlink" Target="https://t.me/kolesovayll" TargetMode="External"/><Relationship Id="rId1360" Type="http://schemas.openxmlformats.org/officeDocument/2006/relationships/hyperlink" Target="https://linktr.ee/spinwithjim" TargetMode="External"/><Relationship Id="rId1361" Type="http://schemas.openxmlformats.org/officeDocument/2006/relationships/hyperlink" Target="https://youtu.be/kTMUW-Bf6hY?si=2nmm4Olyi6wD6KjP" TargetMode="External"/><Relationship Id="rId1362" Type="http://schemas.openxmlformats.org/officeDocument/2006/relationships/hyperlink" Target="https://hoo.be/siswimsuit" TargetMode="External"/><Relationship Id="rId774" Type="http://schemas.openxmlformats.org/officeDocument/2006/relationships/hyperlink" Target="https://playinfluencermanagement.com/shop/ols/products/smash-your-socials-the-ultimate-influencer-programme-for-growing-your-social-media" TargetMode="External"/><Relationship Id="rId1363" Type="http://schemas.openxmlformats.org/officeDocument/2006/relationships/hyperlink" Target="https://lnk.bio/sportsillustrated" TargetMode="External"/><Relationship Id="rId773" Type="http://schemas.openxmlformats.org/officeDocument/2006/relationships/hyperlink" Target="https://youtu.be/lKKUJZ6vxxs?si=sYKjb0IJxfrGkcQS" TargetMode="External"/><Relationship Id="rId1364" Type="http://schemas.openxmlformats.org/officeDocument/2006/relationships/hyperlink" Target="https://www.si.com/nba/cooper-flagg-the-next-stage?fbclid=PAQ0xDSwLkkTVleHRuA2FlbQIxMQABp7OwXjwW6AhCXteJYYu1X1mvqXEm4srImgoIypxYxOebAn_g7JAPakapyEt4_aem_yTxPl4yCdUeIOr5IHmzAqA" TargetMode="External"/><Relationship Id="rId772" Type="http://schemas.openxmlformats.org/officeDocument/2006/relationships/hyperlink" Target="https://mixsoon-influencerguide.my.canva.site/" TargetMode="External"/><Relationship Id="rId1365" Type="http://schemas.openxmlformats.org/officeDocument/2006/relationships/hyperlink" Target="http://sportsillustrated.de" TargetMode="External"/><Relationship Id="rId771" Type="http://schemas.openxmlformats.org/officeDocument/2006/relationships/hyperlink" Target="https://magnifiedinfluencerawards.com/" TargetMode="External"/><Relationship Id="rId1366" Type="http://schemas.openxmlformats.org/officeDocument/2006/relationships/hyperlink" Target="https://lnk.bio/sportsillustratedfc" TargetMode="External"/><Relationship Id="rId327" Type="http://schemas.openxmlformats.org/officeDocument/2006/relationships/hyperlink" Target="https://cosmopolitanvintage.com/" TargetMode="External"/><Relationship Id="rId326" Type="http://schemas.openxmlformats.org/officeDocument/2006/relationships/hyperlink" Target="https://www.cosmo.com.ua/people/celebrities/u-sviy-den-narodzhennya-dzhamala-prezentuvala-trek-zorya-ta-stala-heroyineyu-obkladynky-cosmopolitan/" TargetMode="External"/><Relationship Id="rId325" Type="http://schemas.openxmlformats.org/officeDocument/2006/relationships/hyperlink" Target="https://likeshop.me/cosmopolitanuk" TargetMode="External"/><Relationship Id="rId324" Type="http://schemas.openxmlformats.org/officeDocument/2006/relationships/hyperlink" Target="https://lin.ee/SGcFjag" TargetMode="External"/><Relationship Id="rId329" Type="http://schemas.openxmlformats.org/officeDocument/2006/relationships/hyperlink" Target="https://msha.ke/chiefshive" TargetMode="External"/><Relationship Id="rId1390" Type="http://schemas.openxmlformats.org/officeDocument/2006/relationships/hyperlink" Target="http://sprout.link/straits_times/" TargetMode="External"/><Relationship Id="rId328" Type="http://schemas.openxmlformats.org/officeDocument/2006/relationships/hyperlink" Target="https://maxoutletstore.com/products/nasal-stick-4-pcs?_pos=2&amp;_psq=nasa&amp;_ss=e&amp;_v=1.0" TargetMode="External"/><Relationship Id="rId1391" Type="http://schemas.openxmlformats.org/officeDocument/2006/relationships/hyperlink" Target="http://www.straitstimesfood.com" TargetMode="External"/><Relationship Id="rId1392" Type="http://schemas.openxmlformats.org/officeDocument/2006/relationships/hyperlink" Target="http://sprout.link/straits_times_sport/" TargetMode="External"/><Relationship Id="rId1393" Type="http://schemas.openxmlformats.org/officeDocument/2006/relationships/hyperlink" Target="https://msha.ke/etalasebola" TargetMode="External"/><Relationship Id="rId1394" Type="http://schemas.openxmlformats.org/officeDocument/2006/relationships/hyperlink" Target="https://dramabox.onelink.me/dqUm/4v1jerlu" TargetMode="External"/><Relationship Id="rId1395" Type="http://schemas.openxmlformats.org/officeDocument/2006/relationships/hyperlink" Target="http://jalalive.id" TargetMode="External"/><Relationship Id="rId323" Type="http://schemas.openxmlformats.org/officeDocument/2006/relationships/hyperlink" Target="https://www.tiktok.com/@cosmopolitanph?_t=ZS-8tFCkLpFgeY&amp;_r=1" TargetMode="External"/><Relationship Id="rId1396" Type="http://schemas.openxmlformats.org/officeDocument/2006/relationships/hyperlink" Target="https://bit.ly/tempatnontonterkini" TargetMode="External"/><Relationship Id="rId322" Type="http://schemas.openxmlformats.org/officeDocument/2006/relationships/hyperlink" Target="https://lnk.bio/cosmopolitanmx" TargetMode="External"/><Relationship Id="rId1397" Type="http://schemas.openxmlformats.org/officeDocument/2006/relationships/hyperlink" Target="https://youtu.be/kxMt5iCU3AQ?si=GOcbeNoW0Fwh3tFb" TargetMode="External"/><Relationship Id="rId321" Type="http://schemas.openxmlformats.org/officeDocument/2006/relationships/hyperlink" Target="https://www.cosmopolitanlasvegas.com/" TargetMode="External"/><Relationship Id="rId1398" Type="http://schemas.openxmlformats.org/officeDocument/2006/relationships/hyperlink" Target="https://www.tiktok.com/@streamingurls" TargetMode="External"/><Relationship Id="rId320" Type="http://schemas.openxmlformats.org/officeDocument/2006/relationships/hyperlink" Target="https://litt.ly/cosmopolitankorea" TargetMode="External"/><Relationship Id="rId1399" Type="http://schemas.openxmlformats.org/officeDocument/2006/relationships/hyperlink" Target="http://substack.com/@noinvestigues" TargetMode="External"/><Relationship Id="rId1389" Type="http://schemas.openxmlformats.org/officeDocument/2006/relationships/hyperlink" Target="http://sprout.link/nstonline/" TargetMode="External"/><Relationship Id="rId316" Type="http://schemas.openxmlformats.org/officeDocument/2006/relationships/hyperlink" Target="http://likeshop.me/cosmopolitan" TargetMode="External"/><Relationship Id="rId315" Type="http://schemas.openxmlformats.org/officeDocument/2006/relationships/hyperlink" Target="https://linkin.bio/livingcorriere" TargetMode="External"/><Relationship Id="rId799" Type="http://schemas.openxmlformats.org/officeDocument/2006/relationships/hyperlink" Target="https://linktr.ee/thetravellingapartment" TargetMode="External"/><Relationship Id="rId314" Type="http://schemas.openxmlformats.org/officeDocument/2006/relationships/hyperlink" Target="https://www.corriere.it/dataroom-milena-gabanelli/siti-incel-italiani-sono-decine-chi-c-e-dietro-e-come-fanno-soldi-sull-odio-contro-le-donne/edb05f9b-b26b-4ce5-9017-9eb0dc66axlk.shtml" TargetMode="External"/><Relationship Id="rId798" Type="http://schemas.openxmlformats.org/officeDocument/2006/relationships/hyperlink" Target="https://open.substack.com/pub/sanjazelenovic/p/the-very-first-weekly-meal-prep-full?r=2il192&amp;utm_campaign=post&amp;utm_medium=web&amp;showWelcomeOnShare=false" TargetMode="External"/><Relationship Id="rId313" Type="http://schemas.openxmlformats.org/officeDocument/2006/relationships/hyperlink" Target="https://piano.trib.al/corriere" TargetMode="External"/><Relationship Id="rId797" Type="http://schemas.openxmlformats.org/officeDocument/2006/relationships/hyperlink" Target="https://www.youtube.com/DrunkJournalist" TargetMode="External"/><Relationship Id="rId319" Type="http://schemas.openxmlformats.org/officeDocument/2006/relationships/hyperlink" Target="https://www.cosmopolitan.com.hk" TargetMode="External"/><Relationship Id="rId318" Type="http://schemas.openxmlformats.org/officeDocument/2006/relationships/hyperlink" Target="https://linktr.ee/CosmopolitanFrance" TargetMode="External"/><Relationship Id="rId317" Type="http://schemas.openxmlformats.org/officeDocument/2006/relationships/hyperlink" Target="https://mtr.bio/cosmopolitan" TargetMode="External"/><Relationship Id="rId1380" Type="http://schemas.openxmlformats.org/officeDocument/2006/relationships/hyperlink" Target="https://team.tokyotreat.com/station09" TargetMode="External"/><Relationship Id="rId792" Type="http://schemas.openxmlformats.org/officeDocument/2006/relationships/hyperlink" Target="https://interview.de/shop" TargetMode="External"/><Relationship Id="rId1381" Type="http://schemas.openxmlformats.org/officeDocument/2006/relationships/hyperlink" Target="https://linktr.ee/stationgaredesmines" TargetMode="External"/><Relationship Id="rId791" Type="http://schemas.openxmlformats.org/officeDocument/2006/relationships/hyperlink" Target="http://bit.ly/3weUmiV" TargetMode="External"/><Relationship Id="rId1382" Type="http://schemas.openxmlformats.org/officeDocument/2006/relationships/hyperlink" Target="http://linktr.ee/stationhead/" TargetMode="External"/><Relationship Id="rId790" Type="http://schemas.openxmlformats.org/officeDocument/2006/relationships/hyperlink" Target="http://www.lenasworld.com" TargetMode="External"/><Relationship Id="rId1383" Type="http://schemas.openxmlformats.org/officeDocument/2006/relationships/hyperlink" Target="https://facebook.com/jerseydemic" TargetMode="External"/><Relationship Id="rId1384" Type="http://schemas.openxmlformats.org/officeDocument/2006/relationships/hyperlink" Target="https://www.htotse.com" TargetMode="External"/><Relationship Id="rId312" Type="http://schemas.openxmlformats.org/officeDocument/2006/relationships/hyperlink" Target="http://europeancorrespondent.com" TargetMode="External"/><Relationship Id="rId796" Type="http://schemas.openxmlformats.org/officeDocument/2006/relationships/hyperlink" Target="https://likeshop.me/investopedia" TargetMode="External"/><Relationship Id="rId1385" Type="http://schemas.openxmlformats.org/officeDocument/2006/relationships/hyperlink" Target="https://comy.co.il/event/hen-mizrahi/" TargetMode="External"/><Relationship Id="rId311" Type="http://schemas.openxmlformats.org/officeDocument/2006/relationships/hyperlink" Target="https://linkin.bio/ig-decorrespondent" TargetMode="External"/><Relationship Id="rId795" Type="http://schemas.openxmlformats.org/officeDocument/2006/relationships/hyperlink" Target="https://laboro.co" TargetMode="External"/><Relationship Id="rId1386" Type="http://schemas.openxmlformats.org/officeDocument/2006/relationships/hyperlink" Target="https://linktr.ee/story.in.wood" TargetMode="External"/><Relationship Id="rId310" Type="http://schemas.openxmlformats.org/officeDocument/2006/relationships/hyperlink" Target="https://correspondentedinamico.com.br/bio" TargetMode="External"/><Relationship Id="rId794" Type="http://schemas.openxmlformats.org/officeDocument/2006/relationships/hyperlink" Target="https://mployee.me/career-resources/make-your-job-search-easy" TargetMode="External"/><Relationship Id="rId1387" Type="http://schemas.openxmlformats.org/officeDocument/2006/relationships/hyperlink" Target="http://www.storymiami.com/" TargetMode="External"/><Relationship Id="rId793" Type="http://schemas.openxmlformats.org/officeDocument/2006/relationships/hyperlink" Target="https://linkin.bio/interviewmag" TargetMode="External"/><Relationship Id="rId1388" Type="http://schemas.openxmlformats.org/officeDocument/2006/relationships/hyperlink" Target="https://storyonline.co.il/?utm_source=Instagram&amp;utm_medium=Organic&amp;utm_campaign=Bio" TargetMode="External"/><Relationship Id="rId297" Type="http://schemas.openxmlformats.org/officeDocument/2006/relationships/hyperlink" Target="https://www.youtube.com/watch?v=TsMH1mywCus" TargetMode="External"/><Relationship Id="rId296" Type="http://schemas.openxmlformats.org/officeDocument/2006/relationships/hyperlink" Target="http://nexuscreator.com" TargetMode="External"/><Relationship Id="rId295" Type="http://schemas.openxmlformats.org/officeDocument/2006/relationships/hyperlink" Target="http://createcontent.club/1?source=IG_bio" TargetMode="External"/><Relationship Id="rId294" Type="http://schemas.openxmlformats.org/officeDocument/2006/relationships/hyperlink" Target="https://linktr.ee/contente.vc" TargetMode="External"/><Relationship Id="rId299" Type="http://schemas.openxmlformats.org/officeDocument/2006/relationships/hyperlink" Target="https://www.jizzatheowner.com/" TargetMode="External"/><Relationship Id="rId298" Type="http://schemas.openxmlformats.org/officeDocument/2006/relationships/hyperlink" Target="http://www.wearitanyway.com" TargetMode="External"/><Relationship Id="rId271" Type="http://schemas.openxmlformats.org/officeDocument/2006/relationships/hyperlink" Target="https://linktr.ee/birthdaypresence" TargetMode="External"/><Relationship Id="rId270" Type="http://schemas.openxmlformats.org/officeDocument/2006/relationships/hyperlink" Target="https://linkin.bio/comicbook" TargetMode="External"/><Relationship Id="rId269" Type="http://schemas.openxmlformats.org/officeDocument/2006/relationships/hyperlink" Target="http://comicbook.com" TargetMode="External"/><Relationship Id="rId264" Type="http://schemas.openxmlformats.org/officeDocument/2006/relationships/hyperlink" Target="https://tap.bio/@collider" TargetMode="External"/><Relationship Id="rId263" Type="http://schemas.openxmlformats.org/officeDocument/2006/relationships/hyperlink" Target="http://cnn.it/politics-links" TargetMode="External"/><Relationship Id="rId262" Type="http://schemas.openxmlformats.org/officeDocument/2006/relationships/hyperlink" Target="https://lnk.bio/cnnpolitica" TargetMode="External"/><Relationship Id="rId261" Type="http://schemas.openxmlformats.org/officeDocument/2006/relationships/hyperlink" Target="https://linktr.ee/cnnindonesia" TargetMode="External"/><Relationship Id="rId268" Type="http://schemas.openxmlformats.org/officeDocument/2006/relationships/hyperlink" Target="http://comicbook.com" TargetMode="External"/><Relationship Id="rId267" Type="http://schemas.openxmlformats.org/officeDocument/2006/relationships/hyperlink" Target="https://linkin.bio/luxurycolumnist" TargetMode="External"/><Relationship Id="rId266" Type="http://schemas.openxmlformats.org/officeDocument/2006/relationships/hyperlink" Target="http://www.colliders.it" TargetMode="External"/><Relationship Id="rId265" Type="http://schemas.openxmlformats.org/officeDocument/2006/relationships/hyperlink" Target="http://collider.com" TargetMode="External"/><Relationship Id="rId260" Type="http://schemas.openxmlformats.org/officeDocument/2006/relationships/hyperlink" Target="http://cnne.com/instanoticias/" TargetMode="External"/><Relationship Id="rId259" Type="http://schemas.openxmlformats.org/officeDocument/2006/relationships/hyperlink" Target="https://whatsapp.com/channel/0029Va7nLLu5PO10UIlHtS1h" TargetMode="External"/><Relationship Id="rId258" Type="http://schemas.openxmlformats.org/officeDocument/2006/relationships/hyperlink" Target="http://cnn.com/linkinbio" TargetMode="External"/><Relationship Id="rId253" Type="http://schemas.openxmlformats.org/officeDocument/2006/relationships/hyperlink" Target="https://linkin.bio/otimesbrasil" TargetMode="External"/><Relationship Id="rId252" Type="http://schemas.openxmlformats.org/officeDocument/2006/relationships/hyperlink" Target="http://madmoney.cnbc.com/" TargetMode="External"/><Relationship Id="rId251" Type="http://schemas.openxmlformats.org/officeDocument/2006/relationships/hyperlink" Target="https://lnk.bio/cnbctv18india" TargetMode="External"/><Relationship Id="rId250" Type="http://schemas.openxmlformats.org/officeDocument/2006/relationships/hyperlink" Target="https://smartlink.bio/cnbctv" TargetMode="External"/><Relationship Id="rId257" Type="http://schemas.openxmlformats.org/officeDocument/2006/relationships/hyperlink" Target="http://zaap.bio/divulga" TargetMode="External"/><Relationship Id="rId256" Type="http://schemas.openxmlformats.org/officeDocument/2006/relationships/hyperlink" Target="https://linkin.bio/cnet" TargetMode="External"/><Relationship Id="rId255" Type="http://schemas.openxmlformats.org/officeDocument/2006/relationships/hyperlink" Target="http://www.centuryburger.com" TargetMode="External"/><Relationship Id="rId254" Type="http://schemas.openxmlformats.org/officeDocument/2006/relationships/hyperlink" Target="http://www.gunitbrands.com" TargetMode="External"/><Relationship Id="rId293" Type="http://schemas.openxmlformats.org/officeDocument/2006/relationships/hyperlink" Target="http://contente.vc" TargetMode="External"/><Relationship Id="rId292" Type="http://schemas.openxmlformats.org/officeDocument/2006/relationships/hyperlink" Target="http://contente.vc" TargetMode="External"/><Relationship Id="rId291" Type="http://schemas.openxmlformats.org/officeDocument/2006/relationships/hyperlink" Target="https://www.thecontentbible.com/" TargetMode="External"/><Relationship Id="rId290" Type="http://schemas.openxmlformats.org/officeDocument/2006/relationships/hyperlink" Target="https://likeshop.me/cntravelerspain" TargetMode="External"/><Relationship Id="rId286" Type="http://schemas.openxmlformats.org/officeDocument/2006/relationships/hyperlink" Target="http://linktr.ee/333lv" TargetMode="External"/><Relationship Id="rId285" Type="http://schemas.openxmlformats.org/officeDocument/2006/relationships/hyperlink" Target="https://o-complex.com/katalog/?utm_source=instagram&amp;utm_medium=menu&amp;utm_campaign=head_fix&amp;utm_pain=obshii&amp;promo=%25D0%259D%25D0%259E%25D0%2592%25D0%2590%25D0%25AF%25D0%2596%25D0%2598%25D0%2597%25D0%259D%25D0%25AC" TargetMode="External"/><Relationship Id="rId284" Type="http://schemas.openxmlformats.org/officeDocument/2006/relationships/hyperlink" Target="https://linkin.bio/complexstyle" TargetMode="External"/><Relationship Id="rId283" Type="http://schemas.openxmlformats.org/officeDocument/2006/relationships/hyperlink" Target="https://linkin.bio/complexsneakers" TargetMode="External"/><Relationship Id="rId289" Type="http://schemas.openxmlformats.org/officeDocument/2006/relationships/hyperlink" Target="http://likeshop.me/cntraveler" TargetMode="External"/><Relationship Id="rId288" Type="http://schemas.openxmlformats.org/officeDocument/2006/relationships/hyperlink" Target="https://taplink.cc/turan_sport_complex" TargetMode="External"/><Relationship Id="rId287" Type="http://schemas.openxmlformats.org/officeDocument/2006/relationships/hyperlink" Target="https://linkin.bio/complexsports" TargetMode="External"/><Relationship Id="rId282" Type="http://schemas.openxmlformats.org/officeDocument/2006/relationships/hyperlink" Target="https://linkin.bio/complexshop" TargetMode="External"/><Relationship Id="rId281" Type="http://schemas.openxmlformats.org/officeDocument/2006/relationships/hyperlink" Target="https://linkin.bio/ig-complexpop" TargetMode="External"/><Relationship Id="rId280" Type="http://schemas.openxmlformats.org/officeDocument/2006/relationships/hyperlink" Target="https://linktr.ee/cpxnordeste" TargetMode="External"/><Relationship Id="rId275" Type="http://schemas.openxmlformats.org/officeDocument/2006/relationships/hyperlink" Target="https://academy.spiritualleague.com/l/3bcff438f5" TargetMode="External"/><Relationship Id="rId274" Type="http://schemas.openxmlformats.org/officeDocument/2006/relationships/hyperlink" Target="https://www.shia-online.com/" TargetMode="External"/><Relationship Id="rId273" Type="http://schemas.openxmlformats.org/officeDocument/2006/relationships/hyperlink" Target="https://www.community.com/about" TargetMode="External"/><Relationship Id="rId272" Type="http://schemas.openxmlformats.org/officeDocument/2006/relationships/hyperlink" Target="https://communityfestival.london" TargetMode="External"/><Relationship Id="rId279" Type="http://schemas.openxmlformats.org/officeDocument/2006/relationships/hyperlink" Target="https://linkin.bio/complexnews" TargetMode="External"/><Relationship Id="rId278" Type="http://schemas.openxmlformats.org/officeDocument/2006/relationships/hyperlink" Target="https://linkin.bio/complexmusic" TargetMode="External"/><Relationship Id="rId277" Type="http://schemas.openxmlformats.org/officeDocument/2006/relationships/hyperlink" Target="https://cmplx.it/43J9HtY" TargetMode="External"/><Relationship Id="rId276" Type="http://schemas.openxmlformats.org/officeDocument/2006/relationships/hyperlink" Target="https://linkin.bio/complex" TargetMode="External"/><Relationship Id="rId1455" Type="http://schemas.openxmlformats.org/officeDocument/2006/relationships/hyperlink" Target="http://thecuthcb.com/" TargetMode="External"/><Relationship Id="rId1456" Type="http://schemas.openxmlformats.org/officeDocument/2006/relationships/hyperlink" Target="https://linktr.ee/thecutlife" TargetMode="External"/><Relationship Id="rId1457" Type="http://schemas.openxmlformats.org/officeDocument/2006/relationships/hyperlink" Target="https://www.thedrumcirclecourse.com" TargetMode="External"/><Relationship Id="rId1458" Type="http://schemas.openxmlformats.org/officeDocument/2006/relationships/hyperlink" Target="https://linktr.ee/thedrumbroker" TargetMode="External"/><Relationship Id="rId1459" Type="http://schemas.openxmlformats.org/officeDocument/2006/relationships/hyperlink" Target="https://youtube.com/playlist?list=PLw_2aDjf71druijy80I61MSLLrb9YGL07&amp;si=Kag6YhGsKFLym1BB" TargetMode="External"/><Relationship Id="rId629" Type="http://schemas.openxmlformats.org/officeDocument/2006/relationships/hyperlink" Target="https://linktr.ee/thelucyvincent" TargetMode="External"/><Relationship Id="rId624" Type="http://schemas.openxmlformats.org/officeDocument/2006/relationships/hyperlink" Target="http://linkin.bio/fazmagazin" TargetMode="External"/><Relationship Id="rId623" Type="http://schemas.openxmlformats.org/officeDocument/2006/relationships/hyperlink" Target="https://linkin.bio/faz" TargetMode="External"/><Relationship Id="rId622" Type="http://schemas.openxmlformats.org/officeDocument/2006/relationships/hyperlink" Target="https://www.france24.com/es/" TargetMode="External"/><Relationship Id="rId621" Type="http://schemas.openxmlformats.org/officeDocument/2006/relationships/hyperlink" Target="https://go.france24.com/bio_en" TargetMode="External"/><Relationship Id="rId628" Type="http://schemas.openxmlformats.org/officeDocument/2006/relationships/hyperlink" Target="https://youtube.com/@j876my?feature=shared" TargetMode="External"/><Relationship Id="rId627" Type="http://schemas.openxmlformats.org/officeDocument/2006/relationships/hyperlink" Target="https://www.bentrong.com" TargetMode="External"/><Relationship Id="rId626" Type="http://schemas.openxmlformats.org/officeDocument/2006/relationships/hyperlink" Target="https://linktr.ee/freelancersunion" TargetMode="External"/><Relationship Id="rId625" Type="http://schemas.openxmlformats.org/officeDocument/2006/relationships/hyperlink" Target="https://linktr.ee/JkJkStudios" TargetMode="External"/><Relationship Id="rId1450" Type="http://schemas.openxmlformats.org/officeDocument/2006/relationships/hyperlink" Target="https://likeshop.me/thecut" TargetMode="External"/><Relationship Id="rId620" Type="http://schemas.openxmlformats.org/officeDocument/2006/relationships/hyperlink" Target="https://go.france24.com/bio_ar" TargetMode="External"/><Relationship Id="rId1451" Type="http://schemas.openxmlformats.org/officeDocument/2006/relationships/hyperlink" Target="http://linktr.ee/thecutandcraft" TargetMode="External"/><Relationship Id="rId1452" Type="http://schemas.openxmlformats.org/officeDocument/2006/relationships/hyperlink" Target="https://linkin.bio/thecutapp" TargetMode="External"/><Relationship Id="rId1453" Type="http://schemas.openxmlformats.org/officeDocument/2006/relationships/hyperlink" Target="https://linktr.ee/thecutatx" TargetMode="External"/><Relationship Id="rId1454" Type="http://schemas.openxmlformats.org/officeDocument/2006/relationships/hyperlink" Target="https://youtu.be/ivtXTaEbHbk?si=IK9vu2hwMdXdWZzf" TargetMode="External"/><Relationship Id="rId1444" Type="http://schemas.openxmlformats.org/officeDocument/2006/relationships/hyperlink" Target="https://youtube.com/@theathleticsarena" TargetMode="External"/><Relationship Id="rId1445" Type="http://schemas.openxmlformats.org/officeDocument/2006/relationships/hyperlink" Target="https://linkin.bio/theatlantic" TargetMode="External"/><Relationship Id="rId1446" Type="http://schemas.openxmlformats.org/officeDocument/2006/relationships/hyperlink" Target="https://theatlanticdispatch.com/trekking-the-cammino-retico/" TargetMode="External"/><Relationship Id="rId1447" Type="http://schemas.openxmlformats.org/officeDocument/2006/relationships/hyperlink" Target="https://www.opentable.com/r/the-atlantic-at-the-tryst-reservations-san-juan?restref=1068877&amp;lang=en-US&amp;ot_source=Restaurant%2520website" TargetMode="External"/><Relationship Id="rId1448" Type="http://schemas.openxmlformats.org/officeDocument/2006/relationships/hyperlink" Target="https://linktr.ee/theatlanticrestaurant" TargetMode="External"/><Relationship Id="rId1449" Type="http://schemas.openxmlformats.org/officeDocument/2006/relationships/hyperlink" Target="https://youtube.com/@Cutthecamerapodcast" TargetMode="External"/><Relationship Id="rId619" Type="http://schemas.openxmlformats.org/officeDocument/2006/relationships/hyperlink" Target="https://go.france24.com/bio" TargetMode="External"/><Relationship Id="rId618" Type="http://schemas.openxmlformats.org/officeDocument/2006/relationships/hyperlink" Target="https://amzn.to/3VFOtbZ" TargetMode="External"/><Relationship Id="rId613" Type="http://schemas.openxmlformats.org/officeDocument/2006/relationships/hyperlink" Target="https://fxn.ws/46QPzba" TargetMode="External"/><Relationship Id="rId612" Type="http://schemas.openxmlformats.org/officeDocument/2006/relationships/hyperlink" Target="http://lnk.bio/worldeconomicforum" TargetMode="External"/><Relationship Id="rId611" Type="http://schemas.openxmlformats.org/officeDocument/2006/relationships/hyperlink" Target="http://www.vonduclo.store" TargetMode="External"/><Relationship Id="rId610" Type="http://schemas.openxmlformats.org/officeDocument/2006/relationships/hyperlink" Target="http://linkin.bio/thekiaforum" TargetMode="External"/><Relationship Id="rId617" Type="http://schemas.openxmlformats.org/officeDocument/2006/relationships/hyperlink" Target="http://foxnewstoday.us" TargetMode="External"/><Relationship Id="rId616" Type="http://schemas.openxmlformats.org/officeDocument/2006/relationships/hyperlink" Target="https://shopgr.id/foxnewsradio" TargetMode="External"/><Relationship Id="rId615" Type="http://schemas.openxmlformats.org/officeDocument/2006/relationships/hyperlink" Target="https://foxnews.shop/products/fox-news-night-mug?utm_source=instagram.com&amp;utm_medium=social&amp;utm_campaign=fox-news-night-mug&amp;utm_content=instagram" TargetMode="External"/><Relationship Id="rId614" Type="http://schemas.openxmlformats.org/officeDocument/2006/relationships/hyperlink" Target="https://www.foxnews.com/entertainment/dean-martins-daughter-responds-to-baby-its-cold-outside-controversy-says-her-father-would-be-going-insane" TargetMode="External"/><Relationship Id="rId1440" Type="http://schemas.openxmlformats.org/officeDocument/2006/relationships/hyperlink" Target="https://www.theathleticcommunity.com/" TargetMode="External"/><Relationship Id="rId1441" Type="http://schemas.openxmlformats.org/officeDocument/2006/relationships/hyperlink" Target="https://www.nytimes.com/athletic" TargetMode="External"/><Relationship Id="rId1442" Type="http://schemas.openxmlformats.org/officeDocument/2006/relationships/hyperlink" Target="https://www.nytimes.com/athletic" TargetMode="External"/><Relationship Id="rId1443" Type="http://schemas.openxmlformats.org/officeDocument/2006/relationships/hyperlink" Target="https://linktr.ee/TheAthleticPhysio" TargetMode="External"/><Relationship Id="rId1477" Type="http://schemas.openxmlformats.org/officeDocument/2006/relationships/hyperlink" Target="https://lnk.bio/guardiannigeria" TargetMode="External"/><Relationship Id="rId1478" Type="http://schemas.openxmlformats.org/officeDocument/2006/relationships/hyperlink" Target="https://chat.whatsapp.com/Lh2KI6kVv5y3AjM3tDSRag?mode=ac_t" TargetMode="External"/><Relationship Id="rId1479" Type="http://schemas.openxmlformats.org/officeDocument/2006/relationships/hyperlink" Target="https://linkin.bio/guardianus" TargetMode="External"/><Relationship Id="rId646" Type="http://schemas.openxmlformats.org/officeDocument/2006/relationships/hyperlink" Target="http://goal.com" TargetMode="External"/><Relationship Id="rId645" Type="http://schemas.openxmlformats.org/officeDocument/2006/relationships/hyperlink" Target="http://tgam.ca/styleadvisor" TargetMode="External"/><Relationship Id="rId644" Type="http://schemas.openxmlformats.org/officeDocument/2006/relationships/hyperlink" Target="http://linkin.bio/globeandmail/" TargetMode="External"/><Relationship Id="rId643" Type="http://schemas.openxmlformats.org/officeDocument/2006/relationships/hyperlink" Target="https://youtu.be/xtDb1pFZeaU" TargetMode="External"/><Relationship Id="rId649" Type="http://schemas.openxmlformats.org/officeDocument/2006/relationships/hyperlink" Target="https://linkin.bio/goodhousekeepingsa" TargetMode="External"/><Relationship Id="rId648" Type="http://schemas.openxmlformats.org/officeDocument/2006/relationships/hyperlink" Target="https://likeshop.me/goodhousekeeping" TargetMode="External"/><Relationship Id="rId647" Type="http://schemas.openxmlformats.org/officeDocument/2006/relationships/hyperlink" Target="http://goal.com/id" TargetMode="External"/><Relationship Id="rId1470" Type="http://schemas.openxmlformats.org/officeDocument/2006/relationships/hyperlink" Target="https://linktr.ee/thefaceshopnorthamerica" TargetMode="External"/><Relationship Id="rId1471" Type="http://schemas.openxmlformats.org/officeDocument/2006/relationships/hyperlink" Target="http://thefaceshop.kw" TargetMode="External"/><Relationship Id="rId1472" Type="http://schemas.openxmlformats.org/officeDocument/2006/relationships/hyperlink" Target="http://www.thefaceshop.com.kw" TargetMode="External"/><Relationship Id="rId642" Type="http://schemas.openxmlformats.org/officeDocument/2006/relationships/hyperlink" Target="http://obuca_glamour.rs" TargetMode="External"/><Relationship Id="rId1473" Type="http://schemas.openxmlformats.org/officeDocument/2006/relationships/hyperlink" Target="https://litt.ly/thefaceshop" TargetMode="External"/><Relationship Id="rId641" Type="http://schemas.openxmlformats.org/officeDocument/2006/relationships/hyperlink" Target="https://t.me/glamour_rzn31" TargetMode="External"/><Relationship Id="rId1474" Type="http://schemas.openxmlformats.org/officeDocument/2006/relationships/hyperlink" Target="https://visitstore.bio/thenorthface" TargetMode="External"/><Relationship Id="rId640" Type="http://schemas.openxmlformats.org/officeDocument/2006/relationships/hyperlink" Target="http://likeshop.me/glamourmag" TargetMode="External"/><Relationship Id="rId1475" Type="http://schemas.openxmlformats.org/officeDocument/2006/relationships/hyperlink" Target="http://linkin.bio/thefader/" TargetMode="External"/><Relationship Id="rId1476" Type="http://schemas.openxmlformats.org/officeDocument/2006/relationships/hyperlink" Target="https://linktr.ee/guardian" TargetMode="External"/><Relationship Id="rId1466" Type="http://schemas.openxmlformats.org/officeDocument/2006/relationships/hyperlink" Target="https://linkin.bio/facethe_future" TargetMode="External"/><Relationship Id="rId1467" Type="http://schemas.openxmlformats.org/officeDocument/2006/relationships/hyperlink" Target="https://www.facebook.com/thefaceth" TargetMode="External"/><Relationship Id="rId1468" Type="http://schemas.openxmlformats.org/officeDocument/2006/relationships/hyperlink" Target="https://theface.setmore.com" TargetMode="External"/><Relationship Id="rId1469" Type="http://schemas.openxmlformats.org/officeDocument/2006/relationships/hyperlink" Target="https://linkin.bio/thefacemagazine" TargetMode="External"/><Relationship Id="rId635" Type="http://schemas.openxmlformats.org/officeDocument/2006/relationships/hyperlink" Target="https://www.youtube.com/@KeepingUpWithGlamour" TargetMode="External"/><Relationship Id="rId634" Type="http://schemas.openxmlformats.org/officeDocument/2006/relationships/hyperlink" Target="https://chnge.com/collections/sale/products/kids" TargetMode="External"/><Relationship Id="rId633" Type="http://schemas.openxmlformats.org/officeDocument/2006/relationships/hyperlink" Target="http://gamespotrasht.com" TargetMode="External"/><Relationship Id="rId632" Type="http://schemas.openxmlformats.org/officeDocument/2006/relationships/hyperlink" Target="https://wa.link/wb5553" TargetMode="External"/><Relationship Id="rId639" Type="http://schemas.openxmlformats.org/officeDocument/2006/relationships/hyperlink" Target="https://linktr.ee/glamourformals" TargetMode="External"/><Relationship Id="rId638" Type="http://schemas.openxmlformats.org/officeDocument/2006/relationships/hyperlink" Target="https://api.whatsapp.com/send?phone=77999638732&amp;text=%2520" TargetMode="External"/><Relationship Id="rId637" Type="http://schemas.openxmlformats.org/officeDocument/2006/relationships/hyperlink" Target="http://glamourddive.com" TargetMode="External"/><Relationship Id="rId636" Type="http://schemas.openxmlformats.org/officeDocument/2006/relationships/hyperlink" Target="http://www.glamourcostumes.com/" TargetMode="External"/><Relationship Id="rId1460" Type="http://schemas.openxmlformats.org/officeDocument/2006/relationships/hyperlink" Target="https://www.thedrum.com" TargetMode="External"/><Relationship Id="rId1461" Type="http://schemas.openxmlformats.org/officeDocument/2006/relationships/hyperlink" Target="https://thedrums.ffm.to/jonny" TargetMode="External"/><Relationship Id="rId631" Type="http://schemas.openxmlformats.org/officeDocument/2006/relationships/hyperlink" Target="http://sprout.link/gamespot" TargetMode="External"/><Relationship Id="rId1462" Type="http://schemas.openxmlformats.org/officeDocument/2006/relationships/hyperlink" Target="https://smartlink.bio/theeconomist" TargetMode="External"/><Relationship Id="rId630" Type="http://schemas.openxmlformats.org/officeDocument/2006/relationships/hyperlink" Target="https://buffer.com/p/gameinformermagazine" TargetMode="External"/><Relationship Id="rId1463" Type="http://schemas.openxmlformats.org/officeDocument/2006/relationships/hyperlink" Target="https://events.economist.com/" TargetMode="External"/><Relationship Id="rId1464" Type="http://schemas.openxmlformats.org/officeDocument/2006/relationships/hyperlink" Target="https://linktr.ee/babygee74?utm_source=linktree_admin_share" TargetMode="External"/><Relationship Id="rId1465" Type="http://schemas.openxmlformats.org/officeDocument/2006/relationships/hyperlink" Target="http://facetfine.com/" TargetMode="External"/><Relationship Id="rId1411" Type="http://schemas.openxmlformats.org/officeDocument/2006/relationships/hyperlink" Target="https://likeshop.me/tatlermagazine" TargetMode="External"/><Relationship Id="rId1412" Type="http://schemas.openxmlformats.org/officeDocument/2006/relationships/hyperlink" Target="http://tatler.no" TargetMode="External"/><Relationship Id="rId1413" Type="http://schemas.openxmlformats.org/officeDocument/2006/relationships/hyperlink" Target="http://www.tatler.no/" TargetMode="External"/><Relationship Id="rId1414" Type="http://schemas.openxmlformats.org/officeDocument/2006/relationships/hyperlink" Target="http://tatler.ru/" TargetMode="External"/><Relationship Id="rId1415" Type="http://schemas.openxmlformats.org/officeDocument/2006/relationships/hyperlink" Target="https://www.tatler.com/article/tatler-schools-awards-prep-and-public-schools-nominees" TargetMode="External"/><Relationship Id="rId1416" Type="http://schemas.openxmlformats.org/officeDocument/2006/relationships/hyperlink" Target="https://sprout.link/tatlersingapore" TargetMode="External"/><Relationship Id="rId1417" Type="http://schemas.openxmlformats.org/officeDocument/2006/relationships/hyperlink" Target="https://sprout.link/tatlertaiwan" TargetMode="External"/><Relationship Id="rId1418" Type="http://schemas.openxmlformats.org/officeDocument/2006/relationships/hyperlink" Target="http://sprout.link/tatlerth" TargetMode="External"/><Relationship Id="rId1419" Type="http://schemas.openxmlformats.org/officeDocument/2006/relationships/hyperlink" Target="http://sprout.link/techcrunch/" TargetMode="External"/><Relationship Id="rId1410" Type="http://schemas.openxmlformats.org/officeDocument/2006/relationships/hyperlink" Target="https://sprout.link/tatlerhongkong" TargetMode="External"/><Relationship Id="rId1400" Type="http://schemas.openxmlformats.org/officeDocument/2006/relationships/hyperlink" Target="https://substack.com/@noinvestigues?r=1be1r8&amp;utm_medium=ios" TargetMode="External"/><Relationship Id="rId1401" Type="http://schemas.openxmlformats.org/officeDocument/2006/relationships/hyperlink" Target="http://linktr.ee/substackinc" TargetMode="External"/><Relationship Id="rId1402" Type="http://schemas.openxmlformats.org/officeDocument/2006/relationships/hyperlink" Target="https://thehotshotwakeup.substack.com/" TargetMode="External"/><Relationship Id="rId1403" Type="http://schemas.openxmlformats.org/officeDocument/2006/relationships/hyperlink" Target="https://open.spotify.com/artist/7e8iluNggYfgNlEH09WJ4C" TargetMode="External"/><Relationship Id="rId1404" Type="http://schemas.openxmlformats.org/officeDocument/2006/relationships/hyperlink" Target="https://go.toddrobinsonesq.com/workshop?fbclid=PAVERFWAMgvF5leHRuA2FlbQIxMAABp6I2IIiLldRViRsldZ_Tv-hXIj0TgWmlhh3zMiGyktJYlqjPrvVI2TE9fmqF_aem_b1Au1adnAm2AjgUnf278rA" TargetMode="External"/><Relationship Id="rId1405" Type="http://schemas.openxmlformats.org/officeDocument/2006/relationships/hyperlink" Target="http://www.eltabloide.com.co" TargetMode="External"/><Relationship Id="rId1406" Type="http://schemas.openxmlformats.org/officeDocument/2006/relationships/hyperlink" Target="http://tabloid.su" TargetMode="External"/><Relationship Id="rId1407" Type="http://schemas.openxmlformats.org/officeDocument/2006/relationships/hyperlink" Target="http://tastingtable.com" TargetMode="External"/><Relationship Id="rId1408" Type="http://schemas.openxmlformats.org/officeDocument/2006/relationships/hyperlink" Target="https://youtube.com/@punamgupta-v6g?si=C5mKB42yODuHUe9y" TargetMode="External"/><Relationship Id="rId1409" Type="http://schemas.openxmlformats.org/officeDocument/2006/relationships/hyperlink" Target="https://shopgr.id/irishtatler" TargetMode="External"/><Relationship Id="rId1433" Type="http://schemas.openxmlformats.org/officeDocument/2006/relationships/hyperlink" Target="https://youtu.be/DX-px2ROGpc?si=nYxdOZBIyZCl9ajj" TargetMode="External"/><Relationship Id="rId1434" Type="http://schemas.openxmlformats.org/officeDocument/2006/relationships/hyperlink" Target="https://tinyurl.com/yx6fpufp" TargetMode="External"/><Relationship Id="rId1435" Type="http://schemas.openxmlformats.org/officeDocument/2006/relationships/hyperlink" Target="https://t.me/television_optom" TargetMode="External"/><Relationship Id="rId1436" Type="http://schemas.openxmlformats.org/officeDocument/2006/relationships/hyperlink" Target="http://radiojamaicanewsonline.com/" TargetMode="External"/><Relationship Id="rId1437" Type="http://schemas.openxmlformats.org/officeDocument/2006/relationships/hyperlink" Target="https://whatsapp.com/channel/0029Va9akoLCsU9PNlfhTv0a" TargetMode="External"/><Relationship Id="rId1438" Type="http://schemas.openxmlformats.org/officeDocument/2006/relationships/hyperlink" Target="https://linktr.ee/vutelevisions" TargetMode="External"/><Relationship Id="rId1439" Type="http://schemas.openxmlformats.org/officeDocument/2006/relationships/hyperlink" Target="http://athleticstore.tt" TargetMode="External"/><Relationship Id="rId609" Type="http://schemas.openxmlformats.org/officeDocument/2006/relationships/hyperlink" Target="https://linktr.ee/The_ForumMag" TargetMode="External"/><Relationship Id="rId608" Type="http://schemas.openxmlformats.org/officeDocument/2006/relationships/hyperlink" Target="https://beacons.ai/projectconnectforum" TargetMode="External"/><Relationship Id="rId607" Type="http://schemas.openxmlformats.org/officeDocument/2006/relationships/hyperlink" Target="http://www.pakistanartforum.com/" TargetMode="External"/><Relationship Id="rId602" Type="http://schemas.openxmlformats.org/officeDocument/2006/relationships/hyperlink" Target="https://linkin.bio/fortunemag/" TargetMode="External"/><Relationship Id="rId601" Type="http://schemas.openxmlformats.org/officeDocument/2006/relationships/hyperlink" Target="https://fortuneinsight.app.link/WdJ96Mwzlmb" TargetMode="External"/><Relationship Id="rId600" Type="http://schemas.openxmlformats.org/officeDocument/2006/relationships/hyperlink" Target="https://www.fortunefoods.com" TargetMode="External"/><Relationship Id="rId606" Type="http://schemas.openxmlformats.org/officeDocument/2006/relationships/hyperlink" Target="https://www.forumsocialhouse.com" TargetMode="External"/><Relationship Id="rId605" Type="http://schemas.openxmlformats.org/officeDocument/2006/relationships/hyperlink" Target="https://linktr.ee/forumoficial" TargetMode="External"/><Relationship Id="rId604" Type="http://schemas.openxmlformats.org/officeDocument/2006/relationships/hyperlink" Target="http://linktr.ee/forumchaves" TargetMode="External"/><Relationship Id="rId603" Type="http://schemas.openxmlformats.org/officeDocument/2006/relationships/hyperlink" Target="https://www.fcmobileforum.com" TargetMode="External"/><Relationship Id="rId1430" Type="http://schemas.openxmlformats.org/officeDocument/2006/relationships/hyperlink" Target="http://linkin.bio/televisionacad" TargetMode="External"/><Relationship Id="rId1431" Type="http://schemas.openxmlformats.org/officeDocument/2006/relationships/hyperlink" Target="http://www.tvjmerch.com" TargetMode="External"/><Relationship Id="rId1432" Type="http://schemas.openxmlformats.org/officeDocument/2006/relationships/hyperlink" Target="https://herotr.ee/tv" TargetMode="External"/><Relationship Id="rId1422" Type="http://schemas.openxmlformats.org/officeDocument/2006/relationships/hyperlink" Target="http://likeshop.me/tvstyle" TargetMode="External"/><Relationship Id="rId1423" Type="http://schemas.openxmlformats.org/officeDocument/2006/relationships/hyperlink" Target="https://linktr.ee/channelstelevision" TargetMode="External"/><Relationship Id="rId1424" Type="http://schemas.openxmlformats.org/officeDocument/2006/relationships/hyperlink" Target="http://linktr.ee/cvmtv/" TargetMode="External"/><Relationship Id="rId1425" Type="http://schemas.openxmlformats.org/officeDocument/2006/relationships/hyperlink" Target="https://www.francetelevisions.fr/" TargetMode="External"/><Relationship Id="rId1426" Type="http://schemas.openxmlformats.org/officeDocument/2006/relationships/hyperlink" Target="https://www.kbc.co.ke/kbc-tv-shows-learn-informed-entertained/" TargetMode="External"/><Relationship Id="rId1427" Type="http://schemas.openxmlformats.org/officeDocument/2006/relationships/hyperlink" Target="https://linktr.ee/lexitelevision" TargetMode="External"/><Relationship Id="rId1428" Type="http://schemas.openxmlformats.org/officeDocument/2006/relationships/hyperlink" Target="http://linkin.bio/ig-nitv_au/" TargetMode="External"/><Relationship Id="rId1429" Type="http://schemas.openxmlformats.org/officeDocument/2006/relationships/hyperlink" Target="http://sprout.link/tctelevision" TargetMode="External"/><Relationship Id="rId1420" Type="http://schemas.openxmlformats.org/officeDocument/2006/relationships/hyperlink" Target="https://beyondonor.com/?fbclid=PAY2xjawHff9JleHRuA2FlbQIxMAABpnQbXicmcCYfsr1blGcaEhY2diEBYdr--phJjqltbCdqC-W-WUhUaD3s-w_aem__4B-xKa3AOC0-obinK855Q" TargetMode="External"/><Relationship Id="rId1421" Type="http://schemas.openxmlformats.org/officeDocument/2006/relationships/hyperlink" Target="https://likeshop.me/teenvogue" TargetMode="External"/><Relationship Id="rId1059" Type="http://schemas.openxmlformats.org/officeDocument/2006/relationships/hyperlink" Target="https://www.youtube.com/@AlokKumar-g5h8m" TargetMode="External"/><Relationship Id="rId228" Type="http://schemas.openxmlformats.org/officeDocument/2006/relationships/hyperlink" Target="https://linkin.bio/chitribfood" TargetMode="External"/><Relationship Id="rId227" Type="http://schemas.openxmlformats.org/officeDocument/2006/relationships/hyperlink" Target="https://linkin.bio/chicagotribune" TargetMode="External"/><Relationship Id="rId226" Type="http://schemas.openxmlformats.org/officeDocument/2006/relationships/hyperlink" Target="https://linktr.ee/cheddars.cl" TargetMode="External"/><Relationship Id="rId225" Type="http://schemas.openxmlformats.org/officeDocument/2006/relationships/hyperlink" Target="http://cheddars.cl" TargetMode="External"/><Relationship Id="rId229" Type="http://schemas.openxmlformats.org/officeDocument/2006/relationships/hyperlink" Target="https://likeshop.me/cinemablend" TargetMode="External"/><Relationship Id="rId1050" Type="http://schemas.openxmlformats.org/officeDocument/2006/relationships/hyperlink" Target="https://oneclick.bio/okmagazine" TargetMode="External"/><Relationship Id="rId220" Type="http://schemas.openxmlformats.org/officeDocument/2006/relationships/hyperlink" Target="https://youtu.be/LhnXdYAPHTU" TargetMode="External"/><Relationship Id="rId1051" Type="http://schemas.openxmlformats.org/officeDocument/2006/relationships/hyperlink" Target="https://www.ok-magazine.ru" TargetMode="External"/><Relationship Id="rId1052" Type="http://schemas.openxmlformats.org/officeDocument/2006/relationships/hyperlink" Target="https://linktr.ee/okmagazineoficial" TargetMode="External"/><Relationship Id="rId1053" Type="http://schemas.openxmlformats.org/officeDocument/2006/relationships/hyperlink" Target="http://okmagazine.ro" TargetMode="External"/><Relationship Id="rId1054" Type="http://schemas.openxmlformats.org/officeDocument/2006/relationships/hyperlink" Target="https://okmagazine.ro" TargetMode="External"/><Relationship Id="rId224" Type="http://schemas.openxmlformats.org/officeDocument/2006/relationships/hyperlink" Target="https://linktr.ee/cheddariniii" TargetMode="External"/><Relationship Id="rId1055" Type="http://schemas.openxmlformats.org/officeDocument/2006/relationships/hyperlink" Target="https://www.facebook.com/okmagthailand/" TargetMode="External"/><Relationship Id="rId223" Type="http://schemas.openxmlformats.org/officeDocument/2006/relationships/hyperlink" Target="https://cheddarbears.com/pricing-%26-questions" TargetMode="External"/><Relationship Id="rId1056" Type="http://schemas.openxmlformats.org/officeDocument/2006/relationships/hyperlink" Target="http://okmag.gr" TargetMode="External"/><Relationship Id="rId222" Type="http://schemas.openxmlformats.org/officeDocument/2006/relationships/hyperlink" Target="https://sprout.link/cheddar" TargetMode="External"/><Relationship Id="rId1057" Type="http://schemas.openxmlformats.org/officeDocument/2006/relationships/hyperlink" Target="https://www.okmag.gr/" TargetMode="External"/><Relationship Id="rId221" Type="http://schemas.openxmlformats.org/officeDocument/2006/relationships/hyperlink" Target="https://www.donotfindthefox.com" TargetMode="External"/><Relationship Id="rId1058" Type="http://schemas.openxmlformats.org/officeDocument/2006/relationships/hyperlink" Target="https://bento.me/eduardomanop" TargetMode="External"/><Relationship Id="rId1048" Type="http://schemas.openxmlformats.org/officeDocument/2006/relationships/hyperlink" Target="https://www.ok.co.uk/royal/duchess-kent-dead-aged-92-35855101" TargetMode="External"/><Relationship Id="rId1049" Type="http://schemas.openxmlformats.org/officeDocument/2006/relationships/hyperlink" Target="https://linkin.bio/okmagaustralia" TargetMode="External"/><Relationship Id="rId217" Type="http://schemas.openxmlformats.org/officeDocument/2006/relationships/hyperlink" Target="https://youtu.be/yuLKEdXwn8M" TargetMode="External"/><Relationship Id="rId216" Type="http://schemas.openxmlformats.org/officeDocument/2006/relationships/hyperlink" Target="https://sprout.link/golfchannel" TargetMode="External"/><Relationship Id="rId215" Type="http://schemas.openxmlformats.org/officeDocument/2006/relationships/hyperlink" Target="http://channelstv.com/" TargetMode="External"/><Relationship Id="rId699" Type="http://schemas.openxmlformats.org/officeDocument/2006/relationships/hyperlink" Target="https://mrsheadline.myshopify.com/collections/all" TargetMode="External"/><Relationship Id="rId214" Type="http://schemas.openxmlformats.org/officeDocument/2006/relationships/hyperlink" Target="https://linktr.ee/channelstelevision" TargetMode="External"/><Relationship Id="rId698" Type="http://schemas.openxmlformats.org/officeDocument/2006/relationships/hyperlink" Target="http://hotheadlines.in" TargetMode="External"/><Relationship Id="rId219" Type="http://schemas.openxmlformats.org/officeDocument/2006/relationships/hyperlink" Target="https://linktr.ee/steakchannel" TargetMode="External"/><Relationship Id="rId218" Type="http://schemas.openxmlformats.org/officeDocument/2006/relationships/hyperlink" Target="https://youtube.com/c/PaleoAnalysis?sub_confirmation=1" TargetMode="External"/><Relationship Id="rId693" Type="http://schemas.openxmlformats.org/officeDocument/2006/relationships/hyperlink" Target="https://campaign.stheadline.com/" TargetMode="External"/><Relationship Id="rId1040" Type="http://schemas.openxmlformats.org/officeDocument/2006/relationships/hyperlink" Target="https://linkin.bio/nprmusic" TargetMode="External"/><Relationship Id="rId692" Type="http://schemas.openxmlformats.org/officeDocument/2006/relationships/hyperlink" Target="https://www.hashtagtreinamentos.com/links-instagram-hashp" TargetMode="External"/><Relationship Id="rId1041" Type="http://schemas.openxmlformats.org/officeDocument/2006/relationships/hyperlink" Target="https://linkin.bio/nprpolitics" TargetMode="External"/><Relationship Id="rId691" Type="http://schemas.openxmlformats.org/officeDocument/2006/relationships/hyperlink" Target="http://bit.ly/hashtag-open" TargetMode="External"/><Relationship Id="rId1042" Type="http://schemas.openxmlformats.org/officeDocument/2006/relationships/hyperlink" Target="https://taplink.cc/irina_numero" TargetMode="External"/><Relationship Id="rId690" Type="http://schemas.openxmlformats.org/officeDocument/2006/relationships/hyperlink" Target="https://linktr.ee/hashtag.natalie" TargetMode="External"/><Relationship Id="rId1043" Type="http://schemas.openxmlformats.org/officeDocument/2006/relationships/hyperlink" Target="http://numeroberlin.de/" TargetMode="External"/><Relationship Id="rId213" Type="http://schemas.openxmlformats.org/officeDocument/2006/relationships/hyperlink" Target="https://linkinprofile.com/channelnewsasia" TargetMode="External"/><Relationship Id="rId697" Type="http://schemas.openxmlformats.org/officeDocument/2006/relationships/hyperlink" Target="http://www.hlstudio.com.pk/" TargetMode="External"/><Relationship Id="rId1044" Type="http://schemas.openxmlformats.org/officeDocument/2006/relationships/hyperlink" Target="https://linktr.ee/numerologia_pro" TargetMode="External"/><Relationship Id="rId212" Type="http://schemas.openxmlformats.org/officeDocument/2006/relationships/hyperlink" Target="https://channelbpodcast.com/channelb-links" TargetMode="External"/><Relationship Id="rId696" Type="http://schemas.openxmlformats.org/officeDocument/2006/relationships/hyperlink" Target="https://x.com/headlinerth" TargetMode="External"/><Relationship Id="rId1045" Type="http://schemas.openxmlformats.org/officeDocument/2006/relationships/hyperlink" Target="https://linktr.ee/numeromagazine" TargetMode="External"/><Relationship Id="rId211" Type="http://schemas.openxmlformats.org/officeDocument/2006/relationships/hyperlink" Target="https://www.channel4.com/" TargetMode="External"/><Relationship Id="rId695" Type="http://schemas.openxmlformats.org/officeDocument/2006/relationships/hyperlink" Target="http://headliner.th" TargetMode="External"/><Relationship Id="rId1046" Type="http://schemas.openxmlformats.org/officeDocument/2006/relationships/hyperlink" Target="https://linktr.ee/NumeroNetherlands" TargetMode="External"/><Relationship Id="rId210" Type="http://schemas.openxmlformats.org/officeDocument/2006/relationships/hyperlink" Target="http://cnl.store" TargetMode="External"/><Relationship Id="rId694" Type="http://schemas.openxmlformats.org/officeDocument/2006/relationships/hyperlink" Target="http://linktr.ee/headlineoficial" TargetMode="External"/><Relationship Id="rId1047" Type="http://schemas.openxmlformats.org/officeDocument/2006/relationships/hyperlink" Target="https://numero.jp/" TargetMode="External"/><Relationship Id="rId249" Type="http://schemas.openxmlformats.org/officeDocument/2006/relationships/hyperlink" Target="http://youtube.com/@cnbcturkiye" TargetMode="External"/><Relationship Id="rId248" Type="http://schemas.openxmlformats.org/officeDocument/2006/relationships/hyperlink" Target="https://cnbc.mn" TargetMode="External"/><Relationship Id="rId247" Type="http://schemas.openxmlformats.org/officeDocument/2006/relationships/hyperlink" Target="https://smartlink.bio/cnbcmakeit" TargetMode="External"/><Relationship Id="rId1070" Type="http://schemas.openxmlformats.org/officeDocument/2006/relationships/hyperlink" Target="http://www.opinion.al/" TargetMode="External"/><Relationship Id="rId1071" Type="http://schemas.openxmlformats.org/officeDocument/2006/relationships/hyperlink" Target="https://opinionfrontal.com/" TargetMode="External"/><Relationship Id="rId1072" Type="http://schemas.openxmlformats.org/officeDocument/2006/relationships/hyperlink" Target="http://www.facebook.com/groups/hedonismhomeoutlet/" TargetMode="External"/><Relationship Id="rId242" Type="http://schemas.openxmlformats.org/officeDocument/2006/relationships/hyperlink" Target="https://smartlink.bio/cnbc" TargetMode="External"/><Relationship Id="rId1073" Type="http://schemas.openxmlformats.org/officeDocument/2006/relationships/hyperlink" Target="https://www.facebook.com/Ode99" TargetMode="External"/><Relationship Id="rId241" Type="http://schemas.openxmlformats.org/officeDocument/2006/relationships/hyperlink" Target="https://beacons.ai/lething_clip" TargetMode="External"/><Relationship Id="rId1074" Type="http://schemas.openxmlformats.org/officeDocument/2006/relationships/hyperlink" Target="https://chat.whatsapp.com/DLZzfWf1CgDL6utEED0jxZ" TargetMode="External"/><Relationship Id="rId240" Type="http://schemas.openxmlformats.org/officeDocument/2006/relationships/hyperlink" Target="http://linktr.ee/laclippers" TargetMode="External"/><Relationship Id="rId1075" Type="http://schemas.openxmlformats.org/officeDocument/2006/relationships/hyperlink" Target="https://outlet-meblowy-24.pl/" TargetMode="External"/><Relationship Id="rId1076" Type="http://schemas.openxmlformats.org/officeDocument/2006/relationships/hyperlink" Target="https://youtu.be/3VkR9tOmMJ8?si=0oe6UZBt4DI4Mfca" TargetMode="External"/><Relationship Id="rId246" Type="http://schemas.openxmlformats.org/officeDocument/2006/relationships/hyperlink" Target="https://smartlink.bio/cnbcinternational" TargetMode="External"/><Relationship Id="rId1077" Type="http://schemas.openxmlformats.org/officeDocument/2006/relationships/hyperlink" Target="https://taplink.cc/sauvageoutlet?from=qr" TargetMode="External"/><Relationship Id="rId245" Type="http://schemas.openxmlformats.org/officeDocument/2006/relationships/hyperlink" Target="https://linkin.bio/cnbcindonesia" TargetMode="External"/><Relationship Id="rId1078" Type="http://schemas.openxmlformats.org/officeDocument/2006/relationships/hyperlink" Target="https://www.tbilisioutletvillage.com/" TargetMode="External"/><Relationship Id="rId244" Type="http://schemas.openxmlformats.org/officeDocument/2006/relationships/hyperlink" Target="https://lnk.bio/cnbce" TargetMode="External"/><Relationship Id="rId1079" Type="http://schemas.openxmlformats.org/officeDocument/2006/relationships/hyperlink" Target="https://amzlink.to/az02GvwcpGuam" TargetMode="External"/><Relationship Id="rId243" Type="http://schemas.openxmlformats.org/officeDocument/2006/relationships/hyperlink" Target="http://www.cnbcarabia.com" TargetMode="External"/><Relationship Id="rId239" Type="http://schemas.openxmlformats.org/officeDocument/2006/relationships/hyperlink" Target="https://ffm.to/letgodsortemout" TargetMode="External"/><Relationship Id="rId238" Type="http://schemas.openxmlformats.org/officeDocument/2006/relationships/hyperlink" Target="https://www.clipopuk.com/" TargetMode="External"/><Relationship Id="rId237" Type="http://schemas.openxmlformats.org/officeDocument/2006/relationships/hyperlink" Target="https://cliphair.ru" TargetMode="External"/><Relationship Id="rId236" Type="http://schemas.openxmlformats.org/officeDocument/2006/relationships/hyperlink" Target="http://www.clipdeluxe.com/" TargetMode="External"/><Relationship Id="rId1060" Type="http://schemas.openxmlformats.org/officeDocument/2006/relationships/hyperlink" Target="https://www.youtube.com/@Op_Editz007" TargetMode="External"/><Relationship Id="rId1061" Type="http://schemas.openxmlformats.org/officeDocument/2006/relationships/hyperlink" Target="https://beacons.ai/opedriinn" TargetMode="External"/><Relationship Id="rId231" Type="http://schemas.openxmlformats.org/officeDocument/2006/relationships/hyperlink" Target="http://www.youtube.com/c/citationmax" TargetMode="External"/><Relationship Id="rId1062" Type="http://schemas.openxmlformats.org/officeDocument/2006/relationships/hyperlink" Target="https://open.spotify.com/playlist/3w0kabkzNnj9XUo3orddZM?si=o3ozFOCkTuCcIkaZd26YmA&amp;pi=u-TuikAeJzQ2ev" TargetMode="External"/><Relationship Id="rId230" Type="http://schemas.openxmlformats.org/officeDocument/2006/relationships/hyperlink" Target="https://forms.gle/RSqN8S19rHAMz4Zk6" TargetMode="External"/><Relationship Id="rId1063" Type="http://schemas.openxmlformats.org/officeDocument/2006/relationships/hyperlink" Target="https://bio.site/crashnexus" TargetMode="External"/><Relationship Id="rId1064" Type="http://schemas.openxmlformats.org/officeDocument/2006/relationships/hyperlink" Target="https://smartlink.bio/bloombergopinion" TargetMode="External"/><Relationship Id="rId1065" Type="http://schemas.openxmlformats.org/officeDocument/2006/relationships/hyperlink" Target="http://linktr.ee/correctopinions" TargetMode="External"/><Relationship Id="rId235" Type="http://schemas.openxmlformats.org/officeDocument/2006/relationships/hyperlink" Target="https://youtu.be/CQHLUEAP5E0?si=Jn8wxaqOPfF7zz8Z" TargetMode="External"/><Relationship Id="rId1066" Type="http://schemas.openxmlformats.org/officeDocument/2006/relationships/hyperlink" Target="http://www.diariopinion.com" TargetMode="External"/><Relationship Id="rId234" Type="http://schemas.openxmlformats.org/officeDocument/2006/relationships/hyperlink" Target="http://wondery.fm/ClickBaitwithBN" TargetMode="External"/><Relationship Id="rId1067" Type="http://schemas.openxmlformats.org/officeDocument/2006/relationships/hyperlink" Target="https://linkin.bio/elpais_opinion" TargetMode="External"/><Relationship Id="rId233" Type="http://schemas.openxmlformats.org/officeDocument/2006/relationships/hyperlink" Target="https://linktr.ee/citizensjournalist86" TargetMode="External"/><Relationship Id="rId1068" Type="http://schemas.openxmlformats.org/officeDocument/2006/relationships/hyperlink" Target="http://nytimes.com/opinion-instagram" TargetMode="External"/><Relationship Id="rId232" Type="http://schemas.openxmlformats.org/officeDocument/2006/relationships/hyperlink" Target="https://linktr.ee/canggucommunity" TargetMode="External"/><Relationship Id="rId1069" Type="http://schemas.openxmlformats.org/officeDocument/2006/relationships/hyperlink" Target="http://opinion.al" TargetMode="External"/><Relationship Id="rId1015" Type="http://schemas.openxmlformats.org/officeDocument/2006/relationships/hyperlink" Target="https://linkin.bio/newswirecom" TargetMode="External"/><Relationship Id="rId1499" Type="http://schemas.openxmlformats.org/officeDocument/2006/relationships/hyperlink" Target="https://www.shine.net" TargetMode="External"/><Relationship Id="rId1016" Type="http://schemas.openxmlformats.org/officeDocument/2006/relationships/hyperlink" Target="http://www.newswire.lk" TargetMode="External"/><Relationship Id="rId1017" Type="http://schemas.openxmlformats.org/officeDocument/2006/relationships/hyperlink" Target="http://www.newswirez.com/" TargetMode="External"/><Relationship Id="rId1018" Type="http://schemas.openxmlformats.org/officeDocument/2006/relationships/hyperlink" Target="http://www.seanrajan.com" TargetMode="External"/><Relationship Id="rId1019" Type="http://schemas.openxmlformats.org/officeDocument/2006/relationships/hyperlink" Target="http://newyorker.com/cartooninstagram" TargetMode="External"/><Relationship Id="rId668" Type="http://schemas.openxmlformats.org/officeDocument/2006/relationships/hyperlink" Target="http://harpersbazaar.co.th" TargetMode="External"/><Relationship Id="rId667" Type="http://schemas.openxmlformats.org/officeDocument/2006/relationships/hyperlink" Target="https://harpersbazaar.uol.com.br/" TargetMode="External"/><Relationship Id="rId666" Type="http://schemas.openxmlformats.org/officeDocument/2006/relationships/hyperlink" Target="https://linktr.ee/bazaaritalia" TargetMode="External"/><Relationship Id="rId665" Type="http://schemas.openxmlformats.org/officeDocument/2006/relationships/hyperlink" Target="https://l.harpersbazaar.fr/bio" TargetMode="External"/><Relationship Id="rId669" Type="http://schemas.openxmlformats.org/officeDocument/2006/relationships/hyperlink" Target="http://likeshop.me/bazaaruk" TargetMode="External"/><Relationship Id="rId1490" Type="http://schemas.openxmlformats.org/officeDocument/2006/relationships/hyperlink" Target="http://nytimes.com/nytgames" TargetMode="External"/><Relationship Id="rId660" Type="http://schemas.openxmlformats.org/officeDocument/2006/relationships/hyperlink" Target="https://likeshop.me/gqtaiwan" TargetMode="External"/><Relationship Id="rId1491" Type="http://schemas.openxmlformats.org/officeDocument/2006/relationships/hyperlink" Target="http://nytimes.com/instagram" TargetMode="External"/><Relationship Id="rId1492" Type="http://schemas.openxmlformats.org/officeDocument/2006/relationships/hyperlink" Target="https://store.nytimes.com/" TargetMode="External"/><Relationship Id="rId1493" Type="http://schemas.openxmlformats.org/officeDocument/2006/relationships/hyperlink" Target="https://store.nytimes.com/collections/the-new-york-times-for-kids" TargetMode="External"/><Relationship Id="rId1010" Type="http://schemas.openxmlformats.org/officeDocument/2006/relationships/hyperlink" Target="https://www.raiplay.it/programmi/newsroom" TargetMode="External"/><Relationship Id="rId1494" Type="http://schemas.openxmlformats.org/officeDocument/2006/relationships/hyperlink" Target="http://nytimes.com/nytmag" TargetMode="External"/><Relationship Id="rId664" Type="http://schemas.openxmlformats.org/officeDocument/2006/relationships/hyperlink" Target="https://linkin.bio/bazaarbr" TargetMode="External"/><Relationship Id="rId1011" Type="http://schemas.openxmlformats.org/officeDocument/2006/relationships/hyperlink" Target="http://clickthe.bio/porschenewsroom/" TargetMode="External"/><Relationship Id="rId1495" Type="http://schemas.openxmlformats.org/officeDocument/2006/relationships/hyperlink" Target="https://likeshop.me/theskimm" TargetMode="External"/><Relationship Id="rId663" Type="http://schemas.openxmlformats.org/officeDocument/2006/relationships/hyperlink" Target="https://linkin.bio/orange-by-handelsblatt" TargetMode="External"/><Relationship Id="rId1012" Type="http://schemas.openxmlformats.org/officeDocument/2006/relationships/hyperlink" Target="https://linkin.bio/newsweek" TargetMode="External"/><Relationship Id="rId1496" Type="http://schemas.openxmlformats.org/officeDocument/2006/relationships/hyperlink" Target="https://linkin.bio/telegraph" TargetMode="External"/><Relationship Id="rId662" Type="http://schemas.openxmlformats.org/officeDocument/2006/relationships/hyperlink" Target="https://linkin.bio/handelsblatt" TargetMode="External"/><Relationship Id="rId1013" Type="http://schemas.openxmlformats.org/officeDocument/2006/relationships/hyperlink" Target="http://newsweekjapan.jp/" TargetMode="External"/><Relationship Id="rId1497" Type="http://schemas.openxmlformats.org/officeDocument/2006/relationships/hyperlink" Target="https://linktr.ee/telegraphindia" TargetMode="External"/><Relationship Id="rId661" Type="http://schemas.openxmlformats.org/officeDocument/2006/relationships/hyperlink" Target="http://likeshop.me/grubstreet" TargetMode="External"/><Relationship Id="rId1014" Type="http://schemas.openxmlformats.org/officeDocument/2006/relationships/hyperlink" Target="https://t.me/NEWSWEEK_OFFICIAL" TargetMode="External"/><Relationship Id="rId1498" Type="http://schemas.openxmlformats.org/officeDocument/2006/relationships/hyperlink" Target="https://telegraphhotel.com/rooms-suites/" TargetMode="External"/><Relationship Id="rId1004" Type="http://schemas.openxmlformats.org/officeDocument/2006/relationships/hyperlink" Target="http://newsroom.lb" TargetMode="External"/><Relationship Id="rId1488" Type="http://schemas.openxmlformats.org/officeDocument/2006/relationships/hyperlink" Target="https://linktr.ee/hollywoodreporter.it" TargetMode="External"/><Relationship Id="rId1005" Type="http://schemas.openxmlformats.org/officeDocument/2006/relationships/hyperlink" Target="https://whatsapp.com/channel/0029VaAx8NNAu3aLRh1Ziw0u" TargetMode="External"/><Relationship Id="rId1489" Type="http://schemas.openxmlformats.org/officeDocument/2006/relationships/hyperlink" Target="http://nytimes.com/nytarchives" TargetMode="External"/><Relationship Id="rId1006" Type="http://schemas.openxmlformats.org/officeDocument/2006/relationships/hyperlink" Target="http://newsroom.nr" TargetMode="External"/><Relationship Id="rId1007" Type="http://schemas.openxmlformats.org/officeDocument/2006/relationships/hyperlink" Target="https://gofund.me/9a374d9d" TargetMode="External"/><Relationship Id="rId1008" Type="http://schemas.openxmlformats.org/officeDocument/2006/relationships/hyperlink" Target="http://www.newsroom.co.nz" TargetMode="External"/><Relationship Id="rId1009" Type="http://schemas.openxmlformats.org/officeDocument/2006/relationships/hyperlink" Target="https://youtube.com/@newsroomodisha?si=NGgTTHF-8JnXn8Yw" TargetMode="External"/><Relationship Id="rId657" Type="http://schemas.openxmlformats.org/officeDocument/2006/relationships/hyperlink" Target="https://likeshop.me/gq_korea" TargetMode="External"/><Relationship Id="rId656" Type="http://schemas.openxmlformats.org/officeDocument/2006/relationships/hyperlink" Target="https://gq-jordan-nutrition.kit.com/guide" TargetMode="External"/><Relationship Id="rId655" Type="http://schemas.openxmlformats.org/officeDocument/2006/relationships/hyperlink" Target="https://likeshop.me/gqitalia" TargetMode="External"/><Relationship Id="rId654" Type="http://schemas.openxmlformats.org/officeDocument/2006/relationships/hyperlink" Target="http://gqhongkong.com" TargetMode="External"/><Relationship Id="rId659" Type="http://schemas.openxmlformats.org/officeDocument/2006/relationships/hyperlink" Target="https://likeshop.me/gqsports" TargetMode="External"/><Relationship Id="rId658" Type="http://schemas.openxmlformats.org/officeDocument/2006/relationships/hyperlink" Target="https://likeshop.me/gqrussia" TargetMode="External"/><Relationship Id="rId1480" Type="http://schemas.openxmlformats.org/officeDocument/2006/relationships/hyperlink" Target="https://www.tiktok.com/@guardian_zoz?_t=8iOV8zWenZg&amp;_r=1" TargetMode="External"/><Relationship Id="rId1481" Type="http://schemas.openxmlformats.org/officeDocument/2006/relationships/hyperlink" Target="https://www.thehindu.com/topic/Instagram_stories/" TargetMode="External"/><Relationship Id="rId1482" Type="http://schemas.openxmlformats.org/officeDocument/2006/relationships/hyperlink" Target="https://newsth.live/FMFINSTA" TargetMode="External"/><Relationship Id="rId1483" Type="http://schemas.openxmlformats.org/officeDocument/2006/relationships/hyperlink" Target="https://t.me/hindunewspaperdailypdfs" TargetMode="External"/><Relationship Id="rId653" Type="http://schemas.openxmlformats.org/officeDocument/2006/relationships/hyperlink" Target="https://likeshop.me/gqfrance" TargetMode="External"/><Relationship Id="rId1000" Type="http://schemas.openxmlformats.org/officeDocument/2006/relationships/hyperlink" Target="http://www.newsroom.info" TargetMode="External"/><Relationship Id="rId1484" Type="http://schemas.openxmlformats.org/officeDocument/2006/relationships/hyperlink" Target="https://www.youtube.com/@Thehindutv01" TargetMode="External"/><Relationship Id="rId652" Type="http://schemas.openxmlformats.org/officeDocument/2006/relationships/hyperlink" Target="http://likeshop.me/gq" TargetMode="External"/><Relationship Id="rId1001" Type="http://schemas.openxmlformats.org/officeDocument/2006/relationships/hyperlink" Target="http://newsroom.gy/" TargetMode="External"/><Relationship Id="rId1485" Type="http://schemas.openxmlformats.org/officeDocument/2006/relationships/hyperlink" Target="http://es.hollywoodreporter.com" TargetMode="External"/><Relationship Id="rId651" Type="http://schemas.openxmlformats.org/officeDocument/2006/relationships/hyperlink" Target="http://likeshop.me/britishgq" TargetMode="External"/><Relationship Id="rId1002" Type="http://schemas.openxmlformats.org/officeDocument/2006/relationships/hyperlink" Target="http://newsroom.kz" TargetMode="External"/><Relationship Id="rId1486" Type="http://schemas.openxmlformats.org/officeDocument/2006/relationships/hyperlink" Target="http://linktr.ee/thrindia" TargetMode="External"/><Relationship Id="rId650" Type="http://schemas.openxmlformats.org/officeDocument/2006/relationships/hyperlink" Target="https://likeshop.me/goodhousekeepinguk" TargetMode="External"/><Relationship Id="rId1003" Type="http://schemas.openxmlformats.org/officeDocument/2006/relationships/hyperlink" Target="https://newsroom.kz/90528/zhoo-ny-zdik-baspas-z-hatshysy-bay-auy-zhariyalandy" TargetMode="External"/><Relationship Id="rId1487" Type="http://schemas.openxmlformats.org/officeDocument/2006/relationships/hyperlink" Target="http://hollywoodreporter.it" TargetMode="External"/><Relationship Id="rId1037" Type="http://schemas.openxmlformats.org/officeDocument/2006/relationships/hyperlink" Target="https://linktr.ee/nprcodeswitch" TargetMode="External"/><Relationship Id="rId1038" Type="http://schemas.openxmlformats.org/officeDocument/2006/relationships/hyperlink" Target="https://www.npr.org/sections/npr-extra/" TargetMode="External"/><Relationship Id="rId1039" Type="http://schemas.openxmlformats.org/officeDocument/2006/relationships/hyperlink" Target="http://linkin.bio/nprlifekit" TargetMode="External"/><Relationship Id="rId206" Type="http://schemas.openxmlformats.org/officeDocument/2006/relationships/hyperlink" Target="https://linkin.bio/cbssundaymorning" TargetMode="External"/><Relationship Id="rId205" Type="http://schemas.openxmlformats.org/officeDocument/2006/relationships/hyperlink" Target="https://newsin.bio/cbssacramento" TargetMode="External"/><Relationship Id="rId689" Type="http://schemas.openxmlformats.org/officeDocument/2006/relationships/hyperlink" Target="https://venmo.com/u/HashtagKarenag" TargetMode="External"/><Relationship Id="rId204" Type="http://schemas.openxmlformats.org/officeDocument/2006/relationships/hyperlink" Target="http://newsin.bio/cbsnewyork/" TargetMode="External"/><Relationship Id="rId688" Type="http://schemas.openxmlformats.org/officeDocument/2006/relationships/hyperlink" Target="http://hashtag-lb.com/" TargetMode="External"/><Relationship Id="rId203" Type="http://schemas.openxmlformats.org/officeDocument/2006/relationships/hyperlink" Target="http://newsin.bio/cbsnewstexas" TargetMode="External"/><Relationship Id="rId687" Type="http://schemas.openxmlformats.org/officeDocument/2006/relationships/hyperlink" Target="http://hashtag.expert/" TargetMode="External"/><Relationship Id="rId209" Type="http://schemas.openxmlformats.org/officeDocument/2006/relationships/hyperlink" Target="https://wgme.com/news/instagram" TargetMode="External"/><Relationship Id="rId208" Type="http://schemas.openxmlformats.org/officeDocument/2006/relationships/hyperlink" Target="http://newsin.bio/wbztv" TargetMode="External"/><Relationship Id="rId207" Type="http://schemas.openxmlformats.org/officeDocument/2006/relationships/hyperlink" Target="http://newsin.bio/kpixtv" TargetMode="External"/><Relationship Id="rId682" Type="http://schemas.openxmlformats.org/officeDocument/2006/relationships/hyperlink" Target="http://hbr.org/" TargetMode="External"/><Relationship Id="rId681" Type="http://schemas.openxmlformats.org/officeDocument/2006/relationships/hyperlink" Target="https://likeshop.me/harpersbazaarus" TargetMode="External"/><Relationship Id="rId1030" Type="http://schemas.openxmlformats.org/officeDocument/2006/relationships/hyperlink" Target="https://www.thenamenest.com" TargetMode="External"/><Relationship Id="rId680" Type="http://schemas.openxmlformats.org/officeDocument/2006/relationships/hyperlink" Target="https://www.harpersbazaar.com/tw/bazaar-at-work/" TargetMode="External"/><Relationship Id="rId1031" Type="http://schemas.openxmlformats.org/officeDocument/2006/relationships/hyperlink" Target="https://linktr.ee/nowthismedia" TargetMode="External"/><Relationship Id="rId1032" Type="http://schemas.openxmlformats.org/officeDocument/2006/relationships/hyperlink" Target="http://go.nowth.is/Booze_Facebook" TargetMode="External"/><Relationship Id="rId202" Type="http://schemas.openxmlformats.org/officeDocument/2006/relationships/hyperlink" Target="https://linkin.bio/cbsnewsplanet" TargetMode="External"/><Relationship Id="rId686" Type="http://schemas.openxmlformats.org/officeDocument/2006/relationships/hyperlink" Target="https://linktr.ee/hashtagbogi" TargetMode="External"/><Relationship Id="rId1033" Type="http://schemas.openxmlformats.org/officeDocument/2006/relationships/hyperlink" Target="https://go.nowth.is/newsletter" TargetMode="External"/><Relationship Id="rId201" Type="http://schemas.openxmlformats.org/officeDocument/2006/relationships/hyperlink" Target="https://linkin.bio/ig-cbsnews" TargetMode="External"/><Relationship Id="rId685" Type="http://schemas.openxmlformats.org/officeDocument/2006/relationships/hyperlink" Target="https://hbrturkiye.com/abonelik/yeni" TargetMode="External"/><Relationship Id="rId1034" Type="http://schemas.openxmlformats.org/officeDocument/2006/relationships/hyperlink" Target="https://go.nowth.is/voteIG" TargetMode="External"/><Relationship Id="rId200" Type="http://schemas.openxmlformats.org/officeDocument/2006/relationships/hyperlink" Target="https://www.cbsmiami.com" TargetMode="External"/><Relationship Id="rId684" Type="http://schemas.openxmlformats.org/officeDocument/2006/relationships/hyperlink" Target="http://store.hbr.org/" TargetMode="External"/><Relationship Id="rId1035" Type="http://schemas.openxmlformats.org/officeDocument/2006/relationships/hyperlink" Target="http://linktr.ee/nowthislook" TargetMode="External"/><Relationship Id="rId683" Type="http://schemas.openxmlformats.org/officeDocument/2006/relationships/hyperlink" Target="https://hbr.org/instagram" TargetMode="External"/><Relationship Id="rId1036" Type="http://schemas.openxmlformats.org/officeDocument/2006/relationships/hyperlink" Target="http://linkin.bio/npr/" TargetMode="External"/><Relationship Id="rId1026" Type="http://schemas.openxmlformats.org/officeDocument/2006/relationships/hyperlink" Target="https://www.youtube.com/@Newyorkuncut" TargetMode="External"/><Relationship Id="rId1027" Type="http://schemas.openxmlformats.org/officeDocument/2006/relationships/hyperlink" Target="https://www.youtube.com/channel/UCUB7No7yKTAWtRKAQhdp4IQ" TargetMode="External"/><Relationship Id="rId1028" Type="http://schemas.openxmlformats.org/officeDocument/2006/relationships/hyperlink" Target="https://youtube.com/@felix_nmecha?si=luNhMNIg6R79QWMj" TargetMode="External"/><Relationship Id="rId1029" Type="http://schemas.openxmlformats.org/officeDocument/2006/relationships/hyperlink" Target="http://bnd.link/nme" TargetMode="External"/><Relationship Id="rId679" Type="http://schemas.openxmlformats.org/officeDocument/2006/relationships/hyperlink" Target="https://www.harpersbazaar.com.tr/" TargetMode="External"/><Relationship Id="rId678" Type="http://schemas.openxmlformats.org/officeDocument/2006/relationships/hyperlink" Target="https://linkin.bio/harpersbazaarsg" TargetMode="External"/><Relationship Id="rId677" Type="http://schemas.openxmlformats.org/officeDocument/2006/relationships/hyperlink" Target="https://www.harpersbazaar.mx" TargetMode="External"/><Relationship Id="rId676" Type="http://schemas.openxmlformats.org/officeDocument/2006/relationships/hyperlink" Target="https://m.site.naver.com/1O7N0" TargetMode="External"/><Relationship Id="rId671" Type="http://schemas.openxmlformats.org/officeDocument/2006/relationships/hyperlink" Target="https://www.harpersbazaararabia.com" TargetMode="External"/><Relationship Id="rId670" Type="http://schemas.openxmlformats.org/officeDocument/2006/relationships/hyperlink" Target="https://bazaarvietnam.vn" TargetMode="External"/><Relationship Id="rId1020" Type="http://schemas.openxmlformats.org/officeDocument/2006/relationships/hyperlink" Target="https://likeshop.me/newyorkerfest" TargetMode="External"/><Relationship Id="rId1021" Type="http://schemas.openxmlformats.org/officeDocument/2006/relationships/hyperlink" Target="http://newyorker-lions.de/category/news/" TargetMode="External"/><Relationship Id="rId675" Type="http://schemas.openxmlformats.org/officeDocument/2006/relationships/hyperlink" Target="https://www.harpersbazaar.com/jp/" TargetMode="External"/><Relationship Id="rId1022" Type="http://schemas.openxmlformats.org/officeDocument/2006/relationships/hyperlink" Target="http://newyorker.com/instagram" TargetMode="External"/><Relationship Id="rId674" Type="http://schemas.openxmlformats.org/officeDocument/2006/relationships/hyperlink" Target="http://www.harpersbazaar.com.hk" TargetMode="External"/><Relationship Id="rId1023" Type="http://schemas.openxmlformats.org/officeDocument/2006/relationships/hyperlink" Target="http://www.newyorker.de/social" TargetMode="External"/><Relationship Id="rId673" Type="http://schemas.openxmlformats.org/officeDocument/2006/relationships/hyperlink" Target="https://www.harpersbazaar.de/instagram" TargetMode="External"/><Relationship Id="rId1024" Type="http://schemas.openxmlformats.org/officeDocument/2006/relationships/hyperlink" Target="http://www.newyorker.de/social" TargetMode="External"/><Relationship Id="rId672" Type="http://schemas.openxmlformats.org/officeDocument/2006/relationships/hyperlink" Target="https://mtr.bio/harpersbazaares-735731" TargetMode="External"/><Relationship Id="rId1025" Type="http://schemas.openxmlformats.org/officeDocument/2006/relationships/hyperlink" Target="https://www.newyorker.com/culture/photo-booth" TargetMode="External"/><Relationship Id="rId190" Type="http://schemas.openxmlformats.org/officeDocument/2006/relationships/hyperlink" Target="http://www.campaignliving.com/" TargetMode="External"/><Relationship Id="rId194" Type="http://schemas.openxmlformats.org/officeDocument/2006/relationships/hyperlink" Target="https://linkin.bio/campaignzero" TargetMode="External"/><Relationship Id="rId193" Type="http://schemas.openxmlformats.org/officeDocument/2006/relationships/hyperlink" Target="http://lnk.bio/CampaignMiddleEast" TargetMode="External"/><Relationship Id="rId192" Type="http://schemas.openxmlformats.org/officeDocument/2006/relationships/hyperlink" Target="https://www.campaignlive.co.uk/the-work" TargetMode="External"/><Relationship Id="rId191" Type="http://schemas.openxmlformats.org/officeDocument/2006/relationships/hyperlink" Target="https://linktr.ee/CampaignAcey" TargetMode="External"/><Relationship Id="rId187" Type="http://schemas.openxmlformats.org/officeDocument/2006/relationships/hyperlink" Target="https://www.youtube.com/watch?v=OU4sr2Q4KbM&amp;t=1s" TargetMode="External"/><Relationship Id="rId186" Type="http://schemas.openxmlformats.org/officeDocument/2006/relationships/hyperlink" Target="https://buzzfeed.bio/buzzfeedvideo" TargetMode="External"/><Relationship Id="rId185" Type="http://schemas.openxmlformats.org/officeDocument/2006/relationships/hyperlink" Target="https://bit.ly/4mpTOz6" TargetMode="External"/><Relationship Id="rId184" Type="http://schemas.openxmlformats.org/officeDocument/2006/relationships/hyperlink" Target="https://buzzfeed.bio/buzzfeeduk" TargetMode="External"/><Relationship Id="rId189" Type="http://schemas.openxmlformats.org/officeDocument/2006/relationships/hyperlink" Target="https://linktr.ee/bylinebyline" TargetMode="External"/><Relationship Id="rId188" Type="http://schemas.openxmlformats.org/officeDocument/2006/relationships/hyperlink" Target="https://livemu.sc/44cJV1L" TargetMode="External"/><Relationship Id="rId183" Type="http://schemas.openxmlformats.org/officeDocument/2006/relationships/hyperlink" Target="https://buzzfeed.bio/buzzfeedtrending" TargetMode="External"/><Relationship Id="rId182" Type="http://schemas.openxmlformats.org/officeDocument/2006/relationships/hyperlink" Target="http://buzzfeed.bio/buzzfeedtasty" TargetMode="External"/><Relationship Id="rId181" Type="http://schemas.openxmlformats.org/officeDocument/2006/relationships/hyperlink" Target="https://buzzfeed.bio/buzzfeedfood" TargetMode="External"/><Relationship Id="rId180" Type="http://schemas.openxmlformats.org/officeDocument/2006/relationships/hyperlink" Target="https://buzzfeed.bio/ig/buzzfeedceleb" TargetMode="External"/><Relationship Id="rId176" Type="http://schemas.openxmlformats.org/officeDocument/2006/relationships/hyperlink" Target="https://smartlink.bio/businessweek" TargetMode="External"/><Relationship Id="rId175" Type="http://schemas.openxmlformats.org/officeDocument/2006/relationships/hyperlink" Target="https://likeshop.me/bof" TargetMode="External"/><Relationship Id="rId174" Type="http://schemas.openxmlformats.org/officeDocument/2006/relationships/hyperlink" Target="http://africa.businessinsider.com" TargetMode="External"/><Relationship Id="rId173" Type="http://schemas.openxmlformats.org/officeDocument/2006/relationships/hyperlink" Target="https://it.businessinsider.com/" TargetMode="External"/><Relationship Id="rId179" Type="http://schemas.openxmlformats.org/officeDocument/2006/relationships/hyperlink" Target="https://buzzfeed.bio/buzzfeed" TargetMode="External"/><Relationship Id="rId178" Type="http://schemas.openxmlformats.org/officeDocument/2006/relationships/hyperlink" Target="http://businessweeklymag.com" TargetMode="External"/><Relationship Id="rId177" Type="http://schemas.openxmlformats.org/officeDocument/2006/relationships/hyperlink" Target="http://bloomberg.com/businessweek/" TargetMode="External"/><Relationship Id="rId198" Type="http://schemas.openxmlformats.org/officeDocument/2006/relationships/hyperlink" Target="http://newsin.bio/cbscolorado" TargetMode="External"/><Relationship Id="rId197" Type="http://schemas.openxmlformats.org/officeDocument/2006/relationships/hyperlink" Target="https://www.cbs58.com/" TargetMode="External"/><Relationship Id="rId196" Type="http://schemas.openxmlformats.org/officeDocument/2006/relationships/hyperlink" Target="http://sprout.link/cbs2boise" TargetMode="External"/><Relationship Id="rId195" Type="http://schemas.openxmlformats.org/officeDocument/2006/relationships/hyperlink" Target="https://www.inaba-petfood.co.jp/" TargetMode="External"/><Relationship Id="rId199" Type="http://schemas.openxmlformats.org/officeDocument/2006/relationships/hyperlink" Target="https://linkin.bio/cbseveningnews" TargetMode="External"/><Relationship Id="rId150" Type="http://schemas.openxmlformats.org/officeDocument/2006/relationships/hyperlink" Target="http://www.breakingbelizenews.com/" TargetMode="External"/><Relationship Id="rId149" Type="http://schemas.openxmlformats.org/officeDocument/2006/relationships/hyperlink" Target="http://www.youtube.com/@breakingbreadwithbeardoh" TargetMode="External"/><Relationship Id="rId148" Type="http://schemas.openxmlformats.org/officeDocument/2006/relationships/hyperlink" Target="http://whatsapp.com/channel/0029Vb6GAFsJpe8aVMp2BA0U" TargetMode="External"/><Relationship Id="rId1090" Type="http://schemas.openxmlformats.org/officeDocument/2006/relationships/hyperlink" Target="https://www.overtimeselect.com/" TargetMode="External"/><Relationship Id="rId1091" Type="http://schemas.openxmlformats.org/officeDocument/2006/relationships/hyperlink" Target="https://youtu.be/XNTLo7jEuc4" TargetMode="External"/><Relationship Id="rId1092" Type="http://schemas.openxmlformats.org/officeDocument/2006/relationships/hyperlink" Target="https://youtu.be/H7kJPLOeEGw?feature=shared" TargetMode="External"/><Relationship Id="rId1093" Type="http://schemas.openxmlformats.org/officeDocument/2006/relationships/hyperlink" Target="https://youtube.com/channel/UC24IxBVa5NtAl5NdOYY_Wxw" TargetMode="External"/><Relationship Id="rId1094" Type="http://schemas.openxmlformats.org/officeDocument/2006/relationships/hyperlink" Target="http://www.ohbyozy.com" TargetMode="External"/><Relationship Id="rId143" Type="http://schemas.openxmlformats.org/officeDocument/2006/relationships/hyperlink" Target="http://bonappetit.tj" TargetMode="External"/><Relationship Id="rId1095" Type="http://schemas.openxmlformats.org/officeDocument/2006/relationships/hyperlink" Target="https://linktr.ee/ozymedia" TargetMode="External"/><Relationship Id="rId142" Type="http://schemas.openxmlformats.org/officeDocument/2006/relationships/hyperlink" Target="https://likeshop.me/bonappetitmag" TargetMode="External"/><Relationship Id="rId1096" Type="http://schemas.openxmlformats.org/officeDocument/2006/relationships/hyperlink" Target="https://www.ozyworldy.com" TargetMode="External"/><Relationship Id="rId141" Type="http://schemas.openxmlformats.org/officeDocument/2006/relationships/hyperlink" Target="https://beacons.ai/chychyx" TargetMode="External"/><Relationship Id="rId1097" Type="http://schemas.openxmlformats.org/officeDocument/2006/relationships/hyperlink" Target="https://linkin.bio/papermag" TargetMode="External"/><Relationship Id="rId140" Type="http://schemas.openxmlformats.org/officeDocument/2006/relationships/hyperlink" Target="http://linktr.ee/bloombergtvm" TargetMode="External"/><Relationship Id="rId1098" Type="http://schemas.openxmlformats.org/officeDocument/2006/relationships/hyperlink" Target="https://sprout.link/masterpiecepbs" TargetMode="External"/><Relationship Id="rId147" Type="http://schemas.openxmlformats.org/officeDocument/2006/relationships/hyperlink" Target="https://breakingbenjamin.com" TargetMode="External"/><Relationship Id="rId1099" Type="http://schemas.openxmlformats.org/officeDocument/2006/relationships/hyperlink" Target="https://to.pbs.org/4fXfL6j" TargetMode="External"/><Relationship Id="rId146" Type="http://schemas.openxmlformats.org/officeDocument/2006/relationships/hyperlink" Target="https://www.breakingbarriersunited.com/social" TargetMode="External"/><Relationship Id="rId145" Type="http://schemas.openxmlformats.org/officeDocument/2006/relationships/hyperlink" Target="https://forucinema.com/collections/breaking-bad" TargetMode="External"/><Relationship Id="rId144" Type="http://schemas.openxmlformats.org/officeDocument/2006/relationships/hyperlink" Target="http://bit.ly/445bhTB" TargetMode="External"/><Relationship Id="rId139" Type="http://schemas.openxmlformats.org/officeDocument/2006/relationships/hyperlink" Target="https://smartlink.bio/bloombergtv" TargetMode="External"/><Relationship Id="rId138" Type="http://schemas.openxmlformats.org/officeDocument/2006/relationships/hyperlink" Target="http://www.bloomberght.com/" TargetMode="External"/><Relationship Id="rId137" Type="http://schemas.openxmlformats.org/officeDocument/2006/relationships/hyperlink" Target="https://smartlink.bio/businessweek" TargetMode="External"/><Relationship Id="rId1080" Type="http://schemas.openxmlformats.org/officeDocument/2006/relationships/hyperlink" Target="https://watch.amazon.com/detail?gti=amzn1.dv.gti.77da0b53-47c3-41ed-8f84-a79ac04f823a&amp;territory=US&amp;ref_=share_ios_season&amp;r=web" TargetMode="External"/><Relationship Id="rId1081" Type="http://schemas.openxmlformats.org/officeDocument/2006/relationships/hyperlink" Target="https://youtu.be/eRfb0e3nFRE" TargetMode="External"/><Relationship Id="rId1082" Type="http://schemas.openxmlformats.org/officeDocument/2006/relationships/hyperlink" Target="https://linktr.ee/icegang" TargetMode="External"/><Relationship Id="rId1083" Type="http://schemas.openxmlformats.org/officeDocument/2006/relationships/hyperlink" Target="https://www.ticketmaster.com/event/3A00630CD2123CCF" TargetMode="External"/><Relationship Id="rId132" Type="http://schemas.openxmlformats.org/officeDocument/2006/relationships/hyperlink" Target="https://smartlink.bio/bloombergopinion" TargetMode="External"/><Relationship Id="rId1084" Type="http://schemas.openxmlformats.org/officeDocument/2006/relationships/hyperlink" Target="https://shop.itsovertime.com/" TargetMode="External"/><Relationship Id="rId131" Type="http://schemas.openxmlformats.org/officeDocument/2006/relationships/hyperlink" Target="https://sprout.link/bloomberglinea" TargetMode="External"/><Relationship Id="rId1085" Type="http://schemas.openxmlformats.org/officeDocument/2006/relationships/hyperlink" Target="https://youtu.be/iNxeXzlekl4" TargetMode="External"/><Relationship Id="rId130" Type="http://schemas.openxmlformats.org/officeDocument/2006/relationships/hyperlink" Target="https://smartlink.bio/bloomberglaw" TargetMode="External"/><Relationship Id="rId1086" Type="http://schemas.openxmlformats.org/officeDocument/2006/relationships/hyperlink" Target="https://youtu.be/L1Re9YhQXmw" TargetMode="External"/><Relationship Id="rId1087" Type="http://schemas.openxmlformats.org/officeDocument/2006/relationships/hyperlink" Target="https://youtu.be/8tQKatXJ0Kk" TargetMode="External"/><Relationship Id="rId136" Type="http://schemas.openxmlformats.org/officeDocument/2006/relationships/hyperlink" Target="https://smartlink.bio/bloombergtv" TargetMode="External"/><Relationship Id="rId1088" Type="http://schemas.openxmlformats.org/officeDocument/2006/relationships/hyperlink" Target="https://www.tiktok.com/@overtimemegan?_t=8W369zUYCy6&amp;_r=1" TargetMode="External"/><Relationship Id="rId135" Type="http://schemas.openxmlformats.org/officeDocument/2006/relationships/hyperlink" Target="https://smartlink.bio/bloombergpursuits" TargetMode="External"/><Relationship Id="rId1089" Type="http://schemas.openxmlformats.org/officeDocument/2006/relationships/hyperlink" Target="https://m.twitch.tv/overtimesammy/" TargetMode="External"/><Relationship Id="rId134" Type="http://schemas.openxmlformats.org/officeDocument/2006/relationships/hyperlink" Target="http://bloom.bg/politicsinstagram" TargetMode="External"/><Relationship Id="rId133" Type="http://schemas.openxmlformats.org/officeDocument/2006/relationships/hyperlink" Target="https://smartlink.bio/bloombergoriginals" TargetMode="External"/><Relationship Id="rId172" Type="http://schemas.openxmlformats.org/officeDocument/2006/relationships/hyperlink" Target="http://linkin.bio/businessinsiderin" TargetMode="External"/><Relationship Id="rId171" Type="http://schemas.openxmlformats.org/officeDocument/2006/relationships/hyperlink" Target="https://www.businessinsider.es" TargetMode="External"/><Relationship Id="rId170" Type="http://schemas.openxmlformats.org/officeDocument/2006/relationships/hyperlink" Target="https://linkin.bio/businessinsiderde" TargetMode="External"/><Relationship Id="rId165" Type="http://schemas.openxmlformats.org/officeDocument/2006/relationships/hyperlink" Target="https://youtu.be/HyE1zO9JXc4" TargetMode="External"/><Relationship Id="rId164" Type="http://schemas.openxmlformats.org/officeDocument/2006/relationships/hyperlink" Target="https://app.getpinpoint.io/bmi" TargetMode="External"/><Relationship Id="rId163" Type="http://schemas.openxmlformats.org/officeDocument/2006/relationships/hyperlink" Target="http://hoo.be/behindthebroadcast/" TargetMode="External"/><Relationship Id="rId162" Type="http://schemas.openxmlformats.org/officeDocument/2006/relationships/hyperlink" Target="http://mpbreakingnews.in/" TargetMode="External"/><Relationship Id="rId169" Type="http://schemas.openxmlformats.org/officeDocument/2006/relationships/hyperlink" Target="http://businessinsider.de" TargetMode="External"/><Relationship Id="rId168" Type="http://schemas.openxmlformats.org/officeDocument/2006/relationships/hyperlink" Target="http://bit.ly/BusinessInsiderBio" TargetMode="External"/><Relationship Id="rId167" Type="http://schemas.openxmlformats.org/officeDocument/2006/relationships/hyperlink" Target="https://linkin.bio/bipolska" TargetMode="External"/><Relationship Id="rId166" Type="http://schemas.openxmlformats.org/officeDocument/2006/relationships/hyperlink" Target="https://apps.apple.com/us/app/lid-ai-powered-voice-journal/id6451363654" TargetMode="External"/><Relationship Id="rId161" Type="http://schemas.openxmlformats.org/officeDocument/2006/relationships/hyperlink" Target="http://mpbreakingnews.in" TargetMode="External"/><Relationship Id="rId160" Type="http://schemas.openxmlformats.org/officeDocument/2006/relationships/hyperlink" Target="https://smartlink.bio/cp24breakingnews" TargetMode="External"/><Relationship Id="rId159" Type="http://schemas.openxmlformats.org/officeDocument/2006/relationships/hyperlink" Target="http://www.breakingnews.com.tr/" TargetMode="External"/><Relationship Id="rId154" Type="http://schemas.openxmlformats.org/officeDocument/2006/relationships/hyperlink" Target="http://nbcnews.com/" TargetMode="External"/><Relationship Id="rId153" Type="http://schemas.openxmlformats.org/officeDocument/2006/relationships/hyperlink" Target="https://t.me/breakingmash" TargetMode="External"/><Relationship Id="rId152" Type="http://schemas.openxmlformats.org/officeDocument/2006/relationships/hyperlink" Target="https://linktr.ee/breakingthepage" TargetMode="External"/><Relationship Id="rId151" Type="http://schemas.openxmlformats.org/officeDocument/2006/relationships/hyperlink" Target="http://nbcnews.com/" TargetMode="External"/><Relationship Id="rId158" Type="http://schemas.openxmlformats.org/officeDocument/2006/relationships/hyperlink" Target="https://breaking-news-saarland.de/impressum" TargetMode="External"/><Relationship Id="rId157" Type="http://schemas.openxmlformats.org/officeDocument/2006/relationships/hyperlink" Target="https://www.facebook.com/share/1BEi2qbEN5/" TargetMode="External"/><Relationship Id="rId156" Type="http://schemas.openxmlformats.org/officeDocument/2006/relationships/hyperlink" Target="https://www.facebook.com/breakingnewschakradharpur?mibextid=ZbWKwL" TargetMode="External"/><Relationship Id="rId155" Type="http://schemas.openxmlformats.org/officeDocument/2006/relationships/hyperlink" Target="http://breaking.news.br" TargetMode="External"/><Relationship Id="rId1510" Type="http://schemas.openxmlformats.org/officeDocument/2006/relationships/hyperlink" Target="https://likeshop.me/verge" TargetMode="External"/><Relationship Id="rId1511" Type="http://schemas.openxmlformats.org/officeDocument/2006/relationships/hyperlink" Target="http://on.wsj.com/instagram" TargetMode="External"/><Relationship Id="rId1512" Type="http://schemas.openxmlformats.org/officeDocument/2006/relationships/hyperlink" Target="https://wapo.st/ig" TargetMode="External"/><Relationship Id="rId1513" Type="http://schemas.openxmlformats.org/officeDocument/2006/relationships/hyperlink" Target="https://wapo.st/3F0zAZQ" TargetMode="External"/><Relationship Id="rId1514" Type="http://schemas.openxmlformats.org/officeDocument/2006/relationships/hyperlink" Target="http://linktr.ee/tiktok" TargetMode="External"/><Relationship Id="rId1515" Type="http://schemas.openxmlformats.org/officeDocument/2006/relationships/hyperlink" Target="http://wa.me/5566981039520" TargetMode="External"/><Relationship Id="rId1516" Type="http://schemas.openxmlformats.org/officeDocument/2006/relationships/hyperlink" Target="https://t.me/+wTWKeZJKASA4YWQy" TargetMode="External"/><Relationship Id="rId1517" Type="http://schemas.openxmlformats.org/officeDocument/2006/relationships/hyperlink" Target="https://linktr.ee/TikTokForBusiness" TargetMode="External"/><Relationship Id="rId1518" Type="http://schemas.openxmlformats.org/officeDocument/2006/relationships/hyperlink" Target="https://www.tiktokinfo.in/" TargetMode="External"/><Relationship Id="rId1519" Type="http://schemas.openxmlformats.org/officeDocument/2006/relationships/hyperlink" Target="http://beacons.page/tiktokmomma7/" TargetMode="External"/><Relationship Id="rId1500" Type="http://schemas.openxmlformats.org/officeDocument/2006/relationships/hyperlink" Target="https://lnk.bio/economictimes" TargetMode="External"/><Relationship Id="rId1501" Type="http://schemas.openxmlformats.org/officeDocument/2006/relationships/hyperlink" Target="https://linkin.bio/nolanews" TargetMode="External"/><Relationship Id="rId1502" Type="http://schemas.openxmlformats.org/officeDocument/2006/relationships/hyperlink" Target="http://nytimes.com/instagram" TargetMode="External"/><Relationship Id="rId1503" Type="http://schemas.openxmlformats.org/officeDocument/2006/relationships/hyperlink" Target="https://linkin.bio/thetimes" TargetMode="External"/><Relationship Id="rId1504" Type="http://schemas.openxmlformats.org/officeDocument/2006/relationships/hyperlink" Target="https://www.myticketempire.com/thetimesindiematesession" TargetMode="External"/><Relationship Id="rId1505" Type="http://schemas.openxmlformats.org/officeDocument/2006/relationships/hyperlink" Target="https://linkin.bio/thetimesmagazine" TargetMode="External"/><Relationship Id="rId1506" Type="http://schemas.openxmlformats.org/officeDocument/2006/relationships/hyperlink" Target="http://timesnews.pk" TargetMode="External"/><Relationship Id="rId1507" Type="http://schemas.openxmlformats.org/officeDocument/2006/relationships/hyperlink" Target="https://www.timesofisrael.com/" TargetMode="External"/><Relationship Id="rId1508" Type="http://schemas.openxmlformats.org/officeDocument/2006/relationships/hyperlink" Target="https://www.theverge.com/cs/features/652590/vietnam-war-viet-cong-us-military-psy-op-comic" TargetMode="External"/><Relationship Id="rId1509" Type="http://schemas.openxmlformats.org/officeDocument/2006/relationships/hyperlink" Target="http://www.theverge.pk/" TargetMode="External"/><Relationship Id="rId1576" Type="http://schemas.openxmlformats.org/officeDocument/2006/relationships/hyperlink" Target="http://linkin.bio/variety" TargetMode="External"/><Relationship Id="rId1577" Type="http://schemas.openxmlformats.org/officeDocument/2006/relationships/hyperlink" Target="http://phymongshe.kr" TargetMode="External"/><Relationship Id="rId1578" Type="http://schemas.openxmlformats.org/officeDocument/2006/relationships/hyperlink" Target="https://link.inpock.co.kr/dalgy53" TargetMode="External"/><Relationship Id="rId1579" Type="http://schemas.openxmlformats.org/officeDocument/2006/relationships/hyperlink" Target="https://youtu.be/2w2ir3lzL3Q" TargetMode="External"/><Relationship Id="rId509" Type="http://schemas.openxmlformats.org/officeDocument/2006/relationships/hyperlink" Target="https://likeshop.me/esquire" TargetMode="External"/><Relationship Id="rId508" Type="http://schemas.openxmlformats.org/officeDocument/2006/relationships/hyperlink" Target="https://stream.espn.com/" TargetMode="External"/><Relationship Id="rId503" Type="http://schemas.openxmlformats.org/officeDocument/2006/relationships/hyperlink" Target="http://stream.espn.com/" TargetMode="External"/><Relationship Id="rId987" Type="http://schemas.openxmlformats.org/officeDocument/2006/relationships/hyperlink" Target="https://kidsage.in/kids-magazine-subscribe/" TargetMode="External"/><Relationship Id="rId502" Type="http://schemas.openxmlformats.org/officeDocument/2006/relationships/hyperlink" Target="https://youtube.com/@espnknockout?si=wu6lSip2mjC00WR2" TargetMode="External"/><Relationship Id="rId986" Type="http://schemas.openxmlformats.org/officeDocument/2006/relationships/hyperlink" Target="https://tldr.tech/signup?utm_source=instagram&amp;utm_campaign=instagram-organic-profile-link&amp;utm_medium=organic-social" TargetMode="External"/><Relationship Id="rId501" Type="http://schemas.openxmlformats.org/officeDocument/2006/relationships/hyperlink" Target="https://linkin.bio/espnhonolulu" TargetMode="External"/><Relationship Id="rId985" Type="http://schemas.openxmlformats.org/officeDocument/2006/relationships/hyperlink" Target="http://downtime.substack.com" TargetMode="External"/><Relationship Id="rId500" Type="http://schemas.openxmlformats.org/officeDocument/2006/relationships/hyperlink" Target="http://visitstore.bio/espnfc" TargetMode="External"/><Relationship Id="rId984" Type="http://schemas.openxmlformats.org/officeDocument/2006/relationships/hyperlink" Target="https://linktr.ee/getdtcnewsletter" TargetMode="External"/><Relationship Id="rId507" Type="http://schemas.openxmlformats.org/officeDocument/2006/relationships/hyperlink" Target="https://stream.espn.com/" TargetMode="External"/><Relationship Id="rId506" Type="http://schemas.openxmlformats.org/officeDocument/2006/relationships/hyperlink" Target="https://www.espn.co.uk/football/story/_/id/45165487/2025-fc-100-virgil-van-dijk-best-center-backs-mens-soccer" TargetMode="External"/><Relationship Id="rId505" Type="http://schemas.openxmlformats.org/officeDocument/2006/relationships/hyperlink" Target="http://visitstore.bio/espnringside" TargetMode="External"/><Relationship Id="rId989" Type="http://schemas.openxmlformats.org/officeDocument/2006/relationships/hyperlink" Target="https://linktr.ee/newspaperclub" TargetMode="External"/><Relationship Id="rId504" Type="http://schemas.openxmlformats.org/officeDocument/2006/relationships/hyperlink" Target="https://stream.espn.com/" TargetMode="External"/><Relationship Id="rId988" Type="http://schemas.openxmlformats.org/officeDocument/2006/relationships/hyperlink" Target="https://neweralive.na/" TargetMode="External"/><Relationship Id="rId1570" Type="http://schemas.openxmlformats.org/officeDocument/2006/relationships/hyperlink" Target="https://likeshop.me/vanityfairitalia" TargetMode="External"/><Relationship Id="rId1571" Type="http://schemas.openxmlformats.org/officeDocument/2006/relationships/hyperlink" Target="https://likeshop.me/vanityfairlondon" TargetMode="External"/><Relationship Id="rId983" Type="http://schemas.openxmlformats.org/officeDocument/2006/relationships/hyperlink" Target="https://linkin.bio/newscientist" TargetMode="External"/><Relationship Id="rId1572" Type="http://schemas.openxmlformats.org/officeDocument/2006/relationships/hyperlink" Target="https://likeshop.me/vanityfairnext" TargetMode="External"/><Relationship Id="rId982" Type="http://schemas.openxmlformats.org/officeDocument/2006/relationships/hyperlink" Target="https://www.yna.co.kr/" TargetMode="External"/><Relationship Id="rId1573" Type="http://schemas.openxmlformats.org/officeDocument/2006/relationships/hyperlink" Target="http://likeshop.me/vanityfairspain/" TargetMode="External"/><Relationship Id="rId981" Type="http://schemas.openxmlformats.org/officeDocument/2006/relationships/hyperlink" Target="http://radiojamaicanewsonline.com/" TargetMode="External"/><Relationship Id="rId1574" Type="http://schemas.openxmlformats.org/officeDocument/2006/relationships/hyperlink" Target="https://www.mensvariety.com/" TargetMode="External"/><Relationship Id="rId980" Type="http://schemas.openxmlformats.org/officeDocument/2006/relationships/hyperlink" Target="https://thebruneian.news/" TargetMode="External"/><Relationship Id="rId1575" Type="http://schemas.openxmlformats.org/officeDocument/2006/relationships/hyperlink" Target="http://sundayvariety.com" TargetMode="External"/><Relationship Id="rId1565" Type="http://schemas.openxmlformats.org/officeDocument/2006/relationships/hyperlink" Target="https://smartlink.bio/usatodaytravel" TargetMode="External"/><Relationship Id="rId1566" Type="http://schemas.openxmlformats.org/officeDocument/2006/relationships/hyperlink" Target="https://likeshop.me/usweekly" TargetMode="External"/><Relationship Id="rId1567" Type="http://schemas.openxmlformats.org/officeDocument/2006/relationships/hyperlink" Target="https://linktr.ee/vanityfairlingerie" TargetMode="External"/><Relationship Id="rId1568" Type="http://schemas.openxmlformats.org/officeDocument/2006/relationships/hyperlink" Target="http://likeshop.me/vanityfair" TargetMode="External"/><Relationship Id="rId1569" Type="http://schemas.openxmlformats.org/officeDocument/2006/relationships/hyperlink" Target="https://likeshop.me/vanityfairfrance" TargetMode="External"/><Relationship Id="rId976" Type="http://schemas.openxmlformats.org/officeDocument/2006/relationships/hyperlink" Target="https://vk.com/temalebedev" TargetMode="External"/><Relationship Id="rId975" Type="http://schemas.openxmlformats.org/officeDocument/2006/relationships/hyperlink" Target="https://ktla.com/tag/featured-on-instagram/" TargetMode="External"/><Relationship Id="rId974" Type="http://schemas.openxmlformats.org/officeDocument/2006/relationships/hyperlink" Target="https://fxn.ws/46QPzba" TargetMode="External"/><Relationship Id="rId973" Type="http://schemas.openxmlformats.org/officeDocument/2006/relationships/hyperlink" Target="https://eonline.us/4cTBhWK" TargetMode="External"/><Relationship Id="rId979" Type="http://schemas.openxmlformats.org/officeDocument/2006/relationships/hyperlink" Target="https://taplink.cc/orienttm" TargetMode="External"/><Relationship Id="rId978" Type="http://schemas.openxmlformats.org/officeDocument/2006/relationships/hyperlink" Target="http://orient.tm" TargetMode="External"/><Relationship Id="rId977" Type="http://schemas.openxmlformats.org/officeDocument/2006/relationships/hyperlink" Target="https://smartlink.bio/nbcnews" TargetMode="External"/><Relationship Id="rId1560" Type="http://schemas.openxmlformats.org/officeDocument/2006/relationships/hyperlink" Target="https://linkin.bio/whatstrending" TargetMode="External"/><Relationship Id="rId972" Type="http://schemas.openxmlformats.org/officeDocument/2006/relationships/hyperlink" Target="https://linkin.bio/cnc3news" TargetMode="External"/><Relationship Id="rId1561" Type="http://schemas.openxmlformats.org/officeDocument/2006/relationships/hyperlink" Target="https://www.penguinrandomhouse.com/books/756612/upworthy---good-people-by-gabriel-reilich-lucia-knell/" TargetMode="External"/><Relationship Id="rId971" Type="http://schemas.openxmlformats.org/officeDocument/2006/relationships/hyperlink" Target="https://bbc.in/3PkPm68" TargetMode="External"/><Relationship Id="rId1562" Type="http://schemas.openxmlformats.org/officeDocument/2006/relationships/hyperlink" Target="https://smartlink.bio/usatoday" TargetMode="External"/><Relationship Id="rId970" Type="http://schemas.openxmlformats.org/officeDocument/2006/relationships/hyperlink" Target="https://bbc.in/news" TargetMode="External"/><Relationship Id="rId1563" Type="http://schemas.openxmlformats.org/officeDocument/2006/relationships/hyperlink" Target="https://smartlink.bio/usatodaylife" TargetMode="External"/><Relationship Id="rId1564" Type="http://schemas.openxmlformats.org/officeDocument/2006/relationships/hyperlink" Target="https://smartlink.bio/usatodaypolitics" TargetMode="External"/><Relationship Id="rId1114" Type="http://schemas.openxmlformats.org/officeDocument/2006/relationships/hyperlink" Target="http://cholaperiodical.com" TargetMode="External"/><Relationship Id="rId1598" Type="http://schemas.openxmlformats.org/officeDocument/2006/relationships/hyperlink" Target="https://www.youtube.com/channel/UCPtCezLThiNuuuxapcBCRDA" TargetMode="External"/><Relationship Id="rId1115" Type="http://schemas.openxmlformats.org/officeDocument/2006/relationships/hyperlink" Target="https://periodicalpowers.com" TargetMode="External"/><Relationship Id="rId1599" Type="http://schemas.openxmlformats.org/officeDocument/2006/relationships/hyperlink" Target="https://appopener.com/yt/5svbry8po" TargetMode="External"/><Relationship Id="rId1116" Type="http://schemas.openxmlformats.org/officeDocument/2006/relationships/hyperlink" Target="https://likeshop.me/pitchfork" TargetMode="External"/><Relationship Id="rId1117" Type="http://schemas.openxmlformats.org/officeDocument/2006/relationships/hyperlink" Target="https://linktr.ee/pitchforkfest" TargetMode="External"/><Relationship Id="rId1118" Type="http://schemas.openxmlformats.org/officeDocument/2006/relationships/hyperlink" Target="https://linktr.ee/pitchforkfestivalparis25" TargetMode="External"/><Relationship Id="rId1119" Type="http://schemas.openxmlformats.org/officeDocument/2006/relationships/hyperlink" Target="http://www.pitchforkranch.com/" TargetMode="External"/><Relationship Id="rId525" Type="http://schemas.openxmlformats.org/officeDocument/2006/relationships/hyperlink" Target="http://arabic.euronews.com/" TargetMode="External"/><Relationship Id="rId524" Type="http://schemas.openxmlformats.org/officeDocument/2006/relationships/hyperlink" Target="https://euronews.al/" TargetMode="External"/><Relationship Id="rId523" Type="http://schemas.openxmlformats.org/officeDocument/2006/relationships/hyperlink" Target="http://eurogamer.es" TargetMode="External"/><Relationship Id="rId522" Type="http://schemas.openxmlformats.org/officeDocument/2006/relationships/hyperlink" Target="https://linkin.bio/eurogamer_portugal" TargetMode="External"/><Relationship Id="rId529" Type="http://schemas.openxmlformats.org/officeDocument/2006/relationships/hyperlink" Target="https://euronewsgeorgia.com/" TargetMode="External"/><Relationship Id="rId528" Type="http://schemas.openxmlformats.org/officeDocument/2006/relationships/hyperlink" Target="https://l.euronews.com/actualites-en-direct" TargetMode="External"/><Relationship Id="rId527" Type="http://schemas.openxmlformats.org/officeDocument/2006/relationships/hyperlink" Target="https://l.euronews.com/ultimas-noticias" TargetMode="External"/><Relationship Id="rId526" Type="http://schemas.openxmlformats.org/officeDocument/2006/relationships/hyperlink" Target="https://l.euronews.com/aktuellste-Nachrichten" TargetMode="External"/><Relationship Id="rId1590" Type="http://schemas.openxmlformats.org/officeDocument/2006/relationships/hyperlink" Target="http://www.virality.co" TargetMode="External"/><Relationship Id="rId1591" Type="http://schemas.openxmlformats.org/officeDocument/2006/relationships/hyperlink" Target="https://apps.apple.com/app/apple-store/id6743828930?pt=127718371&amp;ct=Vitality%2520Hopecore&amp;mt=8" TargetMode="External"/><Relationship Id="rId1592" Type="http://schemas.openxmlformats.org/officeDocument/2006/relationships/hyperlink" Target="https://youtube.com/@officialrahul23?si=GCf9lt2wUd1HxhsM" TargetMode="External"/><Relationship Id="rId1593" Type="http://schemas.openxmlformats.org/officeDocument/2006/relationships/hyperlink" Target="https://linktr.ee/Amiracherie" TargetMode="External"/><Relationship Id="rId521" Type="http://schemas.openxmlformats.org/officeDocument/2006/relationships/hyperlink" Target="http://eurogamer.pt" TargetMode="External"/><Relationship Id="rId1110" Type="http://schemas.openxmlformats.org/officeDocument/2006/relationships/hyperlink" Target="https://likeshop.me/freepeople" TargetMode="External"/><Relationship Id="rId1594" Type="http://schemas.openxmlformats.org/officeDocument/2006/relationships/hyperlink" Target="https://roobet.com/?ref=bigfootvlogger" TargetMode="External"/><Relationship Id="rId520" Type="http://schemas.openxmlformats.org/officeDocument/2006/relationships/hyperlink" Target="https://sprout.link/eurogamer" TargetMode="External"/><Relationship Id="rId1111" Type="http://schemas.openxmlformats.org/officeDocument/2006/relationships/hyperlink" Target="http://tellyourpeople.com/" TargetMode="External"/><Relationship Id="rId1595" Type="http://schemas.openxmlformats.org/officeDocument/2006/relationships/hyperlink" Target="http://youtube.com/jwestbros" TargetMode="External"/><Relationship Id="rId1112" Type="http://schemas.openxmlformats.org/officeDocument/2006/relationships/hyperlink" Target="https://likeshop.me/people" TargetMode="External"/><Relationship Id="rId1596" Type="http://schemas.openxmlformats.org/officeDocument/2006/relationships/hyperlink" Target="https://youtube.com/c/MaiiaTrueStory" TargetMode="External"/><Relationship Id="rId1113" Type="http://schemas.openxmlformats.org/officeDocument/2006/relationships/hyperlink" Target="https://t.me/smile_media" TargetMode="External"/><Relationship Id="rId1597" Type="http://schemas.openxmlformats.org/officeDocument/2006/relationships/hyperlink" Target="https://appopener.com/yt/jfes3e7nl" TargetMode="External"/><Relationship Id="rId1103" Type="http://schemas.openxmlformats.org/officeDocument/2006/relationships/hyperlink" Target="http://sprout.link/pbskids/" TargetMode="External"/><Relationship Id="rId1587" Type="http://schemas.openxmlformats.org/officeDocument/2006/relationships/hyperlink" Target="http://wh.gov" TargetMode="External"/><Relationship Id="rId1104" Type="http://schemas.openxmlformats.org/officeDocument/2006/relationships/hyperlink" Target="http://sprout.link/pbssocal/" TargetMode="External"/><Relationship Id="rId1588" Type="http://schemas.openxmlformats.org/officeDocument/2006/relationships/hyperlink" Target="http://bidenlibrary.gov" TargetMode="External"/><Relationship Id="rId1105" Type="http://schemas.openxmlformats.org/officeDocument/2006/relationships/hyperlink" Target="https://linktr.ee/pbsuplementos" TargetMode="External"/><Relationship Id="rId1589" Type="http://schemas.openxmlformats.org/officeDocument/2006/relationships/hyperlink" Target="http://fb.com/sgvirality" TargetMode="External"/><Relationship Id="rId1106" Type="http://schemas.openxmlformats.org/officeDocument/2006/relationships/hyperlink" Target="https://linktr.ee/pbsuplementos" TargetMode="External"/><Relationship Id="rId1107" Type="http://schemas.openxmlformats.org/officeDocument/2006/relationships/hyperlink" Target="https://linkin.bio/pcmagdotcom" TargetMode="External"/><Relationship Id="rId1108" Type="http://schemas.openxmlformats.org/officeDocument/2006/relationships/hyperlink" Target="https://t.me/dnevnik_begleca/11" TargetMode="External"/><Relationship Id="rId1109" Type="http://schemas.openxmlformats.org/officeDocument/2006/relationships/hyperlink" Target="http://shitheadsteve.com" TargetMode="External"/><Relationship Id="rId519" Type="http://schemas.openxmlformats.org/officeDocument/2006/relationships/hyperlink" Target="https://likeshop.me/ukesquire" TargetMode="External"/><Relationship Id="rId514" Type="http://schemas.openxmlformats.org/officeDocument/2006/relationships/hyperlink" Target="https://magazines.cosmart.hk/products/esquire-sep-pre-order-leeknow-straykids?utm_source=instagram-es&amp;utm_medium=album&amp;utm_campaign=esquire-sep-2025&amp;utm_content=20250822" TargetMode="External"/><Relationship Id="rId998" Type="http://schemas.openxmlformats.org/officeDocument/2006/relationships/hyperlink" Target="http://gmail.com/" TargetMode="External"/><Relationship Id="rId513" Type="http://schemas.openxmlformats.org/officeDocument/2006/relationships/hyperlink" Target="https://linktr.ee/esquiregolf" TargetMode="External"/><Relationship Id="rId997" Type="http://schemas.openxmlformats.org/officeDocument/2006/relationships/hyperlink" Target="http://apple.co/2H7ECUA" TargetMode="External"/><Relationship Id="rId512" Type="http://schemas.openxmlformats.org/officeDocument/2006/relationships/hyperlink" Target="https://linktr.ee/esquire_fashion" TargetMode="External"/><Relationship Id="rId996" Type="http://schemas.openxmlformats.org/officeDocument/2006/relationships/hyperlink" Target="https://youtu.be/3-4nq9nQWY0" TargetMode="External"/><Relationship Id="rId511" Type="http://schemas.openxmlformats.org/officeDocument/2006/relationships/hyperlink" Target="http://mtr.bio/esquirees/725569" TargetMode="External"/><Relationship Id="rId995" Type="http://schemas.openxmlformats.org/officeDocument/2006/relationships/hyperlink" Target="https://kanaknews.com/live-streaming/" TargetMode="External"/><Relationship Id="rId518" Type="http://schemas.openxmlformats.org/officeDocument/2006/relationships/hyperlink" Target="https://linktr.ee/esquiretavernsa" TargetMode="External"/><Relationship Id="rId517" Type="http://schemas.openxmlformats.org/officeDocument/2006/relationships/hyperlink" Target="http://esquirescoffee.pk/" TargetMode="External"/><Relationship Id="rId516" Type="http://schemas.openxmlformats.org/officeDocument/2006/relationships/hyperlink" Target="https://litt.ly/esquirekorea" TargetMode="External"/><Relationship Id="rId515" Type="http://schemas.openxmlformats.org/officeDocument/2006/relationships/hyperlink" Target="https://linktr.ee/esquireindia" TargetMode="External"/><Relationship Id="rId999" Type="http://schemas.openxmlformats.org/officeDocument/2006/relationships/hyperlink" Target="http://www.newsroom.info" TargetMode="External"/><Relationship Id="rId990" Type="http://schemas.openxmlformats.org/officeDocument/2006/relationships/hyperlink" Target="http://newspapers.com" TargetMode="External"/><Relationship Id="rId1580" Type="http://schemas.openxmlformats.org/officeDocument/2006/relationships/hyperlink" Target="https://sprout.link/vice" TargetMode="External"/><Relationship Id="rId1581" Type="http://schemas.openxmlformats.org/officeDocument/2006/relationships/hyperlink" Target="https://linktr.ee/vice_de" TargetMode="External"/><Relationship Id="rId1582" Type="http://schemas.openxmlformats.org/officeDocument/2006/relationships/hyperlink" Target="https://linkin.bio/viceindia" TargetMode="External"/><Relationship Id="rId510" Type="http://schemas.openxmlformats.org/officeDocument/2006/relationships/hyperlink" Target="http://americansoulstar.com" TargetMode="External"/><Relationship Id="rId994" Type="http://schemas.openxmlformats.org/officeDocument/2006/relationships/hyperlink" Target="https://www.instagram.com/channel/AbbLiqfyMJ6yUzpL/?igsh=MWVqYmo3aDhpMGVpdg%3D%3D" TargetMode="External"/><Relationship Id="rId1583" Type="http://schemas.openxmlformats.org/officeDocument/2006/relationships/hyperlink" Target="https://lnk.bio/vicenews" TargetMode="External"/><Relationship Id="rId993" Type="http://schemas.openxmlformats.org/officeDocument/2006/relationships/hyperlink" Target="http://thenewspaper.pk" TargetMode="External"/><Relationship Id="rId1100" Type="http://schemas.openxmlformats.org/officeDocument/2006/relationships/hyperlink" Target="https://sprout.link/pbatour" TargetMode="External"/><Relationship Id="rId1584" Type="http://schemas.openxmlformats.org/officeDocument/2006/relationships/hyperlink" Target="https://linkin.bio/vicetv" TargetMode="External"/><Relationship Id="rId992" Type="http://schemas.openxmlformats.org/officeDocument/2006/relationships/hyperlink" Target="https://linktr.ee/theartnewspaper.official" TargetMode="External"/><Relationship Id="rId1101" Type="http://schemas.openxmlformats.org/officeDocument/2006/relationships/hyperlink" Target="https://linktr.ee/pbsofficial" TargetMode="External"/><Relationship Id="rId1585" Type="http://schemas.openxmlformats.org/officeDocument/2006/relationships/hyperlink" Target="https://www.vice.com/en/article/sleeve-notes-record-art-book/" TargetMode="External"/><Relationship Id="rId991" Type="http://schemas.openxmlformats.org/officeDocument/2006/relationships/hyperlink" Target="http://nwspprs.com/ig" TargetMode="External"/><Relationship Id="rId1102" Type="http://schemas.openxmlformats.org/officeDocument/2006/relationships/hyperlink" Target="https://linktr.ee/pbsdigitalstudios" TargetMode="External"/><Relationship Id="rId1586" Type="http://schemas.openxmlformats.org/officeDocument/2006/relationships/hyperlink" Target="http://wearviceversa.com/heels" TargetMode="External"/><Relationship Id="rId1532" Type="http://schemas.openxmlformats.org/officeDocument/2006/relationships/hyperlink" Target="https://tap.bio/@TorontoStar" TargetMode="External"/><Relationship Id="rId1533" Type="http://schemas.openxmlformats.org/officeDocument/2006/relationships/hyperlink" Target="https://www.youtube.com/watch?v=bI2NI_KHhp4" TargetMode="External"/><Relationship Id="rId1534" Type="http://schemas.openxmlformats.org/officeDocument/2006/relationships/hyperlink" Target="http://linktr.ee/townandcountrybridal/" TargetMode="External"/><Relationship Id="rId1535" Type="http://schemas.openxmlformats.org/officeDocument/2006/relationships/hyperlink" Target="https://linktr.ee/townandcountrylivingbrands" TargetMode="External"/><Relationship Id="rId1536" Type="http://schemas.openxmlformats.org/officeDocument/2006/relationships/hyperlink" Target="http://twnctry.co/UlxU4As" TargetMode="External"/><Relationship Id="rId1537" Type="http://schemas.openxmlformats.org/officeDocument/2006/relationships/hyperlink" Target="https://linktr.ee/townandcountryuk" TargetMode="External"/><Relationship Id="rId1538" Type="http://schemas.openxmlformats.org/officeDocument/2006/relationships/hyperlink" Target="https://www.tc.de/massivhaus.html" TargetMode="External"/><Relationship Id="rId1539" Type="http://schemas.openxmlformats.org/officeDocument/2006/relationships/hyperlink" Target="https://transcript.study/" TargetMode="External"/><Relationship Id="rId949" Type="http://schemas.openxmlformats.org/officeDocument/2006/relationships/hyperlink" Target="https://urbanoutletstores.com/products/breathewell-4-pcs" TargetMode="External"/><Relationship Id="rId948" Type="http://schemas.openxmlformats.org/officeDocument/2006/relationships/hyperlink" Target="http://beacons.ai/ioconservancy/" TargetMode="External"/><Relationship Id="rId943" Type="http://schemas.openxmlformats.org/officeDocument/2006/relationships/hyperlink" Target="https://www.natgeotv.com/tr" TargetMode="External"/><Relationship Id="rId942" Type="http://schemas.openxmlformats.org/officeDocument/2006/relationships/hyperlink" Target="http://on.natgeo.com/natgeotv" TargetMode="External"/><Relationship Id="rId941" Type="http://schemas.openxmlformats.org/officeDocument/2006/relationships/hyperlink" Target="http://on.natgeo.com/natgeotravel" TargetMode="External"/><Relationship Id="rId940" Type="http://schemas.openxmlformats.org/officeDocument/2006/relationships/hyperlink" Target="https://linkin.bio/ig-natgeonl" TargetMode="External"/><Relationship Id="rId947" Type="http://schemas.openxmlformats.org/officeDocument/2006/relationships/hyperlink" Target="https://natureismetal.com/submissions" TargetMode="External"/><Relationship Id="rId946" Type="http://schemas.openxmlformats.org/officeDocument/2006/relationships/hyperlink" Target="https://t.me/naturelover1325" TargetMode="External"/><Relationship Id="rId945" Type="http://schemas.openxmlformats.org/officeDocument/2006/relationships/hyperlink" Target="https://www.thestorche.com/products/vibratune?_pos=3&amp;_sid=e2b841d86&amp;_ss=r" TargetMode="External"/><Relationship Id="rId944" Type="http://schemas.openxmlformats.org/officeDocument/2006/relationships/hyperlink" Target="http://on.natgeo.com/natgeoyourshot" TargetMode="External"/><Relationship Id="rId1530" Type="http://schemas.openxmlformats.org/officeDocument/2006/relationships/hyperlink" Target="https://timesofindia.indiatimes.com/auto/electric-cars/electric-car-sales-tata-mg-lead-power-play-competition-knocks-at-the-gates/articleshow/117983428.cms" TargetMode="External"/><Relationship Id="rId1531" Type="http://schemas.openxmlformats.org/officeDocument/2006/relationships/hyperlink" Target="https://www.tomshw.it/" TargetMode="External"/><Relationship Id="rId1521" Type="http://schemas.openxmlformats.org/officeDocument/2006/relationships/hyperlink" Target="https://tammo.nu/agenda" TargetMode="External"/><Relationship Id="rId1522" Type="http://schemas.openxmlformats.org/officeDocument/2006/relationships/hyperlink" Target="http://nytimes.com/instagram" TargetMode="External"/><Relationship Id="rId1523" Type="http://schemas.openxmlformats.org/officeDocument/2006/relationships/hyperlink" Target="https://likeshop.me/time" TargetMode="External"/><Relationship Id="rId1524" Type="http://schemas.openxmlformats.org/officeDocument/2006/relationships/hyperlink" Target="https://marfeel.bio/timeoutlisboa/3969/17841401025914314" TargetMode="External"/><Relationship Id="rId1525" Type="http://schemas.openxmlformats.org/officeDocument/2006/relationships/hyperlink" Target="https://www.time-warp.de/tickets/" TargetMode="External"/><Relationship Id="rId1526" Type="http://schemas.openxmlformats.org/officeDocument/2006/relationships/hyperlink" Target="https://garuda-id.pssi.org/sign-up" TargetMode="External"/><Relationship Id="rId1527" Type="http://schemas.openxmlformats.org/officeDocument/2006/relationships/hyperlink" Target="https://mtr.bio/tim-wendelboe" TargetMode="External"/><Relationship Id="rId1528" Type="http://schemas.openxmlformats.org/officeDocument/2006/relationships/hyperlink" Target="http://tamil.samayam.com" TargetMode="External"/><Relationship Id="rId1529" Type="http://schemas.openxmlformats.org/officeDocument/2006/relationships/hyperlink" Target="https://youtube.com/@SamayamSeithigal" TargetMode="External"/><Relationship Id="rId939" Type="http://schemas.openxmlformats.org/officeDocument/2006/relationships/hyperlink" Target="http://dis.la/6002ADgEk" TargetMode="External"/><Relationship Id="rId938" Type="http://schemas.openxmlformats.org/officeDocument/2006/relationships/hyperlink" Target="http://natgeo.la" TargetMode="External"/><Relationship Id="rId937" Type="http://schemas.openxmlformats.org/officeDocument/2006/relationships/hyperlink" Target="http://www.nationalgeographic.it/" TargetMode="External"/><Relationship Id="rId932" Type="http://schemas.openxmlformats.org/officeDocument/2006/relationships/hyperlink" Target="https://linktr.ee/natgeoesp" TargetMode="External"/><Relationship Id="rId931" Type="http://schemas.openxmlformats.org/officeDocument/2006/relationships/hyperlink" Target="http://dis.bb/6000Oup76" TargetMode="External"/><Relationship Id="rId930" Type="http://schemas.openxmlformats.org/officeDocument/2006/relationships/hyperlink" Target="http://on.natgeo.com/natgeoanimals" TargetMode="External"/><Relationship Id="rId936" Type="http://schemas.openxmlformats.org/officeDocument/2006/relationships/hyperlink" Target="http://bit.ly/NGI-Tokopedia" TargetMode="External"/><Relationship Id="rId935" Type="http://schemas.openxmlformats.org/officeDocument/2006/relationships/hyperlink" Target="https://bit.ly/4mxtPpJ" TargetMode="External"/><Relationship Id="rId934" Type="http://schemas.openxmlformats.org/officeDocument/2006/relationships/hyperlink" Target="http://on.natgeo.com/natgeohistory" TargetMode="External"/><Relationship Id="rId933" Type="http://schemas.openxmlformats.org/officeDocument/2006/relationships/hyperlink" Target="https://www.nationalgeographic.es/programacion-television" TargetMode="External"/><Relationship Id="rId1520" Type="http://schemas.openxmlformats.org/officeDocument/2006/relationships/hyperlink" Target="https://youtube.com/channel/UCM8KgCduhidlot2d3i9uAXA" TargetMode="External"/><Relationship Id="rId1554" Type="http://schemas.openxmlformats.org/officeDocument/2006/relationships/hyperlink" Target="https://tattooedtreasure.etsy.com" TargetMode="External"/><Relationship Id="rId1555" Type="http://schemas.openxmlformats.org/officeDocument/2006/relationships/hyperlink" Target="https://discord.gg/Uw42EbMkhP" TargetMode="External"/><Relationship Id="rId1556" Type="http://schemas.openxmlformats.org/officeDocument/2006/relationships/hyperlink" Target="https://youtu.be/rg8OmSNrAQM?si=ILEVxTiY3PNhyxDN" TargetMode="External"/><Relationship Id="rId1557" Type="http://schemas.openxmlformats.org/officeDocument/2006/relationships/hyperlink" Target="https://bit.ly/3HgApRD" TargetMode="External"/><Relationship Id="rId1558" Type="http://schemas.openxmlformats.org/officeDocument/2006/relationships/hyperlink" Target="https://taplink.cc/trending_with_trina" TargetMode="External"/><Relationship Id="rId1559" Type="http://schemas.openxmlformats.org/officeDocument/2006/relationships/hyperlink" Target="https://www.facebook.com/share/1CDNeeC9nM/?mibextid=wwXIfr" TargetMode="External"/><Relationship Id="rId965" Type="http://schemas.openxmlformats.org/officeDocument/2006/relationships/hyperlink" Target="http://wahalanetwork.com" TargetMode="External"/><Relationship Id="rId964" Type="http://schemas.openxmlformats.org/officeDocument/2006/relationships/hyperlink" Target="https://likeshop.me/usanetwork" TargetMode="External"/><Relationship Id="rId963" Type="http://schemas.openxmlformats.org/officeDocument/2006/relationships/hyperlink" Target="https://judanetwork.vhx.tv/browse" TargetMode="External"/><Relationship Id="rId962" Type="http://schemas.openxmlformats.org/officeDocument/2006/relationships/hyperlink" Target="http://secnetwork.com" TargetMode="External"/><Relationship Id="rId969" Type="http://schemas.openxmlformats.org/officeDocument/2006/relationships/hyperlink" Target="https://linkin.bio/bbcbrasil" TargetMode="External"/><Relationship Id="rId968" Type="http://schemas.openxmlformats.org/officeDocument/2006/relationships/hyperlink" Target="https://t.me/ashgabattoday" TargetMode="External"/><Relationship Id="rId967" Type="http://schemas.openxmlformats.org/officeDocument/2006/relationships/hyperlink" Target="https://abcnews.go.com/social/abcnews" TargetMode="External"/><Relationship Id="rId966" Type="http://schemas.openxmlformats.org/officeDocument/2006/relationships/hyperlink" Target="https://tinyurl.com/4x356hvt" TargetMode="External"/><Relationship Id="rId961" Type="http://schemas.openxmlformats.org/officeDocument/2006/relationships/hyperlink" Target="https://linktr.ee/seafoodnetwork" TargetMode="External"/><Relationship Id="rId1550" Type="http://schemas.openxmlformats.org/officeDocument/2006/relationships/hyperlink" Target="https://stan.store/facelessempirebuilders" TargetMode="External"/><Relationship Id="rId960" Type="http://schemas.openxmlformats.org/officeDocument/2006/relationships/hyperlink" Target="http://linktr.ee/nflnetwork" TargetMode="External"/><Relationship Id="rId1551" Type="http://schemas.openxmlformats.org/officeDocument/2006/relationships/hyperlink" Target="https://linktr.ee/treandingmedia" TargetMode="External"/><Relationship Id="rId1552" Type="http://schemas.openxmlformats.org/officeDocument/2006/relationships/hyperlink" Target="http://onmbc.net/6006MM9Mg" TargetMode="External"/><Relationship Id="rId1553" Type="http://schemas.openxmlformats.org/officeDocument/2006/relationships/hyperlink" Target="https://t.me/reeltorials" TargetMode="External"/><Relationship Id="rId1543" Type="http://schemas.openxmlformats.org/officeDocument/2006/relationships/hyperlink" Target="https://travelandleisure-es.com/" TargetMode="External"/><Relationship Id="rId1544" Type="http://schemas.openxmlformats.org/officeDocument/2006/relationships/hyperlink" Target="http://visitstore.bio/go.travelandleisure.com/" TargetMode="External"/><Relationship Id="rId1545" Type="http://schemas.openxmlformats.org/officeDocument/2006/relationships/hyperlink" Target="https://linkstre.am/travelandleisureindia" TargetMode="External"/><Relationship Id="rId1546" Type="http://schemas.openxmlformats.org/officeDocument/2006/relationships/hyperlink" Target="https://linktr.ee/travelandleisure" TargetMode="External"/><Relationship Id="rId1547" Type="http://schemas.openxmlformats.org/officeDocument/2006/relationships/hyperlink" Target="https://trvlnlsr.co/3S8MRTv" TargetMode="External"/><Relationship Id="rId1548" Type="http://schemas.openxmlformats.org/officeDocument/2006/relationships/hyperlink" Target="http://travelandleisure.mx/" TargetMode="External"/><Relationship Id="rId1549" Type="http://schemas.openxmlformats.org/officeDocument/2006/relationships/hyperlink" Target="https://www.aninews.in/" TargetMode="External"/><Relationship Id="rId959" Type="http://schemas.openxmlformats.org/officeDocument/2006/relationships/hyperlink" Target="https://shop.thelacrossenetwork.com/collections/cool-down-collection" TargetMode="External"/><Relationship Id="rId954" Type="http://schemas.openxmlformats.org/officeDocument/2006/relationships/hyperlink" Target="http://nbcnews.com/now/" TargetMode="External"/><Relationship Id="rId953" Type="http://schemas.openxmlformats.org/officeDocument/2006/relationships/hyperlink" Target="https://www.nbcnews.com/specials/sex-assault-convictions/" TargetMode="External"/><Relationship Id="rId952" Type="http://schemas.openxmlformats.org/officeDocument/2006/relationships/hyperlink" Target="https://smartlink.bio/nbcnews" TargetMode="External"/><Relationship Id="rId951" Type="http://schemas.openxmlformats.org/officeDocument/2006/relationships/hyperlink" Target="https://smartlink.bio/nbclatino" TargetMode="External"/><Relationship Id="rId958" Type="http://schemas.openxmlformats.org/officeDocument/2006/relationships/hyperlink" Target="https://foodtv.com/linkinbio" TargetMode="External"/><Relationship Id="rId957" Type="http://schemas.openxmlformats.org/officeDocument/2006/relationships/hyperlink" Target="https://linkin.bio/cartoonnetworkofficial" TargetMode="External"/><Relationship Id="rId956" Type="http://schemas.openxmlformats.org/officeDocument/2006/relationships/hyperlink" Target="https://linkin.bio/nbcnewsthink" TargetMode="External"/><Relationship Id="rId955" Type="http://schemas.openxmlformats.org/officeDocument/2006/relationships/hyperlink" Target="https://www.nbcnews.com/science" TargetMode="External"/><Relationship Id="rId950" Type="http://schemas.openxmlformats.org/officeDocument/2006/relationships/hyperlink" Target="https://shorturl.at/B2pHF" TargetMode="External"/><Relationship Id="rId1540" Type="http://schemas.openxmlformats.org/officeDocument/2006/relationships/hyperlink" Target="http://www.wasap.my/60174474366/travel/" TargetMode="External"/><Relationship Id="rId1541" Type="http://schemas.openxmlformats.org/officeDocument/2006/relationships/hyperlink" Target="https://likeshop.me/travelandleisure/" TargetMode="External"/><Relationship Id="rId1542" Type="http://schemas.openxmlformats.org/officeDocument/2006/relationships/hyperlink" Target="https://linkin.bio/travelleisureasia" TargetMode="External"/><Relationship Id="rId590" Type="http://schemas.openxmlformats.org/officeDocument/2006/relationships/hyperlink" Target="https://allmylinks.com/katieforbes" TargetMode="External"/><Relationship Id="rId107" Type="http://schemas.openxmlformats.org/officeDocument/2006/relationships/hyperlink" Target="https://youtu.be/od1PMZJ8bRk?si=mTalljGsubRREgtn" TargetMode="External"/><Relationship Id="rId106" Type="http://schemas.openxmlformats.org/officeDocument/2006/relationships/hyperlink" Target="https://bleacherreport.com/articles/25240335-2026-nba-mock-draft-college-basketball-returns" TargetMode="External"/><Relationship Id="rId105" Type="http://schemas.openxmlformats.org/officeDocument/2006/relationships/hyperlink" Target="http://bit.ly/3UWyHbS" TargetMode="External"/><Relationship Id="rId589" Type="http://schemas.openxmlformats.org/officeDocument/2006/relationships/hyperlink" Target="http://on.forbes.com/fwlinkinbio" TargetMode="External"/><Relationship Id="rId104" Type="http://schemas.openxmlformats.org/officeDocument/2006/relationships/hyperlink" Target="https://bitly.cx/bJsq" TargetMode="External"/><Relationship Id="rId588" Type="http://schemas.openxmlformats.org/officeDocument/2006/relationships/hyperlink" Target="https://t.me/ForbesWomanRussia" TargetMode="External"/><Relationship Id="rId109" Type="http://schemas.openxmlformats.org/officeDocument/2006/relationships/hyperlink" Target="https://www.popflexactive.com/products/pirouette-skort-with-pockets-digital-lavender" TargetMode="External"/><Relationship Id="rId1170" Type="http://schemas.openxmlformats.org/officeDocument/2006/relationships/hyperlink" Target="https://wapo.st/ig" TargetMode="External"/><Relationship Id="rId108" Type="http://schemas.openxmlformats.org/officeDocument/2006/relationships/hyperlink" Target="https://www.tiktok.com/t/ZTRNvQuW1/" TargetMode="External"/><Relationship Id="rId1171" Type="http://schemas.openxmlformats.org/officeDocument/2006/relationships/hyperlink" Target="http://www.fitelit.com/" TargetMode="External"/><Relationship Id="rId583" Type="http://schemas.openxmlformats.org/officeDocument/2006/relationships/hyperlink" Target="http://forbes.fr" TargetMode="External"/><Relationship Id="rId1172" Type="http://schemas.openxmlformats.org/officeDocument/2006/relationships/hyperlink" Target="https://www.tiktok.com/@itsjustttjoy?_t=ZN-8v4Z54iJGEA&amp;_r=1" TargetMode="External"/><Relationship Id="rId582" Type="http://schemas.openxmlformats.org/officeDocument/2006/relationships/hyperlink" Target="https://linkin.bio/forbesbr" TargetMode="External"/><Relationship Id="rId1173" Type="http://schemas.openxmlformats.org/officeDocument/2006/relationships/hyperlink" Target="http://thelittlemissgifted.com" TargetMode="External"/><Relationship Id="rId581" Type="http://schemas.openxmlformats.org/officeDocument/2006/relationships/hyperlink" Target="https://zez.am/forbesat" TargetMode="External"/><Relationship Id="rId1174" Type="http://schemas.openxmlformats.org/officeDocument/2006/relationships/hyperlink" Target="https://www.pay4sub.com/b/alitradeske" TargetMode="External"/><Relationship Id="rId580" Type="http://schemas.openxmlformats.org/officeDocument/2006/relationships/hyperlink" Target="http://on.forbes.com/linkinbio" TargetMode="External"/><Relationship Id="rId1175" Type="http://schemas.openxmlformats.org/officeDocument/2006/relationships/hyperlink" Target="https://youtu.be/JSJTqMlxJhU" TargetMode="External"/><Relationship Id="rId103" Type="http://schemas.openxmlformats.org/officeDocument/2006/relationships/hyperlink" Target="http://billboardphilippines.com" TargetMode="External"/><Relationship Id="rId587" Type="http://schemas.openxmlformats.org/officeDocument/2006/relationships/hyperlink" Target="https://linktr.ee/forbesru" TargetMode="External"/><Relationship Id="rId1176" Type="http://schemas.openxmlformats.org/officeDocument/2006/relationships/hyperlink" Target="https://www.youtube.com/@presenternoah" TargetMode="External"/><Relationship Id="rId102" Type="http://schemas.openxmlformats.org/officeDocument/2006/relationships/hyperlink" Target="https://linkin.bio/billboardlatin" TargetMode="External"/><Relationship Id="rId586" Type="http://schemas.openxmlformats.org/officeDocument/2006/relationships/hyperlink" Target="https://linkin.bio/forbespt" TargetMode="External"/><Relationship Id="rId1177" Type="http://schemas.openxmlformats.org/officeDocument/2006/relationships/hyperlink" Target="https://ameliyasafaris.com/luxury-safaris/safari-itineraries/" TargetMode="External"/><Relationship Id="rId101" Type="http://schemas.openxmlformats.org/officeDocument/2006/relationships/hyperlink" Target="https://youtu.be/l_ieYvpdMuU?si=D_G1jCcx8t8QY2wn" TargetMode="External"/><Relationship Id="rId585" Type="http://schemas.openxmlformats.org/officeDocument/2006/relationships/hyperlink" Target="https://t.me/ForbesLifeRussia" TargetMode="External"/><Relationship Id="rId1178" Type="http://schemas.openxmlformats.org/officeDocument/2006/relationships/hyperlink" Target="https://m.youtube.com/@TrustinRock/videos" TargetMode="External"/><Relationship Id="rId100" Type="http://schemas.openxmlformats.org/officeDocument/2006/relationships/hyperlink" Target="http://linkin.bio/billboardhiphop" TargetMode="External"/><Relationship Id="rId584" Type="http://schemas.openxmlformats.org/officeDocument/2006/relationships/hyperlink" Target="https://youtu.be/7shStPYtH40" TargetMode="External"/><Relationship Id="rId1179" Type="http://schemas.openxmlformats.org/officeDocument/2006/relationships/hyperlink" Target="http://t.me/aqorda_resmi" TargetMode="External"/><Relationship Id="rId1169" Type="http://schemas.openxmlformats.org/officeDocument/2006/relationships/hyperlink" Target="http://www.t-post.com/" TargetMode="External"/><Relationship Id="rId579" Type="http://schemas.openxmlformats.org/officeDocument/2006/relationships/hyperlink" Target="https://rumble.com/v2352h0-things-go-left.html" TargetMode="External"/><Relationship Id="rId578" Type="http://schemas.openxmlformats.org/officeDocument/2006/relationships/hyperlink" Target="https://www.fandango.com/run-2025-239138/movie-overview" TargetMode="External"/><Relationship Id="rId577" Type="http://schemas.openxmlformats.org/officeDocument/2006/relationships/hyperlink" Target="https://linktr.ee/finalfootage" TargetMode="External"/><Relationship Id="rId1160" Type="http://schemas.openxmlformats.org/officeDocument/2006/relationships/hyperlink" Target="https://linktr.ee/portalmpa" TargetMode="External"/><Relationship Id="rId572" Type="http://schemas.openxmlformats.org/officeDocument/2006/relationships/hyperlink" Target="https://foodtv.com/FNKlinkinbio" TargetMode="External"/><Relationship Id="rId1161" Type="http://schemas.openxmlformats.org/officeDocument/2006/relationships/hyperlink" Target="https://linkin.bio/portalr7" TargetMode="External"/><Relationship Id="rId571" Type="http://schemas.openxmlformats.org/officeDocument/2006/relationships/hyperlink" Target="https://foodnetwork.it/" TargetMode="External"/><Relationship Id="rId1162" Type="http://schemas.openxmlformats.org/officeDocument/2006/relationships/hyperlink" Target="https://lnk.bio/portalraizes" TargetMode="External"/><Relationship Id="rId570" Type="http://schemas.openxmlformats.org/officeDocument/2006/relationships/hyperlink" Target="https://www.discoveryplus.com/br/" TargetMode="External"/><Relationship Id="rId1163" Type="http://schemas.openxmlformats.org/officeDocument/2006/relationships/hyperlink" Target="http://linktr.ee/ilpost/" TargetMode="External"/><Relationship Id="rId1164" Type="http://schemas.openxmlformats.org/officeDocument/2006/relationships/hyperlink" Target="https://postmalone.lnk.to/shop" TargetMode="External"/><Relationship Id="rId576" Type="http://schemas.openxmlformats.org/officeDocument/2006/relationships/hyperlink" Target="http://sprout.link/foodnetworkuk" TargetMode="External"/><Relationship Id="rId1165" Type="http://schemas.openxmlformats.org/officeDocument/2006/relationships/hyperlink" Target="https://postmeridiem-brand.com/catalog/new/" TargetMode="External"/><Relationship Id="rId575" Type="http://schemas.openxmlformats.org/officeDocument/2006/relationships/hyperlink" Target="https://www.threads.net/@foodnetworkng" TargetMode="External"/><Relationship Id="rId1166" Type="http://schemas.openxmlformats.org/officeDocument/2006/relationships/hyperlink" Target="https://wapo.st/politicsig" TargetMode="External"/><Relationship Id="rId574" Type="http://schemas.openxmlformats.org/officeDocument/2006/relationships/hyperlink" Target="http://likeshop.me/foodnetworkmag/" TargetMode="External"/><Relationship Id="rId1167" Type="http://schemas.openxmlformats.org/officeDocument/2006/relationships/hyperlink" Target="https://linktr.ee/postunited_links" TargetMode="External"/><Relationship Id="rId573" Type="http://schemas.openxmlformats.org/officeDocument/2006/relationships/hyperlink" Target="http://tudiscovery.com/foodnetwork" TargetMode="External"/><Relationship Id="rId1168" Type="http://schemas.openxmlformats.org/officeDocument/2006/relationships/hyperlink" Target="https://post-post-scriptum.com" TargetMode="External"/><Relationship Id="rId129" Type="http://schemas.openxmlformats.org/officeDocument/2006/relationships/hyperlink" Target="https://smartlink.bio/bloomberggreen" TargetMode="External"/><Relationship Id="rId128" Type="http://schemas.openxmlformats.org/officeDocument/2006/relationships/hyperlink" Target="https://linkin.bio/bloombergdotorg" TargetMode="External"/><Relationship Id="rId127" Type="http://schemas.openxmlformats.org/officeDocument/2006/relationships/hyperlink" Target="https://smartlink.bio/bloombergbusiness" TargetMode="External"/><Relationship Id="rId126" Type="http://schemas.openxmlformats.org/officeDocument/2006/relationships/hyperlink" Target="https://linktr.ee/BloombergArcade" TargetMode="External"/><Relationship Id="rId1190" Type="http://schemas.openxmlformats.org/officeDocument/2006/relationships/hyperlink" Target="https://linktr.ee/pycodebr" TargetMode="External"/><Relationship Id="rId1191" Type="http://schemas.openxmlformats.org/officeDocument/2006/relationships/hyperlink" Target="https://linktr.ee/prweek" TargetMode="External"/><Relationship Id="rId1192" Type="http://schemas.openxmlformats.org/officeDocument/2006/relationships/hyperlink" Target="https://www.abrahamnow.com/links" TargetMode="External"/><Relationship Id="rId1193" Type="http://schemas.openxmlformats.org/officeDocument/2006/relationships/hyperlink" Target="https://www.ticketsms.it/collection/eamggpfT" TargetMode="External"/><Relationship Id="rId121" Type="http://schemas.openxmlformats.org/officeDocument/2006/relationships/hyperlink" Target="https://stan.store/MoneySavvymum" TargetMode="External"/><Relationship Id="rId1194" Type="http://schemas.openxmlformats.org/officeDocument/2006/relationships/hyperlink" Target="https://linktr.ee/rcpublication" TargetMode="External"/><Relationship Id="rId120" Type="http://schemas.openxmlformats.org/officeDocument/2006/relationships/hyperlink" Target="https://bio.site/iamlonni" TargetMode="External"/><Relationship Id="rId1195" Type="http://schemas.openxmlformats.org/officeDocument/2006/relationships/hyperlink" Target="https://linktr.ee/Bookspotpublishers" TargetMode="External"/><Relationship Id="rId1196" Type="http://schemas.openxmlformats.org/officeDocument/2006/relationships/hyperlink" Target="https://linktr.ee/thisisglamorous" TargetMode="External"/><Relationship Id="rId1197" Type="http://schemas.openxmlformats.org/officeDocument/2006/relationships/hyperlink" Target="http://shop.un.org/" TargetMode="External"/><Relationship Id="rId125" Type="http://schemas.openxmlformats.org/officeDocument/2006/relationships/hyperlink" Target="https://linktr.ee/Wheretogo_by_hiba" TargetMode="External"/><Relationship Id="rId1198" Type="http://schemas.openxmlformats.org/officeDocument/2006/relationships/hyperlink" Target="https://blueroseone.com/publish/wordsbrew/" TargetMode="External"/><Relationship Id="rId124" Type="http://schemas.openxmlformats.org/officeDocument/2006/relationships/hyperlink" Target="https://thriftylondoner.com/instagram" TargetMode="External"/><Relationship Id="rId1199" Type="http://schemas.openxmlformats.org/officeDocument/2006/relationships/hyperlink" Target="https://linktr.ee/macmillanreads" TargetMode="External"/><Relationship Id="rId123" Type="http://schemas.openxmlformats.org/officeDocument/2006/relationships/hyperlink" Target="https://linktr.ee/thebeninblogger" TargetMode="External"/><Relationship Id="rId122" Type="http://schemas.openxmlformats.org/officeDocument/2006/relationships/hyperlink" Target="https://study.joydigital.co.il/shir/" TargetMode="External"/><Relationship Id="rId118" Type="http://schemas.openxmlformats.org/officeDocument/2006/relationships/hyperlink" Target="https://lnk.bio/foodbymaria" TargetMode="External"/><Relationship Id="rId117" Type="http://schemas.openxmlformats.org/officeDocument/2006/relationships/hyperlink" Target="https://api.whatsapp.com/send/?phone=9720524697808" TargetMode="External"/><Relationship Id="rId116" Type="http://schemas.openxmlformats.org/officeDocument/2006/relationships/hyperlink" Target="https://www.tiktok.com/@worship_blog" TargetMode="External"/><Relationship Id="rId115" Type="http://schemas.openxmlformats.org/officeDocument/2006/relationships/hyperlink" Target="https://www.tiktok.com/@stay_beauty_?_t=ZN-8uAFtSCwLji&amp;_r=1" TargetMode="External"/><Relationship Id="rId599" Type="http://schemas.openxmlformats.org/officeDocument/2006/relationships/hyperlink" Target="https://stan.store/Fortuneflipss" TargetMode="External"/><Relationship Id="rId1180" Type="http://schemas.openxmlformats.org/officeDocument/2006/relationships/hyperlink" Target="https://linkme.bio/pressgastronomia" TargetMode="External"/><Relationship Id="rId1181" Type="http://schemas.openxmlformats.org/officeDocument/2006/relationships/hyperlink" Target="https://stem.ffm.to/undo" TargetMode="External"/><Relationship Id="rId119" Type="http://schemas.openxmlformats.org/officeDocument/2006/relationships/hyperlink" Target="https://www.tiktok.com/@galhahamov?_t=8XiRWENX0eg&amp;_r=1" TargetMode="External"/><Relationship Id="rId1182" Type="http://schemas.openxmlformats.org/officeDocument/2006/relationships/hyperlink" Target="http://bio.site/pressbooks" TargetMode="External"/><Relationship Id="rId110" Type="http://schemas.openxmlformats.org/officeDocument/2006/relationships/hyperlink" Target="https://youtube.com/@blogueirinha" TargetMode="External"/><Relationship Id="rId594" Type="http://schemas.openxmlformats.org/officeDocument/2006/relationships/hyperlink" Target="http://foreignpolicy.design" TargetMode="External"/><Relationship Id="rId1183" Type="http://schemas.openxmlformats.org/officeDocument/2006/relationships/hyperlink" Target="https://buff.ly/mChf8qR" TargetMode="External"/><Relationship Id="rId593" Type="http://schemas.openxmlformats.org/officeDocument/2006/relationships/hyperlink" Target="http://www.minaffet.gov.rw/" TargetMode="External"/><Relationship Id="rId1184" Type="http://schemas.openxmlformats.org/officeDocument/2006/relationships/hyperlink" Target="http://producthunters.club/new" TargetMode="External"/><Relationship Id="rId592" Type="http://schemas.openxmlformats.org/officeDocument/2006/relationships/hyperlink" Target="https://sprout.link/foreignaffairsmag" TargetMode="External"/><Relationship Id="rId1185" Type="http://schemas.openxmlformats.org/officeDocument/2006/relationships/hyperlink" Target="https://bit.ly/MadMuscles_app" TargetMode="External"/><Relationship Id="rId591" Type="http://schemas.openxmlformats.org/officeDocument/2006/relationships/hyperlink" Target="https://www.shopltk.com/explore/Sorrell.Forbes" TargetMode="External"/><Relationship Id="rId1186" Type="http://schemas.openxmlformats.org/officeDocument/2006/relationships/hyperlink" Target="https://www.sbt.com.br/auditorio/programa-silvio-santos" TargetMode="External"/><Relationship Id="rId114" Type="http://schemas.openxmlformats.org/officeDocument/2006/relationships/hyperlink" Target="https://youtube.com/@mama_blog1966?si=-h-QPdg56JJL5QIu" TargetMode="External"/><Relationship Id="rId598" Type="http://schemas.openxmlformats.org/officeDocument/2006/relationships/hyperlink" Target="http://one37pm.com/grind" TargetMode="External"/><Relationship Id="rId1187" Type="http://schemas.openxmlformats.org/officeDocument/2006/relationships/hyperlink" Target="http://televisa.com/hoy" TargetMode="External"/><Relationship Id="rId113" Type="http://schemas.openxmlformats.org/officeDocument/2006/relationships/hyperlink" Target="https://linktr.ee/Probandobilbao" TargetMode="External"/><Relationship Id="rId597" Type="http://schemas.openxmlformats.org/officeDocument/2006/relationships/hyperlink" Target="https://www.fortunebarishalsports.com/" TargetMode="External"/><Relationship Id="rId1188" Type="http://schemas.openxmlformats.org/officeDocument/2006/relationships/hyperlink" Target="https://whatsapp.com/channel/0029VaeCbOCDjiOZ3gtYeh3R" TargetMode="External"/><Relationship Id="rId112" Type="http://schemas.openxmlformats.org/officeDocument/2006/relationships/hyperlink" Target="http://instagram.com/menslux_journal" TargetMode="External"/><Relationship Id="rId596" Type="http://schemas.openxmlformats.org/officeDocument/2006/relationships/hyperlink" Target="http://linktr.ee/FPCINDO" TargetMode="External"/><Relationship Id="rId1189" Type="http://schemas.openxmlformats.org/officeDocument/2006/relationships/hyperlink" Target="https://linktr.ee/playbt" TargetMode="External"/><Relationship Id="rId111" Type="http://schemas.openxmlformats.org/officeDocument/2006/relationships/hyperlink" Target="https://msha.ke/yazidrizkiramadhan" TargetMode="External"/><Relationship Id="rId595" Type="http://schemas.openxmlformats.org/officeDocument/2006/relationships/hyperlink" Target="https://linkin.bio/foreignpolicymag" TargetMode="External"/><Relationship Id="rId1136" Type="http://schemas.openxmlformats.org/officeDocument/2006/relationships/hyperlink" Target="https://linktr.ee/poddelas" TargetMode="External"/><Relationship Id="rId1137" Type="http://schemas.openxmlformats.org/officeDocument/2006/relationships/hyperlink" Target="https://www.ticketmaster.com/se-regalan-dudas-tickets/artist/2854501?list_view=1%2523shows%253D" TargetMode="External"/><Relationship Id="rId1138" Type="http://schemas.openxmlformats.org/officeDocument/2006/relationships/hyperlink" Target="http://shxtsngigs.komi.io/" TargetMode="External"/><Relationship Id="rId1139" Type="http://schemas.openxmlformats.org/officeDocument/2006/relationships/hyperlink" Target="https://www.talkvillepodcast.com/show" TargetMode="External"/><Relationship Id="rId547" Type="http://schemas.openxmlformats.org/officeDocument/2006/relationships/hyperlink" Target="http://fashionist.ar" TargetMode="External"/><Relationship Id="rId546" Type="http://schemas.openxmlformats.org/officeDocument/2006/relationships/hyperlink" Target="https://t.me/fashionistaladiesclub" TargetMode="External"/><Relationship Id="rId545" Type="http://schemas.openxmlformats.org/officeDocument/2006/relationships/hyperlink" Target="http://www.facebook.com/fashion10t/" TargetMode="External"/><Relationship Id="rId544" Type="http://schemas.openxmlformats.org/officeDocument/2006/relationships/hyperlink" Target="https://linkin.bio/fashionista_com" TargetMode="External"/><Relationship Id="rId549" Type="http://schemas.openxmlformats.org/officeDocument/2006/relationships/hyperlink" Target="https://fashionista.ua/381-spring-25" TargetMode="External"/><Relationship Id="rId548" Type="http://schemas.openxmlformats.org/officeDocument/2006/relationships/hyperlink" Target="https://linktab.co/clessebel" TargetMode="External"/><Relationship Id="rId1130" Type="http://schemas.openxmlformats.org/officeDocument/2006/relationships/hyperlink" Target="https://linktr.ee/theplatformstudios" TargetMode="External"/><Relationship Id="rId1131" Type="http://schemas.openxmlformats.org/officeDocument/2006/relationships/hyperlink" Target="https://open.spotify.com/episode/2QYkGGJa8ZcDVw1UhdVDKL?si=7KQDdVsxQju9iwJsxGoLuw" TargetMode="External"/><Relationship Id="rId543" Type="http://schemas.openxmlformats.org/officeDocument/2006/relationships/hyperlink" Target="https://ukfactcheck.com/donation" TargetMode="External"/><Relationship Id="rId1132" Type="http://schemas.openxmlformats.org/officeDocument/2006/relationships/hyperlink" Target="http://themorningmeetup.com" TargetMode="External"/><Relationship Id="rId542" Type="http://schemas.openxmlformats.org/officeDocument/2006/relationships/hyperlink" Target="http://sprout.link/factcheckorg" TargetMode="External"/><Relationship Id="rId1133" Type="http://schemas.openxmlformats.org/officeDocument/2006/relationships/hyperlink" Target="https://linktr.ee/inbedstudio" TargetMode="External"/><Relationship Id="rId541" Type="http://schemas.openxmlformats.org/officeDocument/2006/relationships/hyperlink" Target="http://factcheck.org" TargetMode="External"/><Relationship Id="rId1134" Type="http://schemas.openxmlformats.org/officeDocument/2006/relationships/hyperlink" Target="http://www.lasalucines.com" TargetMode="External"/><Relationship Id="rId540" Type="http://schemas.openxmlformats.org/officeDocument/2006/relationships/hyperlink" Target="https://t.me/FactCheckAPGov" TargetMode="External"/><Relationship Id="rId1135" Type="http://schemas.openxmlformats.org/officeDocument/2006/relationships/hyperlink" Target="https://linktr.ee/podcastwithmacg" TargetMode="External"/><Relationship Id="rId1125" Type="http://schemas.openxmlformats.org/officeDocument/2006/relationships/hyperlink" Target="https://www.dawahgram.com/signup/nGxMD1" TargetMode="External"/><Relationship Id="rId1126" Type="http://schemas.openxmlformats.org/officeDocument/2006/relationships/hyperlink" Target="http://platformart.com" TargetMode="External"/><Relationship Id="rId1127" Type="http://schemas.openxmlformats.org/officeDocument/2006/relationships/hyperlink" Target="https://platformbeer.co/" TargetMode="External"/><Relationship Id="rId1128" Type="http://schemas.openxmlformats.org/officeDocument/2006/relationships/hyperlink" Target="https://platformlosangeles.com/" TargetMode="External"/><Relationship Id="rId1129" Type="http://schemas.openxmlformats.org/officeDocument/2006/relationships/hyperlink" Target="https://linktr.ee/shapeplatform" TargetMode="External"/><Relationship Id="rId536" Type="http://schemas.openxmlformats.org/officeDocument/2006/relationships/hyperlink" Target="http://www.goddess-exclusive.com/" TargetMode="External"/><Relationship Id="rId535" Type="http://schemas.openxmlformats.org/officeDocument/2006/relationships/hyperlink" Target="https://www.amazon.com/baby-reg/exclusive-kee-october-2025-louisville/35ZWG0TA1ROVL" TargetMode="External"/><Relationship Id="rId534" Type="http://schemas.openxmlformats.org/officeDocument/2006/relationships/hyperlink" Target="https://linkin.bio/euronews-tv" TargetMode="External"/><Relationship Id="rId533" Type="http://schemas.openxmlformats.org/officeDocument/2006/relationships/hyperlink" Target="http://euronews.tv" TargetMode="External"/><Relationship Id="rId539" Type="http://schemas.openxmlformats.org/officeDocument/2006/relationships/hyperlink" Target="http://factcheck.ap.gov.in" TargetMode="External"/><Relationship Id="rId538" Type="http://schemas.openxmlformats.org/officeDocument/2006/relationships/hyperlink" Target="https://youtu.be/4Ygz5T5osN8" TargetMode="External"/><Relationship Id="rId537" Type="http://schemas.openxmlformats.org/officeDocument/2006/relationships/hyperlink" Target="http://www.mrexclusiveart.com" TargetMode="External"/><Relationship Id="rId1120" Type="http://schemas.openxmlformats.org/officeDocument/2006/relationships/hyperlink" Target="https://open.spotify.com/user/1166995924?si=BDEsZ5oGT2OB70_8YDsyPw&amp;utm_source=copy-link" TargetMode="External"/><Relationship Id="rId532" Type="http://schemas.openxmlformats.org/officeDocument/2006/relationships/hyperlink" Target="https://l.euronews.com/Son-Haberler" TargetMode="External"/><Relationship Id="rId1121" Type="http://schemas.openxmlformats.org/officeDocument/2006/relationships/hyperlink" Target="https://nebulaapp.onelink.me/AaEA/i9rbmn6m" TargetMode="External"/><Relationship Id="rId531" Type="http://schemas.openxmlformats.org/officeDocument/2006/relationships/hyperlink" Target="https://l.euronews.com/Euronews-Russian" TargetMode="External"/><Relationship Id="rId1122" Type="http://schemas.openxmlformats.org/officeDocument/2006/relationships/hyperlink" Target="https://media.eyesplatform.com/sale40" TargetMode="External"/><Relationship Id="rId530" Type="http://schemas.openxmlformats.org/officeDocument/2006/relationships/hyperlink" Target="https://l.euronews.com/latest-news" TargetMode="External"/><Relationship Id="rId1123" Type="http://schemas.openxmlformats.org/officeDocument/2006/relationships/hyperlink" Target="https://maps.app.goo.gl/Yf6o7qVFsAAwmP4S9?g_st=com.google.maps.preview.copy" TargetMode="External"/><Relationship Id="rId1124" Type="http://schemas.openxmlformats.org/officeDocument/2006/relationships/hyperlink" Target="http://fshnista.com" TargetMode="External"/><Relationship Id="rId1158" Type="http://schemas.openxmlformats.org/officeDocument/2006/relationships/hyperlink" Target="https://portalleodias.com" TargetMode="External"/><Relationship Id="rId1159" Type="http://schemas.openxmlformats.org/officeDocument/2006/relationships/hyperlink" Target="http://mistyco.com.br/" TargetMode="External"/><Relationship Id="rId569" Type="http://schemas.openxmlformats.org/officeDocument/2006/relationships/hyperlink" Target="http://www.foodnetworkasia.com" TargetMode="External"/><Relationship Id="rId568" Type="http://schemas.openxmlformats.org/officeDocument/2006/relationships/hyperlink" Target="https://foodtv.com/linkinbio" TargetMode="External"/><Relationship Id="rId567" Type="http://schemas.openxmlformats.org/officeDocument/2006/relationships/hyperlink" Target="https://linkin.bio/ft_houseandhome" TargetMode="External"/><Relationship Id="rId566" Type="http://schemas.openxmlformats.org/officeDocument/2006/relationships/hyperlink" Target="http://sprout.link/financialtimeslive/" TargetMode="External"/><Relationship Id="rId561" Type="http://schemas.openxmlformats.org/officeDocument/2006/relationships/hyperlink" Target="https://linktr.ee/2019hkfeature" TargetMode="External"/><Relationship Id="rId1150" Type="http://schemas.openxmlformats.org/officeDocument/2006/relationships/hyperlink" Target="http://www.politico.eu/instagram/" TargetMode="External"/><Relationship Id="rId560" Type="http://schemas.openxmlformats.org/officeDocument/2006/relationships/hyperlink" Target="http://linkin.bio/focusfeatures" TargetMode="External"/><Relationship Id="rId1151" Type="http://schemas.openxmlformats.org/officeDocument/2006/relationships/hyperlink" Target="https://linktr.ee/politico_joe" TargetMode="External"/><Relationship Id="rId1152" Type="http://schemas.openxmlformats.org/officeDocument/2006/relationships/hyperlink" Target="https://ow.ly/qImw50WKx52" TargetMode="External"/><Relationship Id="rId1153" Type="http://schemas.openxmlformats.org/officeDocument/2006/relationships/hyperlink" Target="https://www.politico.mx/" TargetMode="External"/><Relationship Id="rId565" Type="http://schemas.openxmlformats.org/officeDocument/2006/relationships/hyperlink" Target="http://linkin.bio/financialtimesfashion" TargetMode="External"/><Relationship Id="rId1154" Type="http://schemas.openxmlformats.org/officeDocument/2006/relationships/hyperlink" Target="https://youtube.com/@politicon" TargetMode="External"/><Relationship Id="rId564" Type="http://schemas.openxmlformats.org/officeDocument/2006/relationships/hyperlink" Target="https://linkin.bio/financialtimes" TargetMode="External"/><Relationship Id="rId1155" Type="http://schemas.openxmlformats.org/officeDocument/2006/relationships/hyperlink" Target="http://linktr.ee/rankingdospoliticos" TargetMode="External"/><Relationship Id="rId563" Type="http://schemas.openxmlformats.org/officeDocument/2006/relationships/hyperlink" Target="https://www.filmcomment.com/" TargetMode="External"/><Relationship Id="rId1156" Type="http://schemas.openxmlformats.org/officeDocument/2006/relationships/hyperlink" Target="https://smartlink.bio/polygondotcom" TargetMode="External"/><Relationship Id="rId562" Type="http://schemas.openxmlformats.org/officeDocument/2006/relationships/hyperlink" Target="http://www.international-feature.com/" TargetMode="External"/><Relationship Id="rId1157" Type="http://schemas.openxmlformats.org/officeDocument/2006/relationships/hyperlink" Target="https://linktr.ee/portal6" TargetMode="External"/><Relationship Id="rId1147" Type="http://schemas.openxmlformats.org/officeDocument/2006/relationships/hyperlink" Target="https://linktr.ee/tuamigapsicologaa" TargetMode="External"/><Relationship Id="rId1148" Type="http://schemas.openxmlformats.org/officeDocument/2006/relationships/hyperlink" Target="https://linktr.ee/Torriejarrett" TargetMode="External"/><Relationship Id="rId1149" Type="http://schemas.openxmlformats.org/officeDocument/2006/relationships/hyperlink" Target="http://politico.com/instagram" TargetMode="External"/><Relationship Id="rId558" Type="http://schemas.openxmlformats.org/officeDocument/2006/relationships/hyperlink" Target="https://anarchyautocare.com/" TargetMode="External"/><Relationship Id="rId557" Type="http://schemas.openxmlformats.org/officeDocument/2006/relationships/hyperlink" Target="http://feature.com" TargetMode="External"/><Relationship Id="rId556" Type="http://schemas.openxmlformats.org/officeDocument/2006/relationships/hyperlink" Target="http://www.instagram.com/bestnatureshot" TargetMode="External"/><Relationship Id="rId555" Type="http://schemas.openxmlformats.org/officeDocument/2006/relationships/hyperlink" Target="https://thewealthysage.com/" TargetMode="External"/><Relationship Id="rId559" Type="http://schemas.openxmlformats.org/officeDocument/2006/relationships/hyperlink" Target="http://www.linktr.ee/feature_shoot" TargetMode="External"/><Relationship Id="rId550" Type="http://schemas.openxmlformats.org/officeDocument/2006/relationships/hyperlink" Target="http://reassemblednyc.shop" TargetMode="External"/><Relationship Id="rId1140" Type="http://schemas.openxmlformats.org/officeDocument/2006/relationships/hyperlink" Target="http://spotify.link/U91ntjdbQDb" TargetMode="External"/><Relationship Id="rId1141" Type="http://schemas.openxmlformats.org/officeDocument/2006/relationships/hyperlink" Target="https://linktr.ee/thepivot" TargetMode="External"/><Relationship Id="rId1142" Type="http://schemas.openxmlformats.org/officeDocument/2006/relationships/hyperlink" Target="http://linktr.ee/cathyheller" TargetMode="External"/><Relationship Id="rId554" Type="http://schemas.openxmlformats.org/officeDocument/2006/relationships/hyperlink" Target="https://4x4straya.com/" TargetMode="External"/><Relationship Id="rId1143" Type="http://schemas.openxmlformats.org/officeDocument/2006/relationships/hyperlink" Target="https://www.healthybyheatherbrown.com" TargetMode="External"/><Relationship Id="rId553" Type="http://schemas.openxmlformats.org/officeDocument/2006/relationships/hyperlink" Target="http://fastcompany.com.tr" TargetMode="External"/><Relationship Id="rId1144" Type="http://schemas.openxmlformats.org/officeDocument/2006/relationships/hyperlink" Target="https://www.youtube.com/channel/UCk4J-oEylPxeNvRpRhmMh8w" TargetMode="External"/><Relationship Id="rId552" Type="http://schemas.openxmlformats.org/officeDocument/2006/relationships/hyperlink" Target="https://linktr.ee/fastcompanybrasil" TargetMode="External"/><Relationship Id="rId1145" Type="http://schemas.openxmlformats.org/officeDocument/2006/relationships/hyperlink" Target="https://linktr.ee/laurenmhouse" TargetMode="External"/><Relationship Id="rId551" Type="http://schemas.openxmlformats.org/officeDocument/2006/relationships/hyperlink" Target="https://linkin.bio/fastcompany" TargetMode="External"/><Relationship Id="rId1146" Type="http://schemas.openxmlformats.org/officeDocument/2006/relationships/hyperlink" Target="http://tr.ee/podcasterix" TargetMode="External"/><Relationship Id="rId495" Type="http://schemas.openxmlformats.org/officeDocument/2006/relationships/hyperlink" Target="https://stream.espn.com/" TargetMode="External"/><Relationship Id="rId494" Type="http://schemas.openxmlformats.org/officeDocument/2006/relationships/hyperlink" Target="https://www.amazon.com/shop/epicuriousexpeditions" TargetMode="External"/><Relationship Id="rId493" Type="http://schemas.openxmlformats.org/officeDocument/2006/relationships/hyperlink" Target="https://likeshop.me/epicurious" TargetMode="External"/><Relationship Id="rId492" Type="http://schemas.openxmlformats.org/officeDocument/2006/relationships/hyperlink" Target="https://campsite.bio/marieforleo" TargetMode="External"/><Relationship Id="rId499" Type="http://schemas.openxmlformats.org/officeDocument/2006/relationships/hyperlink" Target="http://visitstore.bio/espnf1" TargetMode="External"/><Relationship Id="rId498" Type="http://schemas.openxmlformats.org/officeDocument/2006/relationships/hyperlink" Target="https://stream.espn.com/" TargetMode="External"/><Relationship Id="rId497" Type="http://schemas.openxmlformats.org/officeDocument/2006/relationships/hyperlink" Target="https://linkin.bio/espnbrasil" TargetMode="External"/><Relationship Id="rId496" Type="http://schemas.openxmlformats.org/officeDocument/2006/relationships/hyperlink" Target="https://espnbet.app.link/neLKbcyQcWb" TargetMode="External"/><Relationship Id="rId1610" Type="http://schemas.openxmlformats.org/officeDocument/2006/relationships/hyperlink" Target="https://likeshop.me/voguemagazine" TargetMode="External"/><Relationship Id="rId1611" Type="http://schemas.openxmlformats.org/officeDocument/2006/relationships/hyperlink" Target="https://likeshop.me/voguerunway" TargetMode="External"/><Relationship Id="rId1612" Type="http://schemas.openxmlformats.org/officeDocument/2006/relationships/hyperlink" Target="https://www.vogue.ru/readmore" TargetMode="External"/><Relationship Id="rId1613" Type="http://schemas.openxmlformats.org/officeDocument/2006/relationships/hyperlink" Target="https://likeshop.me/voguespain" TargetMode="External"/><Relationship Id="rId1614" Type="http://schemas.openxmlformats.org/officeDocument/2006/relationships/hyperlink" Target="https://likeshop.me/vogueweddings" TargetMode="External"/><Relationship Id="rId1615" Type="http://schemas.openxmlformats.org/officeDocument/2006/relationships/hyperlink" Target="https://t.me/fcwallpapers" TargetMode="External"/><Relationship Id="rId1616" Type="http://schemas.openxmlformats.org/officeDocument/2006/relationships/hyperlink" Target="https://wa.me/message/VK7Z7XZ2RK7CN1" TargetMode="External"/><Relationship Id="rId907" Type="http://schemas.openxmlformats.org/officeDocument/2006/relationships/hyperlink" Target="https://likeshop.me/menshealthmag" TargetMode="External"/><Relationship Id="rId1617" Type="http://schemas.openxmlformats.org/officeDocument/2006/relationships/hyperlink" Target="https://maps.app.goo.gl/19g6pgRwFG5yodU57" TargetMode="External"/><Relationship Id="rId906" Type="http://schemas.openxmlformats.org/officeDocument/2006/relationships/hyperlink" Target="https://liff.line.me/1645278921-kWRPP32q/?accountId=744nwmhj" TargetMode="External"/><Relationship Id="rId1618" Type="http://schemas.openxmlformats.org/officeDocument/2006/relationships/hyperlink" Target="https://linktr.ee/vgywallpaper" TargetMode="External"/><Relationship Id="rId905" Type="http://schemas.openxmlformats.org/officeDocument/2006/relationships/hyperlink" Target="http://link.me/mattycfox" TargetMode="External"/><Relationship Id="rId1619" Type="http://schemas.openxmlformats.org/officeDocument/2006/relationships/hyperlink" Target="https://linktr.ee/Wallpaperdirect" TargetMode="External"/><Relationship Id="rId904" Type="http://schemas.openxmlformats.org/officeDocument/2006/relationships/hyperlink" Target="https://www.amazon.com/Rosabella-Organic-Beet-Root-Capsules/dp/B0F161HQ6C?linkCode=ll1&amp;tag=healthwithnancy-20&amp;linkId=fcd2b51bc737ad3348e8a257189f8220&amp;language=en_US&amp;ref_=as_li_ss_tl" TargetMode="External"/><Relationship Id="rId909" Type="http://schemas.openxmlformats.org/officeDocument/2006/relationships/hyperlink" Target="https://programs.theironforge.us/survey" TargetMode="External"/><Relationship Id="rId908" Type="http://schemas.openxmlformats.org/officeDocument/2006/relationships/hyperlink" Target="https://hoo.be/treytucker" TargetMode="External"/><Relationship Id="rId903" Type="http://schemas.openxmlformats.org/officeDocument/2006/relationships/hyperlink" Target="http://xas.post" TargetMode="External"/><Relationship Id="rId902" Type="http://schemas.openxmlformats.org/officeDocument/2006/relationships/hyperlink" Target="https://www.youtube.com/@PostMediaOk" TargetMode="External"/><Relationship Id="rId901" Type="http://schemas.openxmlformats.org/officeDocument/2006/relationships/hyperlink" Target="https://t.me/MediaPost1" TargetMode="External"/><Relationship Id="rId900" Type="http://schemas.openxmlformats.org/officeDocument/2006/relationships/hyperlink" Target="https://u24.gov.ua/sky-sentinel?utm_source=instagram&amp;utm_medium=media&amp;utm_campaign=sky-sentinel" TargetMode="External"/><Relationship Id="rId1600" Type="http://schemas.openxmlformats.org/officeDocument/2006/relationships/hyperlink" Target="https://www.instagram.com/channel/AbY7jsubk6GeHv1I/" TargetMode="External"/><Relationship Id="rId1601" Type="http://schemas.openxmlformats.org/officeDocument/2006/relationships/hyperlink" Target="https://borrowell.com/free-credit-score?utm_campaign=Refer5&amp;utm_medium=mobile&amp;utm_source=refer2022-3604974" TargetMode="External"/><Relationship Id="rId1602" Type="http://schemas.openxmlformats.org/officeDocument/2006/relationships/hyperlink" Target="https://youtu.be/g7f5tg_73go?si=puTnwKM93BNA8mD7" TargetMode="External"/><Relationship Id="rId1603" Type="http://schemas.openxmlformats.org/officeDocument/2006/relationships/hyperlink" Target="https://youtube.com/@vk_vlogger1?si=K1Lloy-iIrdovj1S" TargetMode="External"/><Relationship Id="rId1604" Type="http://schemas.openxmlformats.org/officeDocument/2006/relationships/hyperlink" Target="https://likeshop.me/britishvogue" TargetMode="External"/><Relationship Id="rId1605" Type="http://schemas.openxmlformats.org/officeDocument/2006/relationships/hyperlink" Target="https://likeshop.me/voguebrasil" TargetMode="External"/><Relationship Id="rId1606" Type="http://schemas.openxmlformats.org/officeDocument/2006/relationships/hyperlink" Target="https://likeshop.me/voguebusiness" TargetMode="External"/><Relationship Id="rId1607" Type="http://schemas.openxmlformats.org/officeDocument/2006/relationships/hyperlink" Target="https://likeshop.me/voguefrance" TargetMode="External"/><Relationship Id="rId1608" Type="http://schemas.openxmlformats.org/officeDocument/2006/relationships/hyperlink" Target="https://likeshop.me/vogueindia" TargetMode="External"/><Relationship Id="rId1609" Type="http://schemas.openxmlformats.org/officeDocument/2006/relationships/hyperlink" Target="https://likeshop.me/vogueitalia" TargetMode="External"/><Relationship Id="rId1631" Type="http://schemas.openxmlformats.org/officeDocument/2006/relationships/hyperlink" Target="https://wiredmusicfestival.jp" TargetMode="External"/><Relationship Id="rId1632" Type="http://schemas.openxmlformats.org/officeDocument/2006/relationships/hyperlink" Target="https://youtube.com/@kekrisonusaini?si=cGCq1XefEdzb3i68" TargetMode="External"/><Relationship Id="rId1633" Type="http://schemas.openxmlformats.org/officeDocument/2006/relationships/hyperlink" Target="https://youtu.be/g1TWSQ91Cww" TargetMode="External"/><Relationship Id="rId1634" Type="http://schemas.openxmlformats.org/officeDocument/2006/relationships/hyperlink" Target="https://www.nyweeklymagazine.com" TargetMode="External"/><Relationship Id="rId1635" Type="http://schemas.openxmlformats.org/officeDocument/2006/relationships/hyperlink" Target="https://likeshop.me/whomagazine" TargetMode="External"/><Relationship Id="rId1636" Type="http://schemas.openxmlformats.org/officeDocument/2006/relationships/hyperlink" Target="https://likeshop.me/wmag" TargetMode="External"/><Relationship Id="rId1637" Type="http://schemas.openxmlformats.org/officeDocument/2006/relationships/hyperlink" Target="http://linkin.bio/imperative_bwhi" TargetMode="External"/><Relationship Id="rId1638" Type="http://schemas.openxmlformats.org/officeDocument/2006/relationships/hyperlink" Target="https://linktr.ee/dnafitnessuk" TargetMode="External"/><Relationship Id="rId929" Type="http://schemas.openxmlformats.org/officeDocument/2006/relationships/hyperlink" Target="https://on.natgeo.com/natgeoadventure" TargetMode="External"/><Relationship Id="rId1639" Type="http://schemas.openxmlformats.org/officeDocument/2006/relationships/hyperlink" Target="https://linktr.ee/femalephysioco" TargetMode="External"/><Relationship Id="rId928" Type="http://schemas.openxmlformats.org/officeDocument/2006/relationships/hyperlink" Target="https://on.natgeo.com/instagram" TargetMode="External"/><Relationship Id="rId927" Type="http://schemas.openxmlformats.org/officeDocument/2006/relationships/hyperlink" Target="https://www.msnbc.com/capehart" TargetMode="External"/><Relationship Id="rId926" Type="http://schemas.openxmlformats.org/officeDocument/2006/relationships/hyperlink" Target="https://smartlink.bio/msnbc_reports" TargetMode="External"/><Relationship Id="rId921" Type="http://schemas.openxmlformats.org/officeDocument/2006/relationships/hyperlink" Target="https://linkin.bio/morningbrew" TargetMode="External"/><Relationship Id="rId920" Type="http://schemas.openxmlformats.org/officeDocument/2006/relationships/hyperlink" Target="https://shop.morningbrew.com/products/morning-brew-daily-mug" TargetMode="External"/><Relationship Id="rId925" Type="http://schemas.openxmlformats.org/officeDocument/2006/relationships/hyperlink" Target="https://www.submarine.com/separated" TargetMode="External"/><Relationship Id="rId924" Type="http://schemas.openxmlformats.org/officeDocument/2006/relationships/hyperlink" Target="https://smartlink.bio/msnbc" TargetMode="External"/><Relationship Id="rId923" Type="http://schemas.openxmlformats.org/officeDocument/2006/relationships/hyperlink" Target="https://linktr.ee/themotleyfoolofficial" TargetMode="External"/><Relationship Id="rId922" Type="http://schemas.openxmlformats.org/officeDocument/2006/relationships/hyperlink" Target="https://www.youtube.com/foolau" TargetMode="External"/><Relationship Id="rId1630" Type="http://schemas.openxmlformats.org/officeDocument/2006/relationships/hyperlink" Target="https://likeshop.me/wired" TargetMode="External"/><Relationship Id="rId1620" Type="http://schemas.openxmlformats.org/officeDocument/2006/relationships/hyperlink" Target="https://linkin.bio/wallpapermag" TargetMode="External"/><Relationship Id="rId1621" Type="http://schemas.openxmlformats.org/officeDocument/2006/relationships/hyperlink" Target="http://www.wallpaperscissor.com/" TargetMode="External"/><Relationship Id="rId1622" Type="http://schemas.openxmlformats.org/officeDocument/2006/relationships/hyperlink" Target="https://aw.ink/masterclass" TargetMode="External"/><Relationship Id="rId1623" Type="http://schemas.openxmlformats.org/officeDocument/2006/relationships/hyperlink" Target="https://websitemaker.id/live-ai/" TargetMode="External"/><Relationship Id="rId1624" Type="http://schemas.openxmlformats.org/officeDocument/2006/relationships/hyperlink" Target="http://www.fashionweeks.website" TargetMode="External"/><Relationship Id="rId1625" Type="http://schemas.openxmlformats.org/officeDocument/2006/relationships/hyperlink" Target="https://youtube.com/@itsrexxtar?si=5qjxULnwo2oqIJKT" TargetMode="External"/><Relationship Id="rId1626" Type="http://schemas.openxmlformats.org/officeDocument/2006/relationships/hyperlink" Target="https://soulshinedigital.co.uk/contact" TargetMode="External"/><Relationship Id="rId1627" Type="http://schemas.openxmlformats.org/officeDocument/2006/relationships/hyperlink" Target="http://websitebuilderseo.com" TargetMode="External"/><Relationship Id="rId918" Type="http://schemas.openxmlformats.org/officeDocument/2006/relationships/hyperlink" Target="https://bit.ly/mittechreviewbr" TargetMode="External"/><Relationship Id="rId1628" Type="http://schemas.openxmlformats.org/officeDocument/2006/relationships/hyperlink" Target="http://wekita.id" TargetMode="External"/><Relationship Id="rId917" Type="http://schemas.openxmlformats.org/officeDocument/2006/relationships/hyperlink" Target="http://www.wsmirror.com" TargetMode="External"/><Relationship Id="rId1629" Type="http://schemas.openxmlformats.org/officeDocument/2006/relationships/hyperlink" Target="https://linktr.ee/Wekita.id" TargetMode="External"/><Relationship Id="rId916" Type="http://schemas.openxmlformats.org/officeDocument/2006/relationships/hyperlink" Target="http://www.mirrorpalais.com/" TargetMode="External"/><Relationship Id="rId915" Type="http://schemas.openxmlformats.org/officeDocument/2006/relationships/hyperlink" Target="https://youtube.com/@atjunction" TargetMode="External"/><Relationship Id="rId919" Type="http://schemas.openxmlformats.org/officeDocument/2006/relationships/hyperlink" Target="https://bit.ly/linkinbio-mittr" TargetMode="External"/><Relationship Id="rId910" Type="http://schemas.openxmlformats.org/officeDocument/2006/relationships/hyperlink" Target="http://sprout.link/metacritic" TargetMode="External"/><Relationship Id="rId914" Type="http://schemas.openxmlformats.org/officeDocument/2006/relationships/hyperlink" Target="https://selectstore-mirror.me" TargetMode="External"/><Relationship Id="rId913" Type="http://schemas.openxmlformats.org/officeDocument/2006/relationships/hyperlink" Target="http://es.airbnb.com/rooms/41535599" TargetMode="External"/><Relationship Id="rId912" Type="http://schemas.openxmlformats.org/officeDocument/2006/relationships/hyperlink" Target="https://mirrorfit.jp/" TargetMode="External"/><Relationship Id="rId911" Type="http://schemas.openxmlformats.org/officeDocument/2006/relationships/hyperlink" Target="https://linkin.bio/ig-mic" TargetMode="External"/><Relationship Id="rId1213" Type="http://schemas.openxmlformats.org/officeDocument/2006/relationships/hyperlink" Target="https://linktr.ee/rollingquartz" TargetMode="External"/><Relationship Id="rId1214" Type="http://schemas.openxmlformats.org/officeDocument/2006/relationships/hyperlink" Target="https://goodmindsquote.co/l/gmqdde" TargetMode="External"/><Relationship Id="rId1215" Type="http://schemas.openxmlformats.org/officeDocument/2006/relationships/hyperlink" Target="http://www.love-quotes.com" TargetMode="External"/><Relationship Id="rId1216" Type="http://schemas.openxmlformats.org/officeDocument/2006/relationships/hyperlink" Target="https://insurance.quote.com/" TargetMode="External"/><Relationship Id="rId1217" Type="http://schemas.openxmlformats.org/officeDocument/2006/relationships/hyperlink" Target="http://api.whatsapp.com/send?1=pt_BR&amp;phone=554898635802" TargetMode="External"/><Relationship Id="rId1218" Type="http://schemas.openxmlformats.org/officeDocument/2006/relationships/hyperlink" Target="https://www.etsy.com/shop/quotesbychristieshop" TargetMode="External"/><Relationship Id="rId1219" Type="http://schemas.openxmlformats.org/officeDocument/2006/relationships/hyperlink" Target="http://linktr.ee/thegoodquote" TargetMode="External"/><Relationship Id="rId866" Type="http://schemas.openxmlformats.org/officeDocument/2006/relationships/hyperlink" Target="https://likeshop.me/people" TargetMode="External"/><Relationship Id="rId865" Type="http://schemas.openxmlformats.org/officeDocument/2006/relationships/hyperlink" Target="https://linkin.bio/papermag" TargetMode="External"/><Relationship Id="rId864" Type="http://schemas.openxmlformats.org/officeDocument/2006/relationships/hyperlink" Target="https://ootdpresets.com/" TargetMode="External"/><Relationship Id="rId863" Type="http://schemas.openxmlformats.org/officeDocument/2006/relationships/hyperlink" Target="https://litt.ly/nant" TargetMode="External"/><Relationship Id="rId869" Type="http://schemas.openxmlformats.org/officeDocument/2006/relationships/hyperlink" Target="https://linkin.bio/vmagazine" TargetMode="External"/><Relationship Id="rId868" Type="http://schemas.openxmlformats.org/officeDocument/2006/relationships/hyperlink" Target="http://nytimes.com/tmagazine-instagram" TargetMode="External"/><Relationship Id="rId867" Type="http://schemas.openxmlformats.org/officeDocument/2006/relationships/hyperlink" Target="https://www.classlifestyle.com/" TargetMode="External"/><Relationship Id="rId862" Type="http://schemas.openxmlformats.org/officeDocument/2006/relationships/hyperlink" Target="http://linkin.bio/m_magazine/" TargetMode="External"/><Relationship Id="rId861" Type="http://schemas.openxmlformats.org/officeDocument/2006/relationships/hyperlink" Target="https://t.me/insomniamag" TargetMode="External"/><Relationship Id="rId1210" Type="http://schemas.openxmlformats.org/officeDocument/2006/relationships/hyperlink" Target="http://wa.me/+96597358570" TargetMode="External"/><Relationship Id="rId860" Type="http://schemas.openxmlformats.org/officeDocument/2006/relationships/hyperlink" Target="http://likeshop.me/elleusa" TargetMode="External"/><Relationship Id="rId1211" Type="http://schemas.openxmlformats.org/officeDocument/2006/relationships/hyperlink" Target="https://www.quartzphx.com" TargetMode="External"/><Relationship Id="rId1212" Type="http://schemas.openxmlformats.org/officeDocument/2006/relationships/hyperlink" Target="https://qz.com" TargetMode="External"/><Relationship Id="rId1202" Type="http://schemas.openxmlformats.org/officeDocument/2006/relationships/hyperlink" Target="https://shopgr.id/publisherswkly" TargetMode="External"/><Relationship Id="rId1203" Type="http://schemas.openxmlformats.org/officeDocument/2006/relationships/hyperlink" Target="http://anitsayac.com/" TargetMode="External"/><Relationship Id="rId1204" Type="http://schemas.openxmlformats.org/officeDocument/2006/relationships/hyperlink" Target="https://hiphopdx.com/" TargetMode="External"/><Relationship Id="rId1205" Type="http://schemas.openxmlformats.org/officeDocument/2006/relationships/hyperlink" Target="https://linkin.bio/redhenpress" TargetMode="External"/><Relationship Id="rId1206" Type="http://schemas.openxmlformats.org/officeDocument/2006/relationships/hyperlink" Target="https://ridna-mova.com/" TargetMode="External"/><Relationship Id="rId1207" Type="http://schemas.openxmlformats.org/officeDocument/2006/relationships/hyperlink" Target="https://sophia.ru/audiomaterialy/audiomeditacii-frenka-kinslou/" TargetMode="External"/><Relationship Id="rId1208" Type="http://schemas.openxmlformats.org/officeDocument/2006/relationships/hyperlink" Target="http://tatlin.ru" TargetMode="External"/><Relationship Id="rId1209" Type="http://schemas.openxmlformats.org/officeDocument/2006/relationships/hyperlink" Target="https://linktr.ee/chartium" TargetMode="External"/><Relationship Id="rId855" Type="http://schemas.openxmlformats.org/officeDocument/2006/relationships/hyperlink" Target="https://newsin.bio/latimesimage" TargetMode="External"/><Relationship Id="rId854" Type="http://schemas.openxmlformats.org/officeDocument/2006/relationships/hyperlink" Target="https://newsin.bio/latimesfood" TargetMode="External"/><Relationship Id="rId853" Type="http://schemas.openxmlformats.org/officeDocument/2006/relationships/hyperlink" Target="https://linkin.bio/latimesevents1" TargetMode="External"/><Relationship Id="rId852" Type="http://schemas.openxmlformats.org/officeDocument/2006/relationships/hyperlink" Target="http://latimes.com/" TargetMode="External"/><Relationship Id="rId859" Type="http://schemas.openxmlformats.org/officeDocument/2006/relationships/hyperlink" Target="https://linkin.bio/bricks_magazine" TargetMode="External"/><Relationship Id="rId858" Type="http://schemas.openxmlformats.org/officeDocument/2006/relationships/hyperlink" Target="https://likeshop.me/ad_magazine" TargetMode="External"/><Relationship Id="rId857" Type="http://schemas.openxmlformats.org/officeDocument/2006/relationships/hyperlink" Target="https://www.macrumors.com" TargetMode="External"/><Relationship Id="rId856" Type="http://schemas.openxmlformats.org/officeDocument/2006/relationships/hyperlink" Target="http://latimes.com/photo/" TargetMode="External"/><Relationship Id="rId851" Type="http://schemas.openxmlformats.org/officeDocument/2006/relationships/hyperlink" Target="https://newsin.bio/latimes" TargetMode="External"/><Relationship Id="rId850" Type="http://schemas.openxmlformats.org/officeDocument/2006/relationships/hyperlink" Target="https://www.worldwidemedia.in/magazines/lpmi/september-2020?utm_source=social&amp;utm_medium=instagram&amp;utm_campaign=lpmi-september-2020" TargetMode="External"/><Relationship Id="rId1200" Type="http://schemas.openxmlformats.org/officeDocument/2006/relationships/hyperlink" Target="https://empli.fi/macmillan/" TargetMode="External"/><Relationship Id="rId1201" Type="http://schemas.openxmlformats.org/officeDocument/2006/relationships/hyperlink" Target="https://shor.by/PCH" TargetMode="External"/><Relationship Id="rId1235" Type="http://schemas.openxmlformats.org/officeDocument/2006/relationships/hyperlink" Target="http://readership-space.com" TargetMode="External"/><Relationship Id="rId1236" Type="http://schemas.openxmlformats.org/officeDocument/2006/relationships/hyperlink" Target="http://youngboynba.com" TargetMode="External"/><Relationship Id="rId1237" Type="http://schemas.openxmlformats.org/officeDocument/2006/relationships/hyperlink" Target="https://bit.ly/MadridistasPremiumRMCF" TargetMode="External"/><Relationship Id="rId1238" Type="http://schemas.openxmlformats.org/officeDocument/2006/relationships/hyperlink" Target="https://www.realnewsnotbs.com" TargetMode="External"/><Relationship Id="rId1239" Type="http://schemas.openxmlformats.org/officeDocument/2006/relationships/hyperlink" Target="https://www.youtube.com/@CHchanyeol" TargetMode="External"/><Relationship Id="rId409" Type="http://schemas.openxmlformats.org/officeDocument/2006/relationships/hyperlink" Target="https://linkin.bio/ig-domusweb" TargetMode="External"/><Relationship Id="rId404" Type="http://schemas.openxmlformats.org/officeDocument/2006/relationships/hyperlink" Target="https://www.artedomus.com/bio-link/instagram" TargetMode="External"/><Relationship Id="rId888" Type="http://schemas.openxmlformats.org/officeDocument/2006/relationships/hyperlink" Target="https://www.megsmashables.com/links" TargetMode="External"/><Relationship Id="rId403" Type="http://schemas.openxmlformats.org/officeDocument/2006/relationships/hyperlink" Target="https://linktr.ee/christiebosch?utm_source=linktree_profile_share&amp;ltsid=d5faf761-987e-470e-b5f9-1c097a713763" TargetMode="External"/><Relationship Id="rId887" Type="http://schemas.openxmlformats.org/officeDocument/2006/relationships/hyperlink" Target="https://youtube.com/@Mashable_India?si=aj3k6_Khjp13oBRr" TargetMode="External"/><Relationship Id="rId402" Type="http://schemas.openxmlformats.org/officeDocument/2006/relationships/hyperlink" Target="https://linktr.ee/FreeDocumentary" TargetMode="External"/><Relationship Id="rId886" Type="http://schemas.openxmlformats.org/officeDocument/2006/relationships/hyperlink" Target="https://linkin.bio/mashable" TargetMode="External"/><Relationship Id="rId401" Type="http://schemas.openxmlformats.org/officeDocument/2006/relationships/hyperlink" Target="https://www.netflix.com/fr-en/title/81470492" TargetMode="External"/><Relationship Id="rId885" Type="http://schemas.openxmlformats.org/officeDocument/2006/relationships/hyperlink" Target="https://linkin.bio/marketwatch" TargetMode="External"/><Relationship Id="rId408" Type="http://schemas.openxmlformats.org/officeDocument/2006/relationships/hyperlink" Target="http://domusve.com" TargetMode="External"/><Relationship Id="rId407" Type="http://schemas.openxmlformats.org/officeDocument/2006/relationships/hyperlink" Target="http://domus.com.ar" TargetMode="External"/><Relationship Id="rId406" Type="http://schemas.openxmlformats.org/officeDocument/2006/relationships/hyperlink" Target="http://domusag.ch/shop" TargetMode="External"/><Relationship Id="rId405" Type="http://schemas.openxmlformats.org/officeDocument/2006/relationships/hyperlink" Target="http://www.domusarq.com.br" TargetMode="External"/><Relationship Id="rId889" Type="http://schemas.openxmlformats.org/officeDocument/2006/relationships/hyperlink" Target="https://youtube.com/@Mashable_India?si=aj3k6_Khjp13oBRr" TargetMode="External"/><Relationship Id="rId880" Type="http://schemas.openxmlformats.org/officeDocument/2006/relationships/hyperlink" Target="https://marieclaire.com.mx/" TargetMode="External"/><Relationship Id="rId1230" Type="http://schemas.openxmlformats.org/officeDocument/2006/relationships/hyperlink" Target="https://linkin.bio/radiomitre" TargetMode="External"/><Relationship Id="rId400" Type="http://schemas.openxmlformats.org/officeDocument/2006/relationships/hyperlink" Target="http://linktr.ee/dwdocumentary" TargetMode="External"/><Relationship Id="rId884" Type="http://schemas.openxmlformats.org/officeDocument/2006/relationships/hyperlink" Target="https://likeshop.me/marieclaireuk" TargetMode="External"/><Relationship Id="rId1231" Type="http://schemas.openxmlformats.org/officeDocument/2006/relationships/hyperlink" Target="http://clicklinkin.bio/designwithinreach" TargetMode="External"/><Relationship Id="rId883" Type="http://schemas.openxmlformats.org/officeDocument/2006/relationships/hyperlink" Target="https://youtube.com/@marieclaireof?si=knCZJieQhHz9MblG" TargetMode="External"/><Relationship Id="rId1232" Type="http://schemas.openxmlformats.org/officeDocument/2006/relationships/hyperlink" Target="https://launchgood.com/SendAidVesselsWithAboodi" TargetMode="External"/><Relationship Id="rId882" Type="http://schemas.openxmlformats.org/officeDocument/2006/relationships/hyperlink" Target="https://www.marieclaire.fr/maison/" TargetMode="External"/><Relationship Id="rId1233" Type="http://schemas.openxmlformats.org/officeDocument/2006/relationships/hyperlink" Target="https://linkpop.com/marscosmetics" TargetMode="External"/><Relationship Id="rId881" Type="http://schemas.openxmlformats.org/officeDocument/2006/relationships/hyperlink" Target="https://likeshop.me/marieclairemag" TargetMode="External"/><Relationship Id="rId1234" Type="http://schemas.openxmlformats.org/officeDocument/2006/relationships/hyperlink" Target="https://www.launchgood.com/v4/campaign/support_the_people_of_gaza_w_yusuf_abu_hattab_2" TargetMode="External"/><Relationship Id="rId1224" Type="http://schemas.openxmlformats.org/officeDocument/2006/relationships/hyperlink" Target="http://insom.co/radioapp" TargetMode="External"/><Relationship Id="rId1225" Type="http://schemas.openxmlformats.org/officeDocument/2006/relationships/hyperlink" Target="https://linktr.ee/nts_radio" TargetMode="External"/><Relationship Id="rId1226" Type="http://schemas.openxmlformats.org/officeDocument/2006/relationships/hyperlink" Target="https://www.105.net/" TargetMode="External"/><Relationship Id="rId1227" Type="http://schemas.openxmlformats.org/officeDocument/2006/relationships/hyperlink" Target="http://radio.bh" TargetMode="External"/><Relationship Id="rId1228" Type="http://schemas.openxmlformats.org/officeDocument/2006/relationships/hyperlink" Target="https://linktr.ee/radio.bh" TargetMode="External"/><Relationship Id="rId1229" Type="http://schemas.openxmlformats.org/officeDocument/2006/relationships/hyperlink" Target="https://radiohead.com" TargetMode="External"/><Relationship Id="rId877" Type="http://schemas.openxmlformats.org/officeDocument/2006/relationships/hyperlink" Target="https://empli.fi/marieclairefr/" TargetMode="External"/><Relationship Id="rId876" Type="http://schemas.openxmlformats.org/officeDocument/2006/relationships/hyperlink" Target="http://www.mcchina.com/" TargetMode="External"/><Relationship Id="rId875" Type="http://schemas.openxmlformats.org/officeDocument/2006/relationships/hyperlink" Target="https://linkin.bio/marieclairebr" TargetMode="External"/><Relationship Id="rId874" Type="http://schemas.openxmlformats.org/officeDocument/2006/relationships/hyperlink" Target="https://marieclaire.perfil.com/" TargetMode="External"/><Relationship Id="rId879" Type="http://schemas.openxmlformats.org/officeDocument/2006/relationships/hyperlink" Target="https://bit.ly/41znHoA" TargetMode="External"/><Relationship Id="rId878" Type="http://schemas.openxmlformats.org/officeDocument/2006/relationships/hyperlink" Target="https://linktr.ee/marieclaireitalia" TargetMode="External"/><Relationship Id="rId873" Type="http://schemas.openxmlformats.org/officeDocument/2006/relationships/hyperlink" Target="http://listen-to.cc" TargetMode="External"/><Relationship Id="rId1220" Type="http://schemas.openxmlformats.org/officeDocument/2006/relationships/hyperlink" Target="http://thegoodquote.co" TargetMode="External"/><Relationship Id="rId872" Type="http://schemas.openxmlformats.org/officeDocument/2006/relationships/hyperlink" Target="http://mainstream.media.cl" TargetMode="External"/><Relationship Id="rId1221" Type="http://schemas.openxmlformats.org/officeDocument/2006/relationships/hyperlink" Target="http://linktr.ee/thegoodquoteco" TargetMode="External"/><Relationship Id="rId871" Type="http://schemas.openxmlformats.org/officeDocument/2006/relationships/hyperlink" Target="https://likeshop.me/wmag" TargetMode="External"/><Relationship Id="rId1222" Type="http://schemas.openxmlformats.org/officeDocument/2006/relationships/hyperlink" Target="https://beacons.ai/womenwholeadempires" TargetMode="External"/><Relationship Id="rId870" Type="http://schemas.openxmlformats.org/officeDocument/2006/relationships/hyperlink" Target="https://likeshop.me/voguemagazine" TargetMode="External"/><Relationship Id="rId1223" Type="http://schemas.openxmlformats.org/officeDocument/2006/relationships/hyperlink" Target="https://empli.fi/bbcradio1/" TargetMode="External"/><Relationship Id="rId1653" Type="http://schemas.openxmlformats.org/officeDocument/2006/relationships/hyperlink" Target="https://sports.yahoo.com/videos/shows/network-series/" TargetMode="External"/><Relationship Id="rId1654" Type="http://schemas.openxmlformats.org/officeDocument/2006/relationships/hyperlink" Target="https://bit.ly/2P5ZEIz" TargetMode="External"/><Relationship Id="rId1655" Type="http://schemas.openxmlformats.org/officeDocument/2006/relationships/hyperlink" Target="https://yahoosportswear.com" TargetMode="External"/><Relationship Id="rId1656" Type="http://schemas.openxmlformats.org/officeDocument/2006/relationships/hyperlink" Target="https://yahoosportswear.com" TargetMode="External"/><Relationship Id="rId1657" Type="http://schemas.openxmlformats.org/officeDocument/2006/relationships/hyperlink" Target="https://openinyoutube.com/@antiytshort?si=dRjmNnuAWrpa04rr" TargetMode="External"/><Relationship Id="rId1658" Type="http://schemas.openxmlformats.org/officeDocument/2006/relationships/hyperlink" Target="https://gotub.vip/ferishow" TargetMode="External"/><Relationship Id="rId1659" Type="http://schemas.openxmlformats.org/officeDocument/2006/relationships/hyperlink" Target="https://youtube.com/@hitsumabushi245?si=Szwn3aqIvhGK_LDb" TargetMode="External"/><Relationship Id="rId829" Type="http://schemas.openxmlformats.org/officeDocument/2006/relationships/hyperlink" Target="https://youtube.com/@livestreamys" TargetMode="External"/><Relationship Id="rId828" Type="http://schemas.openxmlformats.org/officeDocument/2006/relationships/hyperlink" Target="http://www.lequipebicicletas.com" TargetMode="External"/><Relationship Id="rId827" Type="http://schemas.openxmlformats.org/officeDocument/2006/relationships/hyperlink" Target="https://l.lequipe.fr/bio" TargetMode="External"/><Relationship Id="rId822" Type="http://schemas.openxmlformats.org/officeDocument/2006/relationships/hyperlink" Target="https://linkin.bio/lemondefr" TargetMode="External"/><Relationship Id="rId821" Type="http://schemas.openxmlformats.org/officeDocument/2006/relationships/hyperlink" Target="https://linkin.bio/lemonde_en" TargetMode="External"/><Relationship Id="rId820" Type="http://schemas.openxmlformats.org/officeDocument/2006/relationships/hyperlink" Target="https://linktr.ee/lemonde.edu" TargetMode="External"/><Relationship Id="rId826" Type="http://schemas.openxmlformats.org/officeDocument/2006/relationships/hyperlink" Target="https://linktr.ee/1000pourcentpodcast" TargetMode="External"/><Relationship Id="rId825" Type="http://schemas.openxmlformats.org/officeDocument/2006/relationships/hyperlink" Target="http://linkin.bio/m_magazine/" TargetMode="External"/><Relationship Id="rId824" Type="http://schemas.openxmlformats.org/officeDocument/2006/relationships/hyperlink" Target="https://apps.apple.com/us/app/le-monde/id6557075478" TargetMode="External"/><Relationship Id="rId823" Type="http://schemas.openxmlformats.org/officeDocument/2006/relationships/hyperlink" Target="http://lemonde.iq" TargetMode="External"/><Relationship Id="rId1650" Type="http://schemas.openxmlformats.org/officeDocument/2006/relationships/hyperlink" Target="http://writerspocket.com/free-publishing" TargetMode="External"/><Relationship Id="rId1651" Type="http://schemas.openxmlformats.org/officeDocument/2006/relationships/hyperlink" Target="https://smartlink.bio/yahoofinance" TargetMode="External"/><Relationship Id="rId1652" Type="http://schemas.openxmlformats.org/officeDocument/2006/relationships/hyperlink" Target="http://au.finance.yahoo.com" TargetMode="External"/><Relationship Id="rId1642" Type="http://schemas.openxmlformats.org/officeDocument/2006/relationships/hyperlink" Target="https://mwebefficient.com/7001/13902/10/" TargetMode="External"/><Relationship Id="rId1643" Type="http://schemas.openxmlformats.org/officeDocument/2006/relationships/hyperlink" Target="https://likeshop.me/womenshealthuk" TargetMode="External"/><Relationship Id="rId1644" Type="http://schemas.openxmlformats.org/officeDocument/2006/relationships/hyperlink" Target="https://apply.badassbabesquad.ca/?application_lead_source=instagram" TargetMode="External"/><Relationship Id="rId1645" Type="http://schemas.openxmlformats.org/officeDocument/2006/relationships/hyperlink" Target="https://cubadhd.onelink.me/OD9D/rpwio13s" TargetMode="External"/><Relationship Id="rId1646" Type="http://schemas.openxmlformats.org/officeDocument/2006/relationships/hyperlink" Target="http://writer.kh" TargetMode="External"/><Relationship Id="rId1647" Type="http://schemas.openxmlformats.org/officeDocument/2006/relationships/hyperlink" Target="https://direct.me/writerkh" TargetMode="External"/><Relationship Id="rId1648" Type="http://schemas.openxmlformats.org/officeDocument/2006/relationships/hyperlink" Target="https://mybook.to/learningtolovemyself" TargetMode="External"/><Relationship Id="rId1649" Type="http://schemas.openxmlformats.org/officeDocument/2006/relationships/hyperlink" Target="https://linkin.bio/writersdigest/" TargetMode="External"/><Relationship Id="rId819" Type="http://schemas.openxmlformats.org/officeDocument/2006/relationships/hyperlink" Target="https://lemondeberyl.com/" TargetMode="External"/><Relationship Id="rId818" Type="http://schemas.openxmlformats.org/officeDocument/2006/relationships/hyperlink" Target="https://linkin.bio/gourmandbeauty" TargetMode="External"/><Relationship Id="rId817" Type="http://schemas.openxmlformats.org/officeDocument/2006/relationships/hyperlink" Target="https://www.diplomatique.org.br/" TargetMode="External"/><Relationship Id="rId816" Type="http://schemas.openxmlformats.org/officeDocument/2006/relationships/hyperlink" Target="https://www.lefigaro.fr/vox" TargetMode="External"/><Relationship Id="rId811" Type="http://schemas.openxmlformats.org/officeDocument/2006/relationships/hyperlink" Target="https://l.lefigaro.fr/figaroetudiant" TargetMode="External"/><Relationship Id="rId810" Type="http://schemas.openxmlformats.org/officeDocument/2006/relationships/hyperlink" Target="https://torino.repubblica.it" TargetMode="External"/><Relationship Id="rId815" Type="http://schemas.openxmlformats.org/officeDocument/2006/relationships/hyperlink" Target="http://l.lefigaro.fr/lefigarovin" TargetMode="External"/><Relationship Id="rId814" Type="http://schemas.openxmlformats.org/officeDocument/2006/relationships/hyperlink" Target="https://www.lefigaro.fr/style" TargetMode="External"/><Relationship Id="rId813" Type="http://schemas.openxmlformats.org/officeDocument/2006/relationships/hyperlink" Target="http://www.lefigaro.fr/culture" TargetMode="External"/><Relationship Id="rId812" Type="http://schemas.openxmlformats.org/officeDocument/2006/relationships/hyperlink" Target="https://www.lefigaro.fr" TargetMode="External"/><Relationship Id="rId1640" Type="http://schemas.openxmlformats.org/officeDocument/2006/relationships/hyperlink" Target="http://bodysmartfitness.com/ig" TargetMode="External"/><Relationship Id="rId1641" Type="http://schemas.openxmlformats.org/officeDocument/2006/relationships/hyperlink" Target="https://selfloverevolution.myflodesk.com/elev8" TargetMode="External"/><Relationship Id="rId849" Type="http://schemas.openxmlformats.org/officeDocument/2006/relationships/hyperlink" Target="https://www.lonelyplanet.com/ebooks/out-there.pdf" TargetMode="External"/><Relationship Id="rId844" Type="http://schemas.openxmlformats.org/officeDocument/2006/relationships/hyperlink" Target="https://lofficielmonaco.com" TargetMode="External"/><Relationship Id="rId843" Type="http://schemas.openxmlformats.org/officeDocument/2006/relationships/hyperlink" Target="http://linkin.bio/lofficielusa" TargetMode="External"/><Relationship Id="rId842" Type="http://schemas.openxmlformats.org/officeDocument/2006/relationships/hyperlink" Target="https://www.lofficielsingapore.com" TargetMode="External"/><Relationship Id="rId841" Type="http://schemas.openxmlformats.org/officeDocument/2006/relationships/hyperlink" Target="https://www.lofficiel.directory" TargetMode="External"/><Relationship Id="rId848" Type="http://schemas.openxmlformats.org/officeDocument/2006/relationships/hyperlink" Target="https://linkin.bio/lonelyplanet_it" TargetMode="External"/><Relationship Id="rId847" Type="http://schemas.openxmlformats.org/officeDocument/2006/relationships/hyperlink" Target="https://beacons.ai/lonelyplanetfrance" TargetMode="External"/><Relationship Id="rId846" Type="http://schemas.openxmlformats.org/officeDocument/2006/relationships/hyperlink" Target="https://www.lonelyplanet.es/" TargetMode="External"/><Relationship Id="rId845" Type="http://schemas.openxmlformats.org/officeDocument/2006/relationships/hyperlink" Target="https://sprout.link/lonelyplanet" TargetMode="External"/><Relationship Id="rId1670" Type="http://schemas.openxmlformats.org/officeDocument/2006/relationships/hyperlink" Target="https://linkin.bio/zdnet_official" TargetMode="External"/><Relationship Id="rId840" Type="http://schemas.openxmlformats.org/officeDocument/2006/relationships/hyperlink" Target="https://linkin.bio/lofficielph" TargetMode="External"/><Relationship Id="rId1671" Type="http://schemas.openxmlformats.org/officeDocument/2006/relationships/drawing" Target="../drawings/drawing9.xml"/><Relationship Id="rId1664" Type="http://schemas.openxmlformats.org/officeDocument/2006/relationships/hyperlink" Target="https://velizhanin.mobz.click/websiteNV" TargetMode="External"/><Relationship Id="rId1665" Type="http://schemas.openxmlformats.org/officeDocument/2006/relationships/hyperlink" Target="http://linkin.bio/youtube/" TargetMode="External"/><Relationship Id="rId1666" Type="http://schemas.openxmlformats.org/officeDocument/2006/relationships/hyperlink" Target="https://linkin.bio/youtubecreators" TargetMode="External"/><Relationship Id="rId1667" Type="http://schemas.openxmlformats.org/officeDocument/2006/relationships/hyperlink" Target="http://linkin.bio/youtubemusic" TargetMode="External"/><Relationship Id="rId1668" Type="http://schemas.openxmlformats.org/officeDocument/2006/relationships/hyperlink" Target="https://go.facelesseducation.com/the-faceless-formula-home-page?el=instagram_organic_bio" TargetMode="External"/><Relationship Id="rId1669" Type="http://schemas.openxmlformats.org/officeDocument/2006/relationships/hyperlink" Target="https://linkin.bio/youtubetv/" TargetMode="External"/><Relationship Id="rId839" Type="http://schemas.openxmlformats.org/officeDocument/2006/relationships/hyperlink" Target="https://linkin.bio/lofficielparis" TargetMode="External"/><Relationship Id="rId838" Type="http://schemas.openxmlformats.org/officeDocument/2006/relationships/hyperlink" Target="http://www.lofficielmalaysia.com" TargetMode="External"/><Relationship Id="rId833" Type="http://schemas.openxmlformats.org/officeDocument/2006/relationships/hyperlink" Target="http://www.lofficielhk.com" TargetMode="External"/><Relationship Id="rId832" Type="http://schemas.openxmlformats.org/officeDocument/2006/relationships/hyperlink" Target="https://linkin.bio/lofficielhommes" TargetMode="External"/><Relationship Id="rId831" Type="http://schemas.openxmlformats.org/officeDocument/2006/relationships/hyperlink" Target="https://linkin.bio/lofficielbelgium" TargetMode="External"/><Relationship Id="rId830" Type="http://schemas.openxmlformats.org/officeDocument/2006/relationships/hyperlink" Target="https://beacons.ai/lofficielbaltic" TargetMode="External"/><Relationship Id="rId837" Type="http://schemas.openxmlformats.org/officeDocument/2006/relationships/hyperlink" Target="https://bit.ly/3Xfhsme" TargetMode="External"/><Relationship Id="rId836" Type="http://schemas.openxmlformats.org/officeDocument/2006/relationships/hyperlink" Target="https://www.lofficielkorea.com/" TargetMode="External"/><Relationship Id="rId835" Type="http://schemas.openxmlformats.org/officeDocument/2006/relationships/hyperlink" Target="http://www.lofficieljapan.com" TargetMode="External"/><Relationship Id="rId834" Type="http://schemas.openxmlformats.org/officeDocument/2006/relationships/hyperlink" Target="https://www.lofficielitalia.com" TargetMode="External"/><Relationship Id="rId1660" Type="http://schemas.openxmlformats.org/officeDocument/2006/relationships/hyperlink" Target="https://bit.ly/3nabgv5" TargetMode="External"/><Relationship Id="rId1661" Type="http://schemas.openxmlformats.org/officeDocument/2006/relationships/hyperlink" Target="https://theconquest.co" TargetMode="External"/><Relationship Id="rId1662" Type="http://schemas.openxmlformats.org/officeDocument/2006/relationships/hyperlink" Target="https://t.me/korsdanil" TargetMode="External"/><Relationship Id="rId1663" Type="http://schemas.openxmlformats.org/officeDocument/2006/relationships/hyperlink" Target="https://youtube.com/channel/UCZhOYHFuKS-6WhcfNxYKI8g" TargetMode="External"/><Relationship Id="rId469" Type="http://schemas.openxmlformats.org/officeDocument/2006/relationships/hyperlink" Target="http://armansfinejewellery.com/" TargetMode="External"/><Relationship Id="rId468" Type="http://schemas.openxmlformats.org/officeDocument/2006/relationships/hyperlink" Target="http://aquamarise.com" TargetMode="External"/><Relationship Id="rId467" Type="http://schemas.openxmlformats.org/officeDocument/2006/relationships/hyperlink" Target="http://sprout.link/engadget" TargetMode="External"/><Relationship Id="rId1290" Type="http://schemas.openxmlformats.org/officeDocument/2006/relationships/hyperlink" Target="https://maps.app.goo.gl/tGNo4T97KGTQQzpi8?g_st=ic" TargetMode="External"/><Relationship Id="rId1291" Type="http://schemas.openxmlformats.org/officeDocument/2006/relationships/hyperlink" Target="https://saveurbonjour.com/" TargetMode="External"/><Relationship Id="rId1292" Type="http://schemas.openxmlformats.org/officeDocument/2006/relationships/hyperlink" Target="https://maps.app.goo.gl/Svw5kySmvFzXFFMY9?g_st=com.google.maps.preview.copy" TargetMode="External"/><Relationship Id="rId462" Type="http://schemas.openxmlformats.org/officeDocument/2006/relationships/hyperlink" Target="https://linkin.bio/elpaismexico" TargetMode="External"/><Relationship Id="rId1293" Type="http://schemas.openxmlformats.org/officeDocument/2006/relationships/hyperlink" Target="https://linktr.ee/SaveurHJ" TargetMode="External"/><Relationship Id="rId461" Type="http://schemas.openxmlformats.org/officeDocument/2006/relationships/hyperlink" Target="https://elpais.com/suscripciones/elpaismas/" TargetMode="External"/><Relationship Id="rId1294" Type="http://schemas.openxmlformats.org/officeDocument/2006/relationships/hyperlink" Target="https://smartlink.bio/saveurmag" TargetMode="External"/><Relationship Id="rId460" Type="http://schemas.openxmlformats.org/officeDocument/2006/relationships/hyperlink" Target="https://linkin.bio/elpaislibros" TargetMode="External"/><Relationship Id="rId1295" Type="http://schemas.openxmlformats.org/officeDocument/2006/relationships/hyperlink" Target="http://whatis.remigration.eu" TargetMode="External"/><Relationship Id="rId1296" Type="http://schemas.openxmlformats.org/officeDocument/2006/relationships/hyperlink" Target="https://www.freesample.saveurslakay.com/free-samples1588842814916" TargetMode="External"/><Relationship Id="rId466" Type="http://schemas.openxmlformats.org/officeDocument/2006/relationships/hyperlink" Target="https://elpais.uy/linkenbio" TargetMode="External"/><Relationship Id="rId1297" Type="http://schemas.openxmlformats.org/officeDocument/2006/relationships/hyperlink" Target="http://linkin.bio/sbnation/" TargetMode="External"/><Relationship Id="rId465" Type="http://schemas.openxmlformats.org/officeDocument/2006/relationships/hyperlink" Target="https://linkin.bio/el_paisus" TargetMode="External"/><Relationship Id="rId1298" Type="http://schemas.openxmlformats.org/officeDocument/2006/relationships/hyperlink" Target="http://sbnation.com/nba/" TargetMode="External"/><Relationship Id="rId464" Type="http://schemas.openxmlformats.org/officeDocument/2006/relationships/hyperlink" Target="https://linkin.bio/ig-elpaissemanal" TargetMode="External"/><Relationship Id="rId1299" Type="http://schemas.openxmlformats.org/officeDocument/2006/relationships/hyperlink" Target="https://linkin.bio/scientific_american" TargetMode="External"/><Relationship Id="rId463" Type="http://schemas.openxmlformats.org/officeDocument/2006/relationships/hyperlink" Target="https://linkin.bio/elpais_opinion" TargetMode="External"/><Relationship Id="rId459" Type="http://schemas.openxmlformats.org/officeDocument/2006/relationships/hyperlink" Target="https://m.mtrbio.com/el-pais-gastro" TargetMode="External"/><Relationship Id="rId458" Type="http://schemas.openxmlformats.org/officeDocument/2006/relationships/hyperlink" Target="https://youtu.be/Emrx4mOjDi4" TargetMode="External"/><Relationship Id="rId457" Type="http://schemas.openxmlformats.org/officeDocument/2006/relationships/hyperlink" Target="https://linkin.bio/elpaischile" TargetMode="External"/><Relationship Id="rId456" Type="http://schemas.openxmlformats.org/officeDocument/2006/relationships/hyperlink" Target="https://www.elpais.com.co/" TargetMode="External"/><Relationship Id="rId1280" Type="http://schemas.openxmlformats.org/officeDocument/2006/relationships/hyperlink" Target="https://es.rollingstone.com/ryan-castro-la-valentia-de-ayer-el-exito-de-hoy/" TargetMode="External"/><Relationship Id="rId1281" Type="http://schemas.openxmlformats.org/officeDocument/2006/relationships/hyperlink" Target="https://rollingstonephilippines.com" TargetMode="External"/><Relationship Id="rId451" Type="http://schemas.openxmlformats.org/officeDocument/2006/relationships/hyperlink" Target="https://litt.ly/elledecorkorea" TargetMode="External"/><Relationship Id="rId1282" Type="http://schemas.openxmlformats.org/officeDocument/2006/relationships/hyperlink" Target="https://linkin.bio/rollingstoneuk" TargetMode="External"/><Relationship Id="rId450" Type="http://schemas.openxmlformats.org/officeDocument/2006/relationships/hyperlink" Target="http://elle.decor.kg" TargetMode="External"/><Relationship Id="rId1283" Type="http://schemas.openxmlformats.org/officeDocument/2006/relationships/hyperlink" Target="https://linktr.ee/therollingstones" TargetMode="External"/><Relationship Id="rId1284" Type="http://schemas.openxmlformats.org/officeDocument/2006/relationships/hyperlink" Target="https://sprout.link/rottentomatoes/" TargetMode="External"/><Relationship Id="rId1285" Type="http://schemas.openxmlformats.org/officeDocument/2006/relationships/hyperlink" Target="https://instagram.com/loris_2shop" TargetMode="External"/><Relationship Id="rId455" Type="http://schemas.openxmlformats.org/officeDocument/2006/relationships/hyperlink" Target="https://brasil.elpais.com/brasil/2021-12-14/aos-nossos-leitores.html" TargetMode="External"/><Relationship Id="rId1286" Type="http://schemas.openxmlformats.org/officeDocument/2006/relationships/hyperlink" Target="https://maps.app.goo.gl/6Exn85K6RiRpRkFMA?g_st=ic" TargetMode="External"/><Relationship Id="rId454" Type="http://schemas.openxmlformats.org/officeDocument/2006/relationships/hyperlink" Target="https://linkin.bio/elpaisamerica" TargetMode="External"/><Relationship Id="rId1287" Type="http://schemas.openxmlformats.org/officeDocument/2006/relationships/hyperlink" Target="http://salon.tw" TargetMode="External"/><Relationship Id="rId453" Type="http://schemas.openxmlformats.org/officeDocument/2006/relationships/hyperlink" Target="https://linkin.bio/el_pais" TargetMode="External"/><Relationship Id="rId1288" Type="http://schemas.openxmlformats.org/officeDocument/2006/relationships/hyperlink" Target="https://iwtsp.com/966557470485" TargetMode="External"/><Relationship Id="rId452" Type="http://schemas.openxmlformats.org/officeDocument/2006/relationships/hyperlink" Target="https://linktr.ee/eldiariocba" TargetMode="External"/><Relationship Id="rId1289" Type="http://schemas.openxmlformats.org/officeDocument/2006/relationships/hyperlink" Target="https://usetag.me/saveurbistrot" TargetMode="External"/><Relationship Id="rId491" Type="http://schemas.openxmlformats.org/officeDocument/2006/relationships/hyperlink" Target="https://go.galactic.tv/entrepreneur" TargetMode="External"/><Relationship Id="rId490" Type="http://schemas.openxmlformats.org/officeDocument/2006/relationships/hyperlink" Target="https://join.femaleentrepreneurassociation.com/linkinbio" TargetMode="External"/><Relationship Id="rId489" Type="http://schemas.openxmlformats.org/officeDocument/2006/relationships/hyperlink" Target="https://algofirst.co/marketing/" TargetMode="External"/><Relationship Id="rId484" Type="http://schemas.openxmlformats.org/officeDocument/2006/relationships/hyperlink" Target="https://www.zavandi.com/" TargetMode="External"/><Relationship Id="rId483" Type="http://schemas.openxmlformats.org/officeDocument/2006/relationships/hyperlink" Target="https://velvetsparkles.com" TargetMode="External"/><Relationship Id="rId482" Type="http://schemas.openxmlformats.org/officeDocument/2006/relationships/hyperlink" Target="https://ohsoperfectproposal.com/submit" TargetMode="External"/><Relationship Id="rId481" Type="http://schemas.openxmlformats.org/officeDocument/2006/relationships/hyperlink" Target="https://linktr.ee/tajjewels" TargetMode="External"/><Relationship Id="rId488" Type="http://schemas.openxmlformats.org/officeDocument/2006/relationships/hyperlink" Target="https://bit.ly/3Y9xxMp" TargetMode="External"/><Relationship Id="rId487" Type="http://schemas.openxmlformats.org/officeDocument/2006/relationships/hyperlink" Target="https://oneclick.bio/entrepreneur" TargetMode="External"/><Relationship Id="rId486" Type="http://schemas.openxmlformats.org/officeDocument/2006/relationships/hyperlink" Target="https://konect.to/edmylett" TargetMode="External"/><Relationship Id="rId485" Type="http://schemas.openxmlformats.org/officeDocument/2006/relationships/hyperlink" Target="http://grindnshineco.com" TargetMode="External"/><Relationship Id="rId480" Type="http://schemas.openxmlformats.org/officeDocument/2006/relationships/hyperlink" Target="https://linktr.ee/susiesaltzman" TargetMode="External"/><Relationship Id="rId479" Type="http://schemas.openxmlformats.org/officeDocument/2006/relationships/hyperlink" Target="http://www.sharpstonejewelry.com" TargetMode="External"/><Relationship Id="rId478" Type="http://schemas.openxmlformats.org/officeDocument/2006/relationships/hyperlink" Target="https://linktr.ee/sarahojewelry" TargetMode="External"/><Relationship Id="rId473" Type="http://schemas.openxmlformats.org/officeDocument/2006/relationships/hyperlink" Target="https://erstwhilejewelry.com" TargetMode="External"/><Relationship Id="rId472" Type="http://schemas.openxmlformats.org/officeDocument/2006/relationships/hyperlink" Target="https://cullenjewellery.com" TargetMode="External"/><Relationship Id="rId471" Type="http://schemas.openxmlformats.org/officeDocument/2006/relationships/hyperlink" Target="https://linkin.bio/chupi" TargetMode="External"/><Relationship Id="rId470" Type="http://schemas.openxmlformats.org/officeDocument/2006/relationships/hyperlink" Target="http://linktr.ee/berlingerjewelry" TargetMode="External"/><Relationship Id="rId477" Type="http://schemas.openxmlformats.org/officeDocument/2006/relationships/hyperlink" Target="http://www.oorejewelry.com/" TargetMode="External"/><Relationship Id="rId476" Type="http://schemas.openxmlformats.org/officeDocument/2006/relationships/hyperlink" Target="https://linktr.ee/novita.diamonds" TargetMode="External"/><Relationship Id="rId475" Type="http://schemas.openxmlformats.org/officeDocument/2006/relationships/hyperlink" Target="https://londondiamonds.com/pages/bespoke" TargetMode="External"/><Relationship Id="rId474" Type="http://schemas.openxmlformats.org/officeDocument/2006/relationships/hyperlink" Target="https://flawlessfinejewellery.bio" TargetMode="External"/><Relationship Id="rId1257" Type="http://schemas.openxmlformats.org/officeDocument/2006/relationships/hyperlink" Target="https://portaly.cc/twreporter" TargetMode="External"/><Relationship Id="rId1258" Type="http://schemas.openxmlformats.org/officeDocument/2006/relationships/hyperlink" Target="https://smartlink.bio/reuters" TargetMode="External"/><Relationship Id="rId1259" Type="http://schemas.openxmlformats.org/officeDocument/2006/relationships/hyperlink" Target="https://www.reuters.com/sports/" TargetMode="External"/><Relationship Id="rId426" Type="http://schemas.openxmlformats.org/officeDocument/2006/relationships/hyperlink" Target="https://likeshop.me/editorialist" TargetMode="External"/><Relationship Id="rId425" Type="http://schemas.openxmlformats.org/officeDocument/2006/relationships/hyperlink" Target="https://beacons.page/domanieditoriale" TargetMode="External"/><Relationship Id="rId424" Type="http://schemas.openxmlformats.org/officeDocument/2006/relationships/hyperlink" Target="http://www.daniloandsharon.com" TargetMode="External"/><Relationship Id="rId423" Type="http://schemas.openxmlformats.org/officeDocument/2006/relationships/hyperlink" Target="https://t.me/ediitornadia" TargetMode="External"/><Relationship Id="rId429" Type="http://schemas.openxmlformats.org/officeDocument/2006/relationships/hyperlink" Target="https://s.mtrbio.com/espasa-editorial" TargetMode="External"/><Relationship Id="rId428" Type="http://schemas.openxmlformats.org/officeDocument/2006/relationships/hyperlink" Target="http://www.emilyprada.com" TargetMode="External"/><Relationship Id="rId427" Type="http://schemas.openxmlformats.org/officeDocument/2006/relationships/hyperlink" Target="https://linke.to/edit_planeta" TargetMode="External"/><Relationship Id="rId1250" Type="http://schemas.openxmlformats.org/officeDocument/2006/relationships/hyperlink" Target="http://linkin.bio/hollywoodreporter" TargetMode="External"/><Relationship Id="rId1251" Type="http://schemas.openxmlformats.org/officeDocument/2006/relationships/hyperlink" Target="https://linktr.ee/rachel__nichols" TargetMode="External"/><Relationship Id="rId1252" Type="http://schemas.openxmlformats.org/officeDocument/2006/relationships/hyperlink" Target="http://wbznewsradio.com" TargetMode="External"/><Relationship Id="rId422" Type="http://schemas.openxmlformats.org/officeDocument/2006/relationships/hyperlink" Target="https://pwrk.in/jgBiF" TargetMode="External"/><Relationship Id="rId1253" Type="http://schemas.openxmlformats.org/officeDocument/2006/relationships/hyperlink" Target="https://youtube.com/@reporter-offiziell" TargetMode="External"/><Relationship Id="rId421" Type="http://schemas.openxmlformats.org/officeDocument/2006/relationships/hyperlink" Target="https://mlle.net" TargetMode="External"/><Relationship Id="rId1254" Type="http://schemas.openxmlformats.org/officeDocument/2006/relationships/hyperlink" Target="https://www.facebook.com/ReporteRosa" TargetMode="External"/><Relationship Id="rId420" Type="http://schemas.openxmlformats.org/officeDocument/2006/relationships/hyperlink" Target="https://likeshop.me/eater_sf" TargetMode="External"/><Relationship Id="rId1255" Type="http://schemas.openxmlformats.org/officeDocument/2006/relationships/hyperlink" Target="https://linkin.bio/saharareporters" TargetMode="External"/><Relationship Id="rId1256" Type="http://schemas.openxmlformats.org/officeDocument/2006/relationships/hyperlink" Target="https://theartreporter.com/" TargetMode="External"/><Relationship Id="rId1246" Type="http://schemas.openxmlformats.org/officeDocument/2006/relationships/hyperlink" Target="https://linkin.bio/refinery29germany" TargetMode="External"/><Relationship Id="rId1247" Type="http://schemas.openxmlformats.org/officeDocument/2006/relationships/hyperlink" Target="https://linkin.bio/ig-refinery29uk" TargetMode="External"/><Relationship Id="rId1248" Type="http://schemas.openxmlformats.org/officeDocument/2006/relationships/hyperlink" Target="http://bullreporter.it" TargetMode="External"/><Relationship Id="rId1249" Type="http://schemas.openxmlformats.org/officeDocument/2006/relationships/hyperlink" Target="https://youtu.be/Yqcu3uGOtpw?si=zZJ-qbmAnXLmHL2N" TargetMode="External"/><Relationship Id="rId415" Type="http://schemas.openxmlformats.org/officeDocument/2006/relationships/hyperlink" Target="https://likeshop.me/eater_dc" TargetMode="External"/><Relationship Id="rId899" Type="http://schemas.openxmlformats.org/officeDocument/2006/relationships/hyperlink" Target="http://www.smalkinemedia.com" TargetMode="External"/><Relationship Id="rId414" Type="http://schemas.openxmlformats.org/officeDocument/2006/relationships/hyperlink" Target="https://likeshop.me/eater_chicago" TargetMode="External"/><Relationship Id="rId898" Type="http://schemas.openxmlformats.org/officeDocument/2006/relationships/hyperlink" Target="http://slukh.media" TargetMode="External"/><Relationship Id="rId413" Type="http://schemas.openxmlformats.org/officeDocument/2006/relationships/hyperlink" Target="https://likeshop.me/eatercarolinas" TargetMode="External"/><Relationship Id="rId897" Type="http://schemas.openxmlformats.org/officeDocument/2006/relationships/hyperlink" Target="http://www.saymedia.info/" TargetMode="External"/><Relationship Id="rId412" Type="http://schemas.openxmlformats.org/officeDocument/2006/relationships/hyperlink" Target="http://likeshop.me/eater" TargetMode="External"/><Relationship Id="rId896" Type="http://schemas.openxmlformats.org/officeDocument/2006/relationships/hyperlink" Target="http://realtorsmediahouse.com/" TargetMode="External"/><Relationship Id="rId419" Type="http://schemas.openxmlformats.org/officeDocument/2006/relationships/hyperlink" Target="https://likeshop.me/eater_ny" TargetMode="External"/><Relationship Id="rId418" Type="http://schemas.openxmlformats.org/officeDocument/2006/relationships/hyperlink" Target="http://linktr.ee/eatermusic" TargetMode="External"/><Relationship Id="rId417" Type="http://schemas.openxmlformats.org/officeDocument/2006/relationships/hyperlink" Target="https://likeshop.me/eatermiami" TargetMode="External"/><Relationship Id="rId416" Type="http://schemas.openxmlformats.org/officeDocument/2006/relationships/hyperlink" Target="https://likeshop.me/eater_la" TargetMode="External"/><Relationship Id="rId891" Type="http://schemas.openxmlformats.org/officeDocument/2006/relationships/hyperlink" Target="http://massmedia.ng" TargetMode="External"/><Relationship Id="rId890" Type="http://schemas.openxmlformats.org/officeDocument/2006/relationships/hyperlink" Target="https://youtube.com/channel/UCdmY7z4aT_gkRfgVQYZgvbQ" TargetMode="External"/><Relationship Id="rId1240" Type="http://schemas.openxmlformats.org/officeDocument/2006/relationships/hyperlink" Target="http://stray-kids.lnk.to/KARMA" TargetMode="External"/><Relationship Id="rId1241" Type="http://schemas.openxmlformats.org/officeDocument/2006/relationships/hyperlink" Target="https://www.reelshort.com/campaign/movie-making-contest" TargetMode="External"/><Relationship Id="rId411" Type="http://schemas.openxmlformats.org/officeDocument/2006/relationships/hyperlink" Target="https://brunch.co.kr/@breadseater" TargetMode="External"/><Relationship Id="rId895" Type="http://schemas.openxmlformats.org/officeDocument/2006/relationships/hyperlink" Target="http://logicmedia.com.au" TargetMode="External"/><Relationship Id="rId1242" Type="http://schemas.openxmlformats.org/officeDocument/2006/relationships/hyperlink" Target="https://linktr.ee/trendspotter.xyz" TargetMode="External"/><Relationship Id="rId410" Type="http://schemas.openxmlformats.org/officeDocument/2006/relationships/hyperlink" Target="https://practicdomus.es/" TargetMode="External"/><Relationship Id="rId894" Type="http://schemas.openxmlformats.org/officeDocument/2006/relationships/hyperlink" Target="http://cncmedia.it/link" TargetMode="External"/><Relationship Id="rId1243" Type="http://schemas.openxmlformats.org/officeDocument/2006/relationships/hyperlink" Target="http://linkin.bio/ig-refinery29/" TargetMode="External"/><Relationship Id="rId893" Type="http://schemas.openxmlformats.org/officeDocument/2006/relationships/hyperlink" Target="http://acmediaau.com" TargetMode="External"/><Relationship Id="rId1244" Type="http://schemas.openxmlformats.org/officeDocument/2006/relationships/hyperlink" Target="https://lnk.bio/refinery29au" TargetMode="External"/><Relationship Id="rId892" Type="http://schemas.openxmlformats.org/officeDocument/2006/relationships/hyperlink" Target="https://www.facebook.com/profile.php?id=100063480731117&amp;mibextid=LQQJ4d" TargetMode="External"/><Relationship Id="rId1245" Type="http://schemas.openxmlformats.org/officeDocument/2006/relationships/hyperlink" Target="https://linkin.bio/refinery29canada" TargetMode="External"/><Relationship Id="rId1279" Type="http://schemas.openxmlformats.org/officeDocument/2006/relationships/hyperlink" Target="https://linkin.bio/rollingstonekorea" TargetMode="External"/><Relationship Id="rId448" Type="http://schemas.openxmlformats.org/officeDocument/2006/relationships/hyperlink" Target="https://linktr.ee/elledecoritalia" TargetMode="External"/><Relationship Id="rId447" Type="http://schemas.openxmlformats.org/officeDocument/2006/relationships/hyperlink" Target="https://linkin.bio/elledecorindia" TargetMode="External"/><Relationship Id="rId446" Type="http://schemas.openxmlformats.org/officeDocument/2006/relationships/hyperlink" Target="https://likeshop.me/elledecorationuk" TargetMode="External"/><Relationship Id="rId445" Type="http://schemas.openxmlformats.org/officeDocument/2006/relationships/hyperlink" Target="https://www.elle.com/nl/interieur/" TargetMode="External"/><Relationship Id="rId449" Type="http://schemas.openxmlformats.org/officeDocument/2006/relationships/hyperlink" Target="https://www.elle.com/jp/decor/" TargetMode="External"/><Relationship Id="rId1270" Type="http://schemas.openxmlformats.org/officeDocument/2006/relationships/hyperlink" Target="http://linkin.bio/rollingstoneaus" TargetMode="External"/><Relationship Id="rId440" Type="http://schemas.openxmlformats.org/officeDocument/2006/relationships/hyperlink" Target="https://elle.com.br/elle-decoration" TargetMode="External"/><Relationship Id="rId1271" Type="http://schemas.openxmlformats.org/officeDocument/2006/relationships/hyperlink" Target="https://linksperfil.com/rollingstone/" TargetMode="External"/><Relationship Id="rId1272" Type="http://schemas.openxmlformats.org/officeDocument/2006/relationships/hyperlink" Target="https://linktr.ee/RollingStoneEnEspanol" TargetMode="External"/><Relationship Id="rId1273" Type="http://schemas.openxmlformats.org/officeDocument/2006/relationships/hyperlink" Target="https://linktr.ee/rollingstonede" TargetMode="External"/><Relationship Id="rId1274" Type="http://schemas.openxmlformats.org/officeDocument/2006/relationships/hyperlink" Target="https://es.rollingstone.com/suscripciones-digital/" TargetMode="External"/><Relationship Id="rId444" Type="http://schemas.openxmlformats.org/officeDocument/2006/relationships/hyperlink" Target="http://linkin.bio/elledecorationfr" TargetMode="External"/><Relationship Id="rId1275" Type="http://schemas.openxmlformats.org/officeDocument/2006/relationships/hyperlink" Target="https://linktr.ee/RollingStoneEnEspanol" TargetMode="External"/><Relationship Id="rId443" Type="http://schemas.openxmlformats.org/officeDocument/2006/relationships/hyperlink" Target="https://mtr.bio/elledecorationes-375719" TargetMode="External"/><Relationship Id="rId1276" Type="http://schemas.openxmlformats.org/officeDocument/2006/relationships/hyperlink" Target="https://lnk.bio/rollingstonein" TargetMode="External"/><Relationship Id="rId442" Type="http://schemas.openxmlformats.org/officeDocument/2006/relationships/hyperlink" Target="http://likeshop.me/elledecor" TargetMode="External"/><Relationship Id="rId1277" Type="http://schemas.openxmlformats.org/officeDocument/2006/relationships/hyperlink" Target="https://linktr.ee/rollingstoneitalia" TargetMode="External"/><Relationship Id="rId441" Type="http://schemas.openxmlformats.org/officeDocument/2006/relationships/hyperlink" Target="https://elle.mx/decoration-revista-digital-octubre-2023" TargetMode="External"/><Relationship Id="rId1278" Type="http://schemas.openxmlformats.org/officeDocument/2006/relationships/hyperlink" Target="https://rollingstonejapan.com" TargetMode="External"/><Relationship Id="rId1268" Type="http://schemas.openxmlformats.org/officeDocument/2006/relationships/hyperlink" Target="http://www.rollingstoneafrica.com" TargetMode="External"/><Relationship Id="rId1269" Type="http://schemas.openxmlformats.org/officeDocument/2006/relationships/hyperlink" Target="https://linktr.ee/rollingstonear" TargetMode="External"/><Relationship Id="rId437" Type="http://schemas.openxmlformats.org/officeDocument/2006/relationships/hyperlink" Target="https://www.elle.com/tw/" TargetMode="External"/><Relationship Id="rId436" Type="http://schemas.openxmlformats.org/officeDocument/2006/relationships/hyperlink" Target="https://linktr.ee/elleswift" TargetMode="External"/><Relationship Id="rId435" Type="http://schemas.openxmlformats.org/officeDocument/2006/relationships/hyperlink" Target="https://linkin.bio/elle_mexico" TargetMode="External"/><Relationship Id="rId434" Type="http://schemas.openxmlformats.org/officeDocument/2006/relationships/hyperlink" Target="https://www.eleffect.com.au/" TargetMode="External"/><Relationship Id="rId439" Type="http://schemas.openxmlformats.org/officeDocument/2006/relationships/hyperlink" Target="http://salonelle.co" TargetMode="External"/><Relationship Id="rId438" Type="http://schemas.openxmlformats.org/officeDocument/2006/relationships/hyperlink" Target="http://likeshop.me/elleusa" TargetMode="External"/><Relationship Id="rId1260" Type="http://schemas.openxmlformats.org/officeDocument/2006/relationships/hyperlink" Target="https://www.thomsonreuters.com/en/about-us/our-purpose.html" TargetMode="External"/><Relationship Id="rId1261" Type="http://schemas.openxmlformats.org/officeDocument/2006/relationships/hyperlink" Target="https://www.theringer.com" TargetMode="External"/><Relationship Id="rId1262" Type="http://schemas.openxmlformats.org/officeDocument/2006/relationships/hyperlink" Target="https://youtube.com/@ringeriscool" TargetMode="External"/><Relationship Id="rId1263" Type="http://schemas.openxmlformats.org/officeDocument/2006/relationships/hyperlink" Target="https://linktr.ee/ringerfantasyfootball" TargetMode="External"/><Relationship Id="rId433" Type="http://schemas.openxmlformats.org/officeDocument/2006/relationships/hyperlink" Target="http://linktr.ee/eatatelle/" TargetMode="External"/><Relationship Id="rId1264" Type="http://schemas.openxmlformats.org/officeDocument/2006/relationships/hyperlink" Target="https://www.ringers.co.il/" TargetMode="External"/><Relationship Id="rId432" Type="http://schemas.openxmlformats.org/officeDocument/2006/relationships/hyperlink" Target="https://vangelisphotography.com/links" TargetMode="External"/><Relationship Id="rId1265" Type="http://schemas.openxmlformats.org/officeDocument/2006/relationships/hyperlink" Target="https://shep.id" TargetMode="External"/><Relationship Id="rId431" Type="http://schemas.openxmlformats.org/officeDocument/2006/relationships/hyperlink" Target="https://www.theeditorialstyle.com/creativethinking" TargetMode="External"/><Relationship Id="rId1266" Type="http://schemas.openxmlformats.org/officeDocument/2006/relationships/hyperlink" Target="http://spoti.fi/TheRingerVerse" TargetMode="External"/><Relationship Id="rId430" Type="http://schemas.openxmlformats.org/officeDocument/2006/relationships/hyperlink" Target="http://www.nikkibakerphotographyy.com/links" TargetMode="External"/><Relationship Id="rId1267" Type="http://schemas.openxmlformats.org/officeDocument/2006/relationships/hyperlink" Target="https://linkin.bio/rollingstone" TargetMode="External"/></Relationships>
</file>

<file path=xl/worksheets/_rels/sheet10.xml.rels><?xml version="1.0" encoding="UTF-8" standalone="yes"?><Relationships xmlns="http://schemas.openxmlformats.org/package/2006/relationships"><Relationship Id="rId392" Type="http://schemas.openxmlformats.org/officeDocument/2006/relationships/hyperlink" Target="https://bio.site/MonicaKg" TargetMode="External"/><Relationship Id="rId391" Type="http://schemas.openxmlformats.org/officeDocument/2006/relationships/hyperlink" Target="https://linktr.ee/mitchellsoegiardjo" TargetMode="External"/><Relationship Id="rId390" Type="http://schemas.openxmlformats.org/officeDocument/2006/relationships/hyperlink" Target="https://www.cameo.com/mitchellhope" TargetMode="External"/><Relationship Id="rId1" Type="http://schemas.openxmlformats.org/officeDocument/2006/relationships/hyperlink" Target="http://theweeknd.com/tour" TargetMode="External"/><Relationship Id="rId2" Type="http://schemas.openxmlformats.org/officeDocument/2006/relationships/hyperlink" Target="https://t.me/+d5iQhBehjbE2YWE6" TargetMode="External"/><Relationship Id="rId3" Type="http://schemas.openxmlformats.org/officeDocument/2006/relationships/hyperlink" Target="https://youtu.be/XElUWxn5G_0?si=8FZh8xrdFPuHEhOM" TargetMode="External"/><Relationship Id="rId4" Type="http://schemas.openxmlformats.org/officeDocument/2006/relationships/hyperlink" Target="https://linktr.ee/aiden_kroll" TargetMode="External"/><Relationship Id="rId9" Type="http://schemas.openxmlformats.org/officeDocument/2006/relationships/hyperlink" Target="https://alejandrosanz.lnk.to/YAhoraQue" TargetMode="External"/><Relationship Id="rId385" Type="http://schemas.openxmlformats.org/officeDocument/2006/relationships/hyperlink" Target="https://www.shopltk.com/explore/Michelle_Clark_" TargetMode="External"/><Relationship Id="rId384" Type="http://schemas.openxmlformats.org/officeDocument/2006/relationships/hyperlink" Target="http://shopcostello.com" TargetMode="External"/><Relationship Id="rId383" Type="http://schemas.openxmlformats.org/officeDocument/2006/relationships/hyperlink" Target="http://michaelbrownbeauty.com.au/" TargetMode="External"/><Relationship Id="rId382" Type="http://schemas.openxmlformats.org/officeDocument/2006/relationships/hyperlink" Target="https://www.correttoco.com" TargetMode="External"/><Relationship Id="rId5" Type="http://schemas.openxmlformats.org/officeDocument/2006/relationships/hyperlink" Target="https://linktr.ee/solina.membership" TargetMode="External"/><Relationship Id="rId389" Type="http://schemas.openxmlformats.org/officeDocument/2006/relationships/hyperlink" Target="https://miguelharichi.komi.io" TargetMode="External"/><Relationship Id="rId6" Type="http://schemas.openxmlformats.org/officeDocument/2006/relationships/hyperlink" Target="https://youtu.be/H6JinDpcAJg?si=8pf5kMcXzgu8okwq" TargetMode="External"/><Relationship Id="rId388" Type="http://schemas.openxmlformats.org/officeDocument/2006/relationships/hyperlink" Target="http://www.s1c.la" TargetMode="External"/><Relationship Id="rId7" Type="http://schemas.openxmlformats.org/officeDocument/2006/relationships/hyperlink" Target="https://alejandrosanz.lnk.to/YAhoraQue" TargetMode="External"/><Relationship Id="rId387" Type="http://schemas.openxmlformats.org/officeDocument/2006/relationships/hyperlink" Target="https://www.emcosmetics.com/" TargetMode="External"/><Relationship Id="rId8" Type="http://schemas.openxmlformats.org/officeDocument/2006/relationships/hyperlink" Target="http://www.lane-casting.com/" TargetMode="External"/><Relationship Id="rId386" Type="http://schemas.openxmlformats.org/officeDocument/2006/relationships/hyperlink" Target="https://www.youtube.com/watch?v=yg1dSdvYoaY&amp;t=672s" TargetMode="External"/><Relationship Id="rId381" Type="http://schemas.openxmlformats.org/officeDocument/2006/relationships/hyperlink" Target="http://michaelkors.com" TargetMode="External"/><Relationship Id="rId380" Type="http://schemas.openxmlformats.org/officeDocument/2006/relationships/hyperlink" Target="http://michaeljackson.com/" TargetMode="External"/><Relationship Id="rId379" Type="http://schemas.openxmlformats.org/officeDocument/2006/relationships/hyperlink" Target="https://megantheestallion.lnk.to/Whenever" TargetMode="External"/><Relationship Id="rId374" Type="http://schemas.openxmlformats.org/officeDocument/2006/relationships/hyperlink" Target="https://causematch.com/cwv/matthew" TargetMode="External"/><Relationship Id="rId373" Type="http://schemas.openxmlformats.org/officeDocument/2006/relationships/hyperlink" Target="https://linkin.bio/martine_rose" TargetMode="External"/><Relationship Id="rId372" Type="http://schemas.openxmlformats.org/officeDocument/2006/relationships/hyperlink" Target="https://linktr.ee/Markellyemacao_" TargetMode="External"/><Relationship Id="rId371" Type="http://schemas.openxmlformats.org/officeDocument/2006/relationships/hyperlink" Target="https://youtu.be/dtDk5RYE1uQ?si=lOaKw_vd3tAPLLaZ" TargetMode="External"/><Relationship Id="rId378" Type="http://schemas.openxmlformats.org/officeDocument/2006/relationships/hyperlink" Target="http://maxwellalexandre.faith" TargetMode="External"/><Relationship Id="rId377" Type="http://schemas.openxmlformats.org/officeDocument/2006/relationships/hyperlink" Target="https://maxwell187-shop.de/" TargetMode="External"/><Relationship Id="rId376" Type="http://schemas.openxmlformats.org/officeDocument/2006/relationships/hyperlink" Target="http://musze.com/" TargetMode="External"/><Relationship Id="rId375" Type="http://schemas.openxmlformats.org/officeDocument/2006/relationships/hyperlink" Target="http://brandonmaxwellonline.com/" TargetMode="External"/><Relationship Id="rId396" Type="http://schemas.openxmlformats.org/officeDocument/2006/relationships/hyperlink" Target="https://linktr.ee/isnathan" TargetMode="External"/><Relationship Id="rId395" Type="http://schemas.openxmlformats.org/officeDocument/2006/relationships/hyperlink" Target="http://www.natalieobradovich.com/" TargetMode="External"/><Relationship Id="rId394" Type="http://schemas.openxmlformats.org/officeDocument/2006/relationships/hyperlink" Target="https://morganwallen.lnk.to/imtheproblemalbum" TargetMode="External"/><Relationship Id="rId393" Type="http://schemas.openxmlformats.org/officeDocument/2006/relationships/hyperlink" Target="http://goofygang.com" TargetMode="External"/><Relationship Id="rId399" Type="http://schemas.openxmlformats.org/officeDocument/2006/relationships/hyperlink" Target="https://cleancapital.com/2020/08/episode-74-nicole-systrom/" TargetMode="External"/><Relationship Id="rId398" Type="http://schemas.openxmlformats.org/officeDocument/2006/relationships/hyperlink" Target="https://nickinicole.lnk.to/NAIKI/spotify" TargetMode="External"/><Relationship Id="rId397" Type="http://schemas.openxmlformats.org/officeDocument/2006/relationships/hyperlink" Target="https://www.wmagazine.com/culture/nicholas-galitzine-the-idea-of-you-he-man-interview" TargetMode="External"/><Relationship Id="rId40" Type="http://schemas.openxmlformats.org/officeDocument/2006/relationships/hyperlink" Target="https://msha.ke/arig088_" TargetMode="External"/><Relationship Id="rId42" Type="http://schemas.openxmlformats.org/officeDocument/2006/relationships/hyperlink" Target="https://substack.com/@ashleygraham/note/p-171906991?r=ti35f&amp;utm_medium=ios&amp;utm_source=notes-share-action" TargetMode="External"/><Relationship Id="rId41" Type="http://schemas.openxmlformats.org/officeDocument/2006/relationships/hyperlink" Target="http://armandobacotjr.com" TargetMode="External"/><Relationship Id="rId44" Type="http://schemas.openxmlformats.org/officeDocument/2006/relationships/hyperlink" Target="https://browseallmylinks.com/autumn/" TargetMode="External"/><Relationship Id="rId43" Type="http://schemas.openxmlformats.org/officeDocument/2006/relationships/hyperlink" Target="https://www.themeganashley.com/links" TargetMode="External"/><Relationship Id="rId46" Type="http://schemas.openxmlformats.org/officeDocument/2006/relationships/hyperlink" Target="https://onlylinks.com/autumnrenxo" TargetMode="External"/><Relationship Id="rId45" Type="http://schemas.openxmlformats.org/officeDocument/2006/relationships/hyperlink" Target="https://onlylinks.com/autumnrenxo" TargetMode="External"/><Relationship Id="rId48" Type="http://schemas.openxmlformats.org/officeDocument/2006/relationships/hyperlink" Target="https://shopmy.us/barbarakristoffersen" TargetMode="External"/><Relationship Id="rId47" Type="http://schemas.openxmlformats.org/officeDocument/2006/relationships/hyperlink" Target="https://ingrv.es/vida-leve-jmj-8" TargetMode="External"/><Relationship Id="rId49" Type="http://schemas.openxmlformats.org/officeDocument/2006/relationships/hyperlink" Target="https://officialbarbaraoneill.com/events" TargetMode="External"/><Relationship Id="rId31" Type="http://schemas.openxmlformats.org/officeDocument/2006/relationships/hyperlink" Target="https://www.superprof.co.uk/industry-professional-with-over-years-experience-the-business-represented-top-tier-ukus-talent-here-share-knowledge.html" TargetMode="External"/><Relationship Id="rId30" Type="http://schemas.openxmlformats.org/officeDocument/2006/relationships/hyperlink" Target="http://herohero.co/andreasaky" TargetMode="External"/><Relationship Id="rId33" Type="http://schemas.openxmlformats.org/officeDocument/2006/relationships/hyperlink" Target="https://linktr.ee/angelstudiosinc" TargetMode="External"/><Relationship Id="rId32" Type="http://schemas.openxmlformats.org/officeDocument/2006/relationships/hyperlink" Target="https://t.me/andrewbayda" TargetMode="External"/><Relationship Id="rId35" Type="http://schemas.openxmlformats.org/officeDocument/2006/relationships/hyperlink" Target="http://angela-models.com" TargetMode="External"/><Relationship Id="rId34" Type="http://schemas.openxmlformats.org/officeDocument/2006/relationships/hyperlink" Target="http://linktr.ee/losangelesangels/" TargetMode="External"/><Relationship Id="rId37" Type="http://schemas.openxmlformats.org/officeDocument/2006/relationships/hyperlink" Target="https://linktr.ee/annefernandes.bio" TargetMode="External"/><Relationship Id="rId36" Type="http://schemas.openxmlformats.org/officeDocument/2006/relationships/hyperlink" Target="http://maligoshik.com" TargetMode="External"/><Relationship Id="rId39" Type="http://schemas.openxmlformats.org/officeDocument/2006/relationships/hyperlink" Target="https://antonio-merch.com" TargetMode="External"/><Relationship Id="rId38" Type="http://schemas.openxmlformats.org/officeDocument/2006/relationships/hyperlink" Target="https://youtube.com/@Thetimepiecegentleman" TargetMode="External"/><Relationship Id="rId20" Type="http://schemas.openxmlformats.org/officeDocument/2006/relationships/hyperlink" Target="https://youtu.be/m3vozVLCYwo" TargetMode="External"/><Relationship Id="rId22" Type="http://schemas.openxmlformats.org/officeDocument/2006/relationships/hyperlink" Target="https://www.xiaohongshu.com/user/profile/5defb7290000000001005a52?xhsshare=CopyLink&amp;appuid=5defb7290000000001005a52&amp;apptime=1711976022" TargetMode="External"/><Relationship Id="rId21" Type="http://schemas.openxmlformats.org/officeDocument/2006/relationships/hyperlink" Target="https://sprout.link/allenandunwin" TargetMode="External"/><Relationship Id="rId24" Type="http://schemas.openxmlformats.org/officeDocument/2006/relationships/hyperlink" Target="https://linktr.ee/FionaAllison" TargetMode="External"/><Relationship Id="rId23" Type="http://schemas.openxmlformats.org/officeDocument/2006/relationships/hyperlink" Target="https://bit.ly/AllenIversonBook" TargetMode="External"/><Relationship Id="rId26" Type="http://schemas.openxmlformats.org/officeDocument/2006/relationships/hyperlink" Target="http://tiktok.com/@amandaazoitei" TargetMode="External"/><Relationship Id="rId25" Type="http://schemas.openxmlformats.org/officeDocument/2006/relationships/hyperlink" Target="https://linktr.ee/amandaclairee/" TargetMode="External"/><Relationship Id="rId28" Type="http://schemas.openxmlformats.org/officeDocument/2006/relationships/hyperlink" Target="http://www.anajohnson.com" TargetMode="External"/><Relationship Id="rId27" Type="http://schemas.openxmlformats.org/officeDocument/2006/relationships/hyperlink" Target="https://linktr.ee/amelljia" TargetMode="External"/><Relationship Id="rId29" Type="http://schemas.openxmlformats.org/officeDocument/2006/relationships/hyperlink" Target="https://linktr.ee/standregolf" TargetMode="External"/><Relationship Id="rId11" Type="http://schemas.openxmlformats.org/officeDocument/2006/relationships/hyperlink" Target="https://linktr.ee/rauwalejandro" TargetMode="External"/><Relationship Id="rId10" Type="http://schemas.openxmlformats.org/officeDocument/2006/relationships/hyperlink" Target="http://www.strava.com/" TargetMode="External"/><Relationship Id="rId13" Type="http://schemas.openxmlformats.org/officeDocument/2006/relationships/hyperlink" Target="https://alexandertlv.com/bakeryshop/" TargetMode="External"/><Relationship Id="rId12" Type="http://schemas.openxmlformats.org/officeDocument/2006/relationships/hyperlink" Target="https://alwaysbeshipping.xyz/" TargetMode="External"/><Relationship Id="rId15" Type="http://schemas.openxmlformats.org/officeDocument/2006/relationships/hyperlink" Target="https://linktr.ee/alfonsodapice" TargetMode="External"/><Relationship Id="rId14" Type="http://schemas.openxmlformats.org/officeDocument/2006/relationships/hyperlink" Target="https://www.tiktok.com/@_alfonsoavila" TargetMode="External"/><Relationship Id="rId17" Type="http://schemas.openxmlformats.org/officeDocument/2006/relationships/hyperlink" Target="http://alfonsogimeno13.tumblr.com/" TargetMode="External"/><Relationship Id="rId16" Type="http://schemas.openxmlformats.org/officeDocument/2006/relationships/hyperlink" Target="https://www.patreon.com/INSPIRATIONWITHALFONSOFOSTER?utm_campaign=creatorshare_creator" TargetMode="External"/><Relationship Id="rId19" Type="http://schemas.openxmlformats.org/officeDocument/2006/relationships/hyperlink" Target="https://applytoamplify.com/alfonso" TargetMode="External"/><Relationship Id="rId18" Type="http://schemas.openxmlformats.org/officeDocument/2006/relationships/hyperlink" Target="http://kickstarter.com/projects/vinaliskincare/support-family-heritage-relaunch-clean-skincare-from-spain" TargetMode="External"/><Relationship Id="rId84" Type="http://schemas.openxmlformats.org/officeDocument/2006/relationships/hyperlink" Target="http://vsco.co/brookebilik" TargetMode="External"/><Relationship Id="rId83" Type="http://schemas.openxmlformats.org/officeDocument/2006/relationships/hyperlink" Target="https://youtu.be/PbbQtR5AdUo?si=_K2Q8N7OKNm-08Tv" TargetMode="External"/><Relationship Id="rId86" Type="http://schemas.openxmlformats.org/officeDocument/2006/relationships/hyperlink" Target="http://brucebolt.us" TargetMode="External"/><Relationship Id="rId85" Type="http://schemas.openxmlformats.org/officeDocument/2006/relationships/hyperlink" Target="https://app.getpinpoint.io/brookemonk" TargetMode="External"/><Relationship Id="rId88" Type="http://schemas.openxmlformats.org/officeDocument/2006/relationships/hyperlink" Target="http://shop.brucelee.com" TargetMode="External"/><Relationship Id="rId87" Type="http://schemas.openxmlformats.org/officeDocument/2006/relationships/hyperlink" Target="http://brucebolt.us" TargetMode="External"/><Relationship Id="rId89" Type="http://schemas.openxmlformats.org/officeDocument/2006/relationships/hyperlink" Target="http://twitch.tv/brucedropemoff" TargetMode="External"/><Relationship Id="rId80" Type="http://schemas.openxmlformats.org/officeDocument/2006/relationships/hyperlink" Target="https://podcasts.apple.com/us/podcast/when-reality-hits-with-jax-and-brittany/id1678330734" TargetMode="External"/><Relationship Id="rId82" Type="http://schemas.openxmlformats.org/officeDocument/2006/relationships/hyperlink" Target="https://www.shopltk.com/explore/brittanylynne" TargetMode="External"/><Relationship Id="rId81" Type="http://schemas.openxmlformats.org/officeDocument/2006/relationships/hyperlink" Target="http://brittanybroski.lnk.to/stained" TargetMode="External"/><Relationship Id="rId73" Type="http://schemas.openxmlformats.org/officeDocument/2006/relationships/hyperlink" Target="https://brendanpeyper.lnk.to/RooiVlag" TargetMode="External"/><Relationship Id="rId72" Type="http://schemas.openxmlformats.org/officeDocument/2006/relationships/hyperlink" Target="https://mtr.bio/brendan-pang" TargetMode="External"/><Relationship Id="rId75" Type="http://schemas.openxmlformats.org/officeDocument/2006/relationships/hyperlink" Target="https://linktr.ee/brenxdan" TargetMode="External"/><Relationship Id="rId74" Type="http://schemas.openxmlformats.org/officeDocument/2006/relationships/hyperlink" Target="https://link.me/bbarbieof" TargetMode="External"/><Relationship Id="rId77" Type="http://schemas.openxmlformats.org/officeDocument/2006/relationships/hyperlink" Target="https://gocampaign.org" TargetMode="External"/><Relationship Id="rId76" Type="http://schemas.openxmlformats.org/officeDocument/2006/relationships/hyperlink" Target="https://linktr.ee/theboulderbro" TargetMode="External"/><Relationship Id="rId79" Type="http://schemas.openxmlformats.org/officeDocument/2006/relationships/hyperlink" Target="https://youtube.com/@djbrianne-y7q?si=J0RMZG-Fex-5R1OQ" TargetMode="External"/><Relationship Id="rId78" Type="http://schemas.openxmlformats.org/officeDocument/2006/relationships/hyperlink" Target="https://youtu.be/n9t7pcLp5rA?si=F84Z8jaeDNKCJFrY" TargetMode="External"/><Relationship Id="rId71" Type="http://schemas.openxmlformats.org/officeDocument/2006/relationships/hyperlink" Target="https://beacons.ai/bender.brendan" TargetMode="External"/><Relationship Id="rId70" Type="http://schemas.openxmlformats.org/officeDocument/2006/relationships/hyperlink" Target="http://brendastudio.com" TargetMode="External"/><Relationship Id="rId62" Type="http://schemas.openxmlformats.org/officeDocument/2006/relationships/hyperlink" Target="https://bradleysimpson.lnk.to/almostxHJ" TargetMode="External"/><Relationship Id="rId61" Type="http://schemas.openxmlformats.org/officeDocument/2006/relationships/hyperlink" Target="https://linktr.ee/nomadanima1" TargetMode="External"/><Relationship Id="rId64" Type="http://schemas.openxmlformats.org/officeDocument/2006/relationships/hyperlink" Target="https://laylo.com/brandy/TBIM" TargetMode="External"/><Relationship Id="rId63" Type="http://schemas.openxmlformats.org/officeDocument/2006/relationships/hyperlink" Target="https://linkin.bio/bradley_zero" TargetMode="External"/><Relationship Id="rId66" Type="http://schemas.openxmlformats.org/officeDocument/2006/relationships/hyperlink" Target="https://apps.apple.com/us/app/brandy-melville-us/id1533444101" TargetMode="External"/><Relationship Id="rId65" Type="http://schemas.openxmlformats.org/officeDocument/2006/relationships/hyperlink" Target="https://youtu.be/hHK6FT4l59M?si=PrxsfUtQv74I9mpg" TargetMode="External"/><Relationship Id="rId68" Type="http://schemas.openxmlformats.org/officeDocument/2006/relationships/hyperlink" Target="https://m.youtube.com/watch?v=TL-8h8hCREU" TargetMode="External"/><Relationship Id="rId67" Type="http://schemas.openxmlformats.org/officeDocument/2006/relationships/hyperlink" Target="https://www.brandyslicious.com" TargetMode="External"/><Relationship Id="rId60" Type="http://schemas.openxmlformats.org/officeDocument/2006/relationships/hyperlink" Target="https://bettybuzz.amazon.bettybuzz.com/amazon/BrandStore" TargetMode="External"/><Relationship Id="rId69" Type="http://schemas.openxmlformats.org/officeDocument/2006/relationships/hyperlink" Target="http://brendahashtag.com" TargetMode="External"/><Relationship Id="rId51" Type="http://schemas.openxmlformats.org/officeDocument/2006/relationships/hyperlink" Target="http://beatricegutu.substack.com" TargetMode="External"/><Relationship Id="rId50" Type="http://schemas.openxmlformats.org/officeDocument/2006/relationships/hyperlink" Target="http://linktr.ee/beatricestopa" TargetMode="External"/><Relationship Id="rId53" Type="http://schemas.openxmlformats.org/officeDocument/2006/relationships/hyperlink" Target="https://www.beatricepizzaepasta.com" TargetMode="External"/><Relationship Id="rId52" Type="http://schemas.openxmlformats.org/officeDocument/2006/relationships/hyperlink" Target="http://www.beatricesegreti.com" TargetMode="External"/><Relationship Id="rId55" Type="http://schemas.openxmlformats.org/officeDocument/2006/relationships/hyperlink" Target="https://twitter.com/b_10duarte" TargetMode="External"/><Relationship Id="rId54" Type="http://schemas.openxmlformats.org/officeDocument/2006/relationships/hyperlink" Target="https://belindamx.lnk.to/Indomita" TargetMode="External"/><Relationship Id="rId57" Type="http://schemas.openxmlformats.org/officeDocument/2006/relationships/hyperlink" Target="https://link.me/bethanylilyapril" TargetMode="External"/><Relationship Id="rId56" Type="http://schemas.openxmlformats.org/officeDocument/2006/relationships/hyperlink" Target="https://linktr.ee/bernardlbell" TargetMode="External"/><Relationship Id="rId59" Type="http://schemas.openxmlformats.org/officeDocument/2006/relationships/hyperlink" Target="https://tellonym.me/bxianca_" TargetMode="External"/><Relationship Id="rId58" Type="http://schemas.openxmlformats.org/officeDocument/2006/relationships/hyperlink" Target="https://link.bocarosa.com.br/instabio" TargetMode="External"/><Relationship Id="rId349" Type="http://schemas.openxmlformats.org/officeDocument/2006/relationships/hyperlink" Target="https://laurenzoeller.com/manifest/" TargetMode="External"/><Relationship Id="rId348" Type="http://schemas.openxmlformats.org/officeDocument/2006/relationships/hyperlink" Target="https://linktr.ee/adesso.laurenzo" TargetMode="External"/><Relationship Id="rId347" Type="http://schemas.openxmlformats.org/officeDocument/2006/relationships/hyperlink" Target="https://hotm.art/ysV9huqT" TargetMode="External"/><Relationship Id="rId346" Type="http://schemas.openxmlformats.org/officeDocument/2006/relationships/hyperlink" Target="http://ada.lnk.to/ParedaoEcletico" TargetMode="External"/><Relationship Id="rId341" Type="http://schemas.openxmlformats.org/officeDocument/2006/relationships/hyperlink" Target="https://kimberleyanne.com" TargetMode="External"/><Relationship Id="rId340" Type="http://schemas.openxmlformats.org/officeDocument/2006/relationships/hyperlink" Target="https://linktr.ee/kaylavoid" TargetMode="External"/><Relationship Id="rId345" Type="http://schemas.openxmlformats.org/officeDocument/2006/relationships/hyperlink" Target="https://linktr.ee/Kristina.manners" TargetMode="External"/><Relationship Id="rId344" Type="http://schemas.openxmlformats.org/officeDocument/2006/relationships/hyperlink" Target="https://youtu.be/RSGAIhs7Ktk?si=KOgwso9my0IY3DWW" TargetMode="External"/><Relationship Id="rId343" Type="http://schemas.openxmlformats.org/officeDocument/2006/relationships/hyperlink" Target="https://linktr.ee/Kristenbell" TargetMode="External"/><Relationship Id="rId342" Type="http://schemas.openxmlformats.org/officeDocument/2006/relationships/hyperlink" Target="http://bit.ly/thegirlsaloudshow" TargetMode="External"/><Relationship Id="rId338" Type="http://schemas.openxmlformats.org/officeDocument/2006/relationships/hyperlink" Target="https://vyd.co/KathrynFromMarsBadVibes" TargetMode="External"/><Relationship Id="rId337" Type="http://schemas.openxmlformats.org/officeDocument/2006/relationships/hyperlink" Target="https://blairmodels.com/portfolio/katie-watts" TargetMode="External"/><Relationship Id="rId336" Type="http://schemas.openxmlformats.org/officeDocument/2006/relationships/hyperlink" Target="https://www.shopltk.com/explore/kathleen.post?utm_campaign=creator_shop_share_template_flow&amp;utm_source=ioscreatorapp" TargetMode="External"/><Relationship Id="rId335" Type="http://schemas.openxmlformats.org/officeDocument/2006/relationships/hyperlink" Target="http://kathleen.post" TargetMode="External"/><Relationship Id="rId339" Type="http://schemas.openxmlformats.org/officeDocument/2006/relationships/hyperlink" Target="https://kaylashyx.lnk.to/allabout" TargetMode="External"/><Relationship Id="rId330" Type="http://schemas.openxmlformats.org/officeDocument/2006/relationships/hyperlink" Target="https://open.substack.com/pub/karencomas/p/the-power-of-making-space-fire-faith" TargetMode="External"/><Relationship Id="rId334" Type="http://schemas.openxmlformats.org/officeDocument/2006/relationships/hyperlink" Target="https://shopmy.us/katherinesaras" TargetMode="External"/><Relationship Id="rId333" Type="http://schemas.openxmlformats.org/officeDocument/2006/relationships/hyperlink" Target="https://www.dsgmodelagent.com/modele-femmes/karla" TargetMode="External"/><Relationship Id="rId332" Type="http://schemas.openxmlformats.org/officeDocument/2006/relationships/hyperlink" Target="https://beacons.ai/karionly" TargetMode="External"/><Relationship Id="rId331" Type="http://schemas.openxmlformats.org/officeDocument/2006/relationships/hyperlink" Target="https://youtu.be/uvraPlXiJvc" TargetMode="External"/><Relationship Id="rId370" Type="http://schemas.openxmlformats.org/officeDocument/2006/relationships/hyperlink" Target="http://kingspider.co" TargetMode="External"/><Relationship Id="rId369" Type="http://schemas.openxmlformats.org/officeDocument/2006/relationships/hyperlink" Target="https://linktr.ee/britneyspears" TargetMode="External"/><Relationship Id="rId368" Type="http://schemas.openxmlformats.org/officeDocument/2006/relationships/hyperlink" Target="http://madisonbeer.komi.io" TargetMode="External"/><Relationship Id="rId363" Type="http://schemas.openxmlformats.org/officeDocument/2006/relationships/hyperlink" Target="https://open.spotify.com/album/5FUDOr24h52fZMgiR6HEPa?si=LpMs7RIYQTy9Zly-1itr5A" TargetMode="External"/><Relationship Id="rId362" Type="http://schemas.openxmlformats.org/officeDocument/2006/relationships/hyperlink" Target="http://on.louisvuitton.com/6007fvSAB" TargetMode="External"/><Relationship Id="rId361" Type="http://schemas.openxmlformats.org/officeDocument/2006/relationships/hyperlink" Target="http://link.me/lucienlorraine" TargetMode="External"/><Relationship Id="rId360" Type="http://schemas.openxmlformats.org/officeDocument/2006/relationships/hyperlink" Target="https://youtu.be/AbiOIlCTSAM?si=ZjZdXsCnS6pRRr23" TargetMode="External"/><Relationship Id="rId367" Type="http://schemas.openxmlformats.org/officeDocument/2006/relationships/hyperlink" Target="https://biolink.info/LuisanaLopilato" TargetMode="External"/><Relationship Id="rId366" Type="http://schemas.openxmlformats.org/officeDocument/2006/relationships/hyperlink" Target="https://a.co/d/iLBmAeS" TargetMode="External"/><Relationship Id="rId365" Type="http://schemas.openxmlformats.org/officeDocument/2006/relationships/hyperlink" Target="https://linktr.ee/luisanava" TargetMode="External"/><Relationship Id="rId364" Type="http://schemas.openxmlformats.org/officeDocument/2006/relationships/hyperlink" Target="https://joyn.at/serien/leiwand-laestern-mit-luis?utm_source=app_sharing&amp;utm_medium=mixed&amp;utm_campaign=300819256" TargetMode="External"/><Relationship Id="rId95" Type="http://schemas.openxmlformats.org/officeDocument/2006/relationships/hyperlink" Target="http://pop.store/brycehall" TargetMode="External"/><Relationship Id="rId94" Type="http://schemas.openxmlformats.org/officeDocument/2006/relationships/hyperlink" Target="https://mtr.bio/brycedhoward" TargetMode="External"/><Relationship Id="rId97" Type="http://schemas.openxmlformats.org/officeDocument/2006/relationships/hyperlink" Target="https://linktr.ee/Outdoorsweekly" TargetMode="External"/><Relationship Id="rId96" Type="http://schemas.openxmlformats.org/officeDocument/2006/relationships/hyperlink" Target="http://fitbryceadams.com/real" TargetMode="External"/><Relationship Id="rId99" Type="http://schemas.openxmlformats.org/officeDocument/2006/relationships/hyperlink" Target="http://drinkavaline.com" TargetMode="External"/><Relationship Id="rId98" Type="http://schemas.openxmlformats.org/officeDocument/2006/relationships/hyperlink" Target="https://linktr.ee/cameronahouse" TargetMode="External"/><Relationship Id="rId91" Type="http://schemas.openxmlformats.org/officeDocument/2006/relationships/hyperlink" Target="http://bryceunderwood.com" TargetMode="External"/><Relationship Id="rId90" Type="http://schemas.openxmlformats.org/officeDocument/2006/relationships/hyperlink" Target="https://linktr.ee/brizzzworks" TargetMode="External"/><Relationship Id="rId93" Type="http://schemas.openxmlformats.org/officeDocument/2006/relationships/hyperlink" Target="https://bit.ly/Raregentleman" TargetMode="External"/><Relationship Id="rId92" Type="http://schemas.openxmlformats.org/officeDocument/2006/relationships/hyperlink" Target="http://youtube.com/@bauify" TargetMode="External"/><Relationship Id="rId359" Type="http://schemas.openxmlformats.org/officeDocument/2006/relationships/hyperlink" Target="https://youtube.com/@raelorena" TargetMode="External"/><Relationship Id="rId358" Type="http://schemas.openxmlformats.org/officeDocument/2006/relationships/hyperlink" Target="https://linktr.ee/logan.breeding" TargetMode="External"/><Relationship Id="rId357" Type="http://schemas.openxmlformats.org/officeDocument/2006/relationships/hyperlink" Target="https://lnk.bio/loganbolton" TargetMode="External"/><Relationship Id="rId352" Type="http://schemas.openxmlformats.org/officeDocument/2006/relationships/hyperlink" Target="http://www.drleahkatz.com/7day-mindfulness-challenge" TargetMode="External"/><Relationship Id="rId351" Type="http://schemas.openxmlformats.org/officeDocument/2006/relationships/hyperlink" Target="http://texturepatisserie.com" TargetMode="External"/><Relationship Id="rId350" Type="http://schemas.openxmlformats.org/officeDocument/2006/relationships/hyperlink" Target="https://linktr.ee/iskralawrence" TargetMode="External"/><Relationship Id="rId356" Type="http://schemas.openxmlformats.org/officeDocument/2006/relationships/hyperlink" Target="https://linktr.ee/lilianarose726" TargetMode="External"/><Relationship Id="rId355" Type="http://schemas.openxmlformats.org/officeDocument/2006/relationships/hyperlink" Target="https://linktr.ee/lilianarose726" TargetMode="External"/><Relationship Id="rId354" Type="http://schemas.openxmlformats.org/officeDocument/2006/relationships/hyperlink" Target="https://youtu.be/VUedykHMJOE?si=zI_tVp1Zpt0ykPqh" TargetMode="External"/><Relationship Id="rId353" Type="http://schemas.openxmlformats.org/officeDocument/2006/relationships/hyperlink" Target="https://leahkate.komi.io" TargetMode="External"/><Relationship Id="rId305" Type="http://schemas.openxmlformats.org/officeDocument/2006/relationships/hyperlink" Target="https://youtube.com/c/jessieshen" TargetMode="External"/><Relationship Id="rId304" Type="http://schemas.openxmlformats.org/officeDocument/2006/relationships/hyperlink" Target="https://bit.ly/3wGyPDG" TargetMode="External"/><Relationship Id="rId303" Type="http://schemas.openxmlformats.org/officeDocument/2006/relationships/hyperlink" Target="https://adobe.ly/AcrobatEvergreenIG" TargetMode="External"/><Relationship Id="rId302" Type="http://schemas.openxmlformats.org/officeDocument/2006/relationships/hyperlink" Target="http://producertour.com" TargetMode="External"/><Relationship Id="rId309" Type="http://schemas.openxmlformats.org/officeDocument/2006/relationships/hyperlink" Target="https://thecarcrash.de/impressum/" TargetMode="External"/><Relationship Id="rId308" Type="http://schemas.openxmlformats.org/officeDocument/2006/relationships/hyperlink" Target="http://linktr.ee/jessicalteague/" TargetMode="External"/><Relationship Id="rId307" Type="http://schemas.openxmlformats.org/officeDocument/2006/relationships/hyperlink" Target="http://bit.ly/jessicagomesCliqueaqui" TargetMode="External"/><Relationship Id="rId306" Type="http://schemas.openxmlformats.org/officeDocument/2006/relationships/hyperlink" Target="https://linktr.ee/jessiexraee" TargetMode="External"/><Relationship Id="rId301" Type="http://schemas.openxmlformats.org/officeDocument/2006/relationships/hyperlink" Target="https://www.attythelabel.com.au" TargetMode="External"/><Relationship Id="rId300" Type="http://schemas.openxmlformats.org/officeDocument/2006/relationships/hyperlink" Target="https://s.lazada.com.ph/s.39ZNL" TargetMode="External"/><Relationship Id="rId327" Type="http://schemas.openxmlformats.org/officeDocument/2006/relationships/hyperlink" Target="https://churcho.me/3T9o6dF" TargetMode="External"/><Relationship Id="rId326" Type="http://schemas.openxmlformats.org/officeDocument/2006/relationships/hyperlink" Target="http://youtube.com/@JustinLaboy" TargetMode="External"/><Relationship Id="rId325" Type="http://schemas.openxmlformats.org/officeDocument/2006/relationships/hyperlink" Target="https://distrokid.com/hyperfollow/julia24/danse" TargetMode="External"/><Relationship Id="rId324" Type="http://schemas.openxmlformats.org/officeDocument/2006/relationships/hyperlink" Target="http://link.me/juan_wheelies" TargetMode="External"/><Relationship Id="rId329" Type="http://schemas.openxmlformats.org/officeDocument/2006/relationships/hyperlink" Target="https://superlink.io/kaitlynkrems" TargetMode="External"/><Relationship Id="rId328" Type="http://schemas.openxmlformats.org/officeDocument/2006/relationships/hyperlink" Target="http://www.shimmy.org" TargetMode="External"/><Relationship Id="rId323" Type="http://schemas.openxmlformats.org/officeDocument/2006/relationships/hyperlink" Target="http://beacons.ai/joyce" TargetMode="External"/><Relationship Id="rId322" Type="http://schemas.openxmlformats.org/officeDocument/2006/relationships/hyperlink" Target="https://www.joshuatbassett.com/?fbclid=PAZXh0bgNhZW0CMTEAAaaRNBbcwtyOi95hucMWmLYys2NonUylBAMOrytm0uGRFpqbO9rl9ipQJWk_aem_AU3fEmn8wOD1eezFNNoIPdhHhpSJZJobospUm5O1P2tdtxyjhKx6hC95ovPCLIO4AdHRpy84xpKJHcW1pl-CQoj3" TargetMode="External"/><Relationship Id="rId321" Type="http://schemas.openxmlformats.org/officeDocument/2006/relationships/hyperlink" Target="https://www.planetadelibros.com/libro-el-arte-de-vivir-mas-lento/388227" TargetMode="External"/><Relationship Id="rId320" Type="http://schemas.openxmlformats.org/officeDocument/2006/relationships/hyperlink" Target="http://jordanbrandtheone.com" TargetMode="External"/><Relationship Id="rId316" Type="http://schemas.openxmlformats.org/officeDocument/2006/relationships/hyperlink" Target="http://youtube.com/joelofficial" TargetMode="External"/><Relationship Id="rId315" Type="http://schemas.openxmlformats.org/officeDocument/2006/relationships/hyperlink" Target="https://www.theindustrymodelmgmt.com/model/los-angeles/new-generation-board/1766-jocelyn" TargetMode="External"/><Relationship Id="rId314" Type="http://schemas.openxmlformats.org/officeDocument/2006/relationships/hyperlink" Target="https://msha.ke/mikhajoanne" TargetMode="External"/><Relationship Id="rId313" Type="http://schemas.openxmlformats.org/officeDocument/2006/relationships/hyperlink" Target="http://joannadunford.com" TargetMode="External"/><Relationship Id="rId319" Type="http://schemas.openxmlformats.org/officeDocument/2006/relationships/hyperlink" Target="https://hoo.be/jordanbeckham" TargetMode="External"/><Relationship Id="rId318" Type="http://schemas.openxmlformats.org/officeDocument/2006/relationships/hyperlink" Target="https://www.handsof10ve.org/" TargetMode="External"/><Relationship Id="rId317" Type="http://schemas.openxmlformats.org/officeDocument/2006/relationships/hyperlink" Target="https://lowercross.com" TargetMode="External"/><Relationship Id="rId312" Type="http://schemas.openxmlformats.org/officeDocument/2006/relationships/hyperlink" Target="https://bio.site/jillianturecki" TargetMode="External"/><Relationship Id="rId311" Type="http://schemas.openxmlformats.org/officeDocument/2006/relationships/hyperlink" Target="https://lnk.to/jillianonloveIG" TargetMode="External"/><Relationship Id="rId310" Type="http://schemas.openxmlformats.org/officeDocument/2006/relationships/hyperlink" Target="https://www.youtube.com/c/jillianmichaels" TargetMode="External"/><Relationship Id="rId297" Type="http://schemas.openxmlformats.org/officeDocument/2006/relationships/hyperlink" Target="https://bit.ly/3QJtamH" TargetMode="External"/><Relationship Id="rId296" Type="http://schemas.openxmlformats.org/officeDocument/2006/relationships/hyperlink" Target="https://www.tiktok.com/@awymx?_t=ZS-8z25Mref0lE&amp;_r=1" TargetMode="External"/><Relationship Id="rId295" Type="http://schemas.openxmlformats.org/officeDocument/2006/relationships/hyperlink" Target="http://linktr.ee/FindJeremiah" TargetMode="External"/><Relationship Id="rId294" Type="http://schemas.openxmlformats.org/officeDocument/2006/relationships/hyperlink" Target="https://link.me/kimjeffreyx" TargetMode="External"/><Relationship Id="rId299" Type="http://schemas.openxmlformats.org/officeDocument/2006/relationships/hyperlink" Target="https://madelynshaye.etsy.com" TargetMode="External"/><Relationship Id="rId298" Type="http://schemas.openxmlformats.org/officeDocument/2006/relationships/hyperlink" Target="https://too.fm/ddgo5x3" TargetMode="External"/><Relationship Id="rId271" Type="http://schemas.openxmlformats.org/officeDocument/2006/relationships/hyperlink" Target="http://newsletter.hollywhitaker.com" TargetMode="External"/><Relationship Id="rId270" Type="http://schemas.openxmlformats.org/officeDocument/2006/relationships/hyperlink" Target="https://linktr.ee/henryevr" TargetMode="External"/><Relationship Id="rId269" Type="http://schemas.openxmlformats.org/officeDocument/2006/relationships/hyperlink" Target="http://helena.org/" TargetMode="External"/><Relationship Id="rId264" Type="http://schemas.openxmlformats.org/officeDocument/2006/relationships/hyperlink" Target="http://wa.me/+50584905442" TargetMode="External"/><Relationship Id="rId263" Type="http://schemas.openxmlformats.org/officeDocument/2006/relationships/hyperlink" Target="http://heavenlystore.ni" TargetMode="External"/><Relationship Id="rId262" Type="http://schemas.openxmlformats.org/officeDocument/2006/relationships/hyperlink" Target="http://www.heavenlyspalima.com/" TargetMode="External"/><Relationship Id="rId261" Type="http://schemas.openxmlformats.org/officeDocument/2006/relationships/hyperlink" Target="http://twitch.tv/heavenly" TargetMode="External"/><Relationship Id="rId268" Type="http://schemas.openxmlformats.org/officeDocument/2006/relationships/hyperlink" Target="https://www.roblox.com/games/18627302070/NEW-Modelverse" TargetMode="External"/><Relationship Id="rId267" Type="http://schemas.openxmlformats.org/officeDocument/2006/relationships/hyperlink" Target="http://thirdlove.com" TargetMode="External"/><Relationship Id="rId266" Type="http://schemas.openxmlformats.org/officeDocument/2006/relationships/hyperlink" Target="http://sprout.link/skiheavenly/" TargetMode="External"/><Relationship Id="rId265" Type="http://schemas.openxmlformats.org/officeDocument/2006/relationships/hyperlink" Target="https://allmylinks.com/heavenlybabe" TargetMode="External"/><Relationship Id="rId260" Type="http://schemas.openxmlformats.org/officeDocument/2006/relationships/hyperlink" Target="https://open.spotify.com/album/4EI2HTkjnljiENddpm8XZG?si=wUmT0w3TTfKpAp4JOJR8Bw" TargetMode="External"/><Relationship Id="rId259" Type="http://schemas.openxmlformats.org/officeDocument/2006/relationships/hyperlink" Target="https://heavenmayhem.com/" TargetMode="External"/><Relationship Id="rId258" Type="http://schemas.openxmlformats.org/officeDocument/2006/relationships/hyperlink" Target="https://linktr.ee/Heavenisadog" TargetMode="External"/><Relationship Id="rId253" Type="http://schemas.openxmlformats.org/officeDocument/2006/relationships/hyperlink" Target="https://open.spotify.com/track/1hTAcAmeaC6qFjotcB1nOg?si=cOTaTWEfRR6uH9rTvpScEA" TargetMode="External"/><Relationship Id="rId252" Type="http://schemas.openxmlformats.org/officeDocument/2006/relationships/hyperlink" Target="http://onlylinks.com/haley" TargetMode="External"/><Relationship Id="rId251" Type="http://schemas.openxmlformats.org/officeDocument/2006/relationships/hyperlink" Target="https://hoo.be/hazey_haley" TargetMode="External"/><Relationship Id="rId250" Type="http://schemas.openxmlformats.org/officeDocument/2006/relationships/hyperlink" Target="https://hoo.be/hazey_haley" TargetMode="External"/><Relationship Id="rId257" Type="http://schemas.openxmlformats.org/officeDocument/2006/relationships/hyperlink" Target="https://s.shopee.vn/3LDHDrsC4W" TargetMode="External"/><Relationship Id="rId256" Type="http://schemas.openxmlformats.org/officeDocument/2006/relationships/hyperlink" Target="https://linktr.ee/haroldleffall" TargetMode="External"/><Relationship Id="rId255" Type="http://schemas.openxmlformats.org/officeDocument/2006/relationships/hyperlink" Target="https://www.haroldclo.com/" TargetMode="External"/><Relationship Id="rId254" Type="http://schemas.openxmlformats.org/officeDocument/2006/relationships/hyperlink" Target="http://harolderic.com" TargetMode="External"/><Relationship Id="rId293" Type="http://schemas.openxmlformats.org/officeDocument/2006/relationships/hyperlink" Target="https://www.nationalgeographic.com/culture/article/jason-momoa-nat-geo-33-2025" TargetMode="External"/><Relationship Id="rId292" Type="http://schemas.openxmlformats.org/officeDocument/2006/relationships/hyperlink" Target="https://www.youtube.com/watch?v=mxuA4Xmvuw8" TargetMode="External"/><Relationship Id="rId291" Type="http://schemas.openxmlformats.org/officeDocument/2006/relationships/hyperlink" Target="https://linktr.ee/calacanis" TargetMode="External"/><Relationship Id="rId290" Type="http://schemas.openxmlformats.org/officeDocument/2006/relationships/hyperlink" Target="http://www.tiktok.com/@jaxisboring" TargetMode="External"/><Relationship Id="rId286" Type="http://schemas.openxmlformats.org/officeDocument/2006/relationships/hyperlink" Target="https://hoo.be/janicee.janicee" TargetMode="External"/><Relationship Id="rId285" Type="http://schemas.openxmlformats.org/officeDocument/2006/relationships/hyperlink" Target="http://tiktok.com/@janice9251" TargetMode="External"/><Relationship Id="rId284" Type="http://schemas.openxmlformats.org/officeDocument/2006/relationships/hyperlink" Target="https://unrulyagency.be/janetguzman" TargetMode="External"/><Relationship Id="rId283" Type="http://schemas.openxmlformats.org/officeDocument/2006/relationships/hyperlink" Target="http://bio.site/janetjackson" TargetMode="External"/><Relationship Id="rId289" Type="http://schemas.openxmlformats.org/officeDocument/2006/relationships/hyperlink" Target="https://shopstands.com/collections/supernatural" TargetMode="External"/><Relationship Id="rId288" Type="http://schemas.openxmlformats.org/officeDocument/2006/relationships/hyperlink" Target="https://www.fandango.com/tron-ares-2025-240243/movie-overview" TargetMode="External"/><Relationship Id="rId287" Type="http://schemas.openxmlformats.org/officeDocument/2006/relationships/hyperlink" Target="https://www.tiktok.com/@janice.kaori?_t=8nRHxNB95br&amp;_r=1" TargetMode="External"/><Relationship Id="rId282" Type="http://schemas.openxmlformats.org/officeDocument/2006/relationships/hyperlink" Target="https://open.spotify.com/show/40GidusMAMIOhqEUvIeNn5?si=ll7yNQAESWehYstnR-zstA" TargetMode="External"/><Relationship Id="rId281" Type="http://schemas.openxmlformats.org/officeDocument/2006/relationships/hyperlink" Target="http://jamesreid.tunelink.to/blessed" TargetMode="External"/><Relationship Id="rId280" Type="http://schemas.openxmlformats.org/officeDocument/2006/relationships/hyperlink" Target="http://shop.jadeofficial.com/" TargetMode="External"/><Relationship Id="rId275" Type="http://schemas.openxmlformats.org/officeDocument/2006/relationships/hyperlink" Target="https://on.soundcloud.com/fCgxnsWPq2qdENVh8" TargetMode="External"/><Relationship Id="rId274" Type="http://schemas.openxmlformats.org/officeDocument/2006/relationships/hyperlink" Target="http://www.bypeschardt.com" TargetMode="External"/><Relationship Id="rId273" Type="http://schemas.openxmlformats.org/officeDocument/2006/relationships/hyperlink" Target="http://www.youtube.com/@%25D8%25B9%25D9%258A%25D9%2584%25D8%25A9%25D8%25A7%25D9%258A%25D8%25A7%25D9%2586" TargetMode="External"/><Relationship Id="rId272" Type="http://schemas.openxmlformats.org/officeDocument/2006/relationships/hyperlink" Target="http://gigabrands.ai" TargetMode="External"/><Relationship Id="rId279" Type="http://schemas.openxmlformats.org/officeDocument/2006/relationships/hyperlink" Target="https://jaden.komi.io" TargetMode="External"/><Relationship Id="rId278" Type="http://schemas.openxmlformats.org/officeDocument/2006/relationships/hyperlink" Target="https://linktr.ee/Jcaraa" TargetMode="External"/><Relationship Id="rId277" Type="http://schemas.openxmlformats.org/officeDocument/2006/relationships/hyperlink" Target="http://jacobmedia.com" TargetMode="External"/><Relationship Id="rId276" Type="http://schemas.openxmlformats.org/officeDocument/2006/relationships/hyperlink" Target="https://jackstauber.shop/" TargetMode="External"/><Relationship Id="rId228" Type="http://schemas.openxmlformats.org/officeDocument/2006/relationships/hyperlink" Target="https://zukkermaedchen.de/impressum" TargetMode="External"/><Relationship Id="rId227" Type="http://schemas.openxmlformats.org/officeDocument/2006/relationships/hyperlink" Target="http://beacons.ai/davidfrances" TargetMode="External"/><Relationship Id="rId226" Type="http://schemas.openxmlformats.org/officeDocument/2006/relationships/hyperlink" Target="https://bit.ly/J%C3%A1VaiSabendo-YouTube" TargetMode="External"/><Relationship Id="rId225" Type="http://schemas.openxmlformats.org/officeDocument/2006/relationships/hyperlink" Target="https://open.spotify.com/artist/7cmuxPnXRJxwuYDHfbD8Eu?si=PQRKMMixSNaj7ETWJtRj2Q" TargetMode="External"/><Relationship Id="rId229" Type="http://schemas.openxmlformats.org/officeDocument/2006/relationships/hyperlink" Target="https://www.planetfilm.it/portfolio-item/francesca-maria-chiara-la-cava/" TargetMode="External"/><Relationship Id="rId220" Type="http://schemas.openxmlformats.org/officeDocument/2006/relationships/hyperlink" Target="https://youtu.be/tqFiKNeBaTE?si=hpn-CJzoVx5lBcOV" TargetMode="External"/><Relationship Id="rId224" Type="http://schemas.openxmlformats.org/officeDocument/2006/relationships/hyperlink" Target="https://youtube.com/vffmusic" TargetMode="External"/><Relationship Id="rId223" Type="http://schemas.openxmlformats.org/officeDocument/2006/relationships/hyperlink" Target="https://app.acuityscheduling.com/schedule.php?owner=13333810" TargetMode="External"/><Relationship Id="rId222" Type="http://schemas.openxmlformats.org/officeDocument/2006/relationships/hyperlink" Target="https://shop.esteban-ocon.com" TargetMode="External"/><Relationship Id="rId221" Type="http://schemas.openxmlformats.org/officeDocument/2006/relationships/hyperlink" Target="https://www.shopesmeralda.com/" TargetMode="External"/><Relationship Id="rId217" Type="http://schemas.openxmlformats.org/officeDocument/2006/relationships/hyperlink" Target="https://youtu.be/l2yzsEfCO0s?si=tpMugk8sWW6RMOGM" TargetMode="External"/><Relationship Id="rId216" Type="http://schemas.openxmlformats.org/officeDocument/2006/relationships/hyperlink" Target="http://latelierbarcelona.com/" TargetMode="External"/><Relationship Id="rId215" Type="http://schemas.openxmlformats.org/officeDocument/2006/relationships/hyperlink" Target="https://mainstack.me/ericgugua" TargetMode="External"/><Relationship Id="rId214" Type="http://schemas.openxmlformats.org/officeDocument/2006/relationships/hyperlink" Target="https://www.aigrowthintegrator.com/ig" TargetMode="External"/><Relationship Id="rId219" Type="http://schemas.openxmlformats.org/officeDocument/2006/relationships/hyperlink" Target="https://youtu.be/mnPkPIq3MpY?si=-Rr74vALj5o3gEyK" TargetMode="External"/><Relationship Id="rId218" Type="http://schemas.openxmlformats.org/officeDocument/2006/relationships/hyperlink" Target="https://www.ericasara.com/collections/official-tcs-new-york-city-marathon-collection" TargetMode="External"/><Relationship Id="rId213" Type="http://schemas.openxmlformats.org/officeDocument/2006/relationships/hyperlink" Target="http://twitter.com/nchimbie" TargetMode="External"/><Relationship Id="rId212" Type="http://schemas.openxmlformats.org/officeDocument/2006/relationships/hyperlink" Target="https://youtu.be/dV-UMhQtC34" TargetMode="External"/><Relationship Id="rId211" Type="http://schemas.openxmlformats.org/officeDocument/2006/relationships/hyperlink" Target="https://sovereignlord.org/products/welcome-back-my-son-e-book-by-emmanuel-campana" TargetMode="External"/><Relationship Id="rId210" Type="http://schemas.openxmlformats.org/officeDocument/2006/relationships/hyperlink" Target="https://youtu.be/LgtMpoiejyo?si=kuCkoP72iVhCIVcK" TargetMode="External"/><Relationship Id="rId249" Type="http://schemas.openxmlformats.org/officeDocument/2006/relationships/hyperlink" Target="https://www.rhodeskin.com" TargetMode="External"/><Relationship Id="rId248" Type="http://schemas.openxmlformats.org/officeDocument/2006/relationships/hyperlink" Target="http://guillermosantoma.com/" TargetMode="External"/><Relationship Id="rId247" Type="http://schemas.openxmlformats.org/officeDocument/2006/relationships/hyperlink" Target="http://netflix.com/pinocchio" TargetMode="External"/><Relationship Id="rId242" Type="http://schemas.openxmlformats.org/officeDocument/2006/relationships/hyperlink" Target="http://grantcardone.com/giveaway" TargetMode="External"/><Relationship Id="rId241" Type="http://schemas.openxmlformats.org/officeDocument/2006/relationships/hyperlink" Target="https://www.youtube.com/@GlennGreenwaldBrasil-dt2ul" TargetMode="External"/><Relationship Id="rId240" Type="http://schemas.openxmlformats.org/officeDocument/2006/relationships/hyperlink" Target="http://www.garrettleight.com" TargetMode="External"/><Relationship Id="rId246" Type="http://schemas.openxmlformats.org/officeDocument/2006/relationships/hyperlink" Target="http://kimmelinbrooklyn.com" TargetMode="External"/><Relationship Id="rId245" Type="http://schemas.openxmlformats.org/officeDocument/2006/relationships/hyperlink" Target="https://beacons.ai/guillezarachopy" TargetMode="External"/><Relationship Id="rId244" Type="http://schemas.openxmlformats.org/officeDocument/2006/relationships/hyperlink" Target="http://flow.page/guillermovillaa/" TargetMode="External"/><Relationship Id="rId243" Type="http://schemas.openxmlformats.org/officeDocument/2006/relationships/hyperlink" Target="https://youtu.be/cXuijzLfmV8" TargetMode="External"/><Relationship Id="rId239" Type="http://schemas.openxmlformats.org/officeDocument/2006/relationships/hyperlink" Target="https://bit.ly/GabriellasShop" TargetMode="External"/><Relationship Id="rId238" Type="http://schemas.openxmlformats.org/officeDocument/2006/relationships/hyperlink" Target="https://t.me/+V7kQk5MT8mxhMDk6" TargetMode="External"/><Relationship Id="rId237" Type="http://schemas.openxmlformats.org/officeDocument/2006/relationships/hyperlink" Target="https://linktr.ee/gabrielg5" TargetMode="External"/><Relationship Id="rId236" Type="http://schemas.openxmlformats.org/officeDocument/2006/relationships/hyperlink" Target="https://bushelandpeckbooks.com/products/Fred-flips" TargetMode="External"/><Relationship Id="rId231" Type="http://schemas.openxmlformats.org/officeDocument/2006/relationships/hyperlink" Target="http://www.shopfrancesca.com/" TargetMode="External"/><Relationship Id="rId230" Type="http://schemas.openxmlformats.org/officeDocument/2006/relationships/hyperlink" Target="https://bit.ly/4keUXYC" TargetMode="External"/><Relationship Id="rId235" Type="http://schemas.openxmlformats.org/officeDocument/2006/relationships/hyperlink" Target="https://konect.to/freelike-me08808" TargetMode="External"/><Relationship Id="rId234" Type="http://schemas.openxmlformats.org/officeDocument/2006/relationships/hyperlink" Target="https://franciscofonscashop.etsy.com" TargetMode="External"/><Relationship Id="rId233" Type="http://schemas.openxmlformats.org/officeDocument/2006/relationships/hyperlink" Target="about:blank" TargetMode="External"/><Relationship Id="rId232" Type="http://schemas.openxmlformats.org/officeDocument/2006/relationships/hyperlink" Target="https://hypermedia.link" TargetMode="External"/><Relationship Id="rId206" Type="http://schemas.openxmlformats.org/officeDocument/2006/relationships/hyperlink" Target="https://elsaoseguera.my.canva.site/elsaoseguera" TargetMode="External"/><Relationship Id="rId205" Type="http://schemas.openxmlformats.org/officeDocument/2006/relationships/hyperlink" Target="https://www.imdb.com/name/nm3993221/" TargetMode="External"/><Relationship Id="rId204" Type="http://schemas.openxmlformats.org/officeDocument/2006/relationships/hyperlink" Target="http://keychain.club/ellen" TargetMode="External"/><Relationship Id="rId203" Type="http://schemas.openxmlformats.org/officeDocument/2006/relationships/hyperlink" Target="http://link.me/ellafredrickson" TargetMode="External"/><Relationship Id="rId209" Type="http://schemas.openxmlformats.org/officeDocument/2006/relationships/hyperlink" Target="http://www.heroeffect.com/" TargetMode="External"/><Relationship Id="rId208" Type="http://schemas.openxmlformats.org/officeDocument/2006/relationships/hyperlink" Target="https://elsahosk.com/pages/outfit" TargetMode="External"/><Relationship Id="rId207" Type="http://schemas.openxmlformats.org/officeDocument/2006/relationships/hyperlink" Target="http://elsathora.co" TargetMode="External"/><Relationship Id="rId202" Type="http://schemas.openxmlformats.org/officeDocument/2006/relationships/hyperlink" Target="https://www.imdb.com/name/nm3993221/" TargetMode="External"/><Relationship Id="rId201" Type="http://schemas.openxmlformats.org/officeDocument/2006/relationships/hyperlink" Target="https://linktr.ee/elizalovechild_" TargetMode="External"/><Relationship Id="rId200" Type="http://schemas.openxmlformats.org/officeDocument/2006/relationships/hyperlink" Target="https://linktr.ee/lyzzahh" TargetMode="External"/><Relationship Id="rId190" Type="http://schemas.openxmlformats.org/officeDocument/2006/relationships/hyperlink" Target="http://www.thecollective.ph/" TargetMode="External"/><Relationship Id="rId194" Type="http://schemas.openxmlformats.org/officeDocument/2006/relationships/hyperlink" Target="https://youtube.com/@elenagortariii?si=-xq1oEqCBgvM199E" TargetMode="External"/><Relationship Id="rId193" Type="http://schemas.openxmlformats.org/officeDocument/2006/relationships/hyperlink" Target="http://www.human-possibility.com/series" TargetMode="External"/><Relationship Id="rId192" Type="http://schemas.openxmlformats.org/officeDocument/2006/relationships/hyperlink" Target="http://snapchat.com/add/shredward" TargetMode="External"/><Relationship Id="rId191" Type="http://schemas.openxmlformats.org/officeDocument/2006/relationships/hyperlink" Target="http://dominiqueanselny.com/" TargetMode="External"/><Relationship Id="rId187" Type="http://schemas.openxmlformats.org/officeDocument/2006/relationships/hyperlink" Target="http://wildflowercases.com" TargetMode="External"/><Relationship Id="rId186" Type="http://schemas.openxmlformats.org/officeDocument/2006/relationships/hyperlink" Target="http://www.destiny.gg/" TargetMode="External"/><Relationship Id="rId185" Type="http://schemas.openxmlformats.org/officeDocument/2006/relationships/hyperlink" Target="https://dieworkwear.com/2025/06/03/excited-to-wear-this-spring-6" TargetMode="External"/><Relationship Id="rId184" Type="http://schemas.openxmlformats.org/officeDocument/2006/relationships/hyperlink" Target="http://direct.me/dereklipp" TargetMode="External"/><Relationship Id="rId189" Type="http://schemas.openxmlformats.org/officeDocument/2006/relationships/hyperlink" Target="http://youtube.com/@nollywoodbyaudreysilva" TargetMode="External"/><Relationship Id="rId188" Type="http://schemas.openxmlformats.org/officeDocument/2006/relationships/hyperlink" Target="https://www.amazon.com/Undoing-Alejandro-Velasco-Novel/dp/166252725X" TargetMode="External"/><Relationship Id="rId183" Type="http://schemas.openxmlformats.org/officeDocument/2006/relationships/hyperlink" Target="http://www.derekd.com/" TargetMode="External"/><Relationship Id="rId182" Type="http://schemas.openxmlformats.org/officeDocument/2006/relationships/hyperlink" Target="https://beacons.ai/delilahhasafatcat" TargetMode="External"/><Relationship Id="rId181" Type="http://schemas.openxmlformats.org/officeDocument/2006/relationships/hyperlink" Target="https://www.delilah.com" TargetMode="External"/><Relationship Id="rId180" Type="http://schemas.openxmlformats.org/officeDocument/2006/relationships/hyperlink" Target="http://link.me/delilahraige" TargetMode="External"/><Relationship Id="rId176" Type="http://schemas.openxmlformats.org/officeDocument/2006/relationships/hyperlink" Target="https://superlink.io/dellespeegle" TargetMode="External"/><Relationship Id="rId175" Type="http://schemas.openxmlformats.org/officeDocument/2006/relationships/hyperlink" Target="https://linktr.ee/daniellewalterlinks" TargetMode="External"/><Relationship Id="rId174" Type="http://schemas.openxmlformats.org/officeDocument/2006/relationships/hyperlink" Target="https://studioone-mgmt.de/impressum-danielle/" TargetMode="External"/><Relationship Id="rId173" Type="http://schemas.openxmlformats.org/officeDocument/2006/relationships/hyperlink" Target="https://www.playboy.com/daniellecohn" TargetMode="External"/><Relationship Id="rId179" Type="http://schemas.openxmlformats.org/officeDocument/2006/relationships/hyperlink" Target="https://linktr.ee/itssdelilah" TargetMode="External"/><Relationship Id="rId178" Type="http://schemas.openxmlformats.org/officeDocument/2006/relationships/hyperlink" Target="https://www.delilahrestaurants.com/location/los-angeles/" TargetMode="External"/><Relationship Id="rId177" Type="http://schemas.openxmlformats.org/officeDocument/2006/relationships/hyperlink" Target="https://t.me/davahubb" TargetMode="External"/><Relationship Id="rId198" Type="http://schemas.openxmlformats.org/officeDocument/2006/relationships/hyperlink" Target="https://www.researchgate.net/publication/337361930_The_Physiological_Nature_of_Caring_Understanding_Nonverbal_Behavior" TargetMode="External"/><Relationship Id="rId197" Type="http://schemas.openxmlformats.org/officeDocument/2006/relationships/hyperlink" Target="https://linktr.ee/lyzzahh" TargetMode="External"/><Relationship Id="rId196" Type="http://schemas.openxmlformats.org/officeDocument/2006/relationships/hyperlink" Target="https://bit.ly/edee-" TargetMode="External"/><Relationship Id="rId195" Type="http://schemas.openxmlformats.org/officeDocument/2006/relationships/hyperlink" Target="http://whoiselijah.com/" TargetMode="External"/><Relationship Id="rId199" Type="http://schemas.openxmlformats.org/officeDocument/2006/relationships/hyperlink" Target="https://youtube.com/@elisehoogerdijk?si=z5SpDdRv6L5qg8Qc" TargetMode="External"/><Relationship Id="rId150" Type="http://schemas.openxmlformats.org/officeDocument/2006/relationships/hyperlink" Target="http://ikonick.com" TargetMode="External"/><Relationship Id="rId149" Type="http://schemas.openxmlformats.org/officeDocument/2006/relationships/hyperlink" Target="http://linktr.ee/codysimpson" TargetMode="External"/><Relationship Id="rId148" Type="http://schemas.openxmlformats.org/officeDocument/2006/relationships/hyperlink" Target="http://gldnst.com/cody" TargetMode="External"/><Relationship Id="rId143" Type="http://schemas.openxmlformats.org/officeDocument/2006/relationships/hyperlink" Target="https://beacons.ai/clarissadaniellev" TargetMode="External"/><Relationship Id="rId142" Type="http://schemas.openxmlformats.org/officeDocument/2006/relationships/hyperlink" Target="https://wmi.lnk.to/uragani" TargetMode="External"/><Relationship Id="rId141" Type="http://schemas.openxmlformats.org/officeDocument/2006/relationships/hyperlink" Target="https://www.claraaguilar.com.br" TargetMode="External"/><Relationship Id="rId140" Type="http://schemas.openxmlformats.org/officeDocument/2006/relationships/hyperlink" Target="https://hoo.be/christyxmarie" TargetMode="External"/><Relationship Id="rId147" Type="http://schemas.openxmlformats.org/officeDocument/2006/relationships/hyperlink" Target="https://bouf.com/password" TargetMode="External"/><Relationship Id="rId146" Type="http://schemas.openxmlformats.org/officeDocument/2006/relationships/hyperlink" Target="http://onwardtogether.org" TargetMode="External"/><Relationship Id="rId145" Type="http://schemas.openxmlformats.org/officeDocument/2006/relationships/hyperlink" Target="https://beacons.ai/clinton2x" TargetMode="External"/><Relationship Id="rId144" Type="http://schemas.openxmlformats.org/officeDocument/2006/relationships/hyperlink" Target="https://www.tiktok.com/@claudiaeatsgood?_t=8mNvQmOxAx5&amp;_r=1" TargetMode="External"/><Relationship Id="rId139" Type="http://schemas.openxmlformats.org/officeDocument/2006/relationships/hyperlink" Target="https://myslink.app/ChristyWhite" TargetMode="External"/><Relationship Id="rId138" Type="http://schemas.openxmlformats.org/officeDocument/2006/relationships/hyperlink" Target="http://www.cham.com" TargetMode="External"/><Relationship Id="rId137" Type="http://schemas.openxmlformats.org/officeDocument/2006/relationships/hyperlink" Target="https://linktr.ee/christopherai" TargetMode="External"/><Relationship Id="rId132" Type="http://schemas.openxmlformats.org/officeDocument/2006/relationships/hyperlink" Target="https://chloe.lnk.to/TroubleInParadise" TargetMode="External"/><Relationship Id="rId131" Type="http://schemas.openxmlformats.org/officeDocument/2006/relationships/hyperlink" Target="http://www.chloe.com" TargetMode="External"/><Relationship Id="rId130" Type="http://schemas.openxmlformats.org/officeDocument/2006/relationships/hyperlink" Target="http://www.chelseajean.com/" TargetMode="External"/><Relationship Id="rId136" Type="http://schemas.openxmlformats.org/officeDocument/2006/relationships/hyperlink" Target="https://www.deadstock.de/sneaker-app" TargetMode="External"/><Relationship Id="rId135" Type="http://schemas.openxmlformats.org/officeDocument/2006/relationships/hyperlink" Target="https://linktr.ee/chrisbriney" TargetMode="External"/><Relationship Id="rId134" Type="http://schemas.openxmlformats.org/officeDocument/2006/relationships/hyperlink" Target="http://xtina.komi.io" TargetMode="External"/><Relationship Id="rId133" Type="http://schemas.openxmlformats.org/officeDocument/2006/relationships/hyperlink" Target="https://igg.me/at/100pages" TargetMode="External"/><Relationship Id="rId172" Type="http://schemas.openxmlformats.org/officeDocument/2006/relationships/hyperlink" Target="http://www.prakopcyk.com" TargetMode="External"/><Relationship Id="rId171" Type="http://schemas.openxmlformats.org/officeDocument/2006/relationships/hyperlink" Target="https://linktr.ee/UFCDanaWhite" TargetMode="External"/><Relationship Id="rId170" Type="http://schemas.openxmlformats.org/officeDocument/2006/relationships/hyperlink" Target="https://linktr.ee/daisyherriott" TargetMode="External"/><Relationship Id="rId165" Type="http://schemas.openxmlformats.org/officeDocument/2006/relationships/hyperlink" Target="http://www.badguysclub.com" TargetMode="External"/><Relationship Id="rId164" Type="http://schemas.openxmlformats.org/officeDocument/2006/relationships/hyperlink" Target="http://hc.com/craigmelvin" TargetMode="External"/><Relationship Id="rId163" Type="http://schemas.openxmlformats.org/officeDocument/2006/relationships/hyperlink" Target="https://bjjfanatics.com/collections/craig-jones/fighter_craig-jones" TargetMode="External"/><Relationship Id="rId162" Type="http://schemas.openxmlformats.org/officeDocument/2006/relationships/hyperlink" Target="http://www.goldenhippo.com" TargetMode="External"/><Relationship Id="rId169" Type="http://schemas.openxmlformats.org/officeDocument/2006/relationships/hyperlink" Target="https://linktr.ee/cynthiaerivo/" TargetMode="External"/><Relationship Id="rId168" Type="http://schemas.openxmlformats.org/officeDocument/2006/relationships/hyperlink" Target="https://linktr.ee/tinahxplorez" TargetMode="External"/><Relationship Id="rId167" Type="http://schemas.openxmlformats.org/officeDocument/2006/relationships/hyperlink" Target="http://umusicbrazil.lnk.to/CristinasVol3" TargetMode="External"/><Relationship Id="rId166" Type="http://schemas.openxmlformats.org/officeDocument/2006/relationships/hyperlink" Target="https://www.criscanaria.com/" TargetMode="External"/><Relationship Id="rId161" Type="http://schemas.openxmlformats.org/officeDocument/2006/relationships/hyperlink" Target="https://unlvtickets.evenue.net/events/TMCI" TargetMode="External"/><Relationship Id="rId160" Type="http://schemas.openxmlformats.org/officeDocument/2006/relationships/hyperlink" Target="https://msha.ke/granolacourt" TargetMode="External"/><Relationship Id="rId159" Type="http://schemas.openxmlformats.org/officeDocument/2006/relationships/hyperlink" Target="http://linktr.ee/cpayton14" TargetMode="External"/><Relationship Id="rId154" Type="http://schemas.openxmlformats.org/officeDocument/2006/relationships/hyperlink" Target="https://linktr.ee/suppycolleen" TargetMode="External"/><Relationship Id="rId153" Type="http://schemas.openxmlformats.org/officeDocument/2006/relationships/hyperlink" Target="https://linktr.ee/colleenreed" TargetMode="External"/><Relationship Id="rId152" Type="http://schemas.openxmlformats.org/officeDocument/2006/relationships/hyperlink" Target="https://thecolleen333.com" TargetMode="External"/><Relationship Id="rId151" Type="http://schemas.openxmlformats.org/officeDocument/2006/relationships/hyperlink" Target="https://youtu.be/bYYroBur9cY?si=JROuvKFRPye4NgTS" TargetMode="External"/><Relationship Id="rId158" Type="http://schemas.openxmlformats.org/officeDocument/2006/relationships/hyperlink" Target="https://open.spotify.com/prerelease/3fHev1k88Gxz9aBDxC7Zp5?si=vJLgcFQWTBGvLXNscGscVw" TargetMode="External"/><Relationship Id="rId157" Type="http://schemas.openxmlformats.org/officeDocument/2006/relationships/hyperlink" Target="http://www.barerootremedy.com" TargetMode="External"/><Relationship Id="rId156" Type="http://schemas.openxmlformats.org/officeDocument/2006/relationships/hyperlink" Target="https://connorbottoms.org" TargetMode="External"/><Relationship Id="rId155" Type="http://schemas.openxmlformats.org/officeDocument/2006/relationships/hyperlink" Target="https://ukrainewar.carrd.co/" TargetMode="External"/><Relationship Id="rId503" Type="http://schemas.openxmlformats.org/officeDocument/2006/relationships/hyperlink" Target="https://linktr.ee/zachwillmore03" TargetMode="External"/><Relationship Id="rId502" Type="http://schemas.openxmlformats.org/officeDocument/2006/relationships/hyperlink" Target="http://wyldwoodaustin.com" TargetMode="External"/><Relationship Id="rId501" Type="http://schemas.openxmlformats.org/officeDocument/2006/relationships/hyperlink" Target="http://tiktok.com/@zachary5k" TargetMode="External"/><Relationship Id="rId500" Type="http://schemas.openxmlformats.org/officeDocument/2006/relationships/hyperlink" Target="http://music.apple.com/bw/album/pa-feat-youngstacpt-single/1814085612" TargetMode="External"/><Relationship Id="rId504" Type="http://schemas.openxmlformats.org/officeDocument/2006/relationships/drawing" Target="../drawings/drawing10.xml"/><Relationship Id="rId107" Type="http://schemas.openxmlformats.org/officeDocument/2006/relationships/hyperlink" Target="https://linktr.ee/candiceking" TargetMode="External"/><Relationship Id="rId106" Type="http://schemas.openxmlformats.org/officeDocument/2006/relationships/hyperlink" Target="http://www.pcoswithcandice.com" TargetMode="External"/><Relationship Id="rId105" Type="http://schemas.openxmlformats.org/officeDocument/2006/relationships/hyperlink" Target="https://candicebergenartstuff.com/" TargetMode="External"/><Relationship Id="rId104" Type="http://schemas.openxmlformats.org/officeDocument/2006/relationships/hyperlink" Target="https://linktr.ee/sixfootdancer" TargetMode="External"/><Relationship Id="rId109" Type="http://schemas.openxmlformats.org/officeDocument/2006/relationships/hyperlink" Target="https://open.substack.com/pub/runcandicerun/p/walking-the-line-of-success-and-destruction?r=3yz42f&amp;utm_medium=ios" TargetMode="External"/><Relationship Id="rId108" Type="http://schemas.openxmlformats.org/officeDocument/2006/relationships/hyperlink" Target="http://www.tropicofc.com/" TargetMode="External"/><Relationship Id="rId103" Type="http://schemas.openxmlformats.org/officeDocument/2006/relationships/hyperlink" Target="https://linkin.bio/scottycameron" TargetMode="External"/><Relationship Id="rId102" Type="http://schemas.openxmlformats.org/officeDocument/2006/relationships/hyperlink" Target="https://shop.adriana-maria.com/products/film-lightroom-presets-luts" TargetMode="External"/><Relationship Id="rId101" Type="http://schemas.openxmlformats.org/officeDocument/2006/relationships/hyperlink" Target="https://www.marieclaire.co.uk/fashion/dove-cameron" TargetMode="External"/><Relationship Id="rId100" Type="http://schemas.openxmlformats.org/officeDocument/2006/relationships/hyperlink" Target="https://linktr.ee/cameronflipe" TargetMode="External"/><Relationship Id="rId129" Type="http://schemas.openxmlformats.org/officeDocument/2006/relationships/hyperlink" Target="https://linktr.ee/chelseafc" TargetMode="External"/><Relationship Id="rId128" Type="http://schemas.openxmlformats.org/officeDocument/2006/relationships/hyperlink" Target="https://bra-calculator.charlenelingerie.com/fr" TargetMode="External"/><Relationship Id="rId127" Type="http://schemas.openxmlformats.org/officeDocument/2006/relationships/hyperlink" Target="https://www.amazon.fr/shop/charlenefrancesca?isPublicView=true" TargetMode="External"/><Relationship Id="rId126" Type="http://schemas.openxmlformats.org/officeDocument/2006/relationships/hyperlink" Target="https://bourdiercharlene.wixsite.com/photographie" TargetMode="External"/><Relationship Id="rId121" Type="http://schemas.openxmlformats.org/officeDocument/2006/relationships/hyperlink" Target="https://www.thetimes.com/life-style/celebrity/article/catherine-zeta-jones-interview-wednesday-netflix-gpszqh3m0" TargetMode="External"/><Relationship Id="rId120" Type="http://schemas.openxmlformats.org/officeDocument/2006/relationships/hyperlink" Target="https://bio.site/catherinepaiz" TargetMode="External"/><Relationship Id="rId125" Type="http://schemas.openxmlformats.org/officeDocument/2006/relationships/hyperlink" Target="https://vyd.co/Ketseng" TargetMode="External"/><Relationship Id="rId124" Type="http://schemas.openxmlformats.org/officeDocument/2006/relationships/hyperlink" Target="https://linktr.ee/chadgoesdeep" TargetMode="External"/><Relationship Id="rId123" Type="http://schemas.openxmlformats.org/officeDocument/2006/relationships/hyperlink" Target="https://coatedlemon.no/collections/cecilia" TargetMode="External"/><Relationship Id="rId122" Type="http://schemas.openxmlformats.org/officeDocument/2006/relationships/hyperlink" Target="https://ingrv.es/Cecilia-Chancez-Surreal?fbclid=PAZXh0bgNhZW0CMTEAAabJ0ocJ9S4-rWs4aX8OKHkWIY5xWdiAUxui1jveIKZVSllCthot8GFdhkA_aem_AWIyChNvmkPmRuf27g-nePT3-_2eoCKdTs2SatrDC8F8Fo4-qFJudED6Lm0iMnS32bLkP_EaZZ_UhO0H4sDonL-3" TargetMode="External"/><Relationship Id="rId118" Type="http://schemas.openxmlformats.org/officeDocument/2006/relationships/hyperlink" Target="https://linktr.ee/cassandrasaucedo" TargetMode="External"/><Relationship Id="rId117" Type="http://schemas.openxmlformats.org/officeDocument/2006/relationships/hyperlink" Target="https://www.linknbio.com/cassandra" TargetMode="External"/><Relationship Id="rId116" Type="http://schemas.openxmlformats.org/officeDocument/2006/relationships/hyperlink" Target="https://adobe.ly/413JKTX" TargetMode="External"/><Relationship Id="rId115" Type="http://schemas.openxmlformats.org/officeDocument/2006/relationships/hyperlink" Target="https://bio.site/Carolline." TargetMode="External"/><Relationship Id="rId119" Type="http://schemas.openxmlformats.org/officeDocument/2006/relationships/hyperlink" Target="https://linktr.ee/catherinebascoy" TargetMode="External"/><Relationship Id="rId110" Type="http://schemas.openxmlformats.org/officeDocument/2006/relationships/hyperlink" Target="https://linktr.ee/carla.oliveira" TargetMode="External"/><Relationship Id="rId114" Type="http://schemas.openxmlformats.org/officeDocument/2006/relationships/hyperlink" Target="https://e-muzyka.link/CarolineDerpienskiRyzyko" TargetMode="External"/><Relationship Id="rId113" Type="http://schemas.openxmlformats.org/officeDocument/2006/relationships/hyperlink" Target="https://portal.mineco.gob.es/es-es/Paginas/index.aspx" TargetMode="External"/><Relationship Id="rId112" Type="http://schemas.openxmlformats.org/officeDocument/2006/relationships/hyperlink" Target="https://youtube.com/@iamcarlossantana?si=-PcLNo-VR6kd4bKH" TargetMode="External"/><Relationship Id="rId111" Type="http://schemas.openxmlformats.org/officeDocument/2006/relationships/hyperlink" Target="https://shop.autolux.net/products/autolux-demos-2001-2002-gold-vinyl" TargetMode="External"/><Relationship Id="rId495" Type="http://schemas.openxmlformats.org/officeDocument/2006/relationships/hyperlink" Target="http://chang.com" TargetMode="External"/><Relationship Id="rId494" Type="http://schemas.openxmlformats.org/officeDocument/2006/relationships/hyperlink" Target="https://lilwayne.lnk.to/TCVIBI" TargetMode="External"/><Relationship Id="rId493" Type="http://schemas.openxmlformats.org/officeDocument/2006/relationships/hyperlink" Target="https://linktr.ee/viptoriaaa" TargetMode="External"/><Relationship Id="rId492" Type="http://schemas.openxmlformats.org/officeDocument/2006/relationships/hyperlink" Target="http://likeshop.me/victoriassecret" TargetMode="External"/><Relationship Id="rId499" Type="http://schemas.openxmlformats.org/officeDocument/2006/relationships/hyperlink" Target="https://linktr.ee/DeeWilliamsXXX" TargetMode="External"/><Relationship Id="rId498" Type="http://schemas.openxmlformats.org/officeDocument/2006/relationships/hyperlink" Target="http://www.will.i.am" TargetMode="External"/><Relationship Id="rId497" Type="http://schemas.openxmlformats.org/officeDocument/2006/relationships/hyperlink" Target="http://will.i.am" TargetMode="External"/><Relationship Id="rId496" Type="http://schemas.openxmlformats.org/officeDocument/2006/relationships/hyperlink" Target="https://linktr.ee/whitleavitt" TargetMode="External"/><Relationship Id="rId409" Type="http://schemas.openxmlformats.org/officeDocument/2006/relationships/hyperlink" Target="https://ca.asus.click/PeterA14" TargetMode="External"/><Relationship Id="rId404" Type="http://schemas.openxmlformats.org/officeDocument/2006/relationships/hyperlink" Target="https://linktr.ee/owen.han" TargetMode="External"/><Relationship Id="rId403" Type="http://schemas.openxmlformats.org/officeDocument/2006/relationships/hyperlink" Target="https://app.fansmeetidols.com/olivia.babcock" TargetMode="External"/><Relationship Id="rId402" Type="http://schemas.openxmlformats.org/officeDocument/2006/relationships/hyperlink" Target="https://store.oliviarodrigo.com" TargetMode="External"/><Relationship Id="rId401" Type="http://schemas.openxmlformats.org/officeDocument/2006/relationships/hyperlink" Target="https://linktr.ee/OliviaTrice" TargetMode="External"/><Relationship Id="rId408" Type="http://schemas.openxmlformats.org/officeDocument/2006/relationships/hyperlink" Target="http://patrickta.com" TargetMode="External"/><Relationship Id="rId407" Type="http://schemas.openxmlformats.org/officeDocument/2006/relationships/hyperlink" Target="https://linktr.ee/batmanya" TargetMode="External"/><Relationship Id="rId406" Type="http://schemas.openxmlformats.org/officeDocument/2006/relationships/hyperlink" Target="https://bit.ly/paigetaylortt" TargetMode="External"/><Relationship Id="rId405" Type="http://schemas.openxmlformats.org/officeDocument/2006/relationships/hyperlink" Target="https://paige.com/?utm_source=Instagram+&amp;utm_medium=Bio&amp;utm_campaign=Spring_25_Collection&amp;utm_content=Bio_link" TargetMode="External"/><Relationship Id="rId400" Type="http://schemas.openxmlformats.org/officeDocument/2006/relationships/hyperlink" Target="https://open.spotify.com/track/4sJmv194lQKWjytpaxH1Vj?si=Q3Nw5ziFSkC9Gvspu3iDpA" TargetMode="External"/><Relationship Id="rId469" Type="http://schemas.openxmlformats.org/officeDocument/2006/relationships/hyperlink" Target="http://travisscott.com" TargetMode="External"/><Relationship Id="rId468" Type="http://schemas.openxmlformats.org/officeDocument/2006/relationships/hyperlink" Target="http://www.gatedgroup.com" TargetMode="External"/><Relationship Id="rId467" Type="http://schemas.openxmlformats.org/officeDocument/2006/relationships/hyperlink" Target="https://www.universal-music.co.jp/travisjapan/" TargetMode="External"/><Relationship Id="rId462" Type="http://schemas.openxmlformats.org/officeDocument/2006/relationships/hyperlink" Target="https://ill.inc/" TargetMode="External"/><Relationship Id="rId461" Type="http://schemas.openxmlformats.org/officeDocument/2006/relationships/hyperlink" Target="https://christianaudette.com/collections/teresa-giudices" TargetMode="External"/><Relationship Id="rId460" Type="http://schemas.openxmlformats.org/officeDocument/2006/relationships/hyperlink" Target="https://link.me/itstaypeach" TargetMode="External"/><Relationship Id="rId466" Type="http://schemas.openxmlformats.org/officeDocument/2006/relationships/hyperlink" Target="http://www.trukolors.com" TargetMode="External"/><Relationship Id="rId465" Type="http://schemas.openxmlformats.org/officeDocument/2006/relationships/hyperlink" Target="https://likeshop.me/tiffanyandco" TargetMode="External"/><Relationship Id="rId464" Type="http://schemas.openxmlformats.org/officeDocument/2006/relationships/hyperlink" Target="http://www.tuolomee.com" TargetMode="External"/><Relationship Id="rId463" Type="http://schemas.openxmlformats.org/officeDocument/2006/relationships/hyperlink" Target="https://linktr.ee/Thomasisntreal" TargetMode="External"/><Relationship Id="rId459" Type="http://schemas.openxmlformats.org/officeDocument/2006/relationships/hyperlink" Target="https://taylor.lnk.to/TSTheLifeofaShowgirl" TargetMode="External"/><Relationship Id="rId458" Type="http://schemas.openxmlformats.org/officeDocument/2006/relationships/hyperlink" Target="https://clicklinkin.bio/Sydney" TargetMode="External"/><Relationship Id="rId457" Type="http://schemas.openxmlformats.org/officeDocument/2006/relationships/hyperlink" Target="https://stan.store/stevenbartlett" TargetMode="External"/><Relationship Id="rId456" Type="http://schemas.openxmlformats.org/officeDocument/2006/relationships/hyperlink" Target="https://youtu.be/Ek6FxvpOLfo" TargetMode="External"/><Relationship Id="rId451" Type="http://schemas.openxmlformats.org/officeDocument/2006/relationships/hyperlink" Target="http://link.me/sierraxraiin" TargetMode="External"/><Relationship Id="rId450" Type="http://schemas.openxmlformats.org/officeDocument/2006/relationships/hyperlink" Target="https://spotify.link/13YhFCeM2Db" TargetMode="External"/><Relationship Id="rId455" Type="http://schemas.openxmlformats.org/officeDocument/2006/relationships/hyperlink" Target="https://linktr.ee/stephgilmore" TargetMode="External"/><Relationship Id="rId454" Type="http://schemas.openxmlformats.org/officeDocument/2006/relationships/hyperlink" Target="https://solo.to/superstackedstacy" TargetMode="External"/><Relationship Id="rId453" Type="http://schemas.openxmlformats.org/officeDocument/2006/relationships/hyperlink" Target="https://hoo.be/stacykeibler" TargetMode="External"/><Relationship Id="rId452" Type="http://schemas.openxmlformats.org/officeDocument/2006/relationships/hyperlink" Target="http://hoo.be/sophiavantuno/" TargetMode="External"/><Relationship Id="rId491" Type="http://schemas.openxmlformats.org/officeDocument/2006/relationships/hyperlink" Target="https://t.me/v_bonya" TargetMode="External"/><Relationship Id="rId490" Type="http://schemas.openxmlformats.org/officeDocument/2006/relationships/hyperlink" Target="https://likeshop.me/victoriabeckham" TargetMode="External"/><Relationship Id="rId489" Type="http://schemas.openxmlformats.org/officeDocument/2006/relationships/hyperlink" Target="https://inthefrow.co/outfits" TargetMode="External"/><Relationship Id="rId484" Type="http://schemas.openxmlformats.org/officeDocument/2006/relationships/hyperlink" Target="https://open.spotify.com/episode/7aYWr3H5VBYs57BMJRIhuf?si=8IAUVVKfTLutZnFuw9BDwA" TargetMode="External"/><Relationship Id="rId483" Type="http://schemas.openxmlformats.org/officeDocument/2006/relationships/hyperlink" Target="https://www.kick.com/tylersherwinmagic" TargetMode="External"/><Relationship Id="rId482" Type="http://schemas.openxmlformats.org/officeDocument/2006/relationships/hyperlink" Target="https://youtu.be/LRfp7XCi8iE?si=vrl3hFZLf_hRDLIW" TargetMode="External"/><Relationship Id="rId481" Type="http://schemas.openxmlformats.org/officeDocument/2006/relationships/hyperlink" Target="http://tylerzwise.com/start-here" TargetMode="External"/><Relationship Id="rId488" Type="http://schemas.openxmlformats.org/officeDocument/2006/relationships/hyperlink" Target="http://www.linktr.ee/tylerfischer" TargetMode="External"/><Relationship Id="rId487" Type="http://schemas.openxmlformats.org/officeDocument/2006/relationships/hyperlink" Target="https://www.tylerwayneglass.com/presets/the-analog-preset" TargetMode="External"/><Relationship Id="rId486" Type="http://schemas.openxmlformats.org/officeDocument/2006/relationships/hyperlink" Target="https://www.vfxcreators.com/7-day-viral-vfx?el=org-ig-bio" TargetMode="External"/><Relationship Id="rId485" Type="http://schemas.openxmlformats.org/officeDocument/2006/relationships/hyperlink" Target="http://tylerbrundy.com" TargetMode="External"/><Relationship Id="rId480" Type="http://schemas.openxmlformats.org/officeDocument/2006/relationships/hyperlink" Target="https://youtu.be/kZfz5UlsHlQ?si=5BP4QjQerC356FW5" TargetMode="External"/><Relationship Id="rId479" Type="http://schemas.openxmlformats.org/officeDocument/2006/relationships/hyperlink" Target="https://linktr.ee/drtylerpanzner" TargetMode="External"/><Relationship Id="rId478" Type="http://schemas.openxmlformats.org/officeDocument/2006/relationships/hyperlink" Target="https://linktr.ee/troyhawke" TargetMode="External"/><Relationship Id="rId473" Type="http://schemas.openxmlformats.org/officeDocument/2006/relationships/hyperlink" Target="https://trevorwallace.komi.io/" TargetMode="External"/><Relationship Id="rId472" Type="http://schemas.openxmlformats.org/officeDocument/2006/relationships/hyperlink" Target="https://youtu.be/OQ4ZMg7RsXg" TargetMode="External"/><Relationship Id="rId471" Type="http://schemas.openxmlformats.org/officeDocument/2006/relationships/hyperlink" Target="http://linktr.ee/slimyswampghost" TargetMode="External"/><Relationship Id="rId470" Type="http://schemas.openxmlformats.org/officeDocument/2006/relationships/hyperlink" Target="http://travisespinks.com" TargetMode="External"/><Relationship Id="rId477" Type="http://schemas.openxmlformats.org/officeDocument/2006/relationships/hyperlink" Target="http://tsu-lange-yor.au" TargetMode="External"/><Relationship Id="rId476" Type="http://schemas.openxmlformats.org/officeDocument/2006/relationships/hyperlink" Target="https://lmctgiveaway.com/lmctworld" TargetMode="External"/><Relationship Id="rId475" Type="http://schemas.openxmlformats.org/officeDocument/2006/relationships/hyperlink" Target="http://linktr.ee/drinkeightbeer" TargetMode="External"/><Relationship Id="rId474" Type="http://schemas.openxmlformats.org/officeDocument/2006/relationships/hyperlink" Target="http://twitter.com/yo" TargetMode="External"/><Relationship Id="rId426" Type="http://schemas.openxmlformats.org/officeDocument/2006/relationships/hyperlink" Target="http://rogerfedererfoundation.org" TargetMode="External"/><Relationship Id="rId425" Type="http://schemas.openxmlformats.org/officeDocument/2006/relationships/hyperlink" Target="http://rogerver.com/" TargetMode="External"/><Relationship Id="rId424" Type="http://schemas.openxmlformats.org/officeDocument/2006/relationships/hyperlink" Target="https://linktr.ee/myrwu" TargetMode="External"/><Relationship Id="rId423" Type="http://schemas.openxmlformats.org/officeDocument/2006/relationships/hyperlink" Target="http://linktr.ee/robertdowneyjr" TargetMode="External"/><Relationship Id="rId429" Type="http://schemas.openxmlformats.org/officeDocument/2006/relationships/hyperlink" Target="http://crushthedefence.bigcartel.com" TargetMode="External"/><Relationship Id="rId428" Type="http://schemas.openxmlformats.org/officeDocument/2006/relationships/hyperlink" Target="http://avacr7.com/en" TargetMode="External"/><Relationship Id="rId427" Type="http://schemas.openxmlformats.org/officeDocument/2006/relationships/hyperlink" Target="https://rogerwaters.lnk.to/TINAD_LiveFromPrague" TargetMode="External"/><Relationship Id="rId422" Type="http://schemas.openxmlformats.org/officeDocument/2006/relationships/hyperlink" Target="http://jungl.com" TargetMode="External"/><Relationship Id="rId421" Type="http://schemas.openxmlformats.org/officeDocument/2006/relationships/hyperlink" Target="https://hoo.be/ricardocooks" TargetMode="External"/><Relationship Id="rId420" Type="http://schemas.openxmlformats.org/officeDocument/2006/relationships/hyperlink" Target="https://youtube.com/@ricardinhofut" TargetMode="External"/><Relationship Id="rId415" Type="http://schemas.openxmlformats.org/officeDocument/2006/relationships/hyperlink" Target="https://youtu.be/gPDJcOMq8-M?feature=shared" TargetMode="External"/><Relationship Id="rId414" Type="http://schemas.openxmlformats.org/officeDocument/2006/relationships/hyperlink" Target="http://www.google.com" TargetMode="External"/><Relationship Id="rId413" Type="http://schemas.openxmlformats.org/officeDocument/2006/relationships/hyperlink" Target="https://linktr.ee/raym0nd__" TargetMode="External"/><Relationship Id="rId412" Type="http://schemas.openxmlformats.org/officeDocument/2006/relationships/hyperlink" Target="https://linktr.ee/Mrshhayward" TargetMode="External"/><Relationship Id="rId419" Type="http://schemas.openxmlformats.org/officeDocument/2006/relationships/hyperlink" Target="http://link.me/rebecca" TargetMode="External"/><Relationship Id="rId418" Type="http://schemas.openxmlformats.org/officeDocument/2006/relationships/hyperlink" Target="http://youtube.com/@beccaxbloom" TargetMode="External"/><Relationship Id="rId417" Type="http://schemas.openxmlformats.org/officeDocument/2006/relationships/hyperlink" Target="https://linktr.ee/trulyenamoured" TargetMode="External"/><Relationship Id="rId416" Type="http://schemas.openxmlformats.org/officeDocument/2006/relationships/hyperlink" Target="http://trulyenamoured.id" TargetMode="External"/><Relationship Id="rId411" Type="http://schemas.openxmlformats.org/officeDocument/2006/relationships/hyperlink" Target="http://adreamdeferredbook.com" TargetMode="External"/><Relationship Id="rId410" Type="http://schemas.openxmlformats.org/officeDocument/2006/relationships/hyperlink" Target="https://youtube.com/@tushmaxinh?si=ktR9K08oiwY2P_qd" TargetMode="External"/><Relationship Id="rId448" Type="http://schemas.openxmlformats.org/officeDocument/2006/relationships/hyperlink" Target="https://timeforbetter.org/project/communicating-climate-in-a-conservative-era/" TargetMode="External"/><Relationship Id="rId447" Type="http://schemas.openxmlformats.org/officeDocument/2006/relationships/hyperlink" Target="https://linktr.ee/Shawntyaa" TargetMode="External"/><Relationship Id="rId446" Type="http://schemas.openxmlformats.org/officeDocument/2006/relationships/hyperlink" Target="http://shawnmendesofficial.com/live" TargetMode="External"/><Relationship Id="rId445" Type="http://schemas.openxmlformats.org/officeDocument/2006/relationships/hyperlink" Target="https://linktr.ee/Shannbailee" TargetMode="External"/><Relationship Id="rId449" Type="http://schemas.openxmlformats.org/officeDocument/2006/relationships/hyperlink" Target="https://linktr.ee/sierraaaskyee" TargetMode="External"/><Relationship Id="rId440" Type="http://schemas.openxmlformats.org/officeDocument/2006/relationships/hyperlink" Target="https://youtu.be/zHYHSFcQYSI?si=WCVsL8v9oJB9sYO1" TargetMode="External"/><Relationship Id="rId444" Type="http://schemas.openxmlformats.org/officeDocument/2006/relationships/hyperlink" Target="http://donatehfc.com" TargetMode="External"/><Relationship Id="rId443" Type="http://schemas.openxmlformats.org/officeDocument/2006/relationships/hyperlink" Target="http://linktr.ee/latenightseth" TargetMode="External"/><Relationship Id="rId442" Type="http://schemas.openxmlformats.org/officeDocument/2006/relationships/hyperlink" Target="http://www.tiktok.com/@sarxh.lim" TargetMode="External"/><Relationship Id="rId441" Type="http://schemas.openxmlformats.org/officeDocument/2006/relationships/hyperlink" Target="http://www.madebysamuel.jp" TargetMode="External"/><Relationship Id="rId437" Type="http://schemas.openxmlformats.org/officeDocument/2006/relationships/hyperlink" Target="http://linktr.ee/RussellBrand" TargetMode="External"/><Relationship Id="rId436" Type="http://schemas.openxmlformats.org/officeDocument/2006/relationships/hyperlink" Target="http://hoo.be/louisrussell" TargetMode="External"/><Relationship Id="rId435" Type="http://schemas.openxmlformats.org/officeDocument/2006/relationships/hyperlink" Target="https://linktr.ee/Gcompenny" TargetMode="External"/><Relationship Id="rId434" Type="http://schemas.openxmlformats.org/officeDocument/2006/relationships/hyperlink" Target="http://kva-group.com" TargetMode="External"/><Relationship Id="rId439" Type="http://schemas.openxmlformats.org/officeDocument/2006/relationships/hyperlink" Target="http://tunelink.to/NeptuneSSDD" TargetMode="External"/><Relationship Id="rId438" Type="http://schemas.openxmlformats.org/officeDocument/2006/relationships/hyperlink" Target="https://youtu.be/jzoPyi6Y9Ac?si=FweXSL7RNhhP6omq" TargetMode="External"/><Relationship Id="rId433" Type="http://schemas.openxmlformats.org/officeDocument/2006/relationships/hyperlink" Target="https://nomadict.org/photo-and-video-workshop-in-the-lofoten-islands-norway/" TargetMode="External"/><Relationship Id="rId432" Type="http://schemas.openxmlformats.org/officeDocument/2006/relationships/hyperlink" Target="https://linktr.ee/playspace.creative" TargetMode="External"/><Relationship Id="rId431" Type="http://schemas.openxmlformats.org/officeDocument/2006/relationships/hyperlink" Target="https://r10score.net/ronaldinho" TargetMode="External"/><Relationship Id="rId430" Type="http://schemas.openxmlformats.org/officeDocument/2006/relationships/hyperlink" Target="http://www.youtube.com/RonaldVledder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agentrix212.ai" TargetMode="External"/><Relationship Id="rId2" Type="http://schemas.openxmlformats.org/officeDocument/2006/relationships/hyperlink" Target="https://linktr.ee/Agentrix212.ai" TargetMode="External"/><Relationship Id="rId3" Type="http://schemas.openxmlformats.org/officeDocument/2006/relationships/hyperlink" Target="https://linktr.ee/aidafreediving" TargetMode="External"/><Relationship Id="rId4" Type="http://schemas.openxmlformats.org/officeDocument/2006/relationships/hyperlink" Target="http://evolving.ai" TargetMode="External"/><Relationship Id="rId9" Type="http://schemas.openxmlformats.org/officeDocument/2006/relationships/hyperlink" Target="https://lilbaby.store/" TargetMode="External"/><Relationship Id="rId5" Type="http://schemas.openxmlformats.org/officeDocument/2006/relationships/hyperlink" Target="http://bento.me/evolvingai" TargetMode="External"/><Relationship Id="rId6" Type="http://schemas.openxmlformats.org/officeDocument/2006/relationships/hyperlink" Target="http://babababy.mv" TargetMode="External"/><Relationship Id="rId7" Type="http://schemas.openxmlformats.org/officeDocument/2006/relationships/hyperlink" Target="https://babababy.mv" TargetMode="External"/><Relationship Id="rId8" Type="http://schemas.openxmlformats.org/officeDocument/2006/relationships/hyperlink" Target="http://linktr.ee/baby.food.bible" TargetMode="External"/><Relationship Id="rId379" Type="http://schemas.openxmlformats.org/officeDocument/2006/relationships/drawing" Target="../drawings/drawing11.xml"/><Relationship Id="rId374" Type="http://schemas.openxmlformats.org/officeDocument/2006/relationships/hyperlink" Target="https://bit.ly/ShopGreenOlive" TargetMode="External"/><Relationship Id="rId373" Type="http://schemas.openxmlformats.org/officeDocument/2006/relationships/hyperlink" Target="https://fitflownation.com/start-here" TargetMode="External"/><Relationship Id="rId372" Type="http://schemas.openxmlformats.org/officeDocument/2006/relationships/hyperlink" Target="https://linktr.ee/workout.with.gina" TargetMode="External"/><Relationship Id="rId371" Type="http://schemas.openxmlformats.org/officeDocument/2006/relationships/hyperlink" Target="https://www.solin.stream/workoutsbychristina/program/3374" TargetMode="External"/><Relationship Id="rId378" Type="http://schemas.openxmlformats.org/officeDocument/2006/relationships/hyperlink" Target="https://linktr.ee/yogawithkatharine" TargetMode="External"/><Relationship Id="rId377" Type="http://schemas.openxmlformats.org/officeDocument/2006/relationships/hyperlink" Target="https://www.summitofgreatness.com/" TargetMode="External"/><Relationship Id="rId376" Type="http://schemas.openxmlformats.org/officeDocument/2006/relationships/hyperlink" Target="https://linktr.ee/flexyoga" TargetMode="External"/><Relationship Id="rId375" Type="http://schemas.openxmlformats.org/officeDocument/2006/relationships/hyperlink" Target="http://dailyyoga.com" TargetMode="External"/><Relationship Id="rId40" Type="http://schemas.openxmlformats.org/officeDocument/2006/relationships/hyperlink" Target="https://linktr.ee/brunch_madrid" TargetMode="External"/><Relationship Id="rId42" Type="http://schemas.openxmlformats.org/officeDocument/2006/relationships/hyperlink" Target="https://brunch.us" TargetMode="External"/><Relationship Id="rId41" Type="http://schemas.openxmlformats.org/officeDocument/2006/relationships/hyperlink" Target="http://brunch.us" TargetMode="External"/><Relationship Id="rId44" Type="http://schemas.openxmlformats.org/officeDocument/2006/relationships/hyperlink" Target="https://cafecito.app/lachicadelbrunch" TargetMode="External"/><Relationship Id="rId43" Type="http://schemas.openxmlformats.org/officeDocument/2006/relationships/hyperlink" Target="https://linktr.ee/brunch.withbabs" TargetMode="External"/><Relationship Id="rId46" Type="http://schemas.openxmlformats.org/officeDocument/2006/relationships/hyperlink" Target="https://lnk.bio/ojardim.sp" TargetMode="External"/><Relationship Id="rId45" Type="http://schemas.openxmlformats.org/officeDocument/2006/relationships/hyperlink" Target="https://www.eatatnola.com/visit-us" TargetMode="External"/><Relationship Id="rId48" Type="http://schemas.openxmlformats.org/officeDocument/2006/relationships/hyperlink" Target="https://www.michaeljfox.org/epicure-parkinsons-tasting-event?os_cid=ig-a1bVL0000059N49" TargetMode="External"/><Relationship Id="rId47" Type="http://schemas.openxmlformats.org/officeDocument/2006/relationships/hyperlink" Target="https://msha.ke/theboxstreetsocial" TargetMode="External"/><Relationship Id="rId49" Type="http://schemas.openxmlformats.org/officeDocument/2006/relationships/hyperlink" Target="http://catsofinstagram.com" TargetMode="External"/><Relationship Id="rId31" Type="http://schemas.openxmlformats.org/officeDocument/2006/relationships/hyperlink" Target="https://lsusports.net/sports/mb/" TargetMode="External"/><Relationship Id="rId30" Type="http://schemas.openxmlformats.org/officeDocument/2006/relationships/hyperlink" Target="https://linktr.ee/gbbasketball" TargetMode="External"/><Relationship Id="rId33" Type="http://schemas.openxmlformats.org/officeDocument/2006/relationships/hyperlink" Target="http://empli.fi/nikebasketball" TargetMode="External"/><Relationship Id="rId32" Type="http://schemas.openxmlformats.org/officeDocument/2006/relationships/hyperlink" Target="http://ihooptoofoundation.org" TargetMode="External"/><Relationship Id="rId35" Type="http://schemas.openxmlformats.org/officeDocument/2006/relationships/hyperlink" Target="https://linktr.ee/unc_basketball" TargetMode="External"/><Relationship Id="rId34" Type="http://schemas.openxmlformats.org/officeDocument/2006/relationships/hyperlink" Target="http://smumustangs.com/mbbtickets" TargetMode="External"/><Relationship Id="rId37" Type="http://schemas.openxmlformats.org/officeDocument/2006/relationships/hyperlink" Target="http://usab.com" TargetMode="External"/><Relationship Id="rId36" Type="http://schemas.openxmlformats.org/officeDocument/2006/relationships/hyperlink" Target="https://uncwsports.evenue.net/events/MBS" TargetMode="External"/><Relationship Id="rId39" Type="http://schemas.openxmlformats.org/officeDocument/2006/relationships/hyperlink" Target="https://linktr.ee/brunchbcn" TargetMode="External"/><Relationship Id="rId38" Type="http://schemas.openxmlformats.org/officeDocument/2006/relationships/hyperlink" Target="https://linktr.ee/brunchandsoca" TargetMode="External"/><Relationship Id="rId20" Type="http://schemas.openxmlformats.org/officeDocument/2006/relationships/hyperlink" Target="https://bit.ly/3GXEwm1" TargetMode="External"/><Relationship Id="rId22" Type="http://schemas.openxmlformats.org/officeDocument/2006/relationships/hyperlink" Target="https://www.amazon.com/shop/stephaniaergemlidze?ref_=cm_sw_r_mwn_aipsfshop_FK0VQ0M6TEWKA5HR98MB_3&amp;language=en_US" TargetMode="External"/><Relationship Id="rId21" Type="http://schemas.openxmlformats.org/officeDocument/2006/relationships/hyperlink" Target="https://linktr.ee/w_barcelona" TargetMode="External"/><Relationship Id="rId24" Type="http://schemas.openxmlformats.org/officeDocument/2006/relationships/hyperlink" Target="https://www.youtube.com/@kobatv1925" TargetMode="External"/><Relationship Id="rId23" Type="http://schemas.openxmlformats.org/officeDocument/2006/relationships/hyperlink" Target="https://link.me/basketballcoverage" TargetMode="External"/><Relationship Id="rId26" Type="http://schemas.openxmlformats.org/officeDocument/2006/relationships/hyperlink" Target="https://www.paramountplus.com/shows/basketball-wives/" TargetMode="External"/><Relationship Id="rId25" Type="http://schemas.openxmlformats.org/officeDocument/2006/relationships/hyperlink" Target="https://nz.basketball" TargetMode="External"/><Relationship Id="rId28" Type="http://schemas.openxmlformats.org/officeDocument/2006/relationships/hyperlink" Target="http://linktr.ee/basketball_bund" TargetMode="External"/><Relationship Id="rId27" Type="http://schemas.openxmlformats.org/officeDocument/2006/relationships/hyperlink" Target="https://linkin.bio/canadabasketball" TargetMode="External"/><Relationship Id="rId29" Type="http://schemas.openxmlformats.org/officeDocument/2006/relationships/hyperlink" Target="https://linktr.ee/flowgamecursos" TargetMode="External"/><Relationship Id="rId11" Type="http://schemas.openxmlformats.org/officeDocument/2006/relationships/hyperlink" Target="https://skyscanner.pxf.io/fMiamitBarcelona" TargetMode="External"/><Relationship Id="rId10" Type="http://schemas.openxmlformats.org/officeDocument/2006/relationships/hyperlink" Target="http://www.barcelonasc.com.ec/" TargetMode="External"/><Relationship Id="rId13" Type="http://schemas.openxmlformats.org/officeDocument/2006/relationships/hyperlink" Target="https://tirikchilik.uz/barselonamedia" TargetMode="External"/><Relationship Id="rId12" Type="http://schemas.openxmlformats.org/officeDocument/2006/relationships/hyperlink" Target="https://linktr.ee/barcelonawinebar" TargetMode="External"/><Relationship Id="rId15" Type="http://schemas.openxmlformats.org/officeDocument/2006/relationships/hyperlink" Target="https://tickets-official.fcbarcelona.com/barca-atletic-regular/select/2283530?_gl=1%2A1xnup8z%2A_gcl_au%2ANDU2NTY4MTgwLjE3NDY3MjI4Mzk.&amp;viewCode=areamap_sb2d" TargetMode="External"/><Relationship Id="rId14" Type="http://schemas.openxmlformats.org/officeDocument/2006/relationships/hyperlink" Target="http://barca.link/gC7b50WI14i" TargetMode="External"/><Relationship Id="rId17" Type="http://schemas.openxmlformats.org/officeDocument/2006/relationships/hyperlink" Target="https://www.fcbarcelona.cat/ca/noticies/4284413/pol-planas-nou-entrenador-del-juvenil-a" TargetMode="External"/><Relationship Id="rId16" Type="http://schemas.openxmlformats.org/officeDocument/2006/relationships/hyperlink" Target="http://barca.link/rayf50WI15R" TargetMode="External"/><Relationship Id="rId19" Type="http://schemas.openxmlformats.org/officeDocument/2006/relationships/hyperlink" Target="https://mtr.bio/unibarcelona" TargetMode="External"/><Relationship Id="rId18" Type="http://schemas.openxmlformats.org/officeDocument/2006/relationships/hyperlink" Target="https://mukbarcelona.com/" TargetMode="External"/><Relationship Id="rId84" Type="http://schemas.openxmlformats.org/officeDocument/2006/relationships/hyperlink" Target="http://saqenza.com" TargetMode="External"/><Relationship Id="rId83" Type="http://schemas.openxmlformats.org/officeDocument/2006/relationships/hyperlink" Target="https://www.pandorium.com.br/" TargetMode="External"/><Relationship Id="rId86" Type="http://schemas.openxmlformats.org/officeDocument/2006/relationships/hyperlink" Target="https://linktr.ee/adidasfootball" TargetMode="External"/><Relationship Id="rId85" Type="http://schemas.openxmlformats.org/officeDocument/2006/relationships/hyperlink" Target="https://docs.google.com/forms/d/e/1FAIpQLSeekjHtYgaemhZ8DzI-5yFQA7zZQRhkTyLokqSr-A3TgdUZyQ/viewform" TargetMode="External"/><Relationship Id="rId88" Type="http://schemas.openxmlformats.org/officeDocument/2006/relationships/hyperlink" Target="http://konami.jp/4nH5G10" TargetMode="External"/><Relationship Id="rId87" Type="http://schemas.openxmlformats.org/officeDocument/2006/relationships/hyperlink" Target="http://bit.ly/3UWyHbS" TargetMode="External"/><Relationship Id="rId89" Type="http://schemas.openxmlformats.org/officeDocument/2006/relationships/hyperlink" Target="http://nonstop.tv" TargetMode="External"/><Relationship Id="rId80" Type="http://schemas.openxmlformats.org/officeDocument/2006/relationships/hyperlink" Target="https://tally.so/r/3EgGzr" TargetMode="External"/><Relationship Id="rId82" Type="http://schemas.openxmlformats.org/officeDocument/2006/relationships/hyperlink" Target="https://superprofile.bio/course/111add12-f1b3-4fd4-97af-879bd3452940" TargetMode="External"/><Relationship Id="rId81" Type="http://schemas.openxmlformats.org/officeDocument/2006/relationships/hyperlink" Target="https://linkme.bio/guilhermemornatti" TargetMode="External"/><Relationship Id="rId73" Type="http://schemas.openxmlformats.org/officeDocument/2006/relationships/hyperlink" Target="http://bark.co" TargetMode="External"/><Relationship Id="rId72" Type="http://schemas.openxmlformats.org/officeDocument/2006/relationships/hyperlink" Target="http://uni.pictures/DogsJourney" TargetMode="External"/><Relationship Id="rId75" Type="http://schemas.openxmlformats.org/officeDocument/2006/relationships/hyperlink" Target="https://amzn.to/3GJ9y0R" TargetMode="External"/><Relationship Id="rId74" Type="http://schemas.openxmlformats.org/officeDocument/2006/relationships/hyperlink" Target="http://dogsinapile.komi.io" TargetMode="External"/><Relationship Id="rId77" Type="http://schemas.openxmlformats.org/officeDocument/2006/relationships/hyperlink" Target="https://ecommerceexponencial.com.br/se-bio-nova-metodologia/?utm_source=instagram&amp;utm_medium=organic&amp;utm_campaign=captacao_bio" TargetMode="External"/><Relationship Id="rId76" Type="http://schemas.openxmlformats.org/officeDocument/2006/relationships/hyperlink" Target="https://drunkpupshop.com/pawffinity" TargetMode="External"/><Relationship Id="rId79" Type="http://schemas.openxmlformats.org/officeDocument/2006/relationships/hyperlink" Target="https://efficommerce.taplink.ws" TargetMode="External"/><Relationship Id="rId78" Type="http://schemas.openxmlformats.org/officeDocument/2006/relationships/hyperlink" Target="https://winninghunter.com" TargetMode="External"/><Relationship Id="rId71" Type="http://schemas.openxmlformats.org/officeDocument/2006/relationships/hyperlink" Target="https://www.mundoderizos.com/citasbarcelona" TargetMode="External"/><Relationship Id="rId70" Type="http://schemas.openxmlformats.org/officeDocument/2006/relationships/hyperlink" Target="https://linktr.ee/magiaentucabelloo?utm_source=linktree_profile_share&amp;ltsid=3ac53ec4-fd0b-4ef2-9eb1-f757df0c459c" TargetMode="External"/><Relationship Id="rId62" Type="http://schemas.openxmlformats.org/officeDocument/2006/relationships/hyperlink" Target="https://curltalk.book.app/book-now" TargetMode="External"/><Relationship Id="rId61" Type="http://schemas.openxmlformats.org/officeDocument/2006/relationships/hyperlink" Target="http://bebonia.com" TargetMode="External"/><Relationship Id="rId64" Type="http://schemas.openxmlformats.org/officeDocument/2006/relationships/hyperlink" Target="https://www.facebook.com/share/17JqfU2HJL/?mibextid=wwXIfr" TargetMode="External"/><Relationship Id="rId63" Type="http://schemas.openxmlformats.org/officeDocument/2006/relationships/hyperlink" Target="https://linktw.in/ou5Hx0" TargetMode="External"/><Relationship Id="rId66" Type="http://schemas.openxmlformats.org/officeDocument/2006/relationships/hyperlink" Target="https://curlsmonthly.com/pages/subscribe" TargetMode="External"/><Relationship Id="rId65" Type="http://schemas.openxmlformats.org/officeDocument/2006/relationships/hyperlink" Target="https://linktr.ee/curlyhairboo" TargetMode="External"/><Relationship Id="rId68" Type="http://schemas.openxmlformats.org/officeDocument/2006/relationships/hyperlink" Target="https://www.amazon.in/shop/fuzzycurls_" TargetMode="External"/><Relationship Id="rId67" Type="http://schemas.openxmlformats.org/officeDocument/2006/relationships/hyperlink" Target="https://starzeed.store/store-2?fbclid=PAQ0xDSwK-i6tleHRuA2FlbQIxMQABp4oHY1FqJuOE93DSzrTcuB27i0JiaxnebSfXPzjT6CRbeWPdMb2PS7gQgixx_aem_DRC766WBPUPO2Zis8IyTXw" TargetMode="External"/><Relationship Id="rId60" Type="http://schemas.openxmlformats.org/officeDocument/2006/relationships/hyperlink" Target="https://linktr.ee/Ctcurlyhairsalon" TargetMode="External"/><Relationship Id="rId69" Type="http://schemas.openxmlformats.org/officeDocument/2006/relationships/hyperlink" Target="https://pensight.com/x/ingecurls" TargetMode="External"/><Relationship Id="rId51" Type="http://schemas.openxmlformats.org/officeDocument/2006/relationships/hyperlink" Target="https://design.algorithmics.id/?utm_source=instagram&amp;utm_medium=smm&amp;utm_campaign=profile_header_autobooking&amp;utm_content=instagram_profile_header_autobooking" TargetMode="External"/><Relationship Id="rId50" Type="http://schemas.openxmlformats.org/officeDocument/2006/relationships/hyperlink" Target="https://dojacat.lnk.to/jealoustype" TargetMode="External"/><Relationship Id="rId53" Type="http://schemas.openxmlformats.org/officeDocument/2006/relationships/hyperlink" Target="http://wa.me/5511972312239" TargetMode="External"/><Relationship Id="rId52" Type="http://schemas.openxmlformats.org/officeDocument/2006/relationships/hyperlink" Target="https://www.codingastrology.com/" TargetMode="External"/><Relationship Id="rId55" Type="http://schemas.openxmlformats.org/officeDocument/2006/relationships/hyperlink" Target="https://linktr.ee/coding.kitty" TargetMode="External"/><Relationship Id="rId54" Type="http://schemas.openxmlformats.org/officeDocument/2006/relationships/hyperlink" Target="https://bento.me/codingdev" TargetMode="External"/><Relationship Id="rId57" Type="http://schemas.openxmlformats.org/officeDocument/2006/relationships/hyperlink" Target="https://stan.store/codingmermaid" TargetMode="External"/><Relationship Id="rId56" Type="http://schemas.openxmlformats.org/officeDocument/2006/relationships/hyperlink" Target="http://codingmermaid.ai" TargetMode="External"/><Relationship Id="rId59" Type="http://schemas.openxmlformats.org/officeDocument/2006/relationships/hyperlink" Target="https://t.me/the_coding_wizard" TargetMode="External"/><Relationship Id="rId58" Type="http://schemas.openxmlformats.org/officeDocument/2006/relationships/hyperlink" Target="https://stan.store/codingnumerology" TargetMode="External"/><Relationship Id="rId349" Type="http://schemas.openxmlformats.org/officeDocument/2006/relationships/hyperlink" Target="https://www.thevacationclub.co/" TargetMode="External"/><Relationship Id="rId348" Type="http://schemas.openxmlformats.org/officeDocument/2006/relationships/hyperlink" Target="http://classic.vintagemodern.co" TargetMode="External"/><Relationship Id="rId347" Type="http://schemas.openxmlformats.org/officeDocument/2006/relationships/hyperlink" Target="http://vintagefantasy.com" TargetMode="External"/><Relationship Id="rId346" Type="http://schemas.openxmlformats.org/officeDocument/2006/relationships/hyperlink" Target="https://msha.ke/vintagedreamings" TargetMode="External"/><Relationship Id="rId341" Type="http://schemas.openxmlformats.org/officeDocument/2006/relationships/hyperlink" Target="https://linktr.ee/tabvintage" TargetMode="External"/><Relationship Id="rId340" Type="http://schemas.openxmlformats.org/officeDocument/2006/relationships/hyperlink" Target="http://35vintage.com" TargetMode="External"/><Relationship Id="rId345" Type="http://schemas.openxmlformats.org/officeDocument/2006/relationships/hyperlink" Target="https://loja.sotrackboa.com" TargetMode="External"/><Relationship Id="rId344" Type="http://schemas.openxmlformats.org/officeDocument/2006/relationships/hyperlink" Target="https://onerpm.link/affairs-001" TargetMode="External"/><Relationship Id="rId343" Type="http://schemas.openxmlformats.org/officeDocument/2006/relationships/hyperlink" Target="http://vintagebazaar.pt/" TargetMode="External"/><Relationship Id="rId342" Type="http://schemas.openxmlformats.org/officeDocument/2006/relationships/hyperlink" Target="https://bit.ly/3x7ph1S" TargetMode="External"/><Relationship Id="rId338" Type="http://schemas.openxmlformats.org/officeDocument/2006/relationships/hyperlink" Target="http://heylink.me/vegan.planvn/" TargetMode="External"/><Relationship Id="rId337" Type="http://schemas.openxmlformats.org/officeDocument/2006/relationships/hyperlink" Target="https://linktr.ee/veganfta" TargetMode="External"/><Relationship Id="rId336" Type="http://schemas.openxmlformats.org/officeDocument/2006/relationships/hyperlink" Target="https://veganexchangeevents.us8.list-manage.com/subscribe?u=c8988813c165cc3949e128c2b&amp;id=c6d43a3356" TargetMode="External"/><Relationship Id="rId335" Type="http://schemas.openxmlformats.org/officeDocument/2006/relationships/hyperlink" Target="https://linktr.ee/vegandalefestival" TargetMode="External"/><Relationship Id="rId339" Type="http://schemas.openxmlformats.org/officeDocument/2006/relationships/hyperlink" Target="https://enkistore.com/products/100-vegan-recipes-ebook" TargetMode="External"/><Relationship Id="rId330" Type="http://schemas.openxmlformats.org/officeDocument/2006/relationships/hyperlink" Target="http://drveganblog.com" TargetMode="External"/><Relationship Id="rId334" Type="http://schemas.openxmlformats.org/officeDocument/2006/relationships/hyperlink" Target="http://www.domestika.org/courses/5565/veganbunnyelle" TargetMode="External"/><Relationship Id="rId333" Type="http://schemas.openxmlformats.org/officeDocument/2006/relationships/hyperlink" Target="http://worldofvegan.com" TargetMode="External"/><Relationship Id="rId332" Type="http://schemas.openxmlformats.org/officeDocument/2006/relationships/hyperlink" Target="https://l.instagram.com/?u=https%3A%2F%2Fwww.cucinadelfuturo.it%2F60-ricette&amp;e=AT3S9gmABlVZ14uX36PXArB5-uUHe6WcRNTbb6wN-WwCuVAZkfn8ZYEib5LAy0uhkMoJhdUKB8vBaPtOWVr1X0c_jXqQYw6HWYp85PrgzTranF8ED4NMY7DCGADB" TargetMode="External"/><Relationship Id="rId331" Type="http://schemas.openxmlformats.org/officeDocument/2006/relationships/hyperlink" Target="https://tap.bio/@elavegan" TargetMode="External"/><Relationship Id="rId370" Type="http://schemas.openxmlformats.org/officeDocument/2006/relationships/hyperlink" Target="https://linktr.ee/workoutonline" TargetMode="External"/><Relationship Id="rId369" Type="http://schemas.openxmlformats.org/officeDocument/2006/relationships/hyperlink" Target="http://workoutonline.se" TargetMode="External"/><Relationship Id="rId368" Type="http://schemas.openxmlformats.org/officeDocument/2006/relationships/hyperlink" Target="https://linktr.ee/GoodWorksLLC" TargetMode="External"/><Relationship Id="rId363" Type="http://schemas.openxmlformats.org/officeDocument/2006/relationships/hyperlink" Target="http://sprout.link/world_wildlife" TargetMode="External"/><Relationship Id="rId362" Type="http://schemas.openxmlformats.org/officeDocument/2006/relationships/hyperlink" Target="https://wildlifesafari.net//" TargetMode="External"/><Relationship Id="rId361" Type="http://schemas.openxmlformats.org/officeDocument/2006/relationships/hyperlink" Target="https://wildliferescuers.shop" TargetMode="External"/><Relationship Id="rId360" Type="http://schemas.openxmlformats.org/officeDocument/2006/relationships/hyperlink" Target="https://www.rainly.co.uk/products/magnetic-car-phone-holder-stand-magnet-car-mount-support-gps-mobile-bracket-in-car-for-macsafe-iphone-15-14-13-12-samsung-xiaomi" TargetMode="External"/><Relationship Id="rId367" Type="http://schemas.openxmlformats.org/officeDocument/2006/relationships/hyperlink" Target="https://youtube.com/shorts/sx-H9FjGuHw?si=l_IQW2ZnOQAlSusA" TargetMode="External"/><Relationship Id="rId366" Type="http://schemas.openxmlformats.org/officeDocument/2006/relationships/hyperlink" Target="http://www.monaiefashion.com" TargetMode="External"/><Relationship Id="rId365" Type="http://schemas.openxmlformats.org/officeDocument/2006/relationships/hyperlink" Target="https://linktr.ee/maddielymburner" TargetMode="External"/><Relationship Id="rId364" Type="http://schemas.openxmlformats.org/officeDocument/2006/relationships/hyperlink" Target="https://www.strngofficial.com/?utm_source=lfwo&amp;utm_medium=igbio&amp;utm_campaign=flash30sale" TargetMode="External"/><Relationship Id="rId95" Type="http://schemas.openxmlformats.org/officeDocument/2006/relationships/hyperlink" Target="https://happyvalleyunited.com/pages/football" TargetMode="External"/><Relationship Id="rId94" Type="http://schemas.openxmlformats.org/officeDocument/2006/relationships/hyperlink" Target="https://empli.fi/nikefootball/" TargetMode="External"/><Relationship Id="rId97" Type="http://schemas.openxmlformats.org/officeDocument/2006/relationships/hyperlink" Target="https://redtickets.uy/evento/SWAGGERBOYZ-en-Montevideo/22578/" TargetMode="External"/><Relationship Id="rId96" Type="http://schemas.openxmlformats.org/officeDocument/2006/relationships/hyperlink" Target="https://youtu.be/DTWmQR0dyG0?feature=shared" TargetMode="External"/><Relationship Id="rId99" Type="http://schemas.openxmlformats.org/officeDocument/2006/relationships/hyperlink" Target="https://empli.fi/fortnitefestival" TargetMode="External"/><Relationship Id="rId98" Type="http://schemas.openxmlformats.org/officeDocument/2006/relationships/hyperlink" Target="https://youtu.be/VMQxAe4Zf48" TargetMode="External"/><Relationship Id="rId91" Type="http://schemas.openxmlformats.org/officeDocument/2006/relationships/hyperlink" Target="https://sprout.link/kufootball" TargetMode="External"/><Relationship Id="rId90" Type="http://schemas.openxmlformats.org/officeDocument/2006/relationships/hyperlink" Target="https://youtu.be/CDZjHDUGz0k" TargetMode="External"/><Relationship Id="rId93" Type="http://schemas.openxmlformats.org/officeDocument/2006/relationships/hyperlink" Target="https://goiri.sh/4n4Cgtq" TargetMode="External"/><Relationship Id="rId92" Type="http://schemas.openxmlformats.org/officeDocument/2006/relationships/hyperlink" Target="https://linktr.ee/liverpoolfootballclub" TargetMode="External"/><Relationship Id="rId359" Type="http://schemas.openxmlformats.org/officeDocument/2006/relationships/hyperlink" Target="https://www.worldpackers.com/epic/experiences/costarica-caribe/slots/yLv20251122" TargetMode="External"/><Relationship Id="rId358" Type="http://schemas.openxmlformats.org/officeDocument/2006/relationships/hyperlink" Target="http://www.servalwildlife.com" TargetMode="External"/><Relationship Id="rId357" Type="http://schemas.openxmlformats.org/officeDocument/2006/relationships/hyperlink" Target="https://linktr.ee/nhm_wpy" TargetMode="External"/><Relationship Id="rId352" Type="http://schemas.openxmlformats.org/officeDocument/2006/relationships/hyperlink" Target="https://www.wander-lust.nl/" TargetMode="External"/><Relationship Id="rId351" Type="http://schemas.openxmlformats.org/officeDocument/2006/relationships/hyperlink" Target="http://wanderlust.nl" TargetMode="External"/><Relationship Id="rId350" Type="http://schemas.openxmlformats.org/officeDocument/2006/relationships/hyperlink" Target="https://linkin.bio/ig-wanderlustmag" TargetMode="External"/><Relationship Id="rId356" Type="http://schemas.openxmlformats.org/officeDocument/2006/relationships/hyperlink" Target="https://drive.google.com/file/d/1lFLJZqzgRkgAmPCZmANKOlp6S82xJWWi/view?usp=drivesdk" TargetMode="External"/><Relationship Id="rId355" Type="http://schemas.openxmlformats.org/officeDocument/2006/relationships/hyperlink" Target="https://thebigcatproject.com" TargetMode="External"/><Relationship Id="rId354" Type="http://schemas.openxmlformats.org/officeDocument/2006/relationships/hyperlink" Target="https://www.tiktok.com/@wanderlust_italy?_t=8ZWBDINYQuk&amp;_r=1" TargetMode="External"/><Relationship Id="rId353" Type="http://schemas.openxmlformats.org/officeDocument/2006/relationships/hyperlink" Target="http://shotgun.live/venues/wanderlust" TargetMode="External"/><Relationship Id="rId305" Type="http://schemas.openxmlformats.org/officeDocument/2006/relationships/hyperlink" Target="http://streetartnyc.org/" TargetMode="External"/><Relationship Id="rId304" Type="http://schemas.openxmlformats.org/officeDocument/2006/relationships/hyperlink" Target="http://streetartnews.net/" TargetMode="External"/><Relationship Id="rId303" Type="http://schemas.openxmlformats.org/officeDocument/2006/relationships/hyperlink" Target="https://youtube.com/c/KarcochaStreetArt" TargetMode="External"/><Relationship Id="rId302" Type="http://schemas.openxmlformats.org/officeDocument/2006/relationships/hyperlink" Target="https://www.globalstreetart.com/" TargetMode="External"/><Relationship Id="rId309" Type="http://schemas.openxmlformats.org/officeDocument/2006/relationships/hyperlink" Target="https://youtube.com/@streetfoodaj?si=blKa5OQMCOaFch3p" TargetMode="External"/><Relationship Id="rId308" Type="http://schemas.openxmlformats.org/officeDocument/2006/relationships/hyperlink" Target="https://maps.app.goo.gl/P7xeRpxAdfCWFNe98?g_st=com.google.maps.preview.copy" TargetMode="External"/><Relationship Id="rId307" Type="http://schemas.openxmlformats.org/officeDocument/2006/relationships/hyperlink" Target="http://www.streetfoodcinema.com/" TargetMode="External"/><Relationship Id="rId306" Type="http://schemas.openxmlformats.org/officeDocument/2006/relationships/hyperlink" Target="https://urbanstreetart.it" TargetMode="External"/><Relationship Id="rId301" Type="http://schemas.openxmlformats.org/officeDocument/2006/relationships/hyperlink" Target="https://linkin.bio/bkstreetart" TargetMode="External"/><Relationship Id="rId300" Type="http://schemas.openxmlformats.org/officeDocument/2006/relationships/hyperlink" Target="https://www.startupselfie.net/" TargetMode="External"/><Relationship Id="rId327" Type="http://schemas.openxmlformats.org/officeDocument/2006/relationships/hyperlink" Target="https://linktr.ee/toddlerscanread" TargetMode="External"/><Relationship Id="rId326" Type="http://schemas.openxmlformats.org/officeDocument/2006/relationships/hyperlink" Target="http://visitstore.bio/wilsontennis" TargetMode="External"/><Relationship Id="rId325" Type="http://schemas.openxmlformats.org/officeDocument/2006/relationships/hyperlink" Target="https://lightroom.app.link/WaycIYJ7kWb" TargetMode="External"/><Relationship Id="rId324" Type="http://schemas.openxmlformats.org/officeDocument/2006/relationships/hyperlink" Target="https://linktr.ee/tenniswithdylan" TargetMode="External"/><Relationship Id="rId329" Type="http://schemas.openxmlformats.org/officeDocument/2006/relationships/hyperlink" Target="https://linktr.ee/nathanmartinelli" TargetMode="External"/><Relationship Id="rId328" Type="http://schemas.openxmlformats.org/officeDocument/2006/relationships/hyperlink" Target="http://www.toddlersdiapers.com" TargetMode="External"/><Relationship Id="rId323" Type="http://schemas.openxmlformats.org/officeDocument/2006/relationships/hyperlink" Target="http://tnn.is/watch" TargetMode="External"/><Relationship Id="rId322" Type="http://schemas.openxmlformats.org/officeDocument/2006/relationships/hyperlink" Target="https://youtube.com/@tlpodcast?si=Ie9j9xe-8UACxEfd" TargetMode="External"/><Relationship Id="rId321" Type="http://schemas.openxmlformats.org/officeDocument/2006/relationships/hyperlink" Target="http://tnns.ch/FB" TargetMode="External"/><Relationship Id="rId320" Type="http://schemas.openxmlformats.org/officeDocument/2006/relationships/hyperlink" Target="http://wa.me/77079526119" TargetMode="External"/><Relationship Id="rId316" Type="http://schemas.openxmlformats.org/officeDocument/2006/relationships/hyperlink" Target="https://larmossi.com" TargetMode="External"/><Relationship Id="rId315" Type="http://schemas.openxmlformats.org/officeDocument/2006/relationships/hyperlink" Target="http://fr.vestiairecollective.com/membres/profil-1597819.shtml" TargetMode="External"/><Relationship Id="rId314" Type="http://schemas.openxmlformats.org/officeDocument/2006/relationships/hyperlink" Target="https://morinamenu.com/street.food" TargetMode="External"/><Relationship Id="rId313" Type="http://schemas.openxmlformats.org/officeDocument/2006/relationships/hyperlink" Target="https://g.co/kgs/A2GN38" TargetMode="External"/><Relationship Id="rId319" Type="http://schemas.openxmlformats.org/officeDocument/2006/relationships/hyperlink" Target="http://www.itftennis.com" TargetMode="External"/><Relationship Id="rId318" Type="http://schemas.openxmlformats.org/officeDocument/2006/relationships/hyperlink" Target="https://t.me/street_stylew" TargetMode="External"/><Relationship Id="rId317" Type="http://schemas.openxmlformats.org/officeDocument/2006/relationships/hyperlink" Target="https://t.me/streetstylehunter" TargetMode="External"/><Relationship Id="rId312" Type="http://schemas.openxmlformats.org/officeDocument/2006/relationships/hyperlink" Target="https://www.facebook.com/share/14GjjbRM8Fq/?mibextid=wwXIfr" TargetMode="External"/><Relationship Id="rId311" Type="http://schemas.openxmlformats.org/officeDocument/2006/relationships/hyperlink" Target="https://www.facebook.com/streetfoodfinder82" TargetMode="External"/><Relationship Id="rId310" Type="http://schemas.openxmlformats.org/officeDocument/2006/relationships/hyperlink" Target="https://linktr.ee/streetfoodfestivalromania" TargetMode="External"/><Relationship Id="rId297" Type="http://schemas.openxmlformats.org/officeDocument/2006/relationships/hyperlink" Target="http://startupsbrazil.com" TargetMode="External"/><Relationship Id="rId296" Type="http://schemas.openxmlformats.org/officeDocument/2006/relationships/hyperlink" Target="https://linktr.ee/startupsdotcom" TargetMode="External"/><Relationship Id="rId295" Type="http://schemas.openxmlformats.org/officeDocument/2006/relationships/hyperlink" Target="http://startups.com" TargetMode="External"/><Relationship Id="rId294" Type="http://schemas.openxmlformats.org/officeDocument/2006/relationships/hyperlink" Target="https://www.eu-startups.com/summit" TargetMode="External"/><Relationship Id="rId299" Type="http://schemas.openxmlformats.org/officeDocument/2006/relationships/hyperlink" Target="https://bento.me/startups-com-br" TargetMode="External"/><Relationship Id="rId298" Type="http://schemas.openxmlformats.org/officeDocument/2006/relationships/hyperlink" Target="http://startups.com.br" TargetMode="External"/><Relationship Id="rId271" Type="http://schemas.openxmlformats.org/officeDocument/2006/relationships/hyperlink" Target="https://linktr.ee/DVINITISKINCARE" TargetMode="External"/><Relationship Id="rId270" Type="http://schemas.openxmlformats.org/officeDocument/2006/relationships/hyperlink" Target="https://thesingingbarber.komi.io" TargetMode="External"/><Relationship Id="rId269" Type="http://schemas.openxmlformats.org/officeDocument/2006/relationships/hyperlink" Target="https://linktr.ee/singingslp" TargetMode="External"/><Relationship Id="rId264" Type="http://schemas.openxmlformats.org/officeDocument/2006/relationships/hyperlink" Target="http://www.singing-pizza.de/" TargetMode="External"/><Relationship Id="rId263" Type="http://schemas.openxmlformats.org/officeDocument/2006/relationships/hyperlink" Target="https://mekayla.lnk.to/givemeyou" TargetMode="External"/><Relationship Id="rId262" Type="http://schemas.openxmlformats.org/officeDocument/2006/relationships/hyperlink" Target="https://www.xt.com/en/trade/luck_usdt" TargetMode="External"/><Relationship Id="rId261" Type="http://schemas.openxmlformats.org/officeDocument/2006/relationships/hyperlink" Target="https://www.xt.com/en/trade/luck_usdt" TargetMode="External"/><Relationship Id="rId268" Type="http://schemas.openxmlformats.org/officeDocument/2006/relationships/hyperlink" Target="http://www.singingdentist.com" TargetMode="External"/><Relationship Id="rId267" Type="http://schemas.openxmlformats.org/officeDocument/2006/relationships/hyperlink" Target="https://www.manifestmagazine.in/spotlight/on-the-radar/manifest-spotlight-live-wedding-singer-and-chef-kunal-lamba" TargetMode="External"/><Relationship Id="rId266" Type="http://schemas.openxmlformats.org/officeDocument/2006/relationships/hyperlink" Target="https://linktr.ee/singingandteaching" TargetMode="External"/><Relationship Id="rId265" Type="http://schemas.openxmlformats.org/officeDocument/2006/relationships/hyperlink" Target="https://linktr.ee/Singing" TargetMode="External"/><Relationship Id="rId260" Type="http://schemas.openxmlformats.org/officeDocument/2006/relationships/hyperlink" Target="https://open.spotify.com/playlist/5BpEN9XCE7ddSjd46CagOQ?si=9tEwJCPQQjWaSqsfvHD89w&amp;pi=a-oIDWzNpOTtuG" TargetMode="External"/><Relationship Id="rId259" Type="http://schemas.openxmlformats.org/officeDocument/2006/relationships/hyperlink" Target="https://worlderunners.com/feature" TargetMode="External"/><Relationship Id="rId258" Type="http://schemas.openxmlformats.org/officeDocument/2006/relationships/hyperlink" Target="https://runningterritory.com/feature" TargetMode="External"/><Relationship Id="rId253" Type="http://schemas.openxmlformats.org/officeDocument/2006/relationships/hyperlink" Target="https://milerrunning.com/" TargetMode="External"/><Relationship Id="rId252" Type="http://schemas.openxmlformats.org/officeDocument/2006/relationships/hyperlink" Target="https://linktr.ee/adidasrunning" TargetMode="External"/><Relationship Id="rId251" Type="http://schemas.openxmlformats.org/officeDocument/2006/relationships/hyperlink" Target="https://linktr.ee/whole30" TargetMode="External"/><Relationship Id="rId250" Type="http://schemas.openxmlformats.org/officeDocument/2006/relationships/hyperlink" Target="https://wellplated.komi.io" TargetMode="External"/><Relationship Id="rId257" Type="http://schemas.openxmlformats.org/officeDocument/2006/relationships/hyperlink" Target="http://sunnyvolcano.com/running?pr=35" TargetMode="External"/><Relationship Id="rId256" Type="http://schemas.openxmlformats.org/officeDocument/2006/relationships/hyperlink" Target="https://running.department.co.id" TargetMode="External"/><Relationship Id="rId255" Type="http://schemas.openxmlformats.org/officeDocument/2006/relationships/hyperlink" Target="http://empli.fi/nikerunning" TargetMode="External"/><Relationship Id="rId254" Type="http://schemas.openxmlformats.org/officeDocument/2006/relationships/hyperlink" Target="http://www.nbro.run" TargetMode="External"/><Relationship Id="rId293" Type="http://schemas.openxmlformats.org/officeDocument/2006/relationships/hyperlink" Target="https://t.me/+KcotBgmmBDNkNzEy" TargetMode="External"/><Relationship Id="rId292" Type="http://schemas.openxmlformats.org/officeDocument/2006/relationships/hyperlink" Target="https://t.me/+2Pj6MS2jyy4wZmYy" TargetMode="External"/><Relationship Id="rId291" Type="http://schemas.openxmlformats.org/officeDocument/2006/relationships/hyperlink" Target="https://t.me/+XGtTkLgRgvM1ODYy" TargetMode="External"/><Relationship Id="rId290" Type="http://schemas.openxmlformats.org/officeDocument/2006/relationships/hyperlink" Target="https://iticket.md/ru/event/asa-buna-seara-2-0-revansa" TargetMode="External"/><Relationship Id="rId286" Type="http://schemas.openxmlformats.org/officeDocument/2006/relationships/hyperlink" Target="https://t.me/+cU9oNKzpyaA2ZWRi" TargetMode="External"/><Relationship Id="rId285" Type="http://schemas.openxmlformats.org/officeDocument/2006/relationships/hyperlink" Target="https://t.me/StandUpFa" TargetMode="External"/><Relationship Id="rId284" Type="http://schemas.openxmlformats.org/officeDocument/2006/relationships/hyperlink" Target="http://linktr.ee/StandUpAmerica" TargetMode="External"/><Relationship Id="rId283" Type="http://schemas.openxmlformats.org/officeDocument/2006/relationships/hyperlink" Target="https://t.me/sahnastandup_bot" TargetMode="External"/><Relationship Id="rId289" Type="http://schemas.openxmlformats.org/officeDocument/2006/relationships/hyperlink" Target="http://standupny.com" TargetMode="External"/><Relationship Id="rId288" Type="http://schemas.openxmlformats.org/officeDocument/2006/relationships/hyperlink" Target="http://standuplair.com" TargetMode="External"/><Relationship Id="rId287" Type="http://schemas.openxmlformats.org/officeDocument/2006/relationships/hyperlink" Target="https://maps.app.goo.gl/cDGJZ8tdfwLc245CA?g_st=com.google.maps.preview.copy" TargetMode="External"/><Relationship Id="rId282" Type="http://schemas.openxmlformats.org/officeDocument/2006/relationships/hyperlink" Target="http://www.paramountplus.com/ccstandup" TargetMode="External"/><Relationship Id="rId281" Type="http://schemas.openxmlformats.org/officeDocument/2006/relationships/hyperlink" Target="http://www.yelleskincare.com/" TargetMode="External"/><Relationship Id="rId280" Type="http://schemas.openxmlformats.org/officeDocument/2006/relationships/hyperlink" Target="https://schedulingtracyhudsonskincare.as.me/?appointmentType=79601661" TargetMode="External"/><Relationship Id="rId275" Type="http://schemas.openxmlformats.org/officeDocument/2006/relationships/hyperlink" Target="http://visitstore.bio/skincaredotcom/" TargetMode="External"/><Relationship Id="rId274" Type="http://schemas.openxmlformats.org/officeDocument/2006/relationships/hyperlink" Target="https://linktr.ee/QVskin" TargetMode="External"/><Relationship Id="rId273" Type="http://schemas.openxmlformats.org/officeDocument/2006/relationships/hyperlink" Target="https://linkin.bio/moogooskincare" TargetMode="External"/><Relationship Id="rId272" Type="http://schemas.openxmlformats.org/officeDocument/2006/relationships/hyperlink" Target="https://like2b.uy/eltamdskincare" TargetMode="External"/><Relationship Id="rId279" Type="http://schemas.openxmlformats.org/officeDocument/2006/relationships/hyperlink" Target="https://linktr.ee/skinnationbeauty" TargetMode="External"/><Relationship Id="rId278" Type="http://schemas.openxmlformats.org/officeDocument/2006/relationships/hyperlink" Target="https://www.thegoldenhourmedspa.com/facial-massage-class" TargetMode="External"/><Relationship Id="rId277" Type="http://schemas.openxmlformats.org/officeDocument/2006/relationships/hyperlink" Target="http://www.tiktok.com/@skincarejohnn" TargetMode="External"/><Relationship Id="rId276" Type="http://schemas.openxmlformats.org/officeDocument/2006/relationships/hyperlink" Target="https://skincaregem.etsy.com" TargetMode="External"/><Relationship Id="rId228" Type="http://schemas.openxmlformats.org/officeDocument/2006/relationships/hyperlink" Target="https://visitlink.bio/rapcaviar" TargetMode="External"/><Relationship Id="rId227" Type="http://schemas.openxmlformats.org/officeDocument/2006/relationships/hyperlink" Target="https://linkin.bio/raptv" TargetMode="External"/><Relationship Id="rId226" Type="http://schemas.openxmlformats.org/officeDocument/2006/relationships/hyperlink" Target="https://linktr.ee/14.rap" TargetMode="External"/><Relationship Id="rId225" Type="http://schemas.openxmlformats.org/officeDocument/2006/relationships/hyperlink" Target="https://linktr.ee/yogasenses" TargetMode="External"/><Relationship Id="rId229" Type="http://schemas.openxmlformats.org/officeDocument/2006/relationships/hyperlink" Target="http://www.rapdab.com.br" TargetMode="External"/><Relationship Id="rId220" Type="http://schemas.openxmlformats.org/officeDocument/2006/relationships/hyperlink" Target="https://linktr.ee/O2pilates.hk" TargetMode="External"/><Relationship Id="rId224" Type="http://schemas.openxmlformats.org/officeDocument/2006/relationships/hyperlink" Target="https://quiz.wallpilates.com" TargetMode="External"/><Relationship Id="rId223" Type="http://schemas.openxmlformats.org/officeDocument/2006/relationships/hyperlink" Target="http://www.sipilates.com/" TargetMode="External"/><Relationship Id="rId222" Type="http://schemas.openxmlformats.org/officeDocument/2006/relationships/hyperlink" Target="https://m.mtrbio.com/pilates-marcela-pedraza" TargetMode="External"/><Relationship Id="rId221" Type="http://schemas.openxmlformats.org/officeDocument/2006/relationships/hyperlink" Target="https://paolapilates.com" TargetMode="External"/><Relationship Id="rId217" Type="http://schemas.openxmlformats.org/officeDocument/2006/relationships/hyperlink" Target="https://www.petwithit.com/content-creator/" TargetMode="External"/><Relationship Id="rId216" Type="http://schemas.openxmlformats.org/officeDocument/2006/relationships/hyperlink" Target="http://visitstore.bio/petsmart" TargetMode="External"/><Relationship Id="rId215" Type="http://schemas.openxmlformats.org/officeDocument/2006/relationships/hyperlink" Target="http://petfiestas.com" TargetMode="External"/><Relationship Id="rId214" Type="http://schemas.openxmlformats.org/officeDocument/2006/relationships/hyperlink" Target="http://linkin.bio/petaofficial" TargetMode="External"/><Relationship Id="rId219" Type="http://schemas.openxmlformats.org/officeDocument/2006/relationships/hyperlink" Target="http://clubpilates.com/freeclass" TargetMode="External"/><Relationship Id="rId218" Type="http://schemas.openxmlformats.org/officeDocument/2006/relationships/hyperlink" Target="https://api.whatsapp.com/send?phone=18293419886&amp;text=Hola" TargetMode="External"/><Relationship Id="rId213" Type="http://schemas.openxmlformats.org/officeDocument/2006/relationships/hyperlink" Target="https://solocreators.app/dl" TargetMode="External"/><Relationship Id="rId212" Type="http://schemas.openxmlformats.org/officeDocument/2006/relationships/hyperlink" Target="https://fanzone.me/psg" TargetMode="External"/><Relationship Id="rId211" Type="http://schemas.openxmlformats.org/officeDocument/2006/relationships/hyperlink" Target="http://linkin.bio/parissecret/" TargetMode="External"/><Relationship Id="rId210" Type="http://schemas.openxmlformats.org/officeDocument/2006/relationships/hyperlink" Target="http://shop.parisjacksonofficial.com" TargetMode="External"/><Relationship Id="rId249" Type="http://schemas.openxmlformats.org/officeDocument/2006/relationships/hyperlink" Target="https://tiffycooks.com/links/" TargetMode="External"/><Relationship Id="rId248" Type="http://schemas.openxmlformats.org/officeDocument/2006/relationships/hyperlink" Target="https://stealthhealthcookbook.com/pages/newsletter" TargetMode="External"/><Relationship Id="rId247" Type="http://schemas.openxmlformats.org/officeDocument/2006/relationships/hyperlink" Target="https://linktr.ee/skinnytaste" TargetMode="External"/><Relationship Id="rId242" Type="http://schemas.openxmlformats.org/officeDocument/2006/relationships/hyperlink" Target="http://beacons.page/melissa_jo_xo" TargetMode="External"/><Relationship Id="rId241" Type="http://schemas.openxmlformats.org/officeDocument/2006/relationships/hyperlink" Target="http://lifechangingsalads.com" TargetMode="External"/><Relationship Id="rId240" Type="http://schemas.openxmlformats.org/officeDocument/2006/relationships/hyperlink" Target="https://nickkaz.fit/gym-rat-recipes" TargetMode="External"/><Relationship Id="rId246" Type="http://schemas.openxmlformats.org/officeDocument/2006/relationships/hyperlink" Target="https://linktr.ee/victoriaminell" TargetMode="External"/><Relationship Id="rId245" Type="http://schemas.openxmlformats.org/officeDocument/2006/relationships/hyperlink" Target="http://quickrecipes.us" TargetMode="External"/><Relationship Id="rId244" Type="http://schemas.openxmlformats.org/officeDocument/2006/relationships/hyperlink" Target="https://linktr.ee/purewowrecipes" TargetMode="External"/><Relationship Id="rId243" Type="http://schemas.openxmlformats.org/officeDocument/2006/relationships/hyperlink" Target="https://culinary.mintsrecipes.com/truffles-fudges-workshop-live/?utm_source=reels" TargetMode="External"/><Relationship Id="rId239" Type="http://schemas.openxmlformats.org/officeDocument/2006/relationships/hyperlink" Target="https://linktr.ee/fit.green.mind" TargetMode="External"/><Relationship Id="rId238" Type="http://schemas.openxmlformats.org/officeDocument/2006/relationships/hyperlink" Target="https://easyfamilyrecipes.kit.com/e438373558" TargetMode="External"/><Relationship Id="rId237" Type="http://schemas.openxmlformats.org/officeDocument/2006/relationships/hyperlink" Target="http://www.amazon.com/dp/B073YL925G" TargetMode="External"/><Relationship Id="rId236" Type="http://schemas.openxmlformats.org/officeDocument/2006/relationships/hyperlink" Target="https://www.thesoul-publishing.com/partner" TargetMode="External"/><Relationship Id="rId231" Type="http://schemas.openxmlformats.org/officeDocument/2006/relationships/hyperlink" Target="http://www.rapgrowing.com" TargetMode="External"/><Relationship Id="rId230" Type="http://schemas.openxmlformats.org/officeDocument/2006/relationships/hyperlink" Target="https://youtu.be/J9BGl6yNnXM" TargetMode="External"/><Relationship Id="rId235" Type="http://schemas.openxmlformats.org/officeDocument/2006/relationships/hyperlink" Target="https://youtube.com/@rapxfit?si=yArTpojVUXHaVedq" TargetMode="External"/><Relationship Id="rId234" Type="http://schemas.openxmlformats.org/officeDocument/2006/relationships/hyperlink" Target="https://linktr.ee/TorontoRaptors" TargetMode="External"/><Relationship Id="rId233" Type="http://schemas.openxmlformats.org/officeDocument/2006/relationships/hyperlink" Target="https://snapchat.com/t/9Wlwrler" TargetMode="External"/><Relationship Id="rId232" Type="http://schemas.openxmlformats.org/officeDocument/2006/relationships/hyperlink" Target="https://open.spotify.com/playlist/37i9dQZF1DWZ86moidW4O4?si=8d2a135b48bd46ee" TargetMode="External"/><Relationship Id="rId206" Type="http://schemas.openxmlformats.org/officeDocument/2006/relationships/hyperlink" Target="https://instagram.com/TopParisResto" TargetMode="External"/><Relationship Id="rId205" Type="http://schemas.openxmlformats.org/officeDocument/2006/relationships/hyperlink" Target="https://bit.ly/theparentingemporium" TargetMode="External"/><Relationship Id="rId204" Type="http://schemas.openxmlformats.org/officeDocument/2006/relationships/hyperlink" Target="http://www.themompsychologist.com/discipline-class" TargetMode="External"/><Relationship Id="rId203" Type="http://schemas.openxmlformats.org/officeDocument/2006/relationships/hyperlink" Target="https://www.amazon.co.uk/shop/parenting.unlocked" TargetMode="External"/><Relationship Id="rId209" Type="http://schemas.openxmlformats.org/officeDocument/2006/relationships/hyperlink" Target="https://unicef.link/ParisForUNICEF" TargetMode="External"/><Relationship Id="rId208" Type="http://schemas.openxmlformats.org/officeDocument/2006/relationships/hyperlink" Target="https://linkin.bio/parisfashionweek" TargetMode="External"/><Relationship Id="rId207" Type="http://schemas.openxmlformats.org/officeDocument/2006/relationships/hyperlink" Target="https://skyscanner.pxf.io/PARIS2NYC" TargetMode="External"/><Relationship Id="rId202" Type="http://schemas.openxmlformats.org/officeDocument/2006/relationships/hyperlink" Target="https://www.parentingtranslator.com/insta" TargetMode="External"/><Relationship Id="rId201" Type="http://schemas.openxmlformats.org/officeDocument/2006/relationships/hyperlink" Target="http://www.parentingteensandtweens.com/instagram" TargetMode="External"/><Relationship Id="rId200" Type="http://schemas.openxmlformats.org/officeDocument/2006/relationships/hyperlink" Target="https://linktr.ee/parentinghell" TargetMode="External"/><Relationship Id="rId190" Type="http://schemas.openxmlformats.org/officeDocument/2006/relationships/hyperlink" Target="https://www.paypal.com/donate?hosted_button_id=LVU6TV7WA9VHC" TargetMode="External"/><Relationship Id="rId194" Type="http://schemas.openxmlformats.org/officeDocument/2006/relationships/hyperlink" Target="https://hearty-app.com" TargetMode="External"/><Relationship Id="rId193" Type="http://schemas.openxmlformats.org/officeDocument/2006/relationships/hyperlink" Target="https://campsite.bio/drorganicmommy" TargetMode="External"/><Relationship Id="rId192" Type="http://schemas.openxmlformats.org/officeDocument/2006/relationships/hyperlink" Target="http://www.curiousparenting.net/" TargetMode="External"/><Relationship Id="rId191" Type="http://schemas.openxmlformats.org/officeDocument/2006/relationships/hyperlink" Target="https://linktr.ee/calmparentingpodcast" TargetMode="External"/><Relationship Id="rId187" Type="http://schemas.openxmlformats.org/officeDocument/2006/relationships/hyperlink" Target="https://ootdpresets.com/" TargetMode="External"/><Relationship Id="rId186" Type="http://schemas.openxmlformats.org/officeDocument/2006/relationships/hyperlink" Target="https://arttoyfamilia.com/discount/ootd" TargetMode="External"/><Relationship Id="rId185" Type="http://schemas.openxmlformats.org/officeDocument/2006/relationships/hyperlink" Target="https://linktr.ee/ootd_girls_club" TargetMode="External"/><Relationship Id="rId184" Type="http://schemas.openxmlformats.org/officeDocument/2006/relationships/hyperlink" Target="http://shopmy.us/ootdgals" TargetMode="External"/><Relationship Id="rId189" Type="http://schemas.openxmlformats.org/officeDocument/2006/relationships/hyperlink" Target="https://urlgeni.us/amzn/YT1rk" TargetMode="External"/><Relationship Id="rId188" Type="http://schemas.openxmlformats.org/officeDocument/2006/relationships/hyperlink" Target="http://ootdpresets.com" TargetMode="External"/><Relationship Id="rId183" Type="http://schemas.openxmlformats.org/officeDocument/2006/relationships/hyperlink" Target="https://www.ootdfash.com/collections/new-arrivals" TargetMode="External"/><Relationship Id="rId182" Type="http://schemas.openxmlformats.org/officeDocument/2006/relationships/hyperlink" Target="https://linktr.ee/michellecarvajal" TargetMode="External"/><Relationship Id="rId181" Type="http://schemas.openxmlformats.org/officeDocument/2006/relationships/hyperlink" Target="http://ootd.com" TargetMode="External"/><Relationship Id="rId180" Type="http://schemas.openxmlformats.org/officeDocument/2006/relationships/hyperlink" Target="http://ootd.com" TargetMode="External"/><Relationship Id="rId176" Type="http://schemas.openxmlformats.org/officeDocument/2006/relationships/hyperlink" Target="https://linktr.ee/minea.nails" TargetMode="External"/><Relationship Id="rId175" Type="http://schemas.openxmlformats.org/officeDocument/2006/relationships/hyperlink" Target="https://divierse.com/products/auto-led-usb-magnetic-wood-wireless-night-light-corridors-porch-lights-pir-motion-sensor-wall-light-cabinet-lamp" TargetMode="External"/><Relationship Id="rId174" Type="http://schemas.openxmlformats.org/officeDocument/2006/relationships/hyperlink" Target="https://www.youtube.com/channel/UCPL1J-xlwna08_tSUhyR-hQ" TargetMode="External"/><Relationship Id="rId173" Type="http://schemas.openxmlformats.org/officeDocument/2006/relationships/hyperlink" Target="https://youtu.be/18WJnoYr6j4" TargetMode="External"/><Relationship Id="rId179" Type="http://schemas.openxmlformats.org/officeDocument/2006/relationships/hyperlink" Target="https://vo.la/mJnuQ" TargetMode="External"/><Relationship Id="rId178" Type="http://schemas.openxmlformats.org/officeDocument/2006/relationships/hyperlink" Target="https://s.shopee.vn/3VYOHNZo0r" TargetMode="External"/><Relationship Id="rId177" Type="http://schemas.openxmlformats.org/officeDocument/2006/relationships/hyperlink" Target="https://amzn.to/4dFg1UX" TargetMode="External"/><Relationship Id="rId198" Type="http://schemas.openxmlformats.org/officeDocument/2006/relationships/hyperlink" Target="https://parentfocus.co/getthemap" TargetMode="External"/><Relationship Id="rId197" Type="http://schemas.openxmlformats.org/officeDocument/2006/relationships/hyperlink" Target="https://nurturedfirst.com/insta/" TargetMode="External"/><Relationship Id="rId196" Type="http://schemas.openxmlformats.org/officeDocument/2006/relationships/hyperlink" Target="https://anita-johansen.mykajabi.com/0-12-month-milestone-ebook" TargetMode="External"/><Relationship Id="rId195" Type="http://schemas.openxmlformats.org/officeDocument/2006/relationships/hyperlink" Target="https://modernparentsguide.gumroad.com/l/bpnfm/Launch50off" TargetMode="External"/><Relationship Id="rId199" Type="http://schemas.openxmlformats.org/officeDocument/2006/relationships/hyperlink" Target="https://linktr.ee/parenting" TargetMode="External"/><Relationship Id="rId150" Type="http://schemas.openxmlformats.org/officeDocument/2006/relationships/hyperlink" Target="https://linkin.bio/livenation-kpop" TargetMode="External"/><Relationship Id="rId149" Type="http://schemas.openxmlformats.org/officeDocument/2006/relationships/hyperlink" Target="https://www.instagram.com/k_pop.viral?igsh=cjFlZDQ5ajVlbnZ5" TargetMode="External"/><Relationship Id="rId148" Type="http://schemas.openxmlformats.org/officeDocument/2006/relationships/hyperlink" Target="https://instabio.cc/kpopredictcard" TargetMode="External"/><Relationship Id="rId143" Type="http://schemas.openxmlformats.org/officeDocument/2006/relationships/hyperlink" Target="http://bio.site/shesonthemoney" TargetMode="External"/><Relationship Id="rId142" Type="http://schemas.openxmlformats.org/officeDocument/2006/relationships/hyperlink" Target="http://linktr.ee/pivotwealth/" TargetMode="External"/><Relationship Id="rId141" Type="http://schemas.openxmlformats.org/officeDocument/2006/relationships/hyperlink" Target="https://linktr.ee/investing.com" TargetMode="External"/><Relationship Id="rId140" Type="http://schemas.openxmlformats.org/officeDocument/2006/relationships/hyperlink" Target="http://investing.com" TargetMode="External"/><Relationship Id="rId147" Type="http://schemas.openxmlformats.org/officeDocument/2006/relationships/hyperlink" Target="https://ganknow.com/k1ptnation" TargetMode="External"/><Relationship Id="rId146" Type="http://schemas.openxmlformats.org/officeDocument/2006/relationships/hyperlink" Target="https://www.managemoney101.com/2025workshop" TargetMode="External"/><Relationship Id="rId145" Type="http://schemas.openxmlformats.org/officeDocument/2006/relationships/hyperlink" Target="http://www.stocksandsavings.com" TargetMode="External"/><Relationship Id="rId144" Type="http://schemas.openxmlformats.org/officeDocument/2006/relationships/hyperlink" Target="https://linktr.ee/stock_masters_" TargetMode="External"/><Relationship Id="rId139" Type="http://schemas.openxmlformats.org/officeDocument/2006/relationships/hyperlink" Target="https://linktr.ee/investing.asesores" TargetMode="External"/><Relationship Id="rId138" Type="http://schemas.openxmlformats.org/officeDocument/2006/relationships/hyperlink" Target="https://t.mtrbio.com/gsinvesting" TargetMode="External"/><Relationship Id="rId137" Type="http://schemas.openxmlformats.org/officeDocument/2006/relationships/hyperlink" Target="http://www.getslayguide.com" TargetMode="External"/><Relationship Id="rId132" Type="http://schemas.openxmlformats.org/officeDocument/2006/relationships/hyperlink" Target="https://youtube.com/@negillustration7151?si=nNMnKCVnZcV_3MkU" TargetMode="External"/><Relationship Id="rId131" Type="http://schemas.openxmlformats.org/officeDocument/2006/relationships/hyperlink" Target="https://t.me/vadim_arts" TargetMode="External"/><Relationship Id="rId130" Type="http://schemas.openxmlformats.org/officeDocument/2006/relationships/hyperlink" Target="https://hnillustration.etsy.com" TargetMode="External"/><Relationship Id="rId136" Type="http://schemas.openxmlformats.org/officeDocument/2006/relationships/hyperlink" Target="https://youtube.com/@ceos.circle" TargetMode="External"/><Relationship Id="rId135" Type="http://schemas.openxmlformats.org/officeDocument/2006/relationships/hyperlink" Target="https://www.womenofillustration.com/links" TargetMode="External"/><Relationship Id="rId134" Type="http://schemas.openxmlformats.org/officeDocument/2006/relationships/hyperlink" Target="http://rem-illustrations.co.uk/." TargetMode="External"/><Relationship Id="rId133" Type="http://schemas.openxmlformats.org/officeDocument/2006/relationships/hyperlink" Target="https://linktr.ee/Os.illustration" TargetMode="External"/><Relationship Id="rId172" Type="http://schemas.openxmlformats.org/officeDocument/2006/relationships/hyperlink" Target="http://linktr.ee/minecraft" TargetMode="External"/><Relationship Id="rId171" Type="http://schemas.openxmlformats.org/officeDocument/2006/relationships/hyperlink" Target="http://crafters.mc" TargetMode="External"/><Relationship Id="rId170" Type="http://schemas.openxmlformats.org/officeDocument/2006/relationships/hyperlink" Target="https://t.me/grox70" TargetMode="External"/><Relationship Id="rId165" Type="http://schemas.openxmlformats.org/officeDocument/2006/relationships/hyperlink" Target="https://whatsapp.com/channel/0029VaZDzsE5PO0uZo5hyV0N" TargetMode="External"/><Relationship Id="rId164" Type="http://schemas.openxmlformats.org/officeDocument/2006/relationships/hyperlink" Target="https://linktr.ee/memesmedia" TargetMode="External"/><Relationship Id="rId163" Type="http://schemas.openxmlformats.org/officeDocument/2006/relationships/hyperlink" Target="http://memes.com" TargetMode="External"/><Relationship Id="rId162" Type="http://schemas.openxmlformats.org/officeDocument/2006/relationships/hyperlink" Target="https://linktr.ee/meme_ig" TargetMode="External"/><Relationship Id="rId169" Type="http://schemas.openxmlformats.org/officeDocument/2006/relationships/hyperlink" Target="http://anilan.dublaj.uz" TargetMode="External"/><Relationship Id="rId168" Type="http://schemas.openxmlformats.org/officeDocument/2006/relationships/hyperlink" Target="https://fandan.co/MinecraftMovie" TargetMode="External"/><Relationship Id="rId167" Type="http://schemas.openxmlformats.org/officeDocument/2006/relationships/hyperlink" Target="http://instagr.am/slamsv2" TargetMode="External"/><Relationship Id="rId166" Type="http://schemas.openxmlformats.org/officeDocument/2006/relationships/hyperlink" Target="http://memescollect.com" TargetMode="External"/><Relationship Id="rId161" Type="http://schemas.openxmlformats.org/officeDocument/2006/relationships/hyperlink" Target="https://www.fashionnova.com/collections/new?utm_source=influencer&amp;utm_medium=promo&amp;utm_campaign=ight" TargetMode="External"/><Relationship Id="rId160" Type="http://schemas.openxmlformats.org/officeDocument/2006/relationships/hyperlink" Target="https://linktr.ee/greatbritishmemes" TargetMode="External"/><Relationship Id="rId159" Type="http://schemas.openxmlformats.org/officeDocument/2006/relationships/hyperlink" Target="http://slamsocial.biz" TargetMode="External"/><Relationship Id="rId154" Type="http://schemas.openxmlformats.org/officeDocument/2006/relationships/hyperlink" Target="https://linkin.bio/10pmcurfew/" TargetMode="External"/><Relationship Id="rId153" Type="http://schemas.openxmlformats.org/officeDocument/2006/relationships/hyperlink" Target="https://youtube.com/@jelenaperic5254?si=xCiRER__WC0k9Kus" TargetMode="External"/><Relationship Id="rId152" Type="http://schemas.openxmlformats.org/officeDocument/2006/relationships/hyperlink" Target="http://www.idoshohat.com/" TargetMode="External"/><Relationship Id="rId151" Type="http://schemas.openxmlformats.org/officeDocument/2006/relationships/hyperlink" Target="https://linktr.ee/fwee_makeup_jp" TargetMode="External"/><Relationship Id="rId158" Type="http://schemas.openxmlformats.org/officeDocument/2006/relationships/hyperlink" Target="http://rcmamakeup.com/" TargetMode="External"/><Relationship Id="rId157" Type="http://schemas.openxmlformats.org/officeDocument/2006/relationships/hyperlink" Target="https://www.tiktok.com/@makeupwlp?_t=8ocAnFHpuE4&amp;_r=1" TargetMode="External"/><Relationship Id="rId156" Type="http://schemas.openxmlformats.org/officeDocument/2006/relationships/hyperlink" Target="https://lyko.com/sv/make-up-store" TargetMode="External"/><Relationship Id="rId155" Type="http://schemas.openxmlformats.org/officeDocument/2006/relationships/hyperlink" Target="https://www.makeupforever.com" TargetMode="External"/><Relationship Id="rId107" Type="http://schemas.openxmlformats.org/officeDocument/2006/relationships/hyperlink" Target="https://www.spotsalenow.com/product-page/car-cymbal-air-vent-mini-drum-beatride-pro" TargetMode="External"/><Relationship Id="rId106" Type="http://schemas.openxmlformats.org/officeDocument/2006/relationships/hyperlink" Target="https://linktr.ee/FuturisticTe" TargetMode="External"/><Relationship Id="rId105" Type="http://schemas.openxmlformats.org/officeDocument/2006/relationships/hyperlink" Target="https://nexeshop.com/products/anti-choking-device?sca_ref=8662319.YQ7rsvYnufsg75" TargetMode="External"/><Relationship Id="rId104" Type="http://schemas.openxmlformats.org/officeDocument/2006/relationships/hyperlink" Target="https://www.amazon.in/shop/ultra_gadgets4u" TargetMode="External"/><Relationship Id="rId109" Type="http://schemas.openxmlformats.org/officeDocument/2006/relationships/hyperlink" Target="https://macabregadgets.com/" TargetMode="External"/><Relationship Id="rId108" Type="http://schemas.openxmlformats.org/officeDocument/2006/relationships/hyperlink" Target="https://t.me/alihome_uz" TargetMode="External"/><Relationship Id="rId103" Type="http://schemas.openxmlformats.org/officeDocument/2006/relationships/hyperlink" Target="https://bit.ly/3dyIrXR" TargetMode="External"/><Relationship Id="rId102" Type="http://schemas.openxmlformats.org/officeDocument/2006/relationships/hyperlink" Target="https://telegram.dog/besthomegadgetsss" TargetMode="External"/><Relationship Id="rId101" Type="http://schemas.openxmlformats.org/officeDocument/2006/relationships/hyperlink" Target="http://fn.gg/WebShop" TargetMode="External"/><Relationship Id="rId100" Type="http://schemas.openxmlformats.org/officeDocument/2006/relationships/hyperlink" Target="https://empli.fi/fortnite/" TargetMode="External"/><Relationship Id="rId129" Type="http://schemas.openxmlformats.org/officeDocument/2006/relationships/hyperlink" Target="https://aishrthestore.com/collections/aishr-500" TargetMode="External"/><Relationship Id="rId128" Type="http://schemas.openxmlformats.org/officeDocument/2006/relationships/hyperlink" Target="https://www.agathemarty.com/links" TargetMode="External"/><Relationship Id="rId127" Type="http://schemas.openxmlformats.org/officeDocument/2006/relationships/hyperlink" Target="https://linktr.ee/trinityfitnessforwomen" TargetMode="External"/><Relationship Id="rId126" Type="http://schemas.openxmlformats.org/officeDocument/2006/relationships/hyperlink" Target="https://musclenation.org/pages/mens?utm_source=ig&amp;utm_medium=organic&amp;utm_campaign=mn-mens-story-link-03-23" TargetMode="External"/><Relationship Id="rId121" Type="http://schemas.openxmlformats.org/officeDocument/2006/relationships/hyperlink" Target="https://linkin.bio/guitarcenter" TargetMode="External"/><Relationship Id="rId120" Type="http://schemas.openxmlformats.org/officeDocument/2006/relationships/hyperlink" Target="https://zshorten.com/oOy6d" TargetMode="External"/><Relationship Id="rId125" Type="http://schemas.openxmlformats.org/officeDocument/2006/relationships/hyperlink" Target="http://www.gymlegends.co" TargetMode="External"/><Relationship Id="rId124" Type="http://schemas.openxmlformats.org/officeDocument/2006/relationships/hyperlink" Target="http://bit.ly/gymcabinstore" TargetMode="External"/><Relationship Id="rId123" Type="http://schemas.openxmlformats.org/officeDocument/2006/relationships/hyperlink" Target="https://www.matteomancuso.net" TargetMode="External"/><Relationship Id="rId122" Type="http://schemas.openxmlformats.org/officeDocument/2006/relationships/hyperlink" Target="https://likeshop.me/guitarworldmagazine" TargetMode="External"/><Relationship Id="rId118" Type="http://schemas.openxmlformats.org/officeDocument/2006/relationships/hyperlink" Target="http://guitar.com" TargetMode="External"/><Relationship Id="rId117" Type="http://schemas.openxmlformats.org/officeDocument/2006/relationships/hyperlink" Target="http://tiktok.com/@arloguitar" TargetMode="External"/><Relationship Id="rId116" Type="http://schemas.openxmlformats.org/officeDocument/2006/relationships/hyperlink" Target="http://bit.ly/2ePEAm7" TargetMode="External"/><Relationship Id="rId115" Type="http://schemas.openxmlformats.org/officeDocument/2006/relationships/hyperlink" Target="https://linktr.ee/gaming_insta" TargetMode="External"/><Relationship Id="rId119" Type="http://schemas.openxmlformats.org/officeDocument/2006/relationships/hyperlink" Target="https://bnd.link/guitar" TargetMode="External"/><Relationship Id="rId110" Type="http://schemas.openxmlformats.org/officeDocument/2006/relationships/hyperlink" Target="https://linkourbio.com/noocx/" TargetMode="External"/><Relationship Id="rId114" Type="http://schemas.openxmlformats.org/officeDocument/2006/relationships/hyperlink" Target="https://www.fantechesports.cl/" TargetMode="External"/><Relationship Id="rId113" Type="http://schemas.openxmlformats.org/officeDocument/2006/relationships/hyperlink" Target="https://www.wishlink.com/uniquegadgets.india" TargetMode="External"/><Relationship Id="rId112" Type="http://schemas.openxmlformats.org/officeDocument/2006/relationships/hyperlink" Target="https://telegram.dog/amazinggadgetsavailable" TargetMode="External"/><Relationship Id="rId111" Type="http://schemas.openxmlformats.org/officeDocument/2006/relationships/hyperlink" Target="https://www.kurugadgets.com" TargetMode="External"/></Relationships>
</file>

<file path=xl/worksheets/_rels/sheet12.xml.rels><?xml version="1.0" encoding="UTF-8" standalone="yes"?><Relationships xmlns="http://schemas.openxmlformats.org/package/2006/relationships"><Relationship Id="rId392" Type="http://schemas.openxmlformats.org/officeDocument/2006/relationships/hyperlink" Target="https://glnk.io/4x159/cookingwithlynja" TargetMode="External"/><Relationship Id="rId391" Type="http://schemas.openxmlformats.org/officeDocument/2006/relationships/hyperlink" Target="http://hoo.be/cookingwithkian" TargetMode="External"/><Relationship Id="rId390" Type="http://schemas.openxmlformats.org/officeDocument/2006/relationships/hyperlink" Target="http://cwfeats.com" TargetMode="External"/><Relationship Id="rId1" Type="http://schemas.openxmlformats.org/officeDocument/2006/relationships/hyperlink" Target="https://www.vraymax.org/shop/" TargetMode="External"/><Relationship Id="rId2" Type="http://schemas.openxmlformats.org/officeDocument/2006/relationships/hyperlink" Target="https://beacons.ai/3dbox" TargetMode="External"/><Relationship Id="rId3" Type="http://schemas.openxmlformats.org/officeDocument/2006/relationships/hyperlink" Target="https://www.3diy.ru/all-contacts" TargetMode="External"/><Relationship Id="rId4" Type="http://schemas.openxmlformats.org/officeDocument/2006/relationships/hyperlink" Target="http://www.dbgolfcenter.com" TargetMode="External"/><Relationship Id="rId2180" Type="http://schemas.openxmlformats.org/officeDocument/2006/relationships/hyperlink" Target="https://linktr.ee/republicwomenswear" TargetMode="External"/><Relationship Id="rId2181" Type="http://schemas.openxmlformats.org/officeDocument/2006/relationships/hyperlink" Target="http://wa.me/919512142032" TargetMode="External"/><Relationship Id="rId2182" Type="http://schemas.openxmlformats.org/officeDocument/2006/relationships/hyperlink" Target="https://bio.site/TebyLovePlanet" TargetMode="External"/><Relationship Id="rId2183" Type="http://schemas.openxmlformats.org/officeDocument/2006/relationships/hyperlink" Target="https://linktr.ee/makeyougreener" TargetMode="External"/><Relationship Id="rId9" Type="http://schemas.openxmlformats.org/officeDocument/2006/relationships/hyperlink" Target="https://www.inayaaccessories.com/" TargetMode="External"/><Relationship Id="rId385" Type="http://schemas.openxmlformats.org/officeDocument/2006/relationships/hyperlink" Target="http://www.cookinginthemidwest.com" TargetMode="External"/><Relationship Id="rId2184" Type="http://schemas.openxmlformats.org/officeDocument/2006/relationships/hyperlink" Target="https://www.wastefreeplanet.org/links" TargetMode="External"/><Relationship Id="rId384" Type="http://schemas.openxmlformats.org/officeDocument/2006/relationships/hyperlink" Target="https://link.me/cookingforgains_" TargetMode="External"/><Relationship Id="rId2185" Type="http://schemas.openxmlformats.org/officeDocument/2006/relationships/hyperlink" Target="http://zeero.ru" TargetMode="External"/><Relationship Id="rId383" Type="http://schemas.openxmlformats.org/officeDocument/2006/relationships/hyperlink" Target="https://linkin.bio/bdgcooking" TargetMode="External"/><Relationship Id="rId2186" Type="http://schemas.openxmlformats.org/officeDocument/2006/relationships/hyperlink" Target="https://taplink.cc/zeero" TargetMode="External"/><Relationship Id="rId382" Type="http://schemas.openxmlformats.org/officeDocument/2006/relationships/hyperlink" Target="https://t.me/idkconsole" TargetMode="External"/><Relationship Id="rId2187" Type="http://schemas.openxmlformats.org/officeDocument/2006/relationships/hyperlink" Target="http://linktr.ee/Zerowastebali" TargetMode="External"/><Relationship Id="rId5" Type="http://schemas.openxmlformats.org/officeDocument/2006/relationships/hyperlink" Target="http://www.patreon.com/3dmake3d" TargetMode="External"/><Relationship Id="rId389" Type="http://schemas.openxmlformats.org/officeDocument/2006/relationships/hyperlink" Target="https://linktr.ee/cookingwithdestiny" TargetMode="External"/><Relationship Id="rId2188" Type="http://schemas.openxmlformats.org/officeDocument/2006/relationships/hyperlink" Target="https://zerowastecartel.com" TargetMode="External"/><Relationship Id="rId6" Type="http://schemas.openxmlformats.org/officeDocument/2006/relationships/hyperlink" Target="https://linktr.ee/rodzombie" TargetMode="External"/><Relationship Id="rId388" Type="http://schemas.openxmlformats.org/officeDocument/2006/relationships/hyperlink" Target="https://keychain.club/cookingwithdarryl" TargetMode="External"/><Relationship Id="rId2189" Type="http://schemas.openxmlformats.org/officeDocument/2006/relationships/hyperlink" Target="http://www.zerowastedaniel.com/" TargetMode="External"/><Relationship Id="rId7" Type="http://schemas.openxmlformats.org/officeDocument/2006/relationships/hyperlink" Target="https://burga.social/dogfriendlyoffice" TargetMode="External"/><Relationship Id="rId387" Type="http://schemas.openxmlformats.org/officeDocument/2006/relationships/hyperlink" Target="https://ngl.link/cooking_warda2" TargetMode="External"/><Relationship Id="rId8" Type="http://schemas.openxmlformats.org/officeDocument/2006/relationships/hyperlink" Target="https://api.whatsapp.com/send/?phone=7668020146&amp;text=Can+you+please+guide+me+on+how+to+place+an+order.+Thank+you%2521&amp;type=phone_number&amp;app_absent=0" TargetMode="External"/><Relationship Id="rId386" Type="http://schemas.openxmlformats.org/officeDocument/2006/relationships/hyperlink" Target="https://www.clinicalascondes.cl/MOVIL/Hora/RESERVA/P3_calendario.aspx" TargetMode="External"/><Relationship Id="rId381" Type="http://schemas.openxmlformats.org/officeDocument/2006/relationships/hyperlink" Target="https://news.mongabay.com/2025/08/mongabay-shark-meat-expose-sparks-call-for-hearing-and-industry-debate/" TargetMode="External"/><Relationship Id="rId380" Type="http://schemas.openxmlformats.org/officeDocument/2006/relationships/hyperlink" Target="http://www.posterconservation.com/" TargetMode="External"/><Relationship Id="rId379" Type="http://schemas.openxmlformats.org/officeDocument/2006/relationships/hyperlink" Target="https://linktr.ee/osaconservation" TargetMode="External"/><Relationship Id="rId2170" Type="http://schemas.openxmlformats.org/officeDocument/2006/relationships/hyperlink" Target="https://shop.beacons.ai/wellnessrains/7fe716d8-d447-429d-aedf-a7a43ee09d42" TargetMode="External"/><Relationship Id="rId2171" Type="http://schemas.openxmlformats.org/officeDocument/2006/relationships/hyperlink" Target="http://wild-animals.nl" TargetMode="External"/><Relationship Id="rId2172" Type="http://schemas.openxmlformats.org/officeDocument/2006/relationships/hyperlink" Target="https://www.facebook.com/animallovers110?mibextid=2JQ9oc" TargetMode="External"/><Relationship Id="rId374" Type="http://schemas.openxmlformats.org/officeDocument/2006/relationships/hyperlink" Target="https://linktr.ee/ConservationFlorida" TargetMode="External"/><Relationship Id="rId2173" Type="http://schemas.openxmlformats.org/officeDocument/2006/relationships/hyperlink" Target="https://www.wildanimalsanctuary.org/twasinstagram" TargetMode="External"/><Relationship Id="rId373" Type="http://schemas.openxmlformats.org/officeDocument/2006/relationships/hyperlink" Target="https://www.conservationfisheries.org" TargetMode="External"/><Relationship Id="rId2174" Type="http://schemas.openxmlformats.org/officeDocument/2006/relationships/hyperlink" Target="https://linktr.ee/dogscomfy" TargetMode="External"/><Relationship Id="rId372" Type="http://schemas.openxmlformats.org/officeDocument/2006/relationships/hyperlink" Target="http://giving.uw.edu/ck9" TargetMode="External"/><Relationship Id="rId2175" Type="http://schemas.openxmlformats.org/officeDocument/2006/relationships/hyperlink" Target="https://www.youtube.com/@wildanimalsworld-k6p" TargetMode="External"/><Relationship Id="rId371" Type="http://schemas.openxmlformats.org/officeDocument/2006/relationships/hyperlink" Target="https://www.reteti.org/world-elephant-day?fbclid=PAQ0xDSwMIM-dleHRuA2FlbQIxMQABpy0T5rY1UMPoJmmKlwiqchYdmxN60zgM4cHMMwU5EjXGxs5bf8KUAOy-YOiF_aem_kMhEmd3g0kuTF3-DgNafCA" TargetMode="External"/><Relationship Id="rId2176" Type="http://schemas.openxmlformats.org/officeDocument/2006/relationships/hyperlink" Target="https://bit.ly/3Ahfyui" TargetMode="External"/><Relationship Id="rId378" Type="http://schemas.openxmlformats.org/officeDocument/2006/relationships/hyperlink" Target="https://linktr.ee/iiconservation" TargetMode="External"/><Relationship Id="rId2177" Type="http://schemas.openxmlformats.org/officeDocument/2006/relationships/hyperlink" Target="https://taplink.cc/hotspotoutfits" TargetMode="External"/><Relationship Id="rId377" Type="http://schemas.openxmlformats.org/officeDocument/2006/relationships/hyperlink" Target="http://www.paypal.me/GGLions" TargetMode="External"/><Relationship Id="rId2178" Type="http://schemas.openxmlformats.org/officeDocument/2006/relationships/hyperlink" Target="https://mavenwomenswear.com" TargetMode="External"/><Relationship Id="rId376" Type="http://schemas.openxmlformats.org/officeDocument/2006/relationships/hyperlink" Target="https://www.conservation.org/act/instagram-link-in-bio" TargetMode="External"/><Relationship Id="rId2179" Type="http://schemas.openxmlformats.org/officeDocument/2006/relationships/hyperlink" Target="https://linktr.ee/meetbernard" TargetMode="External"/><Relationship Id="rId375" Type="http://schemas.openxmlformats.org/officeDocument/2006/relationships/hyperlink" Target="https://youtube.com/@conservation_kate?si=_XqSk0ueBoqhiFKr" TargetMode="External"/><Relationship Id="rId2190" Type="http://schemas.openxmlformats.org/officeDocument/2006/relationships/hyperlink" Target="https://linktr.ee/zerowastehome" TargetMode="External"/><Relationship Id="rId2191" Type="http://schemas.openxmlformats.org/officeDocument/2006/relationships/hyperlink" Target="http://zws.com" TargetMode="External"/><Relationship Id="rId2192" Type="http://schemas.openxmlformats.org/officeDocument/2006/relationships/hyperlink" Target="https://linktr.ee/zerowastestore" TargetMode="External"/><Relationship Id="rId2193" Type="http://schemas.openxmlformats.org/officeDocument/2006/relationships/hyperlink" Target="http://thezoomg.yek.link" TargetMode="External"/><Relationship Id="rId2194" Type="http://schemas.openxmlformats.org/officeDocument/2006/relationships/hyperlink" Target="https://linktr.ee/zoofficial" TargetMode="External"/><Relationship Id="rId396" Type="http://schemas.openxmlformats.org/officeDocument/2006/relationships/hyperlink" Target="https://maps.apple.com/place?coordinate=36.802892%2C2.912078&amp;name=Lieu%2520marqu%25C3%25A9%2520d%25E2%2580%2599un%2520rep%25C3%25A8re&amp;map=h" TargetMode="External"/><Relationship Id="rId2195" Type="http://schemas.openxmlformats.org/officeDocument/2006/relationships/hyperlink" Target="https://api.whatsapp.com/send?phone=77074676555" TargetMode="External"/><Relationship Id="rId395" Type="http://schemas.openxmlformats.org/officeDocument/2006/relationships/hyperlink" Target="https://t.me/rb_cooking_rb" TargetMode="External"/><Relationship Id="rId2196" Type="http://schemas.openxmlformats.org/officeDocument/2006/relationships/hyperlink" Target="https://wetaca.com/suscribete-a-wetaca/RAULZUMBA?utm_source=social&amp;utm_medium=social_paid&amp;utm_campaign=influencers" TargetMode="External"/><Relationship Id="rId394" Type="http://schemas.openxmlformats.org/officeDocument/2006/relationships/hyperlink" Target="https://nytimes.com/cooking-instagram" TargetMode="External"/><Relationship Id="rId2197" Type="http://schemas.openxmlformats.org/officeDocument/2006/relationships/hyperlink" Target="http://lnk.bio/zumba" TargetMode="External"/><Relationship Id="rId393" Type="http://schemas.openxmlformats.org/officeDocument/2006/relationships/hyperlink" Target="https://t.me/katia_cooking" TargetMode="External"/><Relationship Id="rId2198" Type="http://schemas.openxmlformats.org/officeDocument/2006/relationships/hyperlink" Target="https://linktr.ee/betoperez" TargetMode="External"/><Relationship Id="rId2199" Type="http://schemas.openxmlformats.org/officeDocument/2006/relationships/hyperlink" Target="https://linktr.ee/zumbakristin" TargetMode="External"/><Relationship Id="rId399" Type="http://schemas.openxmlformats.org/officeDocument/2006/relationships/hyperlink" Target="https://rbcosmetiques.fr/" TargetMode="External"/><Relationship Id="rId398" Type="http://schemas.openxmlformats.org/officeDocument/2006/relationships/hyperlink" Target="https://maps.app.goo.gl/p6Zp9okPLmFVN2236" TargetMode="External"/><Relationship Id="rId397" Type="http://schemas.openxmlformats.org/officeDocument/2006/relationships/hyperlink" Target="https://maps.app.goo.gl/8dFCArxzy2u4Hwhx9?g_st=com.google.maps.preview.copy" TargetMode="External"/><Relationship Id="rId1730" Type="http://schemas.openxmlformats.org/officeDocument/2006/relationships/hyperlink" Target="https://whatsapp.com/channel/0029VaIDFHs2f3EGX0Y4wu2Q" TargetMode="External"/><Relationship Id="rId1731" Type="http://schemas.openxmlformats.org/officeDocument/2006/relationships/hyperlink" Target="https://linktr.ee/shopping20cda" TargetMode="External"/><Relationship Id="rId1732" Type="http://schemas.openxmlformats.org/officeDocument/2006/relationships/hyperlink" Target="https://chat.whatsapp.com/Bc2QCjusjBjG9FZSjtODqD" TargetMode="External"/><Relationship Id="rId1733" Type="http://schemas.openxmlformats.org/officeDocument/2006/relationships/hyperlink" Target="https://ty.gl/jt50z75lbz" TargetMode="External"/><Relationship Id="rId1734" Type="http://schemas.openxmlformats.org/officeDocument/2006/relationships/hyperlink" Target="https://linktr.ee/shoppingvilavelha" TargetMode="External"/><Relationship Id="rId1735" Type="http://schemas.openxmlformats.org/officeDocument/2006/relationships/hyperlink" Target="http://linktr.ee/shoppingvitoria" TargetMode="External"/><Relationship Id="rId1736" Type="http://schemas.openxmlformats.org/officeDocument/2006/relationships/hyperlink" Target="https://title.myagelessoutfit.com/?funnelId=3320ba94-4c38-4c3c-9ad1-957c02fe5a56&amp;utm_source=instagram_smm&amp;utm_campaign=inst_smm_header_camp_id&amp;utm_medium=inst_smm_title_id&amp;utm_content=inst_smm_ad_name&amp;utm_term=inst_smm_ad_id" TargetMode="External"/><Relationship Id="rId1737" Type="http://schemas.openxmlformats.org/officeDocument/2006/relationships/hyperlink" Target="https://likeshop.me/vogueshopping" TargetMode="External"/><Relationship Id="rId1738" Type="http://schemas.openxmlformats.org/officeDocument/2006/relationships/hyperlink" Target="https://lnk.bio/global.siblings" TargetMode="External"/><Relationship Id="rId1739" Type="http://schemas.openxmlformats.org/officeDocument/2006/relationships/hyperlink" Target="https://www.doordash.com/store/siblings-cafe-elkins-park-27819970/" TargetMode="External"/><Relationship Id="rId1720" Type="http://schemas.openxmlformats.org/officeDocument/2006/relationships/hyperlink" Target="https://linktr.ee/ofrseoul" TargetMode="External"/><Relationship Id="rId1721" Type="http://schemas.openxmlformats.org/officeDocument/2006/relationships/hyperlink" Target="http://pf.kakao.com/_YkHxoxj" TargetMode="External"/><Relationship Id="rId1722" Type="http://schemas.openxmlformats.org/officeDocument/2006/relationships/hyperlink" Target="http://pf.kakao.com/_zfdAn" TargetMode="External"/><Relationship Id="rId1723" Type="http://schemas.openxmlformats.org/officeDocument/2006/relationships/hyperlink" Target="https://linktr.ee/seoul_city" TargetMode="External"/><Relationship Id="rId1724" Type="http://schemas.openxmlformats.org/officeDocument/2006/relationships/hyperlink" Target="https://skyscanner.pxf.io/SEOULTONYC" TargetMode="External"/><Relationship Id="rId1725" Type="http://schemas.openxmlformats.org/officeDocument/2006/relationships/hyperlink" Target="https://instabio.cc/unas_seoul" TargetMode="External"/><Relationship Id="rId1726" Type="http://schemas.openxmlformats.org/officeDocument/2006/relationships/hyperlink" Target="http://boutique_shopping.id" TargetMode="External"/><Relationship Id="rId1727" Type="http://schemas.openxmlformats.org/officeDocument/2006/relationships/hyperlink" Target="https://linktr.ee/boutiqueshopping.id" TargetMode="External"/><Relationship Id="rId1728" Type="http://schemas.openxmlformats.org/officeDocument/2006/relationships/hyperlink" Target="https://heylink.me/Hno.shopping/" TargetMode="External"/><Relationship Id="rId1729" Type="http://schemas.openxmlformats.org/officeDocument/2006/relationships/hyperlink" Target="https://salla.sa/hhb" TargetMode="External"/><Relationship Id="rId1752" Type="http://schemas.openxmlformats.org/officeDocument/2006/relationships/hyperlink" Target="https://linktr.ee/Sketchesofsofia" TargetMode="External"/><Relationship Id="rId1753" Type="http://schemas.openxmlformats.org/officeDocument/2006/relationships/hyperlink" Target="https://linktr.ee/sketchlondon" TargetMode="External"/><Relationship Id="rId1754" Type="http://schemas.openxmlformats.org/officeDocument/2006/relationships/hyperlink" Target="https://twitch.tv/thesketchreal" TargetMode="External"/><Relationship Id="rId1755" Type="http://schemas.openxmlformats.org/officeDocument/2006/relationships/hyperlink" Target="https://youtube.com/@afterdarksketch?si=JdNBWfnrbgxXQ9OE" TargetMode="External"/><Relationship Id="rId1756" Type="http://schemas.openxmlformats.org/officeDocument/2006/relationships/hyperlink" Target="https://bit.ly/Boot_Camp_" TargetMode="External"/><Relationship Id="rId1757" Type="http://schemas.openxmlformats.org/officeDocument/2006/relationships/hyperlink" Target="https://cutt.bio/tamB0" TargetMode="External"/><Relationship Id="rId1758" Type="http://schemas.openxmlformats.org/officeDocument/2006/relationships/hyperlink" Target="https://sketchedbysiena.co.uk/" TargetMode="External"/><Relationship Id="rId1759" Type="http://schemas.openxmlformats.org/officeDocument/2006/relationships/hyperlink" Target="https://jeforel.com/ai-wait?utm_source=insta_bio_pred" TargetMode="External"/><Relationship Id="rId808" Type="http://schemas.openxmlformats.org/officeDocument/2006/relationships/hyperlink" Target="http://www.shopbeachhaus.com/" TargetMode="External"/><Relationship Id="rId807" Type="http://schemas.openxmlformats.org/officeDocument/2006/relationships/hyperlink" Target="https://sarahharan.com/pages/get-started" TargetMode="External"/><Relationship Id="rId806" Type="http://schemas.openxmlformats.org/officeDocument/2006/relationships/hyperlink" Target="https://www.keeksdesignerhandbags.com/" TargetMode="External"/><Relationship Id="rId805" Type="http://schemas.openxmlformats.org/officeDocument/2006/relationships/hyperlink" Target="http://www.hollyclosetcase.com/" TargetMode="External"/><Relationship Id="rId809" Type="http://schemas.openxmlformats.org/officeDocument/2006/relationships/hyperlink" Target="https://www.tanandloom.com" TargetMode="External"/><Relationship Id="rId800" Type="http://schemas.openxmlformats.org/officeDocument/2006/relationships/hyperlink" Target="http://www.clutcheeet.com" TargetMode="External"/><Relationship Id="rId804" Type="http://schemas.openxmlformats.org/officeDocument/2006/relationships/hyperlink" Target="https://hautesauce.taplink.ws" TargetMode="External"/><Relationship Id="rId803" Type="http://schemas.openxmlformats.org/officeDocument/2006/relationships/hyperlink" Target="http://www.bymoksh.com" TargetMode="External"/><Relationship Id="rId802" Type="http://schemas.openxmlformats.org/officeDocument/2006/relationships/hyperlink" Target="https://linkin.bio/elahandbags" TargetMode="External"/><Relationship Id="rId801" Type="http://schemas.openxmlformats.org/officeDocument/2006/relationships/hyperlink" Target="http://www.dallasdesignerhandbags.com/" TargetMode="External"/><Relationship Id="rId1750" Type="http://schemas.openxmlformats.org/officeDocument/2006/relationships/hyperlink" Target="http://www.facebook.com/sketchatjo" TargetMode="External"/><Relationship Id="rId1751" Type="http://schemas.openxmlformats.org/officeDocument/2006/relationships/hyperlink" Target="https://newsletter.artdailydose.com/subscribe" TargetMode="External"/><Relationship Id="rId1741" Type="http://schemas.openxmlformats.org/officeDocument/2006/relationships/hyperlink" Target="http://siblingsordating.com/" TargetMode="External"/><Relationship Id="rId1742" Type="http://schemas.openxmlformats.org/officeDocument/2006/relationships/hyperlink" Target="http://mr.sidehustle.co" TargetMode="External"/><Relationship Id="rId1743" Type="http://schemas.openxmlformats.org/officeDocument/2006/relationships/hyperlink" Target="https://posh.vip/e/post-malonejelly-roll-official-after-party" TargetMode="External"/><Relationship Id="rId1744" Type="http://schemas.openxmlformats.org/officeDocument/2006/relationships/hyperlink" Target="http://www.epicdigitalfreedom.com/" TargetMode="External"/><Relationship Id="rId1745" Type="http://schemas.openxmlformats.org/officeDocument/2006/relationships/hyperlink" Target="https://sidehustlereview.store" TargetMode="External"/><Relationship Id="rId1746" Type="http://schemas.openxmlformats.org/officeDocument/2006/relationships/hyperlink" Target="https://www.sidehustlesnackbar.com" TargetMode="External"/><Relationship Id="rId1747" Type="http://schemas.openxmlformats.org/officeDocument/2006/relationships/hyperlink" Target="https://stan.store/womensidehustle" TargetMode="External"/><Relationship Id="rId1748" Type="http://schemas.openxmlformats.org/officeDocument/2006/relationships/hyperlink" Target="https://www.facebook.com/jonathan.jhon.50" TargetMode="External"/><Relationship Id="rId1749" Type="http://schemas.openxmlformats.org/officeDocument/2006/relationships/hyperlink" Target="http://www.pmtsketch.de/" TargetMode="External"/><Relationship Id="rId1740" Type="http://schemas.openxmlformats.org/officeDocument/2006/relationships/hyperlink" Target="https://www.siblingskirra.com.au" TargetMode="External"/><Relationship Id="rId1710" Type="http://schemas.openxmlformats.org/officeDocument/2006/relationships/hyperlink" Target="http://maleknasir.gumroad.com/l/E-book" TargetMode="External"/><Relationship Id="rId1711" Type="http://schemas.openxmlformats.org/officeDocument/2006/relationships/hyperlink" Target="https://spf.bio/Mh33H" TargetMode="External"/><Relationship Id="rId1712" Type="http://schemas.openxmlformats.org/officeDocument/2006/relationships/hyperlink" Target="http://selfimprovementtips.in" TargetMode="External"/><Relationship Id="rId1713" Type="http://schemas.openxmlformats.org/officeDocument/2006/relationships/hyperlink" Target="https://www.youtube.com/@selfimprovementtips12" TargetMode="External"/><Relationship Id="rId1714" Type="http://schemas.openxmlformats.org/officeDocument/2006/relationships/hyperlink" Target="https://www.youtube.com/@Stoicsandstoicism" TargetMode="External"/><Relationship Id="rId1715" Type="http://schemas.openxmlformats.org/officeDocument/2006/relationships/hyperlink" Target="https://thatgirlgrow.gumroad.com/l/growth" TargetMode="External"/><Relationship Id="rId1716" Type="http://schemas.openxmlformats.org/officeDocument/2006/relationships/hyperlink" Target="https://ultiself.app.link/ultiself-app" TargetMode="External"/><Relationship Id="rId1717" Type="http://schemas.openxmlformats.org/officeDocument/2006/relationships/hyperlink" Target="http://linktr.ee/finz.seoul" TargetMode="External"/><Relationship Id="rId1718" Type="http://schemas.openxmlformats.org/officeDocument/2006/relationships/hyperlink" Target="https://instabio.cc/honeybeeseoul" TargetMode="External"/><Relationship Id="rId1719" Type="http://schemas.openxmlformats.org/officeDocument/2006/relationships/hyperlink" Target="https://linktr.ee/_mwm" TargetMode="External"/><Relationship Id="rId1700" Type="http://schemas.openxmlformats.org/officeDocument/2006/relationships/hyperlink" Target="http://selfcareisforeveryone.com/" TargetMode="External"/><Relationship Id="rId1701" Type="http://schemas.openxmlformats.org/officeDocument/2006/relationships/hyperlink" Target="https://cozycare.beehiiv.com/" TargetMode="External"/><Relationship Id="rId1702" Type="http://schemas.openxmlformats.org/officeDocument/2006/relationships/hyperlink" Target="https://taplink.cc/selfcare.recipe" TargetMode="External"/><Relationship Id="rId1703" Type="http://schemas.openxmlformats.org/officeDocument/2006/relationships/hyperlink" Target="https://www.selfcare-spotlight.com/links" TargetMode="External"/><Relationship Id="rId1704" Type="http://schemas.openxmlformats.org/officeDocument/2006/relationships/hyperlink" Target="https://www.fashionnova.com/?utm_source=instagram&amp;utm_medium=promo&amp;utm_campaign=selfcarewithwall" TargetMode="External"/><Relationship Id="rId1705" Type="http://schemas.openxmlformats.org/officeDocument/2006/relationships/hyperlink" Target="https://www.amazon.com/shop/selfcarexpuffs" TargetMode="External"/><Relationship Id="rId1706" Type="http://schemas.openxmlformats.org/officeDocument/2006/relationships/hyperlink" Target="https://blurindia.com/?ref=htutfhxk" TargetMode="External"/><Relationship Id="rId1707" Type="http://schemas.openxmlformats.org/officeDocument/2006/relationships/hyperlink" Target="https://ig-growthguide.carrd.co" TargetMode="External"/><Relationship Id="rId1708" Type="http://schemas.openxmlformats.org/officeDocument/2006/relationships/hyperlink" Target="http://linktr.ee/soncoin" TargetMode="External"/><Relationship Id="rId1709" Type="http://schemas.openxmlformats.org/officeDocument/2006/relationships/hyperlink" Target="https://t.me/+W6sumWfcBD8wMzdl" TargetMode="External"/><Relationship Id="rId40" Type="http://schemas.openxmlformats.org/officeDocument/2006/relationships/hyperlink" Target="https://youtube.com/@animationstudio-387" TargetMode="External"/><Relationship Id="rId1334" Type="http://schemas.openxmlformats.org/officeDocument/2006/relationships/hyperlink" Target="https://www.bossmusicproductions.in/" TargetMode="External"/><Relationship Id="rId1335" Type="http://schemas.openxmlformats.org/officeDocument/2006/relationships/hyperlink" Target="https://youtube.com/@astariosmedia?feature=shared" TargetMode="External"/><Relationship Id="rId42" Type="http://schemas.openxmlformats.org/officeDocument/2006/relationships/hyperlink" Target="http://apexlegends.co" TargetMode="External"/><Relationship Id="rId1336" Type="http://schemas.openxmlformats.org/officeDocument/2006/relationships/hyperlink" Target="http://beacons.ai/midisic.com" TargetMode="External"/><Relationship Id="rId41" Type="http://schemas.openxmlformats.org/officeDocument/2006/relationships/hyperlink" Target="https://goo.gl/NBTsoU" TargetMode="External"/><Relationship Id="rId1337" Type="http://schemas.openxmlformats.org/officeDocument/2006/relationships/hyperlink" Target="https://linktr.ee/productionmusiclive" TargetMode="External"/><Relationship Id="rId44" Type="http://schemas.openxmlformats.org/officeDocument/2006/relationships/hyperlink" Target="http://apex.legends.sa" TargetMode="External"/><Relationship Id="rId1338" Type="http://schemas.openxmlformats.org/officeDocument/2006/relationships/hyperlink" Target="https://linktr.ee/naturalbeauty50" TargetMode="External"/><Relationship Id="rId43" Type="http://schemas.openxmlformats.org/officeDocument/2006/relationships/hyperlink" Target="https://battlefy.com/telus?utm_campaign=TES42024&amp;utm_source=community&amp;utm_medium=discord&amp;utm_term=brand&amp;utm_content=lsbhtzia" TargetMode="External"/><Relationship Id="rId1339" Type="http://schemas.openxmlformats.org/officeDocument/2006/relationships/hyperlink" Target="https://amzn.to/45g6NNU" TargetMode="External"/><Relationship Id="rId46" Type="http://schemas.openxmlformats.org/officeDocument/2006/relationships/hyperlink" Target="https://sprout.link/playapex" TargetMode="External"/><Relationship Id="rId45" Type="http://schemas.openxmlformats.org/officeDocument/2006/relationships/hyperlink" Target="https://discord.gg/qGVKKGAZtB" TargetMode="External"/><Relationship Id="rId745" Type="http://schemas.openxmlformats.org/officeDocument/2006/relationships/hyperlink" Target="https://linktr.ee/happygarden888" TargetMode="External"/><Relationship Id="rId744" Type="http://schemas.openxmlformats.org/officeDocument/2006/relationships/hyperlink" Target="https://linktr.ee/happygarden888" TargetMode="External"/><Relationship Id="rId743" Type="http://schemas.openxmlformats.org/officeDocument/2006/relationships/hyperlink" Target="https://producersmarket.com/" TargetMode="External"/><Relationship Id="rId742" Type="http://schemas.openxmlformats.org/officeDocument/2006/relationships/hyperlink" Target="https://beacons.ai/epicgardening" TargetMode="External"/><Relationship Id="rId749" Type="http://schemas.openxmlformats.org/officeDocument/2006/relationships/hyperlink" Target="https://www.youtube.com/@Fashion-homegardening" TargetMode="External"/><Relationship Id="rId748" Type="http://schemas.openxmlformats.org/officeDocument/2006/relationships/hyperlink" Target="https://linktr.ee/happygarden888" TargetMode="External"/><Relationship Id="rId747" Type="http://schemas.openxmlformats.org/officeDocument/2006/relationships/hyperlink" Target="https://linktr.ee/happygarden888" TargetMode="External"/><Relationship Id="rId746" Type="http://schemas.openxmlformats.org/officeDocument/2006/relationships/hyperlink" Target="https://linktr.ee/zenleestore" TargetMode="External"/><Relationship Id="rId48" Type="http://schemas.openxmlformats.org/officeDocument/2006/relationships/hyperlink" Target="https://linktr.ee/artificial.intelligence16" TargetMode="External"/><Relationship Id="rId47" Type="http://schemas.openxmlformats.org/officeDocument/2006/relationships/hyperlink" Target="https://argil.ai/?via=artificial-intelligence" TargetMode="External"/><Relationship Id="rId49" Type="http://schemas.openxmlformats.org/officeDocument/2006/relationships/hyperlink" Target="http://artificialintelligence.co" TargetMode="External"/><Relationship Id="rId741" Type="http://schemas.openxmlformats.org/officeDocument/2006/relationships/hyperlink" Target="https://growepic.co/shop" TargetMode="External"/><Relationship Id="rId1330" Type="http://schemas.openxmlformats.org/officeDocument/2006/relationships/hyperlink" Target="http://www.younginthemountains.com" TargetMode="External"/><Relationship Id="rId740" Type="http://schemas.openxmlformats.org/officeDocument/2006/relationships/hyperlink" Target="http://sprout.link/burpeegardening" TargetMode="External"/><Relationship Id="rId1331" Type="http://schemas.openxmlformats.org/officeDocument/2006/relationships/hyperlink" Target="https://linkin.bio/longandmcquade" TargetMode="External"/><Relationship Id="rId1332" Type="http://schemas.openxmlformats.org/officeDocument/2006/relationships/hyperlink" Target="https://www.beatkitchen.io/links" TargetMode="External"/><Relationship Id="rId1333" Type="http://schemas.openxmlformats.org/officeDocument/2006/relationships/hyperlink" Target="http://beacons.ai/midisic.com" TargetMode="External"/><Relationship Id="rId1323" Type="http://schemas.openxmlformats.org/officeDocument/2006/relationships/hyperlink" Target="https://motivationnovel.gumroad.com/l/GuidetoSelfDiscipline" TargetMode="External"/><Relationship Id="rId1324" Type="http://schemas.openxmlformats.org/officeDocument/2006/relationships/hyperlink" Target="https://linktr.ee/maggmountains" TargetMode="External"/><Relationship Id="rId31" Type="http://schemas.openxmlformats.org/officeDocument/2006/relationships/hyperlink" Target="https://linktr.ee/manytearsanimalrescue" TargetMode="External"/><Relationship Id="rId1325" Type="http://schemas.openxmlformats.org/officeDocument/2006/relationships/hyperlink" Target="http://www.mountainmikespizza.com/locations/" TargetMode="External"/><Relationship Id="rId30" Type="http://schemas.openxmlformats.org/officeDocument/2006/relationships/hyperlink" Target="https://gofund.me/9acce1b3" TargetMode="External"/><Relationship Id="rId1326" Type="http://schemas.openxmlformats.org/officeDocument/2006/relationships/hyperlink" Target="https://linktr.ee/MountainsDaughter" TargetMode="External"/><Relationship Id="rId33" Type="http://schemas.openxmlformats.org/officeDocument/2006/relationships/hyperlink" Target="https://linktr.ee/WiseAnimalRescue" TargetMode="External"/><Relationship Id="rId1327" Type="http://schemas.openxmlformats.org/officeDocument/2006/relationships/hyperlink" Target="https://www.mountainsidemade.com/" TargetMode="External"/><Relationship Id="rId32" Type="http://schemas.openxmlformats.org/officeDocument/2006/relationships/hyperlink" Target="https://www.tricountyanimalrescue.com" TargetMode="External"/><Relationship Id="rId1328" Type="http://schemas.openxmlformats.org/officeDocument/2006/relationships/hyperlink" Target="https://linktr.ee/artofnature24" TargetMode="External"/><Relationship Id="rId35" Type="http://schemas.openxmlformats.org/officeDocument/2006/relationships/hyperlink" Target="https://www.gofundme.com/f/hope-through-crohns?utm_campaign=fp_sharesheet&amp;utm_medium=customer&amp;utm_source=copy_link&amp;lang=en_US" TargetMode="External"/><Relationship Id="rId1329" Type="http://schemas.openxmlformats.org/officeDocument/2006/relationships/hyperlink" Target="http://www.hikinghimalayas.com/" TargetMode="External"/><Relationship Id="rId34" Type="http://schemas.openxmlformats.org/officeDocument/2006/relationships/hyperlink" Target="http://t.me/Animationix" TargetMode="External"/><Relationship Id="rId739" Type="http://schemas.openxmlformats.org/officeDocument/2006/relationships/hyperlink" Target="https://maxoutletstore.com/products/nasal-stick-4-pcs?_pos=2&amp;_psq=nasal&amp;_ss=e&amp;_v=1.0&amp;fbclid=PAVERFWAMpM0tleHRuA2FlbQIxMAABpxYtgzgT-FjQnEEeT38T_NshcyYhwmiajgBc6bepsEnvKjjeqrlRMNizBv16_aem_n8Vlkm6uTzspDoaWP2BLbQ" TargetMode="External"/><Relationship Id="rId734" Type="http://schemas.openxmlformats.org/officeDocument/2006/relationships/hyperlink" Target="https://www.gamedev.tv/" TargetMode="External"/><Relationship Id="rId733" Type="http://schemas.openxmlformats.org/officeDocument/2006/relationships/hyperlink" Target="http://gamedev.tv" TargetMode="External"/><Relationship Id="rId732" Type="http://schemas.openxmlformats.org/officeDocument/2006/relationships/hyperlink" Target="http://gamedev.tv" TargetMode="External"/><Relationship Id="rId731" Type="http://schemas.openxmlformats.org/officeDocument/2006/relationships/hyperlink" Target="https://linktr.ee/GameDeveloperUnity" TargetMode="External"/><Relationship Id="rId738" Type="http://schemas.openxmlformats.org/officeDocument/2006/relationships/hyperlink" Target="http://dopegamingsetup.com" TargetMode="External"/><Relationship Id="rId737" Type="http://schemas.openxmlformats.org/officeDocument/2006/relationships/hyperlink" Target="https://linktr.ee/fluidgame" TargetMode="External"/><Relationship Id="rId736" Type="http://schemas.openxmlformats.org/officeDocument/2006/relationships/hyperlink" Target="https://linktr.ee/gamesweplay" TargetMode="External"/><Relationship Id="rId735" Type="http://schemas.openxmlformats.org/officeDocument/2006/relationships/hyperlink" Target="https://store.steampowered.com/app/3751720/Dungeon_Directive/?beta=0" TargetMode="External"/><Relationship Id="rId37" Type="http://schemas.openxmlformats.org/officeDocument/2006/relationships/hyperlink" Target="https://paystack.com/buy/the-no-animators-guide" TargetMode="External"/><Relationship Id="rId36" Type="http://schemas.openxmlformats.org/officeDocument/2006/relationships/hyperlink" Target="https://www.disneyanimation.com/" TargetMode="External"/><Relationship Id="rId39" Type="http://schemas.openxmlformats.org/officeDocument/2006/relationships/hyperlink" Target="https://linktr.ee/toeianimation" TargetMode="External"/><Relationship Id="rId38" Type="http://schemas.openxmlformats.org/officeDocument/2006/relationships/hyperlink" Target="http://youtube.com/@jaidenanimations" TargetMode="External"/><Relationship Id="rId730" Type="http://schemas.openxmlformats.org/officeDocument/2006/relationships/hyperlink" Target="https://msha.ke/gadgetmax" TargetMode="External"/><Relationship Id="rId1320" Type="http://schemas.openxmlformats.org/officeDocument/2006/relationships/hyperlink" Target="https://www.hustlecollin.com/ai-1" TargetMode="External"/><Relationship Id="rId1321" Type="http://schemas.openxmlformats.org/officeDocument/2006/relationships/hyperlink" Target="https://linktr.ee/motivationapp" TargetMode="External"/><Relationship Id="rId1322" Type="http://schemas.openxmlformats.org/officeDocument/2006/relationships/hyperlink" Target="http://ambitionmedia.com" TargetMode="External"/><Relationship Id="rId1356" Type="http://schemas.openxmlformats.org/officeDocument/2006/relationships/hyperlink" Target="https://tinyurl.com/4eywzueb" TargetMode="External"/><Relationship Id="rId1357" Type="http://schemas.openxmlformats.org/officeDocument/2006/relationships/hyperlink" Target="https://linktr.ee/nymets" TargetMode="External"/><Relationship Id="rId20" Type="http://schemas.openxmlformats.org/officeDocument/2006/relationships/hyperlink" Target="https://www.droidalerts.com/separated-for-what-felt-like-forever-a-german-shepherd-collapsed-into-his-owners-arms-with-a-whimper-of-pure-joy/" TargetMode="External"/><Relationship Id="rId1358" Type="http://schemas.openxmlformats.org/officeDocument/2006/relationships/hyperlink" Target="https://beacons.ai/newyorkcity" TargetMode="External"/><Relationship Id="rId1359" Type="http://schemas.openxmlformats.org/officeDocument/2006/relationships/hyperlink" Target="https://newyorkcityexplore.com/" TargetMode="External"/><Relationship Id="rId22" Type="http://schemas.openxmlformats.org/officeDocument/2006/relationships/hyperlink" Target="https://donorbox.org/help-rescue-paws-2" TargetMode="External"/><Relationship Id="rId21" Type="http://schemas.openxmlformats.org/officeDocument/2006/relationships/hyperlink" Target="https://ko-fi.com/donatetomakedifference" TargetMode="External"/><Relationship Id="rId24" Type="http://schemas.openxmlformats.org/officeDocument/2006/relationships/hyperlink" Target="https://linktr.ee/animalrescueserbia" TargetMode="External"/><Relationship Id="rId23" Type="http://schemas.openxmlformats.org/officeDocument/2006/relationships/hyperlink" Target="https://animalrescuenikola.org/?fbclid=IwZXh0bgNhZW0CMTEAAR4AUVP1lHaAlDBegsx_GtwuDex3z3iJ2000lLHOpkegRG21UH-QjH_TwYbefw_aem_IPXQL6zL6mSKgPjuuLjXsQ" TargetMode="External"/><Relationship Id="rId767" Type="http://schemas.openxmlformats.org/officeDocument/2006/relationships/hyperlink" Target="https://golf.com/" TargetMode="External"/><Relationship Id="rId766" Type="http://schemas.openxmlformats.org/officeDocument/2006/relationships/hyperlink" Target="https://sprout.link/golfchannel" TargetMode="External"/><Relationship Id="rId765" Type="http://schemas.openxmlformats.org/officeDocument/2006/relationships/hyperlink" Target="http://golfwang.com/" TargetMode="External"/><Relationship Id="rId764" Type="http://schemas.openxmlformats.org/officeDocument/2006/relationships/hyperlink" Target="https://linktr.ee/augusta.augusto" TargetMode="External"/><Relationship Id="rId769" Type="http://schemas.openxmlformats.org/officeDocument/2006/relationships/hyperlink" Target="https://golfgodsonline.com/pages/all-links" TargetMode="External"/><Relationship Id="rId768" Type="http://schemas.openxmlformats.org/officeDocument/2006/relationships/hyperlink" Target="https://likeshop.me/golfdigest" TargetMode="External"/><Relationship Id="rId26" Type="http://schemas.openxmlformats.org/officeDocument/2006/relationships/hyperlink" Target="https://youtu.be/jZpXS82lZBE" TargetMode="External"/><Relationship Id="rId25" Type="http://schemas.openxmlformats.org/officeDocument/2006/relationships/hyperlink" Target="https://www.facebook.com/events/1712459346055827" TargetMode="External"/><Relationship Id="rId28" Type="http://schemas.openxmlformats.org/officeDocument/2006/relationships/hyperlink" Target="https://www.teaming.net/fundacionanimalrescue" TargetMode="External"/><Relationship Id="rId1350" Type="http://schemas.openxmlformats.org/officeDocument/2006/relationships/hyperlink" Target="https://tinyurl.com/y32loh58" TargetMode="External"/><Relationship Id="rId27" Type="http://schemas.openxmlformats.org/officeDocument/2006/relationships/hyperlink" Target="http://hoo.be/arlboston/" TargetMode="External"/><Relationship Id="rId1351" Type="http://schemas.openxmlformats.org/officeDocument/2006/relationships/hyperlink" Target="http://www.naturewalkstudio.com/" TargetMode="External"/><Relationship Id="rId763" Type="http://schemas.openxmlformats.org/officeDocument/2006/relationships/hyperlink" Target="http://augusta.gp" TargetMode="External"/><Relationship Id="rId1352" Type="http://schemas.openxmlformats.org/officeDocument/2006/relationships/hyperlink" Target="https://joannsolomon.nyc/links" TargetMode="External"/><Relationship Id="rId29" Type="http://schemas.openxmlformats.org/officeDocument/2006/relationships/hyperlink" Target="https://linktr.ee/international_animal_rescue" TargetMode="External"/><Relationship Id="rId762" Type="http://schemas.openxmlformats.org/officeDocument/2006/relationships/hyperlink" Target="http://planwithlaken.teachable.com/p/goals-with-laken-birthday-party" TargetMode="External"/><Relationship Id="rId1353" Type="http://schemas.openxmlformats.org/officeDocument/2006/relationships/hyperlink" Target="https://shoprnbmusic.myshopify.com/" TargetMode="External"/><Relationship Id="rId2200" Type="http://schemas.openxmlformats.org/officeDocument/2006/relationships/hyperlink" Target="https://linktr.ee/zumba.suzy" TargetMode="External"/><Relationship Id="rId761" Type="http://schemas.openxmlformats.org/officeDocument/2006/relationships/hyperlink" Target="https://makselife.com/products/clubmakse-2025-sign-up-and-recurring-membership" TargetMode="External"/><Relationship Id="rId1354" Type="http://schemas.openxmlformats.org/officeDocument/2006/relationships/hyperlink" Target="https://linktr.ee/wfnm" TargetMode="External"/><Relationship Id="rId2201" Type="http://schemas.openxmlformats.org/officeDocument/2006/relationships/drawing" Target="../drawings/drawing12.xml"/><Relationship Id="rId760" Type="http://schemas.openxmlformats.org/officeDocument/2006/relationships/hyperlink" Target="http://visitstore.bio/gardenoflife" TargetMode="External"/><Relationship Id="rId1355" Type="http://schemas.openxmlformats.org/officeDocument/2006/relationships/hyperlink" Target="http://bit.ly/DearNewYorkBook" TargetMode="External"/><Relationship Id="rId1345" Type="http://schemas.openxmlformats.org/officeDocument/2006/relationships/hyperlink" Target="https://urbanoutletstores.com/products/breathewell-4-pcs" TargetMode="External"/><Relationship Id="rId1346" Type="http://schemas.openxmlformats.org/officeDocument/2006/relationships/hyperlink" Target="https://shorturl.at/foOhU" TargetMode="External"/><Relationship Id="rId1347" Type="http://schemas.openxmlformats.org/officeDocument/2006/relationships/hyperlink" Target="https://www.thestorche.com/products/night-light-galaxy-projector?_pos=1&amp;_psq=gala&amp;_ss=e&amp;_v=1.0&amp;ref=REHAN" TargetMode="External"/><Relationship Id="rId1348" Type="http://schemas.openxmlformats.org/officeDocument/2006/relationships/hyperlink" Target="https://creatpix-store.com" TargetMode="External"/><Relationship Id="rId11" Type="http://schemas.openxmlformats.org/officeDocument/2006/relationships/hyperlink" Target="https://www.tiktok.com/@manissaaccessorie7?_t=8oQGAQ7epuw&amp;_r=1" TargetMode="External"/><Relationship Id="rId1349" Type="http://schemas.openxmlformats.org/officeDocument/2006/relationships/hyperlink" Target="https://www.facebook.com/naturelovergr/" TargetMode="External"/><Relationship Id="rId10" Type="http://schemas.openxmlformats.org/officeDocument/2006/relationships/hyperlink" Target="https://www.madine-accessories.com/" TargetMode="External"/><Relationship Id="rId13" Type="http://schemas.openxmlformats.org/officeDocument/2006/relationships/hyperlink" Target="https://zaaqaccessories.com" TargetMode="External"/><Relationship Id="rId12" Type="http://schemas.openxmlformats.org/officeDocument/2006/relationships/hyperlink" Target="https://mauveaccessories.com" TargetMode="External"/><Relationship Id="rId756" Type="http://schemas.openxmlformats.org/officeDocument/2006/relationships/hyperlink" Target="https://linktr.ee/GardeningGrant" TargetMode="External"/><Relationship Id="rId755" Type="http://schemas.openxmlformats.org/officeDocument/2006/relationships/hyperlink" Target="https://linktr.ee/phsgardening" TargetMode="External"/><Relationship Id="rId754" Type="http://schemas.openxmlformats.org/officeDocument/2006/relationships/hyperlink" Target="https://youtube.com/@MorethanGardening?si=Yo82iM1dv_OYriiT" TargetMode="External"/><Relationship Id="rId753" Type="http://schemas.openxmlformats.org/officeDocument/2006/relationships/hyperlink" Target="https://taplink.cc/manaboutgardening" TargetMode="External"/><Relationship Id="rId759" Type="http://schemas.openxmlformats.org/officeDocument/2006/relationships/hyperlink" Target="http://www.gardenlife.com.ar/" TargetMode="External"/><Relationship Id="rId758" Type="http://schemas.openxmlformats.org/officeDocument/2006/relationships/hyperlink" Target="https://linktr.ee/youcandoitgardening" TargetMode="External"/><Relationship Id="rId757" Type="http://schemas.openxmlformats.org/officeDocument/2006/relationships/hyperlink" Target="https://independentbackyard.com/my-book" TargetMode="External"/><Relationship Id="rId15" Type="http://schemas.openxmlformats.org/officeDocument/2006/relationships/hyperlink" Target="https://www.tiktok.com/@mr_adventure__?_t=8rwuxx85SKu&amp;_r=1" TargetMode="External"/><Relationship Id="rId14" Type="http://schemas.openxmlformats.org/officeDocument/2006/relationships/hyperlink" Target="http://beacons.page/badassnugget" TargetMode="External"/><Relationship Id="rId17" Type="http://schemas.openxmlformats.org/officeDocument/2006/relationships/hyperlink" Target="https://yt.openinapp.co/5wwk6" TargetMode="External"/><Relationship Id="rId16" Type="http://schemas.openxmlformats.org/officeDocument/2006/relationships/hyperlink" Target="https://openlink.co/suka_adventure" TargetMode="External"/><Relationship Id="rId1340" Type="http://schemas.openxmlformats.org/officeDocument/2006/relationships/hyperlink" Target="https://t.me/naturelover1325" TargetMode="External"/><Relationship Id="rId19" Type="http://schemas.openxmlformats.org/officeDocument/2006/relationships/hyperlink" Target="https://www.acfanimalrescue.org/donate/" TargetMode="External"/><Relationship Id="rId752" Type="http://schemas.openxmlformats.org/officeDocument/2006/relationships/hyperlink" Target="https://t.me/learngardning" TargetMode="External"/><Relationship Id="rId1341" Type="http://schemas.openxmlformats.org/officeDocument/2006/relationships/hyperlink" Target="https://www.bookallsafaris.com/?aid=10781" TargetMode="External"/><Relationship Id="rId18" Type="http://schemas.openxmlformats.org/officeDocument/2006/relationships/hyperlink" Target="http://brooke.substack.com" TargetMode="External"/><Relationship Id="rId751" Type="http://schemas.openxmlformats.org/officeDocument/2006/relationships/hyperlink" Target="http://seedsconnect.org" TargetMode="External"/><Relationship Id="rId1342" Type="http://schemas.openxmlformats.org/officeDocument/2006/relationships/hyperlink" Target="https://natureismetal.com/submissions" TargetMode="External"/><Relationship Id="rId750" Type="http://schemas.openxmlformats.org/officeDocument/2006/relationships/hyperlink" Target="https://youtu.be/6heEvL_Ne5E?si=fX2ld27v9pW9sPr6" TargetMode="External"/><Relationship Id="rId1343" Type="http://schemas.openxmlformats.org/officeDocument/2006/relationships/hyperlink" Target="http://naturejab.info" TargetMode="External"/><Relationship Id="rId1344" Type="http://schemas.openxmlformats.org/officeDocument/2006/relationships/hyperlink" Target="https://sprout.link/nature_org" TargetMode="External"/><Relationship Id="rId84" Type="http://schemas.openxmlformats.org/officeDocument/2006/relationships/hyperlink" Target="https://backpacking-russia.ru/tours/" TargetMode="External"/><Relationship Id="rId1774" Type="http://schemas.openxmlformats.org/officeDocument/2006/relationships/hyperlink" Target="https://youtu.be/178uo0l_P7Y" TargetMode="External"/><Relationship Id="rId83" Type="http://schemas.openxmlformats.org/officeDocument/2006/relationships/hyperlink" Target="http://www.backpackingpr.com/" TargetMode="External"/><Relationship Id="rId1775" Type="http://schemas.openxmlformats.org/officeDocument/2006/relationships/hyperlink" Target="https://linktr.ee/SmallBusinessMercado" TargetMode="External"/><Relationship Id="rId86" Type="http://schemas.openxmlformats.org/officeDocument/2006/relationships/hyperlink" Target="http://www.erinexploring.com/links" TargetMode="External"/><Relationship Id="rId1776" Type="http://schemas.openxmlformats.org/officeDocument/2006/relationships/hyperlink" Target="http://smallbusiness.uk" TargetMode="External"/><Relationship Id="rId85" Type="http://schemas.openxmlformats.org/officeDocument/2006/relationships/hyperlink" Target="https://stan.store/DominiqueTravels" TargetMode="External"/><Relationship Id="rId1777" Type="http://schemas.openxmlformats.org/officeDocument/2006/relationships/hyperlink" Target="https://romeingaround.co.uk/products/airplane-seat-phone-holder-portable-clip" TargetMode="External"/><Relationship Id="rId88" Type="http://schemas.openxmlformats.org/officeDocument/2006/relationships/hyperlink" Target="http://piaeliza.de" TargetMode="External"/><Relationship Id="rId1778" Type="http://schemas.openxmlformats.org/officeDocument/2006/relationships/hyperlink" Target="http://www.thesmallbusinessexpo.com/" TargetMode="External"/><Relationship Id="rId87" Type="http://schemas.openxmlformats.org/officeDocument/2006/relationships/hyperlink" Target="https://linktr.ee/Kalihikes" TargetMode="External"/><Relationship Id="rId1779" Type="http://schemas.openxmlformats.org/officeDocument/2006/relationships/hyperlink" Target="http://smartdevices.ng" TargetMode="External"/><Relationship Id="rId89" Type="http://schemas.openxmlformats.org/officeDocument/2006/relationships/hyperlink" Target="https://creative-architect-2262.ck.page/47b3949b4e" TargetMode="External"/><Relationship Id="rId709" Type="http://schemas.openxmlformats.org/officeDocument/2006/relationships/hyperlink" Target="https://linktr.ee/foodiegirltour" TargetMode="External"/><Relationship Id="rId708" Type="http://schemas.openxmlformats.org/officeDocument/2006/relationships/hyperlink" Target="https://youtube.com/@foodchallengesisters?si=D3d__2uXs7acM-Mw" TargetMode="External"/><Relationship Id="rId707" Type="http://schemas.openxmlformats.org/officeDocument/2006/relationships/hyperlink" Target="https://linktr.ee/foodartstore" TargetMode="External"/><Relationship Id="rId706" Type="http://schemas.openxmlformats.org/officeDocument/2006/relationships/hyperlink" Target="https://foodartofficiel.fr/" TargetMode="External"/><Relationship Id="rId80" Type="http://schemas.openxmlformats.org/officeDocument/2006/relationships/hyperlink" Target="http://bio.site/zenheads" TargetMode="External"/><Relationship Id="rId82" Type="http://schemas.openxmlformats.org/officeDocument/2006/relationships/hyperlink" Target="https://linktr.ee/backpackingluis" TargetMode="External"/><Relationship Id="rId81" Type="http://schemas.openxmlformats.org/officeDocument/2006/relationships/hyperlink" Target="https://linkin.bio/backpackinglight" TargetMode="External"/><Relationship Id="rId701" Type="http://schemas.openxmlformats.org/officeDocument/2006/relationships/hyperlink" Target="https://tinyurl.com/cwcy6nvf" TargetMode="External"/><Relationship Id="rId700" Type="http://schemas.openxmlformats.org/officeDocument/2006/relationships/hyperlink" Target="https://linktr.ee/marissabeldiaz" TargetMode="External"/><Relationship Id="rId705" Type="http://schemas.openxmlformats.org/officeDocument/2006/relationships/hyperlink" Target="https://twitch.tv/zayyflowers4" TargetMode="External"/><Relationship Id="rId704" Type="http://schemas.openxmlformats.org/officeDocument/2006/relationships/hyperlink" Target="https://t.me/flowerswhynot?utm_source=inst&amp;utm_medium=social&amp;utm_campaign=zakaz" TargetMode="External"/><Relationship Id="rId703" Type="http://schemas.openxmlformats.org/officeDocument/2006/relationships/hyperlink" Target="https://taplink.cc/loftflowers67" TargetMode="External"/><Relationship Id="rId702" Type="http://schemas.openxmlformats.org/officeDocument/2006/relationships/hyperlink" Target="https://linktr.ee/flowers.accessories_" TargetMode="External"/><Relationship Id="rId1770" Type="http://schemas.openxmlformats.org/officeDocument/2006/relationships/hyperlink" Target="http://momoslimes.com" TargetMode="External"/><Relationship Id="rId1771" Type="http://schemas.openxmlformats.org/officeDocument/2006/relationships/hyperlink" Target="http://pilotslime.com/" TargetMode="External"/><Relationship Id="rId1772" Type="http://schemas.openxmlformats.org/officeDocument/2006/relationships/hyperlink" Target="https://beacons.ai/berigalaxy" TargetMode="External"/><Relationship Id="rId1773" Type="http://schemas.openxmlformats.org/officeDocument/2006/relationships/hyperlink" Target="https://linktr.ee/ogslimes" TargetMode="External"/><Relationship Id="rId73" Type="http://schemas.openxmlformats.org/officeDocument/2006/relationships/hyperlink" Target="https://www.facebook.com/share/1HRknQDjry/?mibextid=wwXIfr" TargetMode="External"/><Relationship Id="rId1763" Type="http://schemas.openxmlformats.org/officeDocument/2006/relationships/hyperlink" Target="https://www.oakley.com/en-us/lp/snow" TargetMode="External"/><Relationship Id="rId72" Type="http://schemas.openxmlformats.org/officeDocument/2006/relationships/hyperlink" Target="https://youtube.com/@asmr_lisandraa?si=QJ4qTLsRtZGDZ2qN" TargetMode="External"/><Relationship Id="rId1764" Type="http://schemas.openxmlformats.org/officeDocument/2006/relationships/hyperlink" Target="https://babysark.threadless.com/" TargetMode="External"/><Relationship Id="rId75" Type="http://schemas.openxmlformats.org/officeDocument/2006/relationships/hyperlink" Target="https://linktr.ee/asmrebecca" TargetMode="External"/><Relationship Id="rId1765" Type="http://schemas.openxmlformats.org/officeDocument/2006/relationships/hyperlink" Target="http://skiingcreed.com" TargetMode="External"/><Relationship Id="rId74" Type="http://schemas.openxmlformats.org/officeDocument/2006/relationships/hyperlink" Target="https://youtube.com/@raccoonasmr1?si=GomhHC_KzP5FnXlJ" TargetMode="External"/><Relationship Id="rId1766" Type="http://schemas.openxmlformats.org/officeDocument/2006/relationships/hyperlink" Target="https://skiingiseasy.com" TargetMode="External"/><Relationship Id="rId77" Type="http://schemas.openxmlformats.org/officeDocument/2006/relationships/hyperlink" Target="https://beacons.ai/sleepasmrtist" TargetMode="External"/><Relationship Id="rId1767" Type="http://schemas.openxmlformats.org/officeDocument/2006/relationships/hyperlink" Target="http://t.me/Skiingod" TargetMode="External"/><Relationship Id="rId76" Type="http://schemas.openxmlformats.org/officeDocument/2006/relationships/hyperlink" Target="http://linktr.ee/haleygutz" TargetMode="External"/><Relationship Id="rId1768" Type="http://schemas.openxmlformats.org/officeDocument/2006/relationships/hyperlink" Target="https://preferredsporting.com/collections/ski-snowboard?fbclid=PAZnRzaAMpN0NleHRuA2FlbQIxMQABpuFXzLBC4BxPeXDH858qJV2W4K7nDVsODR4qphMCrOkyF60tz_RjSCVwTQ_aem_9DyWMbyH_Lwgssh0Kq606g" TargetMode="External"/><Relationship Id="rId79" Type="http://schemas.openxmlformats.org/officeDocument/2006/relationships/hyperlink" Target="https://linktr.ee/whisperingwillowasmr?utm_source=linktree_profile_share&amp;ltsid=a6d612e2-96b3-418e-ace6-1f304165fb4c" TargetMode="External"/><Relationship Id="rId1769" Type="http://schemas.openxmlformats.org/officeDocument/2006/relationships/hyperlink" Target="http://dreamglowslime.com/" TargetMode="External"/><Relationship Id="rId78" Type="http://schemas.openxmlformats.org/officeDocument/2006/relationships/hyperlink" Target="https://www.youtube.com/channel/UCKJ372LK4er3akRX_3dNF0w?app=desktop" TargetMode="External"/><Relationship Id="rId71" Type="http://schemas.openxmlformats.org/officeDocument/2006/relationships/hyperlink" Target="https://www.tiktok.com/@kevin.asmrytb_" TargetMode="External"/><Relationship Id="rId70" Type="http://schemas.openxmlformats.org/officeDocument/2006/relationships/hyperlink" Target="https://linktr.ee/jojo_asmr" TargetMode="External"/><Relationship Id="rId1760" Type="http://schemas.openxmlformats.org/officeDocument/2006/relationships/hyperlink" Target="https://patreon.com/sketchingscottie" TargetMode="External"/><Relationship Id="rId1761" Type="http://schemas.openxmlformats.org/officeDocument/2006/relationships/hyperlink" Target="https://lineskis.com/en-ca/blog/p/swerve-line-skis-ontario-beaver-valley-ski-club?fbclid=PAZXh0bgNhZW0CMTEAAafMxJa0ABMFD1pQjsfSZxuscM0Z4I2xGja8t12cYu9YTNEYEDu5FpiotbpzYw_aem_BvFMdZDiIRuIh-MwUSMcIQ" TargetMode="External"/><Relationship Id="rId1762" Type="http://schemas.openxmlformats.org/officeDocument/2006/relationships/hyperlink" Target="https://linktr.ee/newschoolers" TargetMode="External"/><Relationship Id="rId62" Type="http://schemas.openxmlformats.org/officeDocument/2006/relationships/hyperlink" Target="https://yourdigitalagency.gumroad.com/l/ChatGPT-Prompts-Handbook" TargetMode="External"/><Relationship Id="rId1312" Type="http://schemas.openxmlformats.org/officeDocument/2006/relationships/hyperlink" Target="https://linktr.ee/katiesbliss" TargetMode="External"/><Relationship Id="rId1796" Type="http://schemas.openxmlformats.org/officeDocument/2006/relationships/hyperlink" Target="https://igli.me/Bestsmoothies_weightloss" TargetMode="External"/><Relationship Id="rId61" Type="http://schemas.openxmlformats.org/officeDocument/2006/relationships/hyperlink" Target="https://www.powerfulai.tools/" TargetMode="External"/><Relationship Id="rId1313" Type="http://schemas.openxmlformats.org/officeDocument/2006/relationships/hyperlink" Target="https://linktr.ee/mom.lifetips" TargetMode="External"/><Relationship Id="rId1797" Type="http://schemas.openxmlformats.org/officeDocument/2006/relationships/hyperlink" Target="https://open.spotify.com/track/78THBdJTifwtrSkeW7Cv5I?si=NRlUlx2_RxGmD12R3IKSXQ&amp;context=spotify%3Aplaylist%3A3y72OGrXeAy8mgj74eMiK5" TargetMode="External"/><Relationship Id="rId64" Type="http://schemas.openxmlformats.org/officeDocument/2006/relationships/hyperlink" Target="http://instagram.com/slime" TargetMode="External"/><Relationship Id="rId1314" Type="http://schemas.openxmlformats.org/officeDocument/2006/relationships/hyperlink" Target="https://substack.com/@breakfastbeforechaoss" TargetMode="External"/><Relationship Id="rId1798" Type="http://schemas.openxmlformats.org/officeDocument/2006/relationships/hyperlink" Target="http://link.me/smoothie_spot" TargetMode="External"/><Relationship Id="rId63" Type="http://schemas.openxmlformats.org/officeDocument/2006/relationships/hyperlink" Target="https://taplink.cc/giraf_art" TargetMode="External"/><Relationship Id="rId1315" Type="http://schemas.openxmlformats.org/officeDocument/2006/relationships/hyperlink" Target="https://mymorningroutine.com/book/" TargetMode="External"/><Relationship Id="rId1799" Type="http://schemas.openxmlformats.org/officeDocument/2006/relationships/hyperlink" Target="https://www.tolivesmoothies.com/" TargetMode="External"/><Relationship Id="rId66" Type="http://schemas.openxmlformats.org/officeDocument/2006/relationships/hyperlink" Target="https://linktr.ee/asmrjade" TargetMode="External"/><Relationship Id="rId1316" Type="http://schemas.openxmlformats.org/officeDocument/2006/relationships/hyperlink" Target="https://linktr.ee/whatsyourroutine" TargetMode="External"/><Relationship Id="rId65" Type="http://schemas.openxmlformats.org/officeDocument/2006/relationships/hyperlink" Target="https://youtube.com/@asmra9?si=RIUFyNAJYo0jtKZy" TargetMode="External"/><Relationship Id="rId1317" Type="http://schemas.openxmlformats.org/officeDocument/2006/relationships/hyperlink" Target="https://musclenation.org/pages/mens?utm_source=ig&amp;utm_medium=organic&amp;utm_campaign=mn-mens-story-link-03-23" TargetMode="External"/><Relationship Id="rId68" Type="http://schemas.openxmlformats.org/officeDocument/2006/relationships/hyperlink" Target="https://beacons.ai/dajaasmr" TargetMode="External"/><Relationship Id="rId1318" Type="http://schemas.openxmlformats.org/officeDocument/2006/relationships/hyperlink" Target="https://beacons.ai/luxurcore" TargetMode="External"/><Relationship Id="rId67" Type="http://schemas.openxmlformats.org/officeDocument/2006/relationships/hyperlink" Target="https://linktr.ee/celainesasmr" TargetMode="External"/><Relationship Id="rId1319" Type="http://schemas.openxmlformats.org/officeDocument/2006/relationships/hyperlink" Target="https://youtube.com/@MAKAVELIMOTIVATION" TargetMode="External"/><Relationship Id="rId729" Type="http://schemas.openxmlformats.org/officeDocument/2006/relationships/hyperlink" Target="http://wa.me/5565996423526" TargetMode="External"/><Relationship Id="rId728" Type="http://schemas.openxmlformats.org/officeDocument/2006/relationships/hyperlink" Target="http://futuretech.institute/" TargetMode="External"/><Relationship Id="rId60" Type="http://schemas.openxmlformats.org/officeDocument/2006/relationships/hyperlink" Target="http://power.ai" TargetMode="External"/><Relationship Id="rId723" Type="http://schemas.openxmlformats.org/officeDocument/2006/relationships/hyperlink" Target="https://craftnamesign.com/?s=Animal&amp;post_type=product" TargetMode="External"/><Relationship Id="rId722" Type="http://schemas.openxmlformats.org/officeDocument/2006/relationships/hyperlink" Target="https://direct.me/funnysaleman" TargetMode="External"/><Relationship Id="rId721" Type="http://schemas.openxmlformats.org/officeDocument/2006/relationships/hyperlink" Target="http://chatlon.com/landing" TargetMode="External"/><Relationship Id="rId720" Type="http://schemas.openxmlformats.org/officeDocument/2006/relationships/hyperlink" Target="https://vk.com/funnyjobs" TargetMode="External"/><Relationship Id="rId727" Type="http://schemas.openxmlformats.org/officeDocument/2006/relationships/hyperlink" Target="http://wa.me/994553068468" TargetMode="External"/><Relationship Id="rId726" Type="http://schemas.openxmlformats.org/officeDocument/2006/relationships/hyperlink" Target="https://youtu.be/Px8Lmfu8bSU" TargetMode="External"/><Relationship Id="rId725" Type="http://schemas.openxmlformats.org/officeDocument/2006/relationships/hyperlink" Target="http://www.tiktok.com/@funny_animals_lol8" TargetMode="External"/><Relationship Id="rId724" Type="http://schemas.openxmlformats.org/officeDocument/2006/relationships/hyperlink" Target="https://linktr.ee/funnyanimalshub" TargetMode="External"/><Relationship Id="rId69" Type="http://schemas.openxmlformats.org/officeDocument/2006/relationships/hyperlink" Target="http://www.tiktok.com/@ivybasmr" TargetMode="External"/><Relationship Id="rId1790" Type="http://schemas.openxmlformats.org/officeDocument/2006/relationships/hyperlink" Target="https://wa.link/7uj0io" TargetMode="External"/><Relationship Id="rId1791" Type="http://schemas.openxmlformats.org/officeDocument/2006/relationships/hyperlink" Target="https://linktr.ee/dentrosuperfoods" TargetMode="External"/><Relationship Id="rId1792" Type="http://schemas.openxmlformats.org/officeDocument/2006/relationships/hyperlink" Target="https://novastores.store/products/original-niacinamide-whitening-toothpaste" TargetMode="External"/><Relationship Id="rId1793" Type="http://schemas.openxmlformats.org/officeDocument/2006/relationships/hyperlink" Target="https://amzn.to/4kFbh53" TargetMode="External"/><Relationship Id="rId1310" Type="http://schemas.openxmlformats.org/officeDocument/2006/relationships/hyperlink" Target="https://msha.ke/themomroom" TargetMode="External"/><Relationship Id="rId1794" Type="http://schemas.openxmlformats.org/officeDocument/2006/relationships/hyperlink" Target="http://wa.me/584145275578" TargetMode="External"/><Relationship Id="rId1311" Type="http://schemas.openxmlformats.org/officeDocument/2006/relationships/hyperlink" Target="https://tapto.shop/imdaria-pr" TargetMode="External"/><Relationship Id="rId1795" Type="http://schemas.openxmlformats.org/officeDocument/2006/relationships/hyperlink" Target="https://tipshealthforyou.com/smoothieclub" TargetMode="External"/><Relationship Id="rId51" Type="http://schemas.openxmlformats.org/officeDocument/2006/relationships/hyperlink" Target="http://uncoverai.beehiiv.com/subscribe" TargetMode="External"/><Relationship Id="rId1301" Type="http://schemas.openxmlformats.org/officeDocument/2006/relationships/hyperlink" Target="https://amzn.to/3xG7xxI" TargetMode="External"/><Relationship Id="rId1785" Type="http://schemas.openxmlformats.org/officeDocument/2006/relationships/hyperlink" Target="http://www.smartechom.com" TargetMode="External"/><Relationship Id="rId50" Type="http://schemas.openxmlformats.org/officeDocument/2006/relationships/hyperlink" Target="https://youtu.be/OhI005_aJkA?si=ygm6YkZicdKVSOqw" TargetMode="External"/><Relationship Id="rId1302" Type="http://schemas.openxmlformats.org/officeDocument/2006/relationships/hyperlink" Target="https://momlife.commercesuite.com.br" TargetMode="External"/><Relationship Id="rId1786" Type="http://schemas.openxmlformats.org/officeDocument/2006/relationships/hyperlink" Target="https://ozyre.com/products/high-pressure-toilet-plunger?fbclid=PAQ0xDSwMn_5BleHRuA2FlbQIxMQABp2RZNRQPoLAGi-IlSvYyAz891vivthJvyHd3LdVWC_1iFAq88-YsDKOXZ8fW_aem_HGESqQ1QlPpkMzcS6PrrXw" TargetMode="External"/><Relationship Id="rId53" Type="http://schemas.openxmlformats.org/officeDocument/2006/relationships/hyperlink" Target="http://artificialintelligencenews.in" TargetMode="External"/><Relationship Id="rId1303" Type="http://schemas.openxmlformats.org/officeDocument/2006/relationships/hyperlink" Target="https://linktr.ee/momlife_comics" TargetMode="External"/><Relationship Id="rId1787" Type="http://schemas.openxmlformats.org/officeDocument/2006/relationships/hyperlink" Target="https://maps.app.goo.gl/phXNbdrdxoUrNecd7?g_st=com.google.maps.preview.copy" TargetMode="External"/><Relationship Id="rId52" Type="http://schemas.openxmlformats.org/officeDocument/2006/relationships/hyperlink" Target="https://shikhars-newsletter-bacc9d.beehiiv.com/subscribe" TargetMode="External"/><Relationship Id="rId1304" Type="http://schemas.openxmlformats.org/officeDocument/2006/relationships/hyperlink" Target="https://www.tiktok.com/@momlife.rehani?_t=ZT-8xpJH87ZzKg&amp;_r=1" TargetMode="External"/><Relationship Id="rId1788" Type="http://schemas.openxmlformats.org/officeDocument/2006/relationships/hyperlink" Target="http://smarttech.ao" TargetMode="External"/><Relationship Id="rId55" Type="http://schemas.openxmlformats.org/officeDocument/2006/relationships/hyperlink" Target="https://t.me/artificialintelligenceWing" TargetMode="External"/><Relationship Id="rId1305" Type="http://schemas.openxmlformats.org/officeDocument/2006/relationships/hyperlink" Target="https://beacons.ai/momliferesources" TargetMode="External"/><Relationship Id="rId1789" Type="http://schemas.openxmlformats.org/officeDocument/2006/relationships/hyperlink" Target="http://smarttech.ao" TargetMode="External"/><Relationship Id="rId54" Type="http://schemas.openxmlformats.org/officeDocument/2006/relationships/hyperlink" Target="https://artificial-intelligencee.beehiiv.com/subscribe" TargetMode="External"/><Relationship Id="rId1306" Type="http://schemas.openxmlformats.org/officeDocument/2006/relationships/hyperlink" Target="https://momlifewithlaura-shop.fourthwall.com/" TargetMode="External"/><Relationship Id="rId57" Type="http://schemas.openxmlformats.org/officeDocument/2006/relationships/hyperlink" Target="https://dailychatgpt.beehiiv.com/c/toolkit" TargetMode="External"/><Relationship Id="rId1307" Type="http://schemas.openxmlformats.org/officeDocument/2006/relationships/hyperlink" Target="https://linktr.ee/momlifewithmara" TargetMode="External"/><Relationship Id="rId56" Type="http://schemas.openxmlformats.org/officeDocument/2006/relationships/hyperlink" Target="http://chatgptricks.store" TargetMode="External"/><Relationship Id="rId1308" Type="http://schemas.openxmlformats.org/officeDocument/2006/relationships/hyperlink" Target="http://momlifeyo.com/" TargetMode="External"/><Relationship Id="rId1309" Type="http://schemas.openxmlformats.org/officeDocument/2006/relationships/hyperlink" Target="https://linktr.ee/shawnaaaaa" TargetMode="External"/><Relationship Id="rId719" Type="http://schemas.openxmlformats.org/officeDocument/2006/relationships/hyperlink" Target="http://funny.jobs" TargetMode="External"/><Relationship Id="rId718" Type="http://schemas.openxmlformats.org/officeDocument/2006/relationships/hyperlink" Target="http://stake.com/?c=fhv" TargetMode="External"/><Relationship Id="rId717" Type="http://schemas.openxmlformats.org/officeDocument/2006/relationships/hyperlink" Target="https://bit.ly/4d57iwk" TargetMode="External"/><Relationship Id="rId712" Type="http://schemas.openxmlformats.org/officeDocument/2006/relationships/hyperlink" Target="https://dzenforest.by/yogatheraphycamp2" TargetMode="External"/><Relationship Id="rId711" Type="http://schemas.openxmlformats.org/officeDocument/2006/relationships/hyperlink" Target="https://bio.site/nodietclub" TargetMode="External"/><Relationship Id="rId710" Type="http://schemas.openxmlformats.org/officeDocument/2006/relationships/hyperlink" Target="https://link.inpock.co.kr/foodtour" TargetMode="External"/><Relationship Id="rId716" Type="http://schemas.openxmlformats.org/officeDocument/2006/relationships/hyperlink" Target="https://flow.page/frenchcuisine" TargetMode="External"/><Relationship Id="rId715" Type="http://schemas.openxmlformats.org/officeDocument/2006/relationships/hyperlink" Target="https://www.nottinghamforest.co.uk" TargetMode="External"/><Relationship Id="rId714" Type="http://schemas.openxmlformats.org/officeDocument/2006/relationships/hyperlink" Target="https://t.me/basa_forest_park95" TargetMode="External"/><Relationship Id="rId713" Type="http://schemas.openxmlformats.org/officeDocument/2006/relationships/hyperlink" Target="https://www.forestinkclothing.com" TargetMode="External"/><Relationship Id="rId59" Type="http://schemas.openxmlformats.org/officeDocument/2006/relationships/hyperlink" Target="https://getintoai.beehiiv.com/" TargetMode="External"/><Relationship Id="rId58" Type="http://schemas.openxmlformats.org/officeDocument/2006/relationships/hyperlink" Target="http://eluna.ai" TargetMode="External"/><Relationship Id="rId1780" Type="http://schemas.openxmlformats.org/officeDocument/2006/relationships/hyperlink" Target="https://smarthome1.vatrin.app" TargetMode="External"/><Relationship Id="rId1781" Type="http://schemas.openxmlformats.org/officeDocument/2006/relationships/hyperlink" Target="https://apea.asia/philippines/hall-of-fame-ph-2024/fast-enterprise-ph-2024/smart-home-philippines-2024/" TargetMode="External"/><Relationship Id="rId1782" Type="http://schemas.openxmlformats.org/officeDocument/2006/relationships/hyperlink" Target="http://linktr.ee/smarthomees" TargetMode="External"/><Relationship Id="rId1783" Type="http://schemas.openxmlformats.org/officeDocument/2006/relationships/hyperlink" Target="https://www.kurugadgets.com" TargetMode="External"/><Relationship Id="rId1300" Type="http://schemas.openxmlformats.org/officeDocument/2006/relationships/hyperlink" Target="https://l.markable.ai/baileyschwartz" TargetMode="External"/><Relationship Id="rId1784" Type="http://schemas.openxmlformats.org/officeDocument/2006/relationships/hyperlink" Target="https://youtube.com/@SMARTHOMEz?si=j-xfVXUcy0QhZbpr" TargetMode="External"/><Relationship Id="rId349" Type="http://schemas.openxmlformats.org/officeDocument/2006/relationships/hyperlink" Target="https://youtube.com/channel/UCgrdZm9Nx3rCj8WenIoSIqw" TargetMode="External"/><Relationship Id="rId348" Type="http://schemas.openxmlformats.org/officeDocument/2006/relationships/hyperlink" Target="http://slamsocial.biz" TargetMode="External"/><Relationship Id="rId347" Type="http://schemas.openxmlformats.org/officeDocument/2006/relationships/hyperlink" Target="https://comedypass.online/comedy-restobar/" TargetMode="External"/><Relationship Id="rId346" Type="http://schemas.openxmlformats.org/officeDocument/2006/relationships/hyperlink" Target="http://comedy.com/" TargetMode="External"/><Relationship Id="rId341" Type="http://schemas.openxmlformats.org/officeDocument/2006/relationships/hyperlink" Target="https://linktr.ee/comedycentral" TargetMode="External"/><Relationship Id="rId340" Type="http://schemas.openxmlformats.org/officeDocument/2006/relationships/hyperlink" Target="https://linktr.ee/comedybyday" TargetMode="External"/><Relationship Id="rId345" Type="http://schemas.openxmlformats.org/officeDocument/2006/relationships/hyperlink" Target="http://comedy.com" TargetMode="External"/><Relationship Id="rId344" Type="http://schemas.openxmlformats.org/officeDocument/2006/relationships/hyperlink" Target="http://comedy.com" TargetMode="External"/><Relationship Id="rId343" Type="http://schemas.openxmlformats.org/officeDocument/2006/relationships/hyperlink" Target="https://t.me/comedyclubru" TargetMode="External"/><Relationship Id="rId342" Type="http://schemas.openxmlformats.org/officeDocument/2006/relationships/hyperlink" Target="https://bit.ly/CCSnacks" TargetMode="External"/><Relationship Id="rId338" Type="http://schemas.openxmlformats.org/officeDocument/2006/relationships/hyperlink" Target="http://yourcoffeedude.com" TargetMode="External"/><Relationship Id="rId337" Type="http://schemas.openxmlformats.org/officeDocument/2006/relationships/hyperlink" Target="http://yourcoffeedude.com" TargetMode="External"/><Relationship Id="rId336" Type="http://schemas.openxmlformats.org/officeDocument/2006/relationships/hyperlink" Target="https://stockers.gr/p/srenter-gtchs/" TargetMode="External"/><Relationship Id="rId335" Type="http://schemas.openxmlformats.org/officeDocument/2006/relationships/hyperlink" Target="https://community.admitone.com/the-coffee-party-festival-end-of-summer-pour-2025-08-30/F2T3D2" TargetMode="External"/><Relationship Id="rId339" Type="http://schemas.openxmlformats.org/officeDocument/2006/relationships/hyperlink" Target="https://bit.ly/BIGOAppFH" TargetMode="External"/><Relationship Id="rId330" Type="http://schemas.openxmlformats.org/officeDocument/2006/relationships/hyperlink" Target="https://radio.domesticdaydreams.com/links" TargetMode="External"/><Relationship Id="rId334" Type="http://schemas.openxmlformats.org/officeDocument/2006/relationships/hyperlink" Target="https://www.perfectdailygrind.com/" TargetMode="External"/><Relationship Id="rId333" Type="http://schemas.openxmlformats.org/officeDocument/2006/relationships/hyperlink" Target="http://coffeehouse.am" TargetMode="External"/><Relationship Id="rId332" Type="http://schemas.openxmlformats.org/officeDocument/2006/relationships/hyperlink" Target="https://linktr.ee/blackdropcoffee" TargetMode="External"/><Relationship Id="rId331" Type="http://schemas.openxmlformats.org/officeDocument/2006/relationships/hyperlink" Target="https://linkin.bio/jillcomesclean" TargetMode="External"/><Relationship Id="rId370" Type="http://schemas.openxmlformats.org/officeDocument/2006/relationships/hyperlink" Target="http://disneyplus.com/TSTheErasTourTaylorsVersion" TargetMode="External"/><Relationship Id="rId369" Type="http://schemas.openxmlformats.org/officeDocument/2006/relationships/hyperlink" Target="https://linktr.ee/sdconcerts" TargetMode="External"/><Relationship Id="rId368" Type="http://schemas.openxmlformats.org/officeDocument/2006/relationships/hyperlink" Target="http://livemu.sc/instagram" TargetMode="External"/><Relationship Id="rId363" Type="http://schemas.openxmlformats.org/officeDocument/2006/relationships/hyperlink" Target="https://linktr.ee/concertcrap" TargetMode="External"/><Relationship Id="rId362" Type="http://schemas.openxmlformats.org/officeDocument/2006/relationships/hyperlink" Target="https://music.apple.com/us/station/apple-music-1/ra.978194965" TargetMode="External"/><Relationship Id="rId361" Type="http://schemas.openxmlformats.org/officeDocument/2006/relationships/hyperlink" Target="https://linktr.ee/CinemainConcert" TargetMode="External"/><Relationship Id="rId360" Type="http://schemas.openxmlformats.org/officeDocument/2006/relationships/hyperlink" Target="https://fvrup.com/concertsbycandlelight?tab=ig" TargetMode="External"/><Relationship Id="rId367" Type="http://schemas.openxmlformats.org/officeDocument/2006/relationships/hyperlink" Target="http://divercityconcerts.com" TargetMode="External"/><Relationship Id="rId366" Type="http://schemas.openxmlformats.org/officeDocument/2006/relationships/hyperlink" Target="http://iranconcert.com/" TargetMode="External"/><Relationship Id="rId365" Type="http://schemas.openxmlformats.org/officeDocument/2006/relationships/hyperlink" Target="https://linktr.ee/concertmusicfestival" TargetMode="External"/><Relationship Id="rId364" Type="http://schemas.openxmlformats.org/officeDocument/2006/relationships/hyperlink" Target="https://t.me/ConcertiRap" TargetMode="External"/><Relationship Id="rId95" Type="http://schemas.openxmlformats.org/officeDocument/2006/relationships/hyperlink" Target="https://msha.ke/badvinton" TargetMode="External"/><Relationship Id="rId94" Type="http://schemas.openxmlformats.org/officeDocument/2006/relationships/hyperlink" Target="https://whatsapp.com/channel/0029VbArWCOG3R3ihcLqYP1n" TargetMode="External"/><Relationship Id="rId97" Type="http://schemas.openxmlformats.org/officeDocument/2006/relationships/hyperlink" Target="https://linktr.ee/sgbadminton" TargetMode="External"/><Relationship Id="rId96" Type="http://schemas.openxmlformats.org/officeDocument/2006/relationships/hyperlink" Target="https://www.fuzions-badminton.com/fullbadfuzions" TargetMode="External"/><Relationship Id="rId99" Type="http://schemas.openxmlformats.org/officeDocument/2006/relationships/hyperlink" Target="https://beacons.ai/bakeitwithmel" TargetMode="External"/><Relationship Id="rId98" Type="http://schemas.openxmlformats.org/officeDocument/2006/relationships/hyperlink" Target="https://www.thebadmintonzone.com" TargetMode="External"/><Relationship Id="rId91" Type="http://schemas.openxmlformats.org/officeDocument/2006/relationships/hyperlink" Target="http://linktr.ee/theworldbeforethirty" TargetMode="External"/><Relationship Id="rId90" Type="http://schemas.openxmlformats.org/officeDocument/2006/relationships/hyperlink" Target="https://thehungryhiker.myclickfunnels.com/bio-page" TargetMode="External"/><Relationship Id="rId93" Type="http://schemas.openxmlformats.org/officeDocument/2006/relationships/hyperlink" Target="https://youtube.com/@Coachkamalshuttler" TargetMode="External"/><Relationship Id="rId92" Type="http://schemas.openxmlformats.org/officeDocument/2006/relationships/hyperlink" Target="https://yt.openinapp.co/a52fl" TargetMode="External"/><Relationship Id="rId359" Type="http://schemas.openxmlformats.org/officeDocument/2006/relationships/hyperlink" Target="http://c4concerthouse.com" TargetMode="External"/><Relationship Id="rId358" Type="http://schemas.openxmlformats.org/officeDocument/2006/relationships/hyperlink" Target="https://linktr.ee/abbeyroad.concertbar" TargetMode="External"/><Relationship Id="rId357" Type="http://schemas.openxmlformats.org/officeDocument/2006/relationships/hyperlink" Target="https://comfortfoodrecipes.net" TargetMode="External"/><Relationship Id="rId352" Type="http://schemas.openxmlformats.org/officeDocument/2006/relationships/hyperlink" Target="https://youtu.be/_gvMJki5sbY" TargetMode="External"/><Relationship Id="rId351" Type="http://schemas.openxmlformats.org/officeDocument/2006/relationships/hyperlink" Target="http://polentacomedy.com.br" TargetMode="External"/><Relationship Id="rId350" Type="http://schemas.openxmlformats.org/officeDocument/2006/relationships/hyperlink" Target="http://www.rickeysmiley.com/" TargetMode="External"/><Relationship Id="rId356" Type="http://schemas.openxmlformats.org/officeDocument/2006/relationships/hyperlink" Target="https://www.youtube.com/@MyComfortFood" TargetMode="External"/><Relationship Id="rId355" Type="http://schemas.openxmlformats.org/officeDocument/2006/relationships/hyperlink" Target="http://comfortfoodieshop.com" TargetMode="External"/><Relationship Id="rId354" Type="http://schemas.openxmlformats.org/officeDocument/2006/relationships/hyperlink" Target="https://youtube.com/@comedy_bites01" TargetMode="External"/><Relationship Id="rId353" Type="http://schemas.openxmlformats.org/officeDocument/2006/relationships/hyperlink" Target="https://thecomedystore.com/links/" TargetMode="External"/><Relationship Id="rId1378" Type="http://schemas.openxmlformats.org/officeDocument/2006/relationships/hyperlink" Target="https://linktr.ee/nftyarabia" TargetMode="External"/><Relationship Id="rId1379" Type="http://schemas.openxmlformats.org/officeDocument/2006/relationships/hyperlink" Target="http://sea.media/wallpapers" TargetMode="External"/><Relationship Id="rId305" Type="http://schemas.openxmlformats.org/officeDocument/2006/relationships/hyperlink" Target="https://lifestylebyps.com/products/free-ebook-build-your-capsule-wardrobe" TargetMode="External"/><Relationship Id="rId789" Type="http://schemas.openxmlformats.org/officeDocument/2006/relationships/hyperlink" Target="https://linktr.ee/life.w.bex" TargetMode="External"/><Relationship Id="rId304" Type="http://schemas.openxmlformats.org/officeDocument/2006/relationships/hyperlink" Target="https://www.vanlifezone.com/links" TargetMode="External"/><Relationship Id="rId788" Type="http://schemas.openxmlformats.org/officeDocument/2006/relationships/hyperlink" Target="http://www.tiktok.com/@grwm._isaaa" TargetMode="External"/><Relationship Id="rId303" Type="http://schemas.openxmlformats.org/officeDocument/2006/relationships/hyperlink" Target="https://www.youtube.com/@ryu_travell" TargetMode="External"/><Relationship Id="rId787" Type="http://schemas.openxmlformats.org/officeDocument/2006/relationships/hyperlink" Target="https://forms.gle/v86EvYPitWBVNw1E6" TargetMode="External"/><Relationship Id="rId302" Type="http://schemas.openxmlformats.org/officeDocument/2006/relationships/hyperlink" Target="http://athotel.com/l/Hotel-deals" TargetMode="External"/><Relationship Id="rId786" Type="http://schemas.openxmlformats.org/officeDocument/2006/relationships/hyperlink" Target="http://pornograffiti.xxx" TargetMode="External"/><Relationship Id="rId309" Type="http://schemas.openxmlformats.org/officeDocument/2006/relationships/hyperlink" Target="https://www.shopltk.com/explore/stylewithmechristamarie" TargetMode="External"/><Relationship Id="rId308" Type="http://schemas.openxmlformats.org/officeDocument/2006/relationships/hyperlink" Target="https://larytales.com/shop/" TargetMode="External"/><Relationship Id="rId307" Type="http://schemas.openxmlformats.org/officeDocument/2006/relationships/hyperlink" Target="https://capsulewd.com" TargetMode="External"/><Relationship Id="rId306" Type="http://schemas.openxmlformats.org/officeDocument/2006/relationships/hyperlink" Target="https://www.patreon.com/CapsuleWardrobeCollective" TargetMode="External"/><Relationship Id="rId781" Type="http://schemas.openxmlformats.org/officeDocument/2006/relationships/hyperlink" Target="https://www.etsy.com/shop/VanminhGraffiti" TargetMode="External"/><Relationship Id="rId1370" Type="http://schemas.openxmlformats.org/officeDocument/2006/relationships/hyperlink" Target="https://sprout.link/nyuniversity" TargetMode="External"/><Relationship Id="rId780" Type="http://schemas.openxmlformats.org/officeDocument/2006/relationships/hyperlink" Target="https://graffitialphabet.shop" TargetMode="External"/><Relationship Id="rId1371" Type="http://schemas.openxmlformats.org/officeDocument/2006/relationships/hyperlink" Target="http://supreme.com" TargetMode="External"/><Relationship Id="rId1372" Type="http://schemas.openxmlformats.org/officeDocument/2006/relationships/hyperlink" Target="https://linktr.ee/newyorkyankees" TargetMode="External"/><Relationship Id="rId1373" Type="http://schemas.openxmlformats.org/officeDocument/2006/relationships/hyperlink" Target="http://nft.xyz" TargetMode="External"/><Relationship Id="rId301" Type="http://schemas.openxmlformats.org/officeDocument/2006/relationships/hyperlink" Target="http://www.haileyoutside.com/my-links" TargetMode="External"/><Relationship Id="rId785" Type="http://schemas.openxmlformats.org/officeDocument/2006/relationships/hyperlink" Target="http://passivecrime.com" TargetMode="External"/><Relationship Id="rId1374" Type="http://schemas.openxmlformats.org/officeDocument/2006/relationships/hyperlink" Target="https://linktr.ee/nft_community" TargetMode="External"/><Relationship Id="rId300" Type="http://schemas.openxmlformats.org/officeDocument/2006/relationships/hyperlink" Target="https://linktr.ee/campingworldstadium" TargetMode="External"/><Relationship Id="rId784" Type="http://schemas.openxmlformats.org/officeDocument/2006/relationships/hyperlink" Target="https://linktr.ee/museumofgraffiti" TargetMode="External"/><Relationship Id="rId1375" Type="http://schemas.openxmlformats.org/officeDocument/2006/relationships/hyperlink" Target="http://nftevents.online" TargetMode="External"/><Relationship Id="rId783" Type="http://schemas.openxmlformats.org/officeDocument/2006/relationships/hyperlink" Target="https://bdifferent.clothing" TargetMode="External"/><Relationship Id="rId1376" Type="http://schemas.openxmlformats.org/officeDocument/2006/relationships/hyperlink" Target="https://lnk.bio/NFT-MAGAZINE.COM" TargetMode="External"/><Relationship Id="rId782" Type="http://schemas.openxmlformats.org/officeDocument/2006/relationships/hyperlink" Target="http://www.youtube.com/@GraffitiWildstyle" TargetMode="External"/><Relationship Id="rId1377" Type="http://schemas.openxmlformats.org/officeDocument/2006/relationships/hyperlink" Target="http://nftworld.xyz" TargetMode="External"/><Relationship Id="rId1367" Type="http://schemas.openxmlformats.org/officeDocument/2006/relationships/hyperlink" Target="http://likeshop.me/nypost" TargetMode="External"/><Relationship Id="rId1368" Type="http://schemas.openxmlformats.org/officeDocument/2006/relationships/hyperlink" Target="https://www.nhl.com/rangers/" TargetMode="External"/><Relationship Id="rId1369" Type="http://schemas.openxmlformats.org/officeDocument/2006/relationships/hyperlink" Target="http://nytimes.com/instagram" TargetMode="External"/><Relationship Id="rId778" Type="http://schemas.openxmlformats.org/officeDocument/2006/relationships/hyperlink" Target="https://ziregolf.com" TargetMode="External"/><Relationship Id="rId777" Type="http://schemas.openxmlformats.org/officeDocument/2006/relationships/hyperlink" Target="http://sprout.link/usga" TargetMode="External"/><Relationship Id="rId776" Type="http://schemas.openxmlformats.org/officeDocument/2006/relationships/hyperlink" Target="https://youtube.com/@golflifecrew" TargetMode="External"/><Relationship Id="rId775" Type="http://schemas.openxmlformats.org/officeDocument/2006/relationships/hyperlink" Target="http://tittiesgolf.co/" TargetMode="External"/><Relationship Id="rId779" Type="http://schemas.openxmlformats.org/officeDocument/2006/relationships/hyperlink" Target="https://dirtyhandssupply.com" TargetMode="External"/><Relationship Id="rId770" Type="http://schemas.openxmlformats.org/officeDocument/2006/relationships/hyperlink" Target="https://linktr.ee/golfnewzealand" TargetMode="External"/><Relationship Id="rId1360" Type="http://schemas.openxmlformats.org/officeDocument/2006/relationships/hyperlink" Target="https://www.eventbrite.com/e/7th-annual-local-ford-classic-tickets-1358987882339?aff=ebdsshcopyurl&amp;utm-campaign=social&amp;utm-content=attendeeshare&amp;utm-medium=discovery" TargetMode="External"/><Relationship Id="rId1361" Type="http://schemas.openxmlformats.org/officeDocument/2006/relationships/hyperlink" Target="http://newyorker.com/instagram" TargetMode="External"/><Relationship Id="rId1362" Type="http://schemas.openxmlformats.org/officeDocument/2006/relationships/hyperlink" Target="https://linktr.ee/nycbucketlist" TargetMode="External"/><Relationship Id="rId774" Type="http://schemas.openxmlformats.org/officeDocument/2006/relationships/hyperlink" Target="http://skysports.com/golf" TargetMode="External"/><Relationship Id="rId1363" Type="http://schemas.openxmlformats.org/officeDocument/2006/relationships/hyperlink" Target="http://nygnt.co/m/bio" TargetMode="External"/><Relationship Id="rId773" Type="http://schemas.openxmlformats.org/officeDocument/2006/relationships/hyperlink" Target="http://golflefleur.com" TargetMode="External"/><Relationship Id="rId1364" Type="http://schemas.openxmlformats.org/officeDocument/2006/relationships/hyperlink" Target="https://www.newyorkjets.com/tickets/season-tickets/" TargetMode="External"/><Relationship Id="rId772" Type="http://schemas.openxmlformats.org/officeDocument/2006/relationships/hyperlink" Target="http://golfwang.com/" TargetMode="External"/><Relationship Id="rId1365" Type="http://schemas.openxmlformats.org/officeDocument/2006/relationships/hyperlink" Target="https://linktr.ee/nyknicks" TargetMode="External"/><Relationship Id="rId771" Type="http://schemas.openxmlformats.org/officeDocument/2006/relationships/hyperlink" Target="https://golfqcoach.com/mentoria/" TargetMode="External"/><Relationship Id="rId1366" Type="http://schemas.openxmlformats.org/officeDocument/2006/relationships/hyperlink" Target="https://likeshop.me/nymag" TargetMode="External"/><Relationship Id="rId327" Type="http://schemas.openxmlformats.org/officeDocument/2006/relationships/hyperlink" Target="https://classicallearner.com" TargetMode="External"/><Relationship Id="rId326" Type="http://schemas.openxmlformats.org/officeDocument/2006/relationships/hyperlink" Target="https://linktr.ee/classicalconversations" TargetMode="External"/><Relationship Id="rId325" Type="http://schemas.openxmlformats.org/officeDocument/2006/relationships/hyperlink" Target="http://ludwig.plus" TargetMode="External"/><Relationship Id="rId324" Type="http://schemas.openxmlformats.org/officeDocument/2006/relationships/hyperlink" Target="https://www.nwchocolate.com/schedule/" TargetMode="External"/><Relationship Id="rId329" Type="http://schemas.openxmlformats.org/officeDocument/2006/relationships/hyperlink" Target="https://www.pilateswithashlea.com/pilateswithashlea-app" TargetMode="External"/><Relationship Id="rId1390" Type="http://schemas.openxmlformats.org/officeDocument/2006/relationships/hyperlink" Target="https://somewhatsimpleliving.com/" TargetMode="External"/><Relationship Id="rId328" Type="http://schemas.openxmlformats.org/officeDocument/2006/relationships/hyperlink" Target="https://music.apple.com/profile/junClassic3512" TargetMode="External"/><Relationship Id="rId1391" Type="http://schemas.openxmlformats.org/officeDocument/2006/relationships/hyperlink" Target="http://www.thatminimalistmom.com/signup" TargetMode="External"/><Relationship Id="rId1392" Type="http://schemas.openxmlformats.org/officeDocument/2006/relationships/hyperlink" Target="https://lnk.bio/Thatorganizedhome" TargetMode="External"/><Relationship Id="rId1393" Type="http://schemas.openxmlformats.org/officeDocument/2006/relationships/hyperlink" Target="http://linktr.ee/trump" TargetMode="External"/><Relationship Id="rId1394" Type="http://schemas.openxmlformats.org/officeDocument/2006/relationships/hyperlink" Target="http://www.oneworldhealthforall.org/" TargetMode="External"/><Relationship Id="rId1395" Type="http://schemas.openxmlformats.org/officeDocument/2006/relationships/hyperlink" Target="https://linktr.ee/alifebetterorganized" TargetMode="External"/><Relationship Id="rId323" Type="http://schemas.openxmlformats.org/officeDocument/2006/relationships/hyperlink" Target="http://linkr.bio/discotecachocolate" TargetMode="External"/><Relationship Id="rId1396" Type="http://schemas.openxmlformats.org/officeDocument/2006/relationships/hyperlink" Target="https://www.amazon.com/shop/organizedandsimplified4u/list/1V01W3C0VL3O2?ref_=aip_sf_list_spv_ofs_mixed_m" TargetMode="External"/><Relationship Id="rId322" Type="http://schemas.openxmlformats.org/officeDocument/2006/relationships/hyperlink" Target="https://9livesstore.com/collections/all" TargetMode="External"/><Relationship Id="rId1397" Type="http://schemas.openxmlformats.org/officeDocument/2006/relationships/hyperlink" Target="https://www.amazon.com/shop/dailyhome_tips" TargetMode="External"/><Relationship Id="rId321" Type="http://schemas.openxmlformats.org/officeDocument/2006/relationships/hyperlink" Target="https://9lives-store.com/products/jumbo-cat-nest" TargetMode="External"/><Relationship Id="rId1398" Type="http://schemas.openxmlformats.org/officeDocument/2006/relationships/hyperlink" Target="https://linktr.ee/simplysortedwithdeaks" TargetMode="External"/><Relationship Id="rId320" Type="http://schemas.openxmlformats.org/officeDocument/2006/relationships/hyperlink" Target="http://instagram.com/dogs_of_world_" TargetMode="External"/><Relationship Id="rId1399" Type="http://schemas.openxmlformats.org/officeDocument/2006/relationships/hyperlink" Target="https://linktr.ee/barstooloutdoors" TargetMode="External"/><Relationship Id="rId1389" Type="http://schemas.openxmlformats.org/officeDocument/2006/relationships/hyperlink" Target="http://www.resetyournest.com/social" TargetMode="External"/><Relationship Id="rId316" Type="http://schemas.openxmlformats.org/officeDocument/2006/relationships/hyperlink" Target="https://linktr.ee/bodegacats" TargetMode="External"/><Relationship Id="rId315" Type="http://schemas.openxmlformats.org/officeDocument/2006/relationships/hyperlink" Target="https://ipb.link/integrated-link-cda" TargetMode="External"/><Relationship Id="rId799" Type="http://schemas.openxmlformats.org/officeDocument/2006/relationships/hyperlink" Target="https://linkin.bio/ig-christieshandbags" TargetMode="External"/><Relationship Id="rId314" Type="http://schemas.openxmlformats.org/officeDocument/2006/relationships/hyperlink" Target="https://linkin.bio/careercontessa" TargetMode="External"/><Relationship Id="rId798" Type="http://schemas.openxmlformats.org/officeDocument/2006/relationships/hyperlink" Target="http://afroyla.com/pages/rise-slay-fund" TargetMode="External"/><Relationship Id="rId313" Type="http://schemas.openxmlformats.org/officeDocument/2006/relationships/hyperlink" Target="https://topmate.io/bishnu_parida/" TargetMode="External"/><Relationship Id="rId797" Type="http://schemas.openxmlformats.org/officeDocument/2006/relationships/hyperlink" Target="https://youtube.com/@oliviachukwu?si=A-QKsP2T5uAKMvJ1" TargetMode="External"/><Relationship Id="rId319" Type="http://schemas.openxmlformats.org/officeDocument/2006/relationships/hyperlink" Target="http://catsofinstagram.com" TargetMode="External"/><Relationship Id="rId318" Type="http://schemas.openxmlformats.org/officeDocument/2006/relationships/hyperlink" Target="https://linktr.ee/Catsofinstagram" TargetMode="External"/><Relationship Id="rId317" Type="http://schemas.openxmlformats.org/officeDocument/2006/relationships/hyperlink" Target="https://zshorten.com/b2Krk" TargetMode="External"/><Relationship Id="rId1380" Type="http://schemas.openxmlformats.org/officeDocument/2006/relationships/hyperlink" Target="http://hootbio.com/innersenseorganicbeauty" TargetMode="External"/><Relationship Id="rId792" Type="http://schemas.openxmlformats.org/officeDocument/2006/relationships/hyperlink" Target="https://linktr.ee/azhkorea" TargetMode="External"/><Relationship Id="rId1381" Type="http://schemas.openxmlformats.org/officeDocument/2006/relationships/hyperlink" Target="http://organic.beauty.ae" TargetMode="External"/><Relationship Id="rId791" Type="http://schemas.openxmlformats.org/officeDocument/2006/relationships/hyperlink" Target="https://www.youtube.com/@andreaaragonstudio" TargetMode="External"/><Relationship Id="rId1382" Type="http://schemas.openxmlformats.org/officeDocument/2006/relationships/hyperlink" Target="https://organicbeauty.pk/" TargetMode="External"/><Relationship Id="rId790" Type="http://schemas.openxmlformats.org/officeDocument/2006/relationships/hyperlink" Target="https://l.likee.video/p/TZm0He" TargetMode="External"/><Relationship Id="rId1383" Type="http://schemas.openxmlformats.org/officeDocument/2006/relationships/hyperlink" Target="https://ariaslife.com/careers/?hm=115" TargetMode="External"/><Relationship Id="rId1384" Type="http://schemas.openxmlformats.org/officeDocument/2006/relationships/hyperlink" Target="https://arinsolangeathome.com/linktree/" TargetMode="External"/><Relationship Id="rId312" Type="http://schemas.openxmlformats.org/officeDocument/2006/relationships/hyperlink" Target="https://advicewitherin.komi.io" TargetMode="External"/><Relationship Id="rId796" Type="http://schemas.openxmlformats.org/officeDocument/2006/relationships/hyperlink" Target="https://maxoutletstore.com/products/aurece-car-cymbal-air-vent-mini-drum-beatride-pro?_pos=1&amp;_psq=car&amp;_ss=e&amp;_v=1.0" TargetMode="External"/><Relationship Id="rId1385" Type="http://schemas.openxmlformats.org/officeDocument/2006/relationships/hyperlink" Target="https://www.doitwithhewitt.com/links" TargetMode="External"/><Relationship Id="rId311" Type="http://schemas.openxmlformats.org/officeDocument/2006/relationships/hyperlink" Target="https://stan.store/withalexstyle" TargetMode="External"/><Relationship Id="rId795" Type="http://schemas.openxmlformats.org/officeDocument/2006/relationships/hyperlink" Target="https://yt.openinapp.co/wgjms" TargetMode="External"/><Relationship Id="rId1386" Type="http://schemas.openxmlformats.org/officeDocument/2006/relationships/hyperlink" Target="https://linkin.bio/jillcomesclean" TargetMode="External"/><Relationship Id="rId310" Type="http://schemas.openxmlformats.org/officeDocument/2006/relationships/hyperlink" Target="https://substack.com/@uselessdk" TargetMode="External"/><Relationship Id="rId794" Type="http://schemas.openxmlformats.org/officeDocument/2006/relationships/hyperlink" Target="https://linktr.ee/poppy_hairstyles" TargetMode="External"/><Relationship Id="rId1387" Type="http://schemas.openxmlformats.org/officeDocument/2006/relationships/hyperlink" Target="http://stan.store/organizewithkylie" TargetMode="External"/><Relationship Id="rId793" Type="http://schemas.openxmlformats.org/officeDocument/2006/relationships/hyperlink" Target="http://shoutcloud.co/" TargetMode="External"/><Relationship Id="rId1388" Type="http://schemas.openxmlformats.org/officeDocument/2006/relationships/hyperlink" Target="https://linktr.ee/QRFup.organization" TargetMode="External"/><Relationship Id="rId297" Type="http://schemas.openxmlformats.org/officeDocument/2006/relationships/hyperlink" Target="https://www.turiscampo.com/" TargetMode="External"/><Relationship Id="rId296" Type="http://schemas.openxmlformats.org/officeDocument/2006/relationships/hyperlink" Target="http://www.campingmuineira.es" TargetMode="External"/><Relationship Id="rId295" Type="http://schemas.openxmlformats.org/officeDocument/2006/relationships/hyperlink" Target="https://youtu.be/XheNzTn5yV8?si=cbMD7rfza4j2lIc5" TargetMode="External"/><Relationship Id="rId294" Type="http://schemas.openxmlformats.org/officeDocument/2006/relationships/hyperlink" Target="https://www.campingaz.es/" TargetMode="External"/><Relationship Id="rId299" Type="http://schemas.openxmlformats.org/officeDocument/2006/relationships/hyperlink" Target="http://go.campingworld.com/bio/" TargetMode="External"/><Relationship Id="rId298" Type="http://schemas.openxmlformats.org/officeDocument/2006/relationships/hyperlink" Target="https://linkin.bio/campingwithdogs" TargetMode="External"/><Relationship Id="rId271" Type="http://schemas.openxmlformats.org/officeDocument/2006/relationships/hyperlink" Target="https://linktr.ee/calligraphymasters" TargetMode="External"/><Relationship Id="rId270" Type="http://schemas.openxmlformats.org/officeDocument/2006/relationships/hyperlink" Target="https://linktr.ee/callimaya" TargetMode="External"/><Relationship Id="rId269" Type="http://schemas.openxmlformats.org/officeDocument/2006/relationships/hyperlink" Target="https://calligraphilic.com/" TargetMode="External"/><Relationship Id="rId264" Type="http://schemas.openxmlformats.org/officeDocument/2006/relationships/hyperlink" Target="https://hoo.be/littletfitness" TargetMode="External"/><Relationship Id="rId263" Type="http://schemas.openxmlformats.org/officeDocument/2006/relationships/hyperlink" Target="https://apps.apple.com/pl/app/learncalisthenics/id6738701530" TargetMode="External"/><Relationship Id="rId262" Type="http://schemas.openxmlformats.org/officeDocument/2006/relationships/hyperlink" Target="https://www.hybridcalisthenics.com/app" TargetMode="External"/><Relationship Id="rId261" Type="http://schemas.openxmlformats.org/officeDocument/2006/relationships/hyperlink" Target="https://linktr.ee/drillsthenics" TargetMode="External"/><Relationship Id="rId268" Type="http://schemas.openxmlformats.org/officeDocument/2006/relationships/hyperlink" Target="http://www.calligraphykatrina.com/" TargetMode="External"/><Relationship Id="rId267" Type="http://schemas.openxmlformats.org/officeDocument/2006/relationships/hyperlink" Target="https://www.facebook.com/bahr.calligraphy/" TargetMode="External"/><Relationship Id="rId266" Type="http://schemas.openxmlformats.org/officeDocument/2006/relationships/hyperlink" Target="http://linktr.ee/annerobincallig" TargetMode="External"/><Relationship Id="rId265" Type="http://schemas.openxmlformats.org/officeDocument/2006/relationships/hyperlink" Target="https://apps.apple.com/pl/app/learncalisthenics/id6738701530" TargetMode="External"/><Relationship Id="rId260" Type="http://schemas.openxmlformats.org/officeDocument/2006/relationships/hyperlink" Target="https://linktr.ee/ctcalisthenics" TargetMode="External"/><Relationship Id="rId259" Type="http://schemas.openxmlformats.org/officeDocument/2006/relationships/hyperlink" Target="https://gramworkouts.com/products/ultimate-calisthenics-program" TargetMode="External"/><Relationship Id="rId258" Type="http://schemas.openxmlformats.org/officeDocument/2006/relationships/hyperlink" Target="https://youtube.com/channel/UCaxyaK8gYuvvqNsAB_0vulQ" TargetMode="External"/><Relationship Id="rId253" Type="http://schemas.openxmlformats.org/officeDocument/2006/relationships/hyperlink" Target="https://www.andrystrong.world/" TargetMode="External"/><Relationship Id="rId252" Type="http://schemas.openxmlformats.org/officeDocument/2006/relationships/hyperlink" Target="http://links.swavy.app/DarDoc%255FAhmed" TargetMode="External"/><Relationship Id="rId251" Type="http://schemas.openxmlformats.org/officeDocument/2006/relationships/hyperlink" Target="https://skyscanner.pxf.io/CairotoAthens" TargetMode="External"/><Relationship Id="rId250" Type="http://schemas.openxmlformats.org/officeDocument/2006/relationships/hyperlink" Target="https://youtube.com/c/SultanandCairo" TargetMode="External"/><Relationship Id="rId257" Type="http://schemas.openxmlformats.org/officeDocument/2006/relationships/hyperlink" Target="https://shorturl.at/DHQ02" TargetMode="External"/><Relationship Id="rId256" Type="http://schemas.openxmlformats.org/officeDocument/2006/relationships/hyperlink" Target="https://calisthenicsbypaulina.com/links/" TargetMode="External"/><Relationship Id="rId255" Type="http://schemas.openxmlformats.org/officeDocument/2006/relationships/hyperlink" Target="https://www.tiktok.com/@calisthenics_academy?_t=8gm8EHjf20n&amp;_r=1" TargetMode="External"/><Relationship Id="rId254" Type="http://schemas.openxmlformats.org/officeDocument/2006/relationships/hyperlink" Target="https://www.captainkalo.com/products/ultimate-calisthenics-program" TargetMode="External"/><Relationship Id="rId293" Type="http://schemas.openxmlformats.org/officeDocument/2006/relationships/hyperlink" Target="https://www.camping.com" TargetMode="External"/><Relationship Id="rId292" Type="http://schemas.openxmlformats.org/officeDocument/2006/relationships/hyperlink" Target="http://www.irelandglamping.ie/" TargetMode="External"/><Relationship Id="rId291" Type="http://schemas.openxmlformats.org/officeDocument/2006/relationships/hyperlink" Target="http://fce.gg/codm-discord" TargetMode="External"/><Relationship Id="rId290" Type="http://schemas.openxmlformats.org/officeDocument/2006/relationships/hyperlink" Target="http://youtube.com/codleague" TargetMode="External"/><Relationship Id="rId286" Type="http://schemas.openxmlformats.org/officeDocument/2006/relationships/hyperlink" Target="https://codmatvi.onelink.me/jYL7/3pat4xts" TargetMode="External"/><Relationship Id="rId285" Type="http://schemas.openxmlformats.org/officeDocument/2006/relationships/hyperlink" Target="https://linktr.ee/playcodmobile" TargetMode="External"/><Relationship Id="rId284" Type="http://schemas.openxmlformats.org/officeDocument/2006/relationships/hyperlink" Target="https://a.atvi.com/PreOrder-BlackOps7" TargetMode="External"/><Relationship Id="rId283" Type="http://schemas.openxmlformats.org/officeDocument/2006/relationships/hyperlink" Target="http://clicklinkin.bio/callofdutyit" TargetMode="External"/><Relationship Id="rId289" Type="http://schemas.openxmlformats.org/officeDocument/2006/relationships/hyperlink" Target="http://worldseriesofwarzone.com" TargetMode="External"/><Relationship Id="rId288" Type="http://schemas.openxmlformats.org/officeDocument/2006/relationships/hyperlink" Target="https://linktr.ee/cod.om" TargetMode="External"/><Relationship Id="rId287" Type="http://schemas.openxmlformats.org/officeDocument/2006/relationships/hyperlink" Target="http://callofduty.om" TargetMode="External"/><Relationship Id="rId282" Type="http://schemas.openxmlformats.org/officeDocument/2006/relationships/hyperlink" Target="http://clicklinkin.bio/callofdutyfr" TargetMode="External"/><Relationship Id="rId281" Type="http://schemas.openxmlformats.org/officeDocument/2006/relationships/hyperlink" Target="http://clicklinkin.bio/callofdutyes" TargetMode="External"/><Relationship Id="rId280" Type="http://schemas.openxmlformats.org/officeDocument/2006/relationships/hyperlink" Target="http://clicklinkin.bio/callofdutyde" TargetMode="External"/><Relationship Id="rId275" Type="http://schemas.openxmlformats.org/officeDocument/2006/relationships/hyperlink" Target="http://linktr.ee/tjcalligraphy" TargetMode="External"/><Relationship Id="rId274" Type="http://schemas.openxmlformats.org/officeDocument/2006/relationships/hyperlink" Target="http://nhuandaocalligraphy.gumroad.com" TargetMode="External"/><Relationship Id="rId273" Type="http://schemas.openxmlformats.org/officeDocument/2006/relationships/hyperlink" Target="https://linktr.ee/craftirisy" TargetMode="External"/><Relationship Id="rId272" Type="http://schemas.openxmlformats.org/officeDocument/2006/relationships/hyperlink" Target="https://youtube.com/@Calligraphyti" TargetMode="External"/><Relationship Id="rId279" Type="http://schemas.openxmlformats.org/officeDocument/2006/relationships/hyperlink" Target="http://a.atvi.com/PreOrder-BlackOps7" TargetMode="External"/><Relationship Id="rId278" Type="http://schemas.openxmlformats.org/officeDocument/2006/relationships/hyperlink" Target="http://clicklinkin.bio/callofdutyara" TargetMode="External"/><Relationship Id="rId277" Type="http://schemas.openxmlformats.org/officeDocument/2006/relationships/hyperlink" Target="http://callofduty.ar" TargetMode="External"/><Relationship Id="rId276" Type="http://schemas.openxmlformats.org/officeDocument/2006/relationships/hyperlink" Target="https://a.atvi.com/PreOrder-BlackOps7" TargetMode="External"/><Relationship Id="rId1851" Type="http://schemas.openxmlformats.org/officeDocument/2006/relationships/hyperlink" Target="http://bio.site/katkummings" TargetMode="External"/><Relationship Id="rId1852" Type="http://schemas.openxmlformats.org/officeDocument/2006/relationships/hyperlink" Target="http://youtube.com/StreamingTheMagic" TargetMode="External"/><Relationship Id="rId1853" Type="http://schemas.openxmlformats.org/officeDocument/2006/relationships/hyperlink" Target="https://www.tiktok.com/@streamingurls" TargetMode="External"/><Relationship Id="rId1854" Type="http://schemas.openxmlformats.org/officeDocument/2006/relationships/hyperlink" Target="https://veterantv.app.link/tAmx11cvQeb" TargetMode="External"/><Relationship Id="rId1855" Type="http://schemas.openxmlformats.org/officeDocument/2006/relationships/hyperlink" Target="http://streetclassics.co" TargetMode="External"/><Relationship Id="rId1856" Type="http://schemas.openxmlformats.org/officeDocument/2006/relationships/hyperlink" Target="http://streetphotographyindia.in/international" TargetMode="External"/><Relationship Id="rId1857" Type="http://schemas.openxmlformats.org/officeDocument/2006/relationships/hyperlink" Target="http://streetphotographyfrance.fr" TargetMode="External"/><Relationship Id="rId1858" Type="http://schemas.openxmlformats.org/officeDocument/2006/relationships/hyperlink" Target="https://streetphotographyfrance.fr/nos-liens/" TargetMode="External"/><Relationship Id="rId1859" Type="http://schemas.openxmlformats.org/officeDocument/2006/relationships/hyperlink" Target="http://streetphotographyindia.in" TargetMode="External"/><Relationship Id="rId1850" Type="http://schemas.openxmlformats.org/officeDocument/2006/relationships/hyperlink" Target="https://kick.com" TargetMode="External"/><Relationship Id="rId1840" Type="http://schemas.openxmlformats.org/officeDocument/2006/relationships/hyperlink" Target="https://www.youtube.com/@Sport_News001" TargetMode="External"/><Relationship Id="rId1841" Type="http://schemas.openxmlformats.org/officeDocument/2006/relationships/hyperlink" Target="https://www.facebook.com/SportsNewsEgy/" TargetMode="External"/><Relationship Id="rId1842" Type="http://schemas.openxmlformats.org/officeDocument/2006/relationships/hyperlink" Target="http://www.stck-mrkt.shop" TargetMode="External"/><Relationship Id="rId1843" Type="http://schemas.openxmlformats.org/officeDocument/2006/relationships/hyperlink" Target="https://www.instagram.com/theinvestor_insights?igsh=MWVkOWRnYjlpeGkwZQ%3D%3D" TargetMode="External"/><Relationship Id="rId1844" Type="http://schemas.openxmlformats.org/officeDocument/2006/relationships/hyperlink" Target="https://stoxbazaar.biz/SBIG267" TargetMode="External"/><Relationship Id="rId1845" Type="http://schemas.openxmlformats.org/officeDocument/2006/relationships/hyperlink" Target="https://t.me/stockmarkettimes_updates" TargetMode="External"/><Relationship Id="rId1846" Type="http://schemas.openxmlformats.org/officeDocument/2006/relationships/hyperlink" Target="https://www.stockmarketwolf.com" TargetMode="External"/><Relationship Id="rId1847" Type="http://schemas.openxmlformats.org/officeDocument/2006/relationships/hyperlink" Target="https://linktr.ee/stock_masters_" TargetMode="External"/><Relationship Id="rId1848" Type="http://schemas.openxmlformats.org/officeDocument/2006/relationships/hyperlink" Target="https://www.launchpass.com/the-daily-stock-market/annual" TargetMode="External"/><Relationship Id="rId1849" Type="http://schemas.openxmlformats.org/officeDocument/2006/relationships/hyperlink" Target="https://www.stockmarketkerala.com/" TargetMode="External"/><Relationship Id="rId1873" Type="http://schemas.openxmlformats.org/officeDocument/2006/relationships/hyperlink" Target="http://streetwear.cartel.gr" TargetMode="External"/><Relationship Id="rId1874" Type="http://schemas.openxmlformats.org/officeDocument/2006/relationships/hyperlink" Target="https://www.thrashermagazine.com/articles/trash/border-skateboards-bien-chingon-video/" TargetMode="External"/><Relationship Id="rId1875" Type="http://schemas.openxmlformats.org/officeDocument/2006/relationships/hyperlink" Target="https://linktr.ee/madeleinenilssons" TargetMode="External"/><Relationship Id="rId1876" Type="http://schemas.openxmlformats.org/officeDocument/2006/relationships/hyperlink" Target="https://linkin.bio/rpstrength" TargetMode="External"/><Relationship Id="rId1877" Type="http://schemas.openxmlformats.org/officeDocument/2006/relationships/hyperlink" Target="https://bit.ly/m/laurenp" TargetMode="External"/><Relationship Id="rId1878" Type="http://schemas.openxmlformats.org/officeDocument/2006/relationships/hyperlink" Target="https://t.me/ksyunimeow" TargetMode="External"/><Relationship Id="rId1879" Type="http://schemas.openxmlformats.org/officeDocument/2006/relationships/hyperlink" Target="https://linktr.ee/malova_stretch" TargetMode="External"/><Relationship Id="rId1870" Type="http://schemas.openxmlformats.org/officeDocument/2006/relationships/hyperlink" Target="https://www.oznestreetwear.com.br/" TargetMode="External"/><Relationship Id="rId1871" Type="http://schemas.openxmlformats.org/officeDocument/2006/relationships/hyperlink" Target="https://t.me/sowebloc" TargetMode="External"/><Relationship Id="rId1872" Type="http://schemas.openxmlformats.org/officeDocument/2006/relationships/hyperlink" Target="https://whatsapp.com/channel/0029VaAyhBwKGGGLrF2BUo1N" TargetMode="External"/><Relationship Id="rId1862" Type="http://schemas.openxmlformats.org/officeDocument/2006/relationships/hyperlink" Target="https://www.youtube.com/@YycStreetPhotography" TargetMode="External"/><Relationship Id="rId1863" Type="http://schemas.openxmlformats.org/officeDocument/2006/relationships/hyperlink" Target="http://01streetwear.com/" TargetMode="External"/><Relationship Id="rId1864" Type="http://schemas.openxmlformats.org/officeDocument/2006/relationships/hyperlink" Target="https://elegance-woman.com/php/Accueillir.php" TargetMode="External"/><Relationship Id="rId1865" Type="http://schemas.openxmlformats.org/officeDocument/2006/relationships/hyperlink" Target="https://www.flawwears.com/" TargetMode="External"/><Relationship Id="rId1866" Type="http://schemas.openxmlformats.org/officeDocument/2006/relationships/hyperlink" Target="http://global.streetwear.pe" TargetMode="External"/><Relationship Id="rId1867" Type="http://schemas.openxmlformats.org/officeDocument/2006/relationships/hyperlink" Target="https://linktr.ee/global.streetwear.pe" TargetMode="External"/><Relationship Id="rId1868" Type="http://schemas.openxmlformats.org/officeDocument/2006/relationships/hyperlink" Target="https://api.whatsapp.com/send?phone=555198433873" TargetMode="External"/><Relationship Id="rId1869" Type="http://schemas.openxmlformats.org/officeDocument/2006/relationships/hyperlink" Target="http://t.me/OXOSTREETWEAR" TargetMode="External"/><Relationship Id="rId1860" Type="http://schemas.openxmlformats.org/officeDocument/2006/relationships/hyperlink" Target="https://streetphotographyinternational.com/" TargetMode="External"/><Relationship Id="rId1861" Type="http://schemas.openxmlformats.org/officeDocument/2006/relationships/hyperlink" Target="http://www.youtube.com/c/TENGUJAPON" TargetMode="External"/><Relationship Id="rId1810" Type="http://schemas.openxmlformats.org/officeDocument/2006/relationships/hyperlink" Target="https://www.oakley.com/en-us/l/snow" TargetMode="External"/><Relationship Id="rId1811" Type="http://schemas.openxmlformats.org/officeDocument/2006/relationships/hyperlink" Target="https://preferredsporting.com/collections/ski-snowboard?fbclid=PAZnRzaAMpN0NleHRuA2FlbQIxMQABpuFXzLBC4BxPeXDH858qJV2W4K7nDVsODR4qphMCrOkyF60tz_RjSCVwTQ_aem_9DyWMbyH_Lwgssh0Kq606g" TargetMode="External"/><Relationship Id="rId1812" Type="http://schemas.openxmlformats.org/officeDocument/2006/relationships/hyperlink" Target="https://designtshirt.us/storefront/trump?parent=Trump&amp;rt=Trump" TargetMode="External"/><Relationship Id="rId1813" Type="http://schemas.openxmlformats.org/officeDocument/2006/relationships/hyperlink" Target="https://lotussimplicity.com/snowboarding?pr=FREESHIP" TargetMode="External"/><Relationship Id="rId1814" Type="http://schemas.openxmlformats.org/officeDocument/2006/relationships/hyperlink" Target="https://simplicitytee.com/snowboard" TargetMode="External"/><Relationship Id="rId1815" Type="http://schemas.openxmlformats.org/officeDocument/2006/relationships/hyperlink" Target="https://www.traektoria.ru/brand/saks/" TargetMode="External"/><Relationship Id="rId1816" Type="http://schemas.openxmlformats.org/officeDocument/2006/relationships/hyperlink" Target="https://breezyboarding.com/" TargetMode="External"/><Relationship Id="rId1817" Type="http://schemas.openxmlformats.org/officeDocument/2006/relationships/hyperlink" Target="http://vans.com/snow" TargetMode="External"/><Relationship Id="rId1818" Type="http://schemas.openxmlformats.org/officeDocument/2006/relationships/hyperlink" Target="https://www.fox.com/?cmpid=org%3Done%3A%3Aag%3Downed%3A%3Amc%3Dorganicsocial%3A%3Asrc%3Dfs%3A%3Acmp%3D10010061002%3A%3Aadd%3D" TargetMode="External"/><Relationship Id="rId1819" Type="http://schemas.openxmlformats.org/officeDocument/2006/relationships/hyperlink" Target="http://linktr.ee/prodirectsoccer" TargetMode="External"/><Relationship Id="rId1800" Type="http://schemas.openxmlformats.org/officeDocument/2006/relationships/hyperlink" Target="https://www.crabsneakers.com" TargetMode="External"/><Relationship Id="rId1801" Type="http://schemas.openxmlformats.org/officeDocument/2006/relationships/hyperlink" Target="https://www.papuckonagi.com/kampanyali-modellerimiz-kat238.html" TargetMode="External"/><Relationship Id="rId1802" Type="http://schemas.openxmlformats.org/officeDocument/2006/relationships/hyperlink" Target="https://linkin.bio/sneakercon" TargetMode="External"/><Relationship Id="rId1803" Type="http://schemas.openxmlformats.org/officeDocument/2006/relationships/hyperlink" Target="https://snkrjg.rs/App" TargetMode="External"/><Relationship Id="rId1804" Type="http://schemas.openxmlformats.org/officeDocument/2006/relationships/hyperlink" Target="http://linkin.bio/sneakernews/" TargetMode="External"/><Relationship Id="rId1805" Type="http://schemas.openxmlformats.org/officeDocument/2006/relationships/hyperlink" Target="http://sneakerresellx.com" TargetMode="External"/><Relationship Id="rId1806" Type="http://schemas.openxmlformats.org/officeDocument/2006/relationships/hyperlink" Target="https://k20sneakers.com" TargetMode="External"/><Relationship Id="rId1807" Type="http://schemas.openxmlformats.org/officeDocument/2006/relationships/hyperlink" Target="https://clew-snowboarding.com" TargetMode="External"/><Relationship Id="rId1808" Type="http://schemas.openxmlformats.org/officeDocument/2006/relationships/hyperlink" Target="http://linktr.ee/dcshoes/" TargetMode="External"/><Relationship Id="rId1809" Type="http://schemas.openxmlformats.org/officeDocument/2006/relationships/hyperlink" Target="https://k2snow.com" TargetMode="External"/><Relationship Id="rId1830" Type="http://schemas.openxmlformats.org/officeDocument/2006/relationships/hyperlink" Target="https://thesolotravelinstyleblog.com" TargetMode="External"/><Relationship Id="rId1831" Type="http://schemas.openxmlformats.org/officeDocument/2006/relationships/hyperlink" Target="https://www.skool.com/ftc/about" TargetMode="External"/><Relationship Id="rId1832" Type="http://schemas.openxmlformats.org/officeDocument/2006/relationships/hyperlink" Target="https://travellingtuesdays.com/join-me-in-morocco-2/" TargetMode="External"/><Relationship Id="rId1833" Type="http://schemas.openxmlformats.org/officeDocument/2006/relationships/hyperlink" Target="https://yt.openinapp.co/24kgi" TargetMode="External"/><Relationship Id="rId1834" Type="http://schemas.openxmlformats.org/officeDocument/2006/relationships/hyperlink" Target="http://www.secretsofhitsongs.com" TargetMode="External"/><Relationship Id="rId1835" Type="http://schemas.openxmlformats.org/officeDocument/2006/relationships/hyperlink" Target="http://linktr.ee/songwriting_pro" TargetMode="External"/><Relationship Id="rId1836" Type="http://schemas.openxmlformats.org/officeDocument/2006/relationships/hyperlink" Target="http://linktr.ee/spotifysong" TargetMode="External"/><Relationship Id="rId1837" Type="http://schemas.openxmlformats.org/officeDocument/2006/relationships/hyperlink" Target="https://powerofsoundfx.com" TargetMode="External"/><Relationship Id="rId1838" Type="http://schemas.openxmlformats.org/officeDocument/2006/relationships/hyperlink" Target="https://linktr.ee/sounddesignhacks" TargetMode="External"/><Relationship Id="rId1839" Type="http://schemas.openxmlformats.org/officeDocument/2006/relationships/hyperlink" Target="https://www.pulsepowersnacks.com" TargetMode="External"/><Relationship Id="rId1820" Type="http://schemas.openxmlformats.org/officeDocument/2006/relationships/hyperlink" Target="https://donate.socceraid.org.uk/" TargetMode="External"/><Relationship Id="rId1821" Type="http://schemas.openxmlformats.org/officeDocument/2006/relationships/hyperlink" Target="http://soccerbible.com" TargetMode="External"/><Relationship Id="rId1822" Type="http://schemas.openxmlformats.org/officeDocument/2006/relationships/hyperlink" Target="https://linktr.ee/agata.ebbutt" TargetMode="External"/><Relationship Id="rId1823" Type="http://schemas.openxmlformats.org/officeDocument/2006/relationships/hyperlink" Target="https://stan.store/daisystraveldiaries" TargetMode="External"/><Relationship Id="rId1824" Type="http://schemas.openxmlformats.org/officeDocument/2006/relationships/hyperlink" Target="https://linktr.ee/hey_ciara" TargetMode="External"/><Relationship Id="rId1825" Type="http://schemas.openxmlformats.org/officeDocument/2006/relationships/hyperlink" Target="https://beacons.ai/imartatravels" TargetMode="External"/><Relationship Id="rId1826" Type="http://schemas.openxmlformats.org/officeDocument/2006/relationships/hyperlink" Target="https://www.expedia.com/shop/kevindroniak" TargetMode="External"/><Relationship Id="rId1827" Type="http://schemas.openxmlformats.org/officeDocument/2006/relationships/hyperlink" Target="https://linktr.ee/solotravelclub" TargetMode="External"/><Relationship Id="rId1828" Type="http://schemas.openxmlformats.org/officeDocument/2006/relationships/hyperlink" Target="http://www.solotravelgirls.com" TargetMode="External"/><Relationship Id="rId1829" Type="http://schemas.openxmlformats.org/officeDocument/2006/relationships/hyperlink" Target="https://bit.ly/38lZfee" TargetMode="External"/><Relationship Id="rId1455" Type="http://schemas.openxmlformats.org/officeDocument/2006/relationships/hyperlink" Target="https://clevergirlfinance.com/subscribe" TargetMode="External"/><Relationship Id="rId1456" Type="http://schemas.openxmlformats.org/officeDocument/2006/relationships/hyperlink" Target="https://linktr.ee/financewithsanjay" TargetMode="External"/><Relationship Id="rId1457" Type="http://schemas.openxmlformats.org/officeDocument/2006/relationships/hyperlink" Target="https://smbhav.amazon.in?ld=Smbhav24prebuzzTarun" TargetMode="External"/><Relationship Id="rId1458" Type="http://schemas.openxmlformats.org/officeDocument/2006/relationships/hyperlink" Target="https://forms.gle/NQeMkiLQamPnY96A9" TargetMode="External"/><Relationship Id="rId1459" Type="http://schemas.openxmlformats.org/officeDocument/2006/relationships/hyperlink" Target="http://www.millennialindebt.com/links" TargetMode="External"/><Relationship Id="rId629" Type="http://schemas.openxmlformats.org/officeDocument/2006/relationships/hyperlink" Target="http://facebook.com/exploringitalia/" TargetMode="External"/><Relationship Id="rId624" Type="http://schemas.openxmlformats.org/officeDocument/2006/relationships/hyperlink" Target="https://eventos.congresse.me/covep2025/edicoes/COVEP2025" TargetMode="External"/><Relationship Id="rId623" Type="http://schemas.openxmlformats.org/officeDocument/2006/relationships/hyperlink" Target="http://ulfesports.com" TargetMode="External"/><Relationship Id="rId622" Type="http://schemas.openxmlformats.org/officeDocument/2006/relationships/hyperlink" Target="https://linktr.ee/mdesportsoficial" TargetMode="External"/><Relationship Id="rId621" Type="http://schemas.openxmlformats.org/officeDocument/2006/relationships/hyperlink" Target="https://youtube.com/channel/UCPx_Q8zHlRGG_xlz5U85f0g" TargetMode="External"/><Relationship Id="rId628" Type="http://schemas.openxmlformats.org/officeDocument/2006/relationships/hyperlink" Target="http://facebook.com/exploringcr" TargetMode="External"/><Relationship Id="rId627" Type="http://schemas.openxmlformats.org/officeDocument/2006/relationships/hyperlink" Target="https://amandaexploring.com/social/" TargetMode="External"/><Relationship Id="rId626" Type="http://schemas.openxmlformats.org/officeDocument/2006/relationships/hyperlink" Target="https://www.njexoticpets.com/" TargetMode="External"/><Relationship Id="rId625" Type="http://schemas.openxmlformats.org/officeDocument/2006/relationships/hyperlink" Target="https://www.tiktok.com/@exoticpetshop701?_t=ZT-8wSyk4AUDx0&amp;_r=1" TargetMode="External"/><Relationship Id="rId1450" Type="http://schemas.openxmlformats.org/officeDocument/2006/relationships/hyperlink" Target="https://pigmentofest.com.ar/?utm_source=meta&amp;utm_medium=organic_social&amp;utm_campaign=pigmentofest2025&amp;utm_content=ig_bio" TargetMode="External"/><Relationship Id="rId620" Type="http://schemas.openxmlformats.org/officeDocument/2006/relationships/hyperlink" Target="http://g2esports.com/" TargetMode="External"/><Relationship Id="rId1451" Type="http://schemas.openxmlformats.org/officeDocument/2006/relationships/hyperlink" Target="https://www.perfume-web.jp/20x25-anniversary/" TargetMode="External"/><Relationship Id="rId1452" Type="http://schemas.openxmlformats.org/officeDocument/2006/relationships/hyperlink" Target="https://linktr.ee/the.perfume.shop" TargetMode="External"/><Relationship Id="rId1453" Type="http://schemas.openxmlformats.org/officeDocument/2006/relationships/hyperlink" Target="https://budgetdogacademy.com/hmmc-opt-eo-igmain" TargetMode="External"/><Relationship Id="rId1454" Type="http://schemas.openxmlformats.org/officeDocument/2006/relationships/hyperlink" Target="http://chime.com/casper" TargetMode="External"/><Relationship Id="rId1444" Type="http://schemas.openxmlformats.org/officeDocument/2006/relationships/hyperlink" Target="http://iperfumes.gr" TargetMode="External"/><Relationship Id="rId1445" Type="http://schemas.openxmlformats.org/officeDocument/2006/relationships/hyperlink" Target="http://www.iperfumes.gr/" TargetMode="External"/><Relationship Id="rId1446" Type="http://schemas.openxmlformats.org/officeDocument/2006/relationships/hyperlink" Target="https://youtu.be/t8QgacSicak?list=PLKFGJ-DYkoYJkfyCGFnSYUYZwLFPrVKiS" TargetMode="External"/><Relationship Id="rId1447" Type="http://schemas.openxmlformats.org/officeDocument/2006/relationships/hyperlink" Target="http://bit.ly/oilperfumery" TargetMode="External"/><Relationship Id="rId1448" Type="http://schemas.openxmlformats.org/officeDocument/2006/relationships/hyperlink" Target="https://linktr.ee/Perfume1731" TargetMode="External"/><Relationship Id="rId1449" Type="http://schemas.openxmlformats.org/officeDocument/2006/relationships/hyperlink" Target="http://linktr.ee/perfumerism" TargetMode="External"/><Relationship Id="rId619" Type="http://schemas.openxmlformats.org/officeDocument/2006/relationships/hyperlink" Target="http://linktr.ee/easportsufc" TargetMode="External"/><Relationship Id="rId618" Type="http://schemas.openxmlformats.org/officeDocument/2006/relationships/hyperlink" Target="https://linktr.ee/easportsfc" TargetMode="External"/><Relationship Id="rId613" Type="http://schemas.openxmlformats.org/officeDocument/2006/relationships/hyperlink" Target="https://linktr.ee/escalade.id" TargetMode="External"/><Relationship Id="rId612" Type="http://schemas.openxmlformats.org/officeDocument/2006/relationships/hyperlink" Target="http://escalade.id" TargetMode="External"/><Relationship Id="rId611" Type="http://schemas.openxmlformats.org/officeDocument/2006/relationships/hyperlink" Target="http://www.escaladeco.com.ar" TargetMode="External"/><Relationship Id="rId610" Type="http://schemas.openxmlformats.org/officeDocument/2006/relationships/hyperlink" Target="http://youtube.com/@PotterEntrevista" TargetMode="External"/><Relationship Id="rId617" Type="http://schemas.openxmlformats.org/officeDocument/2006/relationships/hyperlink" Target="https://get.433app.com/433esports" TargetMode="External"/><Relationship Id="rId616" Type="http://schemas.openxmlformats.org/officeDocument/2006/relationships/hyperlink" Target="https://www.tiktok.com/@ju_escalade?_t=ZN-8weC1mclFZu&amp;_r=1" TargetMode="External"/><Relationship Id="rId615" Type="http://schemas.openxmlformats.org/officeDocument/2006/relationships/hyperlink" Target="https://linktr.ee/ffmontagne_escalade" TargetMode="External"/><Relationship Id="rId614" Type="http://schemas.openxmlformats.org/officeDocument/2006/relationships/hyperlink" Target="https://escaladeink.randevu.tc/" TargetMode="External"/><Relationship Id="rId1440" Type="http://schemas.openxmlformats.org/officeDocument/2006/relationships/hyperlink" Target="https://www.alexperfumes.it" TargetMode="External"/><Relationship Id="rId1441" Type="http://schemas.openxmlformats.org/officeDocument/2006/relationships/hyperlink" Target="http://wa.me/+79298972220" TargetMode="External"/><Relationship Id="rId1442" Type="http://schemas.openxmlformats.org/officeDocument/2006/relationships/hyperlink" Target="https://likeshop.me/dossierperfumes" TargetMode="External"/><Relationship Id="rId1443" Type="http://schemas.openxmlformats.org/officeDocument/2006/relationships/hyperlink" Target="https://godaperfume.com/ig" TargetMode="External"/><Relationship Id="rId1477" Type="http://schemas.openxmlformats.org/officeDocument/2006/relationships/hyperlink" Target="https://linktr.ee/marchanania" TargetMode="External"/><Relationship Id="rId1478" Type="http://schemas.openxmlformats.org/officeDocument/2006/relationships/hyperlink" Target="https://reservaya.com.do/restaurante/piano" TargetMode="External"/><Relationship Id="rId1479" Type="http://schemas.openxmlformats.org/officeDocument/2006/relationships/hyperlink" Target="https://www.bestpianoclass.com/igpfreecourse" TargetMode="External"/><Relationship Id="rId646" Type="http://schemas.openxmlformats.org/officeDocument/2006/relationships/hyperlink" Target="https://linktr.ee/thetravelmum" TargetMode="External"/><Relationship Id="rId645" Type="http://schemas.openxmlformats.org/officeDocument/2006/relationships/hyperlink" Target="https://www.thefamilytravelclub.com" TargetMode="External"/><Relationship Id="rId644" Type="http://schemas.openxmlformats.org/officeDocument/2006/relationships/hyperlink" Target="http://linktr.ee/letstraveltalk" TargetMode="External"/><Relationship Id="rId643" Type="http://schemas.openxmlformats.org/officeDocument/2006/relationships/hyperlink" Target="https://www.familycantravel.com/21-day-iceland-itinerary-for-families/" TargetMode="External"/><Relationship Id="rId649" Type="http://schemas.openxmlformats.org/officeDocument/2006/relationships/hyperlink" Target="https://www.youtube.com/@Family_vlogs_1" TargetMode="External"/><Relationship Id="rId648" Type="http://schemas.openxmlformats.org/officeDocument/2006/relationships/hyperlink" Target="http://linktree.com/vancitywild" TargetMode="External"/><Relationship Id="rId647" Type="http://schemas.openxmlformats.org/officeDocument/2006/relationships/hyperlink" Target="https://msha.ke/loewenlifestyle" TargetMode="External"/><Relationship Id="rId1470" Type="http://schemas.openxmlformats.org/officeDocument/2006/relationships/hyperlink" Target="https://linktr.ee/badiu.photography" TargetMode="External"/><Relationship Id="rId1471" Type="http://schemas.openxmlformats.org/officeDocument/2006/relationships/hyperlink" Target="https://australiazoo.com.au/photography-competition/" TargetMode="External"/><Relationship Id="rId1472" Type="http://schemas.openxmlformats.org/officeDocument/2006/relationships/hyperlink" Target="https://hotm.art/CURSO-DE-PIANO-AQUI" TargetMode="External"/><Relationship Id="rId642" Type="http://schemas.openxmlformats.org/officeDocument/2006/relationships/hyperlink" Target="https://iwtsp.com/966537344660" TargetMode="External"/><Relationship Id="rId1473" Type="http://schemas.openxmlformats.org/officeDocument/2006/relationships/hyperlink" Target="https://t.me/farazpiano" TargetMode="External"/><Relationship Id="rId641" Type="http://schemas.openxmlformats.org/officeDocument/2006/relationships/hyperlink" Target="http://linktr.ee/familyfuncalgary/" TargetMode="External"/><Relationship Id="rId1474" Type="http://schemas.openxmlformats.org/officeDocument/2006/relationships/hyperlink" Target="https://fanlink.tv/Kassia" TargetMode="External"/><Relationship Id="rId640" Type="http://schemas.openxmlformats.org/officeDocument/2006/relationships/hyperlink" Target="https://youtube.com/@familyfunpack?si=ioT1xKj17PTrXxPh" TargetMode="External"/><Relationship Id="rId1475" Type="http://schemas.openxmlformats.org/officeDocument/2006/relationships/hyperlink" Target="https://t.me/+FmjeY47a_gc5N2E0" TargetMode="External"/><Relationship Id="rId1476" Type="http://schemas.openxmlformats.org/officeDocument/2006/relationships/hyperlink" Target="https://play-by-ear.circle.so/checkout/piano-course" TargetMode="External"/><Relationship Id="rId1466" Type="http://schemas.openxmlformats.org/officeDocument/2006/relationships/hyperlink" Target="https://www.tokopedia.com/pet-care-vet/buku-a-z-tortoises-and-turtles-second-edition-gramedia-1732031083157358128" TargetMode="External"/><Relationship Id="rId1467" Type="http://schemas.openxmlformats.org/officeDocument/2006/relationships/hyperlink" Target="https://amzn.to/3IpPPnc" TargetMode="External"/><Relationship Id="rId1468" Type="http://schemas.openxmlformats.org/officeDocument/2006/relationships/hyperlink" Target="https://trainyourpets.site/%23aff=Trendyxyz" TargetMode="External"/><Relationship Id="rId1469" Type="http://schemas.openxmlformats.org/officeDocument/2006/relationships/hyperlink" Target="https://ayitsphotography.gumroad.com/l/ultimatepresetpack?layout=profile" TargetMode="External"/><Relationship Id="rId635" Type="http://schemas.openxmlformats.org/officeDocument/2006/relationships/hyperlink" Target="https://www.bykido.com/pages/discover-family-kids-friendly-singapore" TargetMode="External"/><Relationship Id="rId634" Type="http://schemas.openxmlformats.org/officeDocument/2006/relationships/hyperlink" Target="https://youtu.be/8XrVesLRTDM" TargetMode="External"/><Relationship Id="rId633" Type="http://schemas.openxmlformats.org/officeDocument/2006/relationships/hyperlink" Target="https://linktr.ee/raisinglittleshoots" TargetMode="External"/><Relationship Id="rId632" Type="http://schemas.openxmlformats.org/officeDocument/2006/relationships/hyperlink" Target="https://www.jessicaexploring.ca" TargetMode="External"/><Relationship Id="rId639" Type="http://schemas.openxmlformats.org/officeDocument/2006/relationships/hyperlink" Target="http://www.familyfun-land.com/" TargetMode="External"/><Relationship Id="rId638" Type="http://schemas.openxmlformats.org/officeDocument/2006/relationships/hyperlink" Target="https://m.youtube.com/@FamilyFun5" TargetMode="External"/><Relationship Id="rId637" Type="http://schemas.openxmlformats.org/officeDocument/2006/relationships/hyperlink" Target="https://wa.link/ajho55" TargetMode="External"/><Relationship Id="rId636" Type="http://schemas.openxmlformats.org/officeDocument/2006/relationships/hyperlink" Target="https://barkparentalcontrols.pxf.io/c/5433721/3226684/17000?sharedid=dunnfamily" TargetMode="External"/><Relationship Id="rId1460" Type="http://schemas.openxmlformats.org/officeDocument/2006/relationships/hyperlink" Target="https://open.spotify.com/show/1DnoPInsicxDLUQTqw1QMr" TargetMode="External"/><Relationship Id="rId1461" Type="http://schemas.openxmlformats.org/officeDocument/2006/relationships/hyperlink" Target="http://www.yourpersonalfinancegirl.com/wealthupsummit" TargetMode="External"/><Relationship Id="rId631" Type="http://schemas.openxmlformats.org/officeDocument/2006/relationships/hyperlink" Target="http://exploringwithjosh.com" TargetMode="External"/><Relationship Id="rId1462" Type="http://schemas.openxmlformats.org/officeDocument/2006/relationships/hyperlink" Target="https://personalfinancehub.co.tz/pre-retirement-form/" TargetMode="External"/><Relationship Id="rId630" Type="http://schemas.openxmlformats.org/officeDocument/2006/relationships/hyperlink" Target="http://www.exploringtherapy.com" TargetMode="External"/><Relationship Id="rId1463" Type="http://schemas.openxmlformats.org/officeDocument/2006/relationships/hyperlink" Target="https://linktr.ee/danspetcare" TargetMode="External"/><Relationship Id="rId1464" Type="http://schemas.openxmlformats.org/officeDocument/2006/relationships/hyperlink" Target="https://beacons.ai/dogfatherofharlem" TargetMode="External"/><Relationship Id="rId1465" Type="http://schemas.openxmlformats.org/officeDocument/2006/relationships/hyperlink" Target="https://send.monobank.ua/jar/85JcsBULdn" TargetMode="External"/><Relationship Id="rId1411" Type="http://schemas.openxmlformats.org/officeDocument/2006/relationships/hyperlink" Target="https://linktr.ee/PaleoFestival" TargetMode="External"/><Relationship Id="rId1895" Type="http://schemas.openxmlformats.org/officeDocument/2006/relationships/hyperlink" Target="https://linktr.ee/s.studybee" TargetMode="External"/><Relationship Id="rId1412" Type="http://schemas.openxmlformats.org/officeDocument/2006/relationships/hyperlink" Target="http://patreon.com/paleoforaging" TargetMode="External"/><Relationship Id="rId1896" Type="http://schemas.openxmlformats.org/officeDocument/2006/relationships/hyperlink" Target="https://www.facebook.com/bdarija1M" TargetMode="External"/><Relationship Id="rId1413" Type="http://schemas.openxmlformats.org/officeDocument/2006/relationships/hyperlink" Target="https://paleo.mg/links" TargetMode="External"/><Relationship Id="rId1897" Type="http://schemas.openxmlformats.org/officeDocument/2006/relationships/hyperlink" Target="https://t.me/study_with_mee_s" TargetMode="External"/><Relationship Id="rId1414" Type="http://schemas.openxmlformats.org/officeDocument/2006/relationships/hyperlink" Target="https://linktr.ee/paleorex" TargetMode="External"/><Relationship Id="rId1898" Type="http://schemas.openxmlformats.org/officeDocument/2006/relationships/hyperlink" Target="http://successgoat.co" TargetMode="External"/><Relationship Id="rId1415" Type="http://schemas.openxmlformats.org/officeDocument/2006/relationships/hyperlink" Target="https://linktr.ee/paleorunningmomma" TargetMode="External"/><Relationship Id="rId1899" Type="http://schemas.openxmlformats.org/officeDocument/2006/relationships/hyperlink" Target="https://www.facebook.com/share/1AmacS8t6g/" TargetMode="External"/><Relationship Id="rId1416" Type="http://schemas.openxmlformats.org/officeDocument/2006/relationships/hyperlink" Target="https://linkinprofile.com/paleovalley" TargetMode="External"/><Relationship Id="rId1417" Type="http://schemas.openxmlformats.org/officeDocument/2006/relationships/hyperlink" Target="http://homeschoolingideas.in" TargetMode="External"/><Relationship Id="rId1418" Type="http://schemas.openxmlformats.org/officeDocument/2006/relationships/hyperlink" Target="https://www.facebook.com/share/1DoseQfmvk/" TargetMode="External"/><Relationship Id="rId1419" Type="http://schemas.openxmlformats.org/officeDocument/2006/relationships/hyperlink" Target="https://altivityla.com/products/la-dragon-drop-shoulder-tee" TargetMode="External"/><Relationship Id="rId1890" Type="http://schemas.openxmlformats.org/officeDocument/2006/relationships/hyperlink" Target="http://topstretching.com" TargetMode="External"/><Relationship Id="rId1891" Type="http://schemas.openxmlformats.org/officeDocument/2006/relationships/hyperlink" Target="https://calendly.com/zaddymassage/25min?month=2024-06" TargetMode="External"/><Relationship Id="rId1892" Type="http://schemas.openxmlformats.org/officeDocument/2006/relationships/hyperlink" Target="https://curso.majutrindade.com/?utm_source=instagram&amp;utm_medium=bio&amp;fbclid=PAZXh0bgNhZW0CMTEAAaaykzwx_tsvBDKwsSPPDjgKUGYCoFhOC0OEClhl7dTZx9q2MSJiMhDP6PM_aem_ko-lfGCDtqJ-eCBhnRBvkw" TargetMode="External"/><Relationship Id="rId1893" Type="http://schemas.openxmlformats.org/officeDocument/2006/relationships/hyperlink" Target="https://www.aym-studio.com/" TargetMode="External"/><Relationship Id="rId1410" Type="http://schemas.openxmlformats.org/officeDocument/2006/relationships/hyperlink" Target="https://paleobull.com/links" TargetMode="External"/><Relationship Id="rId1894" Type="http://schemas.openxmlformats.org/officeDocument/2006/relationships/hyperlink" Target="https://studio.com" TargetMode="External"/><Relationship Id="rId1400" Type="http://schemas.openxmlformats.org/officeDocument/2006/relationships/hyperlink" Target="http://www.tiktok.com/@bossmanoutdoors" TargetMode="External"/><Relationship Id="rId1884" Type="http://schemas.openxmlformats.org/officeDocument/2006/relationships/hyperlink" Target="https://www.annastretching.com" TargetMode="External"/><Relationship Id="rId1401" Type="http://schemas.openxmlformats.org/officeDocument/2006/relationships/hyperlink" Target="https://danielleoutdoors.myflodesk.com/sedonaitinerary" TargetMode="External"/><Relationship Id="rId1885" Type="http://schemas.openxmlformats.org/officeDocument/2006/relationships/hyperlink" Target="https://tinyurl.com/StretchingExercise" TargetMode="External"/><Relationship Id="rId1402" Type="http://schemas.openxmlformats.org/officeDocument/2006/relationships/hyperlink" Target="https://denoutdoors.com/pages/how-it-works" TargetMode="External"/><Relationship Id="rId1886" Type="http://schemas.openxmlformats.org/officeDocument/2006/relationships/hyperlink" Target="https://spinecrackerr.com/products/neck-shoulder-massager-with-heat" TargetMode="External"/><Relationship Id="rId1403" Type="http://schemas.openxmlformats.org/officeDocument/2006/relationships/hyperlink" Target="http://outdoorskie.com" TargetMode="External"/><Relationship Id="rId1887" Type="http://schemas.openxmlformats.org/officeDocument/2006/relationships/hyperlink" Target="https://t.me/tina_stretching" TargetMode="External"/><Relationship Id="rId1404" Type="http://schemas.openxmlformats.org/officeDocument/2006/relationships/hyperlink" Target="https://linktr.ee/outdoorswimmer" TargetMode="External"/><Relationship Id="rId1888" Type="http://schemas.openxmlformats.org/officeDocument/2006/relationships/hyperlink" Target="https://taplink.cc/stretchitapp" TargetMode="External"/><Relationship Id="rId1405" Type="http://schemas.openxmlformats.org/officeDocument/2006/relationships/hyperlink" Target="http://www.outdoorswithrachel.com" TargetMode="External"/><Relationship Id="rId1889" Type="http://schemas.openxmlformats.org/officeDocument/2006/relationships/hyperlink" Target="http://zaap.bio/theflexibilityguy" TargetMode="External"/><Relationship Id="rId1406" Type="http://schemas.openxmlformats.org/officeDocument/2006/relationships/hyperlink" Target="https://linkin.bio/outdoorsy" TargetMode="External"/><Relationship Id="rId1407" Type="http://schemas.openxmlformats.org/officeDocument/2006/relationships/hyperlink" Target="https://linktr.ee/sergiooutdoors" TargetMode="External"/><Relationship Id="rId1408" Type="http://schemas.openxmlformats.org/officeDocument/2006/relationships/hyperlink" Target="https://sunout.io/uh7ur" TargetMode="External"/><Relationship Id="rId1409" Type="http://schemas.openxmlformats.org/officeDocument/2006/relationships/hyperlink" Target="https://www.patreon.com/walkinggirll?utm_campaign=creatorshare_creator" TargetMode="External"/><Relationship Id="rId1880" Type="http://schemas.openxmlformats.org/officeDocument/2006/relationships/hyperlink" Target="https://linktr.ee/Crystalderry" TargetMode="External"/><Relationship Id="rId1881" Type="http://schemas.openxmlformats.org/officeDocument/2006/relationships/hyperlink" Target="https://linktr.ee/nk_stretching" TargetMode="External"/><Relationship Id="rId1882" Type="http://schemas.openxmlformats.org/officeDocument/2006/relationships/hyperlink" Target="https://tuscanyretreat.webflow.io" TargetMode="External"/><Relationship Id="rId1883" Type="http://schemas.openxmlformats.org/officeDocument/2006/relationships/hyperlink" Target="http://stretching.ch" TargetMode="External"/><Relationship Id="rId1433" Type="http://schemas.openxmlformats.org/officeDocument/2006/relationships/hyperlink" Target="https://beacons.ai/passiveincomemo" TargetMode="External"/><Relationship Id="rId1434" Type="http://schemas.openxmlformats.org/officeDocument/2006/relationships/hyperlink" Target="https://www.thepassiveprofitclub.com" TargetMode="External"/><Relationship Id="rId1435" Type="http://schemas.openxmlformats.org/officeDocument/2006/relationships/hyperlink" Target="http://passive_income.us" TargetMode="External"/><Relationship Id="rId1436" Type="http://schemas.openxmlformats.org/officeDocument/2006/relationships/hyperlink" Target="https://offer.filinks.us" TargetMode="External"/><Relationship Id="rId1437" Type="http://schemas.openxmlformats.org/officeDocument/2006/relationships/hyperlink" Target="https://maps.app.goo.gl/43pZdqKP1FSXmKCX6" TargetMode="External"/><Relationship Id="rId1438" Type="http://schemas.openxmlformats.org/officeDocument/2006/relationships/hyperlink" Target="http://linktr.ee/PCGaming" TargetMode="External"/><Relationship Id="rId1439" Type="http://schemas.openxmlformats.org/officeDocument/2006/relationships/hyperlink" Target="https://www.v8j.ae/" TargetMode="External"/><Relationship Id="rId609" Type="http://schemas.openxmlformats.org/officeDocument/2006/relationships/hyperlink" Target="https://www.tiktok.com/@entrevistasec?_t=ZM-8tSbDGmYVeg&amp;_r=1" TargetMode="External"/><Relationship Id="rId608" Type="http://schemas.openxmlformats.org/officeDocument/2006/relationships/hyperlink" Target="http://www.entrevistapol.es" TargetMode="External"/><Relationship Id="rId607" Type="http://schemas.openxmlformats.org/officeDocument/2006/relationships/hyperlink" Target="https://pay.kiwify.com.br/YGrZEVT?afid=74R5IDRG" TargetMode="External"/><Relationship Id="rId602" Type="http://schemas.openxmlformats.org/officeDocument/2006/relationships/hyperlink" Target="http://entreprneurinsights.com/subscribe" TargetMode="External"/><Relationship Id="rId601" Type="http://schemas.openxmlformats.org/officeDocument/2006/relationships/hyperlink" Target="https://bit.ly/3Y9xxMp" TargetMode="External"/><Relationship Id="rId600" Type="http://schemas.openxmlformats.org/officeDocument/2006/relationships/hyperlink" Target="http://skool.com/atconsulting" TargetMode="External"/><Relationship Id="rId606" Type="http://schemas.openxmlformats.org/officeDocument/2006/relationships/hyperlink" Target="https://themepageinsiders.com/join" TargetMode="External"/><Relationship Id="rId605" Type="http://schemas.openxmlformats.org/officeDocument/2006/relationships/hyperlink" Target="http://liveyourimpossible.co/l/self-discipline" TargetMode="External"/><Relationship Id="rId604" Type="http://schemas.openxmlformats.org/officeDocument/2006/relationships/hyperlink" Target="https://keyforsuccessmind.com/l/the-habit-manifesto" TargetMode="External"/><Relationship Id="rId603" Type="http://schemas.openxmlformats.org/officeDocument/2006/relationships/hyperlink" Target="https://youtu.be/Y0id5ZyOkHA" TargetMode="External"/><Relationship Id="rId1430" Type="http://schemas.openxmlformats.org/officeDocument/2006/relationships/hyperlink" Target="https://lynk.id/alphawomenenergy" TargetMode="External"/><Relationship Id="rId1431" Type="http://schemas.openxmlformats.org/officeDocument/2006/relationships/hyperlink" Target="https://taplink.cc/passiveincomeanna" TargetMode="External"/><Relationship Id="rId1432" Type="http://schemas.openxmlformats.org/officeDocument/2006/relationships/hyperlink" Target="https://bit.ly/4k5AVRx" TargetMode="External"/><Relationship Id="rId1422" Type="http://schemas.openxmlformats.org/officeDocument/2006/relationships/hyperlink" Target="https://youtu.be/BwTJDsgB-No" TargetMode="External"/><Relationship Id="rId1423" Type="http://schemas.openxmlformats.org/officeDocument/2006/relationships/hyperlink" Target="https://geni.us/ParkourNinjaSammys" TargetMode="External"/><Relationship Id="rId1424" Type="http://schemas.openxmlformats.org/officeDocument/2006/relationships/hyperlink" Target="https://linktr.ee/Parkourtribe" TargetMode="External"/><Relationship Id="rId1425" Type="http://schemas.openxmlformats.org/officeDocument/2006/relationships/hyperlink" Target="https://zshorten.com/VJko3" TargetMode="External"/><Relationship Id="rId1426" Type="http://schemas.openxmlformats.org/officeDocument/2006/relationships/hyperlink" Target="http://www.sportparkourleague.com" TargetMode="External"/><Relationship Id="rId1427" Type="http://schemas.openxmlformats.org/officeDocument/2006/relationships/hyperlink" Target="https://store.steampowered.com/app/3125250/STORROR_Parkour_Pro/" TargetMode="External"/><Relationship Id="rId1428" Type="http://schemas.openxmlformats.org/officeDocument/2006/relationships/hyperlink" Target="https://hoo.be/thejasonpaul" TargetMode="External"/><Relationship Id="rId1429" Type="http://schemas.openxmlformats.org/officeDocument/2006/relationships/hyperlink" Target="https://youtube.com/Whatparkour" TargetMode="External"/><Relationship Id="rId1420" Type="http://schemas.openxmlformats.org/officeDocument/2006/relationships/hyperlink" Target="https://youtube.com/@olivernordin" TargetMode="External"/><Relationship Id="rId1421" Type="http://schemas.openxmlformats.org/officeDocument/2006/relationships/hyperlink" Target="https://yt.openinapp.co/12b9c" TargetMode="External"/><Relationship Id="rId1059" Type="http://schemas.openxmlformats.org/officeDocument/2006/relationships/hyperlink" Target="https://amzn.to/45p4ln8" TargetMode="External"/><Relationship Id="rId228" Type="http://schemas.openxmlformats.org/officeDocument/2006/relationships/hyperlink" Target="https://bubbleteale.com" TargetMode="External"/><Relationship Id="rId227" Type="http://schemas.openxmlformats.org/officeDocument/2006/relationships/hyperlink" Target="https://linktr.ee/bubbleteamarketing" TargetMode="External"/><Relationship Id="rId226" Type="http://schemas.openxmlformats.org/officeDocument/2006/relationships/hyperlink" Target="https://maps.app.goo.gl/E7HKWEg8Dj93c4wy6" TargetMode="External"/><Relationship Id="rId225" Type="http://schemas.openxmlformats.org/officeDocument/2006/relationships/hyperlink" Target="http://bubbleteaandcigarettes.com" TargetMode="External"/><Relationship Id="rId229" Type="http://schemas.openxmlformats.org/officeDocument/2006/relationships/hyperlink" Target="http://bubble.tea.ua" TargetMode="External"/><Relationship Id="rId1050" Type="http://schemas.openxmlformats.org/officeDocument/2006/relationships/hyperlink" Target="https://many.link/lowcarb_alice" TargetMode="External"/><Relationship Id="rId220" Type="http://schemas.openxmlformats.org/officeDocument/2006/relationships/hyperlink" Target="https://thesocialpaige.co.uk/the-playbook-membership" TargetMode="External"/><Relationship Id="rId1051" Type="http://schemas.openxmlformats.org/officeDocument/2006/relationships/hyperlink" Target="https://eattherainbowkids.com/" TargetMode="External"/><Relationship Id="rId1052" Type="http://schemas.openxmlformats.org/officeDocument/2006/relationships/hyperlink" Target="https://smart.bio/kidfriendlymaryland" TargetMode="External"/><Relationship Id="rId1053" Type="http://schemas.openxmlformats.org/officeDocument/2006/relationships/hyperlink" Target="https://kidfriendlymeals.com/" TargetMode="External"/><Relationship Id="rId1054" Type="http://schemas.openxmlformats.org/officeDocument/2006/relationships/hyperlink" Target="https://linktr.ee/kidfriendlypdx" TargetMode="External"/><Relationship Id="rId224" Type="http://schemas.openxmlformats.org/officeDocument/2006/relationships/hyperlink" Target="http://bubble_bliss.tj" TargetMode="External"/><Relationship Id="rId1055" Type="http://schemas.openxmlformats.org/officeDocument/2006/relationships/hyperlink" Target="https://linktr.ee/kidfriendlyphilly" TargetMode="External"/><Relationship Id="rId223" Type="http://schemas.openxmlformats.org/officeDocument/2006/relationships/hyperlink" Target="http://bubblebar.al" TargetMode="External"/><Relationship Id="rId1056" Type="http://schemas.openxmlformats.org/officeDocument/2006/relationships/hyperlink" Target="http://www.kidfriendlystays.com" TargetMode="External"/><Relationship Id="rId222" Type="http://schemas.openxmlformats.org/officeDocument/2006/relationships/hyperlink" Target="https://foodysv.com/bobabula/" TargetMode="External"/><Relationship Id="rId1057" Type="http://schemas.openxmlformats.org/officeDocument/2006/relationships/hyperlink" Target="https://feld.ly/9nql7v" TargetMode="External"/><Relationship Id="rId221" Type="http://schemas.openxmlformats.org/officeDocument/2006/relationships/hyperlink" Target="https://tally.so/r/3N6oZp" TargetMode="External"/><Relationship Id="rId1058" Type="http://schemas.openxmlformats.org/officeDocument/2006/relationships/hyperlink" Target="http://linktr.ee/my_kids_lick_the_bowl" TargetMode="External"/><Relationship Id="rId1048" Type="http://schemas.openxmlformats.org/officeDocument/2006/relationships/hyperlink" Target="https://linktr.ee/Ketosnackz" TargetMode="External"/><Relationship Id="rId1049" Type="http://schemas.openxmlformats.org/officeDocument/2006/relationships/hyperlink" Target="https://litt.ly/vivian" TargetMode="External"/><Relationship Id="rId217" Type="http://schemas.openxmlformats.org/officeDocument/2006/relationships/hyperlink" Target="https://www.markaworks.com/" TargetMode="External"/><Relationship Id="rId216" Type="http://schemas.openxmlformats.org/officeDocument/2006/relationships/hyperlink" Target="https://shor.by/logosai" TargetMode="External"/><Relationship Id="rId215" Type="http://schemas.openxmlformats.org/officeDocument/2006/relationships/hyperlink" Target="http://logos.ai" TargetMode="External"/><Relationship Id="rId699" Type="http://schemas.openxmlformats.org/officeDocument/2006/relationships/hyperlink" Target="http://swospa.com" TargetMode="External"/><Relationship Id="rId214" Type="http://schemas.openxmlformats.org/officeDocument/2006/relationships/hyperlink" Target="https://excelbranding.mykajabi.com/newsletter" TargetMode="External"/><Relationship Id="rId698" Type="http://schemas.openxmlformats.org/officeDocument/2006/relationships/hyperlink" Target="http://womensaihealthhub.com" TargetMode="External"/><Relationship Id="rId219" Type="http://schemas.openxmlformats.org/officeDocument/2006/relationships/hyperlink" Target="https://stan.store/thehouseofsocial" TargetMode="External"/><Relationship Id="rId218" Type="http://schemas.openxmlformats.org/officeDocument/2006/relationships/hyperlink" Target="https://linktr.ee/reputeforge" TargetMode="External"/><Relationship Id="rId693" Type="http://schemas.openxmlformats.org/officeDocument/2006/relationships/hyperlink" Target="http://financialfreedom.us" TargetMode="External"/><Relationship Id="rId1040" Type="http://schemas.openxmlformats.org/officeDocument/2006/relationships/hyperlink" Target="https://lnk.bio/keto.diet.recipe" TargetMode="External"/><Relationship Id="rId692" Type="http://schemas.openxmlformats.org/officeDocument/2006/relationships/hyperlink" Target="https://portaly.cc/financial_freedom0115" TargetMode="External"/><Relationship Id="rId1041" Type="http://schemas.openxmlformats.org/officeDocument/2006/relationships/hyperlink" Target="https://linktr.ee/claudechauchard" TargetMode="External"/><Relationship Id="rId691" Type="http://schemas.openxmlformats.org/officeDocument/2006/relationships/hyperlink" Target="https://linktr.ee/FI.Freedomtoday" TargetMode="External"/><Relationship Id="rId1042" Type="http://schemas.openxmlformats.org/officeDocument/2006/relationships/hyperlink" Target="https://janetosbornefitness.com/" TargetMode="External"/><Relationship Id="rId690" Type="http://schemas.openxmlformats.org/officeDocument/2006/relationships/hyperlink" Target="https://linktr.ee/zarch_finance" TargetMode="External"/><Relationship Id="rId1043" Type="http://schemas.openxmlformats.org/officeDocument/2006/relationships/hyperlink" Target="http://linktr.ee/ketogrid" TargetMode="External"/><Relationship Id="rId213" Type="http://schemas.openxmlformats.org/officeDocument/2006/relationships/hyperlink" Target="https://linktr.ee/erinondemand" TargetMode="External"/><Relationship Id="rId697" Type="http://schemas.openxmlformats.org/officeDocument/2006/relationships/hyperlink" Target="https://linktr.ee/fiftyfitnessjourney" TargetMode="External"/><Relationship Id="rId1044" Type="http://schemas.openxmlformats.org/officeDocument/2006/relationships/hyperlink" Target="https://www.withme.so/ketomadesimple" TargetMode="External"/><Relationship Id="rId212" Type="http://schemas.openxmlformats.org/officeDocument/2006/relationships/hyperlink" Target="https://cacaudesign.com" TargetMode="External"/><Relationship Id="rId696" Type="http://schemas.openxmlformats.org/officeDocument/2006/relationships/hyperlink" Target="http://runtheedge.com/2026-challenge-final" TargetMode="External"/><Relationship Id="rId1045" Type="http://schemas.openxmlformats.org/officeDocument/2006/relationships/hyperlink" Target="http://linktr.ee/ketonationrecipe" TargetMode="External"/><Relationship Id="rId211" Type="http://schemas.openxmlformats.org/officeDocument/2006/relationships/hyperlink" Target="https://qurrv.com/submit-your-brand-design-for-global-exposure-in-2-minutes" TargetMode="External"/><Relationship Id="rId695" Type="http://schemas.openxmlformats.org/officeDocument/2006/relationships/hyperlink" Target="http://linktr.ee/LastaApp" TargetMode="External"/><Relationship Id="rId1046" Type="http://schemas.openxmlformats.org/officeDocument/2006/relationships/hyperlink" Target="https://lnk.bio/keto.recipe_" TargetMode="External"/><Relationship Id="rId210" Type="http://schemas.openxmlformats.org/officeDocument/2006/relationships/hyperlink" Target="https://linktr.ee/amusedesignstudio" TargetMode="External"/><Relationship Id="rId694" Type="http://schemas.openxmlformats.org/officeDocument/2006/relationships/hyperlink" Target="https://www.xfinancialfreedom.com/high-paying-remote-jobs-for-complete-beginners" TargetMode="External"/><Relationship Id="rId1047" Type="http://schemas.openxmlformats.org/officeDocument/2006/relationships/hyperlink" Target="https://keto-s-ermenkova.com/rejimi/" TargetMode="External"/><Relationship Id="rId249" Type="http://schemas.openxmlformats.org/officeDocument/2006/relationships/hyperlink" Target="https://elcairocinepublico.gob.ar/" TargetMode="External"/><Relationship Id="rId248" Type="http://schemas.openxmlformats.org/officeDocument/2006/relationships/hyperlink" Target="https://linktr.ee/cairokee" TargetMode="External"/><Relationship Id="rId247" Type="http://schemas.openxmlformats.org/officeDocument/2006/relationships/hyperlink" Target="http://cairojewellery.com" TargetMode="External"/><Relationship Id="rId1070" Type="http://schemas.openxmlformats.org/officeDocument/2006/relationships/hyperlink" Target="https://youtu.be/PycGT7Ub-Ng?si=E70CROdJSU4pO9uu" TargetMode="External"/><Relationship Id="rId1071" Type="http://schemas.openxmlformats.org/officeDocument/2006/relationships/hyperlink" Target="https://reach.link/pet_castle" TargetMode="External"/><Relationship Id="rId1072" Type="http://schemas.openxmlformats.org/officeDocument/2006/relationships/hyperlink" Target="https://linktr.ee/thatcatspage" TargetMode="External"/><Relationship Id="rId242" Type="http://schemas.openxmlformats.org/officeDocument/2006/relationships/hyperlink" Target="http://mentorship.ai" TargetMode="External"/><Relationship Id="rId1073" Type="http://schemas.openxmlformats.org/officeDocument/2006/relationships/hyperlink" Target="https://linktr.ee/dakgalbiresto" TargetMode="External"/><Relationship Id="rId241" Type="http://schemas.openxmlformats.org/officeDocument/2006/relationships/hyperlink" Target="https://www.youtube.com/@daily_business4u" TargetMode="External"/><Relationship Id="rId1074" Type="http://schemas.openxmlformats.org/officeDocument/2006/relationships/hyperlink" Target="http://link.inpock.co.kr/eden_table" TargetMode="External"/><Relationship Id="rId240" Type="http://schemas.openxmlformats.org/officeDocument/2006/relationships/hyperlink" Target="https://businessgrowthsquare.com/p/f668b8/" TargetMode="External"/><Relationship Id="rId1075" Type="http://schemas.openxmlformats.org/officeDocument/2006/relationships/hyperlink" Target="https://www.youtube.com/channel/UCdmDVfzQWkUle4Qsh1vhENg" TargetMode="External"/><Relationship Id="rId1076" Type="http://schemas.openxmlformats.org/officeDocument/2006/relationships/hyperlink" Target="https://foxterradesign.com/links/" TargetMode="External"/><Relationship Id="rId246" Type="http://schemas.openxmlformats.org/officeDocument/2006/relationships/hyperlink" Target="https://linktr.ee/elcairobar" TargetMode="External"/><Relationship Id="rId1077" Type="http://schemas.openxmlformats.org/officeDocument/2006/relationships/hyperlink" Target="https://www.gardenstudiodesign.com/quick-links/" TargetMode="External"/><Relationship Id="rId245" Type="http://schemas.openxmlformats.org/officeDocument/2006/relationships/hyperlink" Target="https://shetalksbusiness.co/free" TargetMode="External"/><Relationship Id="rId1078" Type="http://schemas.openxmlformats.org/officeDocument/2006/relationships/hyperlink" Target="http://www.giuliogroebert.com/links" TargetMode="External"/><Relationship Id="rId244" Type="http://schemas.openxmlformats.org/officeDocument/2006/relationships/hyperlink" Target="https://superprofile.bio/vp/100-business-ideas-atoz-blueprint-telugu" TargetMode="External"/><Relationship Id="rId1079" Type="http://schemas.openxmlformats.org/officeDocument/2006/relationships/hyperlink" Target="http://link.me/greengenielandscapes" TargetMode="External"/><Relationship Id="rId243" Type="http://schemas.openxmlformats.org/officeDocument/2006/relationships/hyperlink" Target="https://affiliatesmind.com/social" TargetMode="External"/><Relationship Id="rId239" Type="http://schemas.openxmlformats.org/officeDocument/2006/relationships/hyperlink" Target="https://alvo.chat/6jVp" TargetMode="External"/><Relationship Id="rId238" Type="http://schemas.openxmlformats.org/officeDocument/2006/relationships/hyperlink" Target="https://yt.openinapp.co/e9yee" TargetMode="External"/><Relationship Id="rId237" Type="http://schemas.openxmlformats.org/officeDocument/2006/relationships/hyperlink" Target="https://www.amazon.com/shop/globetrotadventures?ref_=cm_sw_r_cp_ud_aipsfshop_Y06Q8WBFEHDJR8WFV0R1" TargetMode="External"/><Relationship Id="rId236" Type="http://schemas.openxmlformats.org/officeDocument/2006/relationships/hyperlink" Target="https://whatsapp.com/channel/0029VbBG6t4AjPXVAcAvEI3A" TargetMode="External"/><Relationship Id="rId1060" Type="http://schemas.openxmlformats.org/officeDocument/2006/relationships/hyperlink" Target="https://www.facebook.com/kids.activities.123053?mibextid=LQQJ4d" TargetMode="External"/><Relationship Id="rId1061" Type="http://schemas.openxmlformats.org/officeDocument/2006/relationships/hyperlink" Target="https://kidsactivitiesblog.com" TargetMode="External"/><Relationship Id="rId231" Type="http://schemas.openxmlformats.org/officeDocument/2006/relationships/hyperlink" Target="https://tap.bio/@budgettravel" TargetMode="External"/><Relationship Id="rId1062" Type="http://schemas.openxmlformats.org/officeDocument/2006/relationships/hyperlink" Target="https://t.me/sissoulina" TargetMode="External"/><Relationship Id="rId230" Type="http://schemas.openxmlformats.org/officeDocument/2006/relationships/hyperlink" Target="http://tudo.berlin" TargetMode="External"/><Relationship Id="rId1063" Type="http://schemas.openxmlformats.org/officeDocument/2006/relationships/hyperlink" Target="https://linktr.ee/heather.happykidskitchen" TargetMode="External"/><Relationship Id="rId1064" Type="http://schemas.openxmlformats.org/officeDocument/2006/relationships/hyperlink" Target="https://youtube.com/@kidscookingclubtv8763?si=Y4GWcTYjlWkfeTqc" TargetMode="External"/><Relationship Id="rId1065" Type="http://schemas.openxmlformats.org/officeDocument/2006/relationships/hyperlink" Target="https://kids-cookinging.myshopify.com/" TargetMode="External"/><Relationship Id="rId235" Type="http://schemas.openxmlformats.org/officeDocument/2006/relationships/hyperlink" Target="https://linkin.bio/budget-travel-ireland" TargetMode="External"/><Relationship Id="rId1066" Type="http://schemas.openxmlformats.org/officeDocument/2006/relationships/hyperlink" Target="https://linktr.ee/TOVLAJR" TargetMode="External"/><Relationship Id="rId234" Type="http://schemas.openxmlformats.org/officeDocument/2006/relationships/hyperlink" Target="http://budget.travel.hr" TargetMode="External"/><Relationship Id="rId1067" Type="http://schemas.openxmlformats.org/officeDocument/2006/relationships/hyperlink" Target="https://chat.whatsapp.com/GFEykuBoyZcACSusLbDEFa?mode=ac_t" TargetMode="External"/><Relationship Id="rId233" Type="http://schemas.openxmlformats.org/officeDocument/2006/relationships/hyperlink" Target="https://chat.whatsapp.com/DQmmF3qQLSMFC2JY1CEtwL?mode=ac_t" TargetMode="External"/><Relationship Id="rId1068" Type="http://schemas.openxmlformats.org/officeDocument/2006/relationships/hyperlink" Target="https://erinkittens.com/about" TargetMode="External"/><Relationship Id="rId232" Type="http://schemas.openxmlformats.org/officeDocument/2006/relationships/hyperlink" Target="https://yt.openinapp.co/bcwlq" TargetMode="External"/><Relationship Id="rId1069" Type="http://schemas.openxmlformats.org/officeDocument/2006/relationships/hyperlink" Target="http://tinyurl.com/fosterKD" TargetMode="External"/><Relationship Id="rId1015" Type="http://schemas.openxmlformats.org/officeDocument/2006/relationships/hyperlink" Target="https://keepo.io/jiujitsulifestyle" TargetMode="External"/><Relationship Id="rId1499" Type="http://schemas.openxmlformats.org/officeDocument/2006/relationships/hyperlink" Target="https://healthyvegan.fit/theplantbasedmeal" TargetMode="External"/><Relationship Id="rId1016" Type="http://schemas.openxmlformats.org/officeDocument/2006/relationships/hyperlink" Target="https://mantostore.com/jiujitsu?pr=SALEOFF" TargetMode="External"/><Relationship Id="rId1017" Type="http://schemas.openxmlformats.org/officeDocument/2006/relationships/hyperlink" Target="https://mantostore.com/jiujitsu?pr=SALEOFF" TargetMode="External"/><Relationship Id="rId1018" Type="http://schemas.openxmlformats.org/officeDocument/2006/relationships/hyperlink" Target="https://graciebarra.co.za/" TargetMode="External"/><Relationship Id="rId1019" Type="http://schemas.openxmlformats.org/officeDocument/2006/relationships/hyperlink" Target="https://linktr.ee/ambitiouslyalexa" TargetMode="External"/><Relationship Id="rId668" Type="http://schemas.openxmlformats.org/officeDocument/2006/relationships/hyperlink" Target="https://linktr.ee/submersionfestival" TargetMode="External"/><Relationship Id="rId667" Type="http://schemas.openxmlformats.org/officeDocument/2006/relationships/hyperlink" Target="https://www.shifted-festival.com/de/tickets" TargetMode="External"/><Relationship Id="rId666" Type="http://schemas.openxmlformats.org/officeDocument/2006/relationships/hyperlink" Target="http://parklife.uk.com" TargetMode="External"/><Relationship Id="rId665" Type="http://schemas.openxmlformats.org/officeDocument/2006/relationships/hyperlink" Target="https://linktr.ee/nologofestival" TargetMode="External"/><Relationship Id="rId669" Type="http://schemas.openxmlformats.org/officeDocument/2006/relationships/hyperlink" Target="https://linktr.ee/tiendafestival" TargetMode="External"/><Relationship Id="rId1490" Type="http://schemas.openxmlformats.org/officeDocument/2006/relationships/hyperlink" Target="https://linktr.ee/PlantBasedOmnivore" TargetMode="External"/><Relationship Id="rId660" Type="http://schemas.openxmlformats.org/officeDocument/2006/relationships/hyperlink" Target="http://fashiontrends4u.store" TargetMode="External"/><Relationship Id="rId1491" Type="http://schemas.openxmlformats.org/officeDocument/2006/relationships/hyperlink" Target="https://linktr.ee/plantbasedonabudget" TargetMode="External"/><Relationship Id="rId1492" Type="http://schemas.openxmlformats.org/officeDocument/2006/relationships/hyperlink" Target="https://linktr.ee/plantbasedrd" TargetMode="External"/><Relationship Id="rId1493" Type="http://schemas.openxmlformats.org/officeDocument/2006/relationships/hyperlink" Target="http://www.plantbasedtamika.com" TargetMode="External"/><Relationship Id="rId1010" Type="http://schemas.openxmlformats.org/officeDocument/2006/relationships/hyperlink" Target="http://www.antarajj.com" TargetMode="External"/><Relationship Id="rId1494" Type="http://schemas.openxmlformats.org/officeDocument/2006/relationships/hyperlink" Target="https://linktr.ee/plantbasedtreaty" TargetMode="External"/><Relationship Id="rId664" Type="http://schemas.openxmlformats.org/officeDocument/2006/relationships/hyperlink" Target="https://linktr.ee/hivefestival" TargetMode="External"/><Relationship Id="rId1011" Type="http://schemas.openxmlformats.org/officeDocument/2006/relationships/hyperlink" Target="https://artofjiujitsu.com" TargetMode="External"/><Relationship Id="rId1495" Type="http://schemas.openxmlformats.org/officeDocument/2006/relationships/hyperlink" Target="https://tebeauty.shop" TargetMode="External"/><Relationship Id="rId663" Type="http://schemas.openxmlformats.org/officeDocument/2006/relationships/hyperlink" Target="http://festivalestereopicnic.com" TargetMode="External"/><Relationship Id="rId1012" Type="http://schemas.openxmlformats.org/officeDocument/2006/relationships/hyperlink" Target="https://linktr.ee/Gordonlovesjiujitsu" TargetMode="External"/><Relationship Id="rId1496" Type="http://schemas.openxmlformats.org/officeDocument/2006/relationships/hyperlink" Target="https://www.nevellskin.com/" TargetMode="External"/><Relationship Id="rId662" Type="http://schemas.openxmlformats.org/officeDocument/2006/relationships/hyperlink" Target="http://evolutionsfestival.com" TargetMode="External"/><Relationship Id="rId1013" Type="http://schemas.openxmlformats.org/officeDocument/2006/relationships/hyperlink" Target="http://www.jiujitsucon.com/" TargetMode="External"/><Relationship Id="rId1497" Type="http://schemas.openxmlformats.org/officeDocument/2006/relationships/hyperlink" Target="https://beacons.ai/waytohealthkitchen" TargetMode="External"/><Relationship Id="rId661" Type="http://schemas.openxmlformats.org/officeDocument/2006/relationships/hyperlink" Target="https://linktr.ee/elementsfestival" TargetMode="External"/><Relationship Id="rId1014" Type="http://schemas.openxmlformats.org/officeDocument/2006/relationships/hyperlink" Target="http://linktr.ee/jiujitsufive_o" TargetMode="External"/><Relationship Id="rId1498" Type="http://schemas.openxmlformats.org/officeDocument/2006/relationships/hyperlink" Target="http://www.linktr.ee/planthood" TargetMode="External"/><Relationship Id="rId1004" Type="http://schemas.openxmlformats.org/officeDocument/2006/relationships/hyperlink" Target="https://linktr.ee/vincenzosplate" TargetMode="External"/><Relationship Id="rId1488" Type="http://schemas.openxmlformats.org/officeDocument/2006/relationships/hyperlink" Target="https://plantbasedjuniors.myshopify.com/" TargetMode="External"/><Relationship Id="rId1005" Type="http://schemas.openxmlformats.org/officeDocument/2006/relationships/hyperlink" Target="http://www.tiktok.com/@japanesefoods_" TargetMode="External"/><Relationship Id="rId1489" Type="http://schemas.openxmlformats.org/officeDocument/2006/relationships/hyperlink" Target="https://plantbasednews.org/" TargetMode="External"/><Relationship Id="rId1006" Type="http://schemas.openxmlformats.org/officeDocument/2006/relationships/hyperlink" Target="https://www.tiktok.com/@osaka_japanesefood?_t=ZS-8wOoZicXtEw&amp;_r=1" TargetMode="External"/><Relationship Id="rId1007" Type="http://schemas.openxmlformats.org/officeDocument/2006/relationships/hyperlink" Target="https://beacons.ai/codingstella" TargetMode="External"/><Relationship Id="rId1008" Type="http://schemas.openxmlformats.org/officeDocument/2006/relationships/hyperlink" Target="https://www.jsmastery.pro/hub" TargetMode="External"/><Relationship Id="rId1009" Type="http://schemas.openxmlformats.org/officeDocument/2006/relationships/hyperlink" Target="https://discord.gg/dkv2z678" TargetMode="External"/><Relationship Id="rId657" Type="http://schemas.openxmlformats.org/officeDocument/2006/relationships/hyperlink" Target="https://t.snapchat.com/ZuTDxcLg" TargetMode="External"/><Relationship Id="rId656" Type="http://schemas.openxmlformats.org/officeDocument/2006/relationships/hyperlink" Target="https://collshp.com/just.in.stuff" TargetMode="External"/><Relationship Id="rId655" Type="http://schemas.openxmlformats.org/officeDocument/2006/relationships/hyperlink" Target="http://liketoknow.it/petitelife_incolors/" TargetMode="External"/><Relationship Id="rId654" Type="http://schemas.openxmlformats.org/officeDocument/2006/relationships/hyperlink" Target="https://telegram.me/fashion_tips_9" TargetMode="External"/><Relationship Id="rId659" Type="http://schemas.openxmlformats.org/officeDocument/2006/relationships/hyperlink" Target="https://chat.whatsapp.com/Gk65eS5d7oQ1RArPoqlEIP" TargetMode="External"/><Relationship Id="rId658" Type="http://schemas.openxmlformats.org/officeDocument/2006/relationships/hyperlink" Target="https://www.facebook.com/profile.php?id=100056872402463&amp;mibextid=LQQJ4d" TargetMode="External"/><Relationship Id="rId1480" Type="http://schemas.openxmlformats.org/officeDocument/2006/relationships/hyperlink" Target="https://www.pianoworks.bar/?utm_source=bau_organic_social&amp;utm_medium=profile_link&amp;utm_campaign=piano_works_brand&amp;utm_term=n.a&amp;utm_content=n.a" TargetMode="External"/><Relationship Id="rId1481" Type="http://schemas.openxmlformats.org/officeDocument/2006/relationships/hyperlink" Target="https://hotm.art/CURSO-DE-PIANO-AQUI" TargetMode="External"/><Relationship Id="rId1482" Type="http://schemas.openxmlformats.org/officeDocument/2006/relationships/hyperlink" Target="https://almondcow.co/" TargetMode="External"/><Relationship Id="rId1483" Type="http://schemas.openxmlformats.org/officeDocument/2006/relationships/hyperlink" Target="https://linktr.ee/fit.green.mind" TargetMode="External"/><Relationship Id="rId653" Type="http://schemas.openxmlformats.org/officeDocument/2006/relationships/hyperlink" Target="https://amzn.to/47Vi0lZ" TargetMode="External"/><Relationship Id="rId1000" Type="http://schemas.openxmlformats.org/officeDocument/2006/relationships/hyperlink" Target="https://taplink.cc/gidvstambule" TargetMode="External"/><Relationship Id="rId1484" Type="http://schemas.openxmlformats.org/officeDocument/2006/relationships/hyperlink" Target="http://sprout.link/pbwhole30" TargetMode="External"/><Relationship Id="rId652" Type="http://schemas.openxmlformats.org/officeDocument/2006/relationships/hyperlink" Target="https://www.youtube.com/@fashiontipsbyakhilesh" TargetMode="External"/><Relationship Id="rId1001" Type="http://schemas.openxmlformats.org/officeDocument/2006/relationships/hyperlink" Target="http://www.italianplaces.it/" TargetMode="External"/><Relationship Id="rId1485" Type="http://schemas.openxmlformats.org/officeDocument/2006/relationships/hyperlink" Target="https://plantbaed.getbento.com/online-ordering/" TargetMode="External"/><Relationship Id="rId651" Type="http://schemas.openxmlformats.org/officeDocument/2006/relationships/hyperlink" Target="https://www.youtube.com/@fashiontipsbyakhilesh" TargetMode="External"/><Relationship Id="rId1002" Type="http://schemas.openxmlformats.org/officeDocument/2006/relationships/hyperlink" Target="https://hardcoreitalians.blog/category/culture/food-wine/" TargetMode="External"/><Relationship Id="rId1486" Type="http://schemas.openxmlformats.org/officeDocument/2006/relationships/hyperlink" Target="http://plantbasedbre.komi.io/" TargetMode="External"/><Relationship Id="rId650" Type="http://schemas.openxmlformats.org/officeDocument/2006/relationships/hyperlink" Target="https://youtube.com/@mangalbhaipatel?si=VRi6ETx0GpLdTsTJ" TargetMode="External"/><Relationship Id="rId1003" Type="http://schemas.openxmlformats.org/officeDocument/2006/relationships/hyperlink" Target="https://www.italianfoodtherapy.com/" TargetMode="External"/><Relationship Id="rId1487" Type="http://schemas.openxmlformats.org/officeDocument/2006/relationships/hyperlink" Target="http://www.plantbasedclinic.com" TargetMode="External"/><Relationship Id="rId1037" Type="http://schemas.openxmlformats.org/officeDocument/2006/relationships/hyperlink" Target="https://youtube.com/channel/UCz_i6ecsCYD7bCCJbtziTMQ" TargetMode="External"/><Relationship Id="rId1038" Type="http://schemas.openxmlformats.org/officeDocument/2006/relationships/hyperlink" Target="https://youtube.com/@TheKarateShrimp" TargetMode="External"/><Relationship Id="rId1039" Type="http://schemas.openxmlformats.org/officeDocument/2006/relationships/hyperlink" Target="https://momentswithmaa.com/" TargetMode="External"/><Relationship Id="rId206" Type="http://schemas.openxmlformats.org/officeDocument/2006/relationships/hyperlink" Target="https://recreation.gsu.edu/programs/fitness-classes/%252523atlanta" TargetMode="External"/><Relationship Id="rId205" Type="http://schemas.openxmlformats.org/officeDocument/2006/relationships/hyperlink" Target="https://www.youtube.com/live/0dVnU0dnTU8?si=pzLOVYjxqsiegx6P" TargetMode="External"/><Relationship Id="rId689" Type="http://schemas.openxmlformats.org/officeDocument/2006/relationships/hyperlink" Target="https://linktr.ee/jonathantristan?utm_source=linktree_profile_share&amp;ltsid=21077c5a-6b0e-48ea-9990-e61e1f787cb1" TargetMode="External"/><Relationship Id="rId204" Type="http://schemas.openxmlformats.org/officeDocument/2006/relationships/hyperlink" Target="https://lnk.bio/daznboxing" TargetMode="External"/><Relationship Id="rId688" Type="http://schemas.openxmlformats.org/officeDocument/2006/relationships/hyperlink" Target="https://linktr.ee/financebro" TargetMode="External"/><Relationship Id="rId203" Type="http://schemas.openxmlformats.org/officeDocument/2006/relationships/hyperlink" Target="https://youtube.com/@boxingego?si=YT5IbJMZg5kUd7JN" TargetMode="External"/><Relationship Id="rId687" Type="http://schemas.openxmlformats.org/officeDocument/2006/relationships/hyperlink" Target="https://smartlink.bio/yahoofinance" TargetMode="External"/><Relationship Id="rId209" Type="http://schemas.openxmlformats.org/officeDocument/2006/relationships/hyperlink" Target="https://webook.com/en/events/wbc-boxing-grand-prix-tickets-564783" TargetMode="External"/><Relationship Id="rId208" Type="http://schemas.openxmlformats.org/officeDocument/2006/relationships/hyperlink" Target="https://linktr.ee/trboxing" TargetMode="External"/><Relationship Id="rId207" Type="http://schemas.openxmlformats.org/officeDocument/2006/relationships/hyperlink" Target="https://app.temu.com/k/ez3dfgj9b6o" TargetMode="External"/><Relationship Id="rId682" Type="http://schemas.openxmlformats.org/officeDocument/2006/relationships/hyperlink" Target="https://laurentcosmosfinance.kessel.media/" TargetMode="External"/><Relationship Id="rId681" Type="http://schemas.openxmlformats.org/officeDocument/2006/relationships/hyperlink" Target="http://indianfinance.in" TargetMode="External"/><Relationship Id="rId1030" Type="http://schemas.openxmlformats.org/officeDocument/2006/relationships/hyperlink" Target="https://linkin.bio/jpopmanga" TargetMode="External"/><Relationship Id="rId680" Type="http://schemas.openxmlformats.org/officeDocument/2006/relationships/hyperlink" Target="https://hoseinifinance.com" TargetMode="External"/><Relationship Id="rId1031" Type="http://schemas.openxmlformats.org/officeDocument/2006/relationships/hyperlink" Target="https://www.universe.com/events/kc-55-56-miami-2-day-event-tickets-H6XDKS?ref=Insta" TargetMode="External"/><Relationship Id="rId1032" Type="http://schemas.openxmlformats.org/officeDocument/2006/relationships/hyperlink" Target="https://kick.site/zdy1mfdv" TargetMode="External"/><Relationship Id="rId202" Type="http://schemas.openxmlformats.org/officeDocument/2006/relationships/hyperlink" Target="https://www.facebook.com/Boxing6/" TargetMode="External"/><Relationship Id="rId686" Type="http://schemas.openxmlformats.org/officeDocument/2006/relationships/hyperlink" Target="https://finance.worldy.com/" TargetMode="External"/><Relationship Id="rId1033" Type="http://schemas.openxmlformats.org/officeDocument/2006/relationships/hyperlink" Target="https://mantostore.com/karate?pr=SALEOFF" TargetMode="External"/><Relationship Id="rId201" Type="http://schemas.openxmlformats.org/officeDocument/2006/relationships/hyperlink" Target="http://youtube.com/@atsfight" TargetMode="External"/><Relationship Id="rId685" Type="http://schemas.openxmlformats.org/officeDocument/2006/relationships/hyperlink" Target="https://linktr.ee/themarkethustle" TargetMode="External"/><Relationship Id="rId1034" Type="http://schemas.openxmlformats.org/officeDocument/2006/relationships/hyperlink" Target="https://www.imdb.com/name/nm13371872/?ref_=ext_shr_lnk" TargetMode="External"/><Relationship Id="rId200" Type="http://schemas.openxmlformats.org/officeDocument/2006/relationships/hyperlink" Target="https://www.youtube.com/@aliboxing420" TargetMode="External"/><Relationship Id="rId684" Type="http://schemas.openxmlformats.org/officeDocument/2006/relationships/hyperlink" Target="https://bit.ly/financeinvestmentssf" TargetMode="External"/><Relationship Id="rId1035" Type="http://schemas.openxmlformats.org/officeDocument/2006/relationships/hyperlink" Target="https://bit.ly/WatchKarateKidLegends" TargetMode="External"/><Relationship Id="rId683" Type="http://schemas.openxmlformats.org/officeDocument/2006/relationships/hyperlink" Target="http://iteachyoutoinvest.com" TargetMode="External"/><Relationship Id="rId1036" Type="http://schemas.openxmlformats.org/officeDocument/2006/relationships/hyperlink" Target="https://forms.gle/mxXsP9aGMrQt4jTXA" TargetMode="External"/><Relationship Id="rId1026" Type="http://schemas.openxmlformats.org/officeDocument/2006/relationships/hyperlink" Target="https://linktr.ee/kayleesbiblejournaling" TargetMode="External"/><Relationship Id="rId1027" Type="http://schemas.openxmlformats.org/officeDocument/2006/relationships/hyperlink" Target="https://linktr.ee/natashainyourphone" TargetMode="External"/><Relationship Id="rId1028" Type="http://schemas.openxmlformats.org/officeDocument/2006/relationships/hyperlink" Target="http://paperwrld.com/shopnow" TargetMode="External"/><Relationship Id="rId1029" Type="http://schemas.openxmlformats.org/officeDocument/2006/relationships/hyperlink" Target="https://linktr.ee/peekmybook" TargetMode="External"/><Relationship Id="rId679" Type="http://schemas.openxmlformats.org/officeDocument/2006/relationships/hyperlink" Target="https://www.mstock.com/open-demat-account?utm_adgroup=Smarkerz_BAU&amp;utm_source=Smarkerz&amp;utm_medium=Affiliates&amp;utm_campaign=Smarkerz__influencer__2022&amp;utm_content=qqr7m1h3&amp;smarkerzid=qqr7m1h3" TargetMode="External"/><Relationship Id="rId678" Type="http://schemas.openxmlformats.org/officeDocument/2006/relationships/hyperlink" Target="https://app.adjust.com/1p6pu3zu" TargetMode="External"/><Relationship Id="rId677" Type="http://schemas.openxmlformats.org/officeDocument/2006/relationships/hyperlink" Target="https://www.shortsqueez.co/subscribe/?utm_source=fge" TargetMode="External"/><Relationship Id="rId676" Type="http://schemas.openxmlformats.org/officeDocument/2006/relationships/hyperlink" Target="https://linktr.ee/finance_god_trading" TargetMode="External"/><Relationship Id="rId671" Type="http://schemas.openxmlformats.org/officeDocument/2006/relationships/hyperlink" Target="http://kukaj.to" TargetMode="External"/><Relationship Id="rId670" Type="http://schemas.openxmlformats.org/officeDocument/2006/relationships/hyperlink" Target="https://form.jotform.com/251630702044445" TargetMode="External"/><Relationship Id="rId1020" Type="http://schemas.openxmlformats.org/officeDocument/2006/relationships/hyperlink" Target="https://sy.jeanne-poittevin.fr/ebook-summer-25" TargetMode="External"/><Relationship Id="rId1021" Type="http://schemas.openxmlformats.org/officeDocument/2006/relationships/hyperlink" Target="https://www.wavesofthoughts.com/link-in-bio" TargetMode="External"/><Relationship Id="rId675" Type="http://schemas.openxmlformats.org/officeDocument/2006/relationships/hyperlink" Target="https://linktr.ee/financegod" TargetMode="External"/><Relationship Id="rId1022" Type="http://schemas.openxmlformats.org/officeDocument/2006/relationships/hyperlink" Target="https://www.tiktok.com/@journalingdan" TargetMode="External"/><Relationship Id="rId674" Type="http://schemas.openxmlformats.org/officeDocument/2006/relationships/hyperlink" Target="http://budgetdogacademy.com/ig-get-started" TargetMode="External"/><Relationship Id="rId1023" Type="http://schemas.openxmlformats.org/officeDocument/2006/relationships/hyperlink" Target="https://www.amazon.com/shop/influencer-be8febb0?ref_=cm_sw_r_mwn_aipsfshop_WTF5MKF03F23HVE45HFV&amp;language=en-US" TargetMode="External"/><Relationship Id="rId673" Type="http://schemas.openxmlformats.org/officeDocument/2006/relationships/hyperlink" Target="https://valvey.myportfolio.com" TargetMode="External"/><Relationship Id="rId1024" Type="http://schemas.openxmlformats.org/officeDocument/2006/relationships/hyperlink" Target="https://linktr.ee/journalinghome" TargetMode="External"/><Relationship Id="rId672" Type="http://schemas.openxmlformats.org/officeDocument/2006/relationships/hyperlink" Target="https://beacons.ai/filmenthusiast" TargetMode="External"/><Relationship Id="rId1025" Type="http://schemas.openxmlformats.org/officeDocument/2006/relationships/hyperlink" Target="https://t.me/living_by_design" TargetMode="External"/><Relationship Id="rId190" Type="http://schemas.openxmlformats.org/officeDocument/2006/relationships/hyperlink" Target="https://www.youtube.com/channel/UCc4dqLzQYDpoYfYK19isspw" TargetMode="External"/><Relationship Id="rId194" Type="http://schemas.openxmlformats.org/officeDocument/2006/relationships/hyperlink" Target="https://www.amazon.com/shop/book_recommendations_official?ref=ac_inf_tb_vh" TargetMode="External"/><Relationship Id="rId193" Type="http://schemas.openxmlformats.org/officeDocument/2006/relationships/hyperlink" Target="https://linktr.ee/thegoldenbodybuilding" TargetMode="External"/><Relationship Id="rId192" Type="http://schemas.openxmlformats.org/officeDocument/2006/relationships/hyperlink" Target="https://www.bodybuildingrussia.com/site/supplements/promokody-na-sportivnoe-pitanie-i-bady.aspx" TargetMode="External"/><Relationship Id="rId191" Type="http://schemas.openxmlformats.org/officeDocument/2006/relationships/hyperlink" Target="https://www.patreon.com/BodyBuildingHeroes?utm_medium=unknown&amp;utm_source=join_link&amp;utm_campaign=creatorshare_creator&amp;utm_content=copyLink" TargetMode="External"/><Relationship Id="rId187" Type="http://schemas.openxmlformats.org/officeDocument/2006/relationships/hyperlink" Target="https://linktw.in/nqkMvq" TargetMode="External"/><Relationship Id="rId186" Type="http://schemas.openxmlformats.org/officeDocument/2006/relationships/hyperlink" Target="https://musclenation.org/pages/mens?utm_source=ig&amp;utm_medium=organic&amp;utm_campaign=mn-mens-story-link-03-23" TargetMode="External"/><Relationship Id="rId185" Type="http://schemas.openxmlformats.org/officeDocument/2006/relationships/hyperlink" Target="http://woosung.bio" TargetMode="External"/><Relationship Id="rId184" Type="http://schemas.openxmlformats.org/officeDocument/2006/relationships/hyperlink" Target="https://maps.google.com/?q=-6.776223%2C39.226784" TargetMode="External"/><Relationship Id="rId189" Type="http://schemas.openxmlformats.org/officeDocument/2006/relationships/hyperlink" Target="https://bbcom.me/4gtHj2I" TargetMode="External"/><Relationship Id="rId188" Type="http://schemas.openxmlformats.org/officeDocument/2006/relationships/hyperlink" Target="http://bodybuilding.com" TargetMode="External"/><Relationship Id="rId183" Type="http://schemas.openxmlformats.org/officeDocument/2006/relationships/hyperlink" Target="https://linktr.ee/geekandpink?utm_source=linktree_profile_share&amp;ltsid=5e645bc0-9850-4fa6-b7d9-8ff074d34927" TargetMode="External"/><Relationship Id="rId182" Type="http://schemas.openxmlformats.org/officeDocument/2006/relationships/hyperlink" Target="https://www.facebook.com/boardgameswithcouple" TargetMode="External"/><Relationship Id="rId181" Type="http://schemas.openxmlformats.org/officeDocument/2006/relationships/hyperlink" Target="https://boardgamesq8.com/index.php?route=product%2Fcategory&amp;path=66" TargetMode="External"/><Relationship Id="rId180" Type="http://schemas.openxmlformats.org/officeDocument/2006/relationships/hyperlink" Target="https://boardgamescards.com/" TargetMode="External"/><Relationship Id="rId176" Type="http://schemas.openxmlformats.org/officeDocument/2006/relationships/hyperlink" Target="http://www.hatimbirds.com" TargetMode="External"/><Relationship Id="rId175" Type="http://schemas.openxmlformats.org/officeDocument/2006/relationships/hyperlink" Target="http://www.deuxbirds.shop" TargetMode="External"/><Relationship Id="rId174" Type="http://schemas.openxmlformats.org/officeDocument/2006/relationships/hyperlink" Target="https://link.chtbl.com/bev" TargetMode="External"/><Relationship Id="rId173" Type="http://schemas.openxmlformats.org/officeDocument/2006/relationships/hyperlink" Target="https://birds-bees.com/products/birds-bees-video-bundle" TargetMode="External"/><Relationship Id="rId179" Type="http://schemas.openxmlformats.org/officeDocument/2006/relationships/hyperlink" Target="https://cdn.me-qr.com/pdf/5323472.pdf?time=1697704789" TargetMode="External"/><Relationship Id="rId178" Type="http://schemas.openxmlformats.org/officeDocument/2006/relationships/hyperlink" Target="http://www.travisbirds.com" TargetMode="External"/><Relationship Id="rId177" Type="http://schemas.openxmlformats.org/officeDocument/2006/relationships/hyperlink" Target="https://hoo.be/thebirdspapaya" TargetMode="External"/><Relationship Id="rId1910" Type="http://schemas.openxmlformats.org/officeDocument/2006/relationships/hyperlink" Target="http://shopsunsetpine.com" TargetMode="External"/><Relationship Id="rId1911" Type="http://schemas.openxmlformats.org/officeDocument/2006/relationships/hyperlink" Target="https://newsin.bio/sunsetmag" TargetMode="External"/><Relationship Id="rId1912" Type="http://schemas.openxmlformats.org/officeDocument/2006/relationships/hyperlink" Target="https://sunsetmakeup.com/" TargetMode="External"/><Relationship Id="rId1913" Type="http://schemas.openxmlformats.org/officeDocument/2006/relationships/hyperlink" Target="http://sunsetsurfstore.com" TargetMode="External"/><Relationship Id="rId1914" Type="http://schemas.openxmlformats.org/officeDocument/2006/relationships/hyperlink" Target="https://ff237.afun.mx?ch=2370292&amp;ic=202127032" TargetMode="External"/><Relationship Id="rId1915" Type="http://schemas.openxmlformats.org/officeDocument/2006/relationships/hyperlink" Target="http://www.thesunsetjarabacoa.com/" TargetMode="External"/><Relationship Id="rId1916" Type="http://schemas.openxmlformats.org/officeDocument/2006/relationships/hyperlink" Target="https://win.gs/WSLChampionshipTour" TargetMode="External"/><Relationship Id="rId1917" Type="http://schemas.openxmlformats.org/officeDocument/2006/relationships/hyperlink" Target="https://surfingcowtallow.com/" TargetMode="External"/><Relationship Id="rId1918" Type="http://schemas.openxmlformats.org/officeDocument/2006/relationships/hyperlink" Target="https://www.surfingfordaisy.com/home" TargetMode="External"/><Relationship Id="rId1919" Type="http://schemas.openxmlformats.org/officeDocument/2006/relationships/hyperlink" Target="https://bio.site/surfingwithnoz" TargetMode="External"/><Relationship Id="rId1900" Type="http://schemas.openxmlformats.org/officeDocument/2006/relationships/hyperlink" Target="http://www.successskill.co/subscribe" TargetMode="External"/><Relationship Id="rId1901" Type="http://schemas.openxmlformats.org/officeDocument/2006/relationships/hyperlink" Target="https://litt.ly/success_spoon" TargetMode="External"/><Relationship Id="rId1902" Type="http://schemas.openxmlformats.org/officeDocument/2006/relationships/hyperlink" Target="https://geni.us/BestSellers2025" TargetMode="External"/><Relationship Id="rId1903" Type="http://schemas.openxmlformats.org/officeDocument/2006/relationships/hyperlink" Target="https://calendar.app.google/45ZMNmsf5e6R8ZM9A" TargetMode="External"/><Relationship Id="rId1904" Type="http://schemas.openxmlformats.org/officeDocument/2006/relationships/hyperlink" Target="https://youtu.be/xmgvdIE3blI" TargetMode="External"/><Relationship Id="rId1905" Type="http://schemas.openxmlformats.org/officeDocument/2006/relationships/hyperlink" Target="https://7news.com.au/sunrise/win/the-sunrise-cash-cow-is-back-c-17718039.amp" TargetMode="External"/><Relationship Id="rId1906" Type="http://schemas.openxmlformats.org/officeDocument/2006/relationships/hyperlink" Target="http://sunriseonthereaping.pn" TargetMode="External"/><Relationship Id="rId1907" Type="http://schemas.openxmlformats.org/officeDocument/2006/relationships/hyperlink" Target="https://sunriserseasterncape.co/" TargetMode="External"/><Relationship Id="rId1908" Type="http://schemas.openxmlformats.org/officeDocument/2006/relationships/hyperlink" Target="https://ownasunrise.com/" TargetMode="External"/><Relationship Id="rId1909" Type="http://schemas.openxmlformats.org/officeDocument/2006/relationships/hyperlink" Target="https://www.passline.com/eventos/mandala-dia-de-todos-los-santos" TargetMode="External"/><Relationship Id="rId198" Type="http://schemas.openxmlformats.org/officeDocument/2006/relationships/hyperlink" Target="https://linktr.ee/booktok.reviews" TargetMode="External"/><Relationship Id="rId197" Type="http://schemas.openxmlformats.org/officeDocument/2006/relationships/hyperlink" Target="http://beacons.ai/booktokjournal/" TargetMode="External"/><Relationship Id="rId196" Type="http://schemas.openxmlformats.org/officeDocument/2006/relationships/hyperlink" Target="https://m.facebook.com/booktokfrance?mibextid=LQQJ4d" TargetMode="External"/><Relationship Id="rId195" Type="http://schemas.openxmlformats.org/officeDocument/2006/relationships/hyperlink" Target="http://booktokbookclub.carrd.co/" TargetMode="External"/><Relationship Id="rId199" Type="http://schemas.openxmlformats.org/officeDocument/2006/relationships/hyperlink" Target="https://beacons.ai/leitor.booktok" TargetMode="External"/><Relationship Id="rId150" Type="http://schemas.openxmlformats.org/officeDocument/2006/relationships/hyperlink" Target="https://barstool.link/barstool-beach-house" TargetMode="External"/><Relationship Id="rId149" Type="http://schemas.openxmlformats.org/officeDocument/2006/relationships/hyperlink" Target="https://barrabeach.tz" TargetMode="External"/><Relationship Id="rId148" Type="http://schemas.openxmlformats.org/officeDocument/2006/relationships/hyperlink" Target="https://linktr.ee/usabaseball" TargetMode="External"/><Relationship Id="rId1090" Type="http://schemas.openxmlformats.org/officeDocument/2006/relationships/hyperlink" Target="https://www.fashionnova.com/collections/new?division=women&amp;utm_source=influencer&amp;utm_medium=promo&amp;utm_campaign=workmemesoffical" TargetMode="External"/><Relationship Id="rId1091" Type="http://schemas.openxmlformats.org/officeDocument/2006/relationships/hyperlink" Target="https://www.lauraherde.com/links" TargetMode="External"/><Relationship Id="rId1092" Type="http://schemas.openxmlformats.org/officeDocument/2006/relationships/hyperlink" Target="https://www.leadershipfirst.net/" TargetMode="External"/><Relationship Id="rId1093" Type="http://schemas.openxmlformats.org/officeDocument/2006/relationships/hyperlink" Target="https://linktr.ee/Leadership_monhla" TargetMode="External"/><Relationship Id="rId1094" Type="http://schemas.openxmlformats.org/officeDocument/2006/relationships/hyperlink" Target="https://chat.whatsapp.com/GaKbSu1hBga5Ysylq3Hd7v" TargetMode="External"/><Relationship Id="rId143" Type="http://schemas.openxmlformats.org/officeDocument/2006/relationships/hyperlink" Target="http://www.facebook.com/btmbc" TargetMode="External"/><Relationship Id="rId1095" Type="http://schemas.openxmlformats.org/officeDocument/2006/relationships/hyperlink" Target="https://lnk.bio/maxwellleadership" TargetMode="External"/><Relationship Id="rId142" Type="http://schemas.openxmlformats.org/officeDocument/2006/relationships/hyperlink" Target="http://bit.ly/KUBaseballPostseason" TargetMode="External"/><Relationship Id="rId1096" Type="http://schemas.openxmlformats.org/officeDocument/2006/relationships/hyperlink" Target="https://linktr.ee/pm.leadership" TargetMode="External"/><Relationship Id="rId141" Type="http://schemas.openxmlformats.org/officeDocument/2006/relationships/hyperlink" Target="https://open.kakao.com/me/KBZ_baseball" TargetMode="External"/><Relationship Id="rId1097" Type="http://schemas.openxmlformats.org/officeDocument/2006/relationships/hyperlink" Target="https://linkin.bio/thrivewithcass" TargetMode="External"/><Relationship Id="rId140" Type="http://schemas.openxmlformats.org/officeDocument/2006/relationships/hyperlink" Target="https://youtu.be/QSq7qdzENj8?si=QvWnPqaYVihbwJMd" TargetMode="External"/><Relationship Id="rId1098" Type="http://schemas.openxmlformats.org/officeDocument/2006/relationships/hyperlink" Target="https://www.leagueoflegends.com/es-mx/news/game-updates/patch-25-17-notes/" TargetMode="External"/><Relationship Id="rId147" Type="http://schemas.openxmlformats.org/officeDocument/2006/relationships/hyperlink" Target="http://linktr.ee/TexasBSB" TargetMode="External"/><Relationship Id="rId1099" Type="http://schemas.openxmlformats.org/officeDocument/2006/relationships/hyperlink" Target="https://linktr.ee/leaguearabia" TargetMode="External"/><Relationship Id="rId146" Type="http://schemas.openxmlformats.org/officeDocument/2006/relationships/hyperlink" Target="https://linktr.ee/TalkinBaseball" TargetMode="External"/><Relationship Id="rId145" Type="http://schemas.openxmlformats.org/officeDocument/2006/relationships/hyperlink" Target="http://samsunglions.com" TargetMode="External"/><Relationship Id="rId144" Type="http://schemas.openxmlformats.org/officeDocument/2006/relationships/hyperlink" Target="http://midlandbaseball.net/" TargetMode="External"/><Relationship Id="rId139" Type="http://schemas.openxmlformats.org/officeDocument/2006/relationships/hyperlink" Target="http://bl101.com" TargetMode="External"/><Relationship Id="rId138" Type="http://schemas.openxmlformats.org/officeDocument/2006/relationships/hyperlink" Target="https://youtu.be/AK5ynDy77Dk" TargetMode="External"/><Relationship Id="rId137" Type="http://schemas.openxmlformats.org/officeDocument/2006/relationships/hyperlink" Target="https://m.youtube.com/@baseballdugout" TargetMode="External"/><Relationship Id="rId1080" Type="http://schemas.openxmlformats.org/officeDocument/2006/relationships/hyperlink" Target="https://hhobby.ru/hh_landscape" TargetMode="External"/><Relationship Id="rId1081" Type="http://schemas.openxmlformats.org/officeDocument/2006/relationships/hyperlink" Target="https://lostin.com/products/lost-in-venice-beach" TargetMode="External"/><Relationship Id="rId1082" Type="http://schemas.openxmlformats.org/officeDocument/2006/relationships/hyperlink" Target="https://www.landscapestories.net/en" TargetMode="External"/><Relationship Id="rId1083" Type="http://schemas.openxmlformats.org/officeDocument/2006/relationships/hyperlink" Target="http://landscapetattoo.com/" TargetMode="External"/><Relationship Id="rId132" Type="http://schemas.openxmlformats.org/officeDocument/2006/relationships/hyperlink" Target="https://barbershopunclechill.taplink.ws/" TargetMode="External"/><Relationship Id="rId1084" Type="http://schemas.openxmlformats.org/officeDocument/2006/relationships/hyperlink" Target="https://t.me/poorfazel_landscape_design" TargetMode="External"/><Relationship Id="rId131" Type="http://schemas.openxmlformats.org/officeDocument/2006/relationships/hyperlink" Target="http://www.barbershop.co.kr/" TargetMode="External"/><Relationship Id="rId1085" Type="http://schemas.openxmlformats.org/officeDocument/2006/relationships/hyperlink" Target="http://terremoto.la" TargetMode="External"/><Relationship Id="rId130" Type="http://schemas.openxmlformats.org/officeDocument/2006/relationships/hyperlink" Target="https://youtube.com/@Barber__shop__99?si=7OD2wENBszjdhLY" TargetMode="External"/><Relationship Id="rId1086" Type="http://schemas.openxmlformats.org/officeDocument/2006/relationships/hyperlink" Target="http://www.viveloelqui.cl//" TargetMode="External"/><Relationship Id="rId1087" Type="http://schemas.openxmlformats.org/officeDocument/2006/relationships/hyperlink" Target="http://t.me/Grateful" TargetMode="External"/><Relationship Id="rId136" Type="http://schemas.openxmlformats.org/officeDocument/2006/relationships/hyperlink" Target="https://www.1baseball.com/" TargetMode="External"/><Relationship Id="rId1088" Type="http://schemas.openxmlformats.org/officeDocument/2006/relationships/hyperlink" Target="https://linktr.ee/thelaughfactory" TargetMode="External"/><Relationship Id="rId135" Type="http://schemas.openxmlformats.org/officeDocument/2006/relationships/hyperlink" Target="https://linktr.ee/the_premium_barbershop" TargetMode="External"/><Relationship Id="rId1089" Type="http://schemas.openxmlformats.org/officeDocument/2006/relationships/hyperlink" Target="http://www.laugh-of-artist.com/" TargetMode="External"/><Relationship Id="rId134" Type="http://schemas.openxmlformats.org/officeDocument/2006/relationships/hyperlink" Target="https://t.me/m3barbershop_bot?start=partnership_R6XHCDZV3MLQ08O" TargetMode="External"/><Relationship Id="rId133" Type="http://schemas.openxmlformats.org/officeDocument/2006/relationships/hyperlink" Target="https://maps.app.goo.gl/9V4nwGZYi4awXwGP8?g_st=ic" TargetMode="External"/><Relationship Id="rId172" Type="http://schemas.openxmlformats.org/officeDocument/2006/relationships/hyperlink" Target="https://puissante.co" TargetMode="External"/><Relationship Id="rId171" Type="http://schemas.openxmlformats.org/officeDocument/2006/relationships/hyperlink" Target="https://www.tablecheck.com/shops/bien-etre/reserve" TargetMode="External"/><Relationship Id="rId170" Type="http://schemas.openxmlformats.org/officeDocument/2006/relationships/hyperlink" Target="https://wellnessnest.co/fr/products/extraits-de-shilajit-a-base-deau?country=FR&amp;ref=gorhhzki" TargetMode="External"/><Relationship Id="rId165" Type="http://schemas.openxmlformats.org/officeDocument/2006/relationships/hyperlink" Target="https://t.me/roserecommendations" TargetMode="External"/><Relationship Id="rId164" Type="http://schemas.openxmlformats.org/officeDocument/2006/relationships/hyperlink" Target="http://earthysimplycosmetics.com/" TargetMode="External"/><Relationship Id="rId163" Type="http://schemas.openxmlformats.org/officeDocument/2006/relationships/hyperlink" Target="https://www.youtube.com/@Beauty_Hacks823" TargetMode="External"/><Relationship Id="rId162" Type="http://schemas.openxmlformats.org/officeDocument/2006/relationships/hyperlink" Target="https://bookings.zenchef.com/results?rid=370535&amp;pid=1001" TargetMode="External"/><Relationship Id="rId169" Type="http://schemas.openxmlformats.org/officeDocument/2006/relationships/hyperlink" Target="https://linktr.ee/audreyvigne" TargetMode="External"/><Relationship Id="rId168" Type="http://schemas.openxmlformats.org/officeDocument/2006/relationships/hyperlink" Target="http://www.tiktok.com/@behindthescenesvibe" TargetMode="External"/><Relationship Id="rId167" Type="http://schemas.openxmlformats.org/officeDocument/2006/relationships/hyperlink" Target="https://behindthescenesmiami.com/" TargetMode="External"/><Relationship Id="rId166" Type="http://schemas.openxmlformats.org/officeDocument/2006/relationships/hyperlink" Target="https://linktr.ee/ekbeautyroutine" TargetMode="External"/><Relationship Id="rId161" Type="http://schemas.openxmlformats.org/officeDocument/2006/relationships/hyperlink" Target="http://sunnysbeach.mq" TargetMode="External"/><Relationship Id="rId160" Type="http://schemas.openxmlformats.org/officeDocument/2006/relationships/hyperlink" Target="https://roro.menu.tz" TargetMode="External"/><Relationship Id="rId159" Type="http://schemas.openxmlformats.org/officeDocument/2006/relationships/hyperlink" Target="http://www.bungalowbeach.com" TargetMode="External"/><Relationship Id="rId154" Type="http://schemas.openxmlformats.org/officeDocument/2006/relationships/hyperlink" Target="http://beachreadsandbubbly.com/links" TargetMode="External"/><Relationship Id="rId153" Type="http://schemas.openxmlformats.org/officeDocument/2006/relationships/hyperlink" Target="https://linkin.bio/beachplumfarm" TargetMode="External"/><Relationship Id="rId152" Type="http://schemas.openxmlformats.org/officeDocument/2006/relationships/hyperlink" Target="https://www.beach.com/" TargetMode="External"/><Relationship Id="rId151" Type="http://schemas.openxmlformats.org/officeDocument/2006/relationships/hyperlink" Target="https://linktr.ee/beachhousebaltimore" TargetMode="External"/><Relationship Id="rId158" Type="http://schemas.openxmlformats.org/officeDocument/2006/relationships/hyperlink" Target="https://linktr.ee/Bravococo" TargetMode="External"/><Relationship Id="rId157" Type="http://schemas.openxmlformats.org/officeDocument/2006/relationships/hyperlink" Target="https://bomabeach.re/" TargetMode="External"/><Relationship Id="rId156" Type="http://schemas.openxmlformats.org/officeDocument/2006/relationships/hyperlink" Target="https://linktr.ee/bebeach" TargetMode="External"/><Relationship Id="rId155" Type="http://schemas.openxmlformats.org/officeDocument/2006/relationships/hyperlink" Target="https://britishtravelawards.com/btaform.php?nomLink=112" TargetMode="External"/><Relationship Id="rId1972" Type="http://schemas.openxmlformats.org/officeDocument/2006/relationships/hyperlink" Target="https://www.amazon.com/shop/withalbinaa?ref_=cm_sw_r_apin_aipsfshop_7QAEV4B84X7RSVEDVNTX&amp;language=en-US" TargetMode="External"/><Relationship Id="rId1973" Type="http://schemas.openxmlformats.org/officeDocument/2006/relationships/hyperlink" Target="https://tlink.me/tokyodriftcityofficial" TargetMode="External"/><Relationship Id="rId1974" Type="http://schemas.openxmlformats.org/officeDocument/2006/relationships/hyperlink" Target="http://tokyo.us/" TargetMode="External"/><Relationship Id="rId1975" Type="http://schemas.openxmlformats.org/officeDocument/2006/relationships/hyperlink" Target="https://skyscanner.pxf.io/TokyoToHawaii" TargetMode="External"/><Relationship Id="rId1976" Type="http://schemas.openxmlformats.org/officeDocument/2006/relationships/hyperlink" Target="http://tokyorim.ru/" TargetMode="External"/><Relationship Id="rId1977" Type="http://schemas.openxmlformats.org/officeDocument/2006/relationships/hyperlink" Target="https://discord.gg/tokyosims" TargetMode="External"/><Relationship Id="rId1978" Type="http://schemas.openxmlformats.org/officeDocument/2006/relationships/hyperlink" Target="https://linktr.ee/Miadabaddest.com" TargetMode="External"/><Relationship Id="rId1979" Type="http://schemas.openxmlformats.org/officeDocument/2006/relationships/hyperlink" Target="https://tokyo-story.ru/na_tatami" TargetMode="External"/><Relationship Id="rId1970" Type="http://schemas.openxmlformats.org/officeDocument/2006/relationships/hyperlink" Target="http://stan.store/smallstepstoddlers" TargetMode="External"/><Relationship Id="rId1971" Type="http://schemas.openxmlformats.org/officeDocument/2006/relationships/hyperlink" Target="https://linktr.ee/whereiautabe" TargetMode="External"/><Relationship Id="rId1961" Type="http://schemas.openxmlformats.org/officeDocument/2006/relationships/hyperlink" Target="https://metal1111.com" TargetMode="External"/><Relationship Id="rId1962" Type="http://schemas.openxmlformats.org/officeDocument/2006/relationships/hyperlink" Target="https://linktr.ee/thrift2death" TargetMode="External"/><Relationship Id="rId1963" Type="http://schemas.openxmlformats.org/officeDocument/2006/relationships/hyperlink" Target="https://linkin.bio/thrift_con" TargetMode="External"/><Relationship Id="rId1964" Type="http://schemas.openxmlformats.org/officeDocument/2006/relationships/hyperlink" Target="http://thrift_keeper.ph" TargetMode="External"/><Relationship Id="rId1965" Type="http://schemas.openxmlformats.org/officeDocument/2006/relationships/hyperlink" Target="http://thrift_keeper.ph" TargetMode="External"/><Relationship Id="rId1966" Type="http://schemas.openxmlformats.org/officeDocument/2006/relationships/hyperlink" Target="https://youtu.be/zMigB_fZfok?si=SUwUEH9Tsm8wTVOB" TargetMode="External"/><Relationship Id="rId1967" Type="http://schemas.openxmlformats.org/officeDocument/2006/relationships/hyperlink" Target="https://tapto.shop/imdaria-pr" TargetMode="External"/><Relationship Id="rId1968" Type="http://schemas.openxmlformats.org/officeDocument/2006/relationships/hyperlink" Target="http://www.educationstartsathome.com" TargetMode="External"/><Relationship Id="rId1969" Type="http://schemas.openxmlformats.org/officeDocument/2006/relationships/hyperlink" Target="https://www.littleonesprintables.com" TargetMode="External"/><Relationship Id="rId1960" Type="http://schemas.openxmlformats.org/officeDocument/2006/relationships/hyperlink" Target="https://rovaxz.com/products/nasal-stick-4-pcs-nasal-stick-4-pcs-nasal-stick-4-pcs-hot-product-low-stock-nasal-stick-4-pcs" TargetMode="External"/><Relationship Id="rId1510" Type="http://schemas.openxmlformats.org/officeDocument/2006/relationships/hyperlink" Target="https://chi-nese.com/angel-number-1111-and-its-deep-spiritual-meaning/" TargetMode="External"/><Relationship Id="rId1994" Type="http://schemas.openxmlformats.org/officeDocument/2006/relationships/hyperlink" Target="https://beacons.ai/tradingmotivation" TargetMode="External"/><Relationship Id="rId1511" Type="http://schemas.openxmlformats.org/officeDocument/2006/relationships/hyperlink" Target="https://bit.ly/soulmates2222" TargetMode="External"/><Relationship Id="rId1995" Type="http://schemas.openxmlformats.org/officeDocument/2006/relationships/hyperlink" Target="https://linktr.ee/Trading_raj" TargetMode="External"/><Relationship Id="rId1512" Type="http://schemas.openxmlformats.org/officeDocument/2006/relationships/hyperlink" Target="https://tinyurl.com/soulsz" TargetMode="External"/><Relationship Id="rId1996" Type="http://schemas.openxmlformats.org/officeDocument/2006/relationships/hyperlink" Target="http://tradingview.com/black-friday" TargetMode="External"/><Relationship Id="rId1513" Type="http://schemas.openxmlformats.org/officeDocument/2006/relationships/hyperlink" Target="https://www.youtube.com/@Posiitive_vibess" TargetMode="External"/><Relationship Id="rId1997" Type="http://schemas.openxmlformats.org/officeDocument/2006/relationships/hyperlink" Target="http://on.natgeo.com/natgeotravel" TargetMode="External"/><Relationship Id="rId1514" Type="http://schemas.openxmlformats.org/officeDocument/2006/relationships/hyperlink" Target="http://positivevibes.id" TargetMode="External"/><Relationship Id="rId1998" Type="http://schemas.openxmlformats.org/officeDocument/2006/relationships/hyperlink" Target="https://nesin-travel.com/link" TargetMode="External"/><Relationship Id="rId1515" Type="http://schemas.openxmlformats.org/officeDocument/2006/relationships/hyperlink" Target="https://thepositivevibes.id/" TargetMode="External"/><Relationship Id="rId1999" Type="http://schemas.openxmlformats.org/officeDocument/2006/relationships/hyperlink" Target="http://www.panicframe.com/" TargetMode="External"/><Relationship Id="rId1516" Type="http://schemas.openxmlformats.org/officeDocument/2006/relationships/hyperlink" Target="https://youtu.be/TEQGiUaTThg" TargetMode="External"/><Relationship Id="rId1517" Type="http://schemas.openxmlformats.org/officeDocument/2006/relationships/hyperlink" Target="http://www.ambitionmedia.com/" TargetMode="External"/><Relationship Id="rId1518" Type="http://schemas.openxmlformats.org/officeDocument/2006/relationships/hyperlink" Target="https://posh.vip/e/pvo-dc-all-black-affair" TargetMode="External"/><Relationship Id="rId1519" Type="http://schemas.openxmlformats.org/officeDocument/2006/relationships/hyperlink" Target="http://www.alike.pl/" TargetMode="External"/><Relationship Id="rId1990" Type="http://schemas.openxmlformats.org/officeDocument/2006/relationships/hyperlink" Target="http://relm27.com" TargetMode="External"/><Relationship Id="rId1991" Type="http://schemas.openxmlformats.org/officeDocument/2006/relationships/hyperlink" Target="https://www.youtube.com/@OneTechWizard" TargetMode="External"/><Relationship Id="rId1992" Type="http://schemas.openxmlformats.org/officeDocument/2006/relationships/hyperlink" Target="https://event.webinarjam.com/channel/keztheguru" TargetMode="External"/><Relationship Id="rId1993" Type="http://schemas.openxmlformats.org/officeDocument/2006/relationships/hyperlink" Target="https://m.youtube.com/@eldersantis" TargetMode="External"/><Relationship Id="rId1983" Type="http://schemas.openxmlformats.org/officeDocument/2006/relationships/hyperlink" Target="https://t.me/daytradingIG" TargetMode="External"/><Relationship Id="rId1500" Type="http://schemas.openxmlformats.org/officeDocument/2006/relationships/hyperlink" Target="https://www.amazon.com/shop/veganfoodcrazy" TargetMode="External"/><Relationship Id="rId1984" Type="http://schemas.openxmlformats.org/officeDocument/2006/relationships/hyperlink" Target="http://fundeadmasters.com" TargetMode="External"/><Relationship Id="rId1501" Type="http://schemas.openxmlformats.org/officeDocument/2006/relationships/hyperlink" Target="https://m.facebook.com/Whole-Food-Plant-Based-Meals-1965770083669853/" TargetMode="External"/><Relationship Id="rId1985" Type="http://schemas.openxmlformats.org/officeDocument/2006/relationships/hyperlink" Target="http://www.emwtrading.com" TargetMode="External"/><Relationship Id="rId1502" Type="http://schemas.openxmlformats.org/officeDocument/2006/relationships/hyperlink" Target="https://www.amazon.in/l/2454175031" TargetMode="External"/><Relationship Id="rId1986" Type="http://schemas.openxmlformats.org/officeDocument/2006/relationships/hyperlink" Target="https://api.leadconnectorhq.com/widget/booking/7YAO9gioTZCXzKdHnSIG" TargetMode="External"/><Relationship Id="rId1503" Type="http://schemas.openxmlformats.org/officeDocument/2006/relationships/hyperlink" Target="https://app.adjust.com/u0lyel2" TargetMode="External"/><Relationship Id="rId1987" Type="http://schemas.openxmlformats.org/officeDocument/2006/relationships/hyperlink" Target="https://wa.link/gzf12s" TargetMode="External"/><Relationship Id="rId1504" Type="http://schemas.openxmlformats.org/officeDocument/2006/relationships/hyperlink" Target="http://www.yelleskincare.com/" TargetMode="External"/><Relationship Id="rId1988" Type="http://schemas.openxmlformats.org/officeDocument/2006/relationships/hyperlink" Target="https://maps.app.goo.gl/KZr6NJm1yZsgUk2e9" TargetMode="External"/><Relationship Id="rId1505" Type="http://schemas.openxmlformats.org/officeDocument/2006/relationships/hyperlink" Target="http://hellomissmay.com" TargetMode="External"/><Relationship Id="rId1989" Type="http://schemas.openxmlformats.org/officeDocument/2006/relationships/hyperlink" Target="http://pbtrading.io/join-ig" TargetMode="External"/><Relationship Id="rId1506" Type="http://schemas.openxmlformats.org/officeDocument/2006/relationships/hyperlink" Target="https://linkin.bio/houseofplantlovers" TargetMode="External"/><Relationship Id="rId1507" Type="http://schemas.openxmlformats.org/officeDocument/2006/relationships/hyperlink" Target="http://plantlover.bd" TargetMode="External"/><Relationship Id="rId1508" Type="http://schemas.openxmlformats.org/officeDocument/2006/relationships/hyperlink" Target="https://youtube.com/channel/UCOZR4oIAp_msn2D4aDRNQNw" TargetMode="External"/><Relationship Id="rId1509" Type="http://schemas.openxmlformats.org/officeDocument/2006/relationships/hyperlink" Target="https://youtube.com/@plantreel" TargetMode="External"/><Relationship Id="rId1980" Type="http://schemas.openxmlformats.org/officeDocument/2006/relationships/hyperlink" Target="https://youtu.be/jTup4HX8U_8" TargetMode="External"/><Relationship Id="rId1981" Type="http://schemas.openxmlformats.org/officeDocument/2006/relationships/hyperlink" Target="http://www.wtaps.com/" TargetMode="External"/><Relationship Id="rId1982" Type="http://schemas.openxmlformats.org/officeDocument/2006/relationships/hyperlink" Target="https://t.me/+Wdor3r0xHLljMTdk" TargetMode="External"/><Relationship Id="rId1930" Type="http://schemas.openxmlformats.org/officeDocument/2006/relationships/hyperlink" Target="https://linktr.ee/sambentley" TargetMode="External"/><Relationship Id="rId1931" Type="http://schemas.openxmlformats.org/officeDocument/2006/relationships/hyperlink" Target="http://www.sustainableliving9284564.wordpress.com/" TargetMode="External"/><Relationship Id="rId1932" Type="http://schemas.openxmlformats.org/officeDocument/2006/relationships/hyperlink" Target="http://www.sustainablelivingkw.com" TargetMode="External"/><Relationship Id="rId1933" Type="http://schemas.openxmlformats.org/officeDocument/2006/relationships/hyperlink" Target="http://www.infantswim.com/" TargetMode="External"/><Relationship Id="rId1934" Type="http://schemas.openxmlformats.org/officeDocument/2006/relationships/hyperlink" Target="http://sca-swimming.com/instagram" TargetMode="External"/><Relationship Id="rId1935" Type="http://schemas.openxmlformats.org/officeDocument/2006/relationships/hyperlink" Target="https://swimmingbrainrot.com/products/swimming-brainrot-dome-swim-cap-breast-cancer-awareness-edition" TargetMode="External"/><Relationship Id="rId1936" Type="http://schemas.openxmlformats.org/officeDocument/2006/relationships/hyperlink" Target="https://www.swimming.ca/en/" TargetMode="External"/><Relationship Id="rId1937" Type="http://schemas.openxmlformats.org/officeDocument/2006/relationships/hyperlink" Target="https://linktr.ee/swimmingpaul" TargetMode="External"/><Relationship Id="rId1938" Type="http://schemas.openxmlformats.org/officeDocument/2006/relationships/hyperlink" Target="http://www.shiny.or.kr" TargetMode="External"/><Relationship Id="rId1939" Type="http://schemas.openxmlformats.org/officeDocument/2006/relationships/hyperlink" Target="https://www.swimmingworldmagazine.com/news/category/all" TargetMode="External"/><Relationship Id="rId1920" Type="http://schemas.openxmlformats.org/officeDocument/2006/relationships/hyperlink" Target="http://www.surfistatravels.com/" TargetMode="External"/><Relationship Id="rId1921" Type="http://schemas.openxmlformats.org/officeDocument/2006/relationships/hyperlink" Target="http://www.thesurfingpig.com/" TargetMode="External"/><Relationship Id="rId1922" Type="http://schemas.openxmlformats.org/officeDocument/2006/relationships/hyperlink" Target="https://linkin.bio/fanfarelabel" TargetMode="External"/><Relationship Id="rId1923" Type="http://schemas.openxmlformats.org/officeDocument/2006/relationships/hyperlink" Target="http://www.sustainablebagsandfashion.com/" TargetMode="External"/><Relationship Id="rId1924" Type="http://schemas.openxmlformats.org/officeDocument/2006/relationships/hyperlink" Target="https://stan.store/Sustainablefashionfriend" TargetMode="External"/><Relationship Id="rId1925" Type="http://schemas.openxmlformats.org/officeDocument/2006/relationships/hyperlink" Target="https://checkout.honeylove.com/HEIDIKRISTENSEN" TargetMode="External"/><Relationship Id="rId1926" Type="http://schemas.openxmlformats.org/officeDocument/2006/relationships/hyperlink" Target="https://linktr.ee/sustainablefashionweek" TargetMode="External"/><Relationship Id="rId1927" Type="http://schemas.openxmlformats.org/officeDocument/2006/relationships/hyperlink" Target="https://thesustainablefashionforum.substack.com" TargetMode="External"/><Relationship Id="rId1928" Type="http://schemas.openxmlformats.org/officeDocument/2006/relationships/hyperlink" Target="http://banish.au" TargetMode="External"/><Relationship Id="rId1929" Type="http://schemas.openxmlformats.org/officeDocument/2006/relationships/hyperlink" Target="https://linktr.ee/banish.au" TargetMode="External"/><Relationship Id="rId1950" Type="http://schemas.openxmlformats.org/officeDocument/2006/relationships/hyperlink" Target="https://api.whatsapp.com/send?phone=5521991622748" TargetMode="External"/><Relationship Id="rId1951" Type="http://schemas.openxmlformats.org/officeDocument/2006/relationships/hyperlink" Target="https://linktr.ee/markdtattoo" TargetMode="External"/><Relationship Id="rId1952" Type="http://schemas.openxmlformats.org/officeDocument/2006/relationships/hyperlink" Target="http://www.facebook.com/504inktattoo" TargetMode="External"/><Relationship Id="rId1953" Type="http://schemas.openxmlformats.org/officeDocument/2006/relationships/hyperlink" Target="http://www.facebook.com/luminatattoostudio/" TargetMode="External"/><Relationship Id="rId1954" Type="http://schemas.openxmlformats.org/officeDocument/2006/relationships/hyperlink" Target="http://www.suckytattoos.com" TargetMode="External"/><Relationship Id="rId1955" Type="http://schemas.openxmlformats.org/officeDocument/2006/relationships/hyperlink" Target="http://www.tappintatts.com/tattoo" TargetMode="External"/><Relationship Id="rId1956" Type="http://schemas.openxmlformats.org/officeDocument/2006/relationships/hyperlink" Target="http://10pmcurfew.com" TargetMode="External"/><Relationship Id="rId1957" Type="http://schemas.openxmlformats.org/officeDocument/2006/relationships/hyperlink" Target="https://linkin.bio/tattoos_of_inked" TargetMode="External"/><Relationship Id="rId1958" Type="http://schemas.openxmlformats.org/officeDocument/2006/relationships/hyperlink" Target="https://linkin.bio/tattoos_of_inkedmag" TargetMode="External"/><Relationship Id="rId1959" Type="http://schemas.openxmlformats.org/officeDocument/2006/relationships/hyperlink" Target="https://bio.techplusgadgets.com/product-links/" TargetMode="External"/><Relationship Id="rId1940" Type="http://schemas.openxmlformats.org/officeDocument/2006/relationships/hyperlink" Target="http://www.swim-together.com/swimming-holiday-trip-calendar" TargetMode="External"/><Relationship Id="rId1941" Type="http://schemas.openxmlformats.org/officeDocument/2006/relationships/hyperlink" Target="https://linkin.bio/usaswimming" TargetMode="External"/><Relationship Id="rId1942" Type="http://schemas.openxmlformats.org/officeDocument/2006/relationships/hyperlink" Target="https://youtube.com/@sydfatty?si=5oTsc0D0TNc9BMLt" TargetMode="External"/><Relationship Id="rId1943" Type="http://schemas.openxmlformats.org/officeDocument/2006/relationships/hyperlink" Target="https://www.tiktok.com/@sydn4st?_t=ZT-8xVbBYJyjGf&amp;_r=1" TargetMode="External"/><Relationship Id="rId1944" Type="http://schemas.openxmlformats.org/officeDocument/2006/relationships/hyperlink" Target="https://clicklinkin.bio/Sydney" TargetMode="External"/><Relationship Id="rId1945" Type="http://schemas.openxmlformats.org/officeDocument/2006/relationships/hyperlink" Target="https://linktr.ee/SydneySeethal" TargetMode="External"/><Relationship Id="rId1946" Type="http://schemas.openxmlformats.org/officeDocument/2006/relationships/hyperlink" Target="https://youtube.com/@learn_tabletennis" TargetMode="External"/><Relationship Id="rId1947" Type="http://schemas.openxmlformats.org/officeDocument/2006/relationships/hyperlink" Target="http://linktr.ee/tabletennisengland" TargetMode="External"/><Relationship Id="rId1948" Type="http://schemas.openxmlformats.org/officeDocument/2006/relationships/hyperlink" Target="http://www.gabrielepellerone.com/" TargetMode="External"/><Relationship Id="rId1949" Type="http://schemas.openxmlformats.org/officeDocument/2006/relationships/hyperlink" Target="https://aa123.tv/?a=3dton0mu" TargetMode="External"/><Relationship Id="rId1576" Type="http://schemas.openxmlformats.org/officeDocument/2006/relationships/hyperlink" Target="https://ilovemychow.com/" TargetMode="External"/><Relationship Id="rId1577" Type="http://schemas.openxmlformats.org/officeDocument/2006/relationships/hyperlink" Target="https://dogsphere.co/instagram-features-photo-submission/" TargetMode="External"/><Relationship Id="rId1578" Type="http://schemas.openxmlformats.org/officeDocument/2006/relationships/hyperlink" Target="http://linktr.ee/foreverdoggos" TargetMode="External"/><Relationship Id="rId1579" Type="http://schemas.openxmlformats.org/officeDocument/2006/relationships/hyperlink" Target="http://linktr.ee/foreverdoggos" TargetMode="External"/><Relationship Id="rId509" Type="http://schemas.openxmlformats.org/officeDocument/2006/relationships/hyperlink" Target="https://www.facebook.com/we.bake.your.cake?mibextid=LQQJ4d" TargetMode="External"/><Relationship Id="rId508" Type="http://schemas.openxmlformats.org/officeDocument/2006/relationships/hyperlink" Target="http://www.matchamachine.co/" TargetMode="External"/><Relationship Id="rId503" Type="http://schemas.openxmlformats.org/officeDocument/2006/relationships/hyperlink" Target="https://linkin.bio/haydesign/" TargetMode="External"/><Relationship Id="rId987" Type="http://schemas.openxmlformats.org/officeDocument/2006/relationships/hyperlink" Target="http://survival-hub.com" TargetMode="External"/><Relationship Id="rId502" Type="http://schemas.openxmlformats.org/officeDocument/2006/relationships/hyperlink" Target="http://www.designoostende.be" TargetMode="External"/><Relationship Id="rId986" Type="http://schemas.openxmlformats.org/officeDocument/2006/relationships/hyperlink" Target="https://innertune.com/inspiration.hz" TargetMode="External"/><Relationship Id="rId501" Type="http://schemas.openxmlformats.org/officeDocument/2006/relationships/hyperlink" Target="http://instagram.com/product.only" TargetMode="External"/><Relationship Id="rId985" Type="http://schemas.openxmlformats.org/officeDocument/2006/relationships/hyperlink" Target="http://linktr.ee/inspirationbyblanca" TargetMode="External"/><Relationship Id="rId500" Type="http://schemas.openxmlformats.org/officeDocument/2006/relationships/hyperlink" Target="https://sprout.link/designmilk" TargetMode="External"/><Relationship Id="rId984" Type="http://schemas.openxmlformats.org/officeDocument/2006/relationships/hyperlink" Target="http://womensbest.com/BlackFriday_Sale" TargetMode="External"/><Relationship Id="rId507" Type="http://schemas.openxmlformats.org/officeDocument/2006/relationships/hyperlink" Target="https://linktr.ee/DE_DESSERTS" TargetMode="External"/><Relationship Id="rId506" Type="http://schemas.openxmlformats.org/officeDocument/2006/relationships/hyperlink" Target="http://www.notable.mx" TargetMode="External"/><Relationship Id="rId505" Type="http://schemas.openxmlformats.org/officeDocument/2006/relationships/hyperlink" Target="https://msha.ke/moonsolstice" TargetMode="External"/><Relationship Id="rId989" Type="http://schemas.openxmlformats.org/officeDocument/2006/relationships/hyperlink" Target="https://shorturl.at/mQ8HU" TargetMode="External"/><Relationship Id="rId504" Type="http://schemas.openxmlformats.org/officeDocument/2006/relationships/hyperlink" Target="https://linkin.bio/interiordesignmag" TargetMode="External"/><Relationship Id="rId988" Type="http://schemas.openxmlformats.org/officeDocument/2006/relationships/hyperlink" Target="http://shopltk.com/explore/Sissyssecrets" TargetMode="External"/><Relationship Id="rId1570" Type="http://schemas.openxmlformats.org/officeDocument/2006/relationships/hyperlink" Target="https://knowprogramming.in/" TargetMode="External"/><Relationship Id="rId1571" Type="http://schemas.openxmlformats.org/officeDocument/2006/relationships/hyperlink" Target="https://dsc.gg/heroprogrammers" TargetMode="External"/><Relationship Id="rId983" Type="http://schemas.openxmlformats.org/officeDocument/2006/relationships/hyperlink" Target="https://beacons.ai/goalcast" TargetMode="External"/><Relationship Id="rId1572" Type="http://schemas.openxmlformats.org/officeDocument/2006/relationships/hyperlink" Target="https://linktr.ee/programmingknow" TargetMode="External"/><Relationship Id="rId982" Type="http://schemas.openxmlformats.org/officeDocument/2006/relationships/hyperlink" Target="http://instagram.com/babyroom.inspiration" TargetMode="External"/><Relationship Id="rId1573" Type="http://schemas.openxmlformats.org/officeDocument/2006/relationships/hyperlink" Target="https://linktr.ee/morcosawadallah" TargetMode="External"/><Relationship Id="rId981" Type="http://schemas.openxmlformats.org/officeDocument/2006/relationships/hyperlink" Target="https://linktr.ee/Theresesorenes" TargetMode="External"/><Relationship Id="rId1574" Type="http://schemas.openxmlformats.org/officeDocument/2006/relationships/hyperlink" Target="https://smartlnks.com/9V0vc" TargetMode="External"/><Relationship Id="rId980" Type="http://schemas.openxmlformats.org/officeDocument/2006/relationships/hyperlink" Target="https://www.mundoboletos.com/event/show/LOOPINGPARKARMENIA" TargetMode="External"/><Relationship Id="rId1575" Type="http://schemas.openxmlformats.org/officeDocument/2006/relationships/hyperlink" Target="https://www.duckeys.com/EHAB07296" TargetMode="External"/><Relationship Id="rId1565" Type="http://schemas.openxmlformats.org/officeDocument/2006/relationships/hyperlink" Target="https://linktr.ee/everythingnaart" TargetMode="External"/><Relationship Id="rId1566" Type="http://schemas.openxmlformats.org/officeDocument/2006/relationships/hyperlink" Target="https://zaap.bio/ProductivityPeek" TargetMode="External"/><Relationship Id="rId1567" Type="http://schemas.openxmlformats.org/officeDocument/2006/relationships/hyperlink" Target="https://linktr.ee/iLovePDF" TargetMode="External"/><Relationship Id="rId1568" Type="http://schemas.openxmlformats.org/officeDocument/2006/relationships/hyperlink" Target="https://taplink.cc/java.world" TargetMode="External"/><Relationship Id="rId1569" Type="http://schemas.openxmlformats.org/officeDocument/2006/relationships/hyperlink" Target="https://linktr.ee/kettlebellprogramming" TargetMode="External"/><Relationship Id="rId976" Type="http://schemas.openxmlformats.org/officeDocument/2006/relationships/hyperlink" Target="https://iconopay.co/" TargetMode="External"/><Relationship Id="rId975" Type="http://schemas.openxmlformats.org/officeDocument/2006/relationships/hyperlink" Target="https://hubs.la/Q02wDYS90" TargetMode="External"/><Relationship Id="rId974" Type="http://schemas.openxmlformats.org/officeDocument/2006/relationships/hyperlink" Target="http://emiliyo.disha.page/" TargetMode="External"/><Relationship Id="rId973" Type="http://schemas.openxmlformats.org/officeDocument/2006/relationships/hyperlink" Target="https://superlink.io/emilypellegrini" TargetMode="External"/><Relationship Id="rId979" Type="http://schemas.openxmlformats.org/officeDocument/2006/relationships/hyperlink" Target="http://influencersinthewild.com" TargetMode="External"/><Relationship Id="rId978" Type="http://schemas.openxmlformats.org/officeDocument/2006/relationships/hyperlink" Target="https://influencermarketing.com.ar/" TargetMode="External"/><Relationship Id="rId977" Type="http://schemas.openxmlformats.org/officeDocument/2006/relationships/hyperlink" Target="http://influencermarketing.ar" TargetMode="External"/><Relationship Id="rId1560" Type="http://schemas.openxmlformats.org/officeDocument/2006/relationships/hyperlink" Target="https://m.youtube.com/channel/UCliA5YRHZiU1r2Qicrpk1Cw" TargetMode="External"/><Relationship Id="rId972" Type="http://schemas.openxmlformats.org/officeDocument/2006/relationships/hyperlink" Target="https://likeshop.me/amazoninfluencerprogram" TargetMode="External"/><Relationship Id="rId1561" Type="http://schemas.openxmlformats.org/officeDocument/2006/relationships/hyperlink" Target="https://www.adhdsociety.co/house-of-her" TargetMode="External"/><Relationship Id="rId971" Type="http://schemas.openxmlformats.org/officeDocument/2006/relationships/hyperlink" Target="https://www.youtube.com/@IndieGameSpotlights" TargetMode="External"/><Relationship Id="rId1562" Type="http://schemas.openxmlformats.org/officeDocument/2006/relationships/hyperlink" Target="https://theproductivitymethod.komi.io/" TargetMode="External"/><Relationship Id="rId970" Type="http://schemas.openxmlformats.org/officeDocument/2006/relationships/hyperlink" Target="https://beacons.ai/indiegold" TargetMode="External"/><Relationship Id="rId1563" Type="http://schemas.openxmlformats.org/officeDocument/2006/relationships/hyperlink" Target="https://yt.openinapp.co/1qjr2" TargetMode="External"/><Relationship Id="rId1564" Type="http://schemas.openxmlformats.org/officeDocument/2006/relationships/hyperlink" Target="http://productivityhacks.shop/" TargetMode="External"/><Relationship Id="rId1114" Type="http://schemas.openxmlformats.org/officeDocument/2006/relationships/hyperlink" Target="https://www.localfoodstexas.com/" TargetMode="External"/><Relationship Id="rId1598" Type="http://schemas.openxmlformats.org/officeDocument/2006/relationships/hyperlink" Target="https://www.linkedin.com/pulse/c%25C3%25B3mo-renovar-la-identidad-de-un-master-plan-que-muchos-cre%25C3%25ADan-rl5oe" TargetMode="External"/><Relationship Id="rId1115" Type="http://schemas.openxmlformats.org/officeDocument/2006/relationships/hyperlink" Target="http://www.clubllondon.com" TargetMode="External"/><Relationship Id="rId1599" Type="http://schemas.openxmlformats.org/officeDocument/2006/relationships/hyperlink" Target="http://bit.ly/Alasmakh_RE" TargetMode="External"/><Relationship Id="rId1116" Type="http://schemas.openxmlformats.org/officeDocument/2006/relationships/hyperlink" Target="http://www.sandwichuprising.com" TargetMode="External"/><Relationship Id="rId1117" Type="http://schemas.openxmlformats.org/officeDocument/2006/relationships/hyperlink" Target="https://linktr.ee/fuselondon" TargetMode="External"/><Relationship Id="rId1118" Type="http://schemas.openxmlformats.org/officeDocument/2006/relationships/hyperlink" Target="https://jadedldn.com/collections/faithless" TargetMode="External"/><Relationship Id="rId1119" Type="http://schemas.openxmlformats.org/officeDocument/2006/relationships/hyperlink" Target="http://linktr.ee/locuslondon" TargetMode="External"/><Relationship Id="rId525" Type="http://schemas.openxmlformats.org/officeDocument/2006/relationships/hyperlink" Target="https://povdigitalnomad.com/" TargetMode="External"/><Relationship Id="rId524" Type="http://schemas.openxmlformats.org/officeDocument/2006/relationships/hyperlink" Target="http://nomadinfo.io" TargetMode="External"/><Relationship Id="rId523" Type="http://schemas.openxmlformats.org/officeDocument/2006/relationships/hyperlink" Target="http://digital.nomad.info" TargetMode="External"/><Relationship Id="rId522" Type="http://schemas.openxmlformats.org/officeDocument/2006/relationships/hyperlink" Target="https://stan.store/daisystraveldiaries" TargetMode="External"/><Relationship Id="rId529" Type="http://schemas.openxmlformats.org/officeDocument/2006/relationships/hyperlink" Target="https://www.noma-collective.com/location" TargetMode="External"/><Relationship Id="rId528" Type="http://schemas.openxmlformats.org/officeDocument/2006/relationships/hyperlink" Target="https://linktr.ee/nomadfarm" TargetMode="External"/><Relationship Id="rId527" Type="http://schemas.openxmlformats.org/officeDocument/2006/relationships/hyperlink" Target="https://linktr.ee/maryamalj" TargetMode="External"/><Relationship Id="rId526" Type="http://schemas.openxmlformats.org/officeDocument/2006/relationships/hyperlink" Target="https://stan.store/jaden" TargetMode="External"/><Relationship Id="rId1590" Type="http://schemas.openxmlformats.org/officeDocument/2006/relationships/hyperlink" Target="https://smartlnks.com/BuiorM" TargetMode="External"/><Relationship Id="rId1591" Type="http://schemas.openxmlformats.org/officeDocument/2006/relationships/hyperlink" Target="https://linktr.ee/lifequotes2023" TargetMode="External"/><Relationship Id="rId1592" Type="http://schemas.openxmlformats.org/officeDocument/2006/relationships/hyperlink" Target="http://www.love-quotes.com" TargetMode="External"/><Relationship Id="rId1593" Type="http://schemas.openxmlformats.org/officeDocument/2006/relationships/hyperlink" Target="https://www.etsy.com/shop/quotesbychristieshop" TargetMode="External"/><Relationship Id="rId521" Type="http://schemas.openxmlformats.org/officeDocument/2006/relationships/hyperlink" Target="http://myurls.co/kg_usa" TargetMode="External"/><Relationship Id="rId1110" Type="http://schemas.openxmlformats.org/officeDocument/2006/relationships/hyperlink" Target="https://www.leagueoflegends.com/en-gb/" TargetMode="External"/><Relationship Id="rId1594" Type="http://schemas.openxmlformats.org/officeDocument/2006/relationships/hyperlink" Target="https://www.readingfestival.com/tickets/" TargetMode="External"/><Relationship Id="rId520" Type="http://schemas.openxmlformats.org/officeDocument/2006/relationships/hyperlink" Target="https://linktr.ee/mgof" TargetMode="External"/><Relationship Id="rId1111" Type="http://schemas.openxmlformats.org/officeDocument/2006/relationships/hyperlink" Target="http://lifehacks.de" TargetMode="External"/><Relationship Id="rId1595" Type="http://schemas.openxmlformats.org/officeDocument/2006/relationships/hyperlink" Target="https://readingrhythms.co/linkinbio" TargetMode="External"/><Relationship Id="rId1112" Type="http://schemas.openxmlformats.org/officeDocument/2006/relationships/hyperlink" Target="https://bit.ly/3jk1Qyh" TargetMode="External"/><Relationship Id="rId1596" Type="http://schemas.openxmlformats.org/officeDocument/2006/relationships/hyperlink" Target="https://linktr.ee/readingsbooks" TargetMode="External"/><Relationship Id="rId1113" Type="http://schemas.openxmlformats.org/officeDocument/2006/relationships/hyperlink" Target="http://bucataria-localfood.ialoc.ro" TargetMode="External"/><Relationship Id="rId1597" Type="http://schemas.openxmlformats.org/officeDocument/2006/relationships/hyperlink" Target="https://www.goodreads.com/user/show/172417556-twins-reading-books" TargetMode="External"/><Relationship Id="rId1103" Type="http://schemas.openxmlformats.org/officeDocument/2006/relationships/hyperlink" Target="http://tiktok.com/@leagueoflegendsde" TargetMode="External"/><Relationship Id="rId1587" Type="http://schemas.openxmlformats.org/officeDocument/2006/relationships/hyperlink" Target="http://amozesh.py" TargetMode="External"/><Relationship Id="rId1104" Type="http://schemas.openxmlformats.org/officeDocument/2006/relationships/hyperlink" Target="https://beacons.ai/lol_france" TargetMode="External"/><Relationship Id="rId1588" Type="http://schemas.openxmlformats.org/officeDocument/2006/relationships/hyperlink" Target="https://zil.ink/amozesh.py" TargetMode="External"/><Relationship Id="rId1105" Type="http://schemas.openxmlformats.org/officeDocument/2006/relationships/hyperlink" Target="https://www.leagueoflegends.com/id-id/" TargetMode="External"/><Relationship Id="rId1589" Type="http://schemas.openxmlformats.org/officeDocument/2006/relationships/hyperlink" Target="https://smartlnks.com/9V0vc" TargetMode="External"/><Relationship Id="rId1106" Type="http://schemas.openxmlformats.org/officeDocument/2006/relationships/hyperlink" Target="https://linkin.bio/leagueoflegendskorea" TargetMode="External"/><Relationship Id="rId1107" Type="http://schemas.openxmlformats.org/officeDocument/2006/relationships/hyperlink" Target="https://discord.gg/qE4w8kZjcQ" TargetMode="External"/><Relationship Id="rId1108" Type="http://schemas.openxmlformats.org/officeDocument/2006/relationships/hyperlink" Target="https://www.leagueoflegends.com/tr-tr/news/game-updates/patch-25-17-notes/" TargetMode="External"/><Relationship Id="rId1109" Type="http://schemas.openxmlformats.org/officeDocument/2006/relationships/hyperlink" Target="https://linktr.ee/wildrift" TargetMode="External"/><Relationship Id="rId519" Type="http://schemas.openxmlformats.org/officeDocument/2006/relationships/hyperlink" Target="https://www.nois7.com/the-art-of-noticing" TargetMode="External"/><Relationship Id="rId514" Type="http://schemas.openxmlformats.org/officeDocument/2006/relationships/hyperlink" Target="https://linktr.ee/vampirosapien" TargetMode="External"/><Relationship Id="rId998" Type="http://schemas.openxmlformats.org/officeDocument/2006/relationships/hyperlink" Target="https://www.bubilet.com.tr/istanbul" TargetMode="External"/><Relationship Id="rId513" Type="http://schemas.openxmlformats.org/officeDocument/2006/relationships/hyperlink" Target="https://app.lava.top/avoccattart" TargetMode="External"/><Relationship Id="rId997" Type="http://schemas.openxmlformats.org/officeDocument/2006/relationships/hyperlink" Target="https://www.facebook.com/Istanbulbridejo/" TargetMode="External"/><Relationship Id="rId512" Type="http://schemas.openxmlformats.org/officeDocument/2006/relationships/hyperlink" Target="https://stan.store/stephs_desserts" TargetMode="External"/><Relationship Id="rId996" Type="http://schemas.openxmlformats.org/officeDocument/2006/relationships/hyperlink" Target="https://linktr.ee/istanbul.belle" TargetMode="External"/><Relationship Id="rId511" Type="http://schemas.openxmlformats.org/officeDocument/2006/relationships/hyperlink" Target="https://linktr.ee/littledessertshop" TargetMode="External"/><Relationship Id="rId995" Type="http://schemas.openxmlformats.org/officeDocument/2006/relationships/hyperlink" Target="https://www.youtube.com/@Hammasiga_Istanbul_aybdorr" TargetMode="External"/><Relationship Id="rId518" Type="http://schemas.openxmlformats.org/officeDocument/2006/relationships/hyperlink" Target="http://www.madiearts.com/" TargetMode="External"/><Relationship Id="rId517" Type="http://schemas.openxmlformats.org/officeDocument/2006/relationships/hyperlink" Target="https://linktr.ee/digitalartsensei" TargetMode="External"/><Relationship Id="rId516" Type="http://schemas.openxmlformats.org/officeDocument/2006/relationships/hyperlink" Target="https://linktr.ee/digitalartjunky" TargetMode="External"/><Relationship Id="rId515" Type="http://schemas.openxmlformats.org/officeDocument/2006/relationships/hyperlink" Target="https://hipolink.me/darja.mist.art" TargetMode="External"/><Relationship Id="rId999" Type="http://schemas.openxmlformats.org/officeDocument/2006/relationships/hyperlink" Target="http://nidua.com.tr/" TargetMode="External"/><Relationship Id="rId990" Type="http://schemas.openxmlformats.org/officeDocument/2006/relationships/hyperlink" Target="https://walink.online/r/STOX049" TargetMode="External"/><Relationship Id="rId1580" Type="http://schemas.openxmlformats.org/officeDocument/2006/relationships/hyperlink" Target="https://pawslovestore.com/collections/puppies-club?sca_ref=5935641.UvxK7Xp1HX" TargetMode="External"/><Relationship Id="rId1581" Type="http://schemas.openxmlformats.org/officeDocument/2006/relationships/hyperlink" Target="http://puppies.in" TargetMode="External"/><Relationship Id="rId1582" Type="http://schemas.openxmlformats.org/officeDocument/2006/relationships/hyperlink" Target="http://puppies.in" TargetMode="External"/><Relationship Id="rId510" Type="http://schemas.openxmlformats.org/officeDocument/2006/relationships/hyperlink" Target="https://lnk.bio/AllSocials" TargetMode="External"/><Relationship Id="rId994" Type="http://schemas.openxmlformats.org/officeDocument/2006/relationships/hyperlink" Target="https://www.hairofistanbul.com" TargetMode="External"/><Relationship Id="rId1583" Type="http://schemas.openxmlformats.org/officeDocument/2006/relationships/hyperlink" Target="https://linktr.ee/dogdailystore" TargetMode="External"/><Relationship Id="rId993" Type="http://schemas.openxmlformats.org/officeDocument/2006/relationships/hyperlink" Target="https://istanbul.goturkiye.com/homepage" TargetMode="External"/><Relationship Id="rId1100" Type="http://schemas.openxmlformats.org/officeDocument/2006/relationships/hyperlink" Target="https://www.leagueoflegends.com/it-it/" TargetMode="External"/><Relationship Id="rId1584" Type="http://schemas.openxmlformats.org/officeDocument/2006/relationships/hyperlink" Target="https://puppiesbycarolinafajardo.com/quick-links/" TargetMode="External"/><Relationship Id="rId992" Type="http://schemas.openxmlformats.org/officeDocument/2006/relationships/hyperlink" Target="http://wa.me/905445283846" TargetMode="External"/><Relationship Id="rId1101" Type="http://schemas.openxmlformats.org/officeDocument/2006/relationships/hyperlink" Target="https://linktr.ee/leagueoflegends" TargetMode="External"/><Relationship Id="rId1585" Type="http://schemas.openxmlformats.org/officeDocument/2006/relationships/hyperlink" Target="https://puppies-yoga.com/losangeles" TargetMode="External"/><Relationship Id="rId991" Type="http://schemas.openxmlformats.org/officeDocument/2006/relationships/hyperlink" Target="https://linktr.ee/destinazioneistanbul" TargetMode="External"/><Relationship Id="rId1102" Type="http://schemas.openxmlformats.org/officeDocument/2006/relationships/hyperlink" Target="https://riot.com/41uaxcl" TargetMode="External"/><Relationship Id="rId1586" Type="http://schemas.openxmlformats.org/officeDocument/2006/relationships/hyperlink" Target="http://www.rollypupsofficial.com/" TargetMode="External"/><Relationship Id="rId1532" Type="http://schemas.openxmlformats.org/officeDocument/2006/relationships/hyperlink" Target="https://www.tiktok.com/@machigoldpranks_?_t=ZS-8zRMNIHCbQ4&amp;_r=1" TargetMode="External"/><Relationship Id="rId1533" Type="http://schemas.openxmlformats.org/officeDocument/2006/relationships/hyperlink" Target="https://www.facebook.com/share/15f5rt9BS9/?mibextid=wwXIfr" TargetMode="External"/><Relationship Id="rId1534" Type="http://schemas.openxmlformats.org/officeDocument/2006/relationships/hyperlink" Target="https://youtu.be/IbE4BN6xc74?si=qPuPfQ6_70ZOnRsA" TargetMode="External"/><Relationship Id="rId1535" Type="http://schemas.openxmlformats.org/officeDocument/2006/relationships/hyperlink" Target="https://t.me/SABAprank" TargetMode="External"/><Relationship Id="rId1536" Type="http://schemas.openxmlformats.org/officeDocument/2006/relationships/hyperlink" Target="https://australianbirthstories.com/links/" TargetMode="External"/><Relationship Id="rId1537" Type="http://schemas.openxmlformats.org/officeDocument/2006/relationships/hyperlink" Target="https://doclizzie.mvt.so/mind-body-core" TargetMode="External"/><Relationship Id="rId1538" Type="http://schemas.openxmlformats.org/officeDocument/2006/relationships/hyperlink" Target="http://sterlingparents.com" TargetMode="External"/><Relationship Id="rId1539" Type="http://schemas.openxmlformats.org/officeDocument/2006/relationships/hyperlink" Target="https://www.kimperry.com/offers/44x2bSU2/checkout" TargetMode="External"/><Relationship Id="rId949" Type="http://schemas.openxmlformats.org/officeDocument/2006/relationships/hyperlink" Target="https://paystack.com/buy/the-no-animators-guide" TargetMode="External"/><Relationship Id="rId948" Type="http://schemas.openxmlformats.org/officeDocument/2006/relationships/hyperlink" Target="http://www.humortv.co" TargetMode="External"/><Relationship Id="rId943" Type="http://schemas.openxmlformats.org/officeDocument/2006/relationships/hyperlink" Target="https://linktr.ee/hsbresort" TargetMode="External"/><Relationship Id="rId942" Type="http://schemas.openxmlformats.org/officeDocument/2006/relationships/hyperlink" Target="http://linktr.ee/horsesoldierbourbon2015" TargetMode="External"/><Relationship Id="rId941" Type="http://schemas.openxmlformats.org/officeDocument/2006/relationships/hyperlink" Target="https://www.paypal.me/CLWebster1" TargetMode="External"/><Relationship Id="rId940" Type="http://schemas.openxmlformats.org/officeDocument/2006/relationships/hyperlink" Target="https://my.playbookapp.io/kateryna-nikitina/programs/back-to-school-reboot-challenge/35663" TargetMode="External"/><Relationship Id="rId947" Type="http://schemas.openxmlformats.org/officeDocument/2006/relationships/hyperlink" Target="http://www.strivesubmissions.com" TargetMode="External"/><Relationship Id="rId946" Type="http://schemas.openxmlformats.org/officeDocument/2006/relationships/hyperlink" Target="https://youtu.be/6IX6EN4PIPw?si=-bZGdYo3nsjNMGW3" TargetMode="External"/><Relationship Id="rId945" Type="http://schemas.openxmlformats.org/officeDocument/2006/relationships/hyperlink" Target="https://triniq.com/wildhorses2025" TargetMode="External"/><Relationship Id="rId944" Type="http://schemas.openxmlformats.org/officeDocument/2006/relationships/hyperlink" Target="https://www.lopinonataco.com/lt-academy" TargetMode="External"/><Relationship Id="rId1530" Type="http://schemas.openxmlformats.org/officeDocument/2006/relationships/hyperlink" Target="https://vm.tiktok.com/ZMLTUapMB/" TargetMode="External"/><Relationship Id="rId1531" Type="http://schemas.openxmlformats.org/officeDocument/2006/relationships/hyperlink" Target="https://shorturl.at/bimrm" TargetMode="External"/><Relationship Id="rId1521" Type="http://schemas.openxmlformats.org/officeDocument/2006/relationships/hyperlink" Target="http://www.ermidespottery.com.ar/" TargetMode="External"/><Relationship Id="rId1522" Type="http://schemas.openxmlformats.org/officeDocument/2006/relationships/hyperlink" Target="https://loveinpottery.com/" TargetMode="External"/><Relationship Id="rId1523" Type="http://schemas.openxmlformats.org/officeDocument/2006/relationships/hyperlink" Target="http://like2b.uy/potterybarn" TargetMode="External"/><Relationship Id="rId1524" Type="http://schemas.openxmlformats.org/officeDocument/2006/relationships/hyperlink" Target="https://like2b.uy/potterybarnkids" TargetMode="External"/><Relationship Id="rId1525" Type="http://schemas.openxmlformats.org/officeDocument/2006/relationships/hyperlink" Target="https://bit.ly/436onRE" TargetMode="External"/><Relationship Id="rId1526" Type="http://schemas.openxmlformats.org/officeDocument/2006/relationships/hyperlink" Target="https://link.me/haventuninvip" TargetMode="External"/><Relationship Id="rId1527" Type="http://schemas.openxmlformats.org/officeDocument/2006/relationships/hyperlink" Target="http://rootkapottery.pl" TargetMode="External"/><Relationship Id="rId1528" Type="http://schemas.openxmlformats.org/officeDocument/2006/relationships/hyperlink" Target="https://rvpottery.com/" TargetMode="External"/><Relationship Id="rId1529" Type="http://schemas.openxmlformats.org/officeDocument/2006/relationships/hyperlink" Target="http://www.thepotteryshoplv.com/" TargetMode="External"/><Relationship Id="rId939" Type="http://schemas.openxmlformats.org/officeDocument/2006/relationships/hyperlink" Target="https://phaseitup.com/" TargetMode="External"/><Relationship Id="rId938" Type="http://schemas.openxmlformats.org/officeDocument/2006/relationships/hyperlink" Target="https://amzn.to/3XcNv8e" TargetMode="External"/><Relationship Id="rId937" Type="http://schemas.openxmlformats.org/officeDocument/2006/relationships/hyperlink" Target="https://ezonn.shop/products/solar-power-bank" TargetMode="External"/><Relationship Id="rId932" Type="http://schemas.openxmlformats.org/officeDocument/2006/relationships/hyperlink" Target="https://lnk.bio/Thatorganizedhome" TargetMode="External"/><Relationship Id="rId931" Type="http://schemas.openxmlformats.org/officeDocument/2006/relationships/hyperlink" Target="https://beacons.ai/hometips" TargetMode="External"/><Relationship Id="rId930" Type="http://schemas.openxmlformats.org/officeDocument/2006/relationships/hyperlink" Target="http://www.resetyournest.com/social" TargetMode="External"/><Relationship Id="rId936" Type="http://schemas.openxmlformats.org/officeDocument/2006/relationships/hyperlink" Target="https://linktr.ee/courtneyblack" TargetMode="External"/><Relationship Id="rId935" Type="http://schemas.openxmlformats.org/officeDocument/2006/relationships/hyperlink" Target="https://coachlatif.com/" TargetMode="External"/><Relationship Id="rId934" Type="http://schemas.openxmlformats.org/officeDocument/2006/relationships/hyperlink" Target="https://tidystylehome.com/contact-us/?fbclid=PAQ0xDSwLlGGxleHRuA2FlbQIxMAABp9vNQEe57UV5gng63SJluKXugF1sxhiZ-YX_bV5U-2pm4x47-sLzf0gadopD_aem_V6mMa-qDkn9r9BCE0NNf9w" TargetMode="External"/><Relationship Id="rId933" Type="http://schemas.openxmlformats.org/officeDocument/2006/relationships/hyperlink" Target="http://linktr.ee/thetidycitrus/" TargetMode="External"/><Relationship Id="rId1520" Type="http://schemas.openxmlformats.org/officeDocument/2006/relationships/hyperlink" Target="http://www.e-manufaktura.com/" TargetMode="External"/><Relationship Id="rId1554" Type="http://schemas.openxmlformats.org/officeDocument/2006/relationships/hyperlink" Target="https://beacons.ai/mindofieva" TargetMode="External"/><Relationship Id="rId1555" Type="http://schemas.openxmlformats.org/officeDocument/2006/relationships/hyperlink" Target="http://officialpro.gumroad.com" TargetMode="External"/><Relationship Id="rId1556" Type="http://schemas.openxmlformats.org/officeDocument/2006/relationships/hyperlink" Target="https://a.co/d/hTx0c8K" TargetMode="External"/><Relationship Id="rId1557" Type="http://schemas.openxmlformats.org/officeDocument/2006/relationships/hyperlink" Target="https://www.day-byday.com/" TargetMode="External"/><Relationship Id="rId1558" Type="http://schemas.openxmlformats.org/officeDocument/2006/relationships/hyperlink" Target="https://bit.ly/VCPartners" TargetMode="External"/><Relationship Id="rId1559" Type="http://schemas.openxmlformats.org/officeDocument/2006/relationships/hyperlink" Target="https://zaap.bio/ProductivityPeek" TargetMode="External"/><Relationship Id="rId965" Type="http://schemas.openxmlformats.org/officeDocument/2006/relationships/hyperlink" Target="http://linkin.bio/indiemagazine/" TargetMode="External"/><Relationship Id="rId964" Type="http://schemas.openxmlformats.org/officeDocument/2006/relationships/hyperlink" Target="https://linktr.ee/Indieitaly" TargetMode="External"/><Relationship Id="rId963" Type="http://schemas.openxmlformats.org/officeDocument/2006/relationships/hyperlink" Target="https://lnk.bio/indiehoy" TargetMode="External"/><Relationship Id="rId962" Type="http://schemas.openxmlformats.org/officeDocument/2006/relationships/hyperlink" Target="https://blog.allstate.ca/precious-cargo-car-pet-safety-on-the-road?utm_source=instagram&amp;utm_medium=social&amp;utm_campaign=preciouscargo&amp;utm_id=kimikowillgress" TargetMode="External"/><Relationship Id="rId969" Type="http://schemas.openxmlformats.org/officeDocument/2006/relationships/hyperlink" Target="https://linkin.bio/indiewire" TargetMode="External"/><Relationship Id="rId968" Type="http://schemas.openxmlformats.org/officeDocument/2006/relationships/hyperlink" Target="https://linktr.ee/indierocks" TargetMode="External"/><Relationship Id="rId967" Type="http://schemas.openxmlformats.org/officeDocument/2006/relationships/hyperlink" Target="https://t.me/+Tx2erd2tAhY1ZjBk" TargetMode="External"/><Relationship Id="rId966" Type="http://schemas.openxmlformats.org/officeDocument/2006/relationships/hyperlink" Target="https://linktr.ee/indieconfestival" TargetMode="External"/><Relationship Id="rId961" Type="http://schemas.openxmlformats.org/officeDocument/2006/relationships/hyperlink" Target="https://linktr.ee/indie.folks" TargetMode="External"/><Relationship Id="rId1550" Type="http://schemas.openxmlformats.org/officeDocument/2006/relationships/hyperlink" Target="https://linktr.ee/TapShopHere" TargetMode="External"/><Relationship Id="rId960" Type="http://schemas.openxmlformats.org/officeDocument/2006/relationships/hyperlink" Target="https://linktr.ee/indieclubofficial" TargetMode="External"/><Relationship Id="rId1551" Type="http://schemas.openxmlformats.org/officeDocument/2006/relationships/hyperlink" Target="https://www.intelligentchange.com/collections/productivity" TargetMode="External"/><Relationship Id="rId1552" Type="http://schemas.openxmlformats.org/officeDocument/2006/relationships/hyperlink" Target="http://fullfocusplanner.com" TargetMode="External"/><Relationship Id="rId1553" Type="http://schemas.openxmlformats.org/officeDocument/2006/relationships/hyperlink" Target="https://andreydem.gumroad.com/" TargetMode="External"/><Relationship Id="rId1543" Type="http://schemas.openxmlformats.org/officeDocument/2006/relationships/hyperlink" Target="https://pregnancyafterlosssupport.org/social/" TargetMode="External"/><Relationship Id="rId1544" Type="http://schemas.openxmlformats.org/officeDocument/2006/relationships/hyperlink" Target="https://linktr.ee/pregnancyandpostpartumtv" TargetMode="External"/><Relationship Id="rId1545" Type="http://schemas.openxmlformats.org/officeDocument/2006/relationships/hyperlink" Target="https://linktr.ee/pregnancy_birth_and_baby" TargetMode="External"/><Relationship Id="rId1546" Type="http://schemas.openxmlformats.org/officeDocument/2006/relationships/hyperlink" Target="https://stan.store/pregnancy_nutritionist/p/feel-better-pregnancy-meal-plan" TargetMode="External"/><Relationship Id="rId1547" Type="http://schemas.openxmlformats.org/officeDocument/2006/relationships/hyperlink" Target="https://linktr.ee/pregnancyplus" TargetMode="External"/><Relationship Id="rId1548" Type="http://schemas.openxmlformats.org/officeDocument/2006/relationships/hyperlink" Target="http://linktr.ee/resultswithbaby" TargetMode="External"/><Relationship Id="rId1549" Type="http://schemas.openxmlformats.org/officeDocument/2006/relationships/hyperlink" Target="https://likeshop.me/thebump" TargetMode="External"/><Relationship Id="rId959" Type="http://schemas.openxmlformats.org/officeDocument/2006/relationships/hyperlink" Target="http://www.indieclubargentina.com/" TargetMode="External"/><Relationship Id="rId954" Type="http://schemas.openxmlformats.org/officeDocument/2006/relationships/hyperlink" Target="https://youtube.com/@healthy_lifestyle_202iv?si=ICZN78szhCASUbhw" TargetMode="External"/><Relationship Id="rId953" Type="http://schemas.openxmlformats.org/officeDocument/2006/relationships/hyperlink" Target="https://youtube.com/@pahadikokan?si=t-zLqJcZTzZ0rYYi" TargetMode="External"/><Relationship Id="rId952" Type="http://schemas.openxmlformats.org/officeDocument/2006/relationships/hyperlink" Target="http://shop.sandiegohumor.com/" TargetMode="External"/><Relationship Id="rId951" Type="http://schemas.openxmlformats.org/officeDocument/2006/relationships/hyperlink" Target="http://menshumor.com" TargetMode="External"/><Relationship Id="rId958" Type="http://schemas.openxmlformats.org/officeDocument/2006/relationships/hyperlink" Target="https://www.indiegroup.fr/indiebeach" TargetMode="External"/><Relationship Id="rId957" Type="http://schemas.openxmlformats.org/officeDocument/2006/relationships/hyperlink" Target="http://www.indie505.com.mx" TargetMode="External"/><Relationship Id="rId956" Type="http://schemas.openxmlformats.org/officeDocument/2006/relationships/hyperlink" Target="https://linktr.ee/foroindierocks" TargetMode="External"/><Relationship Id="rId955" Type="http://schemas.openxmlformats.org/officeDocument/2006/relationships/hyperlink" Target="https://www.youtube.com/@indian_tasty_food" TargetMode="External"/><Relationship Id="rId950" Type="http://schemas.openxmlformats.org/officeDocument/2006/relationships/hyperlink" Target="https://crowdmade.com/collections/humorbagel" TargetMode="External"/><Relationship Id="rId1540" Type="http://schemas.openxmlformats.org/officeDocument/2006/relationships/hyperlink" Target="http://linkin.bio/lullabyclub" TargetMode="External"/><Relationship Id="rId1541" Type="http://schemas.openxmlformats.org/officeDocument/2006/relationships/hyperlink" Target="https://www.mommylabornurse.com/mln-links" TargetMode="External"/><Relationship Id="rId1542" Type="http://schemas.openxmlformats.org/officeDocument/2006/relationships/hyperlink" Target="https://www.solin.stream/annamcclellan/program/3669?fbclid=PAQ0xDSwLlF8ZleHRuA2FlbQIxMAABpx4Da5f1E7G-ZOlc2LzAipEAF5oXb6qxkAO5OOpEDfU-1Og8e1C9YnQWEBIx_aem_5WBuiwaF_t2OGJH8tfoQiQ" TargetMode="External"/><Relationship Id="rId2027" Type="http://schemas.openxmlformats.org/officeDocument/2006/relationships/hyperlink" Target="https://linktr.ee/emsbudgettravel" TargetMode="External"/><Relationship Id="rId2028" Type="http://schemas.openxmlformats.org/officeDocument/2006/relationships/hyperlink" Target="http://lisbon.travel" TargetMode="External"/><Relationship Id="rId2029" Type="http://schemas.openxmlformats.org/officeDocument/2006/relationships/hyperlink" Target="http://athotel.com/l/Lisbon-hotel-deals" TargetMode="External"/><Relationship Id="rId590" Type="http://schemas.openxmlformats.org/officeDocument/2006/relationships/hyperlink" Target="http://edm.us" TargetMode="External"/><Relationship Id="rId107" Type="http://schemas.openxmlformats.org/officeDocument/2006/relationships/hyperlink" Target="https://linktr.ee/Thebakingprincess._" TargetMode="External"/><Relationship Id="rId106" Type="http://schemas.openxmlformats.org/officeDocument/2006/relationships/hyperlink" Target="https://teakandthyme.com/links/" TargetMode="External"/><Relationship Id="rId105" Type="http://schemas.openxmlformats.org/officeDocument/2006/relationships/hyperlink" Target="https://linkinbio.expert/manuelak" TargetMode="External"/><Relationship Id="rId589" Type="http://schemas.openxmlformats.org/officeDocument/2006/relationships/hyperlink" Target="https://edmtrain.com/bio" TargetMode="External"/><Relationship Id="rId104" Type="http://schemas.openxmlformats.org/officeDocument/2006/relationships/hyperlink" Target="https://natashasbaking.com/panettone-recipe/" TargetMode="External"/><Relationship Id="rId588" Type="http://schemas.openxmlformats.org/officeDocument/2006/relationships/hyperlink" Target="https://linktr.ee/edmresidence" TargetMode="External"/><Relationship Id="rId109" Type="http://schemas.openxmlformats.org/officeDocument/2006/relationships/hyperlink" Target="http://yemayathelabel.com" TargetMode="External"/><Relationship Id="rId1170" Type="http://schemas.openxmlformats.org/officeDocument/2006/relationships/hyperlink" Target="https://linktr.ee/amillamaldives" TargetMode="External"/><Relationship Id="rId108" Type="http://schemas.openxmlformats.org/officeDocument/2006/relationships/hyperlink" Target="https://travly.com/app" TargetMode="External"/><Relationship Id="rId1171" Type="http://schemas.openxmlformats.org/officeDocument/2006/relationships/hyperlink" Target="https://linktr.ee/CinnamonDhonveliMaldives" TargetMode="External"/><Relationship Id="rId583" Type="http://schemas.openxmlformats.org/officeDocument/2006/relationships/hyperlink" Target="https://linktr.ee/shavest" TargetMode="External"/><Relationship Id="rId1172" Type="http://schemas.openxmlformats.org/officeDocument/2006/relationships/hyperlink" Target="https://survey.destinasian.com/?fbclid=PAQ0xDSwMBKixleHRuA2FlbQIxMQABp9mc8CHpFINpvf9NbHuyRSko0Mgdb2Pu4sQorOhsc-v7Gx5h1dtsb_us1C8n_aem_BC-G_QZFfOtTqLLdPrKZ5g" TargetMode="External"/><Relationship Id="rId582" Type="http://schemas.openxmlformats.org/officeDocument/2006/relationships/hyperlink" Target="https://beacons.ai/espacoup" TargetMode="External"/><Relationship Id="rId1173" Type="http://schemas.openxmlformats.org/officeDocument/2006/relationships/hyperlink" Target="https://sprout.link/fsmaldives" TargetMode="External"/><Relationship Id="rId2020" Type="http://schemas.openxmlformats.org/officeDocument/2006/relationships/hyperlink" Target="http://linktr.ee/jordhammond" TargetMode="External"/><Relationship Id="rId581" Type="http://schemas.openxmlformats.org/officeDocument/2006/relationships/hyperlink" Target="https://linktr.ee/ecofriendlybharat" TargetMode="External"/><Relationship Id="rId1174" Type="http://schemas.openxmlformats.org/officeDocument/2006/relationships/hyperlink" Target="https://www.instagram.com/travel.nirvana_?igsh=MXBibjJsMm90MmQ5MA%3D%3D" TargetMode="External"/><Relationship Id="rId2021" Type="http://schemas.openxmlformats.org/officeDocument/2006/relationships/hyperlink" Target="http://peppercorn-media.com/" TargetMode="External"/><Relationship Id="rId580" Type="http://schemas.openxmlformats.org/officeDocument/2006/relationships/hyperlink" Target="https://linktr.ee/avanieco" TargetMode="External"/><Relationship Id="rId1175" Type="http://schemas.openxmlformats.org/officeDocument/2006/relationships/hyperlink" Target="http://athotel.com/l/maldives-hotel-deals" TargetMode="External"/><Relationship Id="rId2022" Type="http://schemas.openxmlformats.org/officeDocument/2006/relationships/hyperlink" Target="https://linktr.ee/nomadict" TargetMode="External"/><Relationship Id="rId103" Type="http://schemas.openxmlformats.org/officeDocument/2006/relationships/hyperlink" Target="https://linktr.ee/bakingwithstephy" TargetMode="External"/><Relationship Id="rId587" Type="http://schemas.openxmlformats.org/officeDocument/2006/relationships/hyperlink" Target="http://edmmaniac.com" TargetMode="External"/><Relationship Id="rId1176" Type="http://schemas.openxmlformats.org/officeDocument/2006/relationships/hyperlink" Target="https://carbuild.co/u/maldives.g80" TargetMode="External"/><Relationship Id="rId2023" Type="http://schemas.openxmlformats.org/officeDocument/2006/relationships/hyperlink" Target="https://www.youtube.com/@thetravelrealindia" TargetMode="External"/><Relationship Id="rId102" Type="http://schemas.openxmlformats.org/officeDocument/2006/relationships/hyperlink" Target="https://bakingwithblondie.com/cookbook/" TargetMode="External"/><Relationship Id="rId586" Type="http://schemas.openxmlformats.org/officeDocument/2006/relationships/hyperlink" Target="https://linkin.bio/edm" TargetMode="External"/><Relationship Id="rId1177" Type="http://schemas.openxmlformats.org/officeDocument/2006/relationships/hyperlink" Target="https://www.epicenterpro.com/" TargetMode="External"/><Relationship Id="rId2024" Type="http://schemas.openxmlformats.org/officeDocument/2006/relationships/hyperlink" Target="http://link.me/tom_juenemann" TargetMode="External"/><Relationship Id="rId101" Type="http://schemas.openxmlformats.org/officeDocument/2006/relationships/hyperlink" Target="http://onlybakingfans.com" TargetMode="External"/><Relationship Id="rId585" Type="http://schemas.openxmlformats.org/officeDocument/2006/relationships/hyperlink" Target="http://edm.com" TargetMode="External"/><Relationship Id="rId1178" Type="http://schemas.openxmlformats.org/officeDocument/2006/relationships/hyperlink" Target="http://wa.me/79526478894" TargetMode="External"/><Relationship Id="rId2025" Type="http://schemas.openxmlformats.org/officeDocument/2006/relationships/hyperlink" Target="https://linktr.ee/travelphotographeroftheyear" TargetMode="External"/><Relationship Id="rId100" Type="http://schemas.openxmlformats.org/officeDocument/2006/relationships/hyperlink" Target="https://linktr.ee/baking_buddyy" TargetMode="External"/><Relationship Id="rId584" Type="http://schemas.openxmlformats.org/officeDocument/2006/relationships/hyperlink" Target="https://bit.ly/45OLfah" TargetMode="External"/><Relationship Id="rId1179" Type="http://schemas.openxmlformats.org/officeDocument/2006/relationships/hyperlink" Target="http://maldivesonline.ru" TargetMode="External"/><Relationship Id="rId2026" Type="http://schemas.openxmlformats.org/officeDocument/2006/relationships/hyperlink" Target="https://discover-corfu.com" TargetMode="External"/><Relationship Id="rId1169" Type="http://schemas.openxmlformats.org/officeDocument/2006/relationships/hyperlink" Target="https://stylechannelbeauty.com/products/perfect-finish-spray?fbclid=PAQ0xDSwManldleHRuA2FlbQIxMAABpxdkLoi4PbO1VBnW3GBRk79nPZssuX763xZB2z_TzTIGZzIoTLtcK4qsLECJ_aem_1MOomUce6qL0IRdMJHvvmw" TargetMode="External"/><Relationship Id="rId2016" Type="http://schemas.openxmlformats.org/officeDocument/2006/relationships/hyperlink" Target="http://instagram.com/travelhacksphilippines" TargetMode="External"/><Relationship Id="rId2017" Type="http://schemas.openxmlformats.org/officeDocument/2006/relationships/hyperlink" Target="https://hoo.be/Alexstead" TargetMode="External"/><Relationship Id="rId2018" Type="http://schemas.openxmlformats.org/officeDocument/2006/relationships/hyperlink" Target="http://www.ericrubens.com" TargetMode="External"/><Relationship Id="rId2019" Type="http://schemas.openxmlformats.org/officeDocument/2006/relationships/hyperlink" Target="https://linktr.ee/jj.trailwalker" TargetMode="External"/><Relationship Id="rId579" Type="http://schemas.openxmlformats.org/officeDocument/2006/relationships/hyperlink" Target="http://xdubai.com/" TargetMode="External"/><Relationship Id="rId578" Type="http://schemas.openxmlformats.org/officeDocument/2006/relationships/hyperlink" Target="https://lnk.bio/ushuaiadubai" TargetMode="External"/><Relationship Id="rId577" Type="http://schemas.openxmlformats.org/officeDocument/2006/relationships/hyperlink" Target="https://linktr.ee/untoldfestivaldubai" TargetMode="External"/><Relationship Id="rId1160" Type="http://schemas.openxmlformats.org/officeDocument/2006/relationships/hyperlink" Target="https://aiplanet.com/" TargetMode="External"/><Relationship Id="rId572" Type="http://schemas.openxmlformats.org/officeDocument/2006/relationships/hyperlink" Target="https://skyscanner.pxf.io/DubaitoCairo" TargetMode="External"/><Relationship Id="rId1161" Type="http://schemas.openxmlformats.org/officeDocument/2006/relationships/hyperlink" Target="https://youtube.com/c/IntuitiveMachineLearning" TargetMode="External"/><Relationship Id="rId571" Type="http://schemas.openxmlformats.org/officeDocument/2006/relationships/hyperlink" Target="https://form.jotform.com/252373768949173" TargetMode="External"/><Relationship Id="rId1162" Type="http://schemas.openxmlformats.org/officeDocument/2006/relationships/hyperlink" Target="https://youtube.com/@samane_life" TargetMode="External"/><Relationship Id="rId570" Type="http://schemas.openxmlformats.org/officeDocument/2006/relationships/hyperlink" Target="https://wml.link/YOyTU" TargetMode="External"/><Relationship Id="rId1163" Type="http://schemas.openxmlformats.org/officeDocument/2006/relationships/hyperlink" Target="https://neuralnine.com/books" TargetMode="External"/><Relationship Id="rId2010" Type="http://schemas.openxmlformats.org/officeDocument/2006/relationships/hyperlink" Target="https://syifainswitzerland.com/product-category/summer-travel-itinerary/" TargetMode="External"/><Relationship Id="rId1164" Type="http://schemas.openxmlformats.org/officeDocument/2006/relationships/hyperlink" Target="https://api.whatsapp.com/send?phone=628111181821" TargetMode="External"/><Relationship Id="rId2011" Type="http://schemas.openxmlformats.org/officeDocument/2006/relationships/hyperlink" Target="http://travelguide.kw" TargetMode="External"/><Relationship Id="rId576" Type="http://schemas.openxmlformats.org/officeDocument/2006/relationships/hyperlink" Target="https://lnk.bio/timeoutdubai" TargetMode="External"/><Relationship Id="rId1165" Type="http://schemas.openxmlformats.org/officeDocument/2006/relationships/hyperlink" Target="https://hypd.store/mukulmakeupartist?utm_medium=creator_app&amp;utm_source=iOS&amp;utm_campaign=app" TargetMode="External"/><Relationship Id="rId2012" Type="http://schemas.openxmlformats.org/officeDocument/2006/relationships/hyperlink" Target="https://www.tiktok.com/@travel.guidenl?_t=ZN-8yr8NYsp8i6&amp;_r=1" TargetMode="External"/><Relationship Id="rId575" Type="http://schemas.openxmlformats.org/officeDocument/2006/relationships/hyperlink" Target="https://l.lichi.com/m6LX" TargetMode="External"/><Relationship Id="rId1166" Type="http://schemas.openxmlformats.org/officeDocument/2006/relationships/hyperlink" Target="https://t.me/nihola_hayotova" TargetMode="External"/><Relationship Id="rId2013" Type="http://schemas.openxmlformats.org/officeDocument/2006/relationships/hyperlink" Target="https://linkstre.am/TravelGuides" TargetMode="External"/><Relationship Id="rId574" Type="http://schemas.openxmlformats.org/officeDocument/2006/relationships/hyperlink" Target="https://mydubaicommunities.com" TargetMode="External"/><Relationship Id="rId1167" Type="http://schemas.openxmlformats.org/officeDocument/2006/relationships/hyperlink" Target="http://patrickta.com" TargetMode="External"/><Relationship Id="rId2014" Type="http://schemas.openxmlformats.org/officeDocument/2006/relationships/hyperlink" Target="https://linktr.ee/Travelguidesasheville" TargetMode="External"/><Relationship Id="rId573" Type="http://schemas.openxmlformats.org/officeDocument/2006/relationships/hyperlink" Target="https://lovin.co/lovins" TargetMode="External"/><Relationship Id="rId1168" Type="http://schemas.openxmlformats.org/officeDocument/2006/relationships/hyperlink" Target="https://www.facebook.com/shrouk.adel.makeup.artist" TargetMode="External"/><Relationship Id="rId2015" Type="http://schemas.openxmlformats.org/officeDocument/2006/relationships/hyperlink" Target="https://www.travelhackings.com" TargetMode="External"/><Relationship Id="rId2049" Type="http://schemas.openxmlformats.org/officeDocument/2006/relationships/hyperlink" Target="https://youtube.com/@boxunboxinganime?si=pr_Q7dFFnougm1W9" TargetMode="External"/><Relationship Id="rId129" Type="http://schemas.openxmlformats.org/officeDocument/2006/relationships/hyperlink" Target="https://t.me/xanjjjj" TargetMode="External"/><Relationship Id="rId128" Type="http://schemas.openxmlformats.org/officeDocument/2006/relationships/hyperlink" Target="https://boletos.prticket.com/events/en/believeinyourself" TargetMode="External"/><Relationship Id="rId127" Type="http://schemas.openxmlformats.org/officeDocument/2006/relationships/hyperlink" Target="https://celestebarber.com" TargetMode="External"/><Relationship Id="rId126" Type="http://schemas.openxmlformats.org/officeDocument/2006/relationships/hyperlink" Target="http://celestebarber.com" TargetMode="External"/><Relationship Id="rId1190" Type="http://schemas.openxmlformats.org/officeDocument/2006/relationships/hyperlink" Target="https://youtube.com/@franziska.schoebel?si=l2IlBhj10eRRylEt" TargetMode="External"/><Relationship Id="rId1191" Type="http://schemas.openxmlformats.org/officeDocument/2006/relationships/hyperlink" Target="http://sprout.link/londonmarathon" TargetMode="External"/><Relationship Id="rId1192" Type="http://schemas.openxmlformats.org/officeDocument/2006/relationships/hyperlink" Target="https://linktr.ee/marathonburger" TargetMode="External"/><Relationship Id="rId1193" Type="http://schemas.openxmlformats.org/officeDocument/2006/relationships/hyperlink" Target="http://marathon.com.ar/" TargetMode="External"/><Relationship Id="rId2040" Type="http://schemas.openxmlformats.org/officeDocument/2006/relationships/hyperlink" Target="https://youtube.com/c/OFFICIALBOSSFAM" TargetMode="External"/><Relationship Id="rId121" Type="http://schemas.openxmlformats.org/officeDocument/2006/relationships/hyperlink" Target="https://www.hantablebarbecue.com" TargetMode="External"/><Relationship Id="rId1194" Type="http://schemas.openxmlformats.org/officeDocument/2006/relationships/hyperlink" Target="https://www.marathon.store/pe/" TargetMode="External"/><Relationship Id="rId2041" Type="http://schemas.openxmlformats.org/officeDocument/2006/relationships/hyperlink" Target="https://twitchywitch.teachable.com/p/alchemy-101-2025" TargetMode="External"/><Relationship Id="rId120" Type="http://schemas.openxmlformats.org/officeDocument/2006/relationships/hyperlink" Target="https://linktr.ee/grillcityabuja" TargetMode="External"/><Relationship Id="rId1195" Type="http://schemas.openxmlformats.org/officeDocument/2006/relationships/hyperlink" Target="https://www.marathonmusicworks.com/tickets/" TargetMode="External"/><Relationship Id="rId2042" Type="http://schemas.openxmlformats.org/officeDocument/2006/relationships/hyperlink" Target="https://sprout.link/twitch" TargetMode="External"/><Relationship Id="rId1196" Type="http://schemas.openxmlformats.org/officeDocument/2006/relationships/hyperlink" Target="https://sprout.link/nycmarathon" TargetMode="External"/><Relationship Id="rId2043" Type="http://schemas.openxmlformats.org/officeDocument/2006/relationships/hyperlink" Target="https://linktr.ee/thetwitchetts39" TargetMode="External"/><Relationship Id="rId1197" Type="http://schemas.openxmlformats.org/officeDocument/2006/relationships/hyperlink" Target="https://mtr.bio/philadelphia-marathon" TargetMode="External"/><Relationship Id="rId2044" Type="http://schemas.openxmlformats.org/officeDocument/2006/relationships/hyperlink" Target="https://t.me/TwitchHubReserv" TargetMode="External"/><Relationship Id="rId125" Type="http://schemas.openxmlformats.org/officeDocument/2006/relationships/hyperlink" Target="http://linktr.ee/terryblacksbarbecue/" TargetMode="External"/><Relationship Id="rId1198" Type="http://schemas.openxmlformats.org/officeDocument/2006/relationships/hyperlink" Target="https://www.themarathonclothing.com" TargetMode="External"/><Relationship Id="rId2045" Type="http://schemas.openxmlformats.org/officeDocument/2006/relationships/hyperlink" Target="https://twitch.tv/kingshakour" TargetMode="External"/><Relationship Id="rId124" Type="http://schemas.openxmlformats.org/officeDocument/2006/relationships/hyperlink" Target="https://linktr.ee/melt_slow_smoked_barbecue1" TargetMode="External"/><Relationship Id="rId1199" Type="http://schemas.openxmlformats.org/officeDocument/2006/relationships/hyperlink" Target="https://linkin.bio/thesfmarathon" TargetMode="External"/><Relationship Id="rId2046" Type="http://schemas.openxmlformats.org/officeDocument/2006/relationships/hyperlink" Target="https://www.flyracing.com/moto/mens/gear-lines/2025-5-kinetic-mesh-dbk-black-white/" TargetMode="External"/><Relationship Id="rId123" Type="http://schemas.openxmlformats.org/officeDocument/2006/relationships/hyperlink" Target="https://linktr.ee/KingsBarbecue" TargetMode="External"/><Relationship Id="rId2047" Type="http://schemas.openxmlformats.org/officeDocument/2006/relationships/hyperlink" Target="https://linkin.bio/daisy_burtis" TargetMode="External"/><Relationship Id="rId122" Type="http://schemas.openxmlformats.org/officeDocument/2006/relationships/hyperlink" Target="http://linktr.ee/ilmondodelbarbecue" TargetMode="External"/><Relationship Id="rId2048" Type="http://schemas.openxmlformats.org/officeDocument/2006/relationships/hyperlink" Target="https://youtube.com/@unboxing_24832?si=DrM_UeRcjh85T2xa" TargetMode="External"/><Relationship Id="rId2038" Type="http://schemas.openxmlformats.org/officeDocument/2006/relationships/hyperlink" Target="https://youtu.be/2ZzuaM4A9LU?si=p79_oIsHsAwFoG9r" TargetMode="External"/><Relationship Id="rId2039" Type="http://schemas.openxmlformats.org/officeDocument/2006/relationships/hyperlink" Target="https://m.twitch.tv/katha" TargetMode="External"/><Relationship Id="rId118" Type="http://schemas.openxmlformats.org/officeDocument/2006/relationships/hyperlink" Target="http://linktr.ee/bbqdelights" TargetMode="External"/><Relationship Id="rId117" Type="http://schemas.openxmlformats.org/officeDocument/2006/relationships/hyperlink" Target="http://www.barbecuetour.com.br" TargetMode="External"/><Relationship Id="rId116" Type="http://schemas.openxmlformats.org/officeDocument/2006/relationships/hyperlink" Target="https://shorturl.at/ghLWZ" TargetMode="External"/><Relationship Id="rId115" Type="http://schemas.openxmlformats.org/officeDocument/2006/relationships/hyperlink" Target="http://barbecue.az" TargetMode="External"/><Relationship Id="rId599" Type="http://schemas.openxmlformats.org/officeDocument/2006/relationships/hyperlink" Target="https://go.galactic.tv/entrepreneur" TargetMode="External"/><Relationship Id="rId1180" Type="http://schemas.openxmlformats.org/officeDocument/2006/relationships/hyperlink" Target="https://linktr.ee/theritzcarltonmaldives" TargetMode="External"/><Relationship Id="rId1181" Type="http://schemas.openxmlformats.org/officeDocument/2006/relationships/hyperlink" Target="https://www.shadowpalm.com/" TargetMode="External"/><Relationship Id="rId119" Type="http://schemas.openxmlformats.org/officeDocument/2006/relationships/hyperlink" Target="https://monyo.az/?r=dinehall.az" TargetMode="External"/><Relationship Id="rId1182" Type="http://schemas.openxmlformats.org/officeDocument/2006/relationships/hyperlink" Target="https://so-hotels.com/en/maldives/" TargetMode="External"/><Relationship Id="rId110" Type="http://schemas.openxmlformats.org/officeDocument/2006/relationships/hyperlink" Target="https://balibodyco.com/products/" TargetMode="External"/><Relationship Id="rId594" Type="http://schemas.openxmlformats.org/officeDocument/2006/relationships/hyperlink" Target="https://www.entrepreneurindia.com/conference-registration.php" TargetMode="External"/><Relationship Id="rId1183" Type="http://schemas.openxmlformats.org/officeDocument/2006/relationships/hyperlink" Target="https://visitmaldives.com/en/experience/the-maldives-the-ultimate-luxury-winter-destination-for-sun-seekers" TargetMode="External"/><Relationship Id="rId2030" Type="http://schemas.openxmlformats.org/officeDocument/2006/relationships/hyperlink" Target="https://skyscanner.pxf.io/LondontoBarca" TargetMode="External"/><Relationship Id="rId593" Type="http://schemas.openxmlformats.org/officeDocument/2006/relationships/hyperlink" Target="https://oneclick.bio/entrepreneur" TargetMode="External"/><Relationship Id="rId1184" Type="http://schemas.openxmlformats.org/officeDocument/2006/relationships/hyperlink" Target="https://linktr.ee/wmaldives" TargetMode="External"/><Relationship Id="rId2031" Type="http://schemas.openxmlformats.org/officeDocument/2006/relationships/hyperlink" Target="https://beacons.ai/passaporteportugues" TargetMode="External"/><Relationship Id="rId592" Type="http://schemas.openxmlformats.org/officeDocument/2006/relationships/hyperlink" Target="https://ecomtushar.typeform.com/BrandedEcom?utm_source=IG&amp;utm_medium=Bio" TargetMode="External"/><Relationship Id="rId1185" Type="http://schemas.openxmlformats.org/officeDocument/2006/relationships/hyperlink" Target="https://www.youandmemaldives.com/" TargetMode="External"/><Relationship Id="rId2032" Type="http://schemas.openxmlformats.org/officeDocument/2006/relationships/hyperlink" Target="https://linktr.ee/traveltipsbylaurie" TargetMode="External"/><Relationship Id="rId591" Type="http://schemas.openxmlformats.org/officeDocument/2006/relationships/hyperlink" Target="https://open.spotify.com/playlist/5aI94zk1jcE6kGHQi7luxJ?si=zDVuhDCjQWqn7rmF3JmXng&amp;pi=_TSfXXv5Q9u8O" TargetMode="External"/><Relationship Id="rId1186" Type="http://schemas.openxmlformats.org/officeDocument/2006/relationships/hyperlink" Target="https://www.archimarathon.com/links" TargetMode="External"/><Relationship Id="rId2033" Type="http://schemas.openxmlformats.org/officeDocument/2006/relationships/hyperlink" Target="https://linktr.ee/traveltipswithjay" TargetMode="External"/><Relationship Id="rId114" Type="http://schemas.openxmlformats.org/officeDocument/2006/relationships/hyperlink" Target="https://maps.app.goo.gl/qhYGFhdqDvj2FxAc9?g_st=com.google.maps.preview.copy" TargetMode="External"/><Relationship Id="rId598" Type="http://schemas.openxmlformats.org/officeDocument/2006/relationships/hyperlink" Target="https://maven.com/p/412512/frequently-asked-questions-and-answers-about-ai-evals?utm_medium=lead_magnet_share_link&amp;utm_source=entrepreneursquote" TargetMode="External"/><Relationship Id="rId1187" Type="http://schemas.openxmlformats.org/officeDocument/2006/relationships/hyperlink" Target="https://linktr.ee/berlinmarathon" TargetMode="External"/><Relationship Id="rId2034" Type="http://schemas.openxmlformats.org/officeDocument/2006/relationships/hyperlink" Target="https://www.tsa.gov/linkinbio" TargetMode="External"/><Relationship Id="rId113" Type="http://schemas.openxmlformats.org/officeDocument/2006/relationships/hyperlink" Target="https://app.leadteh.ru/w/cuNBA" TargetMode="External"/><Relationship Id="rId597" Type="http://schemas.openxmlformats.org/officeDocument/2006/relationships/hyperlink" Target="https://taplink.cc/entrepreneursorg" TargetMode="External"/><Relationship Id="rId1188" Type="http://schemas.openxmlformats.org/officeDocument/2006/relationships/hyperlink" Target="https://linkin.bio/bostonmarathon" TargetMode="External"/><Relationship Id="rId2035" Type="http://schemas.openxmlformats.org/officeDocument/2006/relationships/hyperlink" Target="https://youtu.be/ObnjUVs2s50" TargetMode="External"/><Relationship Id="rId112" Type="http://schemas.openxmlformats.org/officeDocument/2006/relationships/hyperlink" Target="https://taplink.cc/sunnypeople" TargetMode="External"/><Relationship Id="rId596" Type="http://schemas.openxmlformats.org/officeDocument/2006/relationships/hyperlink" Target="https://algofirst.co/marketing/" TargetMode="External"/><Relationship Id="rId1189" Type="http://schemas.openxmlformats.org/officeDocument/2006/relationships/hyperlink" Target="http://www.clubdeportivomarathon.com/" TargetMode="External"/><Relationship Id="rId2036" Type="http://schemas.openxmlformats.org/officeDocument/2006/relationships/hyperlink" Target="https://beacons.ai/ckverse/mediakit" TargetMode="External"/><Relationship Id="rId111" Type="http://schemas.openxmlformats.org/officeDocument/2006/relationships/hyperlink" Target="http://athotel.com/l/Bali-hotel-deals" TargetMode="External"/><Relationship Id="rId595" Type="http://schemas.openxmlformats.org/officeDocument/2006/relationships/hyperlink" Target="https://bit.ly/3Y9xxMp" TargetMode="External"/><Relationship Id="rId2037" Type="http://schemas.openxmlformats.org/officeDocument/2006/relationships/hyperlink" Target="http://www.dammytwitch.com" TargetMode="External"/><Relationship Id="rId1136" Type="http://schemas.openxmlformats.org/officeDocument/2006/relationships/hyperlink" Target="https://newsin.bio/latimes" TargetMode="External"/><Relationship Id="rId1137" Type="http://schemas.openxmlformats.org/officeDocument/2006/relationships/hyperlink" Target="https://linktr.ee/Losangelesapparel" TargetMode="External"/><Relationship Id="rId1138" Type="http://schemas.openxmlformats.org/officeDocument/2006/relationships/hyperlink" Target="http://losdodgers.com/" TargetMode="External"/><Relationship Id="rId1139" Type="http://schemas.openxmlformats.org/officeDocument/2006/relationships/hyperlink" Target="https://www.therams.com/tickets/single-game-tickets?utm_source=ig&amp;utm_medium=bio&amp;utm_campaign=schedule_release_launch" TargetMode="External"/><Relationship Id="rId547" Type="http://schemas.openxmlformats.org/officeDocument/2006/relationships/hyperlink" Target="http://www.huntersofhappiness.com" TargetMode="External"/><Relationship Id="rId546" Type="http://schemas.openxmlformats.org/officeDocument/2006/relationships/hyperlink" Target="https://amzlink.to/az0WFn6VdJNF7" TargetMode="External"/><Relationship Id="rId545" Type="http://schemas.openxmlformats.org/officeDocument/2006/relationships/hyperlink" Target="http://www.fhthdiy.com/links" TargetMode="External"/><Relationship Id="rId544" Type="http://schemas.openxmlformats.org/officeDocument/2006/relationships/hyperlink" Target="https://www.youtube.com/@diy.homedecor" TargetMode="External"/><Relationship Id="rId549" Type="http://schemas.openxmlformats.org/officeDocument/2006/relationships/hyperlink" Target="http://linktr.ee/swayandsarahbuild/" TargetMode="External"/><Relationship Id="rId548" Type="http://schemas.openxmlformats.org/officeDocument/2006/relationships/hyperlink" Target="https://spetrichhome.com/spetrichhome-links/" TargetMode="External"/><Relationship Id="rId1130" Type="http://schemas.openxmlformats.org/officeDocument/2006/relationships/hyperlink" Target="http://linktr.ee/losangelesangels/" TargetMode="External"/><Relationship Id="rId1131" Type="http://schemas.openxmlformats.org/officeDocument/2006/relationships/hyperlink" Target="https://btblosangeles.com/collections/summer-25" TargetMode="External"/><Relationship Id="rId543" Type="http://schemas.openxmlformats.org/officeDocument/2006/relationships/hyperlink" Target="https://www.delineateyourdwelling.com/links/" TargetMode="External"/><Relationship Id="rId1132" Type="http://schemas.openxmlformats.org/officeDocument/2006/relationships/hyperlink" Target="https://chrg.rs/m/LinkInBio" TargetMode="External"/><Relationship Id="rId542" Type="http://schemas.openxmlformats.org/officeDocument/2006/relationships/hyperlink" Target="https://cozydiyhome.com/instagram" TargetMode="External"/><Relationship Id="rId1133" Type="http://schemas.openxmlformats.org/officeDocument/2006/relationships/hyperlink" Target="http://linktree.com/dodgers/" TargetMode="External"/><Relationship Id="rId541" Type="http://schemas.openxmlformats.org/officeDocument/2006/relationships/hyperlink" Target="https://linktr.ee/barefoot___wanderer" TargetMode="External"/><Relationship Id="rId1134" Type="http://schemas.openxmlformats.org/officeDocument/2006/relationships/hyperlink" Target="https://linkin.bio/lafc" TargetMode="External"/><Relationship Id="rId540" Type="http://schemas.openxmlformats.org/officeDocument/2006/relationships/hyperlink" Target="https://www.wickes.co.uk/kimberley-walsh" TargetMode="External"/><Relationship Id="rId1135" Type="http://schemas.openxmlformats.org/officeDocument/2006/relationships/hyperlink" Target="http://www.lakers.com" TargetMode="External"/><Relationship Id="rId1125" Type="http://schemas.openxmlformats.org/officeDocument/2006/relationships/hyperlink" Target="http://linkin.bio/secret-london/" TargetMode="External"/><Relationship Id="rId1126" Type="http://schemas.openxmlformats.org/officeDocument/2006/relationships/hyperlink" Target="https://www.solacelondon.com/" TargetMode="External"/><Relationship Id="rId1127" Type="http://schemas.openxmlformats.org/officeDocument/2006/relationships/hyperlink" Target="https://linkin.bio/visitlondon" TargetMode="External"/><Relationship Id="rId1128" Type="http://schemas.openxmlformats.org/officeDocument/2006/relationships/hyperlink" Target="http://fashionhomedesign.com" TargetMode="External"/><Relationship Id="rId1129" Type="http://schemas.openxmlformats.org/officeDocument/2006/relationships/hyperlink" Target="https://sml.lnk.to/ElDespertador" TargetMode="External"/><Relationship Id="rId536" Type="http://schemas.openxmlformats.org/officeDocument/2006/relationships/hyperlink" Target="https://www.youtube.com/channel/UCQ1UL4iuw1rmL-oUXVmjPhw" TargetMode="External"/><Relationship Id="rId535" Type="http://schemas.openxmlformats.org/officeDocument/2006/relationships/hyperlink" Target="https://youtube.com/@fatimazahraoff?si=wmuOQJ2OX_vfAtVN" TargetMode="External"/><Relationship Id="rId534" Type="http://schemas.openxmlformats.org/officeDocument/2006/relationships/hyperlink" Target="https://biolink.info/HelloStore" TargetMode="External"/><Relationship Id="rId533" Type="http://schemas.openxmlformats.org/officeDocument/2006/relationships/hyperlink" Target="https://maxoutletstore.com/products/aurece-car-cymbal-air-vent-mini-drum-beatride-pro?_pos=1&amp;_psq=car&amp;_ss=e&amp;_v=1.0" TargetMode="External"/><Relationship Id="rId539" Type="http://schemas.openxmlformats.org/officeDocument/2006/relationships/hyperlink" Target="https://msha.ke/angelarosehome" TargetMode="External"/><Relationship Id="rId538" Type="http://schemas.openxmlformats.org/officeDocument/2006/relationships/hyperlink" Target="https://link.inpock.co.kr/jgw_atelier" TargetMode="External"/><Relationship Id="rId537" Type="http://schemas.openxmlformats.org/officeDocument/2006/relationships/hyperlink" Target="https://beacons.ai/diyfshop" TargetMode="External"/><Relationship Id="rId1120" Type="http://schemas.openxmlformats.org/officeDocument/2006/relationships/hyperlink" Target="https://bit.ly/45kAFHK" TargetMode="External"/><Relationship Id="rId532" Type="http://schemas.openxmlformats.org/officeDocument/2006/relationships/hyperlink" Target="https://www.diy-malennachzahlen.de/" TargetMode="External"/><Relationship Id="rId1121" Type="http://schemas.openxmlformats.org/officeDocument/2006/relationships/hyperlink" Target="https://skyscanner.pxf.io/LondontoBarca" TargetMode="External"/><Relationship Id="rId531" Type="http://schemas.openxmlformats.org/officeDocument/2006/relationships/hyperlink" Target="https://newthangamart.com/shop/" TargetMode="External"/><Relationship Id="rId1122" Type="http://schemas.openxmlformats.org/officeDocument/2006/relationships/hyperlink" Target="https://youtube.com/@londonukstreetnews?si=2RZea4S87HYjklLR" TargetMode="External"/><Relationship Id="rId530" Type="http://schemas.openxmlformats.org/officeDocument/2006/relationships/hyperlink" Target="http://digitalpainting.school/lp-blender-sculpting-3d" TargetMode="External"/><Relationship Id="rId1123" Type="http://schemas.openxmlformats.org/officeDocument/2006/relationships/hyperlink" Target="https://www.perplexlondon.com/" TargetMode="External"/><Relationship Id="rId1124" Type="http://schemas.openxmlformats.org/officeDocument/2006/relationships/hyperlink" Target="https://linktr.ee/russiansinlondon" TargetMode="External"/><Relationship Id="rId1158" Type="http://schemas.openxmlformats.org/officeDocument/2006/relationships/hyperlink" Target="https://atom.bio/oriontraveluxury" TargetMode="External"/><Relationship Id="rId2005" Type="http://schemas.openxmlformats.org/officeDocument/2006/relationships/hyperlink" Target="http://travel.russia.travel" TargetMode="External"/><Relationship Id="rId1159" Type="http://schemas.openxmlformats.org/officeDocument/2006/relationships/hyperlink" Target="http://sprout.link/scottdunn_travel" TargetMode="External"/><Relationship Id="rId2006" Type="http://schemas.openxmlformats.org/officeDocument/2006/relationships/hyperlink" Target="https://t.me/+bds0xu4rvAc0MDgy" TargetMode="External"/><Relationship Id="rId2007" Type="http://schemas.openxmlformats.org/officeDocument/2006/relationships/hyperlink" Target="http://www.worldoftravel.in" TargetMode="External"/><Relationship Id="rId2008" Type="http://schemas.openxmlformats.org/officeDocument/2006/relationships/hyperlink" Target="https://unilink.us/i/@yacht_travel" TargetMode="External"/><Relationship Id="rId2009" Type="http://schemas.openxmlformats.org/officeDocument/2006/relationships/hyperlink" Target="https://stories.forbestravelguide.com/forbes-travel-guides-best-hotel-bars-for-2025" TargetMode="External"/><Relationship Id="rId569" Type="http://schemas.openxmlformats.org/officeDocument/2006/relationships/hyperlink" Target="https://linktr.ee/mapexdrums" TargetMode="External"/><Relationship Id="rId568" Type="http://schemas.openxmlformats.org/officeDocument/2006/relationships/hyperlink" Target="https://www.gretschdrums.com" TargetMode="External"/><Relationship Id="rId567" Type="http://schemas.openxmlformats.org/officeDocument/2006/relationships/hyperlink" Target="https://linktr.ee/dwdrums" TargetMode="External"/><Relationship Id="rId566" Type="http://schemas.openxmlformats.org/officeDocument/2006/relationships/hyperlink" Target="https://linktr.ee/drumstick" TargetMode="External"/><Relationship Id="rId561" Type="http://schemas.openxmlformats.org/officeDocument/2006/relationships/hyperlink" Target="https://ecomcade.com/" TargetMode="External"/><Relationship Id="rId1150" Type="http://schemas.openxmlformats.org/officeDocument/2006/relationships/hyperlink" Target="http://laxtoluxury.com/linktree/" TargetMode="External"/><Relationship Id="rId560" Type="http://schemas.openxmlformats.org/officeDocument/2006/relationships/hyperlink" Target="https://ecombombprograma.com/official-website?utm_plataforma=Instagram&amp;utm_canal=Organic_Social&amp;utm_tipo=social&amp;utm_funnel=official_website" TargetMode="External"/><Relationship Id="rId1151" Type="http://schemas.openxmlformats.org/officeDocument/2006/relationships/hyperlink" Target="https://www.tiktok.com/@lettychomer_luxurytravel?_t=8coIluIwwfW&amp;_r=1" TargetMode="External"/><Relationship Id="rId1152" Type="http://schemas.openxmlformats.org/officeDocument/2006/relationships/hyperlink" Target="https://www.luxurytravelermedia.com/" TargetMode="External"/><Relationship Id="rId1153" Type="http://schemas.openxmlformats.org/officeDocument/2006/relationships/hyperlink" Target="https://bio.site/luxurytravelexpert" TargetMode="External"/><Relationship Id="rId2000" Type="http://schemas.openxmlformats.org/officeDocument/2006/relationships/hyperlink" Target="https://www.thetravelexpert.ie" TargetMode="External"/><Relationship Id="rId565" Type="http://schemas.openxmlformats.org/officeDocument/2006/relationships/hyperlink" Target="https://linktr.ee/drumsheds" TargetMode="External"/><Relationship Id="rId1154" Type="http://schemas.openxmlformats.org/officeDocument/2006/relationships/hyperlink" Target="http://www.luxurytravelgroup.net" TargetMode="External"/><Relationship Id="rId2001" Type="http://schemas.openxmlformats.org/officeDocument/2006/relationships/hyperlink" Target="https://www.travly.com/app" TargetMode="External"/><Relationship Id="rId564" Type="http://schemas.openxmlformats.org/officeDocument/2006/relationships/hyperlink" Target="http://urbanhouse.ar" TargetMode="External"/><Relationship Id="rId1155" Type="http://schemas.openxmlformats.org/officeDocument/2006/relationships/hyperlink" Target="https://stan.store/luxurytravelswithpoints/p/emirates-1st-class-biz-masterclass" TargetMode="External"/><Relationship Id="rId2002" Type="http://schemas.openxmlformats.org/officeDocument/2006/relationships/hyperlink" Target="https://likeshop.me/travelandleisure/" TargetMode="External"/><Relationship Id="rId563" Type="http://schemas.openxmlformats.org/officeDocument/2006/relationships/hyperlink" Target="https://yt.openinapp.co/x8yjn" TargetMode="External"/><Relationship Id="rId1156" Type="http://schemas.openxmlformats.org/officeDocument/2006/relationships/hyperlink" Target="http://www.luxwt.com/main" TargetMode="External"/><Relationship Id="rId2003" Type="http://schemas.openxmlformats.org/officeDocument/2006/relationships/hyperlink" Target="http://onlytravelnirvana.com" TargetMode="External"/><Relationship Id="rId562" Type="http://schemas.openxmlformats.org/officeDocument/2006/relationships/hyperlink" Target="https://www.scrolltosales.com/" TargetMode="External"/><Relationship Id="rId1157" Type="http://schemas.openxmlformats.org/officeDocument/2006/relationships/hyperlink" Target="https://masonrose.com" TargetMode="External"/><Relationship Id="rId2004" Type="http://schemas.openxmlformats.org/officeDocument/2006/relationships/hyperlink" Target="https://instagram.com/nicky.nikoleta?igshid=NTc4MTIwNjQ2YQ%3D%3D" TargetMode="External"/><Relationship Id="rId1147" Type="http://schemas.openxmlformats.org/officeDocument/2006/relationships/hyperlink" Target="http://www.sydneyluxhire.com.au" TargetMode="External"/><Relationship Id="rId1148" Type="http://schemas.openxmlformats.org/officeDocument/2006/relationships/hyperlink" Target="https://wa.link/theluxfind" TargetMode="External"/><Relationship Id="rId1149" Type="http://schemas.openxmlformats.org/officeDocument/2006/relationships/hyperlink" Target="https://birdtravelpr.com" TargetMode="External"/><Relationship Id="rId558" Type="http://schemas.openxmlformats.org/officeDocument/2006/relationships/hyperlink" Target="https://form.typeform.com/to/wU4PzXa6" TargetMode="External"/><Relationship Id="rId557" Type="http://schemas.openxmlformats.org/officeDocument/2006/relationships/hyperlink" Target="https://t.me/dropshipproducts" TargetMode="External"/><Relationship Id="rId556" Type="http://schemas.openxmlformats.org/officeDocument/2006/relationships/hyperlink" Target="https://cutecatnation.com/collections/pug" TargetMode="External"/><Relationship Id="rId555" Type="http://schemas.openxmlformats.org/officeDocument/2006/relationships/hyperlink" Target="https://www.eventbrite.com/e/the-new-york-city-pawetry-festival-tickets-1376318669189?aff=oddtdtcreator" TargetMode="External"/><Relationship Id="rId559" Type="http://schemas.openxmlformats.org/officeDocument/2006/relationships/hyperlink" Target="https://www.dropshipbetter.com/free" TargetMode="External"/><Relationship Id="rId550" Type="http://schemas.openxmlformats.org/officeDocument/2006/relationships/hyperlink" Target="https://linktr.ee/Therenegadehome" TargetMode="External"/><Relationship Id="rId1140" Type="http://schemas.openxmlformats.org/officeDocument/2006/relationships/hyperlink" Target="https://dominasuiteluxuryespa.it" TargetMode="External"/><Relationship Id="rId1141" Type="http://schemas.openxmlformats.org/officeDocument/2006/relationships/hyperlink" Target="https://linktr.ee/loveluxury" TargetMode="External"/><Relationship Id="rId1142" Type="http://schemas.openxmlformats.org/officeDocument/2006/relationships/hyperlink" Target="https://linkin.bio/luxury.escapes" TargetMode="External"/><Relationship Id="rId554" Type="http://schemas.openxmlformats.org/officeDocument/2006/relationships/hyperlink" Target="http://promill.dj" TargetMode="External"/><Relationship Id="rId1143" Type="http://schemas.openxmlformats.org/officeDocument/2006/relationships/hyperlink" Target="https://www.schoolofstyle.com" TargetMode="External"/><Relationship Id="rId553" Type="http://schemas.openxmlformats.org/officeDocument/2006/relationships/hyperlink" Target="https://eventix.shop/x9da3fy8" TargetMode="External"/><Relationship Id="rId1144" Type="http://schemas.openxmlformats.org/officeDocument/2006/relationships/hyperlink" Target="http://theluxurylifestylemagazine.com/" TargetMode="External"/><Relationship Id="rId552" Type="http://schemas.openxmlformats.org/officeDocument/2006/relationships/hyperlink" Target="http://youtube.com/djakademikstv2" TargetMode="External"/><Relationship Id="rId1145" Type="http://schemas.openxmlformats.org/officeDocument/2006/relationships/hyperlink" Target="http://www.luxwt.com/main" TargetMode="External"/><Relationship Id="rId551" Type="http://schemas.openxmlformats.org/officeDocument/2006/relationships/hyperlink" Target="https://mylogin.site/application/site/1Vc7s33nAJ?fbclid=IwAR0WAQ0qv-DmHxyZnnsloov5bD3HuFYuG68qgCgTQozmTUXWZ2OUynHY5Is" TargetMode="External"/><Relationship Id="rId1146" Type="http://schemas.openxmlformats.org/officeDocument/2006/relationships/hyperlink" Target="https://linkin.bio/modernluxury" TargetMode="External"/><Relationship Id="rId2090" Type="http://schemas.openxmlformats.org/officeDocument/2006/relationships/hyperlink" Target="https://emilyontoast.substack.com/" TargetMode="External"/><Relationship Id="rId2091" Type="http://schemas.openxmlformats.org/officeDocument/2006/relationships/hyperlink" Target="https://flavorsofmykitchen.com" TargetMode="External"/><Relationship Id="rId2092" Type="http://schemas.openxmlformats.org/officeDocument/2006/relationships/hyperlink" Target="https://geni.us/MakeItMeatless" TargetMode="External"/><Relationship Id="rId2093" Type="http://schemas.openxmlformats.org/officeDocument/2006/relationships/hyperlink" Target="http://amzn.to/2PERMPG" TargetMode="External"/><Relationship Id="rId2094" Type="http://schemas.openxmlformats.org/officeDocument/2006/relationships/hyperlink" Target="https://amzn.to/4lG1JrE" TargetMode="External"/><Relationship Id="rId2095" Type="http://schemas.openxmlformats.org/officeDocument/2006/relationships/hyperlink" Target="https://vegetarian.ru" TargetMode="External"/><Relationship Id="rId2096" Type="http://schemas.openxmlformats.org/officeDocument/2006/relationships/hyperlink" Target="https://sprout.link/vegetariantimesmag" TargetMode="External"/><Relationship Id="rId2097" Type="http://schemas.openxmlformats.org/officeDocument/2006/relationships/hyperlink" Target="https://www.vidhyashomecooking.com/product/weekly-meal-planner-journal/" TargetMode="External"/><Relationship Id="rId2098" Type="http://schemas.openxmlformats.org/officeDocument/2006/relationships/hyperlink" Target="https://store.dttofriends.com/pages/dcard-video" TargetMode="External"/><Relationship Id="rId2099" Type="http://schemas.openxmlformats.org/officeDocument/2006/relationships/hyperlink" Target="http://aparat.com/Khamenei_ir" TargetMode="External"/><Relationship Id="rId2060" Type="http://schemas.openxmlformats.org/officeDocument/2006/relationships/hyperlink" Target="https://thewhitethistle.com/link-in-bio/" TargetMode="External"/><Relationship Id="rId2061" Type="http://schemas.openxmlformats.org/officeDocument/2006/relationships/hyperlink" Target="https://www.usecorviva.com.br" TargetMode="External"/><Relationship Id="rId2062" Type="http://schemas.openxmlformats.org/officeDocument/2006/relationships/hyperlink" Target="https://shope.ee/fotWEIMN6" TargetMode="External"/><Relationship Id="rId2063" Type="http://schemas.openxmlformats.org/officeDocument/2006/relationships/hyperlink" Target="http://www.ciaociaovacation.com/" TargetMode="External"/><Relationship Id="rId2064" Type="http://schemas.openxmlformats.org/officeDocument/2006/relationships/hyperlink" Target="https://beacons.ai/expressionztravels" TargetMode="External"/><Relationship Id="rId2065" Type="http://schemas.openxmlformats.org/officeDocument/2006/relationships/hyperlink" Target="https://linktr.ee/lacampagnetr" TargetMode="External"/><Relationship Id="rId2066" Type="http://schemas.openxmlformats.org/officeDocument/2006/relationships/hyperlink" Target="http://www.thevacationshop.net/" TargetMode="External"/><Relationship Id="rId2067" Type="http://schemas.openxmlformats.org/officeDocument/2006/relationships/hyperlink" Target="https://thevvs.co" TargetMode="External"/><Relationship Id="rId2068" Type="http://schemas.openxmlformats.org/officeDocument/2006/relationships/hyperlink" Target="https://travly.com/app" TargetMode="External"/><Relationship Id="rId2069" Type="http://schemas.openxmlformats.org/officeDocument/2006/relationships/hyperlink" Target="https://e-majestic.com" TargetMode="External"/><Relationship Id="rId2050" Type="http://schemas.openxmlformats.org/officeDocument/2006/relationships/hyperlink" Target="https://www.youtube.com/c/UnboxingBrosph" TargetMode="External"/><Relationship Id="rId2051" Type="http://schemas.openxmlformats.org/officeDocument/2006/relationships/hyperlink" Target="https://vote.digitalcreatorawards.com/influencer/25/875" TargetMode="External"/><Relationship Id="rId495" Type="http://schemas.openxmlformats.org/officeDocument/2006/relationships/hyperlink" Target="https://youtube.com/@aishwaryasrinivasan?si=nwqZ_JvwI5l-qFH0" TargetMode="External"/><Relationship Id="rId2052" Type="http://schemas.openxmlformats.org/officeDocument/2006/relationships/hyperlink" Target="https://www.alautrebout.fr/pages/laeticia_upcycling" TargetMode="External"/><Relationship Id="rId494" Type="http://schemas.openxmlformats.org/officeDocument/2006/relationships/hyperlink" Target="https://bit.ly/ml-waitlist-instagram" TargetMode="External"/><Relationship Id="rId2053" Type="http://schemas.openxmlformats.org/officeDocument/2006/relationships/hyperlink" Target="https://www.marinediogo.fr/sur-mesure-1" TargetMode="External"/><Relationship Id="rId493" Type="http://schemas.openxmlformats.org/officeDocument/2006/relationships/hyperlink" Target="https://blog.dsacademy.com.br/guia-de-carreira-analista-de_dados/" TargetMode="External"/><Relationship Id="rId2054" Type="http://schemas.openxmlformats.org/officeDocument/2006/relationships/hyperlink" Target="https://linktr.ee/Oficina_Muda" TargetMode="External"/><Relationship Id="rId492" Type="http://schemas.openxmlformats.org/officeDocument/2006/relationships/hyperlink" Target="https://youtube.com/@datascienceinyourpocket?si=Naje9MBj6MPmi9jp" TargetMode="External"/><Relationship Id="rId2055" Type="http://schemas.openxmlformats.org/officeDocument/2006/relationships/hyperlink" Target="http://pablita.com.br" TargetMode="External"/><Relationship Id="rId499" Type="http://schemas.openxmlformats.org/officeDocument/2006/relationships/hyperlink" Target="https://apps.apple.com/us/app/edits-an-instagram-app/id6738967378" TargetMode="External"/><Relationship Id="rId2056" Type="http://schemas.openxmlformats.org/officeDocument/2006/relationships/hyperlink" Target="http://www.pablita.com.br" TargetMode="External"/><Relationship Id="rId498" Type="http://schemas.openxmlformats.org/officeDocument/2006/relationships/hyperlink" Target="https://www.caffe.design" TargetMode="External"/><Relationship Id="rId2057" Type="http://schemas.openxmlformats.org/officeDocument/2006/relationships/hyperlink" Target="https://rwrkstudio.com" TargetMode="External"/><Relationship Id="rId497" Type="http://schemas.openxmlformats.org/officeDocument/2006/relationships/hyperlink" Target="https://www.basedesign.com" TargetMode="External"/><Relationship Id="rId2058" Type="http://schemas.openxmlformats.org/officeDocument/2006/relationships/hyperlink" Target="http://www.1of1.world" TargetMode="External"/><Relationship Id="rId496" Type="http://schemas.openxmlformats.org/officeDocument/2006/relationships/hyperlink" Target="https://youtube.com/shorts/w5NEMv-TSyY?feature=shared" TargetMode="External"/><Relationship Id="rId2059" Type="http://schemas.openxmlformats.org/officeDocument/2006/relationships/hyperlink" Target="https://the-needle-gang.fr/collections/collection-patrons-p-e-2025" TargetMode="External"/><Relationship Id="rId2080" Type="http://schemas.openxmlformats.org/officeDocument/2006/relationships/hyperlink" Target="http://beacons.ai/valorantfr" TargetMode="External"/><Relationship Id="rId2081" Type="http://schemas.openxmlformats.org/officeDocument/2006/relationships/hyperlink" Target="https://playvalorant.com/id-id/" TargetMode="External"/><Relationship Id="rId2082" Type="http://schemas.openxmlformats.org/officeDocument/2006/relationships/hyperlink" Target="https://linkin.bio/valorantkr" TargetMode="External"/><Relationship Id="rId2083" Type="http://schemas.openxmlformats.org/officeDocument/2006/relationships/hyperlink" Target="https://playvalorant.com/en-gb/" TargetMode="External"/><Relationship Id="rId2084" Type="http://schemas.openxmlformats.org/officeDocument/2006/relationships/hyperlink" Target="https://linktr.ee/valorantpl" TargetMode="External"/><Relationship Id="rId2085" Type="http://schemas.openxmlformats.org/officeDocument/2006/relationships/hyperlink" Target="https://youtu.be/aXeNDd-U3X8?si=LzS9ta2ZzfWipNzH" TargetMode="External"/><Relationship Id="rId2086" Type="http://schemas.openxmlformats.org/officeDocument/2006/relationships/hyperlink" Target="https://playvalorant.com/zh-tw/news/game-updates/" TargetMode="External"/><Relationship Id="rId2087" Type="http://schemas.openxmlformats.org/officeDocument/2006/relationships/hyperlink" Target="https://www.tiktok.com/@valorant.vietnam" TargetMode="External"/><Relationship Id="rId2088" Type="http://schemas.openxmlformats.org/officeDocument/2006/relationships/hyperlink" Target="https://valorantesports.com/en-SG/news/vct-pacific-stage-2-finals-know-before-you-go" TargetMode="External"/><Relationship Id="rId2089" Type="http://schemas.openxmlformats.org/officeDocument/2006/relationships/hyperlink" Target="http://cookvegetarian.com.au" TargetMode="External"/><Relationship Id="rId2070" Type="http://schemas.openxmlformats.org/officeDocument/2006/relationships/hyperlink" Target="https://linktr.ee/vacationinc" TargetMode="External"/><Relationship Id="rId2071" Type="http://schemas.openxmlformats.org/officeDocument/2006/relationships/hyperlink" Target="https://linktr.ee/Vacationsband" TargetMode="External"/><Relationship Id="rId2072" Type="http://schemas.openxmlformats.org/officeDocument/2006/relationships/hyperlink" Target="https://playvalorant.com/es-es/" TargetMode="External"/><Relationship Id="rId2073" Type="http://schemas.openxmlformats.org/officeDocument/2006/relationships/hyperlink" Target="https://litt.ly/t1valorant" TargetMode="External"/><Relationship Id="rId2074" Type="http://schemas.openxmlformats.org/officeDocument/2006/relationships/hyperlink" Target="https://valesportsna.riotgames.com" TargetMode="External"/><Relationship Id="rId2075" Type="http://schemas.openxmlformats.org/officeDocument/2006/relationships/hyperlink" Target="https://linktr.ee/playvalorant" TargetMode="External"/><Relationship Id="rId2076" Type="http://schemas.openxmlformats.org/officeDocument/2006/relationships/hyperlink" Target="http://linktr.ee/valorantbrasil" TargetMode="External"/><Relationship Id="rId2077" Type="http://schemas.openxmlformats.org/officeDocument/2006/relationships/hyperlink" Target="https://linktr.ee/valorantde" TargetMode="External"/><Relationship Id="rId2078" Type="http://schemas.openxmlformats.org/officeDocument/2006/relationships/hyperlink" Target="https://rainbet.com/?r=yaami" TargetMode="External"/><Relationship Id="rId2079" Type="http://schemas.openxmlformats.org/officeDocument/2006/relationships/hyperlink" Target="https://www.accorarena.com/en/events-and-tickets/valorant-champions-paris-2025--1e955" TargetMode="External"/><Relationship Id="rId1610" Type="http://schemas.openxmlformats.org/officeDocument/2006/relationships/hyperlink" Target="http://tiktok.com/@real.estates" TargetMode="External"/><Relationship Id="rId1611" Type="http://schemas.openxmlformats.org/officeDocument/2006/relationships/hyperlink" Target="http://www.mallorcamagic.es" TargetMode="External"/><Relationship Id="rId1612" Type="http://schemas.openxmlformats.org/officeDocument/2006/relationships/hyperlink" Target="http://vancouverinvestments.com" TargetMode="External"/><Relationship Id="rId1613" Type="http://schemas.openxmlformats.org/officeDocument/2006/relationships/hyperlink" Target="https://bit.ly/3UHRGGO" TargetMode="External"/><Relationship Id="rId1614" Type="http://schemas.openxmlformats.org/officeDocument/2006/relationships/hyperlink" Target="https://x.com/relatableinsder?s=21" TargetMode="External"/><Relationship Id="rId1615" Type="http://schemas.openxmlformats.org/officeDocument/2006/relationships/hyperlink" Target="https://www.cheaterbuster.net/?ref=tld24p" TargetMode="External"/><Relationship Id="rId1616" Type="http://schemas.openxmlformats.org/officeDocument/2006/relationships/hyperlink" Target="https://relatablepepe.com/products/relatable-pepe" TargetMode="External"/><Relationship Id="rId907" Type="http://schemas.openxmlformats.org/officeDocument/2006/relationships/hyperlink" Target="https://wa.link/c5sy3d" TargetMode="External"/><Relationship Id="rId1617" Type="http://schemas.openxmlformats.org/officeDocument/2006/relationships/hyperlink" Target="https://www.relatables.shop" TargetMode="External"/><Relationship Id="rId906" Type="http://schemas.openxmlformats.org/officeDocument/2006/relationships/hyperlink" Target="https://urlgeni.us/amazon/cx2SS" TargetMode="External"/><Relationship Id="rId1618" Type="http://schemas.openxmlformats.org/officeDocument/2006/relationships/hyperlink" Target="https://trendslana.com/products/hold-on-partner-humorous-desk-sign?utm_source=ti&amp;utm_medium=ti&amp;utm_campaign=bads" TargetMode="External"/><Relationship Id="rId905" Type="http://schemas.openxmlformats.org/officeDocument/2006/relationships/hyperlink" Target="http://cortinaje.com.do/" TargetMode="External"/><Relationship Id="rId1619" Type="http://schemas.openxmlformats.org/officeDocument/2006/relationships/hyperlink" Target="https://grupporocket.com" TargetMode="External"/><Relationship Id="rId904" Type="http://schemas.openxmlformats.org/officeDocument/2006/relationships/hyperlink" Target="http://bio.site/becominghomebody" TargetMode="External"/><Relationship Id="rId909" Type="http://schemas.openxmlformats.org/officeDocument/2006/relationships/hyperlink" Target="https://campsite.bio/jensgatheringnest" TargetMode="External"/><Relationship Id="rId908" Type="http://schemas.openxmlformats.org/officeDocument/2006/relationships/hyperlink" Target="https://api.whatsapp.com/send?phone=18293996967" TargetMode="External"/><Relationship Id="rId903" Type="http://schemas.openxmlformats.org/officeDocument/2006/relationships/hyperlink" Target="https://wa.link/vflq4r" TargetMode="External"/><Relationship Id="rId902" Type="http://schemas.openxmlformats.org/officeDocument/2006/relationships/hyperlink" Target="http://arredato.do" TargetMode="External"/><Relationship Id="rId901" Type="http://schemas.openxmlformats.org/officeDocument/2006/relationships/hyperlink" Target="https://linktr.ee/amhomedecor" TargetMode="External"/><Relationship Id="rId900" Type="http://schemas.openxmlformats.org/officeDocument/2006/relationships/hyperlink" Target="http://linkinprofile.com/homebrewingonly" TargetMode="External"/><Relationship Id="rId1600" Type="http://schemas.openxmlformats.org/officeDocument/2006/relationships/hyperlink" Target="http://bio.site/baliexception" TargetMode="External"/><Relationship Id="rId1601" Type="http://schemas.openxmlformats.org/officeDocument/2006/relationships/hyperlink" Target="https://www.bizjournals.com/washington/news/2025/09/02/congressional-parkway-marc-weller-home-sold-heider.html" TargetMode="External"/><Relationship Id="rId1602" Type="http://schemas.openxmlformats.org/officeDocument/2006/relationships/hyperlink" Target="http://www.kretzrealestate.com" TargetMode="External"/><Relationship Id="rId1603" Type="http://schemas.openxmlformats.org/officeDocument/2006/relationships/hyperlink" Target="https://linktr.ee/levelrealestate" TargetMode="External"/><Relationship Id="rId1604" Type="http://schemas.openxmlformats.org/officeDocument/2006/relationships/hyperlink" Target="https://youtu.be/aRsoL0mrxY0" TargetMode="External"/><Relationship Id="rId1605" Type="http://schemas.openxmlformats.org/officeDocument/2006/relationships/hyperlink" Target="http://realestatetheband.com" TargetMode="External"/><Relationship Id="rId1606" Type="http://schemas.openxmlformats.org/officeDocument/2006/relationships/hyperlink" Target="https://liinks.co/realestate_gabz" TargetMode="External"/><Relationship Id="rId1607" Type="http://schemas.openxmlformats.org/officeDocument/2006/relationships/hyperlink" Target="http://www.sebastianacosta.com/" TargetMode="External"/><Relationship Id="rId1608" Type="http://schemas.openxmlformats.org/officeDocument/2006/relationships/hyperlink" Target="https://www.realestateskills.com/watch?el=soigb" TargetMode="External"/><Relationship Id="rId1609" Type="http://schemas.openxmlformats.org/officeDocument/2006/relationships/hyperlink" Target="http://realestates.tv" TargetMode="External"/><Relationship Id="rId1631" Type="http://schemas.openxmlformats.org/officeDocument/2006/relationships/hyperlink" Target="https://smartphonesolutionpr.com/" TargetMode="External"/><Relationship Id="rId1632" Type="http://schemas.openxmlformats.org/officeDocument/2006/relationships/hyperlink" Target="https://beliapp.co/app/growleyreviews" TargetMode="External"/><Relationship Id="rId1633" Type="http://schemas.openxmlformats.org/officeDocument/2006/relationships/hyperlink" Target="https://linktr.ee/jtkravingz" TargetMode="External"/><Relationship Id="rId1634" Type="http://schemas.openxmlformats.org/officeDocument/2006/relationships/hyperlink" Target="http://bit.ly/4lXq5gp" TargetMode="External"/><Relationship Id="rId1635" Type="http://schemas.openxmlformats.org/officeDocument/2006/relationships/hyperlink" Target="http://twitter.com/realrawreviews" TargetMode="External"/><Relationship Id="rId1636" Type="http://schemas.openxmlformats.org/officeDocument/2006/relationships/hyperlink" Target="https://linktr.ee/officialstickreviews" TargetMode="External"/><Relationship Id="rId1637" Type="http://schemas.openxmlformats.org/officeDocument/2006/relationships/hyperlink" Target="https://ozzymanshop.com" TargetMode="External"/><Relationship Id="rId1638" Type="http://schemas.openxmlformats.org/officeDocument/2006/relationships/hyperlink" Target="https://linktr.ee/ravingreviews?utm_source=linktree_profile_share&amp;ltsid=3a645d73-dc01-49aa-8e19-c561717e78d3" TargetMode="External"/><Relationship Id="rId929" Type="http://schemas.openxmlformats.org/officeDocument/2006/relationships/hyperlink" Target="https://bit.ly/Organizedhacks" TargetMode="External"/><Relationship Id="rId1639" Type="http://schemas.openxmlformats.org/officeDocument/2006/relationships/hyperlink" Target="https://free-range-running.printify.me/category" TargetMode="External"/><Relationship Id="rId928" Type="http://schemas.openxmlformats.org/officeDocument/2006/relationships/hyperlink" Target="http://stan.store/organizewithkylie" TargetMode="External"/><Relationship Id="rId927" Type="http://schemas.openxmlformats.org/officeDocument/2006/relationships/hyperlink" Target="https://linkin.bio/jillcomesclean" TargetMode="External"/><Relationship Id="rId926" Type="http://schemas.openxmlformats.org/officeDocument/2006/relationships/hyperlink" Target="https://homerevolution.co/" TargetMode="External"/><Relationship Id="rId921" Type="http://schemas.openxmlformats.org/officeDocument/2006/relationships/hyperlink" Target="https://bio.site/casaejardim" TargetMode="External"/><Relationship Id="rId920" Type="http://schemas.openxmlformats.org/officeDocument/2006/relationships/hyperlink" Target="https://www.facebook.com/HomeandGardenDeco?mibextid=ZbWKwL" TargetMode="External"/><Relationship Id="rId925" Type="http://schemas.openxmlformats.org/officeDocument/2006/relationships/hyperlink" Target="https://amzn.to/45oD45D" TargetMode="External"/><Relationship Id="rId924" Type="http://schemas.openxmlformats.org/officeDocument/2006/relationships/hyperlink" Target="https://www.doitwithhewitt.com/links" TargetMode="External"/><Relationship Id="rId923" Type="http://schemas.openxmlformats.org/officeDocument/2006/relationships/hyperlink" Target="https://patinahomeandgarden.com" TargetMode="External"/><Relationship Id="rId922" Type="http://schemas.openxmlformats.org/officeDocument/2006/relationships/hyperlink" Target="https://youtube.com/c/HomeGarden26" TargetMode="External"/><Relationship Id="rId1630" Type="http://schemas.openxmlformats.org/officeDocument/2006/relationships/hyperlink" Target="https://linktr.ee/retrogamingdays" TargetMode="External"/><Relationship Id="rId1620" Type="http://schemas.openxmlformats.org/officeDocument/2006/relationships/hyperlink" Target="http://www.designersremix.com" TargetMode="External"/><Relationship Id="rId1621" Type="http://schemas.openxmlformats.org/officeDocument/2006/relationships/hyperlink" Target="https://t.me/RemixBlender" TargetMode="External"/><Relationship Id="rId1622" Type="http://schemas.openxmlformats.org/officeDocument/2006/relationships/hyperlink" Target="https://linktr.ee/RemixLiving" TargetMode="External"/><Relationship Id="rId1623" Type="http://schemas.openxmlformats.org/officeDocument/2006/relationships/hyperlink" Target="https://linktr.ee/RemixMarketNYC" TargetMode="External"/><Relationship Id="rId1624" Type="http://schemas.openxmlformats.org/officeDocument/2006/relationships/hyperlink" Target="https://s.shopee.com.br/7ATLh61U3w" TargetMode="External"/><Relationship Id="rId1625" Type="http://schemas.openxmlformats.org/officeDocument/2006/relationships/hyperlink" Target="https://bit.ly/3OANK7t" TargetMode="External"/><Relationship Id="rId1626" Type="http://schemas.openxmlformats.org/officeDocument/2006/relationships/hyperlink" Target="http://t.me/remix_timee26" TargetMode="External"/><Relationship Id="rId1627" Type="http://schemas.openxmlformats.org/officeDocument/2006/relationships/hyperlink" Target="https://t.me/REMIX_TNT" TargetMode="External"/><Relationship Id="rId918" Type="http://schemas.openxmlformats.org/officeDocument/2006/relationships/hyperlink" Target="https://londonfitnessguy.komi.io/" TargetMode="External"/><Relationship Id="rId1628" Type="http://schemas.openxmlformats.org/officeDocument/2006/relationships/hyperlink" Target="https://beacons.ai/retroconsoles" TargetMode="External"/><Relationship Id="rId917" Type="http://schemas.openxmlformats.org/officeDocument/2006/relationships/hyperlink" Target="http://linktr.ee/homefitnesscode" TargetMode="External"/><Relationship Id="rId1629" Type="http://schemas.openxmlformats.org/officeDocument/2006/relationships/hyperlink" Target="http://www.retro-video-gaming.com/" TargetMode="External"/><Relationship Id="rId916" Type="http://schemas.openxmlformats.org/officeDocument/2006/relationships/hyperlink" Target="https://linktr.ee/velvetcasona" TargetMode="External"/><Relationship Id="rId915" Type="http://schemas.openxmlformats.org/officeDocument/2006/relationships/hyperlink" Target="https://linktr.ee/trellishomedecor" TargetMode="External"/><Relationship Id="rId919" Type="http://schemas.openxmlformats.org/officeDocument/2006/relationships/hyperlink" Target="https://shopping.homeandgarden.com.kw" TargetMode="External"/><Relationship Id="rId910" Type="http://schemas.openxmlformats.org/officeDocument/2006/relationships/hyperlink" Target="https://urlgeni.us/amzn/KinseyWalsh_AmazonStoreFront_Instagram" TargetMode="External"/><Relationship Id="rId914" Type="http://schemas.openxmlformats.org/officeDocument/2006/relationships/hyperlink" Target="https://sagephillips.my.canva.site/home" TargetMode="External"/><Relationship Id="rId913" Type="http://schemas.openxmlformats.org/officeDocument/2006/relationships/hyperlink" Target="https://amzlink.to/az0xVYoSNM29m" TargetMode="External"/><Relationship Id="rId912" Type="http://schemas.openxmlformats.org/officeDocument/2006/relationships/hyperlink" Target="http://linktr.ee/ori.home.decor" TargetMode="External"/><Relationship Id="rId911" Type="http://schemas.openxmlformats.org/officeDocument/2006/relationships/hyperlink" Target="https://lnk.bio/myhomelydecors" TargetMode="External"/><Relationship Id="rId1213" Type="http://schemas.openxmlformats.org/officeDocument/2006/relationships/hyperlink" Target="http://youtube.com/@mealpreperawithmichelle" TargetMode="External"/><Relationship Id="rId1697" Type="http://schemas.openxmlformats.org/officeDocument/2006/relationships/hyperlink" Target="https://beacons.ai/mollylaflare" TargetMode="External"/><Relationship Id="rId1214" Type="http://schemas.openxmlformats.org/officeDocument/2006/relationships/hyperlink" Target="https://blyserco.com/products/deepflow" TargetMode="External"/><Relationship Id="rId1698" Type="http://schemas.openxmlformats.org/officeDocument/2006/relationships/hyperlink" Target="https://cubadhd.onelink.me/OD9D/2id7n5tz" TargetMode="External"/><Relationship Id="rId1215" Type="http://schemas.openxmlformats.org/officeDocument/2006/relationships/hyperlink" Target="https://workweeklunch.com/weekly-meal-plans/?utm_source=IG&amp;utm_medium=Bio&amp;utm_campaign=Meal+Prep+on+Fleek" TargetMode="External"/><Relationship Id="rId1699" Type="http://schemas.openxmlformats.org/officeDocument/2006/relationships/hyperlink" Target="https://linktr.ee/selfcare_" TargetMode="External"/><Relationship Id="rId1216" Type="http://schemas.openxmlformats.org/officeDocument/2006/relationships/hyperlink" Target="https://msha.ke/jessestrellafitness" TargetMode="External"/><Relationship Id="rId1217" Type="http://schemas.openxmlformats.org/officeDocument/2006/relationships/hyperlink" Target="http://www.mealprepster.com/containers" TargetMode="External"/><Relationship Id="rId1218" Type="http://schemas.openxmlformats.org/officeDocument/2006/relationships/hyperlink" Target="https://mealprepsundayservice.com" TargetMode="External"/><Relationship Id="rId1219" Type="http://schemas.openxmlformats.org/officeDocument/2006/relationships/hyperlink" Target="https://shopmy.us/diniklein" TargetMode="External"/><Relationship Id="rId866" Type="http://schemas.openxmlformats.org/officeDocument/2006/relationships/hyperlink" Target="https://highheels.pro/taplink" TargetMode="External"/><Relationship Id="rId865" Type="http://schemas.openxmlformats.org/officeDocument/2006/relationships/hyperlink" Target="http://highheels.ru" TargetMode="External"/><Relationship Id="rId864" Type="http://schemas.openxmlformats.org/officeDocument/2006/relationships/hyperlink" Target="http://frameup-events.ru/highheels" TargetMode="External"/><Relationship Id="rId863" Type="http://schemas.openxmlformats.org/officeDocument/2006/relationships/hyperlink" Target="https://www.fuss-schuhe-shop.de" TargetMode="External"/><Relationship Id="rId869" Type="http://schemas.openxmlformats.org/officeDocument/2006/relationships/hyperlink" Target="http://twitter.com/onlyskyheels/" TargetMode="External"/><Relationship Id="rId868" Type="http://schemas.openxmlformats.org/officeDocument/2006/relationships/hyperlink" Target="http://linktr.ee/haniabolhasani" TargetMode="External"/><Relationship Id="rId867" Type="http://schemas.openxmlformats.org/officeDocument/2006/relationships/hyperlink" Target="https://chat.whatsapp.com/KTM3UdkmkbNI2WJjc8oDGC?mode=ems_copy_c" TargetMode="External"/><Relationship Id="rId1690" Type="http://schemas.openxmlformats.org/officeDocument/2006/relationships/hyperlink" Target="https://linktr.ee/jordanspriggsculptures" TargetMode="External"/><Relationship Id="rId1691" Type="http://schemas.openxmlformats.org/officeDocument/2006/relationships/hyperlink" Target="https://www.instagram.com/free_reign_jt?igsh=c29hc3JvOHU5aGx4" TargetMode="External"/><Relationship Id="rId1692" Type="http://schemas.openxmlformats.org/officeDocument/2006/relationships/hyperlink" Target="http://www.nickbibby.com/" TargetMode="External"/><Relationship Id="rId862" Type="http://schemas.openxmlformats.org/officeDocument/2006/relationships/hyperlink" Target="https://www.shopltk.com/explore/highheelsandcartwheels" TargetMode="External"/><Relationship Id="rId1693" Type="http://schemas.openxmlformats.org/officeDocument/2006/relationships/hyperlink" Target="https://lnk.bio/artstudio_post" TargetMode="External"/><Relationship Id="rId861" Type="http://schemas.openxmlformats.org/officeDocument/2006/relationships/hyperlink" Target="https://linktr.ee/elizabeth.inheels" TargetMode="External"/><Relationship Id="rId1210" Type="http://schemas.openxmlformats.org/officeDocument/2006/relationships/hyperlink" Target="https://stan.store/enricoincarnati" TargetMode="External"/><Relationship Id="rId1694" Type="http://schemas.openxmlformats.org/officeDocument/2006/relationships/hyperlink" Target="https://www.paypal.com/webapps/billing/plans/subscribe?plan_id=P-86L51098F7628470FNAH5XJQ" TargetMode="External"/><Relationship Id="rId860" Type="http://schemas.openxmlformats.org/officeDocument/2006/relationships/hyperlink" Target="https://linkin.bio/ukhiddengems" TargetMode="External"/><Relationship Id="rId1211" Type="http://schemas.openxmlformats.org/officeDocument/2006/relationships/hyperlink" Target="http://amzn.to/4p4FNsO" TargetMode="External"/><Relationship Id="rId1695" Type="http://schemas.openxmlformats.org/officeDocument/2006/relationships/hyperlink" Target="https://linkmy.photos/sculpturecenter" TargetMode="External"/><Relationship Id="rId1212" Type="http://schemas.openxmlformats.org/officeDocument/2006/relationships/hyperlink" Target="https://riva-store.de/marc-mealprep/" TargetMode="External"/><Relationship Id="rId1696" Type="http://schemas.openxmlformats.org/officeDocument/2006/relationships/hyperlink" Target="https://linktr.ee/sculptureinthecity" TargetMode="External"/><Relationship Id="rId1202" Type="http://schemas.openxmlformats.org/officeDocument/2006/relationships/hyperlink" Target="https://mailchi.mp/mad-over-marketing.com/chitthi" TargetMode="External"/><Relationship Id="rId1686" Type="http://schemas.openxmlformats.org/officeDocument/2006/relationships/hyperlink" Target="https://youtu.be/t2ptWziygKg" TargetMode="External"/><Relationship Id="rId1203" Type="http://schemas.openxmlformats.org/officeDocument/2006/relationships/hyperlink" Target="https://www.marketingconmelissa.com" TargetMode="External"/><Relationship Id="rId1687" Type="http://schemas.openxmlformats.org/officeDocument/2006/relationships/hyperlink" Target="https://www.mysculpture.cn" TargetMode="External"/><Relationship Id="rId1204" Type="http://schemas.openxmlformats.org/officeDocument/2006/relationships/hyperlink" Target="http://marketingmentor.in" TargetMode="External"/><Relationship Id="rId1688" Type="http://schemas.openxmlformats.org/officeDocument/2006/relationships/hyperlink" Target="http://fageras.com" TargetMode="External"/><Relationship Id="rId1205" Type="http://schemas.openxmlformats.org/officeDocument/2006/relationships/hyperlink" Target="http://marketingmind.in" TargetMode="External"/><Relationship Id="rId1689" Type="http://schemas.openxmlformats.org/officeDocument/2006/relationships/hyperlink" Target="http://jackeagan.com" TargetMode="External"/><Relationship Id="rId1206" Type="http://schemas.openxmlformats.org/officeDocument/2006/relationships/hyperlink" Target="https://linktr.ee/marketing.mind" TargetMode="External"/><Relationship Id="rId1207" Type="http://schemas.openxmlformats.org/officeDocument/2006/relationships/hyperlink" Target="https://stan.store/masterhermindset" TargetMode="External"/><Relationship Id="rId1208" Type="http://schemas.openxmlformats.org/officeDocument/2006/relationships/hyperlink" Target="https://linktr.ee/reputeforge" TargetMode="External"/><Relationship Id="rId1209" Type="http://schemas.openxmlformats.org/officeDocument/2006/relationships/hyperlink" Target="https://www.youtube.com/@HustleToEarn8" TargetMode="External"/><Relationship Id="rId855" Type="http://schemas.openxmlformats.org/officeDocument/2006/relationships/hyperlink" Target="https://payhip.com/b/iIbAB" TargetMode="External"/><Relationship Id="rId854" Type="http://schemas.openxmlformats.org/officeDocument/2006/relationships/hyperlink" Target="https://payhip.com/b/iIbAB" TargetMode="External"/><Relationship Id="rId853" Type="http://schemas.openxmlformats.org/officeDocument/2006/relationships/hyperlink" Target="https://www.thedishonhealthy.com/order-my-cookbook/" TargetMode="External"/><Relationship Id="rId852" Type="http://schemas.openxmlformats.org/officeDocument/2006/relationships/hyperlink" Target="https://linktr.ee/skinnytaste" TargetMode="External"/><Relationship Id="rId859" Type="http://schemas.openxmlformats.org/officeDocument/2006/relationships/hyperlink" Target="https://linktr.ee/hidden.uk.gems" TargetMode="External"/><Relationship Id="rId858" Type="http://schemas.openxmlformats.org/officeDocument/2006/relationships/hyperlink" Target="http://hiddengems.me" TargetMode="External"/><Relationship Id="rId857" Type="http://schemas.openxmlformats.org/officeDocument/2006/relationships/hyperlink" Target="https://amzn.to/4jPNyzo" TargetMode="External"/><Relationship Id="rId856" Type="http://schemas.openxmlformats.org/officeDocument/2006/relationships/hyperlink" Target="https://practicalmealprep.substack.com" TargetMode="External"/><Relationship Id="rId1680" Type="http://schemas.openxmlformats.org/officeDocument/2006/relationships/hyperlink" Target="https://linktr.ee/ElysiumGoodsCo" TargetMode="External"/><Relationship Id="rId1681" Type="http://schemas.openxmlformats.org/officeDocument/2006/relationships/hyperlink" Target="https://satisfyslice.gumroad.com/l/kwnhr" TargetMode="External"/><Relationship Id="rId851" Type="http://schemas.openxmlformats.org/officeDocument/2006/relationships/hyperlink" Target="https://linktr.ee/skinnytaste" TargetMode="External"/><Relationship Id="rId1682" Type="http://schemas.openxmlformats.org/officeDocument/2006/relationships/hyperlink" Target="https://direct.me/satisfyinglips" TargetMode="External"/><Relationship Id="rId850" Type="http://schemas.openxmlformats.org/officeDocument/2006/relationships/hyperlink" Target="https://beacons.ai/selfloverecipes.ig" TargetMode="External"/><Relationship Id="rId1683" Type="http://schemas.openxmlformats.org/officeDocument/2006/relationships/hyperlink" Target="http://satisfying.xyz" TargetMode="External"/><Relationship Id="rId1200" Type="http://schemas.openxmlformats.org/officeDocument/2006/relationships/hyperlink" Target="http://boringmarketing.de" TargetMode="External"/><Relationship Id="rId1684" Type="http://schemas.openxmlformats.org/officeDocument/2006/relationships/hyperlink" Target="https://temu.to/k/eiz9mkhzp5t" TargetMode="External"/><Relationship Id="rId1201" Type="http://schemas.openxmlformats.org/officeDocument/2006/relationships/hyperlink" Target="https://linktr.ee/lookeo.tuperfil" TargetMode="External"/><Relationship Id="rId1685" Type="http://schemas.openxmlformats.org/officeDocument/2006/relationships/hyperlink" Target="https://www.asayasculpture.com/community" TargetMode="External"/><Relationship Id="rId1235" Type="http://schemas.openxmlformats.org/officeDocument/2006/relationships/hyperlink" Target="https://menswearteam.com/" TargetMode="External"/><Relationship Id="rId1236" Type="http://schemas.openxmlformats.org/officeDocument/2006/relationships/hyperlink" Target="https://uplf-eyewear.com/products/maury" TargetMode="External"/><Relationship Id="rId1237" Type="http://schemas.openxmlformats.org/officeDocument/2006/relationships/hyperlink" Target="https://maps.apple.com/place?coordinate=36.489522%2C2.841391&amp;name=Position%2520d%25E2%2580%2599Amir%2520Ezzeroug&amp;map=h" TargetMode="External"/><Relationship Id="rId1238" Type="http://schemas.openxmlformats.org/officeDocument/2006/relationships/hyperlink" Target="http://www.oliveclothing.com/men" TargetMode="External"/><Relationship Id="rId1239" Type="http://schemas.openxmlformats.org/officeDocument/2006/relationships/hyperlink" Target="https://maps.app.goo.gl/qJMoMGk8UHNfNTRR8" TargetMode="External"/><Relationship Id="rId409" Type="http://schemas.openxmlformats.org/officeDocument/2006/relationships/hyperlink" Target="https://bit.ly/5mcstoreig" TargetMode="External"/><Relationship Id="rId404" Type="http://schemas.openxmlformats.org/officeDocument/2006/relationships/hyperlink" Target="https://linktr.ee/indomusiccover" TargetMode="External"/><Relationship Id="rId888" Type="http://schemas.openxmlformats.org/officeDocument/2006/relationships/hyperlink" Target="https://linktr.ee/hockeyfrance" TargetMode="External"/><Relationship Id="rId403" Type="http://schemas.openxmlformats.org/officeDocument/2006/relationships/hyperlink" Target="https://www.youtube.com/@HQDiscover-v6h" TargetMode="External"/><Relationship Id="rId887" Type="http://schemas.openxmlformats.org/officeDocument/2006/relationships/hyperlink" Target="https://linkin.bio/hockeycanada" TargetMode="External"/><Relationship Id="rId402" Type="http://schemas.openxmlformats.org/officeDocument/2006/relationships/hyperlink" Target="https://coveryofficial.com" TargetMode="External"/><Relationship Id="rId886" Type="http://schemas.openxmlformats.org/officeDocument/2006/relationships/hyperlink" Target="https://linktr.ee/wshh" TargetMode="External"/><Relationship Id="rId401" Type="http://schemas.openxmlformats.org/officeDocument/2006/relationships/hyperlink" Target="https://linktr.ee/cover_me_id" TargetMode="External"/><Relationship Id="rId885" Type="http://schemas.openxmlformats.org/officeDocument/2006/relationships/hyperlink" Target="https://linktr.ee/muchrs" TargetMode="External"/><Relationship Id="rId408" Type="http://schemas.openxmlformats.org/officeDocument/2006/relationships/hyperlink" Target="https://youtube.com/@ashmita_art_and_craft?si=WodXtfnUZIDs96zI" TargetMode="External"/><Relationship Id="rId407" Type="http://schemas.openxmlformats.org/officeDocument/2006/relationships/hyperlink" Target="https://papercraftideas.com/collections/latest" TargetMode="External"/><Relationship Id="rId406" Type="http://schemas.openxmlformats.org/officeDocument/2006/relationships/hyperlink" Target="https://youtu.be/EbP_ffyDKGA" TargetMode="External"/><Relationship Id="rId405" Type="http://schemas.openxmlformats.org/officeDocument/2006/relationships/hyperlink" Target="https://t.me/Adhamov_Otabek" TargetMode="External"/><Relationship Id="rId889" Type="http://schemas.openxmlformats.org/officeDocument/2006/relationships/hyperlink" Target="http://hockeystickman.com/linkinbio" TargetMode="External"/><Relationship Id="rId880" Type="http://schemas.openxmlformats.org/officeDocument/2006/relationships/hyperlink" Target="https://lnk.bio/hiphopde" TargetMode="External"/><Relationship Id="rId1230" Type="http://schemas.openxmlformats.org/officeDocument/2006/relationships/hyperlink" Target="https://nkbmeditation.org/donations" TargetMode="External"/><Relationship Id="rId400" Type="http://schemas.openxmlformats.org/officeDocument/2006/relationships/hyperlink" Target="http://coverartmatters.com" TargetMode="External"/><Relationship Id="rId884" Type="http://schemas.openxmlformats.org/officeDocument/2006/relationships/hyperlink" Target="https://youtu.be/JGjaXgNu0KU" TargetMode="External"/><Relationship Id="rId1231" Type="http://schemas.openxmlformats.org/officeDocument/2006/relationships/hyperlink" Target="https://t.me/+oZtn3FMJVmk3Yzli" TargetMode="External"/><Relationship Id="rId883" Type="http://schemas.openxmlformats.org/officeDocument/2006/relationships/hyperlink" Target="https://www.ticketportal.sk/event/HIP-HOP-ZIJE-BRATISLAVA-2026?imedium=search" TargetMode="External"/><Relationship Id="rId1232" Type="http://schemas.openxmlformats.org/officeDocument/2006/relationships/hyperlink" Target="http://linktr.ee/serenity.meditaction" TargetMode="External"/><Relationship Id="rId882" Type="http://schemas.openxmlformats.org/officeDocument/2006/relationships/hyperlink" Target="https://maps.app.goo.gl/g3KuSi3awr9JUXwSA?g_st=ic" TargetMode="External"/><Relationship Id="rId1233" Type="http://schemas.openxmlformats.org/officeDocument/2006/relationships/hyperlink" Target="http://label-menswear.com" TargetMode="External"/><Relationship Id="rId881" Type="http://schemas.openxmlformats.org/officeDocument/2006/relationships/hyperlink" Target="https://beacons.ai/hiphopofthe90s" TargetMode="External"/><Relationship Id="rId1234" Type="http://schemas.openxmlformats.org/officeDocument/2006/relationships/hyperlink" Target="http://antoniosclothing.com/discount/MFD" TargetMode="External"/><Relationship Id="rId1224" Type="http://schemas.openxmlformats.org/officeDocument/2006/relationships/hyperlink" Target="https://www.davy-meditation.fr/challenge-reveil-interieur" TargetMode="External"/><Relationship Id="rId1225" Type="http://schemas.openxmlformats.org/officeDocument/2006/relationships/hyperlink" Target="http://lnk.bio/s/meditationstudio/essentials" TargetMode="External"/><Relationship Id="rId1226" Type="http://schemas.openxmlformats.org/officeDocument/2006/relationships/hyperlink" Target="http://www.turbulencespresse.fr/" TargetMode="External"/><Relationship Id="rId1227" Type="http://schemas.openxmlformats.org/officeDocument/2006/relationships/hyperlink" Target="https://www.thesecretmanifestation.com/subscribe" TargetMode="External"/><Relationship Id="rId1228" Type="http://schemas.openxmlformats.org/officeDocument/2006/relationships/hyperlink" Target="https://t.me/cometoheavenwitheli" TargetMode="External"/><Relationship Id="rId1229" Type="http://schemas.openxmlformats.org/officeDocument/2006/relationships/hyperlink" Target="https://momeditation.onelink.me/d21L/f7143599" TargetMode="External"/><Relationship Id="rId877" Type="http://schemas.openxmlformats.org/officeDocument/2006/relationships/hyperlink" Target="https://linktr.ee/sarahhiking" TargetMode="External"/><Relationship Id="rId876" Type="http://schemas.openxmlformats.org/officeDocument/2006/relationships/hyperlink" Target="https://sunnyvolcano.com/hikingofinsta?pr=35" TargetMode="External"/><Relationship Id="rId875" Type="http://schemas.openxmlformats.org/officeDocument/2006/relationships/hyperlink" Target="https://2f-hiking.it/scopri-tutto" TargetMode="External"/><Relationship Id="rId874" Type="http://schemas.openxmlformats.org/officeDocument/2006/relationships/hyperlink" Target="https://linktr.ee/thestudioperth" TargetMode="External"/><Relationship Id="rId879" Type="http://schemas.openxmlformats.org/officeDocument/2006/relationships/hyperlink" Target="http://hiphop.de" TargetMode="External"/><Relationship Id="rId878" Type="http://schemas.openxmlformats.org/officeDocument/2006/relationships/hyperlink" Target="http://coolrap.tv" TargetMode="External"/><Relationship Id="rId873" Type="http://schemas.openxmlformats.org/officeDocument/2006/relationships/hyperlink" Target="http://planos.portalhiitlouv.com.br" TargetMode="External"/><Relationship Id="rId1220" Type="http://schemas.openxmlformats.org/officeDocument/2006/relationships/hyperlink" Target="https://linktr.ee/sc.mealprep" TargetMode="External"/><Relationship Id="rId872" Type="http://schemas.openxmlformats.org/officeDocument/2006/relationships/hyperlink" Target="https://linktr.ee/hiit" TargetMode="External"/><Relationship Id="rId1221" Type="http://schemas.openxmlformats.org/officeDocument/2006/relationships/hyperlink" Target="https://direct.me/themealprepking" TargetMode="External"/><Relationship Id="rId871" Type="http://schemas.openxmlformats.org/officeDocument/2006/relationships/hyperlink" Target="https://linktr.ee/hiitliveit" TargetMode="External"/><Relationship Id="rId1222" Type="http://schemas.openxmlformats.org/officeDocument/2006/relationships/hyperlink" Target="https://practicalmealprep.substack.com" TargetMode="External"/><Relationship Id="rId870" Type="http://schemas.openxmlformats.org/officeDocument/2006/relationships/hyperlink" Target="http://labelprernamehra.com/" TargetMode="External"/><Relationship Id="rId1223" Type="http://schemas.openxmlformats.org/officeDocument/2006/relationships/hyperlink" Target="https://linkin.bio/7mind" TargetMode="External"/><Relationship Id="rId1653" Type="http://schemas.openxmlformats.org/officeDocument/2006/relationships/hyperlink" Target="https://www.romeismore.com/" TargetMode="External"/><Relationship Id="rId1654" Type="http://schemas.openxmlformats.org/officeDocument/2006/relationships/hyperlink" Target="https://www.espn.com/college-sports/basketball/recruiting/player/_/id/261836/romero-hill" TargetMode="External"/><Relationship Id="rId1655" Type="http://schemas.openxmlformats.org/officeDocument/2006/relationships/hyperlink" Target="https://romelmn.com/welcome" TargetMode="External"/><Relationship Id="rId1656" Type="http://schemas.openxmlformats.org/officeDocument/2006/relationships/hyperlink" Target="https://linktr.ee/springboks" TargetMode="External"/><Relationship Id="rId1657" Type="http://schemas.openxmlformats.org/officeDocument/2006/relationships/hyperlink" Target="https://www.ticketmaster.cl/event/chile-vs-paraguay-uruguay-home" TargetMode="External"/><Relationship Id="rId1658" Type="http://schemas.openxmlformats.org/officeDocument/2006/relationships/hyperlink" Target="https://linktr.ee/englandrugby" TargetMode="External"/><Relationship Id="rId1659" Type="http://schemas.openxmlformats.org/officeDocument/2006/relationships/hyperlink" Target="https://linktr.ee/ferugby" TargetMode="External"/><Relationship Id="rId829" Type="http://schemas.openxmlformats.org/officeDocument/2006/relationships/hyperlink" Target="https://www.instagram.com/healtly_lifestyle34?igsh=MXMwM3QyenV0OGNkcg%3D%3D" TargetMode="External"/><Relationship Id="rId828" Type="http://schemas.openxmlformats.org/officeDocument/2006/relationships/hyperlink" Target="https://www.amazon.com/shop/healthy_lifestyle0023" TargetMode="External"/><Relationship Id="rId827" Type="http://schemas.openxmlformats.org/officeDocument/2006/relationships/hyperlink" Target="https://genuinelyhealthy.beehiiv.com/" TargetMode="External"/><Relationship Id="rId822" Type="http://schemas.openxmlformats.org/officeDocument/2006/relationships/hyperlink" Target="http://aurece.com/products/facialmassager" TargetMode="External"/><Relationship Id="rId821" Type="http://schemas.openxmlformats.org/officeDocument/2006/relationships/hyperlink" Target="http://wa.me/76733210" TargetMode="External"/><Relationship Id="rId820" Type="http://schemas.openxmlformats.org/officeDocument/2006/relationships/hyperlink" Target="https://linkin.bio/hautecoutureweek/" TargetMode="External"/><Relationship Id="rId826" Type="http://schemas.openxmlformats.org/officeDocument/2006/relationships/hyperlink" Target="https://blyserco.com/products/deepflow" TargetMode="External"/><Relationship Id="rId825" Type="http://schemas.openxmlformats.org/officeDocument/2006/relationships/hyperlink" Target="https://youtube.com/channel/UCiW3_AcnUh-rL15eZ2-UZ5A" TargetMode="External"/><Relationship Id="rId824" Type="http://schemas.openxmlformats.org/officeDocument/2006/relationships/hyperlink" Target="http://aurece.com/products/facialmassager" TargetMode="External"/><Relationship Id="rId823" Type="http://schemas.openxmlformats.org/officeDocument/2006/relationships/hyperlink" Target="http://aurece.com/products/facialmassager" TargetMode="External"/><Relationship Id="rId1650" Type="http://schemas.openxmlformats.org/officeDocument/2006/relationships/hyperlink" Target="https://www.tiktok.com/@carosterling.ok?_t=8kCmt0bzIpy&amp;_r=1&amp;fbclid=PAZXh0bgNhZW0CMTEAAaZ2xChP6_F-MJ2chgrkTnxTZKJRAmVFPYCieutAcBg8NRt5kX6WdTpjbVM_aem_AUMu5VJQq_w4B6nPZS4Pyx5UVnuqfwJXC-K5GB4vk9YNM4MlC2xtBYlcJfeGM-BW4F5T69UjBqFzsbkN8rCXI8o_" TargetMode="External"/><Relationship Id="rId1651" Type="http://schemas.openxmlformats.org/officeDocument/2006/relationships/hyperlink" Target="https://travly.com/app" TargetMode="External"/><Relationship Id="rId1652" Type="http://schemas.openxmlformats.org/officeDocument/2006/relationships/hyperlink" Target="https://lnk.to/HeavenRomeFlynn" TargetMode="External"/><Relationship Id="rId1642" Type="http://schemas.openxmlformats.org/officeDocument/2006/relationships/hyperlink" Target="https://lnk.bio/roadtripcolombia" TargetMode="External"/><Relationship Id="rId1643" Type="http://schemas.openxmlformats.org/officeDocument/2006/relationships/hyperlink" Target="https://linktr.ee/roadtrippinpodcast" TargetMode="External"/><Relationship Id="rId1644" Type="http://schemas.openxmlformats.org/officeDocument/2006/relationships/hyperlink" Target="http://www.roadtriptt.com/" TargetMode="External"/><Relationship Id="rId1645" Type="http://schemas.openxmlformats.org/officeDocument/2006/relationships/hyperlink" Target="https://roadtripviandas.my.canva.site/" TargetMode="External"/><Relationship Id="rId1646" Type="http://schemas.openxmlformats.org/officeDocument/2006/relationships/hyperlink" Target="https://goskins.store" TargetMode="External"/><Relationship Id="rId1647" Type="http://schemas.openxmlformats.org/officeDocument/2006/relationships/hyperlink" Target="https://lnk.bio/roblox" TargetMode="External"/><Relationship Id="rId1648" Type="http://schemas.openxmlformats.org/officeDocument/2006/relationships/hyperlink" Target="https://coditrucoff.cookerfest.com" TargetMode="External"/><Relationship Id="rId1649" Type="http://schemas.openxmlformats.org/officeDocument/2006/relationships/hyperlink" Target="http://beatrockmusic.com" TargetMode="External"/><Relationship Id="rId819" Type="http://schemas.openxmlformats.org/officeDocument/2006/relationships/hyperlink" Target="https://hautecouturejewellery.in/" TargetMode="External"/><Relationship Id="rId818" Type="http://schemas.openxmlformats.org/officeDocument/2006/relationships/hyperlink" Target="http://hautecouture.cc" TargetMode="External"/><Relationship Id="rId817" Type="http://schemas.openxmlformats.org/officeDocument/2006/relationships/hyperlink" Target="http://hautecouture.cc" TargetMode="External"/><Relationship Id="rId816" Type="http://schemas.openxmlformats.org/officeDocument/2006/relationships/hyperlink" Target="https://www.facebook.com/profile.php?id=100087856935962&amp;mibextid=LQQJ4d" TargetMode="External"/><Relationship Id="rId811" Type="http://schemas.openxmlformats.org/officeDocument/2006/relationships/hyperlink" Target="http://girlsclaim.com" TargetMode="External"/><Relationship Id="rId810" Type="http://schemas.openxmlformats.org/officeDocument/2006/relationships/hyperlink" Target="https://haul.shop/" TargetMode="External"/><Relationship Id="rId815" Type="http://schemas.openxmlformats.org/officeDocument/2006/relationships/hyperlink" Target="https://mycollection.shop/tokoci" TargetMode="External"/><Relationship Id="rId814" Type="http://schemas.openxmlformats.org/officeDocument/2006/relationships/hyperlink" Target="https://wavyboats.net/pages/find-your-boat" TargetMode="External"/><Relationship Id="rId813" Type="http://schemas.openxmlformats.org/officeDocument/2006/relationships/hyperlink" Target="https://linktr.ee/uhaul" TargetMode="External"/><Relationship Id="rId812" Type="http://schemas.openxmlformats.org/officeDocument/2006/relationships/hyperlink" Target="https://bit.ly/407ANJw" TargetMode="External"/><Relationship Id="rId1640" Type="http://schemas.openxmlformats.org/officeDocument/2006/relationships/hyperlink" Target="https://linktr.ee/thesushisoulmate" TargetMode="External"/><Relationship Id="rId1641" Type="http://schemas.openxmlformats.org/officeDocument/2006/relationships/hyperlink" Target="https://linktr.ee/roadtrip_021" TargetMode="External"/><Relationship Id="rId1675" Type="http://schemas.openxmlformats.org/officeDocument/2006/relationships/hyperlink" Target="https://therunningeffect.run" TargetMode="External"/><Relationship Id="rId1676" Type="http://schemas.openxmlformats.org/officeDocument/2006/relationships/hyperlink" Target="https://top4running.com" TargetMode="External"/><Relationship Id="rId1677" Type="http://schemas.openxmlformats.org/officeDocument/2006/relationships/hyperlink" Target="https://worlderunners.com/feature" TargetMode="External"/><Relationship Id="rId1678" Type="http://schemas.openxmlformats.org/officeDocument/2006/relationships/hyperlink" Target="https://www.tiktok.com/@moral_apostel" TargetMode="External"/><Relationship Id="rId1679" Type="http://schemas.openxmlformats.org/officeDocument/2006/relationships/hyperlink" Target="https://linktr.ee/Aravindsawntt" TargetMode="External"/><Relationship Id="rId849" Type="http://schemas.openxmlformats.org/officeDocument/2006/relationships/hyperlink" Target="https://www.skinnymetea.com.au/" TargetMode="External"/><Relationship Id="rId844" Type="http://schemas.openxmlformats.org/officeDocument/2006/relationships/hyperlink" Target="http://heartinabowl.co" TargetMode="External"/><Relationship Id="rId843" Type="http://schemas.openxmlformats.org/officeDocument/2006/relationships/hyperlink" Target="https://heartinabowl.com/?utm_source=instagram&amp;utm_medium=social&amp;utm_campaign=heartinabowl.co" TargetMode="External"/><Relationship Id="rId842" Type="http://schemas.openxmlformats.org/officeDocument/2006/relationships/hyperlink" Target="http://heartinabowl.co" TargetMode="External"/><Relationship Id="rId841" Type="http://schemas.openxmlformats.org/officeDocument/2006/relationships/hyperlink" Target="http://www.withpeanutbutterontop.com/" TargetMode="External"/><Relationship Id="rId848" Type="http://schemas.openxmlformats.org/officeDocument/2006/relationships/hyperlink" Target="https://meals-and-recipes.beehiiv.com/subscribe" TargetMode="External"/><Relationship Id="rId847" Type="http://schemas.openxmlformats.org/officeDocument/2006/relationships/hyperlink" Target="https://amzn.to/3uU1p3D" TargetMode="External"/><Relationship Id="rId846" Type="http://schemas.openxmlformats.org/officeDocument/2006/relationships/hyperlink" Target="https://jazz-leaf.com/start-here" TargetMode="External"/><Relationship Id="rId845" Type="http://schemas.openxmlformats.org/officeDocument/2006/relationships/hyperlink" Target="https://heartinabowl.com/?utm_source=instagram&amp;utm_medium=social&amp;utm_campaign=heartinabowl.co" TargetMode="External"/><Relationship Id="rId1670" Type="http://schemas.openxmlformats.org/officeDocument/2006/relationships/hyperlink" Target="https://linktr.ee/runna" TargetMode="External"/><Relationship Id="rId840" Type="http://schemas.openxmlformats.org/officeDocument/2006/relationships/hyperlink" Target="http://www.withpeanutbutterontop.com/" TargetMode="External"/><Relationship Id="rId1671" Type="http://schemas.openxmlformats.org/officeDocument/2006/relationships/hyperlink" Target="https://runningability.com" TargetMode="External"/><Relationship Id="rId1672" Type="http://schemas.openxmlformats.org/officeDocument/2006/relationships/hyperlink" Target="http://linktr.ee/running.es/" TargetMode="External"/><Relationship Id="rId1673" Type="http://schemas.openxmlformats.org/officeDocument/2006/relationships/hyperlink" Target="http://runningfervor.com/feature" TargetMode="External"/><Relationship Id="rId1674" Type="http://schemas.openxmlformats.org/officeDocument/2006/relationships/hyperlink" Target="https://youtu.be/TbfleDuxEig?si=9AjEEh74ukbDbObH" TargetMode="External"/><Relationship Id="rId1664" Type="http://schemas.openxmlformats.org/officeDocument/2006/relationships/hyperlink" Target="https://tickets.rugbyworldcup.com/?utm_source=instagram&amp;utm_medium=organicsocial&amp;utm_campaign=rwc2025tickets" TargetMode="External"/><Relationship Id="rId1665" Type="http://schemas.openxmlformats.org/officeDocument/2006/relationships/hyperlink" Target="https://linktr.ee/stadetoulousain" TargetMode="External"/><Relationship Id="rId1666" Type="http://schemas.openxmlformats.org/officeDocument/2006/relationships/hyperlink" Target="http://uru.org.uy" TargetMode="External"/><Relationship Id="rId1667" Type="http://schemas.openxmlformats.org/officeDocument/2006/relationships/hyperlink" Target="http://rugbypass.tv" TargetMode="External"/><Relationship Id="rId1668" Type="http://schemas.openxmlformats.org/officeDocument/2006/relationships/hyperlink" Target="https://linktr.ee/adidasrunning" TargetMode="External"/><Relationship Id="rId1669" Type="http://schemas.openxmlformats.org/officeDocument/2006/relationships/hyperlink" Target="http://empli.fi/nikerunning" TargetMode="External"/><Relationship Id="rId839" Type="http://schemas.openxmlformats.org/officeDocument/2006/relationships/hyperlink" Target="http://lifechangingsalads.com" TargetMode="External"/><Relationship Id="rId838" Type="http://schemas.openxmlformats.org/officeDocument/2006/relationships/hyperlink" Target="http://lifechangingsalads.com" TargetMode="External"/><Relationship Id="rId833" Type="http://schemas.openxmlformats.org/officeDocument/2006/relationships/hyperlink" Target="https://www.amazon.co.uk/Doctor-Bowl-Simply-Delicious-Improve/dp/1914239091" TargetMode="External"/><Relationship Id="rId832" Type="http://schemas.openxmlformats.org/officeDocument/2006/relationships/hyperlink" Target="https://linktr.ee/courtneyblack" TargetMode="External"/><Relationship Id="rId831" Type="http://schemas.openxmlformats.org/officeDocument/2006/relationships/hyperlink" Target="https://linktr.ee/courtneyblack" TargetMode="External"/><Relationship Id="rId830" Type="http://schemas.openxmlformats.org/officeDocument/2006/relationships/hyperlink" Target="https://www.perriconemd.com/?utm_source=Google&amp;utm_medium=CPC&amp;utm_campaign=Branded&amp;utm_content=Branded&amp;gclsrc=aw.ds&amp;gad_source=1&amp;gad_campaignid=14854529916&amp;gclid=Cj0KCQjwkILEBhDeARIsAL--pjx17WLPY5Du-8sV3jubp5oK5RWfIEvm-cNQVs7qDWDYmqQD1p07Yn0aAgVREALw_wcB" TargetMode="External"/><Relationship Id="rId837" Type="http://schemas.openxmlformats.org/officeDocument/2006/relationships/hyperlink" Target="https://linktr.ee/healthy.floflo" TargetMode="External"/><Relationship Id="rId836" Type="http://schemas.openxmlformats.org/officeDocument/2006/relationships/hyperlink" Target="https://youtu.be/x6ocWHEwhSU" TargetMode="External"/><Relationship Id="rId835" Type="http://schemas.openxmlformats.org/officeDocument/2006/relationships/hyperlink" Target="https://youtu.be/x6ocWHEwhSU" TargetMode="External"/><Relationship Id="rId834" Type="http://schemas.openxmlformats.org/officeDocument/2006/relationships/hyperlink" Target="https://www.amazon.co.uk/Doctor-Bowl-Simply-Delicious-Improve/dp/1914239091" TargetMode="External"/><Relationship Id="rId1660" Type="http://schemas.openxmlformats.org/officeDocument/2006/relationships/hyperlink" Target="https://fanzone.me/france-rugby" TargetMode="External"/><Relationship Id="rId1661" Type="http://schemas.openxmlformats.org/officeDocument/2006/relationships/hyperlink" Target="https://www.kru.co.ke" TargetMode="External"/><Relationship Id="rId1662" Type="http://schemas.openxmlformats.org/officeDocument/2006/relationships/hyperlink" Target="https://www.o-rugby.com/" TargetMode="External"/><Relationship Id="rId1663" Type="http://schemas.openxmlformats.org/officeDocument/2006/relationships/hyperlink" Target="https://linktr.ee/rugbypass" TargetMode="External"/><Relationship Id="rId2148" Type="http://schemas.openxmlformats.org/officeDocument/2006/relationships/hyperlink" Target="https://smumustangs.evenue.net/events/VB-SINGLE?RSRC=social&amp;RDAT=v&amp;utm_source=singles&amp;utm_medium=social&amp;utm_campaign=v&amp;utm_content=buy" TargetMode="External"/><Relationship Id="rId2149" Type="http://schemas.openxmlformats.org/officeDocument/2006/relationships/hyperlink" Target="https://linktr.ee/tcuvolleyball" TargetMode="External"/><Relationship Id="rId469" Type="http://schemas.openxmlformats.org/officeDocument/2006/relationships/hyperlink" Target="https://linktr.ee/hennainspire" TargetMode="External"/><Relationship Id="rId468" Type="http://schemas.openxmlformats.org/officeDocument/2006/relationships/hyperlink" Target="https://linktr.ee/eranova" TargetMode="External"/><Relationship Id="rId467" Type="http://schemas.openxmlformats.org/officeDocument/2006/relationships/hyperlink" Target="https://www.tsa.gov/linkinbio" TargetMode="External"/><Relationship Id="rId1290" Type="http://schemas.openxmlformats.org/officeDocument/2006/relationships/hyperlink" Target="https://t.me/mmarussiaru" TargetMode="External"/><Relationship Id="rId1291" Type="http://schemas.openxmlformats.org/officeDocument/2006/relationships/hyperlink" Target="https://t.me/+OKiIUO95rNVlZDky" TargetMode="External"/><Relationship Id="rId1292" Type="http://schemas.openxmlformats.org/officeDocument/2006/relationships/hyperlink" Target="https://openyoutu.be/jOiC0NuPhfM" TargetMode="External"/><Relationship Id="rId462" Type="http://schemas.openxmlformats.org/officeDocument/2006/relationships/hyperlink" Target="https://www.cyclingweekly.com/" TargetMode="External"/><Relationship Id="rId1293" Type="http://schemas.openxmlformats.org/officeDocument/2006/relationships/hyperlink" Target="http://modakwt.co" TargetMode="External"/><Relationship Id="rId2140" Type="http://schemas.openxmlformats.org/officeDocument/2006/relationships/hyperlink" Target="https://www.youtube.com/channel/UCPtCezLThiNuuuxapcBCRDA" TargetMode="External"/><Relationship Id="rId461" Type="http://schemas.openxmlformats.org/officeDocument/2006/relationships/hyperlink" Target="https://zshorten.com/qOLxa" TargetMode="External"/><Relationship Id="rId1294" Type="http://schemas.openxmlformats.org/officeDocument/2006/relationships/hyperlink" Target="https://www.boutiqaat.com/en-kw/women/modakwtco-boutique/cb/" TargetMode="External"/><Relationship Id="rId2141" Type="http://schemas.openxmlformats.org/officeDocument/2006/relationships/hyperlink" Target="http://tiktok.com/@motoevlogger" TargetMode="External"/><Relationship Id="rId460" Type="http://schemas.openxmlformats.org/officeDocument/2006/relationships/hyperlink" Target="http://cyclingspy.substack.com" TargetMode="External"/><Relationship Id="rId1295" Type="http://schemas.openxmlformats.org/officeDocument/2006/relationships/hyperlink" Target="https://likeshop.me/modaoperandi" TargetMode="External"/><Relationship Id="rId2142" Type="http://schemas.openxmlformats.org/officeDocument/2006/relationships/hyperlink" Target="https://youtube.com/@nicksabroad?si=X2CtZ1gP8JxeMEu_" TargetMode="External"/><Relationship Id="rId1296" Type="http://schemas.openxmlformats.org/officeDocument/2006/relationships/hyperlink" Target="http://nethouse.id/moda_osh/" TargetMode="External"/><Relationship Id="rId2143" Type="http://schemas.openxmlformats.org/officeDocument/2006/relationships/hyperlink" Target="https://youtube.com/@vk_vlogger1?si=K1Lloy-iIrdovj1S" TargetMode="External"/><Relationship Id="rId466" Type="http://schemas.openxmlformats.org/officeDocument/2006/relationships/hyperlink" Target="http://linktr.ee/usacycling" TargetMode="External"/><Relationship Id="rId1297" Type="http://schemas.openxmlformats.org/officeDocument/2006/relationships/hyperlink" Target="https://www.monaalshebil.com" TargetMode="External"/><Relationship Id="rId2144" Type="http://schemas.openxmlformats.org/officeDocument/2006/relationships/hyperlink" Target="http://shopee.co.id/vloggerlebahmaduindonesia" TargetMode="External"/><Relationship Id="rId465" Type="http://schemas.openxmlformats.org/officeDocument/2006/relationships/hyperlink" Target="https://linktr.ee/uci_cycling" TargetMode="External"/><Relationship Id="rId1298" Type="http://schemas.openxmlformats.org/officeDocument/2006/relationships/hyperlink" Target="https://www.helloasso.com/associations/collectif-femme-azadi" TargetMode="External"/><Relationship Id="rId2145" Type="http://schemas.openxmlformats.org/officeDocument/2006/relationships/hyperlink" Target="https://t.me/+UQLP-Fbf-6M5NTk1" TargetMode="External"/><Relationship Id="rId464" Type="http://schemas.openxmlformats.org/officeDocument/2006/relationships/hyperlink" Target="https://youtube.com/@TNTSportsCycling" TargetMode="External"/><Relationship Id="rId1299" Type="http://schemas.openxmlformats.org/officeDocument/2006/relationships/hyperlink" Target="http://www.crvsh.es/" TargetMode="External"/><Relationship Id="rId2146" Type="http://schemas.openxmlformats.org/officeDocument/2006/relationships/hyperlink" Target="https://linktr.ee/aauvolleyball" TargetMode="External"/><Relationship Id="rId463" Type="http://schemas.openxmlformats.org/officeDocument/2006/relationships/hyperlink" Target="http://gcn.eu/LinkinBio" TargetMode="External"/><Relationship Id="rId2147" Type="http://schemas.openxmlformats.org/officeDocument/2006/relationships/hyperlink" Target="https://kuathletics.com/sports/wvball/" TargetMode="External"/><Relationship Id="rId2137" Type="http://schemas.openxmlformats.org/officeDocument/2006/relationships/hyperlink" Target="https://beacons.ai/cursosmelanycmakeup" TargetMode="External"/><Relationship Id="rId2138" Type="http://schemas.openxmlformats.org/officeDocument/2006/relationships/hyperlink" Target="https://linktr.ee/melibardet" TargetMode="External"/><Relationship Id="rId2139" Type="http://schemas.openxmlformats.org/officeDocument/2006/relationships/hyperlink" Target="https://app.temu.com/k/e9ovpj0aw3l" TargetMode="External"/><Relationship Id="rId459" Type="http://schemas.openxmlformats.org/officeDocument/2006/relationships/hyperlink" Target="https://linktr.ee/sabrina_fischer" TargetMode="External"/><Relationship Id="rId458" Type="http://schemas.openxmlformats.org/officeDocument/2006/relationships/hyperlink" Target="https://likeshop.me/cyclingnews_feed" TargetMode="External"/><Relationship Id="rId457" Type="http://schemas.openxmlformats.org/officeDocument/2006/relationships/hyperlink" Target="https://linktr.ee/cyclingfrog" TargetMode="External"/><Relationship Id="rId456" Type="http://schemas.openxmlformats.org/officeDocument/2006/relationships/hyperlink" Target="https://linktr.ee/cyclingdeath" TargetMode="External"/><Relationship Id="rId1280" Type="http://schemas.openxmlformats.org/officeDocument/2006/relationships/hyperlink" Target="https://www.amazon.com/shop/minimal.mccue?ref_=cm_sw_r_apin_aipsfshop_BFPYS10BR6184HW8CTKD_1&amp;language=en_US" TargetMode="External"/><Relationship Id="rId1281" Type="http://schemas.openxmlformats.org/officeDocument/2006/relationships/hyperlink" Target="https://raisingsimple.myflodesk.com/starthere" TargetMode="External"/><Relationship Id="rId451" Type="http://schemas.openxmlformats.org/officeDocument/2006/relationships/hyperlink" Target="https://superprofile.bio/bookings/hackwithpratik" TargetMode="External"/><Relationship Id="rId1282" Type="http://schemas.openxmlformats.org/officeDocument/2006/relationships/hyperlink" Target="https://linktr.ee/simpleintentional" TargetMode="External"/><Relationship Id="rId450" Type="http://schemas.openxmlformats.org/officeDocument/2006/relationships/hyperlink" Target="http://linktr.ee/hacksnack" TargetMode="External"/><Relationship Id="rId1283" Type="http://schemas.openxmlformats.org/officeDocument/2006/relationships/hyperlink" Target="https://flow.page/minimalmom" TargetMode="External"/><Relationship Id="rId2130" Type="http://schemas.openxmlformats.org/officeDocument/2006/relationships/hyperlink" Target="http://virtualbrasil.club" TargetMode="External"/><Relationship Id="rId1284" Type="http://schemas.openxmlformats.org/officeDocument/2006/relationships/hyperlink" Target="https://schoolofminimalism.com/products/minimal-the-gentle-guide-to-ruthlessly-simplifying-your-life" TargetMode="External"/><Relationship Id="rId2131" Type="http://schemas.openxmlformats.org/officeDocument/2006/relationships/hyperlink" Target="http://www.youtube.com/virtualrealityoasis" TargetMode="External"/><Relationship Id="rId1285" Type="http://schemas.openxmlformats.org/officeDocument/2006/relationships/hyperlink" Target="https://buy.stripe.com/aEUcNlcON7AF0AE147" TargetMode="External"/><Relationship Id="rId2132" Type="http://schemas.openxmlformats.org/officeDocument/2006/relationships/hyperlink" Target="https://www.tiktok.com/@vrworld.ja?_t=8rta2roOb5k&amp;_r=1" TargetMode="External"/><Relationship Id="rId455" Type="http://schemas.openxmlformats.org/officeDocument/2006/relationships/hyperlink" Target="https://linktr.ee/Cyclingbrat" TargetMode="External"/><Relationship Id="rId1286" Type="http://schemas.openxmlformats.org/officeDocument/2006/relationships/hyperlink" Target="http://stream.espn.com/" TargetMode="External"/><Relationship Id="rId2133" Type="http://schemas.openxmlformats.org/officeDocument/2006/relationships/hyperlink" Target="https://youtube.com/@officialrahul23?si=GCf9lt2wUd1HxhsM" TargetMode="External"/><Relationship Id="rId454" Type="http://schemas.openxmlformats.org/officeDocument/2006/relationships/hyperlink" Target="http://www.cyclingbears.com" TargetMode="External"/><Relationship Id="rId1287" Type="http://schemas.openxmlformats.org/officeDocument/2006/relationships/hyperlink" Target="https://www.mmafighting.com/" TargetMode="External"/><Relationship Id="rId2134" Type="http://schemas.openxmlformats.org/officeDocument/2006/relationships/hyperlink" Target="https://www.youtube.com/@Motupatlu01_video" TargetMode="External"/><Relationship Id="rId453" Type="http://schemas.openxmlformats.org/officeDocument/2006/relationships/hyperlink" Target="https://mtr.bio/bestcycling" TargetMode="External"/><Relationship Id="rId1288" Type="http://schemas.openxmlformats.org/officeDocument/2006/relationships/hyperlink" Target="https://youtube.com/@mmaisland?si=g3OEA3gfT4z3RNUm" TargetMode="External"/><Relationship Id="rId2135" Type="http://schemas.openxmlformats.org/officeDocument/2006/relationships/hyperlink" Target="https://www.elphickeventponies.co.uk/" TargetMode="External"/><Relationship Id="rId452" Type="http://schemas.openxmlformats.org/officeDocument/2006/relationships/hyperlink" Target="https://stan.store/thecybersecuritybabe" TargetMode="External"/><Relationship Id="rId1289" Type="http://schemas.openxmlformats.org/officeDocument/2006/relationships/hyperlink" Target="https://linkin.bio/mmajunkie" TargetMode="External"/><Relationship Id="rId2136" Type="http://schemas.openxmlformats.org/officeDocument/2006/relationships/hyperlink" Target="https://linktr.ee/fifis_welsh_ponies" TargetMode="External"/><Relationship Id="rId491" Type="http://schemas.openxmlformats.org/officeDocument/2006/relationships/hyperlink" Target="https://bit.ly/datascienceperu" TargetMode="External"/><Relationship Id="rId490" Type="http://schemas.openxmlformats.org/officeDocument/2006/relationships/hyperlink" Target="https://forms.gle/wfqxEYQv157GuXSC9" TargetMode="External"/><Relationship Id="rId489" Type="http://schemas.openxmlformats.org/officeDocument/2006/relationships/hyperlink" Target="https://linktr.ee/datascienceid" TargetMode="External"/><Relationship Id="rId2160" Type="http://schemas.openxmlformats.org/officeDocument/2006/relationships/hyperlink" Target="https://amzn.to/4lJANYd" TargetMode="External"/><Relationship Id="rId2161" Type="http://schemas.openxmlformats.org/officeDocument/2006/relationships/hyperlink" Target="https://amzn.to/4lwL1dY" TargetMode="External"/><Relationship Id="rId484" Type="http://schemas.openxmlformats.org/officeDocument/2006/relationships/hyperlink" Target="https://linktr.ee/bosschickdanceworkout" TargetMode="External"/><Relationship Id="rId2162" Type="http://schemas.openxmlformats.org/officeDocument/2006/relationships/hyperlink" Target="https://maps.app.goo.gl/7FYGAhgMY4f9raTJ6?g_st=ic" TargetMode="External"/><Relationship Id="rId483" Type="http://schemas.openxmlformats.org/officeDocument/2006/relationships/hyperlink" Target="https://linktr.ee/q_dance" TargetMode="External"/><Relationship Id="rId2163" Type="http://schemas.openxmlformats.org/officeDocument/2006/relationships/hyperlink" Target="http://hoo.be/joeywellness" TargetMode="External"/><Relationship Id="rId482" Type="http://schemas.openxmlformats.org/officeDocument/2006/relationships/hyperlink" Target="http://link.me/nadjamarina" TargetMode="External"/><Relationship Id="rId2164" Type="http://schemas.openxmlformats.org/officeDocument/2006/relationships/hyperlink" Target="https://linktr.ee/kromawellness" TargetMode="External"/><Relationship Id="rId481" Type="http://schemas.openxmlformats.org/officeDocument/2006/relationships/hyperlink" Target="https://m.facebook.com/HarmonyDanceStudio1?ref=bookmark" TargetMode="External"/><Relationship Id="rId2165" Type="http://schemas.openxmlformats.org/officeDocument/2006/relationships/hyperlink" Target="https://linktr.ee/macawellness" TargetMode="External"/><Relationship Id="rId488" Type="http://schemas.openxmlformats.org/officeDocument/2006/relationships/hyperlink" Target="https://linktr.ee/datasciencebrain" TargetMode="External"/><Relationship Id="rId2166" Type="http://schemas.openxmlformats.org/officeDocument/2006/relationships/hyperlink" Target="http://www.qspamiraflores.com" TargetMode="External"/><Relationship Id="rId487" Type="http://schemas.openxmlformats.org/officeDocument/2006/relationships/hyperlink" Target="https://rzp.io/rzp/notesDSB" TargetMode="External"/><Relationship Id="rId2167" Type="http://schemas.openxmlformats.org/officeDocument/2006/relationships/hyperlink" Target="http://linktr.ee/thewellnessprocess" TargetMode="External"/><Relationship Id="rId486" Type="http://schemas.openxmlformats.org/officeDocument/2006/relationships/hyperlink" Target="https://www.youtube.com/@vanessadanceworkout" TargetMode="External"/><Relationship Id="rId2168" Type="http://schemas.openxmlformats.org/officeDocument/2006/relationships/hyperlink" Target="https://linktr.ee/wellnessbyjade" TargetMode="External"/><Relationship Id="rId485" Type="http://schemas.openxmlformats.org/officeDocument/2006/relationships/hyperlink" Target="http://linktr.ee/kukuwafitness/" TargetMode="External"/><Relationship Id="rId2169" Type="http://schemas.openxmlformats.org/officeDocument/2006/relationships/hyperlink" Target="http://www.amazon.com/gp/product/B0D52NMWFT?smid=A36AF9IKJDK4ZW&amp;th=1&amp;linkCode=ll1&amp;tag=fi0a0-20&amp;linkId=9eab8ca1278932edeea595c0be8dae0e&amp;language=en_US&amp;ref_=as_li_ss_tl" TargetMode="External"/><Relationship Id="rId2159" Type="http://schemas.openxmlformats.org/officeDocument/2006/relationships/hyperlink" Target="https://www.dlcanxiety.com/the-dlc-recovery-method" TargetMode="External"/><Relationship Id="rId480" Type="http://schemas.openxmlformats.org/officeDocument/2006/relationships/hyperlink" Target="https://forms.gle/h2G9XRYQMcP1xhA6A" TargetMode="External"/><Relationship Id="rId479" Type="http://schemas.openxmlformats.org/officeDocument/2006/relationships/hyperlink" Target="https://www.mylifetime.com/shows/dance-moms" TargetMode="External"/><Relationship Id="rId478" Type="http://schemas.openxmlformats.org/officeDocument/2006/relationships/hyperlink" Target="https://dancegavindance.lnk.to/Pantheon" TargetMode="External"/><Relationship Id="rId2150" Type="http://schemas.openxmlformats.org/officeDocument/2006/relationships/hyperlink" Target="http://sprout.link/usavolleyball" TargetMode="External"/><Relationship Id="rId473" Type="http://schemas.openxmlformats.org/officeDocument/2006/relationships/hyperlink" Target="https://www.amazon.it/ideas/amzn1.account.AHNEBFXI5IDGXAOXV2SQV5HCPF6A?ref=idea_yil_tab" TargetMode="External"/><Relationship Id="rId2151" Type="http://schemas.openxmlformats.org/officeDocument/2006/relationships/hyperlink" Target="https://youtu.be/LdLc0VmPwHk" TargetMode="External"/><Relationship Id="rId472" Type="http://schemas.openxmlformats.org/officeDocument/2006/relationships/hyperlink" Target="https://www.shopltk.com/explore/daily_outfit_share?web_share_path=creator-shop-share" TargetMode="External"/><Relationship Id="rId2152" Type="http://schemas.openxmlformats.org/officeDocument/2006/relationships/hyperlink" Target="http://volleyballjunkie.com" TargetMode="External"/><Relationship Id="rId471" Type="http://schemas.openxmlformats.org/officeDocument/2006/relationships/hyperlink" Target="https://www.shopltk.com/explore/caryslouisebrandon" TargetMode="External"/><Relationship Id="rId2153" Type="http://schemas.openxmlformats.org/officeDocument/2006/relationships/hyperlink" Target="https://bit.ly/VBTV_VBW" TargetMode="External"/><Relationship Id="rId470" Type="http://schemas.openxmlformats.org/officeDocument/2006/relationships/hyperlink" Target="https://linktr.ee/bwbyaz" TargetMode="External"/><Relationship Id="rId2154" Type="http://schemas.openxmlformats.org/officeDocument/2006/relationships/hyperlink" Target="https://bit.ly/3FmMLEY" TargetMode="External"/><Relationship Id="rId477" Type="http://schemas.openxmlformats.org/officeDocument/2006/relationships/hyperlink" Target="https://linktr.ee/daybreaker" TargetMode="External"/><Relationship Id="rId2155" Type="http://schemas.openxmlformats.org/officeDocument/2006/relationships/hyperlink" Target="https://telegram.me/webdevelopment657" TargetMode="External"/><Relationship Id="rId476" Type="http://schemas.openxmlformats.org/officeDocument/2006/relationships/hyperlink" Target="https://www.youtube.com/@Dailyvlog_2424" TargetMode="External"/><Relationship Id="rId2156" Type="http://schemas.openxmlformats.org/officeDocument/2006/relationships/hyperlink" Target="https://t.me/developperHome" TargetMode="External"/><Relationship Id="rId475" Type="http://schemas.openxmlformats.org/officeDocument/2006/relationships/hyperlink" Target="http://t.me/deepika3312" TargetMode="External"/><Relationship Id="rId2157" Type="http://schemas.openxmlformats.org/officeDocument/2006/relationships/hyperlink" Target="https://t.me/the_coding_wizard" TargetMode="External"/><Relationship Id="rId474" Type="http://schemas.openxmlformats.org/officeDocument/2006/relationships/hyperlink" Target="https://linktr.ee/summerjadestyle" TargetMode="External"/><Relationship Id="rId2158" Type="http://schemas.openxmlformats.org/officeDocument/2006/relationships/hyperlink" Target="https://links.daddywellness.com/" TargetMode="External"/><Relationship Id="rId1257" Type="http://schemas.openxmlformats.org/officeDocument/2006/relationships/hyperlink" Target="https://cureforever.in/products/cureforever-resveratrol-drink" TargetMode="External"/><Relationship Id="rId2104" Type="http://schemas.openxmlformats.org/officeDocument/2006/relationships/hyperlink" Target="https://whatsapp.com/channel/0029Vav681AIXnltSRc50n0W" TargetMode="External"/><Relationship Id="rId1258" Type="http://schemas.openxmlformats.org/officeDocument/2006/relationships/hyperlink" Target="https://www.facebook.com/share/15thNJ2hfR/?mibextid=wwXIfr" TargetMode="External"/><Relationship Id="rId2105" Type="http://schemas.openxmlformats.org/officeDocument/2006/relationships/hyperlink" Target="http://cinematz.com" TargetMode="External"/><Relationship Id="rId1259" Type="http://schemas.openxmlformats.org/officeDocument/2006/relationships/hyperlink" Target="https://geni.us/theartoflaziness" TargetMode="External"/><Relationship Id="rId2106" Type="http://schemas.openxmlformats.org/officeDocument/2006/relationships/hyperlink" Target="http://t.me/Video_4Fun" TargetMode="External"/><Relationship Id="rId2107" Type="http://schemas.openxmlformats.org/officeDocument/2006/relationships/hyperlink" Target="https://linktr.ee/_videojames_" TargetMode="External"/><Relationship Id="rId2108" Type="http://schemas.openxmlformats.org/officeDocument/2006/relationships/hyperlink" Target="https://1wplay.com/IG" TargetMode="External"/><Relationship Id="rId2109" Type="http://schemas.openxmlformats.org/officeDocument/2006/relationships/hyperlink" Target="https://thebutterflyeffect.com/products/necklace" TargetMode="External"/><Relationship Id="rId426" Type="http://schemas.openxmlformats.org/officeDocument/2006/relationships/hyperlink" Target="https://mashhadcrossfit.ir" TargetMode="External"/><Relationship Id="rId425" Type="http://schemas.openxmlformats.org/officeDocument/2006/relationships/hyperlink" Target="https://www.lapizarradelcoach.com/entrenamientos-de-cross/" TargetMode="External"/><Relationship Id="rId424" Type="http://schemas.openxmlformats.org/officeDocument/2006/relationships/hyperlink" Target="https://linktr.ee/invictus_fitness" TargetMode="External"/><Relationship Id="rId423" Type="http://schemas.openxmlformats.org/officeDocument/2006/relationships/hyperlink" Target="https://linktr.ee/Crossfitgoals" TargetMode="External"/><Relationship Id="rId429" Type="http://schemas.openxmlformats.org/officeDocument/2006/relationships/hyperlink" Target="https://t.me/cryptajokes" TargetMode="External"/><Relationship Id="rId428" Type="http://schemas.openxmlformats.org/officeDocument/2006/relationships/hyperlink" Target="https://linktr.ee/crypto.banter" TargetMode="External"/><Relationship Id="rId427" Type="http://schemas.openxmlformats.org/officeDocument/2006/relationships/hyperlink" Target="https://linktr.ee/thecrossfitmayhem" TargetMode="External"/><Relationship Id="rId1250" Type="http://schemas.openxmlformats.org/officeDocument/2006/relationships/hyperlink" Target="https://youtu.be/hHOsri1eC5c?si=qa8M3g_wTES-LGbD" TargetMode="External"/><Relationship Id="rId1251" Type="http://schemas.openxmlformats.org/officeDocument/2006/relationships/hyperlink" Target="https://rebrand.ly/selfcare4yub" TargetMode="External"/><Relationship Id="rId1252" Type="http://schemas.openxmlformats.org/officeDocument/2006/relationships/hyperlink" Target="https://bio.site/yourmentalhealthisapriority" TargetMode="External"/><Relationship Id="rId422" Type="http://schemas.openxmlformats.org/officeDocument/2006/relationships/hyperlink" Target="https://cf.games/the-cure" TargetMode="External"/><Relationship Id="rId1253" Type="http://schemas.openxmlformats.org/officeDocument/2006/relationships/hyperlink" Target="https://tables.toasttab.com/restaurants/10ebfaad-3e3a-48ca-b323-463571be80d8/findTime" TargetMode="External"/><Relationship Id="rId2100" Type="http://schemas.openxmlformats.org/officeDocument/2006/relationships/hyperlink" Target="https://www.skool.com/edit-flow-premium-6011/about" TargetMode="External"/><Relationship Id="rId421" Type="http://schemas.openxmlformats.org/officeDocument/2006/relationships/hyperlink" Target="https://linktr.ee/CrossFitEspana" TargetMode="External"/><Relationship Id="rId1254" Type="http://schemas.openxmlformats.org/officeDocument/2006/relationships/hyperlink" Target="https://www.homemadealways.com" TargetMode="External"/><Relationship Id="rId2101" Type="http://schemas.openxmlformats.org/officeDocument/2006/relationships/hyperlink" Target="https://bit.ly/45pLY0N" TargetMode="External"/><Relationship Id="rId420" Type="http://schemas.openxmlformats.org/officeDocument/2006/relationships/hyperlink" Target="https://www.crossfit.com/?utm_source=social&amp;utm_medium=insta&amp;utm_campaign=crossfit" TargetMode="External"/><Relationship Id="rId1255" Type="http://schemas.openxmlformats.org/officeDocument/2006/relationships/hyperlink" Target="https://mexicansfood.com/" TargetMode="External"/><Relationship Id="rId2102" Type="http://schemas.openxmlformats.org/officeDocument/2006/relationships/hyperlink" Target="https://linktr.ee/primevideofrance" TargetMode="External"/><Relationship Id="rId1256" Type="http://schemas.openxmlformats.org/officeDocument/2006/relationships/hyperlink" Target="http://taqueriaelviejon.com" TargetMode="External"/><Relationship Id="rId2103" Type="http://schemas.openxmlformats.org/officeDocument/2006/relationships/hyperlink" Target="http://linktr.ee/rkgvideo" TargetMode="External"/><Relationship Id="rId1246" Type="http://schemas.openxmlformats.org/officeDocument/2006/relationships/hyperlink" Target="https://linktr.ee/mentalhealthcoalition" TargetMode="External"/><Relationship Id="rId1247" Type="http://schemas.openxmlformats.org/officeDocument/2006/relationships/hyperlink" Target="https://linktr.ee/mentalhealthfoundation" TargetMode="External"/><Relationship Id="rId1248" Type="http://schemas.openxmlformats.org/officeDocument/2006/relationships/hyperlink" Target="http://www.mentalhealthmena.com" TargetMode="External"/><Relationship Id="rId1249" Type="http://schemas.openxmlformats.org/officeDocument/2006/relationships/hyperlink" Target="https://www.booking.com/" TargetMode="External"/><Relationship Id="rId415" Type="http://schemas.openxmlformats.org/officeDocument/2006/relationships/hyperlink" Target="http://wa.me/2348135319186" TargetMode="External"/><Relationship Id="rId899" Type="http://schemas.openxmlformats.org/officeDocument/2006/relationships/hyperlink" Target="https://p2glstore.com/homebrewing-tshirt?pr=FREE60" TargetMode="External"/><Relationship Id="rId414" Type="http://schemas.openxmlformats.org/officeDocument/2006/relationships/hyperlink" Target="http://karocrafts.com" TargetMode="External"/><Relationship Id="rId898" Type="http://schemas.openxmlformats.org/officeDocument/2006/relationships/hyperlink" Target="https://beacons.ai/homebrewingexperience" TargetMode="External"/><Relationship Id="rId413" Type="http://schemas.openxmlformats.org/officeDocument/2006/relationships/hyperlink" Target="https://youtu.be/qFrEeAxZMRM?si=YaDPkI0g59Wv_tLJ" TargetMode="External"/><Relationship Id="rId897" Type="http://schemas.openxmlformats.org/officeDocument/2006/relationships/hyperlink" Target="http://www.homebakingday.com/menu/en/?page=1&amp;store=14" TargetMode="External"/><Relationship Id="rId412" Type="http://schemas.openxmlformats.org/officeDocument/2006/relationships/hyperlink" Target="https://x.com/subliminalcalm" TargetMode="External"/><Relationship Id="rId896" Type="http://schemas.openxmlformats.org/officeDocument/2006/relationships/hyperlink" Target="https://linktr.ee/bakingwithem" TargetMode="External"/><Relationship Id="rId419" Type="http://schemas.openxmlformats.org/officeDocument/2006/relationships/hyperlink" Target="https://www.youtube.com/@CreativeProcessDIY" TargetMode="External"/><Relationship Id="rId418" Type="http://schemas.openxmlformats.org/officeDocument/2006/relationships/hyperlink" Target="https://tokyocrafts.jp/" TargetMode="External"/><Relationship Id="rId417" Type="http://schemas.openxmlformats.org/officeDocument/2006/relationships/hyperlink" Target="https://www.deanity.com/products/nasal-stick-4-pcs?sca_ref=8755555.UCI6fB4oZdTlQ" TargetMode="External"/><Relationship Id="rId416" Type="http://schemas.openxmlformats.org/officeDocument/2006/relationships/hyperlink" Target="http://paper.crafts.in" TargetMode="External"/><Relationship Id="rId891" Type="http://schemas.openxmlformats.org/officeDocument/2006/relationships/hyperlink" Target="http://www.holidaygym.es/" TargetMode="External"/><Relationship Id="rId890" Type="http://schemas.openxmlformats.org/officeDocument/2006/relationships/hyperlink" Target="https://linktr.ee/USAHockey" TargetMode="External"/><Relationship Id="rId1240" Type="http://schemas.openxmlformats.org/officeDocument/2006/relationships/hyperlink" Target="http://wmenswear.com/" TargetMode="External"/><Relationship Id="rId1241" Type="http://schemas.openxmlformats.org/officeDocument/2006/relationships/hyperlink" Target="https://bit.ly/HealYourChildhoodTrauma" TargetMode="External"/><Relationship Id="rId411" Type="http://schemas.openxmlformats.org/officeDocument/2006/relationships/hyperlink" Target="https://feedlink.io/craftsmagazine" TargetMode="External"/><Relationship Id="rId895" Type="http://schemas.openxmlformats.org/officeDocument/2006/relationships/hyperlink" Target="http://store.dailystoic.com/pages/wisdom-takes-work" TargetMode="External"/><Relationship Id="rId1242" Type="http://schemas.openxmlformats.org/officeDocument/2006/relationships/hyperlink" Target="https://fightthroughmentalhealth.com/" TargetMode="External"/><Relationship Id="rId410" Type="http://schemas.openxmlformats.org/officeDocument/2006/relationships/hyperlink" Target="https://maxoutletstore.com/products/solar-power-bank?_pos=2&amp;_psq=solar&amp;_ss=e&amp;_v=1.0&amp;fbclid=PAVERFWAMiq15leHRuA2FlbQIxMAABp25SJKsRkeFE02EtByjvYZQ-x-kA14WntwH96nKcA6-T1C6gyiMo9OnQNc-B_aem_1CxO0E4p-Krj0rWWnKYtow" TargetMode="External"/><Relationship Id="rId894" Type="http://schemas.openxmlformats.org/officeDocument/2006/relationships/hyperlink" Target="https://www.holiday-paris.fr/" TargetMode="External"/><Relationship Id="rId1243" Type="http://schemas.openxmlformats.org/officeDocument/2006/relationships/hyperlink" Target="https://linktr.ee/howmental" TargetMode="External"/><Relationship Id="rId893" Type="http://schemas.openxmlformats.org/officeDocument/2006/relationships/hyperlink" Target="https://www.holidayinn.com/sdqdominicana" TargetMode="External"/><Relationship Id="rId1244" Type="http://schemas.openxmlformats.org/officeDocument/2006/relationships/hyperlink" Target="https://linktr.ee/letstalk.mentalhealth" TargetMode="External"/><Relationship Id="rId892" Type="http://schemas.openxmlformats.org/officeDocument/2006/relationships/hyperlink" Target="https://bit.ly/m/holidayinnperth" TargetMode="External"/><Relationship Id="rId1245" Type="http://schemas.openxmlformats.org/officeDocument/2006/relationships/hyperlink" Target="http://shopgr.id/mentalhealthamerica" TargetMode="External"/><Relationship Id="rId1279" Type="http://schemas.openxmlformats.org/officeDocument/2006/relationships/hyperlink" Target="https://linktr.ee/minimalismwithmary" TargetMode="External"/><Relationship Id="rId2126" Type="http://schemas.openxmlformats.org/officeDocument/2006/relationships/hyperlink" Target="https://linktr.ee/ViOLiNiA" TargetMode="External"/><Relationship Id="rId2127" Type="http://schemas.openxmlformats.org/officeDocument/2006/relationships/hyperlink" Target="https://zshorten.com/yO3y3" TargetMode="External"/><Relationship Id="rId2128" Type="http://schemas.openxmlformats.org/officeDocument/2006/relationships/hyperlink" Target="https://bio.link/mehdihab" TargetMode="External"/><Relationship Id="rId2129" Type="http://schemas.openxmlformats.org/officeDocument/2006/relationships/hyperlink" Target="https://linktr.ee/violinphonix" TargetMode="External"/><Relationship Id="rId448" Type="http://schemas.openxmlformats.org/officeDocument/2006/relationships/hyperlink" Target="https://linktr.ee/cybersecurityup" TargetMode="External"/><Relationship Id="rId447" Type="http://schemas.openxmlformats.org/officeDocument/2006/relationships/hyperlink" Target="https://discord.gg/YEDmPEB5" TargetMode="External"/><Relationship Id="rId446" Type="http://schemas.openxmlformats.org/officeDocument/2006/relationships/hyperlink" Target="https://www.cybersecuritygirl.com/tools" TargetMode="External"/><Relationship Id="rId445" Type="http://schemas.openxmlformats.org/officeDocument/2006/relationships/hyperlink" Target="https://t.me/matrix_cyber" TargetMode="External"/><Relationship Id="rId449" Type="http://schemas.openxmlformats.org/officeDocument/2006/relationships/hyperlink" Target="https://linktr.ee/cyberwithben" TargetMode="External"/><Relationship Id="rId1270" Type="http://schemas.openxmlformats.org/officeDocument/2006/relationships/hyperlink" Target="http://www.motivatedmindset.com" TargetMode="External"/><Relationship Id="rId440" Type="http://schemas.openxmlformats.org/officeDocument/2006/relationships/hyperlink" Target="https://bio.link/gccoin" TargetMode="External"/><Relationship Id="rId1271" Type="http://schemas.openxmlformats.org/officeDocument/2006/relationships/hyperlink" Target="http://stoicmindset.store" TargetMode="External"/><Relationship Id="rId1272" Type="http://schemas.openxmlformats.org/officeDocument/2006/relationships/hyperlink" Target="https://www.youtube.com/@mindset__go" TargetMode="External"/><Relationship Id="rId1273" Type="http://schemas.openxmlformats.org/officeDocument/2006/relationships/hyperlink" Target="https://youtube.com/channel/UCQDFJKURIntqink3MQ31-3A" TargetMode="External"/><Relationship Id="rId2120" Type="http://schemas.openxmlformats.org/officeDocument/2006/relationships/hyperlink" Target="https://bit.ly/infocursoviolin" TargetMode="External"/><Relationship Id="rId1274" Type="http://schemas.openxmlformats.org/officeDocument/2006/relationships/hyperlink" Target="http://minimalism.com" TargetMode="External"/><Relationship Id="rId2121" Type="http://schemas.openxmlformats.org/officeDocument/2006/relationships/hyperlink" Target="http://www.noemiviolin.com" TargetMode="External"/><Relationship Id="rId444" Type="http://schemas.openxmlformats.org/officeDocument/2006/relationships/hyperlink" Target="http://sprout.link/cisagov/" TargetMode="External"/><Relationship Id="rId1275" Type="http://schemas.openxmlformats.org/officeDocument/2006/relationships/hyperlink" Target="https://minimalismbrand.com" TargetMode="External"/><Relationship Id="rId2122" Type="http://schemas.openxmlformats.org/officeDocument/2006/relationships/hyperlink" Target="https://downloadtonic.com/join-in" TargetMode="External"/><Relationship Id="rId443" Type="http://schemas.openxmlformats.org/officeDocument/2006/relationships/hyperlink" Target="https://addie-clark.mykajabi.com/offers/ezpjgaN5/checkout" TargetMode="External"/><Relationship Id="rId1276" Type="http://schemas.openxmlformats.org/officeDocument/2006/relationships/hyperlink" Target="https://www.facebook.com/minimalism.label?mibextid=2JQ9oc" TargetMode="External"/><Relationship Id="rId2123" Type="http://schemas.openxmlformats.org/officeDocument/2006/relationships/hyperlink" Target="http://theviolinchannel.com" TargetMode="External"/><Relationship Id="rId442" Type="http://schemas.openxmlformats.org/officeDocument/2006/relationships/hyperlink" Target="http://addielamarr.sh" TargetMode="External"/><Relationship Id="rId1277" Type="http://schemas.openxmlformats.org/officeDocument/2006/relationships/hyperlink" Target="https://minimalism.com/" TargetMode="External"/><Relationship Id="rId2124" Type="http://schemas.openxmlformats.org/officeDocument/2006/relationships/hyperlink" Target="https://www.facebook.com/profile.php?id=100089730965019&amp;mibextid=LQQJ4d" TargetMode="External"/><Relationship Id="rId441" Type="http://schemas.openxmlformats.org/officeDocument/2006/relationships/hyperlink" Target="https://linktr.ee/acewitdaspade" TargetMode="External"/><Relationship Id="rId1278" Type="http://schemas.openxmlformats.org/officeDocument/2006/relationships/hyperlink" Target="https://www.deanity.com/products/pengpt?sca_ref=8933742.ReLF3GaCOgKfP" TargetMode="External"/><Relationship Id="rId2125" Type="http://schemas.openxmlformats.org/officeDocument/2006/relationships/hyperlink" Target="http://violinia.de" TargetMode="External"/><Relationship Id="rId1268" Type="http://schemas.openxmlformats.org/officeDocument/2006/relationships/hyperlink" Target="https://innertune.com/mindsetvibrations" TargetMode="External"/><Relationship Id="rId2115" Type="http://schemas.openxmlformats.org/officeDocument/2006/relationships/hyperlink" Target="https://linktr.ee/dreambeach" TargetMode="External"/><Relationship Id="rId1269" Type="http://schemas.openxmlformats.org/officeDocument/2006/relationships/hyperlink" Target="https://lynk.id/a/4052045291" TargetMode="External"/><Relationship Id="rId2116" Type="http://schemas.openxmlformats.org/officeDocument/2006/relationships/hyperlink" Target="https://youtube.com/@HAIRASMRCEYHUN" TargetMode="External"/><Relationship Id="rId2117" Type="http://schemas.openxmlformats.org/officeDocument/2006/relationships/hyperlink" Target="https://videoproductionschool.online/" TargetMode="External"/><Relationship Id="rId2118" Type="http://schemas.openxmlformats.org/officeDocument/2006/relationships/hyperlink" Target="https://www.demolatheviolinist.com/tour" TargetMode="External"/><Relationship Id="rId2119" Type="http://schemas.openxmlformats.org/officeDocument/2006/relationships/hyperlink" Target="https://linktr.ee/dominiquehammons" TargetMode="External"/><Relationship Id="rId437" Type="http://schemas.openxmlformats.org/officeDocument/2006/relationships/hyperlink" Target="https://gcko.io/research" TargetMode="External"/><Relationship Id="rId436" Type="http://schemas.openxmlformats.org/officeDocument/2006/relationships/hyperlink" Target="https://intelligentcryptocurrency.com/blofin-bonus/" TargetMode="External"/><Relationship Id="rId435" Type="http://schemas.openxmlformats.org/officeDocument/2006/relationships/hyperlink" Target="https://t.me/Crypto_Pump_Signal_Binance" TargetMode="External"/><Relationship Id="rId434" Type="http://schemas.openxmlformats.org/officeDocument/2006/relationships/hyperlink" Target="https://cryptonary.com/research/the-next-multibillion-dollar-meme-movement/" TargetMode="External"/><Relationship Id="rId439" Type="http://schemas.openxmlformats.org/officeDocument/2006/relationships/hyperlink" Target="https://www.youtube.com/@Next-GencryptoFinance" TargetMode="External"/><Relationship Id="rId438" Type="http://schemas.openxmlformats.org/officeDocument/2006/relationships/hyperlink" Target="https://intelligentcryptocurrency.com/blofin-bonus/" TargetMode="External"/><Relationship Id="rId1260" Type="http://schemas.openxmlformats.org/officeDocument/2006/relationships/hyperlink" Target="http://www.minds.et" TargetMode="External"/><Relationship Id="rId1261" Type="http://schemas.openxmlformats.org/officeDocument/2006/relationships/hyperlink" Target="https://linktr.ee/EnlightenThoughts" TargetMode="External"/><Relationship Id="rId1262" Type="http://schemas.openxmlformats.org/officeDocument/2006/relationships/hyperlink" Target="https://mindsetmirage.beehiiv.com/subscribe" TargetMode="External"/><Relationship Id="rId1263" Type="http://schemas.openxmlformats.org/officeDocument/2006/relationships/hyperlink" Target="https://www.moonomens.com/" TargetMode="External"/><Relationship Id="rId2110" Type="http://schemas.openxmlformats.org/officeDocument/2006/relationships/hyperlink" Target="http://t.me/video_otkr" TargetMode="External"/><Relationship Id="rId433" Type="http://schemas.openxmlformats.org/officeDocument/2006/relationships/hyperlink" Target="https://www.cryptodreams.io/" TargetMode="External"/><Relationship Id="rId1264" Type="http://schemas.openxmlformats.org/officeDocument/2006/relationships/hyperlink" Target="http://survival-hub.com" TargetMode="External"/><Relationship Id="rId2111" Type="http://schemas.openxmlformats.org/officeDocument/2006/relationships/hyperlink" Target="https://gvo.deals/GAMIVO.com-IG" TargetMode="External"/><Relationship Id="rId432" Type="http://schemas.openxmlformats.org/officeDocument/2006/relationships/hyperlink" Target="http://cryptodaily.bio" TargetMode="External"/><Relationship Id="rId1265" Type="http://schemas.openxmlformats.org/officeDocument/2006/relationships/hyperlink" Target="https://mindsetraptors.com/subscribe" TargetMode="External"/><Relationship Id="rId2112" Type="http://schemas.openxmlformats.org/officeDocument/2006/relationships/hyperlink" Target="https://linktr.ee/fullsquadgaming" TargetMode="External"/><Relationship Id="rId431" Type="http://schemas.openxmlformats.org/officeDocument/2006/relationships/hyperlink" Target="https://crypto.onelink.me/xxPI/joinus" TargetMode="External"/><Relationship Id="rId1266" Type="http://schemas.openxmlformats.org/officeDocument/2006/relationships/hyperlink" Target="https://mindsettherapy.com/" TargetMode="External"/><Relationship Id="rId2113" Type="http://schemas.openxmlformats.org/officeDocument/2006/relationships/hyperlink" Target="https://wa.link/28ik5u" TargetMode="External"/><Relationship Id="rId430" Type="http://schemas.openxmlformats.org/officeDocument/2006/relationships/hyperlink" Target="http://crypto.com" TargetMode="External"/><Relationship Id="rId1267" Type="http://schemas.openxmlformats.org/officeDocument/2006/relationships/hyperlink" Target="http://liveyourimpossible.co/l/self-discipline" TargetMode="External"/><Relationship Id="rId2114" Type="http://schemas.openxmlformats.org/officeDocument/2006/relationships/hyperlink" Target="https://www.facebook.com/share/1HyEhrdSup/?mibextid=wwXIfr" TargetMode="External"/></Relationships>
</file>

<file path=xl/worksheets/_rels/sheet13.xml.rels><?xml version="1.0" encoding="UTF-8" standalone="yes"?><Relationships xmlns="http://schemas.openxmlformats.org/package/2006/relationships"><Relationship Id="rId392" Type="http://schemas.openxmlformats.org/officeDocument/2006/relationships/hyperlink" Target="http://babes.makeupbyropa.com" TargetMode="External"/><Relationship Id="rId391" Type="http://schemas.openxmlformats.org/officeDocument/2006/relationships/hyperlink" Target="http://direct.me/kimlyns" TargetMode="External"/><Relationship Id="rId390" Type="http://schemas.openxmlformats.org/officeDocument/2006/relationships/hyperlink" Target="https://vk.com/napaskinamary" TargetMode="External"/><Relationship Id="rId1" Type="http://schemas.openxmlformats.org/officeDocument/2006/relationships/hyperlink" Target="http://annyko.com/" TargetMode="External"/><Relationship Id="rId2" Type="http://schemas.openxmlformats.org/officeDocument/2006/relationships/hyperlink" Target="http://www.thenewyorkmakeupacademy.com/" TargetMode="External"/><Relationship Id="rId3" Type="http://schemas.openxmlformats.org/officeDocument/2006/relationships/hyperlink" Target="http://ankaa.academy/pro/" TargetMode="External"/><Relationship Id="rId4" Type="http://schemas.openxmlformats.org/officeDocument/2006/relationships/hyperlink" Target="http://www.romana.nyc" TargetMode="External"/><Relationship Id="rId9" Type="http://schemas.openxmlformats.org/officeDocument/2006/relationships/hyperlink" Target="http://www.drakehackney.com/" TargetMode="External"/><Relationship Id="rId385" Type="http://schemas.openxmlformats.org/officeDocument/2006/relationships/hyperlink" Target="https://m.facebook.com/Doha-Mostafa-makeup-artist-1172644786194653/" TargetMode="External"/><Relationship Id="rId384" Type="http://schemas.openxmlformats.org/officeDocument/2006/relationships/hyperlink" Target="https://www.youtube.com/channel/UCdoch-ZXjK6w23DEp5Mro3w" TargetMode="External"/><Relationship Id="rId383" Type="http://schemas.openxmlformats.org/officeDocument/2006/relationships/hyperlink" Target="https://taplink.cc/obodoluxuryhairs" TargetMode="External"/><Relationship Id="rId382" Type="http://schemas.openxmlformats.org/officeDocument/2006/relationships/hyperlink" Target="https://chatwith.io/s/hair-by-blingz" TargetMode="External"/><Relationship Id="rId5" Type="http://schemas.openxmlformats.org/officeDocument/2006/relationships/hyperlink" Target="http://www.ootdnewyork10.com/" TargetMode="External"/><Relationship Id="rId389" Type="http://schemas.openxmlformats.org/officeDocument/2006/relationships/hyperlink" Target="http://wa.me/+971557554685" TargetMode="External"/><Relationship Id="rId6" Type="http://schemas.openxmlformats.org/officeDocument/2006/relationships/hyperlink" Target="https://linktr.ee/lingskincare" TargetMode="External"/><Relationship Id="rId388" Type="http://schemas.openxmlformats.org/officeDocument/2006/relationships/hyperlink" Target="https://www.tiktok.com/@rabbiyatalha/" TargetMode="External"/><Relationship Id="rId7" Type="http://schemas.openxmlformats.org/officeDocument/2006/relationships/hyperlink" Target="https://lyrra.com/" TargetMode="External"/><Relationship Id="rId387" Type="http://schemas.openxmlformats.org/officeDocument/2006/relationships/hyperlink" Target="http://wa.me/77064011010" TargetMode="External"/><Relationship Id="rId8" Type="http://schemas.openxmlformats.org/officeDocument/2006/relationships/hyperlink" Target="http://byadlet.com/" TargetMode="External"/><Relationship Id="rId386" Type="http://schemas.openxmlformats.org/officeDocument/2006/relationships/hyperlink" Target="http://wa.me/971505050198" TargetMode="External"/><Relationship Id="rId381" Type="http://schemas.openxmlformats.org/officeDocument/2006/relationships/hyperlink" Target="https://www.tiktok.com/@coachella_hairs?_t=ZM-8uSxwEibhQr&amp;_r=1" TargetMode="External"/><Relationship Id="rId380" Type="http://schemas.openxmlformats.org/officeDocument/2006/relationships/hyperlink" Target="https://linktr.ee/arewahair" TargetMode="External"/><Relationship Id="rId379" Type="http://schemas.openxmlformats.org/officeDocument/2006/relationships/hyperlink" Target="https://whatsapp.com/channel/0029VbAksE1HwXb8mEMXjH2K" TargetMode="External"/><Relationship Id="rId374" Type="http://schemas.openxmlformats.org/officeDocument/2006/relationships/hyperlink" Target="https://linktr.ee/hhhandbagsandco" TargetMode="External"/><Relationship Id="rId373" Type="http://schemas.openxmlformats.org/officeDocument/2006/relationships/hyperlink" Target="https://www.bagswarehouse.ng/" TargetMode="External"/><Relationship Id="rId372" Type="http://schemas.openxmlformats.org/officeDocument/2006/relationships/hyperlink" Target="https://www.bagswarehouse.ng/" TargetMode="External"/><Relationship Id="rId371" Type="http://schemas.openxmlformats.org/officeDocument/2006/relationships/hyperlink" Target="http://bagdeals.ng" TargetMode="External"/><Relationship Id="rId378" Type="http://schemas.openxmlformats.org/officeDocument/2006/relationships/hyperlink" Target="http://wa.me/27832379998" TargetMode="External"/><Relationship Id="rId377" Type="http://schemas.openxmlformats.org/officeDocument/2006/relationships/hyperlink" Target="http://www.veloceluxurycarrental.co.za" TargetMode="External"/><Relationship Id="rId376" Type="http://schemas.openxmlformats.org/officeDocument/2006/relationships/hyperlink" Target="https://www.abrikooskloof.co.za/contact/contact-us/" TargetMode="External"/><Relationship Id="rId375" Type="http://schemas.openxmlformats.org/officeDocument/2006/relationships/hyperlink" Target="https://linktr.ee/theokbargain" TargetMode="External"/><Relationship Id="rId396" Type="http://schemas.openxmlformats.org/officeDocument/2006/relationships/hyperlink" Target="https://linktr.ee/adeogemua" TargetMode="External"/><Relationship Id="rId395" Type="http://schemas.openxmlformats.org/officeDocument/2006/relationships/hyperlink" Target="http://wa.me/+2347039521975" TargetMode="External"/><Relationship Id="rId394" Type="http://schemas.openxmlformats.org/officeDocument/2006/relationships/hyperlink" Target="http://www.weightlossplug.com" TargetMode="External"/><Relationship Id="rId393" Type="http://schemas.openxmlformats.org/officeDocument/2006/relationships/hyperlink" Target="https://open.kakao.com/o/sDk0Apgg" TargetMode="External"/><Relationship Id="rId399" Type="http://schemas.openxmlformats.org/officeDocument/2006/relationships/hyperlink" Target="https://linktr.ee/cairofashion" TargetMode="External"/><Relationship Id="rId398" Type="http://schemas.openxmlformats.org/officeDocument/2006/relationships/hyperlink" Target="https://bookmoeservice.setmore.com/" TargetMode="External"/><Relationship Id="rId397" Type="http://schemas.openxmlformats.org/officeDocument/2006/relationships/hyperlink" Target="https://linktr.ee/ceendies_creation" TargetMode="External"/><Relationship Id="rId808" Type="http://schemas.openxmlformats.org/officeDocument/2006/relationships/hyperlink" Target="https://novoovonails.com?sca_ref=8792073.a5Yp0FESbMCwaf1" TargetMode="External"/><Relationship Id="rId807" Type="http://schemas.openxmlformats.org/officeDocument/2006/relationships/hyperlink" Target="https://linktr.ee/monicagarciaaa_" TargetMode="External"/><Relationship Id="rId806" Type="http://schemas.openxmlformats.org/officeDocument/2006/relationships/hyperlink" Target="https://booking.gocheckin.net/v2/16997" TargetMode="External"/><Relationship Id="rId805" Type="http://schemas.openxmlformats.org/officeDocument/2006/relationships/hyperlink" Target="http://thebestnailsusa.com" TargetMode="External"/><Relationship Id="rId809" Type="http://schemas.openxmlformats.org/officeDocument/2006/relationships/hyperlink" Target="https://nailsbykerraa.as.me/schedule.php" TargetMode="External"/><Relationship Id="rId800" Type="http://schemas.openxmlformats.org/officeDocument/2006/relationships/hyperlink" Target="https://nailsbylolu.as.me/" TargetMode="External"/><Relationship Id="rId804" Type="http://schemas.openxmlformats.org/officeDocument/2006/relationships/hyperlink" Target="https://youtu.be/beaufoxV8ko?si=8NJoo2zwdbF9Yx7b" TargetMode="External"/><Relationship Id="rId803" Type="http://schemas.openxmlformats.org/officeDocument/2006/relationships/hyperlink" Target="https://linktr.ee/dimsumnails" TargetMode="External"/><Relationship Id="rId802" Type="http://schemas.openxmlformats.org/officeDocument/2006/relationships/hyperlink" Target="http://thebestnailsusa.com" TargetMode="External"/><Relationship Id="rId801" Type="http://schemas.openxmlformats.org/officeDocument/2006/relationships/hyperlink" Target="http://www.bostonsnailsandspa.com/" TargetMode="External"/><Relationship Id="rId40" Type="http://schemas.openxmlformats.org/officeDocument/2006/relationships/hyperlink" Target="https://linktr.ee/SKINCAREBYCARIN" TargetMode="External"/><Relationship Id="rId42" Type="http://schemas.openxmlformats.org/officeDocument/2006/relationships/hyperlink" Target="http://sneakerheads.la" TargetMode="External"/><Relationship Id="rId41" Type="http://schemas.openxmlformats.org/officeDocument/2006/relationships/hyperlink" Target="https://linktr.ee/themodernu" TargetMode="External"/><Relationship Id="rId44" Type="http://schemas.openxmlformats.org/officeDocument/2006/relationships/hyperlink" Target="http://sneakersnstuff.la" TargetMode="External"/><Relationship Id="rId43" Type="http://schemas.openxmlformats.org/officeDocument/2006/relationships/hyperlink" Target="http://snkhdsla.com/" TargetMode="External"/><Relationship Id="rId46" Type="http://schemas.openxmlformats.org/officeDocument/2006/relationships/hyperlink" Target="http://sneakersnstuff.com/" TargetMode="External"/><Relationship Id="rId45" Type="http://schemas.openxmlformats.org/officeDocument/2006/relationships/hyperlink" Target="https://www.sneakersnstuff.com/" TargetMode="External"/><Relationship Id="rId745" Type="http://schemas.openxmlformats.org/officeDocument/2006/relationships/hyperlink" Target="http://www.dallasdesignerhandbags.com/" TargetMode="External"/><Relationship Id="rId744" Type="http://schemas.openxmlformats.org/officeDocument/2006/relationships/hyperlink" Target="https://linktr.ee/Rosemaryo" TargetMode="External"/><Relationship Id="rId743" Type="http://schemas.openxmlformats.org/officeDocument/2006/relationships/hyperlink" Target="https://www.rominahairtyles.com/contact" TargetMode="External"/><Relationship Id="rId742" Type="http://schemas.openxmlformats.org/officeDocument/2006/relationships/hyperlink" Target="http://forthecurlturellc.booksy.com/a/" TargetMode="External"/><Relationship Id="rId749" Type="http://schemas.openxmlformats.org/officeDocument/2006/relationships/hyperlink" Target="https://linktr.ee/HALLArtsHotel" TargetMode="External"/><Relationship Id="rId748" Type="http://schemas.openxmlformats.org/officeDocument/2006/relationships/hyperlink" Target="http://www.primaveradreams.com" TargetMode="External"/><Relationship Id="rId747" Type="http://schemas.openxmlformats.org/officeDocument/2006/relationships/hyperlink" Target="https://linkin.bio/bostoncommag" TargetMode="External"/><Relationship Id="rId746" Type="http://schemas.openxmlformats.org/officeDocument/2006/relationships/hyperlink" Target="https://www.atlantaluxurybags.com" TargetMode="External"/><Relationship Id="rId48" Type="http://schemas.openxmlformats.org/officeDocument/2006/relationships/hyperlink" Target="https://linktr.ee/Jenniferjohnsonjanisch" TargetMode="External"/><Relationship Id="rId47" Type="http://schemas.openxmlformats.org/officeDocument/2006/relationships/hyperlink" Target="http://www.acaccessoriesmiami.etsy.com/" TargetMode="External"/><Relationship Id="rId49" Type="http://schemas.openxmlformats.org/officeDocument/2006/relationships/hyperlink" Target="http://www.fashionmiamitrends.com/" TargetMode="External"/><Relationship Id="rId741" Type="http://schemas.openxmlformats.org/officeDocument/2006/relationships/hyperlink" Target="https://www.silkedbysonnie.com" TargetMode="External"/><Relationship Id="rId740" Type="http://schemas.openxmlformats.org/officeDocument/2006/relationships/hyperlink" Target="https://www.lynnstyles.com/" TargetMode="External"/><Relationship Id="rId31" Type="http://schemas.openxmlformats.org/officeDocument/2006/relationships/hyperlink" Target="https://www.amazon.com/shop/nailsbycurls" TargetMode="External"/><Relationship Id="rId30" Type="http://schemas.openxmlformats.org/officeDocument/2006/relationships/hyperlink" Target="https://linktr.ee/luxurynailsbydes" TargetMode="External"/><Relationship Id="rId33" Type="http://schemas.openxmlformats.org/officeDocument/2006/relationships/hyperlink" Target="http://italmas-nails.com" TargetMode="External"/><Relationship Id="rId32" Type="http://schemas.openxmlformats.org/officeDocument/2006/relationships/hyperlink" Target="https://www.tiktok.com/@verosnaillab_?_t=ZP-8xL8KzPymUB&amp;_r=1" TargetMode="External"/><Relationship Id="rId35" Type="http://schemas.openxmlformats.org/officeDocument/2006/relationships/hyperlink" Target="https://linktr.ee/kaitskreationssf" TargetMode="External"/><Relationship Id="rId34" Type="http://schemas.openxmlformats.org/officeDocument/2006/relationships/hyperlink" Target="https://n1222363.alteg.io" TargetMode="External"/><Relationship Id="rId739" Type="http://schemas.openxmlformats.org/officeDocument/2006/relationships/hyperlink" Target="http://hercurls.com/" TargetMode="External"/><Relationship Id="rId734" Type="http://schemas.openxmlformats.org/officeDocument/2006/relationships/hyperlink" Target="http://www.facebook.com/harispaatlantabarbershopkediri" TargetMode="External"/><Relationship Id="rId733" Type="http://schemas.openxmlformats.org/officeDocument/2006/relationships/hyperlink" Target="https://n382040.yclients.com/" TargetMode="External"/><Relationship Id="rId732" Type="http://schemas.openxmlformats.org/officeDocument/2006/relationships/hyperlink" Target="https://linktr.ee/mundoquinceanera" TargetMode="External"/><Relationship Id="rId731" Type="http://schemas.openxmlformats.org/officeDocument/2006/relationships/hyperlink" Target="https://linktr.ee/sustainablefashionmatterz" TargetMode="External"/><Relationship Id="rId738" Type="http://schemas.openxmlformats.org/officeDocument/2006/relationships/hyperlink" Target="http://booksy.info/SidneyHeadSpace" TargetMode="External"/><Relationship Id="rId737" Type="http://schemas.openxmlformats.org/officeDocument/2006/relationships/hyperlink" Target="http://www.bostonianbarbershop.com/" TargetMode="External"/><Relationship Id="rId736" Type="http://schemas.openxmlformats.org/officeDocument/2006/relationships/hyperlink" Target="https://bit.ly/BostonBarber.PKU" TargetMode="External"/><Relationship Id="rId735" Type="http://schemas.openxmlformats.org/officeDocument/2006/relationships/hyperlink" Target="https://zapis.kz/boston-maylina" TargetMode="External"/><Relationship Id="rId37" Type="http://schemas.openxmlformats.org/officeDocument/2006/relationships/hyperlink" Target="https://bit.ly/35mP8YL" TargetMode="External"/><Relationship Id="rId36" Type="http://schemas.openxmlformats.org/officeDocument/2006/relationships/hyperlink" Target="http://www.arcona.com" TargetMode="External"/><Relationship Id="rId39" Type="http://schemas.openxmlformats.org/officeDocument/2006/relationships/hyperlink" Target="https://www.pinnaclemodernskincare.com/" TargetMode="External"/><Relationship Id="rId38" Type="http://schemas.openxmlformats.org/officeDocument/2006/relationships/hyperlink" Target="https://form.jotform.com/223090431594150" TargetMode="External"/><Relationship Id="rId730" Type="http://schemas.openxmlformats.org/officeDocument/2006/relationships/hyperlink" Target="http://www.ourcommonplace.co/" TargetMode="External"/><Relationship Id="rId20" Type="http://schemas.openxmlformats.org/officeDocument/2006/relationships/hyperlink" Target="http://www.madunder.com" TargetMode="External"/><Relationship Id="rId22" Type="http://schemas.openxmlformats.org/officeDocument/2006/relationships/hyperlink" Target="https://www.shopltk.com/explore/Katerina.tos/productsets/11ee475aff6b86a6b4ef0242ac110003" TargetMode="External"/><Relationship Id="rId21" Type="http://schemas.openxmlformats.org/officeDocument/2006/relationships/hyperlink" Target="https://zarina.mssg.me/" TargetMode="External"/><Relationship Id="rId24" Type="http://schemas.openxmlformats.org/officeDocument/2006/relationships/hyperlink" Target="https://linktr.ee/beautybyayleen?utm_source=linktree_profile_share&amp;ltsid=d8d4d0fa-74e5-424d-ad40-775a08c390a6" TargetMode="External"/><Relationship Id="rId23" Type="http://schemas.openxmlformats.org/officeDocument/2006/relationships/hyperlink" Target="http://makeupbyaime.com" TargetMode="External"/><Relationship Id="rId767" Type="http://schemas.openxmlformats.org/officeDocument/2006/relationships/hyperlink" Target="https://www.lashmeartistry.co/" TargetMode="External"/><Relationship Id="rId766" Type="http://schemas.openxmlformats.org/officeDocument/2006/relationships/hyperlink" Target="http://kokosdollhousellc.as.me/" TargetMode="External"/><Relationship Id="rId765" Type="http://schemas.openxmlformats.org/officeDocument/2006/relationships/hyperlink" Target="http://makeupvstudio.com" TargetMode="External"/><Relationship Id="rId764" Type="http://schemas.openxmlformats.org/officeDocument/2006/relationships/hyperlink" Target="https://linktr.ee/Plusbarbb" TargetMode="External"/><Relationship Id="rId769" Type="http://schemas.openxmlformats.org/officeDocument/2006/relationships/hyperlink" Target="https://linktr.ee/enhancedbyteisha" TargetMode="External"/><Relationship Id="rId768" Type="http://schemas.openxmlformats.org/officeDocument/2006/relationships/hyperlink" Target="https://double-a-makeup-artistry.square.site/" TargetMode="External"/><Relationship Id="rId26" Type="http://schemas.openxmlformats.org/officeDocument/2006/relationships/hyperlink" Target="https://linktr.ee/sella_em" TargetMode="External"/><Relationship Id="rId25" Type="http://schemas.openxmlformats.org/officeDocument/2006/relationships/hyperlink" Target="https://glambymanib.as.me/" TargetMode="External"/><Relationship Id="rId28" Type="http://schemas.openxmlformats.org/officeDocument/2006/relationships/hyperlink" Target="https://t.me/Anapkamake73" TargetMode="External"/><Relationship Id="rId27" Type="http://schemas.openxmlformats.org/officeDocument/2006/relationships/hyperlink" Target="http://www.manehglam.com" TargetMode="External"/><Relationship Id="rId763" Type="http://schemas.openxmlformats.org/officeDocument/2006/relationships/hyperlink" Target="http://linktr.ee/gloupbyshanel/" TargetMode="External"/><Relationship Id="rId29" Type="http://schemas.openxmlformats.org/officeDocument/2006/relationships/hyperlink" Target="https://t.me/Lika_linskaya" TargetMode="External"/><Relationship Id="rId762" Type="http://schemas.openxmlformats.org/officeDocument/2006/relationships/hyperlink" Target="http://facedesignbydenise.booksy.com/a/" TargetMode="External"/><Relationship Id="rId761" Type="http://schemas.openxmlformats.org/officeDocument/2006/relationships/hyperlink" Target="https://linktr.ee/kerriherlihy" TargetMode="External"/><Relationship Id="rId760" Type="http://schemas.openxmlformats.org/officeDocument/2006/relationships/hyperlink" Target="http://wa.me/14704692295" TargetMode="External"/><Relationship Id="rId11" Type="http://schemas.openxmlformats.org/officeDocument/2006/relationships/hyperlink" Target="https://www.tiktok.com/@erik.oganesyan?_t=ZS-8tYfAIkpxXL&amp;_r=1" TargetMode="External"/><Relationship Id="rId10" Type="http://schemas.openxmlformats.org/officeDocument/2006/relationships/hyperlink" Target="http://www.drakehackney.com/" TargetMode="External"/><Relationship Id="rId13" Type="http://schemas.openxmlformats.org/officeDocument/2006/relationships/hyperlink" Target="https://linktr.ee/diariesofatravelista" TargetMode="External"/><Relationship Id="rId12" Type="http://schemas.openxmlformats.org/officeDocument/2006/relationships/hyperlink" Target="https://form.jotform.com/250146547262051" TargetMode="External"/><Relationship Id="rId756" Type="http://schemas.openxmlformats.org/officeDocument/2006/relationships/hyperlink" Target="https://linktr.ee/picnicperfecthtx" TargetMode="External"/><Relationship Id="rId755" Type="http://schemas.openxmlformats.org/officeDocument/2006/relationships/hyperlink" Target="https://www.facebook.com/magicrosesweddings" TargetMode="External"/><Relationship Id="rId754" Type="http://schemas.openxmlformats.org/officeDocument/2006/relationships/hyperlink" Target="https://beaconsai.com/jadeluxe" TargetMode="External"/><Relationship Id="rId753" Type="http://schemas.openxmlformats.org/officeDocument/2006/relationships/hyperlink" Target="https://linkin.bio/houston_magazine" TargetMode="External"/><Relationship Id="rId759" Type="http://schemas.openxmlformats.org/officeDocument/2006/relationships/hyperlink" Target="https://linktr.ee/lexupnext" TargetMode="External"/><Relationship Id="rId758" Type="http://schemas.openxmlformats.org/officeDocument/2006/relationships/hyperlink" Target="https://linktr.ee/Quartaki" TargetMode="External"/><Relationship Id="rId757" Type="http://schemas.openxmlformats.org/officeDocument/2006/relationships/hyperlink" Target="https://www.skyliferecovery.com/pricing" TargetMode="External"/><Relationship Id="rId15" Type="http://schemas.openxmlformats.org/officeDocument/2006/relationships/hyperlink" Target="https://linktr.ee/luxurynailsbydes" TargetMode="External"/><Relationship Id="rId14" Type="http://schemas.openxmlformats.org/officeDocument/2006/relationships/hyperlink" Target="https://www.fresha.com/a/brows-by-alyssa-los-angeles-2514-overland-avenue-vx82a0zu/booking?menu=true&amp;multi=true" TargetMode="External"/><Relationship Id="rId17" Type="http://schemas.openxmlformats.org/officeDocument/2006/relationships/hyperlink" Target="http://www.tieronelux.com" TargetMode="External"/><Relationship Id="rId16" Type="http://schemas.openxmlformats.org/officeDocument/2006/relationships/hyperlink" Target="https://milsteinestates.com/" TargetMode="External"/><Relationship Id="rId19" Type="http://schemas.openxmlformats.org/officeDocument/2006/relationships/hyperlink" Target="http://habibiny.com" TargetMode="External"/><Relationship Id="rId752" Type="http://schemas.openxmlformats.org/officeDocument/2006/relationships/hyperlink" Target="https://ecde30-2.myshopify.com/" TargetMode="External"/><Relationship Id="rId18" Type="http://schemas.openxmlformats.org/officeDocument/2006/relationships/hyperlink" Target="https://na1.meevo.com/CustomerPortal/onlinebooking/booking/guestinfo?tenantId=201499&amp;locationId=203957" TargetMode="External"/><Relationship Id="rId751" Type="http://schemas.openxmlformats.org/officeDocument/2006/relationships/hyperlink" Target="https://linkin.bio/theadolphushotel/" TargetMode="External"/><Relationship Id="rId750" Type="http://schemas.openxmlformats.org/officeDocument/2006/relationships/hyperlink" Target="https://linkin.bio/modluxdallas" TargetMode="External"/><Relationship Id="rId84" Type="http://schemas.openxmlformats.org/officeDocument/2006/relationships/hyperlink" Target="https://naildripmiami.as.me" TargetMode="External"/><Relationship Id="rId83" Type="http://schemas.openxmlformats.org/officeDocument/2006/relationships/hyperlink" Target="https://linktr.ee/miaminailstudio" TargetMode="External"/><Relationship Id="rId86" Type="http://schemas.openxmlformats.org/officeDocument/2006/relationships/hyperlink" Target="http://styleseat.com/margaritanaturalhaircare/" TargetMode="External"/><Relationship Id="rId85" Type="http://schemas.openxmlformats.org/officeDocument/2006/relationships/hyperlink" Target="http://supernailandspamiami.com" TargetMode="External"/><Relationship Id="rId88" Type="http://schemas.openxmlformats.org/officeDocument/2006/relationships/hyperlink" Target="https://msha.ke/chicagobestskin" TargetMode="External"/><Relationship Id="rId87" Type="http://schemas.openxmlformats.org/officeDocument/2006/relationships/hyperlink" Target="https://www.perfumesmiami.lat" TargetMode="External"/><Relationship Id="rId89" Type="http://schemas.openxmlformats.org/officeDocument/2006/relationships/hyperlink" Target="https://luxselfcare.vip/" TargetMode="External"/><Relationship Id="rId709" Type="http://schemas.openxmlformats.org/officeDocument/2006/relationships/hyperlink" Target="https://linktr.ee/Breerubinhair" TargetMode="External"/><Relationship Id="rId708" Type="http://schemas.openxmlformats.org/officeDocument/2006/relationships/hyperlink" Target="https://goo.gl/maps/519UkZ4qb3q5jY2c9" TargetMode="External"/><Relationship Id="rId707" Type="http://schemas.openxmlformats.org/officeDocument/2006/relationships/hyperlink" Target="https://linktr.ee/yconaluxuryresort" TargetMode="External"/><Relationship Id="rId706" Type="http://schemas.openxmlformats.org/officeDocument/2006/relationships/hyperlink" Target="https://xanadu-villas.com/" TargetMode="External"/><Relationship Id="rId80" Type="http://schemas.openxmlformats.org/officeDocument/2006/relationships/hyperlink" Target="http://linktr.ee/mode.miami" TargetMode="External"/><Relationship Id="rId82" Type="http://schemas.openxmlformats.org/officeDocument/2006/relationships/hyperlink" Target="https://ivaniasnails.as.me/schedule/b15c2e5a" TargetMode="External"/><Relationship Id="rId81" Type="http://schemas.openxmlformats.org/officeDocument/2006/relationships/hyperlink" Target="https://wa.link/tmo28l" TargetMode="External"/><Relationship Id="rId701" Type="http://schemas.openxmlformats.org/officeDocument/2006/relationships/hyperlink" Target="http://www.ultraluxurymaldives.com/" TargetMode="External"/><Relationship Id="rId700" Type="http://schemas.openxmlformats.org/officeDocument/2006/relationships/hyperlink" Target="https://furaveri.com/offers/" TargetMode="External"/><Relationship Id="rId705" Type="http://schemas.openxmlformats.org/officeDocument/2006/relationships/hyperlink" Target="https://linktr.ee/whitesandvillas" TargetMode="External"/><Relationship Id="rId704" Type="http://schemas.openxmlformats.org/officeDocument/2006/relationships/hyperlink" Target="https://www.safirablu.com/reservations%23/" TargetMode="External"/><Relationship Id="rId703" Type="http://schemas.openxmlformats.org/officeDocument/2006/relationships/hyperlink" Target="https://linktr.ee/joharidevelopers" TargetMode="External"/><Relationship Id="rId702" Type="http://schemas.openxmlformats.org/officeDocument/2006/relationships/hyperlink" Target="https://balinesespazanzibar.com" TargetMode="External"/><Relationship Id="rId73" Type="http://schemas.openxmlformats.org/officeDocument/2006/relationships/hyperlink" Target="http://luisdollss.com" TargetMode="External"/><Relationship Id="rId72" Type="http://schemas.openxmlformats.org/officeDocument/2006/relationships/hyperlink" Target="https://bookglorifiedlooks.as.me/" TargetMode="External"/><Relationship Id="rId75" Type="http://schemas.openxmlformats.org/officeDocument/2006/relationships/hyperlink" Target="https://tcglamour.as.me/" TargetMode="External"/><Relationship Id="rId74" Type="http://schemas.openxmlformats.org/officeDocument/2006/relationships/hyperlink" Target="http://www.makeupbydon.com/" TargetMode="External"/><Relationship Id="rId77" Type="http://schemas.openxmlformats.org/officeDocument/2006/relationships/hyperlink" Target="https://www.vicamakeup.com/collections/servicios-de-cita-previa/products/icy-lips" TargetMode="External"/><Relationship Id="rId76" Type="http://schemas.openxmlformats.org/officeDocument/2006/relationships/hyperlink" Target="https://linktr.ee/theluxuryclub" TargetMode="External"/><Relationship Id="rId79" Type="http://schemas.openxmlformats.org/officeDocument/2006/relationships/hyperlink" Target="https://www.modamiami.com" TargetMode="External"/><Relationship Id="rId78" Type="http://schemas.openxmlformats.org/officeDocument/2006/relationships/hyperlink" Target="http://classicmenswear.org/" TargetMode="External"/><Relationship Id="rId71" Type="http://schemas.openxmlformats.org/officeDocument/2006/relationships/hyperlink" Target="http://wa.me/51924782154/?fbclid=IwAR0BuPAL1O3HVBdowSvykJuHstzGh8CejZp9EZRFjgad91H2CN4oeciiU4k" TargetMode="External"/><Relationship Id="rId70" Type="http://schemas.openxmlformats.org/officeDocument/2006/relationships/hyperlink" Target="https://flawlessdoll.as.me/" TargetMode="External"/><Relationship Id="rId62" Type="http://schemas.openxmlformats.org/officeDocument/2006/relationships/hyperlink" Target="https://api.whatsapp.com/send?phone=17868706919" TargetMode="External"/><Relationship Id="rId61" Type="http://schemas.openxmlformats.org/officeDocument/2006/relationships/hyperlink" Target="http://wa.me/13479334680/" TargetMode="External"/><Relationship Id="rId64" Type="http://schemas.openxmlformats.org/officeDocument/2006/relationships/hyperlink" Target="https://linktr.ee/jollyonthebeatt" TargetMode="External"/><Relationship Id="rId63" Type="http://schemas.openxmlformats.org/officeDocument/2006/relationships/hyperlink" Target="https://linktr.ee/Miamimakeupartist" TargetMode="External"/><Relationship Id="rId66" Type="http://schemas.openxmlformats.org/officeDocument/2006/relationships/hyperlink" Target="https://squareup.com/appointments/book/8ljd56qmqsfhmd/LRQ0MEWCX63CZ/start" TargetMode="External"/><Relationship Id="rId65" Type="http://schemas.openxmlformats.org/officeDocument/2006/relationships/hyperlink" Target="https://www.instagram.com/aymaneatss?igsh=MWlvMG55bnc2ZW4ydA%3D%3D" TargetMode="External"/><Relationship Id="rId68" Type="http://schemas.openxmlformats.org/officeDocument/2006/relationships/hyperlink" Target="http://p.didd.it" TargetMode="External"/><Relationship Id="rId67" Type="http://schemas.openxmlformats.org/officeDocument/2006/relationships/hyperlink" Target="https://instagram.com/nabeelaameenazii?igshid=MzRlODBiNWFlZA%3D%3D" TargetMode="External"/><Relationship Id="rId729" Type="http://schemas.openxmlformats.org/officeDocument/2006/relationships/hyperlink" Target="http://ourcommonplace.co" TargetMode="External"/><Relationship Id="rId728" Type="http://schemas.openxmlformats.org/officeDocument/2006/relationships/hyperlink" Target="https://linktr.ee/sustainablefashionmatterz" TargetMode="External"/><Relationship Id="rId60" Type="http://schemas.openxmlformats.org/officeDocument/2006/relationships/hyperlink" Target="https://msha.ke/kristyle" TargetMode="External"/><Relationship Id="rId723" Type="http://schemas.openxmlformats.org/officeDocument/2006/relationships/hyperlink" Target="http://ourcommonplace.co" TargetMode="External"/><Relationship Id="rId722" Type="http://schemas.openxmlformats.org/officeDocument/2006/relationships/hyperlink" Target="https://linktr.ee/Mauico_" TargetMode="External"/><Relationship Id="rId721" Type="http://schemas.openxmlformats.org/officeDocument/2006/relationships/hyperlink" Target="https://linktr.ee/vivamaia.beauty" TargetMode="External"/><Relationship Id="rId720" Type="http://schemas.openxmlformats.org/officeDocument/2006/relationships/hyperlink" Target="https://oahuu.cl" TargetMode="External"/><Relationship Id="rId727" Type="http://schemas.openxmlformats.org/officeDocument/2006/relationships/hyperlink" Target="http://www.ourcommonplace.co/" TargetMode="External"/><Relationship Id="rId726" Type="http://schemas.openxmlformats.org/officeDocument/2006/relationships/hyperlink" Target="http://ourcommonplace.co" TargetMode="External"/><Relationship Id="rId725" Type="http://schemas.openxmlformats.org/officeDocument/2006/relationships/hyperlink" Target="https://linktr.ee/sustainablefashionmatterz" TargetMode="External"/><Relationship Id="rId724" Type="http://schemas.openxmlformats.org/officeDocument/2006/relationships/hyperlink" Target="http://www.ourcommonplace.co/" TargetMode="External"/><Relationship Id="rId69" Type="http://schemas.openxmlformats.org/officeDocument/2006/relationships/hyperlink" Target="https://pdidit.as.me/" TargetMode="External"/><Relationship Id="rId51" Type="http://schemas.openxmlformats.org/officeDocument/2006/relationships/hyperlink" Target="https://dncwprojectusa.as.me/" TargetMode="External"/><Relationship Id="rId50" Type="http://schemas.openxmlformats.org/officeDocument/2006/relationships/hyperlink" Target="https://bumpix.net/339784" TargetMode="External"/><Relationship Id="rId53" Type="http://schemas.openxmlformats.org/officeDocument/2006/relationships/hyperlink" Target="https://momence.com/s/118714632" TargetMode="External"/><Relationship Id="rId52" Type="http://schemas.openxmlformats.org/officeDocument/2006/relationships/hyperlink" Target="https://dancedynastymiami.com/schedule" TargetMode="External"/><Relationship Id="rId55" Type="http://schemas.openxmlformats.org/officeDocument/2006/relationships/hyperlink" Target="https://linktr.ee/luxurytotbusiness?utm_source=linktree_profile_share&amp;ltsid=3eda553a-caae-4509-9894-7f832437b081" TargetMode="External"/><Relationship Id="rId54" Type="http://schemas.openxmlformats.org/officeDocument/2006/relationships/hyperlink" Target="https://linktr.ee/ClassyhairbyjessLLC" TargetMode="External"/><Relationship Id="rId57" Type="http://schemas.openxmlformats.org/officeDocument/2006/relationships/hyperlink" Target="https://linktr.ee/saltluxurymiami" TargetMode="External"/><Relationship Id="rId56" Type="http://schemas.openxmlformats.org/officeDocument/2006/relationships/hyperlink" Target="http://www.luxurypowerhouse.net" TargetMode="External"/><Relationship Id="rId719" Type="http://schemas.openxmlformats.org/officeDocument/2006/relationships/hyperlink" Target="http://oahuu.cl" TargetMode="External"/><Relationship Id="rId718" Type="http://schemas.openxmlformats.org/officeDocument/2006/relationships/hyperlink" Target="https://linktr.ee/oahumodas" TargetMode="External"/><Relationship Id="rId717" Type="http://schemas.openxmlformats.org/officeDocument/2006/relationships/hyperlink" Target="http://linktr.ee/modamaisitabuna" TargetMode="External"/><Relationship Id="rId712" Type="http://schemas.openxmlformats.org/officeDocument/2006/relationships/hyperlink" Target="https://bio.site/Faithyxo" TargetMode="External"/><Relationship Id="rId711" Type="http://schemas.openxmlformats.org/officeDocument/2006/relationships/hyperlink" Target="https://wavesofbeautymaui.com" TargetMode="External"/><Relationship Id="rId710" Type="http://schemas.openxmlformats.org/officeDocument/2006/relationships/hyperlink" Target="http://www.makeupwithbarbie.com/" TargetMode="External"/><Relationship Id="rId716" Type="http://schemas.openxmlformats.org/officeDocument/2006/relationships/hyperlink" Target="http://www.modamaisbarata.com.br" TargetMode="External"/><Relationship Id="rId715" Type="http://schemas.openxmlformats.org/officeDocument/2006/relationships/hyperlink" Target="https://linktr.ee/moda.maior" TargetMode="External"/><Relationship Id="rId714" Type="http://schemas.openxmlformats.org/officeDocument/2006/relationships/hyperlink" Target="https://linktr.ee/Modamaia" TargetMode="External"/><Relationship Id="rId713" Type="http://schemas.openxmlformats.org/officeDocument/2006/relationships/hyperlink" Target="https://docs.google.com/forms/d/e/1FAIpQLSfayRwwX1L9lOS05P4SGUPZn4XVDQ2NcPcam3tSMo0P6EP3QQ/viewform" TargetMode="External"/><Relationship Id="rId59" Type="http://schemas.openxmlformats.org/officeDocument/2006/relationships/hyperlink" Target="https://linktr.ee/Bjaniabeauty" TargetMode="External"/><Relationship Id="rId58" Type="http://schemas.openxmlformats.org/officeDocument/2006/relationships/hyperlink" Target="https://linktr.ee/rawbraid" TargetMode="External"/><Relationship Id="rId349" Type="http://schemas.openxmlformats.org/officeDocument/2006/relationships/hyperlink" Target="https://dubaiskincare.in/" TargetMode="External"/><Relationship Id="rId348" Type="http://schemas.openxmlformats.org/officeDocument/2006/relationships/hyperlink" Target="http://lookluxe.com" TargetMode="External"/><Relationship Id="rId347" Type="http://schemas.openxmlformats.org/officeDocument/2006/relationships/hyperlink" Target="http://theistanbulkozmetik.com" TargetMode="External"/><Relationship Id="rId346" Type="http://schemas.openxmlformats.org/officeDocument/2006/relationships/hyperlink" Target="https://ezbz.me/5eY2" TargetMode="External"/><Relationship Id="rId341" Type="http://schemas.openxmlformats.org/officeDocument/2006/relationships/hyperlink" Target="https://www.litres.ru/dasha-levkovich/neznakomcy-nayti-v-tinder-sebya-kolichestvo-rvanyh-istoriy/?lfrom=490681704&amp;ref_offer=1&amp;ref_key=2b2c8f3db014ff0f292000aa95133d83b479b3f4b924c1dd87d74dffe2245e42" TargetMode="External"/><Relationship Id="rId340" Type="http://schemas.openxmlformats.org/officeDocument/2006/relationships/hyperlink" Target="http://www.mc2mm.co.il/" TargetMode="External"/><Relationship Id="rId345" Type="http://schemas.openxmlformats.org/officeDocument/2006/relationships/hyperlink" Target="https://www.pronails.ae/taplink" TargetMode="External"/><Relationship Id="rId344" Type="http://schemas.openxmlformats.org/officeDocument/2006/relationships/hyperlink" Target="http://thenailslab.com/book-whatsapp-prices" TargetMode="External"/><Relationship Id="rId343" Type="http://schemas.openxmlformats.org/officeDocument/2006/relationships/hyperlink" Target="https://n821656.alteg.io/select-city/32592/select-branch" TargetMode="External"/><Relationship Id="rId342" Type="http://schemas.openxmlformats.org/officeDocument/2006/relationships/hyperlink" Target="https://maps.app.goo.gl/BSD4uFrbwPxigYFL6?g_st=ic" TargetMode="External"/><Relationship Id="rId338" Type="http://schemas.openxmlformats.org/officeDocument/2006/relationships/hyperlink" Target="http://wa.me/5581981906171" TargetMode="External"/><Relationship Id="rId337" Type="http://schemas.openxmlformats.org/officeDocument/2006/relationships/hyperlink" Target="http://wa.me/972534719346" TargetMode="External"/><Relationship Id="rId336" Type="http://schemas.openxmlformats.org/officeDocument/2006/relationships/hyperlink" Target="https://www.facebook.com/ltw.muah" TargetMode="External"/><Relationship Id="rId335" Type="http://schemas.openxmlformats.org/officeDocument/2006/relationships/hyperlink" Target="http://www.shumkomakeup.com" TargetMode="External"/><Relationship Id="rId339" Type="http://schemas.openxmlformats.org/officeDocument/2006/relationships/hyperlink" Target="https://www.facebook.com/profile.php?id=100076075626968&amp;mibextid=ibOpuV" TargetMode="External"/><Relationship Id="rId330" Type="http://schemas.openxmlformats.org/officeDocument/2006/relationships/hyperlink" Target="http://wa.me/972534719346" TargetMode="External"/><Relationship Id="rId334" Type="http://schemas.openxmlformats.org/officeDocument/2006/relationships/hyperlink" Target="https://luxury-visage.com/" TargetMode="External"/><Relationship Id="rId333" Type="http://schemas.openxmlformats.org/officeDocument/2006/relationships/hyperlink" Target="https://makeupcannes86.wixstudio.com/makeup-cannes?fbclid=PAZXh0bgNhZW0CMTEAAaZpP4pmB4ZGSFvRcRELO9_aBwNu0iswbiB8j0a4xmCHOgeVYMGkSEZ9Fsg_aem_ShaAaK-Lfopry5recDeqOA" TargetMode="External"/><Relationship Id="rId332" Type="http://schemas.openxmlformats.org/officeDocument/2006/relationships/hyperlink" Target="http://www.make-me-up.org/" TargetMode="External"/><Relationship Id="rId331" Type="http://schemas.openxmlformats.org/officeDocument/2006/relationships/hyperlink" Target="http://www.com/snapchat:makeup8videos" TargetMode="External"/><Relationship Id="rId370" Type="http://schemas.openxmlformats.org/officeDocument/2006/relationships/hyperlink" Target="https://atimakeup.ae/" TargetMode="External"/><Relationship Id="rId369" Type="http://schemas.openxmlformats.org/officeDocument/2006/relationships/hyperlink" Target="https://linktr.ee/sandiezcollection" TargetMode="External"/><Relationship Id="rId368" Type="http://schemas.openxmlformats.org/officeDocument/2006/relationships/hyperlink" Target="https://api.whatsapp.com/send?phone=2348120689966" TargetMode="External"/><Relationship Id="rId363" Type="http://schemas.openxmlformats.org/officeDocument/2006/relationships/hyperlink" Target="http://thelolahshop.ng" TargetMode="External"/><Relationship Id="rId362" Type="http://schemas.openxmlformats.org/officeDocument/2006/relationships/hyperlink" Target="http://cluxury.ng" TargetMode="External"/><Relationship Id="rId361" Type="http://schemas.openxmlformats.org/officeDocument/2006/relationships/hyperlink" Target="https://wa.link/fxbbwg" TargetMode="External"/><Relationship Id="rId360" Type="http://schemas.openxmlformats.org/officeDocument/2006/relationships/hyperlink" Target="https://www.bagswarehouse.ng/" TargetMode="External"/><Relationship Id="rId367" Type="http://schemas.openxmlformats.org/officeDocument/2006/relationships/hyperlink" Target="https://bit.ly/2RDzAss" TargetMode="External"/><Relationship Id="rId366" Type="http://schemas.openxmlformats.org/officeDocument/2006/relationships/hyperlink" Target="http://wa.me/971555319714" TargetMode="External"/><Relationship Id="rId365" Type="http://schemas.openxmlformats.org/officeDocument/2006/relationships/hyperlink" Target="https://t.me/m3barbershop_bot?start=partnership_R6XHCDZV3MLQ08O" TargetMode="External"/><Relationship Id="rId364" Type="http://schemas.openxmlformats.org/officeDocument/2006/relationships/hyperlink" Target="https://thelolahshop.com" TargetMode="External"/><Relationship Id="rId95" Type="http://schemas.openxmlformats.org/officeDocument/2006/relationships/hyperlink" Target="http://www.skincaremiamispa.com/" TargetMode="External"/><Relationship Id="rId94" Type="http://schemas.openxmlformats.org/officeDocument/2006/relationships/hyperlink" Target="https://www.miamimd.co/" TargetMode="External"/><Relationship Id="rId97" Type="http://schemas.openxmlformats.org/officeDocument/2006/relationships/hyperlink" Target="http://www.buenosairesbarbershop.com/" TargetMode="External"/><Relationship Id="rId96" Type="http://schemas.openxmlformats.org/officeDocument/2006/relationships/hyperlink" Target="https://dancedynastymiami.com/schedule" TargetMode="External"/><Relationship Id="rId99" Type="http://schemas.openxmlformats.org/officeDocument/2006/relationships/hyperlink" Target="http://www.lovelygeorge.com.ar/" TargetMode="External"/><Relationship Id="rId98" Type="http://schemas.openxmlformats.org/officeDocument/2006/relationships/hyperlink" Target="https://linktr.ee/TheCurlLounge" TargetMode="External"/><Relationship Id="rId91" Type="http://schemas.openxmlformats.org/officeDocument/2006/relationships/hyperlink" Target="https://linkr.bio/xj473w" TargetMode="External"/><Relationship Id="rId90" Type="http://schemas.openxmlformats.org/officeDocument/2006/relationships/hyperlink" Target="http://mjstyle.me" TargetMode="External"/><Relationship Id="rId93" Type="http://schemas.openxmlformats.org/officeDocument/2006/relationships/hyperlink" Target="https://bio.site/draluciahealth" TargetMode="External"/><Relationship Id="rId92" Type="http://schemas.openxmlformats.org/officeDocument/2006/relationships/hyperlink" Target="https://linktr.ee/theconfidencebar" TargetMode="External"/><Relationship Id="rId359" Type="http://schemas.openxmlformats.org/officeDocument/2006/relationships/hyperlink" Target="https://www.bagswarehouse.ng/" TargetMode="External"/><Relationship Id="rId358" Type="http://schemas.openxmlformats.org/officeDocument/2006/relationships/hyperlink" Target="https://cairo_accessories.com" TargetMode="External"/><Relationship Id="rId357" Type="http://schemas.openxmlformats.org/officeDocument/2006/relationships/hyperlink" Target="http://diggvintage.com" TargetMode="External"/><Relationship Id="rId352" Type="http://schemas.openxmlformats.org/officeDocument/2006/relationships/hyperlink" Target="http://dubai_sneakers.ae" TargetMode="External"/><Relationship Id="rId351" Type="http://schemas.openxmlformats.org/officeDocument/2006/relationships/hyperlink" Target="http://www.karimibeauty.com/" TargetMode="External"/><Relationship Id="rId350" Type="http://schemas.openxmlformats.org/officeDocument/2006/relationships/hyperlink" Target="http://skincare.karim.ir" TargetMode="External"/><Relationship Id="rId356" Type="http://schemas.openxmlformats.org/officeDocument/2006/relationships/hyperlink" Target="http://digg.it" TargetMode="External"/><Relationship Id="rId355" Type="http://schemas.openxmlformats.org/officeDocument/2006/relationships/hyperlink" Target="https://kangal-streetwear.de/" TargetMode="External"/><Relationship Id="rId354" Type="http://schemas.openxmlformats.org/officeDocument/2006/relationships/hyperlink" Target="https://www.shopier.com/ssneakerswell" TargetMode="External"/><Relationship Id="rId353" Type="http://schemas.openxmlformats.org/officeDocument/2006/relationships/hyperlink" Target="https://dubaisneakers.ae/" TargetMode="External"/><Relationship Id="rId305" Type="http://schemas.openxmlformats.org/officeDocument/2006/relationships/hyperlink" Target="https://eshajuma.my.canva.site/makeupbykeyshia" TargetMode="External"/><Relationship Id="rId789" Type="http://schemas.openxmlformats.org/officeDocument/2006/relationships/hyperlink" Target="https://nikkifacesmua.as.me/schedule.php" TargetMode="External"/><Relationship Id="rId304" Type="http://schemas.openxmlformats.org/officeDocument/2006/relationships/hyperlink" Target="https://zohobrand.store/" TargetMode="External"/><Relationship Id="rId788" Type="http://schemas.openxmlformats.org/officeDocument/2006/relationships/hyperlink" Target="https://linktr.ee/muanessa" TargetMode="External"/><Relationship Id="rId303" Type="http://schemas.openxmlformats.org/officeDocument/2006/relationships/hyperlink" Target="http://wa.me/+306973703883" TargetMode="External"/><Relationship Id="rId787" Type="http://schemas.openxmlformats.org/officeDocument/2006/relationships/hyperlink" Target="http://makeupvstudio.com" TargetMode="External"/><Relationship Id="rId302" Type="http://schemas.openxmlformats.org/officeDocument/2006/relationships/hyperlink" Target="https://www.widderhotel.com/de/veranstaltungen/heileman-goes-to-widder-garden/" TargetMode="External"/><Relationship Id="rId786" Type="http://schemas.openxmlformats.org/officeDocument/2006/relationships/hyperlink" Target="https://www.tiktok.com/@makeupbysarahii?_t=8ptki4AF363&amp;_r=1" TargetMode="External"/><Relationship Id="rId309" Type="http://schemas.openxmlformats.org/officeDocument/2006/relationships/hyperlink" Target="http://www.acemodels.gr/" TargetMode="External"/><Relationship Id="rId308" Type="http://schemas.openxmlformats.org/officeDocument/2006/relationships/hyperlink" Target="https://mssg.me/06m92" TargetMode="External"/><Relationship Id="rId307" Type="http://schemas.openxmlformats.org/officeDocument/2006/relationships/hyperlink" Target="https://makeupcannes86.wixstudio.com/makeup-cannes?fbclid=PAZXh0bgNhZW0CMTEAAaZpP4pmB4ZGSFvRcRELO9_aBwNu0iswbiB8j0a4xmCHOgeVYMGkSEZ9Fsg_aem_ShaAaK-Lfopry5recDeqOA" TargetMode="External"/><Relationship Id="rId306" Type="http://schemas.openxmlformats.org/officeDocument/2006/relationships/hyperlink" Target="http://wa.me/+306973703883" TargetMode="External"/><Relationship Id="rId781" Type="http://schemas.openxmlformats.org/officeDocument/2006/relationships/hyperlink" Target="https://linktr.ee/jasmine_thestylist" TargetMode="External"/><Relationship Id="rId780" Type="http://schemas.openxmlformats.org/officeDocument/2006/relationships/hyperlink" Target="https://beacons.ai/fatimathemua" TargetMode="External"/><Relationship Id="rId301" Type="http://schemas.openxmlformats.org/officeDocument/2006/relationships/hyperlink" Target="https://www.veronikamarques.com/product-page/the-creative-maternity-collection" TargetMode="External"/><Relationship Id="rId785" Type="http://schemas.openxmlformats.org/officeDocument/2006/relationships/hyperlink" Target="https://linktr.ee/kissandmakeuphouston" TargetMode="External"/><Relationship Id="rId300" Type="http://schemas.openxmlformats.org/officeDocument/2006/relationships/hyperlink" Target="https://www.luxurybags.cz/stories" TargetMode="External"/><Relationship Id="rId784" Type="http://schemas.openxmlformats.org/officeDocument/2006/relationships/hyperlink" Target="http://beautybreacosmetics.com" TargetMode="External"/><Relationship Id="rId783" Type="http://schemas.openxmlformats.org/officeDocument/2006/relationships/hyperlink" Target="http://www.asiastylez.as.me/" TargetMode="External"/><Relationship Id="rId782" Type="http://schemas.openxmlformats.org/officeDocument/2006/relationships/hyperlink" Target="http://linktr.ee/asiamua" TargetMode="External"/><Relationship Id="rId778" Type="http://schemas.openxmlformats.org/officeDocument/2006/relationships/hyperlink" Target="http://jdmxcv.as.me/" TargetMode="External"/><Relationship Id="rId777" Type="http://schemas.openxmlformats.org/officeDocument/2006/relationships/hyperlink" Target="http://facedesignbydenise.booksy.com/a/" TargetMode="External"/><Relationship Id="rId776" Type="http://schemas.openxmlformats.org/officeDocument/2006/relationships/hyperlink" Target="https://linktr.ee/aexiasbeautywork" TargetMode="External"/><Relationship Id="rId775" Type="http://schemas.openxmlformats.org/officeDocument/2006/relationships/hyperlink" Target="http://whippedbykiara.as.me/" TargetMode="External"/><Relationship Id="rId779" Type="http://schemas.openxmlformats.org/officeDocument/2006/relationships/hyperlink" Target="http://wa.me/17818732110" TargetMode="External"/><Relationship Id="rId770" Type="http://schemas.openxmlformats.org/officeDocument/2006/relationships/hyperlink" Target="http://www.becomeahotchick.com" TargetMode="External"/><Relationship Id="rId774" Type="http://schemas.openxmlformats.org/officeDocument/2006/relationships/hyperlink" Target="https://prettishglamchic.as.me/" TargetMode="External"/><Relationship Id="rId773" Type="http://schemas.openxmlformats.org/officeDocument/2006/relationships/hyperlink" Target="https://make-upbybo.com/" TargetMode="External"/><Relationship Id="rId772" Type="http://schemas.openxmlformats.org/officeDocument/2006/relationships/hyperlink" Target="https://linktr.ee/lexupnext" TargetMode="External"/><Relationship Id="rId771" Type="http://schemas.openxmlformats.org/officeDocument/2006/relationships/hyperlink" Target="https://keysbeautytouch.as.me/" TargetMode="External"/><Relationship Id="rId327" Type="http://schemas.openxmlformats.org/officeDocument/2006/relationships/hyperlink" Target="http://luxurydubai.ae" TargetMode="External"/><Relationship Id="rId326" Type="http://schemas.openxmlformats.org/officeDocument/2006/relationships/hyperlink" Target="https://wa.link/dubaiyachts" TargetMode="External"/><Relationship Id="rId325" Type="http://schemas.openxmlformats.org/officeDocument/2006/relationships/hyperlink" Target="http://www.cannes-impact.com/" TargetMode="External"/><Relationship Id="rId324" Type="http://schemas.openxmlformats.org/officeDocument/2006/relationships/hyperlink" Target="http://www.beirutimes.com/" TargetMode="External"/><Relationship Id="rId329" Type="http://schemas.openxmlformats.org/officeDocument/2006/relationships/hyperlink" Target="http://www.aikanovamakeup.com/" TargetMode="External"/><Relationship Id="rId328" Type="http://schemas.openxmlformats.org/officeDocument/2006/relationships/hyperlink" Target="https://luxury-visage.com/" TargetMode="External"/><Relationship Id="rId323" Type="http://schemas.openxmlformats.org/officeDocument/2006/relationships/hyperlink" Target="https://www.instagram.com/empress_society_?igsh=NWZxbzdkMGtpZG45" TargetMode="External"/><Relationship Id="rId322" Type="http://schemas.openxmlformats.org/officeDocument/2006/relationships/hyperlink" Target="https://t.me/HIGHHEELSDANCELERA" TargetMode="External"/><Relationship Id="rId321" Type="http://schemas.openxmlformats.org/officeDocument/2006/relationships/hyperlink" Target="https://bodifystudio.com/subscription_smm?utm_source=smm_taplink" TargetMode="External"/><Relationship Id="rId320" Type="http://schemas.openxmlformats.org/officeDocument/2006/relationships/hyperlink" Target="https://t.me/Pansyhautecouture" TargetMode="External"/><Relationship Id="rId316" Type="http://schemas.openxmlformats.org/officeDocument/2006/relationships/hyperlink" Target="http://www.starcoiffurecannes.com/" TargetMode="External"/><Relationship Id="rId315" Type="http://schemas.openxmlformats.org/officeDocument/2006/relationships/hyperlink" Target="https://t.me/joinchat/AAAAAE2xv_VsnEkr5EKcsw" TargetMode="External"/><Relationship Id="rId799" Type="http://schemas.openxmlformats.org/officeDocument/2006/relationships/hyperlink" Target="https://www.tickeri.com/events/5bbcd7a6f3423b000497b17d" TargetMode="External"/><Relationship Id="rId314" Type="http://schemas.openxmlformats.org/officeDocument/2006/relationships/hyperlink" Target="https://beacons.ai/almo.vintage.prague" TargetMode="External"/><Relationship Id="rId798" Type="http://schemas.openxmlformats.org/officeDocument/2006/relationships/hyperlink" Target="https://linktr.ee/dallastorebrasil" TargetMode="External"/><Relationship Id="rId313" Type="http://schemas.openxmlformats.org/officeDocument/2006/relationships/hyperlink" Target="https://skincare360.com.br" TargetMode="External"/><Relationship Id="rId797" Type="http://schemas.openxmlformats.org/officeDocument/2006/relationships/hyperlink" Target="https://www.bostonmoda.com/" TargetMode="External"/><Relationship Id="rId319" Type="http://schemas.openxmlformats.org/officeDocument/2006/relationships/hyperlink" Target="https://www.facebook.com/ltw.muah" TargetMode="External"/><Relationship Id="rId318" Type="http://schemas.openxmlformats.org/officeDocument/2006/relationships/hyperlink" Target="https://n806655.alteg.io/" TargetMode="External"/><Relationship Id="rId317" Type="http://schemas.openxmlformats.org/officeDocument/2006/relationships/hyperlink" Target="https://www.amazon.ae/shop/dubai_curlee?ref_=cm_sw_r_apann_aipsfshop_PK3N7XJDCJ11BQRVT59S&amp;language=en-US" TargetMode="External"/><Relationship Id="rId792" Type="http://schemas.openxmlformats.org/officeDocument/2006/relationships/hyperlink" Target="https://thefacebully.as.me/" TargetMode="External"/><Relationship Id="rId791" Type="http://schemas.openxmlformats.org/officeDocument/2006/relationships/hyperlink" Target="https://squareup.com/appointments/book/6TD1N5SFZZ8JX" TargetMode="External"/><Relationship Id="rId790" Type="http://schemas.openxmlformats.org/officeDocument/2006/relationships/hyperlink" Target="https://form.jotform.com/250065587990063" TargetMode="External"/><Relationship Id="rId312" Type="http://schemas.openxmlformats.org/officeDocument/2006/relationships/hyperlink" Target="http://linktr.ee/perfumedprague" TargetMode="External"/><Relationship Id="rId796" Type="http://schemas.openxmlformats.org/officeDocument/2006/relationships/hyperlink" Target="https://linkin.bio/modatl" TargetMode="External"/><Relationship Id="rId311" Type="http://schemas.openxmlformats.org/officeDocument/2006/relationships/hyperlink" Target="https://www.tiktok.com/@nails_athens_klaoudia?_t=8Xf7tYDBG5N&amp;_r=1" TargetMode="External"/><Relationship Id="rId795" Type="http://schemas.openxmlformats.org/officeDocument/2006/relationships/hyperlink" Target="https://blushbybibi.com/" TargetMode="External"/><Relationship Id="rId310" Type="http://schemas.openxmlformats.org/officeDocument/2006/relationships/hyperlink" Target="https://zurichmoda.de" TargetMode="External"/><Relationship Id="rId794" Type="http://schemas.openxmlformats.org/officeDocument/2006/relationships/hyperlink" Target="http://kokosdollhousellc.as.me/" TargetMode="External"/><Relationship Id="rId793" Type="http://schemas.openxmlformats.org/officeDocument/2006/relationships/hyperlink" Target="https://maps.app.goo.gl/DbAYQk5Kn9mBLofU8?g_st=com.google.maps.preview.copy" TargetMode="External"/><Relationship Id="rId297" Type="http://schemas.openxmlformats.org/officeDocument/2006/relationships/hyperlink" Target="https://www.facebook.com/raey4dress/" TargetMode="External"/><Relationship Id="rId296" Type="http://schemas.openxmlformats.org/officeDocument/2006/relationships/hyperlink" Target="https://t.me/k_tyasko" TargetMode="External"/><Relationship Id="rId295" Type="http://schemas.openxmlformats.org/officeDocument/2006/relationships/hyperlink" Target="https://taplink.cc/anna.hocc" TargetMode="External"/><Relationship Id="rId294" Type="http://schemas.openxmlformats.org/officeDocument/2006/relationships/hyperlink" Target="http://www.barbervienna.at/" TargetMode="External"/><Relationship Id="rId299" Type="http://schemas.openxmlformats.org/officeDocument/2006/relationships/hyperlink" Target="http://www.tiktok.com/@monaco_cars_luxury" TargetMode="External"/><Relationship Id="rId298" Type="http://schemas.openxmlformats.org/officeDocument/2006/relationships/hyperlink" Target="https://sheknows-course.com" TargetMode="External"/><Relationship Id="rId271" Type="http://schemas.openxmlformats.org/officeDocument/2006/relationships/hyperlink" Target="https://mst.link/shamhalova_milana" TargetMode="External"/><Relationship Id="rId270" Type="http://schemas.openxmlformats.org/officeDocument/2006/relationships/hyperlink" Target="https://luwshop.com" TargetMode="External"/><Relationship Id="rId269" Type="http://schemas.openxmlformats.org/officeDocument/2006/relationships/hyperlink" Target="https://t.me/VeniceCollection" TargetMode="External"/><Relationship Id="rId264" Type="http://schemas.openxmlformats.org/officeDocument/2006/relationships/hyperlink" Target="http://www.luigimarchiori.com/" TargetMode="External"/><Relationship Id="rId263" Type="http://schemas.openxmlformats.org/officeDocument/2006/relationships/hyperlink" Target="http://tiktok.com/@vr.hairstyle999" TargetMode="External"/><Relationship Id="rId262" Type="http://schemas.openxmlformats.org/officeDocument/2006/relationships/hyperlink" Target="https://youtu.be/M2JdILciQDs" TargetMode="External"/><Relationship Id="rId261" Type="http://schemas.openxmlformats.org/officeDocument/2006/relationships/hyperlink" Target="https://linktr.ee/wfvbs" TargetMode="External"/><Relationship Id="rId268" Type="http://schemas.openxmlformats.org/officeDocument/2006/relationships/hyperlink" Target="https://wa.link/6n1jwa" TargetMode="External"/><Relationship Id="rId267" Type="http://schemas.openxmlformats.org/officeDocument/2006/relationships/hyperlink" Target="https://heelsbyklemihina.my.canva.site/online" TargetMode="External"/><Relationship Id="rId266" Type="http://schemas.openxmlformats.org/officeDocument/2006/relationships/hyperlink" Target="https://maps.app.goo.gl/sYCbhXuCjHjACvcH7?g_st=iw" TargetMode="External"/><Relationship Id="rId265" Type="http://schemas.openxmlformats.org/officeDocument/2006/relationships/hyperlink" Target="http://wa.me/+254113848884" TargetMode="External"/><Relationship Id="rId260" Type="http://schemas.openxmlformats.org/officeDocument/2006/relationships/hyperlink" Target="https://www.romeosbarbershop.com/" TargetMode="External"/><Relationship Id="rId259" Type="http://schemas.openxmlformats.org/officeDocument/2006/relationships/hyperlink" Target="https://www.figaroslisboa.com/products/services/" TargetMode="External"/><Relationship Id="rId258" Type="http://schemas.openxmlformats.org/officeDocument/2006/relationships/hyperlink" Target="http://www.milanmore.com" TargetMode="External"/><Relationship Id="rId253" Type="http://schemas.openxmlformats.org/officeDocument/2006/relationships/hyperlink" Target="https://linktr.ee/sustainablefashionmatterz" TargetMode="External"/><Relationship Id="rId252" Type="http://schemas.openxmlformats.org/officeDocument/2006/relationships/hyperlink" Target="http://www.ourcommonplace.co/" TargetMode="External"/><Relationship Id="rId251" Type="http://schemas.openxmlformats.org/officeDocument/2006/relationships/hyperlink" Target="http://ourcommonplace.co" TargetMode="External"/><Relationship Id="rId250" Type="http://schemas.openxmlformats.org/officeDocument/2006/relationships/hyperlink" Target="http://www.clo.es/" TargetMode="External"/><Relationship Id="rId257" Type="http://schemas.openxmlformats.org/officeDocument/2006/relationships/hyperlink" Target="http://www.labomilano.com/" TargetMode="External"/><Relationship Id="rId256" Type="http://schemas.openxmlformats.org/officeDocument/2006/relationships/hyperlink" Target="https://chat.whatsapp.com/D8V0Lu0lZ1BEGeRwZkDRck" TargetMode="External"/><Relationship Id="rId255" Type="http://schemas.openxmlformats.org/officeDocument/2006/relationships/hyperlink" Target="https://thewss.store" TargetMode="External"/><Relationship Id="rId254" Type="http://schemas.openxmlformats.org/officeDocument/2006/relationships/hyperlink" Target="https://checkout.honeylove.com/HEIDIKRISTENSEN" TargetMode="External"/><Relationship Id="rId293" Type="http://schemas.openxmlformats.org/officeDocument/2006/relationships/hyperlink" Target="http://www.vmliberis.gr/" TargetMode="External"/><Relationship Id="rId292" Type="http://schemas.openxmlformats.org/officeDocument/2006/relationships/hyperlink" Target="https://www.tiktok.com/@thriftshopmilano?_t=8eBNkTWQnNr&amp;_r=1" TargetMode="External"/><Relationship Id="rId291" Type="http://schemas.openxmlformats.org/officeDocument/2006/relationships/hyperlink" Target="https://mulolga.com/" TargetMode="External"/><Relationship Id="rId290" Type="http://schemas.openxmlformats.org/officeDocument/2006/relationships/hyperlink" Target="https://sneakersbessa.myshopify.com/collections/chaussures" TargetMode="External"/><Relationship Id="rId286" Type="http://schemas.openxmlformats.org/officeDocument/2006/relationships/hyperlink" Target="https://taplink.cc/fb_skintalks" TargetMode="External"/><Relationship Id="rId285" Type="http://schemas.openxmlformats.org/officeDocument/2006/relationships/hyperlink" Target="https://byflorence.empretienda.com.ar/" TargetMode="External"/><Relationship Id="rId284" Type="http://schemas.openxmlformats.org/officeDocument/2006/relationships/hyperlink" Target="https://t.me/rjperfume1" TargetMode="External"/><Relationship Id="rId283" Type="http://schemas.openxmlformats.org/officeDocument/2006/relationships/hyperlink" Target="http://vercatalogo.com/profumimilan" TargetMode="External"/><Relationship Id="rId289" Type="http://schemas.openxmlformats.org/officeDocument/2006/relationships/hyperlink" Target="https://www.youtube.com/@pearltalkzone" TargetMode="External"/><Relationship Id="rId288" Type="http://schemas.openxmlformats.org/officeDocument/2006/relationships/hyperlink" Target="https://shopee.co.id/dr.milany_skincare" TargetMode="External"/><Relationship Id="rId287" Type="http://schemas.openxmlformats.org/officeDocument/2006/relationships/hyperlink" Target="http://drmilanyskincare.id" TargetMode="External"/><Relationship Id="rId282" Type="http://schemas.openxmlformats.org/officeDocument/2006/relationships/hyperlink" Target="http://mamvienna.com" TargetMode="External"/><Relationship Id="rId281" Type="http://schemas.openxmlformats.org/officeDocument/2006/relationships/hyperlink" Target="http://romenzi.com" TargetMode="External"/><Relationship Id="rId280" Type="http://schemas.openxmlformats.org/officeDocument/2006/relationships/hyperlink" Target="https://linktr.ee/milanomodamasculina" TargetMode="External"/><Relationship Id="rId275" Type="http://schemas.openxmlformats.org/officeDocument/2006/relationships/hyperlink" Target="https://nomysh.com/portfolio/romewmakeup?s1=share&amp;s2=romewmakeup" TargetMode="External"/><Relationship Id="rId274" Type="http://schemas.openxmlformats.org/officeDocument/2006/relationships/hyperlink" Target="https://taplink.cc/annartstyle_makeupandhair" TargetMode="External"/><Relationship Id="rId273" Type="http://schemas.openxmlformats.org/officeDocument/2006/relationships/hyperlink" Target="https://makeup-milana.ru/oplata" TargetMode="External"/><Relationship Id="rId272" Type="http://schemas.openxmlformats.org/officeDocument/2006/relationships/hyperlink" Target="https://www.aidamkup.com/book-online" TargetMode="External"/><Relationship Id="rId279" Type="http://schemas.openxmlformats.org/officeDocument/2006/relationships/hyperlink" Target="https://bio.florencemodafeminina.com.br" TargetMode="External"/><Relationship Id="rId278" Type="http://schemas.openxmlformats.org/officeDocument/2006/relationships/hyperlink" Target="https://linktr.ee/florence.fashion" TargetMode="External"/><Relationship Id="rId277" Type="http://schemas.openxmlformats.org/officeDocument/2006/relationships/hyperlink" Target="https://www.flonce.shop" TargetMode="External"/><Relationship Id="rId276" Type="http://schemas.openxmlformats.org/officeDocument/2006/relationships/hyperlink" Target="http://www.luigimarchiori.com/" TargetMode="External"/><Relationship Id="rId629" Type="http://schemas.openxmlformats.org/officeDocument/2006/relationships/hyperlink" Target="https://mykonos.luxury" TargetMode="External"/><Relationship Id="rId624" Type="http://schemas.openxmlformats.org/officeDocument/2006/relationships/hyperlink" Target="http://www.millepapillons.com/" TargetMode="External"/><Relationship Id="rId623" Type="http://schemas.openxmlformats.org/officeDocument/2006/relationships/hyperlink" Target="http://luxurylifemallorca.com/" TargetMode="External"/><Relationship Id="rId622" Type="http://schemas.openxmlformats.org/officeDocument/2006/relationships/hyperlink" Target="https://caprimoments.com/get-inspired/" TargetMode="External"/><Relationship Id="rId621" Type="http://schemas.openxmlformats.org/officeDocument/2006/relationships/hyperlink" Target="https://wa.link/6j7iwv" TargetMode="External"/><Relationship Id="rId628" Type="http://schemas.openxmlformats.org/officeDocument/2006/relationships/hyperlink" Target="http://www.mileomykonos.com/" TargetMode="External"/><Relationship Id="rId627" Type="http://schemas.openxmlformats.org/officeDocument/2006/relationships/hyperlink" Target="http://www.luxuryyachtsmykonos.com/" TargetMode="External"/><Relationship Id="rId626" Type="http://schemas.openxmlformats.org/officeDocument/2006/relationships/hyperlink" Target="https://linktr.ee/pasioneventos" TargetMode="External"/><Relationship Id="rId625" Type="http://schemas.openxmlformats.org/officeDocument/2006/relationships/hyperlink" Target="https://www.m-moments.com/" TargetMode="External"/><Relationship Id="rId620" Type="http://schemas.openxmlformats.org/officeDocument/2006/relationships/hyperlink" Target="http://www.capriluxuryflats.com/" TargetMode="External"/><Relationship Id="rId619" Type="http://schemas.openxmlformats.org/officeDocument/2006/relationships/hyperlink" Target="https://www.etsy.com/shop/CapriLuxuryBags" TargetMode="External"/><Relationship Id="rId618" Type="http://schemas.openxmlformats.org/officeDocument/2006/relationships/hyperlink" Target="https://www.instagram.com/beautylab_mallorca/" TargetMode="External"/><Relationship Id="rId613" Type="http://schemas.openxmlformats.org/officeDocument/2006/relationships/hyperlink" Target="https://maps.app.goo.gl/dj1dvYFDnMZcpnBp9?g_st=ic" TargetMode="External"/><Relationship Id="rId612" Type="http://schemas.openxmlformats.org/officeDocument/2006/relationships/hyperlink" Target="https://maps.app.goo.gl/dBexDUR85JLnsdhQ8?g_st=ic" TargetMode="External"/><Relationship Id="rId611" Type="http://schemas.openxmlformats.org/officeDocument/2006/relationships/hyperlink" Target="https://msha.ke/preciousproject" TargetMode="External"/><Relationship Id="rId610" Type="http://schemas.openxmlformats.org/officeDocument/2006/relationships/hyperlink" Target="https://linktr.ee/kutastreet" TargetMode="External"/><Relationship Id="rId617" Type="http://schemas.openxmlformats.org/officeDocument/2006/relationships/hyperlink" Target="https://famousbarbershop211.booksy.com/a" TargetMode="External"/><Relationship Id="rId616" Type="http://schemas.openxmlformats.org/officeDocument/2006/relationships/hyperlink" Target="http://linktr.ee/thesaintxsinner" TargetMode="External"/><Relationship Id="rId615" Type="http://schemas.openxmlformats.org/officeDocument/2006/relationships/hyperlink" Target="http://balistylewear.store/" TargetMode="External"/><Relationship Id="rId614" Type="http://schemas.openxmlformats.org/officeDocument/2006/relationships/hyperlink" Target="https://curatedbysydneyodelia.com/pages/links" TargetMode="External"/><Relationship Id="rId646" Type="http://schemas.openxmlformats.org/officeDocument/2006/relationships/hyperlink" Target="http://www.germangel.it" TargetMode="External"/><Relationship Id="rId645" Type="http://schemas.openxmlformats.org/officeDocument/2006/relationships/hyperlink" Target="https://www.fionafranchimon.com/irinafarfallina" TargetMode="External"/><Relationship Id="rId644" Type="http://schemas.openxmlformats.org/officeDocument/2006/relationships/hyperlink" Target="https://www.claudiacastiglionemua.it/" TargetMode="External"/><Relationship Id="rId643" Type="http://schemas.openxmlformats.org/officeDocument/2006/relationships/hyperlink" Target="https://www.santorinimakeupartist.com" TargetMode="External"/><Relationship Id="rId649" Type="http://schemas.openxmlformats.org/officeDocument/2006/relationships/hyperlink" Target="http://www.1cenicientamoderna.com/vuelve-blog-moda-nueva-etapa" TargetMode="External"/><Relationship Id="rId648" Type="http://schemas.openxmlformats.org/officeDocument/2006/relationships/hyperlink" Target="http://www.tomodachiibiza.es" TargetMode="External"/><Relationship Id="rId647" Type="http://schemas.openxmlformats.org/officeDocument/2006/relationships/hyperlink" Target="https://bio.site/SantoriniOficial" TargetMode="External"/><Relationship Id="rId642" Type="http://schemas.openxmlformats.org/officeDocument/2006/relationships/hyperlink" Target="https://www.athenamakeup.com/" TargetMode="External"/><Relationship Id="rId641" Type="http://schemas.openxmlformats.org/officeDocument/2006/relationships/hyperlink" Target="https://www.instagram.com/beautylab_mallorca/" TargetMode="External"/><Relationship Id="rId640" Type="http://schemas.openxmlformats.org/officeDocument/2006/relationships/hyperlink" Target="https://www.santorinimakeupartist.com" TargetMode="External"/><Relationship Id="rId635" Type="http://schemas.openxmlformats.org/officeDocument/2006/relationships/hyperlink" Target="https://www.kastelliresort.com" TargetMode="External"/><Relationship Id="rId634" Type="http://schemas.openxmlformats.org/officeDocument/2006/relationships/hyperlink" Target="http://www.saintsuitesoia.com/" TargetMode="External"/><Relationship Id="rId633" Type="http://schemas.openxmlformats.org/officeDocument/2006/relationships/hyperlink" Target="http://santoriniproposal.gr" TargetMode="External"/><Relationship Id="rId632" Type="http://schemas.openxmlformats.org/officeDocument/2006/relationships/hyperlink" Target="http://linktr.ee/lecielsantorini" TargetMode="External"/><Relationship Id="rId639" Type="http://schemas.openxmlformats.org/officeDocument/2006/relationships/hyperlink" Target="https://www.sicilyluxuryvillas.com/" TargetMode="External"/><Relationship Id="rId638" Type="http://schemas.openxmlformats.org/officeDocument/2006/relationships/hyperlink" Target="https://luxurylifesicily.com/" TargetMode="External"/><Relationship Id="rId637" Type="http://schemas.openxmlformats.org/officeDocument/2006/relationships/hyperlink" Target="https://santorinisky.com/" TargetMode="External"/><Relationship Id="rId636" Type="http://schemas.openxmlformats.org/officeDocument/2006/relationships/hyperlink" Target="http://www.motelsantorini.com" TargetMode="External"/><Relationship Id="rId631" Type="http://schemas.openxmlformats.org/officeDocument/2006/relationships/hyperlink" Target="http://www.cilonsantorini.com/" TargetMode="External"/><Relationship Id="rId630" Type="http://schemas.openxmlformats.org/officeDocument/2006/relationships/hyperlink" Target="https://linktr.ee/santamarinamykonos" TargetMode="External"/><Relationship Id="rId609" Type="http://schemas.openxmlformats.org/officeDocument/2006/relationships/hyperlink" Target="https://taplink.cc/sunnypeople" TargetMode="External"/><Relationship Id="rId608" Type="http://schemas.openxmlformats.org/officeDocument/2006/relationships/hyperlink" Target="http://www.sneakerspasydney.com.au" TargetMode="External"/><Relationship Id="rId607" Type="http://schemas.openxmlformats.org/officeDocument/2006/relationships/hyperlink" Target="https://linktr.ee/gallerysneakerid" TargetMode="External"/><Relationship Id="rId602" Type="http://schemas.openxmlformats.org/officeDocument/2006/relationships/hyperlink" Target="https://youtube.com/channel/UCjSQDlP1caNHSd8CwGHYkWA" TargetMode="External"/><Relationship Id="rId601" Type="http://schemas.openxmlformats.org/officeDocument/2006/relationships/hyperlink" Target="http://wishlink.com/daisies.and.dawn" TargetMode="External"/><Relationship Id="rId600" Type="http://schemas.openxmlformats.org/officeDocument/2006/relationships/hyperlink" Target="https://linktr.ee/Hairmagixhsr" TargetMode="External"/><Relationship Id="rId606" Type="http://schemas.openxmlformats.org/officeDocument/2006/relationships/hyperlink" Target="http://gallerysneaker.id" TargetMode="External"/><Relationship Id="rId605" Type="http://schemas.openxmlformats.org/officeDocument/2006/relationships/hyperlink" Target="https://dewinstsneakers.com/kontak/" TargetMode="External"/><Relationship Id="rId604" Type="http://schemas.openxmlformats.org/officeDocument/2006/relationships/hyperlink" Target="http://dewinst.id" TargetMode="External"/><Relationship Id="rId603" Type="http://schemas.openxmlformats.org/officeDocument/2006/relationships/hyperlink" Target="https://skincarebysydney.com/pages/the-skincare-matchmaker-quiz" TargetMode="External"/><Relationship Id="rId228" Type="http://schemas.openxmlformats.org/officeDocument/2006/relationships/hyperlink" Target="https://t.me/+Uv5B54VgmMpmNmJi" TargetMode="External"/><Relationship Id="rId227" Type="http://schemas.openxmlformats.org/officeDocument/2006/relationships/hyperlink" Target="https://youtu.be/yaZBeIv0PFU?si=qT3W0ImMnuv--ZUa" TargetMode="External"/><Relationship Id="rId226" Type="http://schemas.openxmlformats.org/officeDocument/2006/relationships/hyperlink" Target="https://linktr.ee/rytikovadance" TargetMode="External"/><Relationship Id="rId225" Type="http://schemas.openxmlformats.org/officeDocument/2006/relationships/hyperlink" Target="https://www.tiktok.com/@jenviiivxx?_t=8oOpX4r78NK&amp;_r=1" TargetMode="External"/><Relationship Id="rId229" Type="http://schemas.openxmlformats.org/officeDocument/2006/relationships/hyperlink" Target="https://linktr.ee/bhhsbarcelona" TargetMode="External"/><Relationship Id="rId220" Type="http://schemas.openxmlformats.org/officeDocument/2006/relationships/hyperlink" Target="https://linktr.ee/AarabhiLondon" TargetMode="External"/><Relationship Id="rId224" Type="http://schemas.openxmlformats.org/officeDocument/2006/relationships/hyperlink" Target="https://t.me/annaraubo" TargetMode="External"/><Relationship Id="rId223" Type="http://schemas.openxmlformats.org/officeDocument/2006/relationships/hyperlink" Target="https://www.livianalisbon.com/" TargetMode="External"/><Relationship Id="rId222" Type="http://schemas.openxmlformats.org/officeDocument/2006/relationships/hyperlink" Target="http://barcelonashops.be" TargetMode="External"/><Relationship Id="rId221" Type="http://schemas.openxmlformats.org/officeDocument/2006/relationships/hyperlink" Target="https://ridleylondon.com" TargetMode="External"/><Relationship Id="rId217" Type="http://schemas.openxmlformats.org/officeDocument/2006/relationships/hyperlink" Target="http://santiagosuarez.com" TargetMode="External"/><Relationship Id="rId216" Type="http://schemas.openxmlformats.org/officeDocument/2006/relationships/hyperlink" Target="https://linktr.ee/parisoutlet" TargetMode="External"/><Relationship Id="rId215" Type="http://schemas.openxmlformats.org/officeDocument/2006/relationships/hyperlink" Target="http://paris_street.co" TargetMode="External"/><Relationship Id="rId699" Type="http://schemas.openxmlformats.org/officeDocument/2006/relationships/hyperlink" Target="https://bit.ly/Baglionimaldives" TargetMode="External"/><Relationship Id="rId214" Type="http://schemas.openxmlformats.org/officeDocument/2006/relationships/hyperlink" Target="http://linktr.ee/munich_indonesia" TargetMode="External"/><Relationship Id="rId698" Type="http://schemas.openxmlformats.org/officeDocument/2006/relationships/hyperlink" Target="http://www.azaleacruise.com/" TargetMode="External"/><Relationship Id="rId219" Type="http://schemas.openxmlformats.org/officeDocument/2006/relationships/hyperlink" Target="https://linktr.ee/birdsong.org.uk" TargetMode="External"/><Relationship Id="rId218" Type="http://schemas.openxmlformats.org/officeDocument/2006/relationships/hyperlink" Target="https://ariikestudio.com/products/cotton-hand-printed-iro-skirt" TargetMode="External"/><Relationship Id="rId693" Type="http://schemas.openxmlformats.org/officeDocument/2006/relationships/hyperlink" Target="https://likeshop.me/tataharperskincare" TargetMode="External"/><Relationship Id="rId692" Type="http://schemas.openxmlformats.org/officeDocument/2006/relationships/hyperlink" Target="https://linktr.ee/harumiglobal" TargetMode="External"/><Relationship Id="rId691" Type="http://schemas.openxmlformats.org/officeDocument/2006/relationships/hyperlink" Target="https://linktr.ee/harukaskincare" TargetMode="External"/><Relationship Id="rId690" Type="http://schemas.openxmlformats.org/officeDocument/2006/relationships/hyperlink" Target="https://www.youtube.com/@HarshGandhi" TargetMode="External"/><Relationship Id="rId213" Type="http://schemas.openxmlformats.org/officeDocument/2006/relationships/hyperlink" Target="http://sneakerslondon.co.uk" TargetMode="External"/><Relationship Id="rId697" Type="http://schemas.openxmlformats.org/officeDocument/2006/relationships/hyperlink" Target="https://linktr.ee/auroratravel" TargetMode="External"/><Relationship Id="rId212" Type="http://schemas.openxmlformats.org/officeDocument/2006/relationships/hyperlink" Target="http://www.crimelondon.com/" TargetMode="External"/><Relationship Id="rId696" Type="http://schemas.openxmlformats.org/officeDocument/2006/relationships/hyperlink" Target="https://www.driftwoodmaui.com/" TargetMode="External"/><Relationship Id="rId211" Type="http://schemas.openxmlformats.org/officeDocument/2006/relationships/hyperlink" Target="https://linktr.ee/kokopinkcl" TargetMode="External"/><Relationship Id="rId695" Type="http://schemas.openxmlformats.org/officeDocument/2006/relationships/hyperlink" Target="https://www.klekt.com/" TargetMode="External"/><Relationship Id="rId210" Type="http://schemas.openxmlformats.org/officeDocument/2006/relationships/hyperlink" Target="http://kokopink.cl" TargetMode="External"/><Relationship Id="rId694" Type="http://schemas.openxmlformats.org/officeDocument/2006/relationships/hyperlink" Target="https://boards.com/a/43gH9v.EMq1AM" TargetMode="External"/><Relationship Id="rId249" Type="http://schemas.openxmlformats.org/officeDocument/2006/relationships/hyperlink" Target="https://amp.theguardian.com/global-development/2023/jun/05/yvette-yaa-konadu-tetteh-how-ghana-became-fast-fashions-dumping-ground" TargetMode="External"/><Relationship Id="rId248" Type="http://schemas.openxmlformats.org/officeDocument/2006/relationships/hyperlink" Target="https://linktr.ee/whatwomenwear" TargetMode="External"/><Relationship Id="rId247" Type="http://schemas.openxmlformats.org/officeDocument/2006/relationships/hyperlink" Target="https://billetto.se/e/sns-x-blues-forfest-6-sep-biljetter-1649403?utm_source=organiser&amp;utm_medium=share&amp;utm_campaign=copy_link&amp;utm_content=2" TargetMode="External"/><Relationship Id="rId242" Type="http://schemas.openxmlformats.org/officeDocument/2006/relationships/hyperlink" Target="http://wa.me/34627301231" TargetMode="External"/><Relationship Id="rId241" Type="http://schemas.openxmlformats.org/officeDocument/2006/relationships/hyperlink" Target="http://akrobeauty.com/" TargetMode="External"/><Relationship Id="rId240" Type="http://schemas.openxmlformats.org/officeDocument/2006/relationships/hyperlink" Target="https://www.fresha.com/pt/a/duo-beauty-lisboa-rua-saraiva-de-carvalho-3b-ro8asdvp?preview=a92a2402-2c01-4a08-88d5-b9db335d0397&amp;pId=341983" TargetMode="External"/><Relationship Id="rId246" Type="http://schemas.openxmlformats.org/officeDocument/2006/relationships/hyperlink" Target="http://www.numbersneakers.com/" TargetMode="External"/><Relationship Id="rId245" Type="http://schemas.openxmlformats.org/officeDocument/2006/relationships/hyperlink" Target="http://madridvenek.com/enlaces" TargetMode="External"/><Relationship Id="rId244" Type="http://schemas.openxmlformats.org/officeDocument/2006/relationships/hyperlink" Target="https://maps.app.goo.gl/nyR6uPgciShMEqoG9?g_st=ic" TargetMode="External"/><Relationship Id="rId243" Type="http://schemas.openxmlformats.org/officeDocument/2006/relationships/hyperlink" Target="https://www.theperfumerybarcelona.com/" TargetMode="External"/><Relationship Id="rId239" Type="http://schemas.openxmlformats.org/officeDocument/2006/relationships/hyperlink" Target="https://beautynailconcept39.booksy.com/" TargetMode="External"/><Relationship Id="rId238" Type="http://schemas.openxmlformats.org/officeDocument/2006/relationships/hyperlink" Target="https://lnk.bio/lisboafashionweek" TargetMode="External"/><Relationship Id="rId237" Type="http://schemas.openxmlformats.org/officeDocument/2006/relationships/hyperlink" Target="http://sartorialistamsterdam.com" TargetMode="External"/><Relationship Id="rId236" Type="http://schemas.openxmlformats.org/officeDocument/2006/relationships/hyperlink" Target="https://www.stockcrowd.com/standard-26eb408c-85b1-4af1-8223-16f1f1bfa523" TargetMode="External"/><Relationship Id="rId231" Type="http://schemas.openxmlformats.org/officeDocument/2006/relationships/hyperlink" Target="https://linktr.ee/bhhsmadrid" TargetMode="External"/><Relationship Id="rId230" Type="http://schemas.openxmlformats.org/officeDocument/2006/relationships/hyperlink" Target="http://www.luxurydreamsbarcelona.com" TargetMode="External"/><Relationship Id="rId235" Type="http://schemas.openxmlformats.org/officeDocument/2006/relationships/hyperlink" Target="https://m.facebook.com/makeupartbyKimB/?notif_t=page_fan&amp;notif_id=1642447642806516&amp;ref=m_notif" TargetMode="External"/><Relationship Id="rId234" Type="http://schemas.openxmlformats.org/officeDocument/2006/relationships/hyperlink" Target="http://www.stockholm.com.hk" TargetMode="External"/><Relationship Id="rId233" Type="http://schemas.openxmlformats.org/officeDocument/2006/relationships/hyperlink" Target="http://linktr.ee/luxurywatchesstockholm" TargetMode="External"/><Relationship Id="rId232" Type="http://schemas.openxmlformats.org/officeDocument/2006/relationships/hyperlink" Target="http://www.luxuryrentalsmadrid.com/" TargetMode="External"/><Relationship Id="rId668" Type="http://schemas.openxmlformats.org/officeDocument/2006/relationships/hyperlink" Target="https://wa.link/hdjk4k" TargetMode="External"/><Relationship Id="rId667" Type="http://schemas.openxmlformats.org/officeDocument/2006/relationships/hyperlink" Target="https://youtube.com/@makeupanuw?si=we-pwoMI6ChS686_" TargetMode="External"/><Relationship Id="rId666" Type="http://schemas.openxmlformats.org/officeDocument/2006/relationships/hyperlink" Target="https://g.co/kgs/BRFZ3wm" TargetMode="External"/><Relationship Id="rId665" Type="http://schemas.openxmlformats.org/officeDocument/2006/relationships/hyperlink" Target="https://linktr.ee/contactharmanbeauty" TargetMode="External"/><Relationship Id="rId669" Type="http://schemas.openxmlformats.org/officeDocument/2006/relationships/hyperlink" Target="https://hjkcosmetics.store/" TargetMode="External"/><Relationship Id="rId660" Type="http://schemas.openxmlformats.org/officeDocument/2006/relationships/hyperlink" Target="https://linktr.ee/samanthaharman" TargetMode="External"/><Relationship Id="rId664" Type="http://schemas.openxmlformats.org/officeDocument/2006/relationships/hyperlink" Target="https://lnk.bio/emilyharper" TargetMode="External"/><Relationship Id="rId663" Type="http://schemas.openxmlformats.org/officeDocument/2006/relationships/hyperlink" Target="https://instagram.com/lil_style_studio?igshid=YmMyMTA2M2Y%3D" TargetMode="External"/><Relationship Id="rId662" Type="http://schemas.openxmlformats.org/officeDocument/2006/relationships/hyperlink" Target="https://www.luxuryesmeralda.com/" TargetMode="External"/><Relationship Id="rId661" Type="http://schemas.openxmlformats.org/officeDocument/2006/relationships/hyperlink" Target="http://www.almeya.com.ua" TargetMode="External"/><Relationship Id="rId657" Type="http://schemas.openxmlformats.org/officeDocument/2006/relationships/hyperlink" Target="https://haraldbarbershop.com/about-us/" TargetMode="External"/><Relationship Id="rId656" Type="http://schemas.openxmlformats.org/officeDocument/2006/relationships/hyperlink" Target="https://linktr.ee/barbershopharmonysociety" TargetMode="External"/><Relationship Id="rId655" Type="http://schemas.openxmlformats.org/officeDocument/2006/relationships/hyperlink" Target="https://linktr.ee/sustainablefashionmatterz" TargetMode="External"/><Relationship Id="rId654" Type="http://schemas.openxmlformats.org/officeDocument/2006/relationships/hyperlink" Target="http://www.ourcommonplace.co/" TargetMode="External"/><Relationship Id="rId659" Type="http://schemas.openxmlformats.org/officeDocument/2006/relationships/hyperlink" Target="https://linktr.ee/harleyhp" TargetMode="External"/><Relationship Id="rId658" Type="http://schemas.openxmlformats.org/officeDocument/2006/relationships/hyperlink" Target="https://www.facebook.com/profile.php?id=100063511393341" TargetMode="External"/><Relationship Id="rId653" Type="http://schemas.openxmlformats.org/officeDocument/2006/relationships/hyperlink" Target="http://ourcommonplace.co" TargetMode="External"/><Relationship Id="rId652" Type="http://schemas.openxmlformats.org/officeDocument/2006/relationships/hyperlink" Target="https://www.caprichosmakeup.com/" TargetMode="External"/><Relationship Id="rId651" Type="http://schemas.openxmlformats.org/officeDocument/2006/relationships/hyperlink" Target="http://www.caprice-dete.com" TargetMode="External"/><Relationship Id="rId650" Type="http://schemas.openxmlformats.org/officeDocument/2006/relationships/hyperlink" Target="https://bio.site/Especialistaemdesigner" TargetMode="External"/><Relationship Id="rId206" Type="http://schemas.openxmlformats.org/officeDocument/2006/relationships/hyperlink" Target="http://santiagoperfumes.cl" TargetMode="External"/><Relationship Id="rId205" Type="http://schemas.openxmlformats.org/officeDocument/2006/relationships/hyperlink" Target="http://wa.me/77718113333" TargetMode="External"/><Relationship Id="rId689" Type="http://schemas.openxmlformats.org/officeDocument/2006/relationships/hyperlink" Target="https://www.snapchat.com/add/harmanrekany?share_id=sUCl14L3Qqe_2Umcd2GCsQ&amp;locale=ar_US" TargetMode="External"/><Relationship Id="rId204" Type="http://schemas.openxmlformats.org/officeDocument/2006/relationships/hyperlink" Target="http://paris_perfume.kz" TargetMode="External"/><Relationship Id="rId688" Type="http://schemas.openxmlformats.org/officeDocument/2006/relationships/hyperlink" Target="https://www.sephora.com/brand/harlem-perfume-co" TargetMode="External"/><Relationship Id="rId203" Type="http://schemas.openxmlformats.org/officeDocument/2006/relationships/hyperlink" Target="https://parisperfumeorg.com/" TargetMode="External"/><Relationship Id="rId687" Type="http://schemas.openxmlformats.org/officeDocument/2006/relationships/hyperlink" Target="http://shopee.co.id/ootdshopnitiw/" TargetMode="External"/><Relationship Id="rId209" Type="http://schemas.openxmlformats.org/officeDocument/2006/relationships/hyperlink" Target="https://blemivivkoncept.co.uk" TargetMode="External"/><Relationship Id="rId208" Type="http://schemas.openxmlformats.org/officeDocument/2006/relationships/hyperlink" Target="http://mermeberlin.com" TargetMode="External"/><Relationship Id="rId207" Type="http://schemas.openxmlformats.org/officeDocument/2006/relationships/hyperlink" Target="http://www.santiagoperfumes.cl/" TargetMode="External"/><Relationship Id="rId682" Type="http://schemas.openxmlformats.org/officeDocument/2006/relationships/hyperlink" Target="https://maps.app.goo.gl/xMfHpoo3GrijswULA?g_st=ic" TargetMode="External"/><Relationship Id="rId681" Type="http://schemas.openxmlformats.org/officeDocument/2006/relationships/hyperlink" Target="https://www.vagaro.com/jpnnailsstudio" TargetMode="External"/><Relationship Id="rId680" Type="http://schemas.openxmlformats.org/officeDocument/2006/relationships/hyperlink" Target="https://maps.app.goo.gl/QbGjSYTxji2Arhh48?g_st=com.google.maps.preview.copy" TargetMode="External"/><Relationship Id="rId202" Type="http://schemas.openxmlformats.org/officeDocument/2006/relationships/hyperlink" Target="https://www.z-et-ma.com/" TargetMode="External"/><Relationship Id="rId686" Type="http://schemas.openxmlformats.org/officeDocument/2006/relationships/hyperlink" Target="https://www.amazon.in/shop/__harshie.xx1111__" TargetMode="External"/><Relationship Id="rId201" Type="http://schemas.openxmlformats.org/officeDocument/2006/relationships/hyperlink" Target="https://linktr.ee/londonorganic" TargetMode="External"/><Relationship Id="rId685" Type="http://schemas.openxmlformats.org/officeDocument/2006/relationships/hyperlink" Target="https://linktr.ee/deroseshop" TargetMode="External"/><Relationship Id="rId200" Type="http://schemas.openxmlformats.org/officeDocument/2006/relationships/hyperlink" Target="https://shopmy.us/stylehub" TargetMode="External"/><Relationship Id="rId684" Type="http://schemas.openxmlformats.org/officeDocument/2006/relationships/hyperlink" Target="https://maps.google.com/?q=33.891781%2C35.485363" TargetMode="External"/><Relationship Id="rId683" Type="http://schemas.openxmlformats.org/officeDocument/2006/relationships/hyperlink" Target="https://cbox.mobi/go/harbor" TargetMode="External"/><Relationship Id="rId679" Type="http://schemas.openxmlformats.org/officeDocument/2006/relationships/hyperlink" Target="https://m.youtube.com/@cynzcity32" TargetMode="External"/><Relationship Id="rId678" Type="http://schemas.openxmlformats.org/officeDocument/2006/relationships/hyperlink" Target="https://martina-nails-academy.teachable.com/?fbclid=PAQ0xDSwMlK_lleHRuA2FlbQIxMQABp_3IKQT3VSIsMpo4fgp3AualQAbQk7C0vu7EbEQhUUtwn5XLFASgUB5OdA3U_aem_RdGkvrIM8UkJxpkFXgOBVw" TargetMode="External"/><Relationship Id="rId677" Type="http://schemas.openxmlformats.org/officeDocument/2006/relationships/hyperlink" Target="https://www.useharmoni.com" TargetMode="External"/><Relationship Id="rId676" Type="http://schemas.openxmlformats.org/officeDocument/2006/relationships/hyperlink" Target="https://maps.app.goo.gl/pGugzmHM9SLmLcF19" TargetMode="External"/><Relationship Id="rId671" Type="http://schemas.openxmlformats.org/officeDocument/2006/relationships/hyperlink" Target="https://www.tiktok.com/@makeupbysamanthaharvey?_t=8iuaaiUFH3x&amp;_r=1" TargetMode="External"/><Relationship Id="rId670" Type="http://schemas.openxmlformats.org/officeDocument/2006/relationships/hyperlink" Target="http://makeupbymiko.com/" TargetMode="External"/><Relationship Id="rId675" Type="http://schemas.openxmlformats.org/officeDocument/2006/relationships/hyperlink" Target="http://www.modacocuk.net" TargetMode="External"/><Relationship Id="rId674" Type="http://schemas.openxmlformats.org/officeDocument/2006/relationships/hyperlink" Target="https://linktr.ee/StudioModa49" TargetMode="External"/><Relationship Id="rId673" Type="http://schemas.openxmlformats.org/officeDocument/2006/relationships/hyperlink" Target="https://goo.gl/maps/519UkZ4qb3q5jY2c9" TargetMode="External"/><Relationship Id="rId672" Type="http://schemas.openxmlformats.org/officeDocument/2006/relationships/hyperlink" Target="http://shoplinks.to/Flashsaleskincare" TargetMode="External"/><Relationship Id="rId190" Type="http://schemas.openxmlformats.org/officeDocument/2006/relationships/hyperlink" Target="https://linktr.ee/illcutz" TargetMode="External"/><Relationship Id="rId194" Type="http://schemas.openxmlformats.org/officeDocument/2006/relationships/hyperlink" Target="https://lamodaldn.co.uk/" TargetMode="External"/><Relationship Id="rId193" Type="http://schemas.openxmlformats.org/officeDocument/2006/relationships/hyperlink" Target="http://www.obvs-studios.com" TargetMode="External"/><Relationship Id="rId192" Type="http://schemas.openxmlformats.org/officeDocument/2006/relationships/hyperlink" Target="http://luciente-online.com" TargetMode="External"/><Relationship Id="rId191" Type="http://schemas.openxmlformats.org/officeDocument/2006/relationships/hyperlink" Target="http://jacklondon.com.au/collections/sale" TargetMode="External"/><Relationship Id="rId187" Type="http://schemas.openxmlformats.org/officeDocument/2006/relationships/hyperlink" Target="https://londoncollegeofmakeup.com/" TargetMode="External"/><Relationship Id="rId186" Type="http://schemas.openxmlformats.org/officeDocument/2006/relationships/hyperlink" Target="https://berliner-beauty.com" TargetMode="External"/><Relationship Id="rId185" Type="http://schemas.openxmlformats.org/officeDocument/2006/relationships/hyperlink" Target="https://www.vietcuonghoang.fr/get-in-tough" TargetMode="External"/><Relationship Id="rId184" Type="http://schemas.openxmlformats.org/officeDocument/2006/relationships/hyperlink" Target="https://linktr.ee/tessmakeup" TargetMode="External"/><Relationship Id="rId189" Type="http://schemas.openxmlformats.org/officeDocument/2006/relationships/hyperlink" Target="http://wa.me/573178675713" TargetMode="External"/><Relationship Id="rId188" Type="http://schemas.openxmlformats.org/officeDocument/2006/relationships/hyperlink" Target="https://www.nencymakeup.com/" TargetMode="External"/><Relationship Id="rId183" Type="http://schemas.openxmlformats.org/officeDocument/2006/relationships/hyperlink" Target="https://mssg.me/06m92" TargetMode="External"/><Relationship Id="rId182" Type="http://schemas.openxmlformats.org/officeDocument/2006/relationships/hyperlink" Target="https://linktr.ee/iamxcleo" TargetMode="External"/><Relationship Id="rId181" Type="http://schemas.openxmlformats.org/officeDocument/2006/relationships/hyperlink" Target="https://www.nencymakeup.com/" TargetMode="External"/><Relationship Id="rId180" Type="http://schemas.openxmlformats.org/officeDocument/2006/relationships/hyperlink" Target="https://bio.site/jeyanney" TargetMode="External"/><Relationship Id="rId176" Type="http://schemas.openxmlformats.org/officeDocument/2006/relationships/hyperlink" Target="http://www.asluxury.fr/" TargetMode="External"/><Relationship Id="rId175" Type="http://schemas.openxmlformats.org/officeDocument/2006/relationships/hyperlink" Target="http://www.luxurywatchesmunich.de/" TargetMode="External"/><Relationship Id="rId174" Type="http://schemas.openxmlformats.org/officeDocument/2006/relationships/hyperlink" Target="https://any-di.com" TargetMode="External"/><Relationship Id="rId173" Type="http://schemas.openxmlformats.org/officeDocument/2006/relationships/hyperlink" Target="http://royalrental.co.uk" TargetMode="External"/><Relationship Id="rId179" Type="http://schemas.openxmlformats.org/officeDocument/2006/relationships/hyperlink" Target="https://www.make-upstudio.com/nl/" TargetMode="External"/><Relationship Id="rId178" Type="http://schemas.openxmlformats.org/officeDocument/2006/relationships/hyperlink" Target="https://m.facebook.com/makeupartbyKimB/?notif_t=page_fan&amp;notif_id=1642447642806516&amp;ref=m_notif" TargetMode="External"/><Relationship Id="rId177" Type="http://schemas.openxmlformats.org/officeDocument/2006/relationships/hyperlink" Target="http://www.luxuryhotelschool.fr" TargetMode="External"/><Relationship Id="rId198" Type="http://schemas.openxmlformats.org/officeDocument/2006/relationships/hyperlink" Target="https://bit.ly/4k9qWuu" TargetMode="External"/><Relationship Id="rId197" Type="http://schemas.openxmlformats.org/officeDocument/2006/relationships/hyperlink" Target="https://linktr.ee/modatimasantiago" TargetMode="External"/><Relationship Id="rId196" Type="http://schemas.openxmlformats.org/officeDocument/2006/relationships/hyperlink" Target="https://zapasstock.shop/" TargetMode="External"/><Relationship Id="rId195" Type="http://schemas.openxmlformats.org/officeDocument/2006/relationships/hyperlink" Target="http://www.modalondon.com/" TargetMode="External"/><Relationship Id="rId199" Type="http://schemas.openxmlformats.org/officeDocument/2006/relationships/hyperlink" Target="https://linktr.ee/parishouseofbeauty" TargetMode="External"/><Relationship Id="rId150" Type="http://schemas.openxmlformats.org/officeDocument/2006/relationships/hyperlink" Target="https://linktr.ee/myaccessorieslondon" TargetMode="External"/><Relationship Id="rId149" Type="http://schemas.openxmlformats.org/officeDocument/2006/relationships/hyperlink" Target="http://www.goodtimesbogota.com/" TargetMode="External"/><Relationship Id="rId148" Type="http://schemas.openxmlformats.org/officeDocument/2006/relationships/hyperlink" Target="http://wa.me/573142202917" TargetMode="External"/><Relationship Id="rId143" Type="http://schemas.openxmlformats.org/officeDocument/2006/relationships/hyperlink" Target="http://bogotaesmoda.co/" TargetMode="External"/><Relationship Id="rId142" Type="http://schemas.openxmlformats.org/officeDocument/2006/relationships/hyperlink" Target="https://linktr.ee/luxury.bogotaclub" TargetMode="External"/><Relationship Id="rId141" Type="http://schemas.openxmlformats.org/officeDocument/2006/relationships/hyperlink" Target="https://www.hemmabogota.com/" TargetMode="External"/><Relationship Id="rId140" Type="http://schemas.openxmlformats.org/officeDocument/2006/relationships/hyperlink" Target="https://api.whatsapp.com/send?phone=573102597720&amp;text=%252540desayunos.bogotafr" TargetMode="External"/><Relationship Id="rId147" Type="http://schemas.openxmlformats.org/officeDocument/2006/relationships/hyperlink" Target="http://wa.me/573208371535" TargetMode="External"/><Relationship Id="rId146" Type="http://schemas.openxmlformats.org/officeDocument/2006/relationships/hyperlink" Target="https://linktr.ee/Bogotaperfume" TargetMode="External"/><Relationship Id="rId145" Type="http://schemas.openxmlformats.org/officeDocument/2006/relationships/hyperlink" Target="https://linktr.ee/ensuenonails_co" TargetMode="External"/><Relationship Id="rId144" Type="http://schemas.openxmlformats.org/officeDocument/2006/relationships/hyperlink" Target="https://walink.co/0bc5ed" TargetMode="External"/><Relationship Id="rId139" Type="http://schemas.openxmlformats.org/officeDocument/2006/relationships/hyperlink" Target="http://linktr.ee/nationalthrift_" TargetMode="External"/><Relationship Id="rId138" Type="http://schemas.openxmlformats.org/officeDocument/2006/relationships/hyperlink" Target="https://relocationvintage.com/" TargetMode="External"/><Relationship Id="rId137" Type="http://schemas.openxmlformats.org/officeDocument/2006/relationships/hyperlink" Target="http://westcoast1.mitiendanube.com" TargetMode="External"/><Relationship Id="rId132" Type="http://schemas.openxmlformats.org/officeDocument/2006/relationships/hyperlink" Target="http://sneakerhead.ba" TargetMode="External"/><Relationship Id="rId131" Type="http://schemas.openxmlformats.org/officeDocument/2006/relationships/hyperlink" Target="https://book.squareup.com/appointments/pidudxqwzci9z4/location/LKFJWZ9GGX02T/services" TargetMode="External"/><Relationship Id="rId130" Type="http://schemas.openxmlformats.org/officeDocument/2006/relationships/hyperlink" Target="https://mtr.bio/beautylounge" TargetMode="External"/><Relationship Id="rId136" Type="http://schemas.openxmlformats.org/officeDocument/2006/relationships/hyperlink" Target="https://importadostoronto.mitiendanube.com/" TargetMode="External"/><Relationship Id="rId135" Type="http://schemas.openxmlformats.org/officeDocument/2006/relationships/hyperlink" Target="https://www.saopaulosneakers.com.br" TargetMode="External"/><Relationship Id="rId134" Type="http://schemas.openxmlformats.org/officeDocument/2006/relationships/hyperlink" Target="https://linktr.ee/domsneaker" TargetMode="External"/><Relationship Id="rId133" Type="http://schemas.openxmlformats.org/officeDocument/2006/relationships/hyperlink" Target="https://sneakerheadbuenosaires.com/" TargetMode="External"/><Relationship Id="rId172" Type="http://schemas.openxmlformats.org/officeDocument/2006/relationships/hyperlink" Target="https://oddmuse.co.uk/collections/hamptons-house" TargetMode="External"/><Relationship Id="rId171" Type="http://schemas.openxmlformats.org/officeDocument/2006/relationships/hyperlink" Target="http://sprout.link/luxurylondonofficial" TargetMode="External"/><Relationship Id="rId170" Type="http://schemas.openxmlformats.org/officeDocument/2006/relationships/hyperlink" Target="http://wa.me/447835221979" TargetMode="External"/><Relationship Id="rId165" Type="http://schemas.openxmlformats.org/officeDocument/2006/relationships/hyperlink" Target="http://www.luxurybrandamsterdam.nl/" TargetMode="External"/><Relationship Id="rId164" Type="http://schemas.openxmlformats.org/officeDocument/2006/relationships/hyperlink" Target="https://maps.app.goo.gl/mqddEJFpkGJwwecu5?g_st=iw" TargetMode="External"/><Relationship Id="rId163" Type="http://schemas.openxmlformats.org/officeDocument/2006/relationships/hyperlink" Target="https://taplink.cc/pr.daria.gribanovskaia" TargetMode="External"/><Relationship Id="rId162" Type="http://schemas.openxmlformats.org/officeDocument/2006/relationships/hyperlink" Target="http://www.la-metamorphose.com" TargetMode="External"/><Relationship Id="rId169" Type="http://schemas.openxmlformats.org/officeDocument/2006/relationships/hyperlink" Target="http://www.desavarylondon.com" TargetMode="External"/><Relationship Id="rId168" Type="http://schemas.openxmlformats.org/officeDocument/2006/relationships/hyperlink" Target="http://luxury-nailsbeauty.de/" TargetMode="External"/><Relationship Id="rId167" Type="http://schemas.openxmlformats.org/officeDocument/2006/relationships/hyperlink" Target="https://luxury-nailsbeauty.de/" TargetMode="External"/><Relationship Id="rId166" Type="http://schemas.openxmlformats.org/officeDocument/2006/relationships/hyperlink" Target="https://vintage-united.com/" TargetMode="External"/><Relationship Id="rId161" Type="http://schemas.openxmlformats.org/officeDocument/2006/relationships/hyperlink" Target="https://www.youtube.com/channel/UCK6Q6W1gyW68tyaqxkm_bhQ" TargetMode="External"/><Relationship Id="rId160" Type="http://schemas.openxmlformats.org/officeDocument/2006/relationships/hyperlink" Target="https://bit.ly/49cF7rR" TargetMode="External"/><Relationship Id="rId159" Type="http://schemas.openxmlformats.org/officeDocument/2006/relationships/hyperlink" Target="https://www.moyalondon.com/" TargetMode="External"/><Relationship Id="rId154" Type="http://schemas.openxmlformats.org/officeDocument/2006/relationships/hyperlink" Target="https://londonbarberla.com" TargetMode="External"/><Relationship Id="rId153" Type="http://schemas.openxmlformats.org/officeDocument/2006/relationships/hyperlink" Target="http://londonbarbershop.la" TargetMode="External"/><Relationship Id="rId152" Type="http://schemas.openxmlformats.org/officeDocument/2006/relationships/hyperlink" Target="https://maps.app.goo.gl/UrAcYHeyaKfpapMa6?g_st=com.google.maps.preview.copy" TargetMode="External"/><Relationship Id="rId151" Type="http://schemas.openxmlformats.org/officeDocument/2006/relationships/hyperlink" Target="https://any-di.com" TargetMode="External"/><Relationship Id="rId158" Type="http://schemas.openxmlformats.org/officeDocument/2006/relationships/hyperlink" Target="http://parisa.hairstyle.ae" TargetMode="External"/><Relationship Id="rId157" Type="http://schemas.openxmlformats.org/officeDocument/2006/relationships/hyperlink" Target="https://www.planity.com/dh-hair-style-75008-paris" TargetMode="External"/><Relationship Id="rId156" Type="http://schemas.openxmlformats.org/officeDocument/2006/relationships/hyperlink" Target="https://linktr.ee/harleyhp" TargetMode="External"/><Relationship Id="rId155" Type="http://schemas.openxmlformats.org/officeDocument/2006/relationships/hyperlink" Target="http://kreme-paris.com/" TargetMode="External"/><Relationship Id="rId509" Type="http://schemas.openxmlformats.org/officeDocument/2006/relationships/hyperlink" Target="https://www.luxurybus-jakarta.com/" TargetMode="External"/><Relationship Id="rId508" Type="http://schemas.openxmlformats.org/officeDocument/2006/relationships/hyperlink" Target="https://linkr.bio/hunterskeepers" TargetMode="External"/><Relationship Id="rId503" Type="http://schemas.openxmlformats.org/officeDocument/2006/relationships/hyperlink" Target="https://linktr.ee/lil_maxz" TargetMode="External"/><Relationship Id="rId502" Type="http://schemas.openxmlformats.org/officeDocument/2006/relationships/hyperlink" Target="https://lin.ee/GkEFzj2" TargetMode="External"/><Relationship Id="rId501" Type="http://schemas.openxmlformats.org/officeDocument/2006/relationships/hyperlink" Target="https://www.ladynjewelry.com" TargetMode="External"/><Relationship Id="rId500" Type="http://schemas.openxmlformats.org/officeDocument/2006/relationships/hyperlink" Target="https://www.youtube.com/@A2Z_Car_Accessories/" TargetMode="External"/><Relationship Id="rId507" Type="http://schemas.openxmlformats.org/officeDocument/2006/relationships/hyperlink" Target="http://hunterskeepers.id" TargetMode="External"/><Relationship Id="rId506" Type="http://schemas.openxmlformats.org/officeDocument/2006/relationships/hyperlink" Target="https://turboluxurycarrental.com/" TargetMode="External"/><Relationship Id="rId505" Type="http://schemas.openxmlformats.org/officeDocument/2006/relationships/hyperlink" Target="https://youtube.com/@whatareyouwearingtoday" TargetMode="External"/><Relationship Id="rId504" Type="http://schemas.openxmlformats.org/officeDocument/2006/relationships/hyperlink" Target="https://linktr.ee/amaltheakezia" TargetMode="External"/><Relationship Id="rId525" Type="http://schemas.openxmlformats.org/officeDocument/2006/relationships/hyperlink" Target="https://linktr.ee/nailattitude" TargetMode="External"/><Relationship Id="rId524" Type="http://schemas.openxmlformats.org/officeDocument/2006/relationships/hyperlink" Target="https://www.hansanstudio.com/modan" TargetMode="External"/><Relationship Id="rId523" Type="http://schemas.openxmlformats.org/officeDocument/2006/relationships/hyperlink" Target="https://linktr.ee/manilasansebastian" TargetMode="External"/><Relationship Id="rId522" Type="http://schemas.openxmlformats.org/officeDocument/2006/relationships/hyperlink" Target="https://msha.ke/istana_mode_jakarta" TargetMode="External"/><Relationship Id="rId529" Type="http://schemas.openxmlformats.org/officeDocument/2006/relationships/hyperlink" Target="https://linktr.ee/Goperfume" TargetMode="External"/><Relationship Id="rId528" Type="http://schemas.openxmlformats.org/officeDocument/2006/relationships/hyperlink" Target="https://www.canva.com/design/DAGZK8NmXQE/VhS0iKaIv3uPUPpjHL3J4g/view?utm_content=DAGZK8NmXQE&amp;utm_campaign=designshare&amp;utm_medium=link2&amp;utm_source=uniquelinks&amp;utlId=h9aba66fa37" TargetMode="External"/><Relationship Id="rId527" Type="http://schemas.openxmlformats.org/officeDocument/2006/relationships/hyperlink" Target="https://youtube.com/c/sargamnaturalbeauty" TargetMode="External"/><Relationship Id="rId526" Type="http://schemas.openxmlformats.org/officeDocument/2006/relationships/hyperlink" Target="http://www.izui.store" TargetMode="External"/><Relationship Id="rId521" Type="http://schemas.openxmlformats.org/officeDocument/2006/relationships/hyperlink" Target="https://msha.ke/sipenebarracun_official" TargetMode="External"/><Relationship Id="rId520" Type="http://schemas.openxmlformats.org/officeDocument/2006/relationships/hyperlink" Target="http://thebigcloset.in" TargetMode="External"/><Relationship Id="rId519" Type="http://schemas.openxmlformats.org/officeDocument/2006/relationships/hyperlink" Target="https://primaczar.com/" TargetMode="External"/><Relationship Id="rId514" Type="http://schemas.openxmlformats.org/officeDocument/2006/relationships/hyperlink" Target="https://bit.ly/JoinKellyHere" TargetMode="External"/><Relationship Id="rId513" Type="http://schemas.openxmlformats.org/officeDocument/2006/relationships/hyperlink" Target="http://luxuryevermore.com" TargetMode="External"/><Relationship Id="rId512" Type="http://schemas.openxmlformats.org/officeDocument/2006/relationships/hyperlink" Target="https://bit.ly/39lzdZC" TargetMode="External"/><Relationship Id="rId511" Type="http://schemas.openxmlformats.org/officeDocument/2006/relationships/hyperlink" Target="https://linktr.ee/theluckyjewerlyofficial" TargetMode="External"/><Relationship Id="rId518" Type="http://schemas.openxmlformats.org/officeDocument/2006/relationships/hyperlink" Target="https://taplink.cc/make_up_with_kashmira" TargetMode="External"/><Relationship Id="rId517" Type="http://schemas.openxmlformats.org/officeDocument/2006/relationships/hyperlink" Target="https://linktr.ee/ladyyclairemakeup" TargetMode="External"/><Relationship Id="rId516" Type="http://schemas.openxmlformats.org/officeDocument/2006/relationships/hyperlink" Target="https://linktr.ee/tehademakeup" TargetMode="External"/><Relationship Id="rId515" Type="http://schemas.openxmlformats.org/officeDocument/2006/relationships/hyperlink" Target="https://taplink.cc/make_up_with_kashmira" TargetMode="External"/><Relationship Id="rId510" Type="http://schemas.openxmlformats.org/officeDocument/2006/relationships/hyperlink" Target="https://bit.ly/3lPNRNI" TargetMode="External"/><Relationship Id="rId932" Type="http://schemas.openxmlformats.org/officeDocument/2006/relationships/hyperlink" Target="https://www.acttd.cl" TargetMode="External"/><Relationship Id="rId931" Type="http://schemas.openxmlformats.org/officeDocument/2006/relationships/hyperlink" Target="http://www.luxury-watch-lyon.fr/" TargetMode="External"/><Relationship Id="rId930" Type="http://schemas.openxmlformats.org/officeDocument/2006/relationships/hyperlink" Target="https://www.planity.com/chriss-barber-lyon-2-69002" TargetMode="External"/><Relationship Id="rId936" Type="http://schemas.openxmlformats.org/officeDocument/2006/relationships/drawing" Target="../drawings/drawing13.xml"/><Relationship Id="rId935" Type="http://schemas.openxmlformats.org/officeDocument/2006/relationships/hyperlink" Target="https://ridleylondon.com" TargetMode="External"/><Relationship Id="rId934" Type="http://schemas.openxmlformats.org/officeDocument/2006/relationships/hyperlink" Target="http://bit.ly/WomenswearByLonely" TargetMode="External"/><Relationship Id="rId933" Type="http://schemas.openxmlformats.org/officeDocument/2006/relationships/hyperlink" Target="https://linktr.ee/AarabhiLondon" TargetMode="External"/><Relationship Id="rId590" Type="http://schemas.openxmlformats.org/officeDocument/2006/relationships/hyperlink" Target="https://shope.ee/20UYQb3gn2" TargetMode="External"/><Relationship Id="rId107" Type="http://schemas.openxmlformats.org/officeDocument/2006/relationships/hyperlink" Target="https://www.instagram.com/reservagabriellopesmakeup?igsh=MW5pcWlrbndicXJ1aw%3D%3D" TargetMode="External"/><Relationship Id="rId106" Type="http://schemas.openxmlformats.org/officeDocument/2006/relationships/hyperlink" Target="https://bit.ly/3nH3OqX" TargetMode="External"/><Relationship Id="rId105" Type="http://schemas.openxmlformats.org/officeDocument/2006/relationships/hyperlink" Target="https://maps.app.goo.gl/WG7sAar17mMn7hHP7?g_st=com.google.maps.preview.copy" TargetMode="External"/><Relationship Id="rId589" Type="http://schemas.openxmlformats.org/officeDocument/2006/relationships/hyperlink" Target="http://nbjpadstow.gettimely.com/" TargetMode="External"/><Relationship Id="rId104" Type="http://schemas.openxmlformats.org/officeDocument/2006/relationships/hyperlink" Target="http://leenaheravi.com/contact" TargetMode="External"/><Relationship Id="rId588" Type="http://schemas.openxmlformats.org/officeDocument/2006/relationships/hyperlink" Target="https://www.fresha.com/book-now/le-silvir-nails-k7s6ibl6/services?lid=793431&amp;eid=2054746&amp;share=true&amp;pId=745560" TargetMode="External"/><Relationship Id="rId109" Type="http://schemas.openxmlformats.org/officeDocument/2006/relationships/hyperlink" Target="https://bit.ly/Ingrid06" TargetMode="External"/><Relationship Id="rId108" Type="http://schemas.openxmlformats.org/officeDocument/2006/relationships/hyperlink" Target="https://chat.whatsapp.com/GXE3Opgr2ZY1aLboC6HJpV?mode=ems_copy_c" TargetMode="External"/><Relationship Id="rId583" Type="http://schemas.openxmlformats.org/officeDocument/2006/relationships/hyperlink" Target="https://tinyurl.com/Melbourne-Suit-Walk-2025" TargetMode="External"/><Relationship Id="rId582" Type="http://schemas.openxmlformats.org/officeDocument/2006/relationships/hyperlink" Target="http://wa.me/+918988888431" TargetMode="External"/><Relationship Id="rId581" Type="http://schemas.openxmlformats.org/officeDocument/2006/relationships/hyperlink" Target="https://linktr.ee/FRANKSLAND" TargetMode="External"/><Relationship Id="rId580" Type="http://schemas.openxmlformats.org/officeDocument/2006/relationships/hyperlink" Target="https://linktr.ee/balibaris" TargetMode="External"/><Relationship Id="rId103" Type="http://schemas.openxmlformats.org/officeDocument/2006/relationships/hyperlink" Target="https://linktr.ee/kendrafrenchmakeup" TargetMode="External"/><Relationship Id="rId587" Type="http://schemas.openxmlformats.org/officeDocument/2006/relationships/hyperlink" Target="https://msha.ke/looksnaill.id" TargetMode="External"/><Relationship Id="rId102" Type="http://schemas.openxmlformats.org/officeDocument/2006/relationships/hyperlink" Target="https://youtube.com/@iren_rene?si=HraQ7cuQ8YwV-9gU" TargetMode="External"/><Relationship Id="rId586" Type="http://schemas.openxmlformats.org/officeDocument/2006/relationships/hyperlink" Target="http://looksnaill.id" TargetMode="External"/><Relationship Id="rId101" Type="http://schemas.openxmlformats.org/officeDocument/2006/relationships/hyperlink" Target="https://linktr.ee/delysees" TargetMode="External"/><Relationship Id="rId585" Type="http://schemas.openxmlformats.org/officeDocument/2006/relationships/hyperlink" Target="http://www.tiktok.com/@balimodaa" TargetMode="External"/><Relationship Id="rId100" Type="http://schemas.openxmlformats.org/officeDocument/2006/relationships/hyperlink" Target="https://api.whatsapp.com/send?phone=5511961680487" TargetMode="External"/><Relationship Id="rId584" Type="http://schemas.openxmlformats.org/officeDocument/2006/relationships/hyperlink" Target="http://bento.me/alexbali" TargetMode="External"/><Relationship Id="rId579" Type="http://schemas.openxmlformats.org/officeDocument/2006/relationships/hyperlink" Target="https://www.leilasmakeupstudio.com.au" TargetMode="External"/><Relationship Id="rId578" Type="http://schemas.openxmlformats.org/officeDocument/2006/relationships/hyperlink" Target="https://linktr.ee/merton_muaremi_makeup" TargetMode="External"/><Relationship Id="rId577" Type="http://schemas.openxmlformats.org/officeDocument/2006/relationships/hyperlink" Target="https://makeupbookings.as.me/schedule/d481d812/appointment/8106889/calendar/2532041" TargetMode="External"/><Relationship Id="rId572" Type="http://schemas.openxmlformats.org/officeDocument/2006/relationships/hyperlink" Target="https://bookings.gettimely.com/abbeyparkemakeup/bb/book" TargetMode="External"/><Relationship Id="rId571" Type="http://schemas.openxmlformats.org/officeDocument/2006/relationships/hyperlink" Target="https://wa.link/1lnlys" TargetMode="External"/><Relationship Id="rId570" Type="http://schemas.openxmlformats.org/officeDocument/2006/relationships/hyperlink" Target="http://wa.me/+919964709733" TargetMode="External"/><Relationship Id="rId576" Type="http://schemas.openxmlformats.org/officeDocument/2006/relationships/hyperlink" Target="https://bookings.gettimely.com/abbeyparkemakeup/bb/book" TargetMode="External"/><Relationship Id="rId575" Type="http://schemas.openxmlformats.org/officeDocument/2006/relationships/hyperlink" Target="http://www.bloombynehaa.com/" TargetMode="External"/><Relationship Id="rId574" Type="http://schemas.openxmlformats.org/officeDocument/2006/relationships/hyperlink" Target="http://wa.me/+919964709733" TargetMode="External"/><Relationship Id="rId573" Type="http://schemas.openxmlformats.org/officeDocument/2006/relationships/hyperlink" Target="https://instagram.com/shagunmakeupartist?igshid=Mzc1MmZhNjY%3D" TargetMode="External"/><Relationship Id="rId129" Type="http://schemas.openxmlformats.org/officeDocument/2006/relationships/hyperlink" Target="https://api.whatsapp.com/send?phone=5511961680487" TargetMode="External"/><Relationship Id="rId128" Type="http://schemas.openxmlformats.org/officeDocument/2006/relationships/hyperlink" Target="https://upcardslinks.my.canva.site/carolnaturalbeauty" TargetMode="External"/><Relationship Id="rId127" Type="http://schemas.openxmlformats.org/officeDocument/2006/relationships/hyperlink" Target="https://www.chemadame.com" TargetMode="External"/><Relationship Id="rId126" Type="http://schemas.openxmlformats.org/officeDocument/2006/relationships/hyperlink" Target="http://www.mundolulu.com.br" TargetMode="External"/><Relationship Id="rId121" Type="http://schemas.openxmlformats.org/officeDocument/2006/relationships/hyperlink" Target="http://www.serenamodabc.com.br" TargetMode="External"/><Relationship Id="rId120" Type="http://schemas.openxmlformats.org/officeDocument/2006/relationships/hyperlink" Target="http://www.benditobrecho.com.br" TargetMode="External"/><Relationship Id="rId125" Type="http://schemas.openxmlformats.org/officeDocument/2006/relationships/hyperlink" Target="http://mundolulu.br" TargetMode="External"/><Relationship Id="rId124" Type="http://schemas.openxmlformats.org/officeDocument/2006/relationships/hyperlink" Target="http://www.closetlafete.com.br" TargetMode="External"/><Relationship Id="rId123" Type="http://schemas.openxmlformats.org/officeDocument/2006/relationships/hyperlink" Target="https://www.eventim.com.br/event/ricardo-arantes-canta-nostra-bella-italia-blue-note-sao-paulo-19695280/" TargetMode="External"/><Relationship Id="rId122" Type="http://schemas.openxmlformats.org/officeDocument/2006/relationships/hyperlink" Target="https://bit.ly/AcStore" TargetMode="External"/><Relationship Id="rId118" Type="http://schemas.openxmlformats.org/officeDocument/2006/relationships/hyperlink" Target="https://beacons.ai/boutiquemocabonita" TargetMode="External"/><Relationship Id="rId117" Type="http://schemas.openxmlformats.org/officeDocument/2006/relationships/hyperlink" Target="https://www.modernabuenosaires.org" TargetMode="External"/><Relationship Id="rId116" Type="http://schemas.openxmlformats.org/officeDocument/2006/relationships/hyperlink" Target="https://linktr.ee/espaciobuenosaires" TargetMode="External"/><Relationship Id="rId115" Type="http://schemas.openxmlformats.org/officeDocument/2006/relationships/hyperlink" Target="http://leenaheravi.com/contact" TargetMode="External"/><Relationship Id="rId599" Type="http://schemas.openxmlformats.org/officeDocument/2006/relationships/hyperlink" Target="https://msha.ke/yfbeauty/" TargetMode="External"/><Relationship Id="rId119" Type="http://schemas.openxmlformats.org/officeDocument/2006/relationships/hyperlink" Target="https://beacons.ai/kakafashion" TargetMode="External"/><Relationship Id="rId110" Type="http://schemas.openxmlformats.org/officeDocument/2006/relationships/hyperlink" Target="https://bio.site/thifannymakeup" TargetMode="External"/><Relationship Id="rId594" Type="http://schemas.openxmlformats.org/officeDocument/2006/relationships/hyperlink" Target="https://bit.ly/amthra_shopee" TargetMode="External"/><Relationship Id="rId593" Type="http://schemas.openxmlformats.org/officeDocument/2006/relationships/hyperlink" Target="https://www.facebook.com/ootdstylistaa" TargetMode="External"/><Relationship Id="rId592" Type="http://schemas.openxmlformats.org/officeDocument/2006/relationships/hyperlink" Target="https://linktr.ee/eckygbr" TargetMode="External"/><Relationship Id="rId591" Type="http://schemas.openxmlformats.org/officeDocument/2006/relationships/hyperlink" Target="http://lynk.id/tsbaliofficial" TargetMode="External"/><Relationship Id="rId114" Type="http://schemas.openxmlformats.org/officeDocument/2006/relationships/hyperlink" Target="https://bonika.pro/Services-and-rates" TargetMode="External"/><Relationship Id="rId598" Type="http://schemas.openxmlformats.org/officeDocument/2006/relationships/hyperlink" Target="https://id.shp.ee/E57GEjZ" TargetMode="External"/><Relationship Id="rId113" Type="http://schemas.openxmlformats.org/officeDocument/2006/relationships/hyperlink" Target="https://bio.site/tailla_makeup" TargetMode="External"/><Relationship Id="rId597" Type="http://schemas.openxmlformats.org/officeDocument/2006/relationships/hyperlink" Target="https://linktr.ee/fragrancee.co" TargetMode="External"/><Relationship Id="rId112" Type="http://schemas.openxmlformats.org/officeDocument/2006/relationships/hyperlink" Target="https://linktr.ee/laris.makeup?utm_source=linktree_admin_share" TargetMode="External"/><Relationship Id="rId596" Type="http://schemas.openxmlformats.org/officeDocument/2006/relationships/hyperlink" Target="http://fragrancee.co" TargetMode="External"/><Relationship Id="rId111" Type="http://schemas.openxmlformats.org/officeDocument/2006/relationships/hyperlink" Target="https://linktr.ee/beatrizalsmakeup" TargetMode="External"/><Relationship Id="rId595" Type="http://schemas.openxmlformats.org/officeDocument/2006/relationships/hyperlink" Target="https://linktr.ee/balisurfers.perfume" TargetMode="External"/><Relationship Id="rId547" Type="http://schemas.openxmlformats.org/officeDocument/2006/relationships/hyperlink" Target="http://thebigcloset.in" TargetMode="External"/><Relationship Id="rId546" Type="http://schemas.openxmlformats.org/officeDocument/2006/relationships/hyperlink" Target="https://api.whatsapp.com/send?phone=6281903386652" TargetMode="External"/><Relationship Id="rId545" Type="http://schemas.openxmlformats.org/officeDocument/2006/relationships/hyperlink" Target="https://msha.ke/reuse" TargetMode="External"/><Relationship Id="rId544" Type="http://schemas.openxmlformats.org/officeDocument/2006/relationships/hyperlink" Target="http://wa.me/6283199714269/" TargetMode="External"/><Relationship Id="rId549" Type="http://schemas.openxmlformats.org/officeDocument/2006/relationships/hyperlink" Target="http://www.lowbrazilmotors.com.au/" TargetMode="External"/><Relationship Id="rId548" Type="http://schemas.openxmlformats.org/officeDocument/2006/relationships/hyperlink" Target="http://www.babymelbourne.com/" TargetMode="External"/><Relationship Id="rId543" Type="http://schemas.openxmlformats.org/officeDocument/2006/relationships/hyperlink" Target="https://linktr.ee/sustainablefashionmatterz" TargetMode="External"/><Relationship Id="rId542" Type="http://schemas.openxmlformats.org/officeDocument/2006/relationships/hyperlink" Target="http://www.ourcommonplace.co/" TargetMode="External"/><Relationship Id="rId541" Type="http://schemas.openxmlformats.org/officeDocument/2006/relationships/hyperlink" Target="http://ourcommonplace.co" TargetMode="External"/><Relationship Id="rId540" Type="http://schemas.openxmlformats.org/officeDocument/2006/relationships/hyperlink" Target="https://linkin.bio/fanfarelabel" TargetMode="External"/><Relationship Id="rId536" Type="http://schemas.openxmlformats.org/officeDocument/2006/relationships/hyperlink" Target="http://linktr.ee/syazaofficial" TargetMode="External"/><Relationship Id="rId535" Type="http://schemas.openxmlformats.org/officeDocument/2006/relationships/hyperlink" Target="https://lin.ee/fPBIGPS" TargetMode="External"/><Relationship Id="rId534" Type="http://schemas.openxmlformats.org/officeDocument/2006/relationships/hyperlink" Target="https://linktr.ee/skincarebudmanila" TargetMode="External"/><Relationship Id="rId533" Type="http://schemas.openxmlformats.org/officeDocument/2006/relationships/hyperlink" Target="http://skincarebudmnl.ph" TargetMode="External"/><Relationship Id="rId539" Type="http://schemas.openxmlformats.org/officeDocument/2006/relationships/hyperlink" Target="http://www.manilasneakerexpo.com/" TargetMode="External"/><Relationship Id="rId538" Type="http://schemas.openxmlformats.org/officeDocument/2006/relationships/hyperlink" Target="http://www.linktree.com/solejakarta/" TargetMode="External"/><Relationship Id="rId537" Type="http://schemas.openxmlformats.org/officeDocument/2006/relationships/hyperlink" Target="http://instagram.com/camikins.shop" TargetMode="External"/><Relationship Id="rId532" Type="http://schemas.openxmlformats.org/officeDocument/2006/relationships/hyperlink" Target="https://lynk.id/drw.skincare.jakarta" TargetMode="External"/><Relationship Id="rId531" Type="http://schemas.openxmlformats.org/officeDocument/2006/relationships/hyperlink" Target="https://msha.ke/shoppingyukk" TargetMode="External"/><Relationship Id="rId530" Type="http://schemas.openxmlformats.org/officeDocument/2006/relationships/hyperlink" Target="http://wa.me/6282312126865" TargetMode="External"/><Relationship Id="rId569" Type="http://schemas.openxmlformats.org/officeDocument/2006/relationships/hyperlink" Target="http://wa.me/+6287777327508" TargetMode="External"/><Relationship Id="rId568" Type="http://schemas.openxmlformats.org/officeDocument/2006/relationships/hyperlink" Target="http://www.sydneyluxhire.com.au" TargetMode="External"/><Relationship Id="rId567" Type="http://schemas.openxmlformats.org/officeDocument/2006/relationships/hyperlink" Target="http://www.luxurypicnicandevents.com.au" TargetMode="External"/><Relationship Id="rId566" Type="http://schemas.openxmlformats.org/officeDocument/2006/relationships/hyperlink" Target="http://www.lavishplatters.com.au" TargetMode="External"/><Relationship Id="rId561" Type="http://schemas.openxmlformats.org/officeDocument/2006/relationships/hyperlink" Target="https://linktr.ee/the.luxury.bali" TargetMode="External"/><Relationship Id="rId560" Type="http://schemas.openxmlformats.org/officeDocument/2006/relationships/hyperlink" Target="https://www.nourbali.com" TargetMode="External"/><Relationship Id="rId565" Type="http://schemas.openxmlformats.org/officeDocument/2006/relationships/hyperlink" Target="http://grazewithlove.co" TargetMode="External"/><Relationship Id="rId564" Type="http://schemas.openxmlformats.org/officeDocument/2006/relationships/hyperlink" Target="https://www.luxurybyroop.com" TargetMode="External"/><Relationship Id="rId563" Type="http://schemas.openxmlformats.org/officeDocument/2006/relationships/hyperlink" Target="https://desty.page/villa.luxury.bali" TargetMode="External"/><Relationship Id="rId562" Type="http://schemas.openxmlformats.org/officeDocument/2006/relationships/hyperlink" Target="https://ulamanbali.com/" TargetMode="External"/><Relationship Id="rId558" Type="http://schemas.openxmlformats.org/officeDocument/2006/relationships/hyperlink" Target="http://wa.me/6281353701800" TargetMode="External"/><Relationship Id="rId557" Type="http://schemas.openxmlformats.org/officeDocument/2006/relationships/hyperlink" Target="https://panachehautecouture.com/" TargetMode="External"/><Relationship Id="rId556" Type="http://schemas.openxmlformats.org/officeDocument/2006/relationships/hyperlink" Target="https://dahliasalonbali.com/detail-informasi-dahlia-salon-bali/" TargetMode="External"/><Relationship Id="rId555" Type="http://schemas.openxmlformats.org/officeDocument/2006/relationships/hyperlink" Target="https://linktr.ee/mouseybrowne" TargetMode="External"/><Relationship Id="rId559" Type="http://schemas.openxmlformats.org/officeDocument/2006/relationships/hyperlink" Target="https://bio.site/LuxuryVillaBali24" TargetMode="External"/><Relationship Id="rId550" Type="http://schemas.openxmlformats.org/officeDocument/2006/relationships/hyperlink" Target="https://linktr.ee/bercutbarbershop" TargetMode="External"/><Relationship Id="rId554" Type="http://schemas.openxmlformats.org/officeDocument/2006/relationships/hyperlink" Target="https://linktr.ee/__sydneylynnn" TargetMode="External"/><Relationship Id="rId553" Type="http://schemas.openxmlformats.org/officeDocument/2006/relationships/hyperlink" Target="https://www.fresha.com/a/empire-barbershop-melbourne-3a-station-street-zss2miiy" TargetMode="External"/><Relationship Id="rId552" Type="http://schemas.openxmlformats.org/officeDocument/2006/relationships/hyperlink" Target="https://linktr.ee/terasbarber" TargetMode="External"/><Relationship Id="rId551" Type="http://schemas.openxmlformats.org/officeDocument/2006/relationships/hyperlink" Target="https://linktr.ee/blissbarberbali" TargetMode="External"/><Relationship Id="rId495" Type="http://schemas.openxmlformats.org/officeDocument/2006/relationships/hyperlink" Target="http://bangkokbootery.com/" TargetMode="External"/><Relationship Id="rId494" Type="http://schemas.openxmlformats.org/officeDocument/2006/relationships/hyperlink" Target="https://www.tokyofoxtrot.com/collections/new-arrivals" TargetMode="External"/><Relationship Id="rId493" Type="http://schemas.openxmlformats.org/officeDocument/2006/relationships/hyperlink" Target="https://maps.app.goo.gl/CisLbh422dBr76KC7?g_st=com.google.maps.preview.copy" TargetMode="External"/><Relationship Id="rId492" Type="http://schemas.openxmlformats.org/officeDocument/2006/relationships/hyperlink" Target="https://tradepointhk.com" TargetMode="External"/><Relationship Id="rId499" Type="http://schemas.openxmlformats.org/officeDocument/2006/relationships/hyperlink" Target="https://linktr.ee/jakartacamera" TargetMode="External"/><Relationship Id="rId498" Type="http://schemas.openxmlformats.org/officeDocument/2006/relationships/hyperlink" Target="http://bit.ly/2hktjN1" TargetMode="External"/><Relationship Id="rId497" Type="http://schemas.openxmlformats.org/officeDocument/2006/relationships/hyperlink" Target="http://goo.gl/ZwdSGr" TargetMode="External"/><Relationship Id="rId496" Type="http://schemas.openxmlformats.org/officeDocument/2006/relationships/hyperlink" Target="https://instabio.cc/4053011V7ln9s" TargetMode="External"/><Relationship Id="rId907" Type="http://schemas.openxmlformats.org/officeDocument/2006/relationships/hyperlink" Target="http://wearekin.co" TargetMode="External"/><Relationship Id="rId906" Type="http://schemas.openxmlformats.org/officeDocument/2006/relationships/hyperlink" Target="http://www.dublingarden.com.ar/" TargetMode="External"/><Relationship Id="rId905" Type="http://schemas.openxmlformats.org/officeDocument/2006/relationships/hyperlink" Target="https://linktr.ee/warsawsneakerstore_wss?utm_source=instagram&amp;utm_medium=post&amp;utm_campaign=linktree" TargetMode="External"/><Relationship Id="rId904" Type="http://schemas.openxmlformats.org/officeDocument/2006/relationships/hyperlink" Target="https://linktr.ee/dublincloset" TargetMode="External"/><Relationship Id="rId909" Type="http://schemas.openxmlformats.org/officeDocument/2006/relationships/hyperlink" Target="https://checkout.honeylove.com/HEIDIKRISTENSEN" TargetMode="External"/><Relationship Id="rId908" Type="http://schemas.openxmlformats.org/officeDocument/2006/relationships/hyperlink" Target="https://www.wearekin.co/" TargetMode="External"/><Relationship Id="rId903" Type="http://schemas.openxmlformats.org/officeDocument/2006/relationships/hyperlink" Target="http://wa.me/5534998561235/" TargetMode="External"/><Relationship Id="rId902" Type="http://schemas.openxmlformats.org/officeDocument/2006/relationships/hyperlink" Target="http://ceracera.booksy.com/a/" TargetMode="External"/><Relationship Id="rId901" Type="http://schemas.openxmlformats.org/officeDocument/2006/relationships/hyperlink" Target="https://linktr.ee/gbarwarsaw" TargetMode="External"/><Relationship Id="rId900" Type="http://schemas.openxmlformats.org/officeDocument/2006/relationships/hyperlink" Target="https://www.dublinnails.com/" TargetMode="External"/><Relationship Id="rId929" Type="http://schemas.openxmlformats.org/officeDocument/2006/relationships/hyperlink" Target="https://linktr.ee/sustainablefashionmatterz" TargetMode="External"/><Relationship Id="rId928" Type="http://schemas.openxmlformats.org/officeDocument/2006/relationships/hyperlink" Target="http://www.ourcommonplace.co/" TargetMode="External"/><Relationship Id="rId927" Type="http://schemas.openxmlformats.org/officeDocument/2006/relationships/hyperlink" Target="http://ourcommonplace.co" TargetMode="External"/><Relationship Id="rId926" Type="http://schemas.openxmlformats.org/officeDocument/2006/relationships/hyperlink" Target="http://www.flipsupply.co.uk/" TargetMode="External"/><Relationship Id="rId921" Type="http://schemas.openxmlformats.org/officeDocument/2006/relationships/hyperlink" Target="http://pepefurnieles.es" TargetMode="External"/><Relationship Id="rId920" Type="http://schemas.openxmlformats.org/officeDocument/2006/relationships/hyperlink" Target="https://veromodaoslo.no" TargetMode="External"/><Relationship Id="rId925" Type="http://schemas.openxmlformats.org/officeDocument/2006/relationships/hyperlink" Target="https://beacons.ai/cruzalevzla" TargetMode="External"/><Relationship Id="rId924" Type="http://schemas.openxmlformats.org/officeDocument/2006/relationships/hyperlink" Target="https://www.edinburghskincare.com/?gad_source=1&amp;gclid=CjwKCAjwrIixBhBbEiwACEqDJdzqxEu3JODiQW2Igw_IyenCIcFqX3HOEuRiX561B_lLy8whPge4GxoCkKsQAvD_BwE" TargetMode="External"/><Relationship Id="rId923" Type="http://schemas.openxmlformats.org/officeDocument/2006/relationships/hyperlink" Target="http://marrsile.com" TargetMode="External"/><Relationship Id="rId922" Type="http://schemas.openxmlformats.org/officeDocument/2006/relationships/hyperlink" Target="http://hard-gel.dianasnailart.com" TargetMode="External"/><Relationship Id="rId918" Type="http://schemas.openxmlformats.org/officeDocument/2006/relationships/hyperlink" Target="https://t.me/+OAkkXqZAK405NWQy" TargetMode="External"/><Relationship Id="rId917" Type="http://schemas.openxmlformats.org/officeDocument/2006/relationships/hyperlink" Target="http://www.noaloft.com/" TargetMode="External"/><Relationship Id="rId916" Type="http://schemas.openxmlformats.org/officeDocument/2006/relationships/hyperlink" Target="https://that-time.co.uk/archistry-brow-studio" TargetMode="External"/><Relationship Id="rId915" Type="http://schemas.openxmlformats.org/officeDocument/2006/relationships/hyperlink" Target="http://www.estefaniavalenciamakeupartist.com" TargetMode="External"/><Relationship Id="rId919" Type="http://schemas.openxmlformats.org/officeDocument/2006/relationships/hyperlink" Target="http://veromodaoslo.no" TargetMode="External"/><Relationship Id="rId910" Type="http://schemas.openxmlformats.org/officeDocument/2006/relationships/hyperlink" Target="https://thewss.store" TargetMode="External"/><Relationship Id="rId914" Type="http://schemas.openxmlformats.org/officeDocument/2006/relationships/hyperlink" Target="https://www.luxuryhelsinki.fi" TargetMode="External"/><Relationship Id="rId913" Type="http://schemas.openxmlformats.org/officeDocument/2006/relationships/hyperlink" Target="https://bio.site/theedinburghgrand" TargetMode="External"/><Relationship Id="rId912" Type="http://schemas.openxmlformats.org/officeDocument/2006/relationships/hyperlink" Target="https://larionovabeauty.com/" TargetMode="External"/><Relationship Id="rId911" Type="http://schemas.openxmlformats.org/officeDocument/2006/relationships/hyperlink" Target="https://maps.app.goo.gl/kJbbHjBH7SuKw7Wr8?g_st=com.google.maps.preview.copy" TargetMode="External"/><Relationship Id="rId866" Type="http://schemas.openxmlformats.org/officeDocument/2006/relationships/hyperlink" Target="https://laciepencemakeupartist.com/links" TargetMode="External"/><Relationship Id="rId865" Type="http://schemas.openxmlformats.org/officeDocument/2006/relationships/hyperlink" Target="https://www.vagaro.com/beautyrepublicsandiego" TargetMode="External"/><Relationship Id="rId864" Type="http://schemas.openxmlformats.org/officeDocument/2006/relationships/hyperlink" Target="https://www.makeupbykamielea.com/" TargetMode="External"/><Relationship Id="rId863" Type="http://schemas.openxmlformats.org/officeDocument/2006/relationships/hyperlink" Target="https://taplink.cc/fari_makeup" TargetMode="External"/><Relationship Id="rId869" Type="http://schemas.openxmlformats.org/officeDocument/2006/relationships/hyperlink" Target="http://montrealmodaecasa.com.br/" TargetMode="External"/><Relationship Id="rId868" Type="http://schemas.openxmlformats.org/officeDocument/2006/relationships/hyperlink" Target="http://wa.me/994513116666" TargetMode="External"/><Relationship Id="rId867" Type="http://schemas.openxmlformats.org/officeDocument/2006/relationships/hyperlink" Target="https://linktr.ee/glambyzohal" TargetMode="External"/><Relationship Id="rId862" Type="http://schemas.openxmlformats.org/officeDocument/2006/relationships/hyperlink" Target="http://artistrybybrianna.com/contact" TargetMode="External"/><Relationship Id="rId861" Type="http://schemas.openxmlformats.org/officeDocument/2006/relationships/hyperlink" Target="https://visibook.com/wybejxypc6srhwe5s" TargetMode="External"/><Relationship Id="rId860" Type="http://schemas.openxmlformats.org/officeDocument/2006/relationships/hyperlink" Target="http://gmail.com/" TargetMode="External"/><Relationship Id="rId855" Type="http://schemas.openxmlformats.org/officeDocument/2006/relationships/hyperlink" Target="https://linktr.ee/MakeupByAngela" TargetMode="External"/><Relationship Id="rId854" Type="http://schemas.openxmlformats.org/officeDocument/2006/relationships/hyperlink" Target="http://www.lasvegasmakeupandhair.com" TargetMode="External"/><Relationship Id="rId853" Type="http://schemas.openxmlformats.org/officeDocument/2006/relationships/hyperlink" Target="http://jolisarena.booksy.com" TargetMode="External"/><Relationship Id="rId852" Type="http://schemas.openxmlformats.org/officeDocument/2006/relationships/hyperlink" Target="http://linktr.ee/etherealcosmetictattoo" TargetMode="External"/><Relationship Id="rId859" Type="http://schemas.openxmlformats.org/officeDocument/2006/relationships/hyperlink" Target="https://ajmakeup.ca" TargetMode="External"/><Relationship Id="rId858" Type="http://schemas.openxmlformats.org/officeDocument/2006/relationships/hyperlink" Target="http://www.oliviarosebeautyy.com/" TargetMode="External"/><Relationship Id="rId857" Type="http://schemas.openxmlformats.org/officeDocument/2006/relationships/hyperlink" Target="https://bio.site/MakeupByMalessa" TargetMode="External"/><Relationship Id="rId856" Type="http://schemas.openxmlformats.org/officeDocument/2006/relationships/hyperlink" Target="http://www.theglamhussle.com" TargetMode="External"/><Relationship Id="rId851" Type="http://schemas.openxmlformats.org/officeDocument/2006/relationships/hyperlink" Target="http://etherealstudio.sd" TargetMode="External"/><Relationship Id="rId850" Type="http://schemas.openxmlformats.org/officeDocument/2006/relationships/hyperlink" Target="http://gmail.com/" TargetMode="External"/><Relationship Id="rId409" Type="http://schemas.openxmlformats.org/officeDocument/2006/relationships/hyperlink" Target="http://wa.me/2347032369740" TargetMode="External"/><Relationship Id="rId404" Type="http://schemas.openxmlformats.org/officeDocument/2006/relationships/hyperlink" Target="http://linktr.ee/yasulagos" TargetMode="External"/><Relationship Id="rId888" Type="http://schemas.openxmlformats.org/officeDocument/2006/relationships/hyperlink" Target="https://tinat.ch" TargetMode="External"/><Relationship Id="rId403" Type="http://schemas.openxmlformats.org/officeDocument/2006/relationships/hyperlink" Target="https://modadubai.com.tr" TargetMode="External"/><Relationship Id="rId887" Type="http://schemas.openxmlformats.org/officeDocument/2006/relationships/hyperlink" Target="https://monaghanscashmere.ie/products/13882?_pos=1&amp;_psq=flora&amp;_ss=e&amp;_v=1.0" TargetMode="External"/><Relationship Id="rId402" Type="http://schemas.openxmlformats.org/officeDocument/2006/relationships/hyperlink" Target="https://mssg.me/zulfia.aldamova" TargetMode="External"/><Relationship Id="rId886" Type="http://schemas.openxmlformats.org/officeDocument/2006/relationships/hyperlink" Target="https://marinaabramova.ru/magichands" TargetMode="External"/><Relationship Id="rId401" Type="http://schemas.openxmlformats.org/officeDocument/2006/relationships/hyperlink" Target="https://www.vakinha.com.br/5488608" TargetMode="External"/><Relationship Id="rId885" Type="http://schemas.openxmlformats.org/officeDocument/2006/relationships/hyperlink" Target="http://www.hollie.pl/" TargetMode="External"/><Relationship Id="rId408" Type="http://schemas.openxmlformats.org/officeDocument/2006/relationships/hyperlink" Target="https://www.facebook.com/profile.php?id=100083228867615" TargetMode="External"/><Relationship Id="rId407" Type="http://schemas.openxmlformats.org/officeDocument/2006/relationships/hyperlink" Target="https://t.ly/g97q" TargetMode="External"/><Relationship Id="rId406" Type="http://schemas.openxmlformats.org/officeDocument/2006/relationships/hyperlink" Target="http://blossome.qa" TargetMode="External"/><Relationship Id="rId405" Type="http://schemas.openxmlformats.org/officeDocument/2006/relationships/hyperlink" Target="https://russianstorecairo.com/" TargetMode="External"/><Relationship Id="rId889" Type="http://schemas.openxmlformats.org/officeDocument/2006/relationships/hyperlink" Target="https://t.me/YCmanager" TargetMode="External"/><Relationship Id="rId880" Type="http://schemas.openxmlformats.org/officeDocument/2006/relationships/hyperlink" Target="https://www.seattleselect.store/shop" TargetMode="External"/><Relationship Id="rId400" Type="http://schemas.openxmlformats.org/officeDocument/2006/relationships/hyperlink" Target="https://linktr.ee/usecairos" TargetMode="External"/><Relationship Id="rId884" Type="http://schemas.openxmlformats.org/officeDocument/2006/relationships/hyperlink" Target="https://t.me/annaraubo" TargetMode="External"/><Relationship Id="rId883" Type="http://schemas.openxmlformats.org/officeDocument/2006/relationships/hyperlink" Target="https://t.me/makeevstofamily" TargetMode="External"/><Relationship Id="rId882" Type="http://schemas.openxmlformats.org/officeDocument/2006/relationships/hyperlink" Target="https://www.linktr.ee/pcsandiego" TargetMode="External"/><Relationship Id="rId881" Type="http://schemas.openxmlformats.org/officeDocument/2006/relationships/hyperlink" Target="https://linktr.ee/honestthrift" TargetMode="External"/><Relationship Id="rId877" Type="http://schemas.openxmlformats.org/officeDocument/2006/relationships/hyperlink" Target="https://beacons.ai/cruzalevzla" TargetMode="External"/><Relationship Id="rId876" Type="http://schemas.openxmlformats.org/officeDocument/2006/relationships/hyperlink" Target="https://linktr.ee/KiwiSpa" TargetMode="External"/><Relationship Id="rId875" Type="http://schemas.openxmlformats.org/officeDocument/2006/relationships/hyperlink" Target="https://linktr.ee/scentrique" TargetMode="External"/><Relationship Id="rId874" Type="http://schemas.openxmlformats.org/officeDocument/2006/relationships/hyperlink" Target="https://squareup.com/appointments/book/mwwda5xc0owb50/LFKS50CQFWS3B/services" TargetMode="External"/><Relationship Id="rId879" Type="http://schemas.openxmlformats.org/officeDocument/2006/relationships/hyperlink" Target="https://lnk.bio/vlscc" TargetMode="External"/><Relationship Id="rId878" Type="http://schemas.openxmlformats.org/officeDocument/2006/relationships/hyperlink" Target="https://papelonstoreve.catalog.to/s/papelon-store/maquillaje/uff" TargetMode="External"/><Relationship Id="rId873" Type="http://schemas.openxmlformats.org/officeDocument/2006/relationships/hyperlink" Target="https://www.fresha.com/a/bad-and-boujee-beauty-bar-renton-216-wells-avenue-south-pgaen2hs" TargetMode="External"/><Relationship Id="rId872" Type="http://schemas.openxmlformats.org/officeDocument/2006/relationships/hyperlink" Target="http://thebestnailsusa.com" TargetMode="External"/><Relationship Id="rId871" Type="http://schemas.openxmlformats.org/officeDocument/2006/relationships/hyperlink" Target="https://book.heygoldie.com/easy-beautyspace" TargetMode="External"/><Relationship Id="rId870" Type="http://schemas.openxmlformats.org/officeDocument/2006/relationships/hyperlink" Target="https://lv.hayven.ai/" TargetMode="External"/><Relationship Id="rId829" Type="http://schemas.openxmlformats.org/officeDocument/2006/relationships/hyperlink" Target="https://linkin.bio/fanfarelabel" TargetMode="External"/><Relationship Id="rId828" Type="http://schemas.openxmlformats.org/officeDocument/2006/relationships/hyperlink" Target="https://vintage-houston.myshopify.com/" TargetMode="External"/><Relationship Id="rId827" Type="http://schemas.openxmlformats.org/officeDocument/2006/relationships/hyperlink" Target="http://theclutchvintage.com" TargetMode="External"/><Relationship Id="rId822" Type="http://schemas.openxmlformats.org/officeDocument/2006/relationships/hyperlink" Target="http://theclutchvintage.com" TargetMode="External"/><Relationship Id="rId821" Type="http://schemas.openxmlformats.org/officeDocument/2006/relationships/hyperlink" Target="http://linktr.ee/theebawdy.bar/" TargetMode="External"/><Relationship Id="rId820" Type="http://schemas.openxmlformats.org/officeDocument/2006/relationships/hyperlink" Target="https://linktr.ee/camelliaalise" TargetMode="External"/><Relationship Id="rId826" Type="http://schemas.openxmlformats.org/officeDocument/2006/relationships/hyperlink" Target="https://beautifuldisasterwrld.com" TargetMode="External"/><Relationship Id="rId825" Type="http://schemas.openxmlformats.org/officeDocument/2006/relationships/hyperlink" Target="http://atlantastreetwearmarket.com" TargetMode="External"/><Relationship Id="rId824" Type="http://schemas.openxmlformats.org/officeDocument/2006/relationships/hyperlink" Target="https://linktr.ee/taylasnts" TargetMode="External"/><Relationship Id="rId823" Type="http://schemas.openxmlformats.org/officeDocument/2006/relationships/hyperlink" Target="https://dallassneakers2.callbell.shop/" TargetMode="External"/><Relationship Id="rId819" Type="http://schemas.openxmlformats.org/officeDocument/2006/relationships/hyperlink" Target="https://www.serenebeautyspas.com/" TargetMode="External"/><Relationship Id="rId818" Type="http://schemas.openxmlformats.org/officeDocument/2006/relationships/hyperlink" Target="https://linktr.ee/slayybylayyesthetics" TargetMode="External"/><Relationship Id="rId817" Type="http://schemas.openxmlformats.org/officeDocument/2006/relationships/hyperlink" Target="http://linktr.ee/skinbylauryn" TargetMode="External"/><Relationship Id="rId816" Type="http://schemas.openxmlformats.org/officeDocument/2006/relationships/hyperlink" Target="http://www.ootdatlanta.com/" TargetMode="External"/><Relationship Id="rId811" Type="http://schemas.openxmlformats.org/officeDocument/2006/relationships/hyperlink" Target="https://nailsbyydrea.as.me/" TargetMode="External"/><Relationship Id="rId810" Type="http://schemas.openxmlformats.org/officeDocument/2006/relationships/hyperlink" Target="https://nails-by-wendy-101237.square.site/" TargetMode="External"/><Relationship Id="rId815" Type="http://schemas.openxmlformats.org/officeDocument/2006/relationships/hyperlink" Target="http://www.suedecurlbar.com" TargetMode="External"/><Relationship Id="rId814" Type="http://schemas.openxmlformats.org/officeDocument/2006/relationships/hyperlink" Target="https://kymbasbeauty.as.me/schedule/5a2f6773" TargetMode="External"/><Relationship Id="rId813" Type="http://schemas.openxmlformats.org/officeDocument/2006/relationships/hyperlink" Target="http://hairinpeace.com/" TargetMode="External"/><Relationship Id="rId812" Type="http://schemas.openxmlformats.org/officeDocument/2006/relationships/hyperlink" Target="https://booking.nailsofamericamemorial.com" TargetMode="External"/><Relationship Id="rId849" Type="http://schemas.openxmlformats.org/officeDocument/2006/relationships/hyperlink" Target="http://muacouturee.glossgenius.com" TargetMode="External"/><Relationship Id="rId844" Type="http://schemas.openxmlformats.org/officeDocument/2006/relationships/hyperlink" Target="http://jenniferdelonge.com" TargetMode="External"/><Relationship Id="rId843" Type="http://schemas.openxmlformats.org/officeDocument/2006/relationships/hyperlink" Target="https://jasonbarryteam.com/" TargetMode="External"/><Relationship Id="rId842" Type="http://schemas.openxmlformats.org/officeDocument/2006/relationships/hyperlink" Target="https://linktr.ee/Ayannasweets.co" TargetMode="External"/><Relationship Id="rId841" Type="http://schemas.openxmlformats.org/officeDocument/2006/relationships/hyperlink" Target="http://www.timesluxury.com" TargetMode="External"/><Relationship Id="rId848" Type="http://schemas.openxmlformats.org/officeDocument/2006/relationships/hyperlink" Target="https://allclassbeauty.setmore.com" TargetMode="External"/><Relationship Id="rId847" Type="http://schemas.openxmlformats.org/officeDocument/2006/relationships/hyperlink" Target="https://www.seattlepartyrentals.us/contact" TargetMode="External"/><Relationship Id="rId846" Type="http://schemas.openxmlformats.org/officeDocument/2006/relationships/hyperlink" Target="https://linkin.bio/luxuryhomeseattle" TargetMode="External"/><Relationship Id="rId845" Type="http://schemas.openxmlformats.org/officeDocument/2006/relationships/hyperlink" Target="https://linkin.bio/modernluxurysd" TargetMode="External"/><Relationship Id="rId840" Type="http://schemas.openxmlformats.org/officeDocument/2006/relationships/hyperlink" Target="https://linktr.ee/cbluxuryvegas" TargetMode="External"/><Relationship Id="rId839" Type="http://schemas.openxmlformats.org/officeDocument/2006/relationships/hyperlink" Target="http://www.squaresalon.com/" TargetMode="External"/><Relationship Id="rId838" Type="http://schemas.openxmlformats.org/officeDocument/2006/relationships/hyperlink" Target="https://linktr.ee/MaryMaryMary" TargetMode="External"/><Relationship Id="rId833" Type="http://schemas.openxmlformats.org/officeDocument/2006/relationships/hyperlink" Target="http://montrealspabarberia.com" TargetMode="External"/><Relationship Id="rId832" Type="http://schemas.openxmlformats.org/officeDocument/2006/relationships/hyperlink" Target="https://linktr.ee/sarathriftsintexas" TargetMode="External"/><Relationship Id="rId831" Type="http://schemas.openxmlformats.org/officeDocument/2006/relationships/hyperlink" Target="https://linktr.ee/thriftingatlanta" TargetMode="External"/><Relationship Id="rId830" Type="http://schemas.openxmlformats.org/officeDocument/2006/relationships/hyperlink" Target="https://egohome.com/products/ego-black-mattress-with-graphene-technology-14-inch/?igkol=thsymphony0808" TargetMode="External"/><Relationship Id="rId837" Type="http://schemas.openxmlformats.org/officeDocument/2006/relationships/hyperlink" Target="https://mtr.bio/evanjosephsalon" TargetMode="External"/><Relationship Id="rId836" Type="http://schemas.openxmlformats.org/officeDocument/2006/relationships/hyperlink" Target="https://linktr.ee/kingdomofbeautybelgium" TargetMode="External"/><Relationship Id="rId835" Type="http://schemas.openxmlformats.org/officeDocument/2006/relationships/hyperlink" Target="http://www.mmbarbershop.com/" TargetMode="External"/><Relationship Id="rId834" Type="http://schemas.openxmlformats.org/officeDocument/2006/relationships/hyperlink" Target="https://5star-barbershop.ca" TargetMode="External"/><Relationship Id="rId469" Type="http://schemas.openxmlformats.org/officeDocument/2006/relationships/hyperlink" Target="http://wa.link/qsmb6l" TargetMode="External"/><Relationship Id="rId468" Type="http://schemas.openxmlformats.org/officeDocument/2006/relationships/hyperlink" Target="http://www.nairobistreetstyle.co.ke/" TargetMode="External"/><Relationship Id="rId467" Type="http://schemas.openxmlformats.org/officeDocument/2006/relationships/hyperlink" Target="https://youtube.com/@paolofromtokyo" TargetMode="External"/><Relationship Id="rId462" Type="http://schemas.openxmlformats.org/officeDocument/2006/relationships/hyperlink" Target="http://wa.me/505802919" TargetMode="External"/><Relationship Id="rId461" Type="http://schemas.openxmlformats.org/officeDocument/2006/relationships/hyperlink" Target="https://linktr.ee/kcollectionsghana" TargetMode="External"/><Relationship Id="rId460" Type="http://schemas.openxmlformats.org/officeDocument/2006/relationships/hyperlink" Target="https://pin.it/54bTYsU" TargetMode="External"/><Relationship Id="rId466" Type="http://schemas.openxmlformats.org/officeDocument/2006/relationships/hyperlink" Target="https://widgit.bio/hadalabo" TargetMode="External"/><Relationship Id="rId465" Type="http://schemas.openxmlformats.org/officeDocument/2006/relationships/hyperlink" Target="http://tiktok.com/@knightsskincare254" TargetMode="External"/><Relationship Id="rId464" Type="http://schemas.openxmlformats.org/officeDocument/2006/relationships/hyperlink" Target="http://nickchelsskincare.co.uk/" TargetMode="External"/><Relationship Id="rId463" Type="http://schemas.openxmlformats.org/officeDocument/2006/relationships/hyperlink" Target="https://wa.link/g2n2im" TargetMode="External"/><Relationship Id="rId459" Type="http://schemas.openxmlformats.org/officeDocument/2006/relationships/hyperlink" Target="https://lit.link/nailsbyyuka" TargetMode="External"/><Relationship Id="rId458" Type="http://schemas.openxmlformats.org/officeDocument/2006/relationships/hyperlink" Target="http://wa.me/50761111458" TargetMode="External"/><Relationship Id="rId457" Type="http://schemas.openxmlformats.org/officeDocument/2006/relationships/hyperlink" Target="https://linktr.ee/gigibeautybar" TargetMode="External"/><Relationship Id="rId456" Type="http://schemas.openxmlformats.org/officeDocument/2006/relationships/hyperlink" Target="https://linktr.ee/nairobiclothing" TargetMode="External"/><Relationship Id="rId451" Type="http://schemas.openxmlformats.org/officeDocument/2006/relationships/hyperlink" Target="http://wa.me/254786643921/" TargetMode="External"/><Relationship Id="rId450" Type="http://schemas.openxmlformats.org/officeDocument/2006/relationships/hyperlink" Target="https://bit.ly/2V3heD9" TargetMode="External"/><Relationship Id="rId455" Type="http://schemas.openxmlformats.org/officeDocument/2006/relationships/hyperlink" Target="https://linktr.ee/marirabeauty" TargetMode="External"/><Relationship Id="rId454" Type="http://schemas.openxmlformats.org/officeDocument/2006/relationships/hyperlink" Target="http://wa.me/2348020775803/" TargetMode="External"/><Relationship Id="rId453" Type="http://schemas.openxmlformats.org/officeDocument/2006/relationships/hyperlink" Target="https://www.fresha.com/book-now/ftl-beauty-studio-qr6c0aw4/services?lid=709952&amp;pId=666756" TargetMode="External"/><Relationship Id="rId452" Type="http://schemas.openxmlformats.org/officeDocument/2006/relationships/hyperlink" Target="https://atlantisvintagetokyo.com/" TargetMode="External"/><Relationship Id="rId491" Type="http://schemas.openxmlformats.org/officeDocument/2006/relationships/hyperlink" Target="http://www.kongonline.co.uk" TargetMode="External"/><Relationship Id="rId490" Type="http://schemas.openxmlformats.org/officeDocument/2006/relationships/hyperlink" Target="http://sneakersnstuff.com" TargetMode="External"/><Relationship Id="rId489" Type="http://schemas.openxmlformats.org/officeDocument/2006/relationships/hyperlink" Target="http://www.wear43way.com/" TargetMode="External"/><Relationship Id="rId484" Type="http://schemas.openxmlformats.org/officeDocument/2006/relationships/hyperlink" Target="https://linktr.ee/ootdseoul" TargetMode="External"/><Relationship Id="rId483" Type="http://schemas.openxmlformats.org/officeDocument/2006/relationships/hyperlink" Target="https://bit.ly/m/SHANGHAIMODA" TargetMode="External"/><Relationship Id="rId482" Type="http://schemas.openxmlformats.org/officeDocument/2006/relationships/hyperlink" Target="https://swtrade.en.alibaba.com/" TargetMode="External"/><Relationship Id="rId481" Type="http://schemas.openxmlformats.org/officeDocument/2006/relationships/hyperlink" Target="http://www.megumisekine.com/" TargetMode="External"/><Relationship Id="rId488" Type="http://schemas.openxmlformats.org/officeDocument/2006/relationships/hyperlink" Target="https://www.nabwork.hk" TargetMode="External"/><Relationship Id="rId487" Type="http://schemas.openxmlformats.org/officeDocument/2006/relationships/hyperlink" Target="https://linktr.ee/botanic.pretti5" TargetMode="External"/><Relationship Id="rId486" Type="http://schemas.openxmlformats.org/officeDocument/2006/relationships/hyperlink" Target="http://beacons.ai/charmeperfumes" TargetMode="External"/><Relationship Id="rId485" Type="http://schemas.openxmlformats.org/officeDocument/2006/relationships/hyperlink" Target="https://www.tiktok.com/@red_as_rose0?_t=8qtQEUQEjUP&amp;_r=1" TargetMode="External"/><Relationship Id="rId480" Type="http://schemas.openxmlformats.org/officeDocument/2006/relationships/hyperlink" Target="https://msha.ke/callalilyproject" TargetMode="External"/><Relationship Id="rId479" Type="http://schemas.openxmlformats.org/officeDocument/2006/relationships/hyperlink" Target="http://livn.greystar.cn/833" TargetMode="External"/><Relationship Id="rId478" Type="http://schemas.openxmlformats.org/officeDocument/2006/relationships/hyperlink" Target="https://www.onesvintage.com" TargetMode="External"/><Relationship Id="rId473" Type="http://schemas.openxmlformats.org/officeDocument/2006/relationships/hyperlink" Target="https://youtube.com/@thrifttokyotoru5088?si=L2PRSwN7x8eTN4U1" TargetMode="External"/><Relationship Id="rId472" Type="http://schemas.openxmlformats.org/officeDocument/2006/relationships/hyperlink" Target="https://chat.whatsapp.com/DVnf4JbONeYA33CgzxIv3v" TargetMode="External"/><Relationship Id="rId471" Type="http://schemas.openxmlformats.org/officeDocument/2006/relationships/hyperlink" Target="https://thriftsocial.hustlesasa.shop/?product=51904" TargetMode="External"/><Relationship Id="rId470" Type="http://schemas.openxmlformats.org/officeDocument/2006/relationships/hyperlink" Target="https://chat.whatsapp.com/FHXjOlkPWNsBhZ5roho64Y" TargetMode="External"/><Relationship Id="rId477" Type="http://schemas.openxmlformats.org/officeDocument/2006/relationships/hyperlink" Target="https://m.place.naver.com/hairshop/38544201/home?entry=plt" TargetMode="External"/><Relationship Id="rId476" Type="http://schemas.openxmlformats.org/officeDocument/2006/relationships/hyperlink" Target="https://www.youtube.com/channel/UCUFFOJJznwNx62ZKdum3bSw" TargetMode="External"/><Relationship Id="rId475" Type="http://schemas.openxmlformats.org/officeDocument/2006/relationships/hyperlink" Target="https://www.shopier.com/tokyo_accessoires" TargetMode="External"/><Relationship Id="rId474" Type="http://schemas.openxmlformats.org/officeDocument/2006/relationships/hyperlink" Target="https://crafttokyo.shoplineapp.com/" TargetMode="External"/><Relationship Id="rId426" Type="http://schemas.openxmlformats.org/officeDocument/2006/relationships/hyperlink" Target="https://wa.link/2azlya" TargetMode="External"/><Relationship Id="rId425" Type="http://schemas.openxmlformats.org/officeDocument/2006/relationships/hyperlink" Target="https://buyellatrends.catlog.shop" TargetMode="External"/><Relationship Id="rId424" Type="http://schemas.openxmlformats.org/officeDocument/2006/relationships/hyperlink" Target="https://linktr.ee/Doseofglamcosmetics" TargetMode="External"/><Relationship Id="rId423" Type="http://schemas.openxmlformats.org/officeDocument/2006/relationships/hyperlink" Target="http://cosmetica.qa" TargetMode="External"/><Relationship Id="rId429" Type="http://schemas.openxmlformats.org/officeDocument/2006/relationships/hyperlink" Target="http://api.whatsapp.com/send?phone=2347063174962" TargetMode="External"/><Relationship Id="rId428" Type="http://schemas.openxmlformats.org/officeDocument/2006/relationships/hyperlink" Target="http://www.hermosamartng.com" TargetMode="External"/><Relationship Id="rId427" Type="http://schemas.openxmlformats.org/officeDocument/2006/relationships/hyperlink" Target="http://hermosamart.ng" TargetMode="External"/><Relationship Id="rId422" Type="http://schemas.openxmlformats.org/officeDocument/2006/relationships/hyperlink" Target="https://maps.app.goo.gl/P3cb9UwuEoVruMR8A?g_st=ic" TargetMode="External"/><Relationship Id="rId421" Type="http://schemas.openxmlformats.org/officeDocument/2006/relationships/hyperlink" Target="https://thescentarena.com" TargetMode="External"/><Relationship Id="rId420" Type="http://schemas.openxmlformats.org/officeDocument/2006/relationships/hyperlink" Target="http://wa.me/+2347033198234" TargetMode="External"/><Relationship Id="rId415" Type="http://schemas.openxmlformats.org/officeDocument/2006/relationships/hyperlink" Target="https://wa.link/6x6l9z" TargetMode="External"/><Relationship Id="rId899" Type="http://schemas.openxmlformats.org/officeDocument/2006/relationships/hyperlink" Target="https://t.me/nastenkayankinaa" TargetMode="External"/><Relationship Id="rId414" Type="http://schemas.openxmlformats.org/officeDocument/2006/relationships/hyperlink" Target="http://linktr.ee/stabeautypalace" TargetMode="External"/><Relationship Id="rId898" Type="http://schemas.openxmlformats.org/officeDocument/2006/relationships/hyperlink" Target="http://wa.me/5534998561235/" TargetMode="External"/><Relationship Id="rId413" Type="http://schemas.openxmlformats.org/officeDocument/2006/relationships/hyperlink" Target="http://tinyurl.com/y8wesakc" TargetMode="External"/><Relationship Id="rId897" Type="http://schemas.openxmlformats.org/officeDocument/2006/relationships/hyperlink" Target="https://chat.whatsapp.com/L5SkYJ5iHcT8RrqUPz3XM4" TargetMode="External"/><Relationship Id="rId412" Type="http://schemas.openxmlformats.org/officeDocument/2006/relationships/hyperlink" Target="http://wa.me/2348063267900/" TargetMode="External"/><Relationship Id="rId896" Type="http://schemas.openxmlformats.org/officeDocument/2006/relationships/hyperlink" Target="https://taplink.cc/cliffbrussels?from=qr" TargetMode="External"/><Relationship Id="rId419" Type="http://schemas.openxmlformats.org/officeDocument/2006/relationships/hyperlink" Target="https://jennyscents.ng" TargetMode="External"/><Relationship Id="rId418" Type="http://schemas.openxmlformats.org/officeDocument/2006/relationships/hyperlink" Target="https://linktr.ee/dazzlescloset" TargetMode="External"/><Relationship Id="rId417" Type="http://schemas.openxmlformats.org/officeDocument/2006/relationships/hyperlink" Target="http://wa.me/2348063267900/" TargetMode="External"/><Relationship Id="rId416" Type="http://schemas.openxmlformats.org/officeDocument/2006/relationships/hyperlink" Target="http://kikibeautystore.ng" TargetMode="External"/><Relationship Id="rId891" Type="http://schemas.openxmlformats.org/officeDocument/2006/relationships/hyperlink" Target="http://linktr.ee/bronzeandglow" TargetMode="External"/><Relationship Id="rId890" Type="http://schemas.openxmlformats.org/officeDocument/2006/relationships/hyperlink" Target="http://vk.com/club38590895" TargetMode="External"/><Relationship Id="rId411" Type="http://schemas.openxmlformats.org/officeDocument/2006/relationships/hyperlink" Target="https://wa.link/6x6l9z" TargetMode="External"/><Relationship Id="rId895" Type="http://schemas.openxmlformats.org/officeDocument/2006/relationships/hyperlink" Target="https://makeupbykaca.myvod.eu/kurs/386/kurs-makijazu-dziennego" TargetMode="External"/><Relationship Id="rId410" Type="http://schemas.openxmlformats.org/officeDocument/2006/relationships/hyperlink" Target="https://shinebydinma.com" TargetMode="External"/><Relationship Id="rId894" Type="http://schemas.openxmlformats.org/officeDocument/2006/relationships/hyperlink" Target="https://www.youtube.com/@KatarinaBarska" TargetMode="External"/><Relationship Id="rId893" Type="http://schemas.openxmlformats.org/officeDocument/2006/relationships/hyperlink" Target="https://taplink.cc/anna_light_muah" TargetMode="External"/><Relationship Id="rId892" Type="http://schemas.openxmlformats.org/officeDocument/2006/relationships/hyperlink" Target="https://www.phorest.com/salon/brownsugar?utm_source=insta_book_now" TargetMode="External"/><Relationship Id="rId448" Type="http://schemas.openxmlformats.org/officeDocument/2006/relationships/hyperlink" Target="https://atlantisvintagetokyo.com/" TargetMode="External"/><Relationship Id="rId447" Type="http://schemas.openxmlformats.org/officeDocument/2006/relationships/hyperlink" Target="https://trendsaddict.bumpa.shop" TargetMode="External"/><Relationship Id="rId446" Type="http://schemas.openxmlformats.org/officeDocument/2006/relationships/hyperlink" Target="https://stekina.com/profile/YU9V-UU3B?stype=lp" TargetMode="External"/><Relationship Id="rId445" Type="http://schemas.openxmlformats.org/officeDocument/2006/relationships/hyperlink" Target="https://www.facebook.com/Gloradiance/" TargetMode="External"/><Relationship Id="rId449" Type="http://schemas.openxmlformats.org/officeDocument/2006/relationships/hyperlink" Target="https://www.accra.luxury/" TargetMode="External"/><Relationship Id="rId440" Type="http://schemas.openxmlformats.org/officeDocument/2006/relationships/hyperlink" Target="https://t.me/+cH8y2yn8c3E4NTM0" TargetMode="External"/><Relationship Id="rId444" Type="http://schemas.openxmlformats.org/officeDocument/2006/relationships/hyperlink" Target="http://alalyastudio.com" TargetMode="External"/><Relationship Id="rId443" Type="http://schemas.openxmlformats.org/officeDocument/2006/relationships/hyperlink" Target="http://wa.me/+2348160068920" TargetMode="External"/><Relationship Id="rId442" Type="http://schemas.openxmlformats.org/officeDocument/2006/relationships/hyperlink" Target="https://whatsapp.com/channel/0029VaDAxhq9MF94Nz0f0m2b" TargetMode="External"/><Relationship Id="rId441" Type="http://schemas.openxmlformats.org/officeDocument/2006/relationships/hyperlink" Target="https://whatsapp.com/channel/0029VbApSwa2P59hyZ8bl337" TargetMode="External"/><Relationship Id="rId437" Type="http://schemas.openxmlformats.org/officeDocument/2006/relationships/hyperlink" Target="http://www.lagosstreetstyle.com/" TargetMode="External"/><Relationship Id="rId436" Type="http://schemas.openxmlformats.org/officeDocument/2006/relationships/hyperlink" Target="https://bglamstore.taplink.ws" TargetMode="External"/><Relationship Id="rId435" Type="http://schemas.openxmlformats.org/officeDocument/2006/relationships/hyperlink" Target="https://360shops.com.ng" TargetMode="External"/><Relationship Id="rId434" Type="http://schemas.openxmlformats.org/officeDocument/2006/relationships/hyperlink" Target="https://cairoshoes.com/en" TargetMode="External"/><Relationship Id="rId439" Type="http://schemas.openxmlformats.org/officeDocument/2006/relationships/hyperlink" Target="https://linktr.ee/theokrikahub" TargetMode="External"/><Relationship Id="rId438" Type="http://schemas.openxmlformats.org/officeDocument/2006/relationships/hyperlink" Target="http://api.whatsapp.com/send?phone=2348180053818" TargetMode="External"/><Relationship Id="rId433" Type="http://schemas.openxmlformats.org/officeDocument/2006/relationships/hyperlink" Target="http://cairoshoes.eg" TargetMode="External"/><Relationship Id="rId432" Type="http://schemas.openxmlformats.org/officeDocument/2006/relationships/hyperlink" Target="https://zinnyluxuriousskincare.bumpa.shop" TargetMode="External"/><Relationship Id="rId431" Type="http://schemas.openxmlformats.org/officeDocument/2006/relationships/hyperlink" Target="https://taplink.cc/tyra___skincare" TargetMode="External"/><Relationship Id="rId430" Type="http://schemas.openxmlformats.org/officeDocument/2006/relationships/hyperlink" Target="https://linktr.ee/reysbeautyshelf" TargetMode="External"/></Relationships>
</file>

<file path=xl/worksheets/_rels/sheet14.xml.rels><?xml version="1.0" encoding="UTF-8" standalone="yes"?><Relationships xmlns="http://schemas.openxmlformats.org/package/2006/relationships"><Relationship Id="rId392" Type="http://schemas.openxmlformats.org/officeDocument/2006/relationships/hyperlink" Target="https://spirosvarotsis.com/product/allaxe-soma-se-21-meres/" TargetMode="External"/><Relationship Id="rId391" Type="http://schemas.openxmlformats.org/officeDocument/2006/relationships/hyperlink" Target="https://linktr.ee/LongevityxLab" TargetMode="External"/><Relationship Id="rId390" Type="http://schemas.openxmlformats.org/officeDocument/2006/relationships/hyperlink" Target="https://linktr.ee/longevitypet" TargetMode="External"/><Relationship Id="rId1" Type="http://schemas.openxmlformats.org/officeDocument/2006/relationships/hyperlink" Target="https://linktr.ee/absoluteamy" TargetMode="External"/><Relationship Id="rId2" Type="http://schemas.openxmlformats.org/officeDocument/2006/relationships/hyperlink" Target="http://www.absolutebasics.lk" TargetMode="External"/><Relationship Id="rId3" Type="http://schemas.openxmlformats.org/officeDocument/2006/relationships/hyperlink" Target="https://linktr.ee/absolutedu" TargetMode="External"/><Relationship Id="rId4" Type="http://schemas.openxmlformats.org/officeDocument/2006/relationships/hyperlink" Target="https://bossladybio.com/amyalford/" TargetMode="External"/><Relationship Id="rId9" Type="http://schemas.openxmlformats.org/officeDocument/2006/relationships/hyperlink" Target="http://accord.kz" TargetMode="External"/><Relationship Id="rId385" Type="http://schemas.openxmlformats.org/officeDocument/2006/relationships/hyperlink" Target="https://linktr.ee/longevity2.0" TargetMode="External"/><Relationship Id="rId384" Type="http://schemas.openxmlformats.org/officeDocument/2006/relationships/hyperlink" Target="https://yourlongevity.ticketspice.com/her-longevity" TargetMode="External"/><Relationship Id="rId383" Type="http://schemas.openxmlformats.org/officeDocument/2006/relationships/hyperlink" Target="http://www.drlongevity.ai" TargetMode="External"/><Relationship Id="rId382" Type="http://schemas.openxmlformats.org/officeDocument/2006/relationships/hyperlink" Target="https://beacons.ai/benyim33" TargetMode="External"/><Relationship Id="rId5" Type="http://schemas.openxmlformats.org/officeDocument/2006/relationships/hyperlink" Target="https://youtu.be/CrTtOFeSbDs?feature=shared" TargetMode="External"/><Relationship Id="rId389" Type="http://schemas.openxmlformats.org/officeDocument/2006/relationships/hyperlink" Target="https://linkin.bio/longevity_live" TargetMode="External"/><Relationship Id="rId6" Type="http://schemas.openxmlformats.org/officeDocument/2006/relationships/hyperlink" Target="https://linktr.ee/absoluterecomp?utm_source=linktree_admin_share" TargetMode="External"/><Relationship Id="rId388" Type="http://schemas.openxmlformats.org/officeDocument/2006/relationships/hyperlink" Target="http://longevityenthusiasts.org" TargetMode="External"/><Relationship Id="rId7" Type="http://schemas.openxmlformats.org/officeDocument/2006/relationships/hyperlink" Target="https://absolutely.lnk.to/IJDKYY" TargetMode="External"/><Relationship Id="rId387" Type="http://schemas.openxmlformats.org/officeDocument/2006/relationships/hyperlink" Target="http://scorecard.longevitydaily.com" TargetMode="External"/><Relationship Id="rId8" Type="http://schemas.openxmlformats.org/officeDocument/2006/relationships/hyperlink" Target="https://www.shopltk.com/explore/accordingtomandy" TargetMode="External"/><Relationship Id="rId386" Type="http://schemas.openxmlformats.org/officeDocument/2006/relationships/hyperlink" Target="https://stan.store/longevitybylauren" TargetMode="External"/><Relationship Id="rId381" Type="http://schemas.openxmlformats.org/officeDocument/2006/relationships/hyperlink" Target="https://onescreener.com/annelina-waller" TargetMode="External"/><Relationship Id="rId380" Type="http://schemas.openxmlformats.org/officeDocument/2006/relationships/hyperlink" Target="http://ourlegacy.com" TargetMode="External"/><Relationship Id="rId379" Type="http://schemas.openxmlformats.org/officeDocument/2006/relationships/hyperlink" Target="https://bio.site/legacyorlando" TargetMode="External"/><Relationship Id="rId374" Type="http://schemas.openxmlformats.org/officeDocument/2006/relationships/hyperlink" Target="https://youtu.be/l3Rn45rTeCI" TargetMode="External"/><Relationship Id="rId373" Type="http://schemas.openxmlformats.org/officeDocument/2006/relationships/hyperlink" Target="https://linktr.ee/aboutlayering" TargetMode="External"/><Relationship Id="rId372" Type="http://schemas.openxmlformats.org/officeDocument/2006/relationships/hyperlink" Target="https://kessla.com/products/automatic-rotating-masturbator" TargetMode="External"/><Relationship Id="rId371" Type="http://schemas.openxmlformats.org/officeDocument/2006/relationships/hyperlink" Target="https://kessla.com/products/automatic-rotating-masturbator" TargetMode="External"/><Relationship Id="rId378" Type="http://schemas.openxmlformats.org/officeDocument/2006/relationships/hyperlink" Target="http://beacons.ai/legacyleee" TargetMode="External"/><Relationship Id="rId377" Type="http://schemas.openxmlformats.org/officeDocument/2006/relationships/hyperlink" Target="http://twitter.com/legacyggbr" TargetMode="External"/><Relationship Id="rId376" Type="http://schemas.openxmlformats.org/officeDocument/2006/relationships/hyperlink" Target="https://linktr.ee/legacychurchnm" TargetMode="External"/><Relationship Id="rId375" Type="http://schemas.openxmlformats.org/officeDocument/2006/relationships/hyperlink" Target="https://bit.ly/3TMCJUn" TargetMode="External"/><Relationship Id="rId396" Type="http://schemas.openxmlformats.org/officeDocument/2006/relationships/hyperlink" Target="https://www.schoolofstyle.com" TargetMode="External"/><Relationship Id="rId395" Type="http://schemas.openxmlformats.org/officeDocument/2006/relationships/hyperlink" Target="http://luxurydances.bio.link" TargetMode="External"/><Relationship Id="rId394" Type="http://schemas.openxmlformats.org/officeDocument/2006/relationships/hyperlink" Target="https://kosmetikfachinstitut-luxury.de/" TargetMode="External"/><Relationship Id="rId393" Type="http://schemas.openxmlformats.org/officeDocument/2006/relationships/hyperlink" Target="http://bellaluxurycars.com" TargetMode="External"/><Relationship Id="rId399" Type="http://schemas.openxmlformats.org/officeDocument/2006/relationships/hyperlink" Target="https://lynk.id/famestateid" TargetMode="External"/><Relationship Id="rId398" Type="http://schemas.openxmlformats.org/officeDocument/2006/relationships/hyperlink" Target="https://urbanluxurymarcas.com/" TargetMode="External"/><Relationship Id="rId397" Type="http://schemas.openxmlformats.org/officeDocument/2006/relationships/hyperlink" Target="https://t.me/baddiesboutique" TargetMode="External"/><Relationship Id="rId40" Type="http://schemas.openxmlformats.org/officeDocument/2006/relationships/hyperlink" Target="http://annapryadko.com/" TargetMode="External"/><Relationship Id="rId42" Type="http://schemas.openxmlformats.org/officeDocument/2006/relationships/hyperlink" Target="https://bio.site/artistic.dan" TargetMode="External"/><Relationship Id="rId41" Type="http://schemas.openxmlformats.org/officeDocument/2006/relationships/hyperlink" Target="https://www.youtube.com/@artistic.aestheticss" TargetMode="External"/><Relationship Id="rId44" Type="http://schemas.openxmlformats.org/officeDocument/2006/relationships/hyperlink" Target="https://www.spotsalenow.com/product-page/car-cymbal-air-vent-mini-drum-beatride-pro?fbclid=PARlRTSAMpgB5leHRuA2FlbQIxMAABp2bwRuXCUyW1ClumSHjZuAmK4tZ-plPgoZN6DIYbNGeWKtSoYM17ScKkZfjS_aem_cxCYSIQxm0RoMXpylL-Exg" TargetMode="External"/><Relationship Id="rId43" Type="http://schemas.openxmlformats.org/officeDocument/2006/relationships/hyperlink" Target="https://zavinox.com/products/zavinox-solar-power-bank" TargetMode="External"/><Relationship Id="rId46" Type="http://schemas.openxmlformats.org/officeDocument/2006/relationships/hyperlink" Target="http://seriv.com/shop" TargetMode="External"/><Relationship Id="rId45" Type="http://schemas.openxmlformats.org/officeDocument/2006/relationships/hyperlink" Target="https://linktr.ee/artisticwafflesvc" TargetMode="External"/><Relationship Id="rId48" Type="http://schemas.openxmlformats.org/officeDocument/2006/relationships/hyperlink" Target="https://atelier-pierrot.jp/" TargetMode="External"/><Relationship Id="rId47" Type="http://schemas.openxmlformats.org/officeDocument/2006/relationships/hyperlink" Target="https://lin.ee/1Ft082Y" TargetMode="External"/><Relationship Id="rId49" Type="http://schemas.openxmlformats.org/officeDocument/2006/relationships/hyperlink" Target="https://atpatelier.com/" TargetMode="External"/><Relationship Id="rId31" Type="http://schemas.openxmlformats.org/officeDocument/2006/relationships/hyperlink" Target="http://aa-group.net/" TargetMode="External"/><Relationship Id="rId30" Type="http://schemas.openxmlformats.org/officeDocument/2006/relationships/hyperlink" Target="https://linktr.ee/dublincorkdutyfree" TargetMode="External"/><Relationship Id="rId33" Type="http://schemas.openxmlformats.org/officeDocument/2006/relationships/hyperlink" Target="http://ambassadorsun.com/" TargetMode="External"/><Relationship Id="rId32" Type="http://schemas.openxmlformats.org/officeDocument/2006/relationships/hyperlink" Target="https://docabakumoff.ru/stop-deficit-list?utm_source=storiesmitroshina&amp;utm_medium=storiesmitroshina&amp;utm_campaign=storiesmitroshina" TargetMode="External"/><Relationship Id="rId35" Type="http://schemas.openxmlformats.org/officeDocument/2006/relationships/hyperlink" Target="http://aroma_lab.ru" TargetMode="External"/><Relationship Id="rId34" Type="http://schemas.openxmlformats.org/officeDocument/2006/relationships/hyperlink" Target="https://likeshop.me/ambassadorcruiseline" TargetMode="External"/><Relationship Id="rId37" Type="http://schemas.openxmlformats.org/officeDocument/2006/relationships/hyperlink" Target="https://maps.app.goo.gl/9zR88MkeuvQuBKPr9?g_st=com.google.maps.preview.copy" TargetMode="External"/><Relationship Id="rId36" Type="http://schemas.openxmlformats.org/officeDocument/2006/relationships/hyperlink" Target="https://www.manfredihotels.com/aroma/" TargetMode="External"/><Relationship Id="rId39" Type="http://schemas.openxmlformats.org/officeDocument/2006/relationships/hyperlink" Target="http://wa.me/96566171699" TargetMode="External"/><Relationship Id="rId38" Type="http://schemas.openxmlformats.org/officeDocument/2006/relationships/hyperlink" Target="https://g.co/kgs/r7Hqvtr" TargetMode="External"/><Relationship Id="rId20" Type="http://schemas.openxmlformats.org/officeDocument/2006/relationships/hyperlink" Target="https://masculineframe.framer.website/" TargetMode="External"/><Relationship Id="rId22" Type="http://schemas.openxmlformats.org/officeDocument/2006/relationships/hyperlink" Target="https://t.me/aesthetistt" TargetMode="External"/><Relationship Id="rId21" Type="http://schemas.openxmlformats.org/officeDocument/2006/relationships/hyperlink" Target="http://aestheticvillain.com" TargetMode="External"/><Relationship Id="rId24" Type="http://schemas.openxmlformats.org/officeDocument/2006/relationships/hyperlink" Target="https://www.montfashshop.com/products/aria-cross-back-cami-romper-dress" TargetMode="External"/><Relationship Id="rId23" Type="http://schemas.openxmlformats.org/officeDocument/2006/relationships/hyperlink" Target="https://bikesaesthetics.com/" TargetMode="External"/><Relationship Id="rId26" Type="http://schemas.openxmlformats.org/officeDocument/2006/relationships/hyperlink" Target="https://medest.kg/" TargetMode="External"/><Relationship Id="rId25" Type="http://schemas.openxmlformats.org/officeDocument/2006/relationships/hyperlink" Target="http://medest.kg" TargetMode="External"/><Relationship Id="rId28" Type="http://schemas.openxmlformats.org/officeDocument/2006/relationships/hyperlink" Target="https://www.myaesthetic.ai" TargetMode="External"/><Relationship Id="rId27" Type="http://schemas.openxmlformats.org/officeDocument/2006/relationships/hyperlink" Target="http://myaesthetic.ai" TargetMode="External"/><Relationship Id="rId29" Type="http://schemas.openxmlformats.org/officeDocument/2006/relationships/hyperlink" Target="http://www.nowaesthetic.com/" TargetMode="External"/><Relationship Id="rId11" Type="http://schemas.openxmlformats.org/officeDocument/2006/relationships/hyperlink" Target="https://linktr.ee/accordsalud" TargetMode="External"/><Relationship Id="rId10" Type="http://schemas.openxmlformats.org/officeDocument/2006/relationships/hyperlink" Target="https://taplink.cc/accordkz" TargetMode="External"/><Relationship Id="rId13" Type="http://schemas.openxmlformats.org/officeDocument/2006/relationships/hyperlink" Target="https://link-tree.advertising360.in/" TargetMode="External"/><Relationship Id="rId12" Type="http://schemas.openxmlformats.org/officeDocument/2006/relationships/hyperlink" Target="http://advertising360.in" TargetMode="External"/><Relationship Id="rId15" Type="http://schemas.openxmlformats.org/officeDocument/2006/relationships/hyperlink" Target="https://www.alihamidistudio.com" TargetMode="External"/><Relationship Id="rId14" Type="http://schemas.openxmlformats.org/officeDocument/2006/relationships/hyperlink" Target="https://linktr.ee/advertisingweek" TargetMode="External"/><Relationship Id="rId17" Type="http://schemas.openxmlformats.org/officeDocument/2006/relationships/hyperlink" Target="http://navand.co/" TargetMode="External"/><Relationship Id="rId16" Type="http://schemas.openxmlformats.org/officeDocument/2006/relationships/hyperlink" Target="http://www.mwg.co.com/" TargetMode="External"/><Relationship Id="rId19" Type="http://schemas.openxmlformats.org/officeDocument/2006/relationships/hyperlink" Target="https://linktr.ee/pinkcoconut" TargetMode="External"/><Relationship Id="rId18" Type="http://schemas.openxmlformats.org/officeDocument/2006/relationships/hyperlink" Target="http://linktr.ee/stuffaboutadvertising/" TargetMode="External"/><Relationship Id="rId84" Type="http://schemas.openxmlformats.org/officeDocument/2006/relationships/hyperlink" Target="https://www.blender.org" TargetMode="External"/><Relationship Id="rId83" Type="http://schemas.openxmlformats.org/officeDocument/2006/relationships/hyperlink" Target="https://linktr.ee/blendhamburger" TargetMode="External"/><Relationship Id="rId86" Type="http://schemas.openxmlformats.org/officeDocument/2006/relationships/hyperlink" Target="https://shor.by/xI6p" TargetMode="External"/><Relationship Id="rId85" Type="http://schemas.openxmlformats.org/officeDocument/2006/relationships/hyperlink" Target="http://linktr.ee/blenders" TargetMode="External"/><Relationship Id="rId88" Type="http://schemas.openxmlformats.org/officeDocument/2006/relationships/hyperlink" Target="https://blendprojects.co/" TargetMode="External"/><Relationship Id="rId87" Type="http://schemas.openxmlformats.org/officeDocument/2006/relationships/hyperlink" Target="http://www.blendonthewater.com" TargetMode="External"/><Relationship Id="rId89" Type="http://schemas.openxmlformats.org/officeDocument/2006/relationships/hyperlink" Target="https://linktr.ee/blend_shop" TargetMode="External"/><Relationship Id="rId80" Type="http://schemas.openxmlformats.org/officeDocument/2006/relationships/hyperlink" Target="http://beautyspot.eg" TargetMode="External"/><Relationship Id="rId82" Type="http://schemas.openxmlformats.org/officeDocument/2006/relationships/hyperlink" Target="https://thebeautyspot.myportfolio.com" TargetMode="External"/><Relationship Id="rId81" Type="http://schemas.openxmlformats.org/officeDocument/2006/relationships/hyperlink" Target="https://beautyspoteg.com" TargetMode="External"/><Relationship Id="rId73" Type="http://schemas.openxmlformats.org/officeDocument/2006/relationships/hyperlink" Target="https://jadegodbolt.com/rollerset/" TargetMode="External"/><Relationship Id="rId72" Type="http://schemas.openxmlformats.org/officeDocument/2006/relationships/hyperlink" Target="https://linktr.ee/thecertifiedway?utm_source=linktree_admin_share" TargetMode="External"/><Relationship Id="rId75" Type="http://schemas.openxmlformats.org/officeDocument/2006/relationships/hyperlink" Target="http://api.whatsapp.com/send?phone=2348034407924" TargetMode="External"/><Relationship Id="rId74" Type="http://schemas.openxmlformats.org/officeDocument/2006/relationships/hyperlink" Target="https://linktr.ee/kikafrutos" TargetMode="External"/><Relationship Id="rId77" Type="http://schemas.openxmlformats.org/officeDocument/2006/relationships/hyperlink" Target="https://t.me/vatheaux" TargetMode="External"/><Relationship Id="rId76" Type="http://schemas.openxmlformats.org/officeDocument/2006/relationships/hyperlink" Target="https://t.me/+5_USStNFCHowMzI8" TargetMode="External"/><Relationship Id="rId79" Type="http://schemas.openxmlformats.org/officeDocument/2006/relationships/hyperlink" Target="http://fb.com/beautyspotcosmo" TargetMode="External"/><Relationship Id="rId78" Type="http://schemas.openxmlformats.org/officeDocument/2006/relationships/hyperlink" Target="http://beautyontour.com" TargetMode="External"/><Relationship Id="rId71" Type="http://schemas.openxmlformats.org/officeDocument/2006/relationships/hyperlink" Target="http://www.tiktok.com/@rymabeauty03" TargetMode="External"/><Relationship Id="rId70" Type="http://schemas.openxmlformats.org/officeDocument/2006/relationships/hyperlink" Target="https://beautyadrin.ir/" TargetMode="External"/><Relationship Id="rId62" Type="http://schemas.openxmlformats.org/officeDocument/2006/relationships/hyperlink" Target="http://www.mybasenotes.com/" TargetMode="External"/><Relationship Id="rId61" Type="http://schemas.openxmlformats.org/officeDocument/2006/relationships/hyperlink" Target="https://www.avantgardeoriginal.com/" TargetMode="External"/><Relationship Id="rId64" Type="http://schemas.openxmlformats.org/officeDocument/2006/relationships/hyperlink" Target="http://on.dior.com/backstage" TargetMode="External"/><Relationship Id="rId63" Type="http://schemas.openxmlformats.org/officeDocument/2006/relationships/hyperlink" Target="http://bntehran.com/" TargetMode="External"/><Relationship Id="rId66" Type="http://schemas.openxmlformats.org/officeDocument/2006/relationships/hyperlink" Target="https://maps.app.goo.gl/XDJazdY8eaavhm619?g_st=ic" TargetMode="External"/><Relationship Id="rId65" Type="http://schemas.openxmlformats.org/officeDocument/2006/relationships/hyperlink" Target="https://linktr.ee/luxebeauty.com" TargetMode="External"/><Relationship Id="rId68" Type="http://schemas.openxmlformats.org/officeDocument/2006/relationships/hyperlink" Target="https://beacons.ai/beautyaddicts.pe" TargetMode="External"/><Relationship Id="rId67" Type="http://schemas.openxmlformats.org/officeDocument/2006/relationships/hyperlink" Target="http://beautyaddicts.pe" TargetMode="External"/><Relationship Id="rId60" Type="http://schemas.openxmlformats.org/officeDocument/2006/relationships/hyperlink" Target="http://avantgardenla.com/" TargetMode="External"/><Relationship Id="rId69" Type="http://schemas.openxmlformats.org/officeDocument/2006/relationships/hyperlink" Target="http://wa.me/+77770472020" TargetMode="External"/><Relationship Id="rId51" Type="http://schemas.openxmlformats.org/officeDocument/2006/relationships/hyperlink" Target="http://latuiatelier.com" TargetMode="External"/><Relationship Id="rId50" Type="http://schemas.openxmlformats.org/officeDocument/2006/relationships/hyperlink" Target="https://atelier.haebmau.com/" TargetMode="External"/><Relationship Id="rId53" Type="http://schemas.openxmlformats.org/officeDocument/2006/relationships/hyperlink" Target="https://linktr.ee/prudentgabriel29" TargetMode="External"/><Relationship Id="rId52" Type="http://schemas.openxmlformats.org/officeDocument/2006/relationships/hyperlink" Target="https://manuatelier.com/?utm_source=Instagram&amp;utm_medium=Instagram+Bio&amp;utm_campaign=Manu+Atelier+" TargetMode="External"/><Relationship Id="rId55" Type="http://schemas.openxmlformats.org/officeDocument/2006/relationships/hyperlink" Target="http://www.sakatelier.com" TargetMode="External"/><Relationship Id="rId54" Type="http://schemas.openxmlformats.org/officeDocument/2006/relationships/hyperlink" Target="http://www.sachatelier.com" TargetMode="External"/><Relationship Id="rId57" Type="http://schemas.openxmlformats.org/officeDocument/2006/relationships/hyperlink" Target="http://svatelier.org/" TargetMode="External"/><Relationship Id="rId56" Type="http://schemas.openxmlformats.org/officeDocument/2006/relationships/hyperlink" Target="http://www.soosatelier.com" TargetMode="External"/><Relationship Id="rId59" Type="http://schemas.openxmlformats.org/officeDocument/2006/relationships/hyperlink" Target="https://maps.google.com/?q=33.584385%2C-7.633268" TargetMode="External"/><Relationship Id="rId58" Type="http://schemas.openxmlformats.org/officeDocument/2006/relationships/hyperlink" Target="https://whenever.vn/" TargetMode="External"/><Relationship Id="rId349" Type="http://schemas.openxmlformats.org/officeDocument/2006/relationships/hyperlink" Target="http://www.infusioncrab.com" TargetMode="External"/><Relationship Id="rId348" Type="http://schemas.openxmlformats.org/officeDocument/2006/relationships/hyperlink" Target="https://infusion.am/menu" TargetMode="External"/><Relationship Id="rId347" Type="http://schemas.openxmlformats.org/officeDocument/2006/relationships/hyperlink" Target="https://youtu.be/iEi0bmYWYJg?si=wk2FWAU3qpzZUIa2" TargetMode="External"/><Relationship Id="rId346" Type="http://schemas.openxmlformats.org/officeDocument/2006/relationships/hyperlink" Target="http://linktr.ee/yesstyleinfluencers/" TargetMode="External"/><Relationship Id="rId341" Type="http://schemas.openxmlformats.org/officeDocument/2006/relationships/hyperlink" Target="http://influencer.in" TargetMode="External"/><Relationship Id="rId340" Type="http://schemas.openxmlformats.org/officeDocument/2006/relationships/hyperlink" Target="http://influencer.in" TargetMode="External"/><Relationship Id="rId345" Type="http://schemas.openxmlformats.org/officeDocument/2006/relationships/hyperlink" Target="https://www.eventbrite.com/e/1425402851299?aff=oddtdtcreator" TargetMode="External"/><Relationship Id="rId344" Type="http://schemas.openxmlformats.org/officeDocument/2006/relationships/hyperlink" Target="https://linktr.ee/revista_influencermx" TargetMode="External"/><Relationship Id="rId343" Type="http://schemas.openxmlformats.org/officeDocument/2006/relationships/hyperlink" Target="http://influencersinthewild.com" TargetMode="External"/><Relationship Id="rId342" Type="http://schemas.openxmlformats.org/officeDocument/2006/relationships/hyperlink" Target="https://product.influencer.in/signup" TargetMode="External"/><Relationship Id="rId338" Type="http://schemas.openxmlformats.org/officeDocument/2006/relationships/hyperlink" Target="https://heylink.me/indoinfluence" TargetMode="External"/><Relationship Id="rId337" Type="http://schemas.openxmlformats.org/officeDocument/2006/relationships/hyperlink" Target="http://indoinfluence.id" TargetMode="External"/><Relationship Id="rId336" Type="http://schemas.openxmlformats.org/officeDocument/2006/relationships/hyperlink" Target="http://www.boxinginfluencers.nl" TargetMode="External"/><Relationship Id="rId335" Type="http://schemas.openxmlformats.org/officeDocument/2006/relationships/hyperlink" Target="https://www.tiktok.com/t/ZTjgatLXP/" TargetMode="External"/><Relationship Id="rId339" Type="http://schemas.openxmlformats.org/officeDocument/2006/relationships/hyperlink" Target="http://premohouse.com" TargetMode="External"/><Relationship Id="rId330" Type="http://schemas.openxmlformats.org/officeDocument/2006/relationships/hyperlink" Target="https://linktr.ee/HeritageFarm" TargetMode="External"/><Relationship Id="rId334" Type="http://schemas.openxmlformats.org/officeDocument/2006/relationships/hyperlink" Target="https://linktr.ee/iconicallyalex" TargetMode="External"/><Relationship Id="rId333" Type="http://schemas.openxmlformats.org/officeDocument/2006/relationships/hyperlink" Target="http://randomandchic.com/" TargetMode="External"/><Relationship Id="rId332" Type="http://schemas.openxmlformats.org/officeDocument/2006/relationships/hyperlink" Target="https://linktr.ee/k.heritage" TargetMode="External"/><Relationship Id="rId331" Type="http://schemas.openxmlformats.org/officeDocument/2006/relationships/hyperlink" Target="http://www.heritagewheel.com/" TargetMode="External"/><Relationship Id="rId370" Type="http://schemas.openxmlformats.org/officeDocument/2006/relationships/hyperlink" Target="https://unitedmasters.com/m/6346d5c450866722ad0067aa" TargetMode="External"/><Relationship Id="rId369" Type="http://schemas.openxmlformats.org/officeDocument/2006/relationships/hyperlink" Target="https://vm.tiktok.com/ZMN1EhE4N/" TargetMode="External"/><Relationship Id="rId368" Type="http://schemas.openxmlformats.org/officeDocument/2006/relationships/hyperlink" Target="https://bouncy.ai/the-best-johnny-depp-merchs-here" TargetMode="External"/><Relationship Id="rId363" Type="http://schemas.openxmlformats.org/officeDocument/2006/relationships/hyperlink" Target="https://www.instagram.com/intense_oud/shop" TargetMode="External"/><Relationship Id="rId362" Type="http://schemas.openxmlformats.org/officeDocument/2006/relationships/hyperlink" Target="https://www.axessunltd.com" TargetMode="External"/><Relationship Id="rId361" Type="http://schemas.openxmlformats.org/officeDocument/2006/relationships/hyperlink" Target="https://youtu.be/ntwZkSYS6j4" TargetMode="External"/><Relationship Id="rId360" Type="http://schemas.openxmlformats.org/officeDocument/2006/relationships/hyperlink" Target="https://linktr.ee/intensecycleseurope" TargetMode="External"/><Relationship Id="rId367" Type="http://schemas.openxmlformats.org/officeDocument/2006/relationships/hyperlink" Target="https://vk.com/public208208116" TargetMode="External"/><Relationship Id="rId366" Type="http://schemas.openxmlformats.org/officeDocument/2006/relationships/hyperlink" Target="https://twitter.com/deppbrazilfc" TargetMode="External"/><Relationship Id="rId365" Type="http://schemas.openxmlformats.org/officeDocument/2006/relationships/hyperlink" Target="https://johnnydepp.komi.io/" TargetMode="External"/><Relationship Id="rId364" Type="http://schemas.openxmlformats.org/officeDocument/2006/relationships/hyperlink" Target="https://intense.lnk.to/album" TargetMode="External"/><Relationship Id="rId95" Type="http://schemas.openxmlformats.org/officeDocument/2006/relationships/hyperlink" Target="http://luxebouquet.com.au/" TargetMode="External"/><Relationship Id="rId94" Type="http://schemas.openxmlformats.org/officeDocument/2006/relationships/hyperlink" Target="https://vm.tiktok.com/ZMd4AsQY9/" TargetMode="External"/><Relationship Id="rId97" Type="http://schemas.openxmlformats.org/officeDocument/2006/relationships/hyperlink" Target="https://msha.ke/piflow.id" TargetMode="External"/><Relationship Id="rId96" Type="http://schemas.openxmlformats.org/officeDocument/2006/relationships/hyperlink" Target="http://piflow.id" TargetMode="External"/><Relationship Id="rId99" Type="http://schemas.openxmlformats.org/officeDocument/2006/relationships/hyperlink" Target="http://inspiro.com.ua" TargetMode="External"/><Relationship Id="rId98" Type="http://schemas.openxmlformats.org/officeDocument/2006/relationships/hyperlink" Target="https://laylo.com/brandy/TBIM" TargetMode="External"/><Relationship Id="rId91" Type="http://schemas.openxmlformats.org/officeDocument/2006/relationships/hyperlink" Target="http://wa.link/2pngdc" TargetMode="External"/><Relationship Id="rId90" Type="http://schemas.openxmlformats.org/officeDocument/2006/relationships/hyperlink" Target="http://www.blendwilliamsburg.com" TargetMode="External"/><Relationship Id="rId93" Type="http://schemas.openxmlformats.org/officeDocument/2006/relationships/hyperlink" Target="http://bouquetsbyrubyhouston.com" TargetMode="External"/><Relationship Id="rId92" Type="http://schemas.openxmlformats.org/officeDocument/2006/relationships/hyperlink" Target="https://taplink.cc/a_bouquet_story" TargetMode="External"/><Relationship Id="rId359" Type="http://schemas.openxmlformats.org/officeDocument/2006/relationships/hyperlink" Target="https://linktr.ee/INTENSECYCLES" TargetMode="External"/><Relationship Id="rId358" Type="http://schemas.openxmlformats.org/officeDocument/2006/relationships/hyperlink" Target="http://kline-innovation.com/" TargetMode="External"/><Relationship Id="rId357" Type="http://schemas.openxmlformats.org/officeDocument/2006/relationships/hyperlink" Target="https://innovationweightlossandfitness.com/product/shed-the-pounds-navigating-weight-loss-through-perimenopause-and-menopause-by-josephine-fitzpatrick/" TargetMode="External"/><Relationship Id="rId352" Type="http://schemas.openxmlformats.org/officeDocument/2006/relationships/hyperlink" Target="http://bit.ly/THFIN_YouTube" TargetMode="External"/><Relationship Id="rId351" Type="http://schemas.openxmlformats.org/officeDocument/2006/relationships/hyperlink" Target="https://linktr.ee/Sympormatriz" TargetMode="External"/><Relationship Id="rId350" Type="http://schemas.openxmlformats.org/officeDocument/2006/relationships/hyperlink" Target="https://www.infusioninvestments.com/agendar-llamada" TargetMode="External"/><Relationship Id="rId356" Type="http://schemas.openxmlformats.org/officeDocument/2006/relationships/hyperlink" Target="https://avoxz.com/products/gay-rainbow-heat-change-mug?sca_ref=6606475.KREKadnjTmjo" TargetMode="External"/><Relationship Id="rId355" Type="http://schemas.openxmlformats.org/officeDocument/2006/relationships/hyperlink" Target="http://www.innovationsmastery.com" TargetMode="External"/><Relationship Id="rId354" Type="http://schemas.openxmlformats.org/officeDocument/2006/relationships/hyperlink" Target="https://www.youtube.com/channel/UCsJjXrrnKSuTrih97FOQjwg" TargetMode="External"/><Relationship Id="rId353" Type="http://schemas.openxmlformats.org/officeDocument/2006/relationships/hyperlink" Target="https://tap.bio/@cosmeticinnovation" TargetMode="External"/><Relationship Id="rId305" Type="http://schemas.openxmlformats.org/officeDocument/2006/relationships/hyperlink" Target="https://www.lelabofragrances.com/store-search.html" TargetMode="External"/><Relationship Id="rId304" Type="http://schemas.openxmlformats.org/officeDocument/2006/relationships/hyperlink" Target="https://linktr.ee/jeremyfragrance" TargetMode="External"/><Relationship Id="rId303" Type="http://schemas.openxmlformats.org/officeDocument/2006/relationships/hyperlink" Target="https://www.fragrancex.com/" TargetMode="External"/><Relationship Id="rId302" Type="http://schemas.openxmlformats.org/officeDocument/2006/relationships/hyperlink" Target="https://linktr.ee/fragranceworldofficial" TargetMode="External"/><Relationship Id="rId309" Type="http://schemas.openxmlformats.org/officeDocument/2006/relationships/hyperlink" Target="https://t.me/+3KlZJgsbKDs3NTY0" TargetMode="External"/><Relationship Id="rId308" Type="http://schemas.openxmlformats.org/officeDocument/2006/relationships/hyperlink" Target="https://youtube.com/@french_clips?si=pxpbWN01F1c5pwpm" TargetMode="External"/><Relationship Id="rId307" Type="http://schemas.openxmlformats.org/officeDocument/2006/relationships/hyperlink" Target="https://www.pawsfurriends.shop/products/interactive-reward-toy?from-dashboard=1" TargetMode="External"/><Relationship Id="rId306" Type="http://schemas.openxmlformats.org/officeDocument/2006/relationships/hyperlink" Target="https://furrydogshop.com/collections/french-bulldog" TargetMode="External"/><Relationship Id="rId301" Type="http://schemas.openxmlformats.org/officeDocument/2006/relationships/hyperlink" Target="http://fragranceworldofficial.id" TargetMode="External"/><Relationship Id="rId300" Type="http://schemas.openxmlformats.org/officeDocument/2006/relationships/hyperlink" Target="https://shopfragranceworld.com" TargetMode="External"/><Relationship Id="rId327" Type="http://schemas.openxmlformats.org/officeDocument/2006/relationships/hyperlink" Target="http://www.rafinityhautecouture.com/" TargetMode="External"/><Relationship Id="rId326" Type="http://schemas.openxmlformats.org/officeDocument/2006/relationships/hyperlink" Target="http://wa.me/76733210" TargetMode="External"/><Relationship Id="rId325" Type="http://schemas.openxmlformats.org/officeDocument/2006/relationships/hyperlink" Target="https://larmossi.com/" TargetMode="External"/><Relationship Id="rId324" Type="http://schemas.openxmlformats.org/officeDocument/2006/relationships/hyperlink" Target="https://linkin.bio/hautecoutureweek/" TargetMode="External"/><Relationship Id="rId329" Type="http://schemas.openxmlformats.org/officeDocument/2006/relationships/hyperlink" Target="https://beacons.ai/heritageclass" TargetMode="External"/><Relationship Id="rId328" Type="http://schemas.openxmlformats.org/officeDocument/2006/relationships/hyperlink" Target="https://linktr.ee/heritagecraftbbq" TargetMode="External"/><Relationship Id="rId323" Type="http://schemas.openxmlformats.org/officeDocument/2006/relationships/hyperlink" Target="https://maps.google.com/?q=36.791698%2C3.303429" TargetMode="External"/><Relationship Id="rId322" Type="http://schemas.openxmlformats.org/officeDocument/2006/relationships/hyperlink" Target="https://hautecouturejewellery.in/" TargetMode="External"/><Relationship Id="rId321" Type="http://schemas.openxmlformats.org/officeDocument/2006/relationships/hyperlink" Target="https://www.facebook.com/profile.php?id=100087856935962&amp;mibextid=LQQJ4d" TargetMode="External"/><Relationship Id="rId320" Type="http://schemas.openxmlformats.org/officeDocument/2006/relationships/hyperlink" Target="http://www.adamoonline.com" TargetMode="External"/><Relationship Id="rId316" Type="http://schemas.openxmlformats.org/officeDocument/2006/relationships/hyperlink" Target="https://t.me/global_brand" TargetMode="External"/><Relationship Id="rId315" Type="http://schemas.openxmlformats.org/officeDocument/2006/relationships/hyperlink" Target="https://www.thefrenchfit.com/vip-coaching" TargetMode="External"/><Relationship Id="rId314" Type="http://schemas.openxmlformats.org/officeDocument/2006/relationships/hyperlink" Target="https://forms.gle/PtbHhe2iJv8v2wrr9" TargetMode="External"/><Relationship Id="rId313" Type="http://schemas.openxmlformats.org/officeDocument/2006/relationships/hyperlink" Target="https://french-super.com" TargetMode="External"/><Relationship Id="rId319" Type="http://schemas.openxmlformats.org/officeDocument/2006/relationships/hyperlink" Target="https://linktr.ee/seyizysho" TargetMode="External"/><Relationship Id="rId318" Type="http://schemas.openxmlformats.org/officeDocument/2006/relationships/hyperlink" Target="https://send.monobank.ua/jar/2B6wqhrgL8" TargetMode="External"/><Relationship Id="rId317" Type="http://schemas.openxmlformats.org/officeDocument/2006/relationships/hyperlink" Target="https://api.whatsapp.com/send?phone=77051519804" TargetMode="External"/><Relationship Id="rId312" Type="http://schemas.openxmlformats.org/officeDocument/2006/relationships/hyperlink" Target="https://linkmy.photos/frenchs" TargetMode="External"/><Relationship Id="rId311" Type="http://schemas.openxmlformats.org/officeDocument/2006/relationships/hyperlink" Target="https://www.youtube.com/watch?v=NEP33e3tVJY" TargetMode="External"/><Relationship Id="rId310" Type="http://schemas.openxmlformats.org/officeDocument/2006/relationships/hyperlink" Target="http://linktr.ee/frenchmeadows" TargetMode="External"/><Relationship Id="rId297" Type="http://schemas.openxmlformats.org/officeDocument/2006/relationships/hyperlink" Target="http://linktr.ee/fragranceflan" TargetMode="External"/><Relationship Id="rId296" Type="http://schemas.openxmlformats.org/officeDocument/2006/relationships/hyperlink" Target="https://www.wishlink.com/fragrancefind" TargetMode="External"/><Relationship Id="rId295" Type="http://schemas.openxmlformats.org/officeDocument/2006/relationships/hyperlink" Target="https://vk.com/formulasemii" TargetMode="External"/><Relationship Id="rId294" Type="http://schemas.openxmlformats.org/officeDocument/2006/relationships/hyperlink" Target="https://linktr.ee/bhavikjoshi" TargetMode="External"/><Relationship Id="rId299" Type="http://schemas.openxmlformats.org/officeDocument/2006/relationships/hyperlink" Target="https://www.fragrancenet.com/?mv_pc=igbio&amp;utm_source=instagram&amp;utm_medium=Social&amp;utm_campaign=igbio&amp;fbclid=PAZXh0bgNhZW0CMTEAAaYoi2j6q697bzxe9VAmDY300Cro0Q7PPcLOtTfNJxj4KCOgnel1PXiWscY_aem_Je_52d9olsy1-_dSon76Yw" TargetMode="External"/><Relationship Id="rId298" Type="http://schemas.openxmlformats.org/officeDocument/2006/relationships/hyperlink" Target="https://hype.co/@fragranceknowledge" TargetMode="External"/><Relationship Id="rId271" Type="http://schemas.openxmlformats.org/officeDocument/2006/relationships/hyperlink" Target="https://maxoutletstore.com/products/nasal-stick-4-pcs?_pos=2&amp;_psq=nasa&amp;_ss=e&amp;_v=1.0" TargetMode="External"/><Relationship Id="rId270" Type="http://schemas.openxmlformats.org/officeDocument/2006/relationships/hyperlink" Target="http://www.globaltacticalsupply.com/" TargetMode="External"/><Relationship Id="rId269" Type="http://schemas.openxmlformats.org/officeDocument/2006/relationships/hyperlink" Target="https://vaka.me/5484843?utm_campaign=whatsapp&amp;utm_medium=website&amp;utm_content=5484843&amp;utm_source=social-shares" TargetMode="External"/><Relationship Id="rId264" Type="http://schemas.openxmlformats.org/officeDocument/2006/relationships/hyperlink" Target="https://gamechanger.dropout.tv/" TargetMode="External"/><Relationship Id="rId263" Type="http://schemas.openxmlformats.org/officeDocument/2006/relationships/hyperlink" Target="https://t.me/famesportwear" TargetMode="External"/><Relationship Id="rId262" Type="http://schemas.openxmlformats.org/officeDocument/2006/relationships/hyperlink" Target="https://famemma.tv/" TargetMode="External"/><Relationship Id="rId261" Type="http://schemas.openxmlformats.org/officeDocument/2006/relationships/hyperlink" Target="https://promo.espn.com/collegegameday/" TargetMode="External"/><Relationship Id="rId268" Type="http://schemas.openxmlformats.org/officeDocument/2006/relationships/hyperlink" Target="http://www.liketoknow.it/amfashion/" TargetMode="External"/><Relationship Id="rId267" Type="http://schemas.openxmlformats.org/officeDocument/2006/relationships/hyperlink" Target="https://t.me/fashion_71" TargetMode="External"/><Relationship Id="rId266" Type="http://schemas.openxmlformats.org/officeDocument/2006/relationships/hyperlink" Target="https://www.netflix.com/title/81040344" TargetMode="External"/><Relationship Id="rId265" Type="http://schemas.openxmlformats.org/officeDocument/2006/relationships/hyperlink" Target="http://link.me/phfame" TargetMode="External"/><Relationship Id="rId260" Type="http://schemas.openxmlformats.org/officeDocument/2006/relationships/hyperlink" Target="https://starface.world" TargetMode="External"/><Relationship Id="rId259" Type="http://schemas.openxmlformats.org/officeDocument/2006/relationships/hyperlink" Target="https://facefit.co.il/" TargetMode="External"/><Relationship Id="rId258" Type="http://schemas.openxmlformats.org/officeDocument/2006/relationships/hyperlink" Target="http://naomi_face.it" TargetMode="External"/><Relationship Id="rId253" Type="http://schemas.openxmlformats.org/officeDocument/2006/relationships/hyperlink" Target="http://linktr.ee/gagaessentials" TargetMode="External"/><Relationship Id="rId252" Type="http://schemas.openxmlformats.org/officeDocument/2006/relationships/hyperlink" Target="https://bethsa19-ccp.systeme.io/8e9e5142" TargetMode="External"/><Relationship Id="rId251" Type="http://schemas.openxmlformats.org/officeDocument/2006/relationships/hyperlink" Target="https://linktr.ee/essentialsummer?fbclid=PAZXh0bgNhZW0CMTEAAaYgyb_e-qc3VCxYHMZSzpYegFp2DJpe6BXbBT_0Rrz_sEf8hxKWvZ-mRjQ_aem_mt7w4AO-Jj20bqJGV5kiPA" TargetMode="External"/><Relationship Id="rId250" Type="http://schemas.openxmlformats.org/officeDocument/2006/relationships/hyperlink" Target="https://essentialseg.com/" TargetMode="External"/><Relationship Id="rId257" Type="http://schemas.openxmlformats.org/officeDocument/2006/relationships/hyperlink" Target="https://linktr.ee/hanako.face" TargetMode="External"/><Relationship Id="rId256" Type="http://schemas.openxmlformats.org/officeDocument/2006/relationships/hyperlink" Target="http://www.facemodels.pt/" TargetMode="External"/><Relationship Id="rId255" Type="http://schemas.openxmlformats.org/officeDocument/2006/relationships/hyperlink" Target="https://linktr.ee/Facedown" TargetMode="External"/><Relationship Id="rId254" Type="http://schemas.openxmlformats.org/officeDocument/2006/relationships/hyperlink" Target="https://likeshop.me/oakessentials" TargetMode="External"/><Relationship Id="rId293" Type="http://schemas.openxmlformats.org/officeDocument/2006/relationships/hyperlink" Target="http://linktr.ee/TVFormula" TargetMode="External"/><Relationship Id="rId292" Type="http://schemas.openxmlformats.org/officeDocument/2006/relationships/hyperlink" Target="https://linktr.ee/formulad" TargetMode="External"/><Relationship Id="rId291" Type="http://schemas.openxmlformats.org/officeDocument/2006/relationships/hyperlink" Target="https://maps.app.goo.gl/1HguifB64WxQ9CN27?g_st=ic" TargetMode="External"/><Relationship Id="rId290" Type="http://schemas.openxmlformats.org/officeDocument/2006/relationships/hyperlink" Target="https://formulabean.shop" TargetMode="External"/><Relationship Id="rId286" Type="http://schemas.openxmlformats.org/officeDocument/2006/relationships/hyperlink" Target="https://linktr.ee/fernula" TargetMode="External"/><Relationship Id="rId285" Type="http://schemas.openxmlformats.org/officeDocument/2006/relationships/hyperlink" Target="http://fernula.gp" TargetMode="External"/><Relationship Id="rId284" Type="http://schemas.openxmlformats.org/officeDocument/2006/relationships/hyperlink" Target="http://f1.com/" TargetMode="External"/><Relationship Id="rId283" Type="http://schemas.openxmlformats.org/officeDocument/2006/relationships/hyperlink" Target="https://www.cadillacf1team.com/" TargetMode="External"/><Relationship Id="rId289" Type="http://schemas.openxmlformats.org/officeDocument/2006/relationships/hyperlink" Target="https://www.fiaformula2.com/" TargetMode="External"/><Relationship Id="rId288" Type="http://schemas.openxmlformats.org/officeDocument/2006/relationships/hyperlink" Target="https://linktr.ee/FIAFormulaE" TargetMode="External"/><Relationship Id="rId287" Type="http://schemas.openxmlformats.org/officeDocument/2006/relationships/hyperlink" Target="https://www.fiaformula3.com/" TargetMode="External"/><Relationship Id="rId282" Type="http://schemas.openxmlformats.org/officeDocument/2006/relationships/hyperlink" Target="http://blog-formula1.com/" TargetMode="External"/><Relationship Id="rId281" Type="http://schemas.openxmlformats.org/officeDocument/2006/relationships/hyperlink" Target="https://www.varunpatelphotography.com/blog/master-the-art-of-fashion-photography-with-varun-patel-exclusive-indoor-lighting-workshop-with-a-nigerian-model/" TargetMode="External"/><Relationship Id="rId280" Type="http://schemas.openxmlformats.org/officeDocument/2006/relationships/hyperlink" Target="http://fashionweek.ua" TargetMode="External"/><Relationship Id="rId275" Type="http://schemas.openxmlformats.org/officeDocument/2006/relationships/hyperlink" Target="http://www.wmefashion.com" TargetMode="External"/><Relationship Id="rId274" Type="http://schemas.openxmlformats.org/officeDocument/2006/relationships/hyperlink" Target="https://linktr.ee/fashioninvibes" TargetMode="External"/><Relationship Id="rId273" Type="http://schemas.openxmlformats.org/officeDocument/2006/relationships/hyperlink" Target="http://www.fashionmodel.it/en/home" TargetMode="External"/><Relationship Id="rId272" Type="http://schemas.openxmlformats.org/officeDocument/2006/relationships/hyperlink" Target="http://fashionmodel.it" TargetMode="External"/><Relationship Id="rId279" Type="http://schemas.openxmlformats.org/officeDocument/2006/relationships/hyperlink" Target="https://linktr.ee/trindade_fashion" TargetMode="External"/><Relationship Id="rId278" Type="http://schemas.openxmlformats.org/officeDocument/2006/relationships/hyperlink" Target="https://linkin.bio/parisfashionweek" TargetMode="External"/><Relationship Id="rId277" Type="http://schemas.openxmlformats.org/officeDocument/2006/relationships/hyperlink" Target="http://linktr.ee/cameramoda/" TargetMode="External"/><Relationship Id="rId276" Type="http://schemas.openxmlformats.org/officeDocument/2006/relationships/hyperlink" Target="https://mtr.bio/fashion" TargetMode="External"/><Relationship Id="rId228" Type="http://schemas.openxmlformats.org/officeDocument/2006/relationships/hyperlink" Target="https://eleganceny.komi.io" TargetMode="External"/><Relationship Id="rId227" Type="http://schemas.openxmlformats.org/officeDocument/2006/relationships/hyperlink" Target="https://www.elegancemajesty.com/themuseofelegance" TargetMode="External"/><Relationship Id="rId226" Type="http://schemas.openxmlformats.org/officeDocument/2006/relationships/hyperlink" Target="https://dikidi.net/980640" TargetMode="External"/><Relationship Id="rId225" Type="http://schemas.openxmlformats.org/officeDocument/2006/relationships/hyperlink" Target="http://www.elegancefoods.com" TargetMode="External"/><Relationship Id="rId229" Type="http://schemas.openxmlformats.org/officeDocument/2006/relationships/hyperlink" Target="https://chat.whatsapp.com/K5AxhuGyTuAAkaFM4CfcD0" TargetMode="External"/><Relationship Id="rId220" Type="http://schemas.openxmlformats.org/officeDocument/2006/relationships/hyperlink" Target="https://ffern.co/ig" TargetMode="External"/><Relationship Id="rId224" Type="http://schemas.openxmlformats.org/officeDocument/2006/relationships/hyperlink" Target="https://www.elegancefeed.com/hub" TargetMode="External"/><Relationship Id="rId223" Type="http://schemas.openxmlformats.org/officeDocument/2006/relationships/hyperlink" Target="http://linktr.ee/finefitfitness" TargetMode="External"/><Relationship Id="rId222" Type="http://schemas.openxmlformats.org/officeDocument/2006/relationships/hyperlink" Target="https://elegancebeauty.ng/" TargetMode="External"/><Relationship Id="rId221" Type="http://schemas.openxmlformats.org/officeDocument/2006/relationships/hyperlink" Target="https://maps.app.goo.gl/MdrtkNU21ubXU2fT7?g_st=ic" TargetMode="External"/><Relationship Id="rId217" Type="http://schemas.openxmlformats.org/officeDocument/2006/relationships/hyperlink" Target="https://lin.ee/DGc7UlR" TargetMode="External"/><Relationship Id="rId216" Type="http://schemas.openxmlformats.org/officeDocument/2006/relationships/hyperlink" Target="http://bestskin.co" TargetMode="External"/><Relationship Id="rId215" Type="http://schemas.openxmlformats.org/officeDocument/2006/relationships/hyperlink" Target="https://www.facebook.com/SintMaartenDutyFreeShopping" TargetMode="External"/><Relationship Id="rId214" Type="http://schemas.openxmlformats.org/officeDocument/2006/relationships/hyperlink" Target="http://www.erosdutyfree.com/" TargetMode="External"/><Relationship Id="rId219" Type="http://schemas.openxmlformats.org/officeDocument/2006/relationships/hyperlink" Target="http://ffern.co" TargetMode="External"/><Relationship Id="rId218" Type="http://schemas.openxmlformats.org/officeDocument/2006/relationships/hyperlink" Target="https://shorturl.at/bqwSV" TargetMode="External"/><Relationship Id="rId213" Type="http://schemas.openxmlformats.org/officeDocument/2006/relationships/hyperlink" Target="https://bit.ly/2U9ni9i" TargetMode="External"/><Relationship Id="rId212" Type="http://schemas.openxmlformats.org/officeDocument/2006/relationships/hyperlink" Target="https://aombeauty.bio.link/" TargetMode="External"/><Relationship Id="rId211" Type="http://schemas.openxmlformats.org/officeDocument/2006/relationships/hyperlink" Target="https://smily.bio/worlddutyfreeuk" TargetMode="External"/><Relationship Id="rId210" Type="http://schemas.openxmlformats.org/officeDocument/2006/relationships/hyperlink" Target="https://linkstre.am/spaindutyfree" TargetMode="External"/><Relationship Id="rId249" Type="http://schemas.openxmlformats.org/officeDocument/2006/relationships/hyperlink" Target="http://essentials.eg" TargetMode="External"/><Relationship Id="rId248" Type="http://schemas.openxmlformats.org/officeDocument/2006/relationships/hyperlink" Target="http://fearofgod.com/" TargetMode="External"/><Relationship Id="rId247" Type="http://schemas.openxmlformats.org/officeDocument/2006/relationships/hyperlink" Target="https://linktr.ee/designessentials?utm_source=linktree_admin_share" TargetMode="External"/><Relationship Id="rId242" Type="http://schemas.openxmlformats.org/officeDocument/2006/relationships/hyperlink" Target="https://linktr.ee/sayessence" TargetMode="External"/><Relationship Id="rId241" Type="http://schemas.openxmlformats.org/officeDocument/2006/relationships/hyperlink" Target="http://bio.site/Nuaressence" TargetMode="External"/><Relationship Id="rId240" Type="http://schemas.openxmlformats.org/officeDocument/2006/relationships/hyperlink" Target="https://itscolorcoded.com" TargetMode="External"/><Relationship Id="rId246" Type="http://schemas.openxmlformats.org/officeDocument/2006/relationships/hyperlink" Target="https://open.spotify.com/playlist/62I3M2C7CIK8IppL1tndT0?si=gbzcdz51Q_2RQiChtWx8Mg" TargetMode="External"/><Relationship Id="rId245" Type="http://schemas.openxmlformats.org/officeDocument/2006/relationships/hyperlink" Target="https://linktr.ee/bearessentials/" TargetMode="External"/><Relationship Id="rId244" Type="http://schemas.openxmlformats.org/officeDocument/2006/relationships/hyperlink" Target="https://www.babyfoodessentials.com/" TargetMode="External"/><Relationship Id="rId243" Type="http://schemas.openxmlformats.org/officeDocument/2006/relationships/hyperlink" Target="http://www.artistkitcompany.com" TargetMode="External"/><Relationship Id="rId239" Type="http://schemas.openxmlformats.org/officeDocument/2006/relationships/hyperlink" Target="https://essence-htx.eventbrite.com" TargetMode="External"/><Relationship Id="rId238" Type="http://schemas.openxmlformats.org/officeDocument/2006/relationships/hyperlink" Target="https://linkin.bio/essencegu_" TargetMode="External"/><Relationship Id="rId237" Type="http://schemas.openxmlformats.org/officeDocument/2006/relationships/hyperlink" Target="https://calendly.com/essenceeats" TargetMode="External"/><Relationship Id="rId236" Type="http://schemas.openxmlformats.org/officeDocument/2006/relationships/hyperlink" Target="https://www.amazon.com/shop/exactly.e" TargetMode="External"/><Relationship Id="rId231" Type="http://schemas.openxmlformats.org/officeDocument/2006/relationships/hyperlink" Target="http://linktr.ee/e.lixiroficial" TargetMode="External"/><Relationship Id="rId230" Type="http://schemas.openxmlformats.org/officeDocument/2006/relationships/hyperlink" Target="https://linktr.ee/Elixirbyls" TargetMode="External"/><Relationship Id="rId235" Type="http://schemas.openxmlformats.org/officeDocument/2006/relationships/hyperlink" Target="https://essencebyrubina.com/collections/all" TargetMode="External"/><Relationship Id="rId234" Type="http://schemas.openxmlformats.org/officeDocument/2006/relationships/hyperlink" Target="http://essence.com" TargetMode="External"/><Relationship Id="rId233" Type="http://schemas.openxmlformats.org/officeDocument/2006/relationships/hyperlink" Target="http://elixirclothes.com" TargetMode="External"/><Relationship Id="rId232" Type="http://schemas.openxmlformats.org/officeDocument/2006/relationships/hyperlink" Target="http://www.elixirorlando.com" TargetMode="External"/><Relationship Id="rId206" Type="http://schemas.openxmlformats.org/officeDocument/2006/relationships/hyperlink" Target="http://marachini.com/" TargetMode="External"/><Relationship Id="rId205" Type="http://schemas.openxmlformats.org/officeDocument/2006/relationships/hyperlink" Target="https://diorstyledyou.as.me/" TargetMode="External"/><Relationship Id="rId204" Type="http://schemas.openxmlformats.org/officeDocument/2006/relationships/hyperlink" Target="https://diorofficial.lnk.to/FineSh-t" TargetMode="External"/><Relationship Id="rId203" Type="http://schemas.openxmlformats.org/officeDocument/2006/relationships/hyperlink" Target="https://www.facebook.com/DIOR-Make_up-323187929104753/" TargetMode="External"/><Relationship Id="rId209" Type="http://schemas.openxmlformats.org/officeDocument/2006/relationships/hyperlink" Target="https://bridgetowndutyfree.com" TargetMode="External"/><Relationship Id="rId208" Type="http://schemas.openxmlformats.org/officeDocument/2006/relationships/hyperlink" Target="http://drydowninc.com/" TargetMode="External"/><Relationship Id="rId207" Type="http://schemas.openxmlformats.org/officeDocument/2006/relationships/hyperlink" Target="https://linktr.ee/buchi.distillationlab" TargetMode="External"/><Relationship Id="rId202" Type="http://schemas.openxmlformats.org/officeDocument/2006/relationships/hyperlink" Target="https://maps.app.goo.gl/jkzewGJF8ctgvcVv5?g_st=ic" TargetMode="External"/><Relationship Id="rId201" Type="http://schemas.openxmlformats.org/officeDocument/2006/relationships/hyperlink" Target="https://linktr.ee/doralfashionweek" TargetMode="External"/><Relationship Id="rId200" Type="http://schemas.openxmlformats.org/officeDocument/2006/relationships/hyperlink" Target="http://www.dior.com/" TargetMode="External"/><Relationship Id="rId190" Type="http://schemas.openxmlformats.org/officeDocument/2006/relationships/hyperlink" Target="https://youtube.com/@fefediorr" TargetMode="External"/><Relationship Id="rId194" Type="http://schemas.openxmlformats.org/officeDocument/2006/relationships/hyperlink" Target="https://bit.ly/dioradaily" TargetMode="External"/><Relationship Id="rId193" Type="http://schemas.openxmlformats.org/officeDocument/2006/relationships/hyperlink" Target="http://t.me/dior_acce" TargetMode="External"/><Relationship Id="rId192" Type="http://schemas.openxmlformats.org/officeDocument/2006/relationships/hyperlink" Target="https://linktr.ee/Ygdior" TargetMode="External"/><Relationship Id="rId191" Type="http://schemas.openxmlformats.org/officeDocument/2006/relationships/hyperlink" Target="https://www.youtube.com/@ghazalawhispers" TargetMode="External"/><Relationship Id="rId187" Type="http://schemas.openxmlformats.org/officeDocument/2006/relationships/hyperlink" Target="https://vt.tiktok.com/ZSjEJAaem/" TargetMode="External"/><Relationship Id="rId186" Type="http://schemas.openxmlformats.org/officeDocument/2006/relationships/hyperlink" Target="https://vt.tiktok.com/ZSjEJAaem/" TargetMode="External"/><Relationship Id="rId185" Type="http://schemas.openxmlformats.org/officeDocument/2006/relationships/hyperlink" Target="https://distrokid.com/hyperfollow/diorgoodjohn/bet" TargetMode="External"/><Relationship Id="rId184" Type="http://schemas.openxmlformats.org/officeDocument/2006/relationships/hyperlink" Target="https://distrokid.com/hyperfollow/diorgoodjohn/bet" TargetMode="External"/><Relationship Id="rId189" Type="http://schemas.openxmlformats.org/officeDocument/2006/relationships/hyperlink" Target="https://youtube.com/@fefediorr" TargetMode="External"/><Relationship Id="rId188" Type="http://schemas.openxmlformats.org/officeDocument/2006/relationships/hyperlink" Target="https://soundcloud.com/packrunnerrdior/sets/paussus99?ref=clipboard&amp;p=i&amp;c=1&amp;si=E9C9E27149324C3E9B93AA3BFCC31676&amp;utm_source=clipboard&amp;utm_medium=text&amp;utm_campaign=social_sharing" TargetMode="External"/><Relationship Id="rId183" Type="http://schemas.openxmlformats.org/officeDocument/2006/relationships/hyperlink" Target="https://t.me/+p6riRoTWg29lOGVi" TargetMode="External"/><Relationship Id="rId182" Type="http://schemas.openxmlformats.org/officeDocument/2006/relationships/hyperlink" Target="http://on.dior.com/shop" TargetMode="External"/><Relationship Id="rId181" Type="http://schemas.openxmlformats.org/officeDocument/2006/relationships/hyperlink" Target="http://on.dior.com/backstage" TargetMode="External"/><Relationship Id="rId180" Type="http://schemas.openxmlformats.org/officeDocument/2006/relationships/hyperlink" Target="http://on.dior.com/backstage" TargetMode="External"/><Relationship Id="rId176" Type="http://schemas.openxmlformats.org/officeDocument/2006/relationships/hyperlink" Target="http://linkin.bio/dior" TargetMode="External"/><Relationship Id="rId175" Type="http://schemas.openxmlformats.org/officeDocument/2006/relationships/hyperlink" Target="https://linktr.ee/dianydior" TargetMode="External"/><Relationship Id="rId174" Type="http://schemas.openxmlformats.org/officeDocument/2006/relationships/hyperlink" Target="http://www.tiktok.com/@luxurys_reed_diffuser" TargetMode="External"/><Relationship Id="rId173" Type="http://schemas.openxmlformats.org/officeDocument/2006/relationships/hyperlink" Target="https://linktr.ee/flairdiffusers" TargetMode="External"/><Relationship Id="rId179" Type="http://schemas.openxmlformats.org/officeDocument/2006/relationships/hyperlink" Target="http://www.instagram.com/di.or.di.or/" TargetMode="External"/><Relationship Id="rId178" Type="http://schemas.openxmlformats.org/officeDocument/2006/relationships/hyperlink" Target="http://www.instagram.com/di.or.di.or/" TargetMode="External"/><Relationship Id="rId177" Type="http://schemas.openxmlformats.org/officeDocument/2006/relationships/hyperlink" Target="http://linkin.bio/dior" TargetMode="External"/><Relationship Id="rId198" Type="http://schemas.openxmlformats.org/officeDocument/2006/relationships/hyperlink" Target="https://www.discoverdior.com/" TargetMode="External"/><Relationship Id="rId197" Type="http://schemas.openxmlformats.org/officeDocument/2006/relationships/hyperlink" Target="http://linktr.ee/diorbeautysp" TargetMode="External"/><Relationship Id="rId196" Type="http://schemas.openxmlformats.org/officeDocument/2006/relationships/hyperlink" Target="http://on.dior.com/shop" TargetMode="External"/><Relationship Id="rId195" Type="http://schemas.openxmlformats.org/officeDocument/2006/relationships/hyperlink" Target="http://on.dior.com/backstage" TargetMode="External"/><Relationship Id="rId199" Type="http://schemas.openxmlformats.org/officeDocument/2006/relationships/hyperlink" Target="https://beacons.ai/simdiorcollection" TargetMode="External"/><Relationship Id="rId150" Type="http://schemas.openxmlformats.org/officeDocument/2006/relationships/hyperlink" Target="http://creativebespoke.com/" TargetMode="External"/><Relationship Id="rId149" Type="http://schemas.openxmlformats.org/officeDocument/2006/relationships/hyperlink" Target="http://boxd.it/877eB" TargetMode="External"/><Relationship Id="rId148" Type="http://schemas.openxmlformats.org/officeDocument/2006/relationships/hyperlink" Target="http://caa.com" TargetMode="External"/><Relationship Id="rId143" Type="http://schemas.openxmlformats.org/officeDocument/2006/relationships/hyperlink" Target="https://www.youtube.com/@riya_creations27" TargetMode="External"/><Relationship Id="rId142" Type="http://schemas.openxmlformats.org/officeDocument/2006/relationships/hyperlink" Target="https://youtube.com/@ink_creation?si=cAm1VRtBwIN04LgV" TargetMode="External"/><Relationship Id="rId141" Type="http://schemas.openxmlformats.org/officeDocument/2006/relationships/hyperlink" Target="https://filmm.me/3tJTh1Z6" TargetMode="External"/><Relationship Id="rId140" Type="http://schemas.openxmlformats.org/officeDocument/2006/relationships/hyperlink" Target="http://www.dreamcreationstudio.com" TargetMode="External"/><Relationship Id="rId147" Type="http://schemas.openxmlformats.org/officeDocument/2006/relationships/hyperlink" Target="https://fb.openinapp.co/c6uw2" TargetMode="External"/><Relationship Id="rId146" Type="http://schemas.openxmlformats.org/officeDocument/2006/relationships/hyperlink" Target="https://odinbet.com/r/boom/signup" TargetMode="External"/><Relationship Id="rId145" Type="http://schemas.openxmlformats.org/officeDocument/2006/relationships/hyperlink" Target="https://youtube.com/@suricreation-yu7lh?si=KtRN4AWv6CUgLwoF" TargetMode="External"/><Relationship Id="rId144" Type="http://schemas.openxmlformats.org/officeDocument/2006/relationships/hyperlink" Target="https://www.threads.net/@royal__creation__09" TargetMode="External"/><Relationship Id="rId139" Type="http://schemas.openxmlformats.org/officeDocument/2006/relationships/hyperlink" Target="https://stan.store/womensidehustle" TargetMode="External"/><Relationship Id="rId138" Type="http://schemas.openxmlformats.org/officeDocument/2006/relationships/hyperlink" Target="http://bit.ly/CreationEnt" TargetMode="External"/><Relationship Id="rId137" Type="http://schemas.openxmlformats.org/officeDocument/2006/relationships/hyperlink" Target="https://odinbet.com/r/boom/signup" TargetMode="External"/><Relationship Id="rId132" Type="http://schemas.openxmlformats.org/officeDocument/2006/relationships/hyperlink" Target="http://compositionallyinclined.com" TargetMode="External"/><Relationship Id="rId131" Type="http://schemas.openxmlformats.org/officeDocument/2006/relationships/hyperlink" Target="https://tiffanyryland.com/unsolicited-advice/ols/products/ebook" TargetMode="External"/><Relationship Id="rId130" Type="http://schemas.openxmlformats.org/officeDocument/2006/relationships/hyperlink" Target="https://smartlink.bio/memphisnews" TargetMode="External"/><Relationship Id="rId136" Type="http://schemas.openxmlformats.org/officeDocument/2006/relationships/hyperlink" Target="https://youtube.com/@craftsmanshiptutorials1836" TargetMode="External"/><Relationship Id="rId135" Type="http://schemas.openxmlformats.org/officeDocument/2006/relationships/hyperlink" Target="http://barboss.org/2023/candace-goode" TargetMode="External"/><Relationship Id="rId134" Type="http://schemas.openxmlformats.org/officeDocument/2006/relationships/hyperlink" Target="https://t.me/compositionschool/865" TargetMode="External"/><Relationship Id="rId133" Type="http://schemas.openxmlformats.org/officeDocument/2006/relationships/hyperlink" Target="http://compositionschool.ir" TargetMode="External"/><Relationship Id="rId172" Type="http://schemas.openxmlformats.org/officeDocument/2006/relationships/hyperlink" Target="https://diffusernigeria.com/" TargetMode="External"/><Relationship Id="rId171" Type="http://schemas.openxmlformats.org/officeDocument/2006/relationships/hyperlink" Target="https://linktr.ee/diffusereality" TargetMode="External"/><Relationship Id="rId170" Type="http://schemas.openxmlformats.org/officeDocument/2006/relationships/hyperlink" Target="https://linktr.ee/daycrafter" TargetMode="External"/><Relationship Id="rId165" Type="http://schemas.openxmlformats.org/officeDocument/2006/relationships/hyperlink" Target="https://linkin.bio/haydesign/" TargetMode="External"/><Relationship Id="rId164" Type="http://schemas.openxmlformats.org/officeDocument/2006/relationships/hyperlink" Target="http://instagram.com/product.only" TargetMode="External"/><Relationship Id="rId163" Type="http://schemas.openxmlformats.org/officeDocument/2006/relationships/hyperlink" Target="https://sprout.link/designmilk" TargetMode="External"/><Relationship Id="rId162" Type="http://schemas.openxmlformats.org/officeDocument/2006/relationships/hyperlink" Target="https://apps.apple.com/us/app/edits-an-instagram-app/id6738967378" TargetMode="External"/><Relationship Id="rId169" Type="http://schemas.openxmlformats.org/officeDocument/2006/relationships/hyperlink" Target="http://www.commercialinteriordesign.com" TargetMode="External"/><Relationship Id="rId168" Type="http://schemas.openxmlformats.org/officeDocument/2006/relationships/hyperlink" Target="https://www.phai.design/" TargetMode="External"/><Relationship Id="rId167" Type="http://schemas.openxmlformats.org/officeDocument/2006/relationships/hyperlink" Target="https://out-of-design.com/" TargetMode="External"/><Relationship Id="rId166" Type="http://schemas.openxmlformats.org/officeDocument/2006/relationships/hyperlink" Target="http://numendesignstore.com" TargetMode="External"/><Relationship Id="rId161" Type="http://schemas.openxmlformats.org/officeDocument/2006/relationships/hyperlink" Target="https://adesignlaboratory.com/" TargetMode="External"/><Relationship Id="rId160" Type="http://schemas.openxmlformats.org/officeDocument/2006/relationships/hyperlink" Target="https://www.katzsdelicatessen.com/" TargetMode="External"/><Relationship Id="rId159" Type="http://schemas.openxmlformats.org/officeDocument/2006/relationships/hyperlink" Target="https://linktr.ee/delicatesteve" TargetMode="External"/><Relationship Id="rId154" Type="http://schemas.openxmlformats.org/officeDocument/2006/relationships/hyperlink" Target="https://hecreative.dashery.com" TargetMode="External"/><Relationship Id="rId153" Type="http://schemas.openxmlformats.org/officeDocument/2006/relationships/hyperlink" Target="https://linktr.ee/mootiny" TargetMode="External"/><Relationship Id="rId152" Type="http://schemas.openxmlformats.org/officeDocument/2006/relationships/hyperlink" Target="https://creativeexplained.com" TargetMode="External"/><Relationship Id="rId151" Type="http://schemas.openxmlformats.org/officeDocument/2006/relationships/hyperlink" Target="https://creativecirclestore.com/collections/all" TargetMode="External"/><Relationship Id="rId158" Type="http://schemas.openxmlformats.org/officeDocument/2006/relationships/hyperlink" Target="http://linktr.ee/delicatesquash/" TargetMode="External"/><Relationship Id="rId157" Type="http://schemas.openxmlformats.org/officeDocument/2006/relationships/hyperlink" Target="http://delicatejewelz.etsy.com" TargetMode="External"/><Relationship Id="rId156" Type="http://schemas.openxmlformats.org/officeDocument/2006/relationships/hyperlink" Target="http://delicateg.com" TargetMode="External"/><Relationship Id="rId155" Type="http://schemas.openxmlformats.org/officeDocument/2006/relationships/hyperlink" Target="http://delicat.eg" TargetMode="External"/><Relationship Id="rId509" Type="http://schemas.openxmlformats.org/officeDocument/2006/relationships/hyperlink" Target="http://scent.br" TargetMode="External"/><Relationship Id="rId508" Type="http://schemas.openxmlformats.org/officeDocument/2006/relationships/hyperlink" Target="https://likeshop.me/scentbird" TargetMode="External"/><Relationship Id="rId503" Type="http://schemas.openxmlformats.org/officeDocument/2006/relationships/hyperlink" Target="https://likeshop.me/voguerunway" TargetMode="External"/><Relationship Id="rId502" Type="http://schemas.openxmlformats.org/officeDocument/2006/relationships/hyperlink" Target="https://therunwayboutiquepr.com/" TargetMode="External"/><Relationship Id="rId501" Type="http://schemas.openxmlformats.org/officeDocument/2006/relationships/hyperlink" Target="http://api.whatsapp.com/send?phone=573206800135" TargetMode="External"/><Relationship Id="rId500" Type="http://schemas.openxmlformats.org/officeDocument/2006/relationships/hyperlink" Target="http://www.runwayskirts.com/" TargetMode="External"/><Relationship Id="rId507" Type="http://schemas.openxmlformats.org/officeDocument/2006/relationships/hyperlink" Target="https://linktr.ee/scentadvice" TargetMode="External"/><Relationship Id="rId506" Type="http://schemas.openxmlformats.org/officeDocument/2006/relationships/hyperlink" Target="http://www.lootahperfumes.com" TargetMode="External"/><Relationship Id="rId505" Type="http://schemas.openxmlformats.org/officeDocument/2006/relationships/hyperlink" Target="http://escentcandle.com.br" TargetMode="External"/><Relationship Id="rId504" Type="http://schemas.openxmlformats.org/officeDocument/2006/relationships/hyperlink" Target="https://www.bookd.online/T_10252062" TargetMode="External"/><Relationship Id="rId525" Type="http://schemas.openxmlformats.org/officeDocument/2006/relationships/hyperlink" Target="https://linkin.bio/sjspotlight" TargetMode="External"/><Relationship Id="rId524" Type="http://schemas.openxmlformats.org/officeDocument/2006/relationships/hyperlink" Target="http://www.animespotlight.net" TargetMode="External"/><Relationship Id="rId523" Type="http://schemas.openxmlformats.org/officeDocument/2006/relationships/hyperlink" Target="https://m.youtube.com/watch?v=zHabwicaibc&amp;pp=ygURI29uZWV5ZWJsaW5rdmlkZW8%253D" TargetMode="External"/><Relationship Id="rId522" Type="http://schemas.openxmlformats.org/officeDocument/2006/relationships/hyperlink" Target="http://skinchemistryofficial.com" TargetMode="External"/><Relationship Id="rId529" Type="http://schemas.openxmlformats.org/officeDocument/2006/relationships/hyperlink" Target="https://youtube.com/@theistanbulspotlight?si=lL4M0Ky-YmVPs7LF" TargetMode="External"/><Relationship Id="rId528" Type="http://schemas.openxmlformats.org/officeDocument/2006/relationships/hyperlink" Target="http://sprout.link/spotlightuk" TargetMode="External"/><Relationship Id="rId527" Type="http://schemas.openxmlformats.org/officeDocument/2006/relationships/hyperlink" Target="http://thespotlight.la" TargetMode="External"/><Relationship Id="rId526" Type="http://schemas.openxmlformats.org/officeDocument/2006/relationships/hyperlink" Target="http://spotlight.la" TargetMode="External"/><Relationship Id="rId521" Type="http://schemas.openxmlformats.org/officeDocument/2006/relationships/hyperlink" Target="http://sillage-perfume.com" TargetMode="External"/><Relationship Id="rId520" Type="http://schemas.openxmlformats.org/officeDocument/2006/relationships/hyperlink" Target="http://www.sillage.gr/" TargetMode="External"/><Relationship Id="rId519" Type="http://schemas.openxmlformats.org/officeDocument/2006/relationships/hyperlink" Target="http://www.sillage.online/" TargetMode="External"/><Relationship Id="rId514" Type="http://schemas.openxmlformats.org/officeDocument/2006/relationships/hyperlink" Target="https://scentstation.ae" TargetMode="External"/><Relationship Id="rId513" Type="http://schemas.openxmlformats.org/officeDocument/2006/relationships/hyperlink" Target="https://linktr.ee/_scentsgalore" TargetMode="External"/><Relationship Id="rId512" Type="http://schemas.openxmlformats.org/officeDocument/2006/relationships/hyperlink" Target="https://scentiment.com" TargetMode="External"/><Relationship Id="rId511" Type="http://schemas.openxmlformats.org/officeDocument/2006/relationships/hyperlink" Target="http://www.scentgasm.com/" TargetMode="External"/><Relationship Id="rId518" Type="http://schemas.openxmlformats.org/officeDocument/2006/relationships/hyperlink" Target="http://www.sillageme.com/" TargetMode="External"/><Relationship Id="rId517" Type="http://schemas.openxmlformats.org/officeDocument/2006/relationships/hyperlink" Target="http://sillage.me" TargetMode="External"/><Relationship Id="rId516" Type="http://schemas.openxmlformats.org/officeDocument/2006/relationships/hyperlink" Target="https://beacons.ai/sillage" TargetMode="External"/><Relationship Id="rId515" Type="http://schemas.openxmlformats.org/officeDocument/2006/relationships/hyperlink" Target="https://sprout.link/scentsy" TargetMode="External"/><Relationship Id="rId510" Type="http://schemas.openxmlformats.org/officeDocument/2006/relationships/hyperlink" Target="http://www.scentbr.com.br" TargetMode="External"/><Relationship Id="rId590" Type="http://schemas.openxmlformats.org/officeDocument/2006/relationships/hyperlink" Target="http://lnk.bio/wearewewear" TargetMode="External"/><Relationship Id="rId107" Type="http://schemas.openxmlformats.org/officeDocument/2006/relationships/hyperlink" Target="http://campaignforcampsafety.com" TargetMode="External"/><Relationship Id="rId106" Type="http://schemas.openxmlformats.org/officeDocument/2006/relationships/hyperlink" Target="http://www.campaigncincinnati.com/" TargetMode="External"/><Relationship Id="rId105" Type="http://schemas.openxmlformats.org/officeDocument/2006/relationships/hyperlink" Target="https://linktr.ee/CampaignAcey" TargetMode="External"/><Relationship Id="rId589" Type="http://schemas.openxmlformats.org/officeDocument/2006/relationships/hyperlink" Target="http://www.wearever.com.br" TargetMode="External"/><Relationship Id="rId104" Type="http://schemas.openxmlformats.org/officeDocument/2006/relationships/hyperlink" Target="http://www.campaignliving.com/" TargetMode="External"/><Relationship Id="rId588" Type="http://schemas.openxmlformats.org/officeDocument/2006/relationships/hyperlink" Target="https://www.kacewear.com.br/" TargetMode="External"/><Relationship Id="rId109" Type="http://schemas.openxmlformats.org/officeDocument/2006/relationships/hyperlink" Target="https://linkin.bio/humanrightscampaign" TargetMode="External"/><Relationship Id="rId108" Type="http://schemas.openxmlformats.org/officeDocument/2006/relationships/hyperlink" Target="https://linkin.bio/campaignzero" TargetMode="External"/><Relationship Id="rId583" Type="http://schemas.openxmlformats.org/officeDocument/2006/relationships/hyperlink" Target="https://www.visionaryarts.store/" TargetMode="External"/><Relationship Id="rId582" Type="http://schemas.openxmlformats.org/officeDocument/2006/relationships/hyperlink" Target="https://egoicismo.com/visionary" TargetMode="External"/><Relationship Id="rId581" Type="http://schemas.openxmlformats.org/officeDocument/2006/relationships/hyperlink" Target="https://youtube.com/@Trendsetter_tuni?si=xSpvQN8FsqeoyEb3" TargetMode="External"/><Relationship Id="rId580" Type="http://schemas.openxmlformats.org/officeDocument/2006/relationships/hyperlink" Target="https://linktr.ee/trendsetters.ok" TargetMode="External"/><Relationship Id="rId103" Type="http://schemas.openxmlformats.org/officeDocument/2006/relationships/hyperlink" Target="https://www.activecampaign.com/blog/ai-customer-knowledge-center-howto" TargetMode="External"/><Relationship Id="rId587" Type="http://schemas.openxmlformats.org/officeDocument/2006/relationships/hyperlink" Target="https://ibwearshop.com/" TargetMode="External"/><Relationship Id="rId102" Type="http://schemas.openxmlformats.org/officeDocument/2006/relationships/hyperlink" Target="http://tiktok.com/@ori_brand_" TargetMode="External"/><Relationship Id="rId586" Type="http://schemas.openxmlformats.org/officeDocument/2006/relationships/hyperlink" Target="http://acusa.taobao.com/" TargetMode="External"/><Relationship Id="rId101" Type="http://schemas.openxmlformats.org/officeDocument/2006/relationships/hyperlink" Target="https://onebyone.ua" TargetMode="External"/><Relationship Id="rId585" Type="http://schemas.openxmlformats.org/officeDocument/2006/relationships/hyperlink" Target="https://linktr.ee/visionary.land" TargetMode="External"/><Relationship Id="rId100" Type="http://schemas.openxmlformats.org/officeDocument/2006/relationships/hyperlink" Target="http://lichi.com" TargetMode="External"/><Relationship Id="rId584" Type="http://schemas.openxmlformats.org/officeDocument/2006/relationships/hyperlink" Target="http://www.visionaryclubclothing.com/" TargetMode="External"/><Relationship Id="rId579" Type="http://schemas.openxmlformats.org/officeDocument/2006/relationships/hyperlink" Target="http://www.trendsetterave.com/" TargetMode="External"/><Relationship Id="rId578" Type="http://schemas.openxmlformats.org/officeDocument/2006/relationships/hyperlink" Target="https://likeshop.me/campustrendsetters" TargetMode="External"/><Relationship Id="rId577" Type="http://schemas.openxmlformats.org/officeDocument/2006/relationships/hyperlink" Target="https://form.betterment.asia/job/" TargetMode="External"/><Relationship Id="rId572" Type="http://schemas.openxmlformats.org/officeDocument/2006/relationships/hyperlink" Target="https://sprout.link/trailrunnermag" TargetMode="External"/><Relationship Id="rId571" Type="http://schemas.openxmlformats.org/officeDocument/2006/relationships/hyperlink" Target="https://lynk.id/diengtrailrun" TargetMode="External"/><Relationship Id="rId570" Type="http://schemas.openxmlformats.org/officeDocument/2006/relationships/hyperlink" Target="http://indrasbotanica.com" TargetMode="External"/><Relationship Id="rId576" Type="http://schemas.openxmlformats.org/officeDocument/2006/relationships/hyperlink" Target="http://betterment.asia" TargetMode="External"/><Relationship Id="rId575" Type="http://schemas.openxmlformats.org/officeDocument/2006/relationships/hyperlink" Target="http://wildtrail.ru" TargetMode="External"/><Relationship Id="rId574" Type="http://schemas.openxmlformats.org/officeDocument/2006/relationships/hyperlink" Target="https://trailrunning.pro" TargetMode="External"/><Relationship Id="rId573" Type="http://schemas.openxmlformats.org/officeDocument/2006/relationships/hyperlink" Target="https://linktr.ee/trailrunningchannel" TargetMode="External"/><Relationship Id="rId129" Type="http://schemas.openxmlformats.org/officeDocument/2006/relationships/hyperlink" Target="http://linktr.ee/jmmyylee" TargetMode="External"/><Relationship Id="rId128" Type="http://schemas.openxmlformats.org/officeDocument/2006/relationships/hyperlink" Target="https://linktr.ee/ilcommerciale_" TargetMode="External"/><Relationship Id="rId127" Type="http://schemas.openxmlformats.org/officeDocument/2006/relationships/hyperlink" Target="https://haleproductionstudios.com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://www.mastercologne.com" TargetMode="External"/><Relationship Id="rId120" Type="http://schemas.openxmlformats.org/officeDocument/2006/relationships/hyperlink" Target="http://www.mastercologne.com" TargetMode="External"/><Relationship Id="rId125" Type="http://schemas.openxmlformats.org/officeDocument/2006/relationships/hyperlink" Target="https://linkin.bio/commercial_observer" TargetMode="External"/><Relationship Id="rId124" Type="http://schemas.openxmlformats.org/officeDocument/2006/relationships/hyperlink" Target="https://linktr.ee/commercialbsdcity" TargetMode="External"/><Relationship Id="rId123" Type="http://schemas.openxmlformats.org/officeDocument/2006/relationships/hyperlink" Target="https://linktr.ee/colognecollection" TargetMode="External"/><Relationship Id="rId122" Type="http://schemas.openxmlformats.org/officeDocument/2006/relationships/hyperlink" Target="http://www.qualitycolognehair.com/" TargetMode="External"/><Relationship Id="rId118" Type="http://schemas.openxmlformats.org/officeDocument/2006/relationships/hyperlink" Target="https://whatsapp.com/channel/0029VaUzKAiJZg4FrrnD4Z0y" TargetMode="External"/><Relationship Id="rId117" Type="http://schemas.openxmlformats.org/officeDocument/2006/relationships/hyperlink" Target="https://www.proko.com/s/T3eW?af=407820" TargetMode="External"/><Relationship Id="rId116" Type="http://schemas.openxmlformats.org/officeDocument/2006/relationships/hyperlink" Target="http://classic-energy.com/" TargetMode="External"/><Relationship Id="rId115" Type="http://schemas.openxmlformats.org/officeDocument/2006/relationships/hyperlink" Target="http://www.dior.com/" TargetMode="External"/><Relationship Id="rId119" Type="http://schemas.openxmlformats.org/officeDocument/2006/relationships/hyperlink" Target="https://www.girlbosssuites.com/event-details/girlboss-awards-houston-2025" TargetMode="External"/><Relationship Id="rId110" Type="http://schemas.openxmlformats.org/officeDocument/2006/relationships/hyperlink" Target="https://linkbio.co/7061801kRxCM3" TargetMode="External"/><Relationship Id="rId593" Type="http://schemas.openxmlformats.org/officeDocument/2006/relationships/drawing" Target="../drawings/drawing14.xml"/><Relationship Id="rId592" Type="http://schemas.openxmlformats.org/officeDocument/2006/relationships/hyperlink" Target="http://www.wewearmiel.co.il" TargetMode="External"/><Relationship Id="rId591" Type="http://schemas.openxmlformats.org/officeDocument/2006/relationships/hyperlink" Target="https://wearrame.com/collections/events" TargetMode="External"/><Relationship Id="rId114" Type="http://schemas.openxmlformats.org/officeDocument/2006/relationships/hyperlink" Target="http://www.dior.com/" TargetMode="External"/><Relationship Id="rId113" Type="http://schemas.openxmlformats.org/officeDocument/2006/relationships/hyperlink" Target="http://youtu.be/lRyKX5WPTfY" TargetMode="External"/><Relationship Id="rId112" Type="http://schemas.openxmlformats.org/officeDocument/2006/relationships/hyperlink" Target="http://seventyfourboysandgirlsclub.com" TargetMode="External"/><Relationship Id="rId111" Type="http://schemas.openxmlformats.org/officeDocument/2006/relationships/hyperlink" Target="http://www.noh8campaign.com" TargetMode="External"/><Relationship Id="rId547" Type="http://schemas.openxmlformats.org/officeDocument/2006/relationships/hyperlink" Target="https://linktr.ee/lesliehudddart" TargetMode="External"/><Relationship Id="rId546" Type="http://schemas.openxmlformats.org/officeDocument/2006/relationships/hyperlink" Target="https://asubtlespace.carrd.co/" TargetMode="External"/><Relationship Id="rId545" Type="http://schemas.openxmlformats.org/officeDocument/2006/relationships/hyperlink" Target="https://tix.to/STYLETO_TOUR" TargetMode="External"/><Relationship Id="rId544" Type="http://schemas.openxmlformats.org/officeDocument/2006/relationships/hyperlink" Target="https://www.wornby.co.uk/outfit-suggestions" TargetMode="External"/><Relationship Id="rId549" Type="http://schemas.openxmlformats.org/officeDocument/2006/relationships/hyperlink" Target="https://www.subtleseries.com/start" TargetMode="External"/><Relationship Id="rId548" Type="http://schemas.openxmlformats.org/officeDocument/2006/relationships/hyperlink" Target="https://subtledust.com" TargetMode="External"/><Relationship Id="rId543" Type="http://schemas.openxmlformats.org/officeDocument/2006/relationships/hyperlink" Target="http://www.styledsara.com" TargetMode="External"/><Relationship Id="rId542" Type="http://schemas.openxmlformats.org/officeDocument/2006/relationships/hyperlink" Target="https://vkvideo.ru/video-225226867_456239270" TargetMode="External"/><Relationship Id="rId541" Type="http://schemas.openxmlformats.org/officeDocument/2006/relationships/hyperlink" Target="https://www.styleaddict.com.au/" TargetMode="External"/><Relationship Id="rId540" Type="http://schemas.openxmlformats.org/officeDocument/2006/relationships/hyperlink" Target="https://10pmcurfew.com" TargetMode="External"/><Relationship Id="rId536" Type="http://schemas.openxmlformats.org/officeDocument/2006/relationships/hyperlink" Target="https://www.spray-pal.com/" TargetMode="External"/><Relationship Id="rId535" Type="http://schemas.openxmlformats.org/officeDocument/2006/relationships/hyperlink" Target="https://bit.ly/3mKgddE" TargetMode="External"/><Relationship Id="rId534" Type="http://schemas.openxmlformats.org/officeDocument/2006/relationships/hyperlink" Target="https://temple.fans/spray" TargetMode="External"/><Relationship Id="rId533" Type="http://schemas.openxmlformats.org/officeDocument/2006/relationships/hyperlink" Target="https://youtube.com/@spraybaby?si=ojx1cqoEoNVuyhL6" TargetMode="External"/><Relationship Id="rId539" Type="http://schemas.openxmlformats.org/officeDocument/2006/relationships/hyperlink" Target="http://likeshop.me/nytstyle" TargetMode="External"/><Relationship Id="rId538" Type="http://schemas.openxmlformats.org/officeDocument/2006/relationships/hyperlink" Target="http://hstyles.lnk.to/harryshouse" TargetMode="External"/><Relationship Id="rId537" Type="http://schemas.openxmlformats.org/officeDocument/2006/relationships/hyperlink" Target="http://www.sprayplanet.com" TargetMode="External"/><Relationship Id="rId532" Type="http://schemas.openxmlformats.org/officeDocument/2006/relationships/hyperlink" Target="https://whatsapp.com/channel/0029VaFpk54AojYn7Or5fQ1O" TargetMode="External"/><Relationship Id="rId531" Type="http://schemas.openxmlformats.org/officeDocument/2006/relationships/hyperlink" Target="https://youtube.com/@mindspray" TargetMode="External"/><Relationship Id="rId530" Type="http://schemas.openxmlformats.org/officeDocument/2006/relationships/hyperlink" Target="https://www.tiktok.com/@liamweis.art?_t=ZS-8ypTzjHYlPg&amp;_r=1" TargetMode="External"/><Relationship Id="rId569" Type="http://schemas.openxmlformats.org/officeDocument/2006/relationships/hyperlink" Target="http://www.timelessvixen.com/" TargetMode="External"/><Relationship Id="rId568" Type="http://schemas.openxmlformats.org/officeDocument/2006/relationships/hyperlink" Target="https://linktr.ee/eldalieee" TargetMode="External"/><Relationship Id="rId567" Type="http://schemas.openxmlformats.org/officeDocument/2006/relationships/hyperlink" Target="https://youtu.be/l1E_SJUagmQ" TargetMode="External"/><Relationship Id="rId566" Type="http://schemas.openxmlformats.org/officeDocument/2006/relationships/hyperlink" Target="https://youtu.be/l1E_SJUagmQ" TargetMode="External"/><Relationship Id="rId561" Type="http://schemas.openxmlformats.org/officeDocument/2006/relationships/hyperlink" Target="https://thetimelessjournal.com" TargetMode="External"/><Relationship Id="rId560" Type="http://schemas.openxmlformats.org/officeDocument/2006/relationships/hyperlink" Target="http://flow.page/alwaystimeless" TargetMode="External"/><Relationship Id="rId565" Type="http://schemas.openxmlformats.org/officeDocument/2006/relationships/hyperlink" Target="https://www.aikami.link/ts-ig-bio" TargetMode="External"/><Relationship Id="rId564" Type="http://schemas.openxmlformats.org/officeDocument/2006/relationships/hyperlink" Target="https://timelesspearly.com" TargetMode="External"/><Relationship Id="rId563" Type="http://schemas.openxmlformats.org/officeDocument/2006/relationships/hyperlink" Target="https://timelesspearly.com" TargetMode="External"/><Relationship Id="rId562" Type="http://schemas.openxmlformats.org/officeDocument/2006/relationships/hyperlink" Target="https://thetimelessjournal.com" TargetMode="External"/><Relationship Id="rId558" Type="http://schemas.openxmlformats.org/officeDocument/2006/relationships/hyperlink" Target="http://flow.page/alwaystimeless" TargetMode="External"/><Relationship Id="rId557" Type="http://schemas.openxmlformats.org/officeDocument/2006/relationships/hyperlink" Target="http://alwaystimeless.co" TargetMode="External"/><Relationship Id="rId556" Type="http://schemas.openxmlformats.org/officeDocument/2006/relationships/hyperlink" Target="https://linktr.ee/pinsent_tailoring" TargetMode="External"/><Relationship Id="rId555" Type="http://schemas.openxmlformats.org/officeDocument/2006/relationships/hyperlink" Target="https://www.crafthouseng.com/collections/all" TargetMode="External"/><Relationship Id="rId559" Type="http://schemas.openxmlformats.org/officeDocument/2006/relationships/hyperlink" Target="http://alwaystimeless.co" TargetMode="External"/><Relationship Id="rId550" Type="http://schemas.openxmlformats.org/officeDocument/2006/relationships/hyperlink" Target="http://www.symbolaudio.com/" TargetMode="External"/><Relationship Id="rId554" Type="http://schemas.openxmlformats.org/officeDocument/2006/relationships/hyperlink" Target="https://go.symbol.ua/online-store" TargetMode="External"/><Relationship Id="rId553" Type="http://schemas.openxmlformats.org/officeDocument/2006/relationships/hyperlink" Target="http://symbol.ua" TargetMode="External"/><Relationship Id="rId552" Type="http://schemas.openxmlformats.org/officeDocument/2006/relationships/hyperlink" Target="http://symboll.com/" TargetMode="External"/><Relationship Id="rId551" Type="http://schemas.openxmlformats.org/officeDocument/2006/relationships/hyperlink" Target="https://symbolicmagic.com/collections/essential-oil-sprays/products/sleep-spray-4oz" TargetMode="External"/><Relationship Id="rId495" Type="http://schemas.openxmlformats.org/officeDocument/2006/relationships/hyperlink" Target="https://runwayml.com/news/runway-fabula-partnership" TargetMode="External"/><Relationship Id="rId494" Type="http://schemas.openxmlformats.org/officeDocument/2006/relationships/hyperlink" Target="https://runway7fashion.komi.io" TargetMode="External"/><Relationship Id="rId493" Type="http://schemas.openxmlformats.org/officeDocument/2006/relationships/hyperlink" Target="https://youtu.be/GshIsVOt1pg?si=s6NZYaKd6NlB_qlM" TargetMode="External"/><Relationship Id="rId492" Type="http://schemas.openxmlformats.org/officeDocument/2006/relationships/hyperlink" Target="https://colors.lnk.to/breerunway1119" TargetMode="External"/><Relationship Id="rId499" Type="http://schemas.openxmlformats.org/officeDocument/2006/relationships/hyperlink" Target="https://linktr.ee/runwayscout" TargetMode="External"/><Relationship Id="rId498" Type="http://schemas.openxmlformats.org/officeDocument/2006/relationships/hyperlink" Target="https://www.runwayroom.com" TargetMode="External"/><Relationship Id="rId497" Type="http://schemas.openxmlformats.org/officeDocument/2006/relationships/hyperlink" Target="https://youtu.be/G9wijoT0h54?si=oQ0I4mSFVwE3Hy1t" TargetMode="External"/><Relationship Id="rId496" Type="http://schemas.openxmlformats.org/officeDocument/2006/relationships/hyperlink" Target="https://billionairemarketing.agency/linkinbio-page" TargetMode="External"/><Relationship Id="rId409" Type="http://schemas.openxmlformats.org/officeDocument/2006/relationships/hyperlink" Target="http://tiktok.com/@maisondor18kk" TargetMode="External"/><Relationship Id="rId404" Type="http://schemas.openxmlformats.org/officeDocument/2006/relationships/hyperlink" Target="https://maison.choiceqr.com/section:menyu" TargetMode="External"/><Relationship Id="rId403" Type="http://schemas.openxmlformats.org/officeDocument/2006/relationships/hyperlink" Target="https://www.maisonmargiela.com/" TargetMode="External"/><Relationship Id="rId402" Type="http://schemas.openxmlformats.org/officeDocument/2006/relationships/hyperlink" Target="https://www.facebook.com/profile.php?id=61572930750691&amp;mibextid=ZbWKwL" TargetMode="External"/><Relationship Id="rId401" Type="http://schemas.openxmlformats.org/officeDocument/2006/relationships/hyperlink" Target="https://www.facebook.com/LuxuryHouseeg" TargetMode="External"/><Relationship Id="rId408" Type="http://schemas.openxmlformats.org/officeDocument/2006/relationships/hyperlink" Target="http://maisondoreg.com/" TargetMode="External"/><Relationship Id="rId407" Type="http://schemas.openxmlformats.org/officeDocument/2006/relationships/hyperlink" Target="http://linkin.bio/diormaison/" TargetMode="External"/><Relationship Id="rId406" Type="http://schemas.openxmlformats.org/officeDocument/2006/relationships/hyperlink" Target="https://on.valentino.com/ValentinoLeMetaTheatreDesIntimites" TargetMode="External"/><Relationship Id="rId405" Type="http://schemas.openxmlformats.org/officeDocument/2006/relationships/hyperlink" Target="https://maisonsbond.com/" TargetMode="External"/><Relationship Id="rId400" Type="http://schemas.openxmlformats.org/officeDocument/2006/relationships/hyperlink" Target="https://www.facebook.com/Articles-de-M%C3%A9nage-Smaoun-1671004769858828/" TargetMode="External"/><Relationship Id="rId469" Type="http://schemas.openxmlformats.org/officeDocument/2006/relationships/hyperlink" Target="https://t.snapchat.com/VYLpD8VI" TargetMode="External"/><Relationship Id="rId468" Type="http://schemas.openxmlformats.org/officeDocument/2006/relationships/hyperlink" Target="https://joinfambase.com/invite?c=7WnoDpLm" TargetMode="External"/><Relationship Id="rId467" Type="http://schemas.openxmlformats.org/officeDocument/2006/relationships/hyperlink" Target="https://t.me/powerful_com_multik_bot" TargetMode="External"/><Relationship Id="rId462" Type="http://schemas.openxmlformats.org/officeDocument/2006/relationships/hyperlink" Target="https://littlemissperfume.komi.io" TargetMode="External"/><Relationship Id="rId461" Type="http://schemas.openxmlformats.org/officeDocument/2006/relationships/hyperlink" Target="http://www.perfumeadicta.com" TargetMode="External"/><Relationship Id="rId460" Type="http://schemas.openxmlformats.org/officeDocument/2006/relationships/hyperlink" Target="https://mrperfumestore.com/product-category/%D8%AC%D8%B4%D9%86%D9%88%D8%A7%D8%B1%D9%87-%D9%81%D8%B1%D9%88%D8%B4-%D8%AF%DA%A9%D8%A7%D9%86%D8%AA/" TargetMode="External"/><Relationship Id="rId466" Type="http://schemas.openxmlformats.org/officeDocument/2006/relationships/hyperlink" Target="https://youtube.com/@ikramulhussain-12?si=7jBs7BmyOz5gktKy" TargetMode="External"/><Relationship Id="rId465" Type="http://schemas.openxmlformats.org/officeDocument/2006/relationships/hyperlink" Target="https://s.shopee.vn/3fstTowGgk" TargetMode="External"/><Relationship Id="rId464" Type="http://schemas.openxmlformats.org/officeDocument/2006/relationships/hyperlink" Target="http://perfume.spot.eg" TargetMode="External"/><Relationship Id="rId463" Type="http://schemas.openxmlformats.org/officeDocument/2006/relationships/hyperlink" Target="https://youtu.be/mbdTmqiuvNo" TargetMode="External"/><Relationship Id="rId459" Type="http://schemas.openxmlformats.org/officeDocument/2006/relationships/hyperlink" Target="https://taplink.cc/adikaperfume" TargetMode="External"/><Relationship Id="rId458" Type="http://schemas.openxmlformats.org/officeDocument/2006/relationships/hyperlink" Target="http://linktr.ee/victoriaperfumeid" TargetMode="External"/><Relationship Id="rId457" Type="http://schemas.openxmlformats.org/officeDocument/2006/relationships/hyperlink" Target="https://zil.ink/zava.perfume" TargetMode="External"/><Relationship Id="rId456" Type="http://schemas.openxmlformats.org/officeDocument/2006/relationships/hyperlink" Target="https://linktr.ee/the.perfume.shop" TargetMode="External"/><Relationship Id="rId451" Type="http://schemas.openxmlformats.org/officeDocument/2006/relationships/hyperlink" Target="https://linktr.ee/perfumegenius" TargetMode="External"/><Relationship Id="rId450" Type="http://schemas.openxmlformats.org/officeDocument/2006/relationships/hyperlink" Target="https://api.whatsapp.com/send?phone=18493609623&amp;text=Buenas" TargetMode="External"/><Relationship Id="rId455" Type="http://schemas.openxmlformats.org/officeDocument/2006/relationships/hyperlink" Target="https://www.facebook.com/profile.php?id=61565877723726&amp;mibextid=ZbWKwL" TargetMode="External"/><Relationship Id="rId454" Type="http://schemas.openxmlformats.org/officeDocument/2006/relationships/hyperlink" Target="https://www.perfume-web.jp/20x25-anniversary/" TargetMode="External"/><Relationship Id="rId453" Type="http://schemas.openxmlformats.org/officeDocument/2006/relationships/hyperlink" Target="https://linktr.ee/Perfumesiren" TargetMode="External"/><Relationship Id="rId452" Type="http://schemas.openxmlformats.org/officeDocument/2006/relationships/hyperlink" Target="http://linktr.ee/perfumerism" TargetMode="External"/><Relationship Id="rId491" Type="http://schemas.openxmlformats.org/officeDocument/2006/relationships/hyperlink" Target="https://linktr.ee/Uniresinas" TargetMode="External"/><Relationship Id="rId490" Type="http://schemas.openxmlformats.org/officeDocument/2006/relationships/hyperlink" Target="https://resin24.com" TargetMode="External"/><Relationship Id="rId489" Type="http://schemas.openxmlformats.org/officeDocument/2006/relationships/hyperlink" Target="https://youtube.com/@resin_lovee" TargetMode="External"/><Relationship Id="rId484" Type="http://schemas.openxmlformats.org/officeDocument/2006/relationships/hyperlink" Target="http://www.tributetotaylor.com" TargetMode="External"/><Relationship Id="rId483" Type="http://schemas.openxmlformats.org/officeDocument/2006/relationships/hyperlink" Target="http://www.reputation-studios.com" TargetMode="External"/><Relationship Id="rId482" Type="http://schemas.openxmlformats.org/officeDocument/2006/relationships/hyperlink" Target="https://reputationextensions.com/" TargetMode="External"/><Relationship Id="rId481" Type="http://schemas.openxmlformats.org/officeDocument/2006/relationships/hyperlink" Target="https://t.me/reputationbusinessforum" TargetMode="External"/><Relationship Id="rId488" Type="http://schemas.openxmlformats.org/officeDocument/2006/relationships/hyperlink" Target="https://linktr.ee/ResinBeautyLA" TargetMode="External"/><Relationship Id="rId487" Type="http://schemas.openxmlformats.org/officeDocument/2006/relationships/hyperlink" Target="https://taplink.cc/letsresin" TargetMode="External"/><Relationship Id="rId486" Type="http://schemas.openxmlformats.org/officeDocument/2006/relationships/hyperlink" Target="https://beacons.ai/jpresin" TargetMode="External"/><Relationship Id="rId485" Type="http://schemas.openxmlformats.org/officeDocument/2006/relationships/hyperlink" Target="https://link.me/don_resin" TargetMode="External"/><Relationship Id="rId480" Type="http://schemas.openxmlformats.org/officeDocument/2006/relationships/hyperlink" Target="https://refinementofficial.com" TargetMode="External"/><Relationship Id="rId479" Type="http://schemas.openxmlformats.org/officeDocument/2006/relationships/hyperlink" Target="http://projections.co.in" TargetMode="External"/><Relationship Id="rId478" Type="http://schemas.openxmlformats.org/officeDocument/2006/relationships/hyperlink" Target="http://www.urprestigious.com/" TargetMode="External"/><Relationship Id="rId473" Type="http://schemas.openxmlformats.org/officeDocument/2006/relationships/hyperlink" Target="https://linkstre.am/prestigeth" TargetMode="External"/><Relationship Id="rId472" Type="http://schemas.openxmlformats.org/officeDocument/2006/relationships/hyperlink" Target="https://prestigeimports.store" TargetMode="External"/><Relationship Id="rId471" Type="http://schemas.openxmlformats.org/officeDocument/2006/relationships/hyperlink" Target="https://linkin.bio/prestigehk" TargetMode="External"/><Relationship Id="rId470" Type="http://schemas.openxmlformats.org/officeDocument/2006/relationships/hyperlink" Target="https://www.pinprestige.com/sg/" TargetMode="External"/><Relationship Id="rId477" Type="http://schemas.openxmlformats.org/officeDocument/2006/relationships/hyperlink" Target="https://youtube.com/channel/UCi1BHBZ18Ezz2AAR6qrwItQ" TargetMode="External"/><Relationship Id="rId476" Type="http://schemas.openxmlformats.org/officeDocument/2006/relationships/hyperlink" Target="https://linktr.ee/prestigiousjewellers" TargetMode="External"/><Relationship Id="rId475" Type="http://schemas.openxmlformats.org/officeDocument/2006/relationships/hyperlink" Target="http://www.presgarm.com" TargetMode="External"/><Relationship Id="rId474" Type="http://schemas.openxmlformats.org/officeDocument/2006/relationships/hyperlink" Target="http://prestigestyles.com" TargetMode="External"/><Relationship Id="rId426" Type="http://schemas.openxmlformats.org/officeDocument/2006/relationships/hyperlink" Target="https://music.youtube.com/playlist?list=PLVXDrQiMqkA97ht9YQ8urG9kwG4PM2296&amp;feature=shared" TargetMode="External"/><Relationship Id="rId425" Type="http://schemas.openxmlformats.org/officeDocument/2006/relationships/hyperlink" Target="http://notesbook.eg" TargetMode="External"/><Relationship Id="rId424" Type="http://schemas.openxmlformats.org/officeDocument/2006/relationships/hyperlink" Target="https://themodernproper.com/links" TargetMode="External"/><Relationship Id="rId423" Type="http://schemas.openxmlformats.org/officeDocument/2006/relationships/hyperlink" Target="https://linktr.ee/themodernhouse" TargetMode="External"/><Relationship Id="rId429" Type="http://schemas.openxmlformats.org/officeDocument/2006/relationships/hyperlink" Target="http://odoriko.eg" TargetMode="External"/><Relationship Id="rId428" Type="http://schemas.openxmlformats.org/officeDocument/2006/relationships/hyperlink" Target="https://umusicplay.lnk.to/TopnejobyOdorico" TargetMode="External"/><Relationship Id="rId427" Type="http://schemas.openxmlformats.org/officeDocument/2006/relationships/hyperlink" Target="https://form.qomon.org/zdvihnute-obocie-ludovita-odora/" TargetMode="External"/><Relationship Id="rId422" Type="http://schemas.openxmlformats.org/officeDocument/2006/relationships/hyperlink" Target="https://m.smartstore.naver.com/modern_jjj" TargetMode="External"/><Relationship Id="rId421" Type="http://schemas.openxmlformats.org/officeDocument/2006/relationships/hyperlink" Target="http://m.modernmansion.co.kr/index.html" TargetMode="External"/><Relationship Id="rId420" Type="http://schemas.openxmlformats.org/officeDocument/2006/relationships/hyperlink" Target="http://hulu.tv/ModernFamily" TargetMode="External"/><Relationship Id="rId415" Type="http://schemas.openxmlformats.org/officeDocument/2006/relationships/hyperlink" Target="https://www.makeupforever.com" TargetMode="External"/><Relationship Id="rId414" Type="http://schemas.openxmlformats.org/officeDocument/2006/relationships/hyperlink" Target="https://linkin.bio/10pmcurfew/" TargetMode="External"/><Relationship Id="rId413" Type="http://schemas.openxmlformats.org/officeDocument/2006/relationships/hyperlink" Target="https://empireofmakeup.wayforpay.link" TargetMode="External"/><Relationship Id="rId412" Type="http://schemas.openxmlformats.org/officeDocument/2006/relationships/hyperlink" Target="https://linktr.ee/FENZZAMAKEUP" TargetMode="External"/><Relationship Id="rId419" Type="http://schemas.openxmlformats.org/officeDocument/2006/relationships/hyperlink" Target="https://www.youtube.com/@lux_yadak_modern" TargetMode="External"/><Relationship Id="rId418" Type="http://schemas.openxmlformats.org/officeDocument/2006/relationships/hyperlink" Target="https://stan.store/itsmodernmillie" TargetMode="External"/><Relationship Id="rId417" Type="http://schemas.openxmlformats.org/officeDocument/2006/relationships/hyperlink" Target="https://linktr.ee/alaynecurtissbridalbeauty" TargetMode="External"/><Relationship Id="rId416" Type="http://schemas.openxmlformats.org/officeDocument/2006/relationships/hyperlink" Target="http://wa.me/6281222570230" TargetMode="External"/><Relationship Id="rId411" Type="http://schemas.openxmlformats.org/officeDocument/2006/relationships/hyperlink" Target="https://linktr.ee/belindasmakeup" TargetMode="External"/><Relationship Id="rId410" Type="http://schemas.openxmlformats.org/officeDocument/2006/relationships/hyperlink" Target="https://www.facebook.com/Maison-dor-114614051221254/" TargetMode="External"/><Relationship Id="rId448" Type="http://schemas.openxmlformats.org/officeDocument/2006/relationships/hyperlink" Target="https://youtu.be/PXRoeaaTZUc?si=3H1itBvW_dsF1nSi" TargetMode="External"/><Relationship Id="rId447" Type="http://schemas.openxmlformats.org/officeDocument/2006/relationships/hyperlink" Target="https://www.tiktok.com/@parisian_officiel?_t=8qX3e7tTxnK&amp;_r=1" TargetMode="External"/><Relationship Id="rId446" Type="http://schemas.openxmlformats.org/officeDocument/2006/relationships/hyperlink" Target="https://beacons.ai/parisianbeautyacademy" TargetMode="External"/><Relationship Id="rId445" Type="http://schemas.openxmlformats.org/officeDocument/2006/relationships/hyperlink" Target="https://parfums-de-marly.com/pages/vision" TargetMode="External"/><Relationship Id="rId449" Type="http://schemas.openxmlformats.org/officeDocument/2006/relationships/hyperlink" Target="https://linktr.ee/theparisianvintage" TargetMode="External"/><Relationship Id="rId440" Type="http://schemas.openxmlformats.org/officeDocument/2006/relationships/hyperlink" Target="http://www.colibriparfum.com.br" TargetMode="External"/><Relationship Id="rId444" Type="http://schemas.openxmlformats.org/officeDocument/2006/relationships/hyperlink" Target="https://parfumer.org" TargetMode="External"/><Relationship Id="rId443" Type="http://schemas.openxmlformats.org/officeDocument/2006/relationships/hyperlink" Target="https://parfumbrasil.com.br/encontre/" TargetMode="External"/><Relationship Id="rId442" Type="http://schemas.openxmlformats.org/officeDocument/2006/relationships/hyperlink" Target="https://wa.clck.bar/79915949944" TargetMode="External"/><Relationship Id="rId441" Type="http://schemas.openxmlformats.org/officeDocument/2006/relationships/hyperlink" Target="https://czechfragranceclub.cz" TargetMode="External"/><Relationship Id="rId437" Type="http://schemas.openxmlformats.org/officeDocument/2006/relationships/hyperlink" Target="https://huart.jp/ja/profile/47525" TargetMode="External"/><Relationship Id="rId436" Type="http://schemas.openxmlformats.org/officeDocument/2006/relationships/hyperlink" Target="https://oila.tj" TargetMode="External"/><Relationship Id="rId435" Type="http://schemas.openxmlformats.org/officeDocument/2006/relationships/hyperlink" Target="https://www.facebook.com/share/1BmX4xMizT/?mibextid=wwXIfr" TargetMode="External"/><Relationship Id="rId434" Type="http://schemas.openxmlformats.org/officeDocument/2006/relationships/hyperlink" Target="https://nancysoil.myshopify.com/" TargetMode="External"/><Relationship Id="rId439" Type="http://schemas.openxmlformats.org/officeDocument/2006/relationships/hyperlink" Target="https://bibliotheque-de-parfum.ua/collections/product-of-the-month?utm_source=instagram&amp;utm_medium=page" TargetMode="External"/><Relationship Id="rId438" Type="http://schemas.openxmlformats.org/officeDocument/2006/relationships/hyperlink" Target="http://linktr.ee/standoil" TargetMode="External"/><Relationship Id="rId433" Type="http://schemas.openxmlformats.org/officeDocument/2006/relationships/hyperlink" Target="http://bio-oil.com" TargetMode="External"/><Relationship Id="rId432" Type="http://schemas.openxmlformats.org/officeDocument/2006/relationships/hyperlink" Target="https://adivasikarnataka.com/products/original-south-indian-karnataka-adivasi-hair-oil" TargetMode="External"/><Relationship Id="rId431" Type="http://schemas.openxmlformats.org/officeDocument/2006/relationships/hyperlink" Target="https://odorshop.co.kr" TargetMode="External"/><Relationship Id="rId430" Type="http://schemas.openxmlformats.org/officeDocument/2006/relationships/hyperlink" Target="https://linktr.ee/Odoriko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2" t="s">
        <v>7</v>
      </c>
    </row>
    <row r="9">
      <c r="A9" s="2" t="s">
        <v>8</v>
      </c>
    </row>
    <row r="10">
      <c r="A10" s="2" t="s">
        <v>9</v>
      </c>
    </row>
    <row r="11">
      <c r="A11" s="2" t="s">
        <v>10</v>
      </c>
    </row>
    <row r="12">
      <c r="A12" s="2" t="s">
        <v>11</v>
      </c>
    </row>
    <row r="13">
      <c r="A13" s="2" t="s">
        <v>12</v>
      </c>
    </row>
    <row r="14">
      <c r="A14" s="2" t="s">
        <v>13</v>
      </c>
    </row>
    <row r="15">
      <c r="A15" s="2" t="s">
        <v>14</v>
      </c>
    </row>
    <row r="16">
      <c r="A16" s="2" t="s">
        <v>15</v>
      </c>
    </row>
    <row r="17">
      <c r="A17" s="2" t="s">
        <v>16</v>
      </c>
    </row>
    <row r="18">
      <c r="A18" s="2" t="s">
        <v>17</v>
      </c>
    </row>
    <row r="19">
      <c r="A19" s="2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  <row r="25">
      <c r="A25" s="2" t="s">
        <v>24</v>
      </c>
    </row>
    <row r="26">
      <c r="A26" s="2" t="s">
        <v>25</v>
      </c>
    </row>
    <row r="27">
      <c r="A27" s="2" t="s">
        <v>26</v>
      </c>
    </row>
    <row r="28">
      <c r="A28" s="2" t="s">
        <v>27</v>
      </c>
    </row>
    <row r="29">
      <c r="A29" s="2" t="s">
        <v>28</v>
      </c>
    </row>
    <row r="30">
      <c r="A30" s="2" t="s">
        <v>29</v>
      </c>
    </row>
    <row r="31">
      <c r="A31" s="2" t="s">
        <v>30</v>
      </c>
    </row>
    <row r="32">
      <c r="A32" s="2" t="s">
        <v>31</v>
      </c>
    </row>
    <row r="33">
      <c r="A33" s="2" t="s">
        <v>32</v>
      </c>
    </row>
    <row r="34">
      <c r="A34" s="2" t="s">
        <v>33</v>
      </c>
    </row>
    <row r="35">
      <c r="A35" s="2" t="s">
        <v>34</v>
      </c>
    </row>
    <row r="36">
      <c r="A36" s="2" t="s">
        <v>35</v>
      </c>
    </row>
    <row r="37">
      <c r="A37" s="2" t="s">
        <v>36</v>
      </c>
    </row>
    <row r="38">
      <c r="A38" s="2" t="s">
        <v>37</v>
      </c>
    </row>
    <row r="39">
      <c r="A39" s="2" t="s">
        <v>38</v>
      </c>
    </row>
    <row r="40">
      <c r="A40" s="2" t="s">
        <v>39</v>
      </c>
    </row>
    <row r="41">
      <c r="A41" s="2" t="s">
        <v>40</v>
      </c>
    </row>
    <row r="42">
      <c r="A42" s="2" t="s">
        <v>41</v>
      </c>
    </row>
    <row r="43">
      <c r="A43" s="2" t="s">
        <v>42</v>
      </c>
    </row>
    <row r="44">
      <c r="A44" s="2" t="s">
        <v>43</v>
      </c>
    </row>
    <row r="45">
      <c r="A45" s="2" t="s">
        <v>44</v>
      </c>
    </row>
    <row r="46">
      <c r="A46" s="2" t="s">
        <v>45</v>
      </c>
    </row>
    <row r="47">
      <c r="A47" s="2" t="s">
        <v>46</v>
      </c>
    </row>
    <row r="48">
      <c r="A48" s="2" t="s">
        <v>47</v>
      </c>
    </row>
    <row r="49">
      <c r="A49" s="2" t="s">
        <v>48</v>
      </c>
    </row>
    <row r="50">
      <c r="A50" s="2" t="s">
        <v>49</v>
      </c>
    </row>
    <row r="51">
      <c r="A51" s="2" t="s">
        <v>50</v>
      </c>
    </row>
    <row r="52">
      <c r="A52" s="2" t="s">
        <v>51</v>
      </c>
    </row>
    <row r="53">
      <c r="A53" s="2" t="s">
        <v>52</v>
      </c>
    </row>
    <row r="54">
      <c r="A54" s="2" t="s">
        <v>53</v>
      </c>
    </row>
    <row r="55">
      <c r="A55" s="2" t="s">
        <v>54</v>
      </c>
    </row>
    <row r="56">
      <c r="A56" s="2" t="s">
        <v>55</v>
      </c>
    </row>
    <row r="57">
      <c r="A57" s="2" t="s">
        <v>56</v>
      </c>
    </row>
    <row r="58">
      <c r="A58" s="2" t="s">
        <v>57</v>
      </c>
    </row>
    <row r="59">
      <c r="A59" s="2" t="s">
        <v>58</v>
      </c>
    </row>
    <row r="60">
      <c r="A60" s="2" t="s">
        <v>59</v>
      </c>
    </row>
    <row r="61">
      <c r="A61" s="2" t="s">
        <v>60</v>
      </c>
    </row>
    <row r="62">
      <c r="A62" s="2" t="s">
        <v>61</v>
      </c>
    </row>
    <row r="63">
      <c r="A63" s="2" t="s">
        <v>62</v>
      </c>
    </row>
    <row r="64">
      <c r="A64" s="2" t="s">
        <v>63</v>
      </c>
    </row>
    <row r="65">
      <c r="A65" s="2" t="s">
        <v>64</v>
      </c>
    </row>
    <row r="66">
      <c r="A66" s="2" t="s">
        <v>65</v>
      </c>
    </row>
    <row r="67">
      <c r="A67" s="2" t="s">
        <v>66</v>
      </c>
    </row>
    <row r="68">
      <c r="A68" s="2" t="s">
        <v>67</v>
      </c>
    </row>
    <row r="69">
      <c r="A69" s="2" t="s">
        <v>68</v>
      </c>
    </row>
    <row r="70">
      <c r="A70" s="2" t="s">
        <v>69</v>
      </c>
    </row>
    <row r="71">
      <c r="A71" s="2" t="s">
        <v>70</v>
      </c>
    </row>
    <row r="72">
      <c r="A72" s="2" t="s">
        <v>71</v>
      </c>
    </row>
    <row r="73">
      <c r="A73" s="2" t="s">
        <v>72</v>
      </c>
    </row>
    <row r="74">
      <c r="A74" s="2" t="s">
        <v>73</v>
      </c>
    </row>
    <row r="75">
      <c r="A75" s="2" t="s">
        <v>74</v>
      </c>
    </row>
    <row r="76">
      <c r="A76" s="2" t="s">
        <v>75</v>
      </c>
    </row>
    <row r="77">
      <c r="A77" s="2" t="s">
        <v>76</v>
      </c>
    </row>
    <row r="78">
      <c r="A78" s="2" t="s">
        <v>77</v>
      </c>
    </row>
    <row r="79">
      <c r="A79" s="2" t="s">
        <v>78</v>
      </c>
    </row>
    <row r="80">
      <c r="A80" s="2" t="s">
        <v>79</v>
      </c>
    </row>
    <row r="81">
      <c r="A81" s="2" t="s">
        <v>80</v>
      </c>
    </row>
    <row r="82">
      <c r="A82" s="2" t="s">
        <v>81</v>
      </c>
    </row>
    <row r="83">
      <c r="A83" s="2" t="s">
        <v>82</v>
      </c>
    </row>
    <row r="84">
      <c r="A84" s="2" t="s">
        <v>83</v>
      </c>
    </row>
    <row r="85">
      <c r="A85" s="2" t="s">
        <v>84</v>
      </c>
    </row>
    <row r="86">
      <c r="A86" s="2" t="s">
        <v>85</v>
      </c>
    </row>
    <row r="87">
      <c r="A87" s="2" t="s">
        <v>86</v>
      </c>
    </row>
    <row r="88">
      <c r="A88" s="2" t="s">
        <v>87</v>
      </c>
    </row>
    <row r="89">
      <c r="A89" s="2" t="s">
        <v>88</v>
      </c>
    </row>
    <row r="90">
      <c r="A90" s="2" t="s">
        <v>89</v>
      </c>
    </row>
    <row r="91">
      <c r="A91" s="2" t="s">
        <v>90</v>
      </c>
    </row>
    <row r="92">
      <c r="A92" s="2" t="s">
        <v>91</v>
      </c>
    </row>
    <row r="93">
      <c r="A93" s="2" t="s">
        <v>92</v>
      </c>
    </row>
    <row r="94">
      <c r="A94" s="2" t="s">
        <v>93</v>
      </c>
    </row>
    <row r="95">
      <c r="A95" s="2" t="s">
        <v>94</v>
      </c>
    </row>
    <row r="96">
      <c r="A96" s="2" t="s">
        <v>95</v>
      </c>
    </row>
    <row r="97">
      <c r="A97" s="2" t="s">
        <v>96</v>
      </c>
    </row>
    <row r="98">
      <c r="A98" s="2" t="s">
        <v>97</v>
      </c>
    </row>
    <row r="99">
      <c r="A99" s="2" t="s">
        <v>98</v>
      </c>
    </row>
    <row r="100">
      <c r="A100" s="2" t="s">
        <v>99</v>
      </c>
    </row>
    <row r="101">
      <c r="A101" s="2" t="s">
        <v>100</v>
      </c>
    </row>
    <row r="102">
      <c r="A102" s="2" t="s">
        <v>101</v>
      </c>
    </row>
    <row r="103">
      <c r="A103" s="2" t="s">
        <v>102</v>
      </c>
    </row>
    <row r="104">
      <c r="A104" s="2" t="s">
        <v>103</v>
      </c>
    </row>
    <row r="105">
      <c r="A105" s="2" t="s">
        <v>104</v>
      </c>
    </row>
    <row r="106">
      <c r="A106" s="2" t="s">
        <v>105</v>
      </c>
    </row>
    <row r="107">
      <c r="A107" s="2" t="s">
        <v>106</v>
      </c>
    </row>
    <row r="108">
      <c r="A108" s="2" t="s">
        <v>107</v>
      </c>
    </row>
    <row r="109">
      <c r="A109" s="2" t="s">
        <v>108</v>
      </c>
    </row>
    <row r="110">
      <c r="A110" s="2" t="s">
        <v>109</v>
      </c>
    </row>
    <row r="111">
      <c r="A111" s="2" t="s">
        <v>110</v>
      </c>
    </row>
    <row r="112">
      <c r="A112" s="2" t="s">
        <v>111</v>
      </c>
    </row>
    <row r="113">
      <c r="A113" s="2" t="s">
        <v>112</v>
      </c>
    </row>
    <row r="114">
      <c r="A114" s="2" t="s">
        <v>113</v>
      </c>
    </row>
    <row r="115">
      <c r="A115" s="2" t="s">
        <v>114</v>
      </c>
    </row>
    <row r="116">
      <c r="A116" s="2" t="s">
        <v>115</v>
      </c>
    </row>
    <row r="117">
      <c r="A117" s="2" t="s">
        <v>116</v>
      </c>
    </row>
    <row r="118">
      <c r="A118" s="2" t="s">
        <v>117</v>
      </c>
    </row>
    <row r="119">
      <c r="A119" s="2" t="s">
        <v>118</v>
      </c>
    </row>
    <row r="120">
      <c r="A120" s="2" t="s">
        <v>119</v>
      </c>
    </row>
    <row r="121">
      <c r="A121" s="2" t="s">
        <v>120</v>
      </c>
    </row>
    <row r="122">
      <c r="A122" s="2" t="s">
        <v>121</v>
      </c>
    </row>
    <row r="123">
      <c r="A123" s="2" t="s">
        <v>122</v>
      </c>
    </row>
    <row r="124">
      <c r="A124" s="2" t="s">
        <v>123</v>
      </c>
    </row>
    <row r="125">
      <c r="A125" s="2" t="s">
        <v>124</v>
      </c>
    </row>
    <row r="126">
      <c r="A126" s="2" t="s">
        <v>125</v>
      </c>
    </row>
    <row r="127">
      <c r="A127" s="2" t="s">
        <v>126</v>
      </c>
    </row>
    <row r="128">
      <c r="A128" s="2" t="s">
        <v>127</v>
      </c>
    </row>
    <row r="129">
      <c r="A129" s="2" t="s">
        <v>128</v>
      </c>
    </row>
    <row r="130">
      <c r="A130" s="2" t="s">
        <v>129</v>
      </c>
    </row>
    <row r="131">
      <c r="A131" s="2" t="s">
        <v>130</v>
      </c>
    </row>
    <row r="132">
      <c r="A132" s="2" t="s">
        <v>131</v>
      </c>
    </row>
    <row r="133">
      <c r="A133" s="2" t="s">
        <v>132</v>
      </c>
    </row>
    <row r="134">
      <c r="A134" s="2" t="s">
        <v>133</v>
      </c>
    </row>
    <row r="135">
      <c r="A135" s="2" t="s">
        <v>134</v>
      </c>
    </row>
    <row r="136">
      <c r="A136" s="2" t="s">
        <v>135</v>
      </c>
    </row>
    <row r="137">
      <c r="A137" s="2" t="s">
        <v>136</v>
      </c>
    </row>
    <row r="138">
      <c r="A138" s="2" t="s">
        <v>137</v>
      </c>
    </row>
    <row r="139">
      <c r="A139" s="2" t="s">
        <v>138</v>
      </c>
    </row>
    <row r="140">
      <c r="A140" s="2" t="s">
        <v>139</v>
      </c>
    </row>
    <row r="141">
      <c r="A141" s="2" t="s">
        <v>140</v>
      </c>
    </row>
    <row r="142">
      <c r="A142" s="2" t="s">
        <v>141</v>
      </c>
    </row>
    <row r="143">
      <c r="A143" s="2" t="s">
        <v>142</v>
      </c>
    </row>
    <row r="144">
      <c r="A144" s="2" t="s">
        <v>143</v>
      </c>
    </row>
    <row r="145">
      <c r="A145" s="2" t="s">
        <v>144</v>
      </c>
    </row>
    <row r="146">
      <c r="A146" s="2" t="s">
        <v>145</v>
      </c>
    </row>
    <row r="147">
      <c r="A147" s="2" t="s">
        <v>146</v>
      </c>
    </row>
    <row r="148">
      <c r="A148" s="2" t="s">
        <v>147</v>
      </c>
    </row>
    <row r="149">
      <c r="A149" s="2" t="s">
        <v>148</v>
      </c>
    </row>
    <row r="150">
      <c r="A150" s="2" t="s">
        <v>149</v>
      </c>
    </row>
    <row r="151">
      <c r="A151" s="2" t="s">
        <v>150</v>
      </c>
    </row>
    <row r="152">
      <c r="A152" s="2" t="s">
        <v>151</v>
      </c>
    </row>
    <row r="153">
      <c r="A153" s="2" t="s">
        <v>152</v>
      </c>
    </row>
    <row r="154">
      <c r="A154" s="2" t="s">
        <v>153</v>
      </c>
    </row>
    <row r="155">
      <c r="A155" s="2" t="s">
        <v>154</v>
      </c>
    </row>
    <row r="156">
      <c r="A156" s="2" t="s">
        <v>155</v>
      </c>
    </row>
    <row r="157">
      <c r="A157" s="2" t="s">
        <v>156</v>
      </c>
    </row>
    <row r="158">
      <c r="A158" s="2" t="s">
        <v>157</v>
      </c>
    </row>
    <row r="159">
      <c r="A159" s="2" t="s">
        <v>158</v>
      </c>
    </row>
    <row r="160">
      <c r="A160" s="2" t="s">
        <v>159</v>
      </c>
    </row>
    <row r="161">
      <c r="A161" s="2" t="s">
        <v>160</v>
      </c>
    </row>
    <row r="162">
      <c r="A162" s="2" t="s">
        <v>161</v>
      </c>
    </row>
    <row r="163">
      <c r="A163" s="2" t="s">
        <v>162</v>
      </c>
    </row>
    <row r="164">
      <c r="A164" s="2" t="s">
        <v>163</v>
      </c>
    </row>
    <row r="165">
      <c r="A165" s="2" t="s">
        <v>164</v>
      </c>
    </row>
    <row r="166">
      <c r="A166" s="2" t="s">
        <v>165</v>
      </c>
    </row>
    <row r="167">
      <c r="A167" s="2" t="s">
        <v>166</v>
      </c>
    </row>
    <row r="168">
      <c r="A168" s="2" t="s">
        <v>167</v>
      </c>
    </row>
    <row r="169">
      <c r="A169" s="2" t="s">
        <v>168</v>
      </c>
    </row>
    <row r="170">
      <c r="A170" s="2" t="s">
        <v>169</v>
      </c>
    </row>
    <row r="171">
      <c r="A171" s="2" t="s">
        <v>170</v>
      </c>
    </row>
    <row r="172">
      <c r="A172" s="2" t="s">
        <v>171</v>
      </c>
    </row>
    <row r="173">
      <c r="A173" s="2" t="s">
        <v>172</v>
      </c>
    </row>
    <row r="174">
      <c r="A174" s="2" t="s">
        <v>173</v>
      </c>
    </row>
    <row r="175">
      <c r="A175" s="2" t="s">
        <v>174</v>
      </c>
    </row>
    <row r="176">
      <c r="A176" s="2" t="s">
        <v>175</v>
      </c>
    </row>
    <row r="177">
      <c r="A177" s="2" t="s">
        <v>176</v>
      </c>
    </row>
    <row r="178">
      <c r="A178" s="2" t="s">
        <v>177</v>
      </c>
    </row>
    <row r="179">
      <c r="A179" s="2" t="s">
        <v>178</v>
      </c>
    </row>
    <row r="180">
      <c r="A180" s="2" t="s">
        <v>179</v>
      </c>
    </row>
    <row r="181">
      <c r="A181" s="2" t="s">
        <v>180</v>
      </c>
    </row>
    <row r="182">
      <c r="A182" s="2" t="s">
        <v>181</v>
      </c>
    </row>
    <row r="183">
      <c r="A183" s="2" t="s">
        <v>182</v>
      </c>
    </row>
    <row r="184">
      <c r="A184" s="2" t="s">
        <v>183</v>
      </c>
    </row>
    <row r="185">
      <c r="A185" s="2" t="s">
        <v>184</v>
      </c>
    </row>
    <row r="186">
      <c r="A186" s="2" t="s">
        <v>185</v>
      </c>
    </row>
    <row r="187">
      <c r="A187" s="2" t="s">
        <v>186</v>
      </c>
    </row>
    <row r="188">
      <c r="A188" s="2" t="s">
        <v>187</v>
      </c>
    </row>
    <row r="189">
      <c r="A189" s="2" t="s">
        <v>188</v>
      </c>
    </row>
    <row r="190">
      <c r="A190" s="2" t="s">
        <v>189</v>
      </c>
    </row>
    <row r="191">
      <c r="A191" s="2" t="s">
        <v>190</v>
      </c>
    </row>
    <row r="192">
      <c r="A192" s="2" t="s">
        <v>191</v>
      </c>
    </row>
    <row r="193">
      <c r="A193" s="2" t="s">
        <v>192</v>
      </c>
    </row>
    <row r="194">
      <c r="A194" s="2" t="s">
        <v>193</v>
      </c>
    </row>
    <row r="195">
      <c r="A195" s="2" t="s">
        <v>194</v>
      </c>
    </row>
    <row r="196">
      <c r="A196" s="2" t="s">
        <v>195</v>
      </c>
    </row>
    <row r="197">
      <c r="A197" s="2" t="s">
        <v>196</v>
      </c>
    </row>
    <row r="198">
      <c r="A198" s="2" t="s">
        <v>197</v>
      </c>
    </row>
    <row r="199">
      <c r="A199" s="2" t="s">
        <v>198</v>
      </c>
    </row>
    <row r="200">
      <c r="A200" s="2" t="s">
        <v>199</v>
      </c>
    </row>
    <row r="201">
      <c r="A201" s="2" t="s">
        <v>200</v>
      </c>
    </row>
    <row r="202">
      <c r="A202" s="2" t="s">
        <v>201</v>
      </c>
    </row>
    <row r="203">
      <c r="A203" s="2" t="s">
        <v>202</v>
      </c>
    </row>
    <row r="204">
      <c r="A204" s="2" t="s">
        <v>203</v>
      </c>
    </row>
    <row r="205">
      <c r="A205" s="2" t="s">
        <v>204</v>
      </c>
    </row>
    <row r="206">
      <c r="A206" s="2" t="s">
        <v>205</v>
      </c>
    </row>
    <row r="207">
      <c r="A207" s="2" t="s">
        <v>206</v>
      </c>
    </row>
    <row r="208">
      <c r="A208" s="2" t="s">
        <v>207</v>
      </c>
    </row>
    <row r="209">
      <c r="A209" s="2" t="s">
        <v>208</v>
      </c>
    </row>
    <row r="210">
      <c r="A210" s="2" t="s">
        <v>209</v>
      </c>
    </row>
    <row r="211">
      <c r="A211" s="2" t="s">
        <v>210</v>
      </c>
    </row>
    <row r="212">
      <c r="A212" s="2" t="s">
        <v>211</v>
      </c>
    </row>
    <row r="213">
      <c r="A213" s="2" t="s">
        <v>212</v>
      </c>
    </row>
    <row r="214">
      <c r="A214" s="2" t="s">
        <v>213</v>
      </c>
    </row>
    <row r="215">
      <c r="A215" s="2" t="s">
        <v>214</v>
      </c>
    </row>
    <row r="216">
      <c r="A216" s="2" t="s">
        <v>215</v>
      </c>
    </row>
    <row r="217">
      <c r="A217" s="2" t="s">
        <v>216</v>
      </c>
    </row>
    <row r="218">
      <c r="A218" s="2" t="s">
        <v>217</v>
      </c>
    </row>
    <row r="219">
      <c r="A219" s="2" t="s">
        <v>218</v>
      </c>
    </row>
    <row r="220">
      <c r="A220" s="2" t="s">
        <v>219</v>
      </c>
    </row>
    <row r="221">
      <c r="A221" s="2" t="s">
        <v>220</v>
      </c>
    </row>
    <row r="222">
      <c r="A222" s="2" t="s">
        <v>221</v>
      </c>
    </row>
    <row r="223">
      <c r="A223" s="2" t="s">
        <v>222</v>
      </c>
    </row>
    <row r="224">
      <c r="A224" s="2" t="s">
        <v>223</v>
      </c>
    </row>
    <row r="225">
      <c r="A225" s="2" t="s">
        <v>224</v>
      </c>
    </row>
    <row r="226">
      <c r="A226" s="2" t="s">
        <v>225</v>
      </c>
    </row>
    <row r="227">
      <c r="A227" s="2" t="s">
        <v>226</v>
      </c>
    </row>
    <row r="228">
      <c r="A228" s="2" t="s">
        <v>227</v>
      </c>
    </row>
    <row r="229">
      <c r="A229" s="2" t="s">
        <v>228</v>
      </c>
    </row>
    <row r="230">
      <c r="A230" s="2" t="s">
        <v>229</v>
      </c>
    </row>
    <row r="231">
      <c r="A231" s="2" t="s">
        <v>230</v>
      </c>
    </row>
    <row r="232">
      <c r="A232" s="2" t="s">
        <v>231</v>
      </c>
    </row>
    <row r="233">
      <c r="A233" s="2" t="s">
        <v>232</v>
      </c>
    </row>
    <row r="234">
      <c r="A234" s="2" t="s">
        <v>233</v>
      </c>
    </row>
    <row r="235">
      <c r="A235" s="2" t="s">
        <v>234</v>
      </c>
    </row>
    <row r="236">
      <c r="A236" s="2" t="s">
        <v>235</v>
      </c>
    </row>
    <row r="237">
      <c r="A237" s="2" t="s">
        <v>236</v>
      </c>
    </row>
    <row r="238">
      <c r="A238" s="2" t="s">
        <v>237</v>
      </c>
    </row>
    <row r="239">
      <c r="A239" s="2" t="s">
        <v>238</v>
      </c>
    </row>
    <row r="240">
      <c r="A240" s="2" t="s">
        <v>239</v>
      </c>
    </row>
    <row r="241">
      <c r="A241" s="2" t="s">
        <v>240</v>
      </c>
    </row>
    <row r="242">
      <c r="A242" s="2" t="s">
        <v>241</v>
      </c>
    </row>
    <row r="243">
      <c r="A243" s="2" t="s">
        <v>242</v>
      </c>
    </row>
    <row r="244">
      <c r="A244" s="2" t="s">
        <v>243</v>
      </c>
    </row>
    <row r="245">
      <c r="A245" s="2" t="s">
        <v>244</v>
      </c>
    </row>
    <row r="246">
      <c r="A246" s="2" t="s">
        <v>245</v>
      </c>
    </row>
    <row r="247">
      <c r="A247" s="2" t="s">
        <v>246</v>
      </c>
    </row>
    <row r="248">
      <c r="A248" s="2" t="s">
        <v>247</v>
      </c>
    </row>
    <row r="249">
      <c r="A249" s="2" t="s">
        <v>248</v>
      </c>
    </row>
    <row r="250">
      <c r="A250" s="2" t="s">
        <v>249</v>
      </c>
    </row>
    <row r="251">
      <c r="A251" s="2" t="s">
        <v>250</v>
      </c>
    </row>
    <row r="252">
      <c r="A252" s="2" t="s">
        <v>251</v>
      </c>
    </row>
    <row r="253">
      <c r="A253" s="2" t="s">
        <v>252</v>
      </c>
    </row>
    <row r="254">
      <c r="A254" s="2" t="s">
        <v>253</v>
      </c>
    </row>
    <row r="255">
      <c r="A255" s="2" t="s">
        <v>254</v>
      </c>
    </row>
    <row r="256">
      <c r="A256" s="2" t="s">
        <v>255</v>
      </c>
    </row>
    <row r="257">
      <c r="A257" s="2" t="s">
        <v>256</v>
      </c>
    </row>
    <row r="258">
      <c r="A258" s="2" t="s">
        <v>257</v>
      </c>
    </row>
    <row r="259">
      <c r="A259" s="2" t="s">
        <v>258</v>
      </c>
    </row>
    <row r="260">
      <c r="A260" s="2" t="s">
        <v>259</v>
      </c>
    </row>
    <row r="261">
      <c r="A261" s="2" t="s">
        <v>260</v>
      </c>
    </row>
    <row r="262">
      <c r="A262" s="2" t="s">
        <v>261</v>
      </c>
    </row>
    <row r="263">
      <c r="A263" s="2" t="s">
        <v>262</v>
      </c>
    </row>
    <row r="264">
      <c r="A264" s="2" t="s">
        <v>263</v>
      </c>
    </row>
    <row r="265">
      <c r="A265" s="2" t="s">
        <v>264</v>
      </c>
    </row>
    <row r="266">
      <c r="A266" s="2" t="s">
        <v>265</v>
      </c>
    </row>
    <row r="267">
      <c r="A267" s="2" t="s">
        <v>266</v>
      </c>
    </row>
    <row r="268">
      <c r="A268" s="2" t="s">
        <v>267</v>
      </c>
    </row>
    <row r="269">
      <c r="A269" s="2" t="s">
        <v>268</v>
      </c>
    </row>
    <row r="270">
      <c r="A270" s="2" t="s">
        <v>269</v>
      </c>
    </row>
    <row r="271">
      <c r="A271" s="2" t="s">
        <v>270</v>
      </c>
    </row>
    <row r="272">
      <c r="A272" s="2" t="s">
        <v>271</v>
      </c>
    </row>
    <row r="273">
      <c r="A273" s="2" t="s">
        <v>272</v>
      </c>
    </row>
    <row r="274">
      <c r="A274" s="2" t="s">
        <v>273</v>
      </c>
    </row>
    <row r="275">
      <c r="A275" s="2" t="s">
        <v>274</v>
      </c>
    </row>
    <row r="276">
      <c r="A276" s="2" t="s">
        <v>275</v>
      </c>
    </row>
    <row r="277">
      <c r="A277" s="2" t="s">
        <v>276</v>
      </c>
    </row>
    <row r="278">
      <c r="A278" s="2" t="s">
        <v>277</v>
      </c>
    </row>
    <row r="279">
      <c r="A279" s="2" t="s">
        <v>278</v>
      </c>
    </row>
    <row r="280">
      <c r="A280" s="2" t="s">
        <v>279</v>
      </c>
    </row>
    <row r="281">
      <c r="A281" s="2" t="s">
        <v>280</v>
      </c>
    </row>
    <row r="282">
      <c r="A282" s="2" t="s">
        <v>281</v>
      </c>
    </row>
    <row r="283">
      <c r="A283" s="2" t="s">
        <v>282</v>
      </c>
    </row>
    <row r="284">
      <c r="A284" s="2" t="s">
        <v>283</v>
      </c>
    </row>
    <row r="285">
      <c r="A285" s="2" t="s">
        <v>284</v>
      </c>
    </row>
    <row r="286">
      <c r="A286" s="2" t="s">
        <v>285</v>
      </c>
    </row>
    <row r="287">
      <c r="A287" s="2" t="s">
        <v>286</v>
      </c>
    </row>
    <row r="288">
      <c r="A288" s="2" t="s">
        <v>287</v>
      </c>
    </row>
    <row r="289">
      <c r="A289" s="2" t="s">
        <v>288</v>
      </c>
    </row>
    <row r="290">
      <c r="A290" s="2" t="s">
        <v>289</v>
      </c>
    </row>
    <row r="291">
      <c r="A291" s="2" t="s">
        <v>290</v>
      </c>
    </row>
    <row r="292">
      <c r="A292" s="2" t="s">
        <v>291</v>
      </c>
    </row>
    <row r="293">
      <c r="A293" s="2" t="s">
        <v>292</v>
      </c>
    </row>
    <row r="294">
      <c r="A294" s="2" t="s">
        <v>293</v>
      </c>
    </row>
    <row r="295">
      <c r="A295" s="2" t="s">
        <v>294</v>
      </c>
    </row>
    <row r="296">
      <c r="A296" s="2" t="s">
        <v>295</v>
      </c>
    </row>
    <row r="297">
      <c r="A297" s="2" t="s">
        <v>296</v>
      </c>
    </row>
    <row r="298">
      <c r="A298" s="2" t="s">
        <v>297</v>
      </c>
    </row>
    <row r="299">
      <c r="A299" s="2" t="s">
        <v>298</v>
      </c>
    </row>
    <row r="300">
      <c r="A300" s="2" t="s">
        <v>299</v>
      </c>
    </row>
    <row r="301">
      <c r="A301" s="2" t="s">
        <v>300</v>
      </c>
    </row>
    <row r="302">
      <c r="A302" s="2" t="s">
        <v>301</v>
      </c>
    </row>
    <row r="303">
      <c r="A303" s="2" t="s">
        <v>302</v>
      </c>
    </row>
    <row r="304">
      <c r="A304" s="2" t="s">
        <v>303</v>
      </c>
    </row>
    <row r="305">
      <c r="A305" s="2" t="s">
        <v>304</v>
      </c>
    </row>
    <row r="306">
      <c r="A306" s="2" t="s">
        <v>305</v>
      </c>
    </row>
    <row r="307">
      <c r="A307" s="2" t="s">
        <v>306</v>
      </c>
    </row>
    <row r="308">
      <c r="A308" s="2" t="s">
        <v>307</v>
      </c>
    </row>
    <row r="309">
      <c r="A309" s="2" t="s">
        <v>308</v>
      </c>
    </row>
    <row r="310">
      <c r="A310" s="2" t="s">
        <v>309</v>
      </c>
    </row>
    <row r="311">
      <c r="A311" s="2" t="s">
        <v>310</v>
      </c>
    </row>
    <row r="312">
      <c r="A312" s="2" t="s">
        <v>311</v>
      </c>
    </row>
    <row r="313">
      <c r="A313" s="2" t="s">
        <v>312</v>
      </c>
    </row>
    <row r="314">
      <c r="A314" s="2" t="s">
        <v>313</v>
      </c>
    </row>
    <row r="315">
      <c r="A315" s="2" t="s">
        <v>314</v>
      </c>
    </row>
    <row r="316">
      <c r="A316" s="2" t="s">
        <v>315</v>
      </c>
    </row>
    <row r="317">
      <c r="A317" s="2" t="s">
        <v>316</v>
      </c>
    </row>
    <row r="318">
      <c r="A318" s="2" t="s">
        <v>317</v>
      </c>
    </row>
    <row r="319">
      <c r="A319" s="2" t="s">
        <v>318</v>
      </c>
    </row>
    <row r="320">
      <c r="A320" s="2" t="s">
        <v>319</v>
      </c>
    </row>
    <row r="321">
      <c r="A321" s="2" t="s">
        <v>320</v>
      </c>
    </row>
    <row r="322">
      <c r="A322" s="2" t="s">
        <v>321</v>
      </c>
    </row>
    <row r="323">
      <c r="A323" s="2" t="s">
        <v>322</v>
      </c>
    </row>
    <row r="324">
      <c r="A324" s="2" t="s">
        <v>323</v>
      </c>
    </row>
    <row r="325">
      <c r="A325" s="2" t="s">
        <v>324</v>
      </c>
    </row>
    <row r="326">
      <c r="A326" s="2" t="s">
        <v>325</v>
      </c>
    </row>
    <row r="327">
      <c r="A327" s="2" t="s">
        <v>326</v>
      </c>
    </row>
    <row r="328">
      <c r="A328" s="2" t="s">
        <v>327</v>
      </c>
    </row>
    <row r="329">
      <c r="A329" s="2" t="s">
        <v>328</v>
      </c>
    </row>
    <row r="330">
      <c r="A330" s="2" t="s">
        <v>329</v>
      </c>
    </row>
    <row r="331">
      <c r="A331" s="2" t="s">
        <v>330</v>
      </c>
    </row>
    <row r="332">
      <c r="A332" s="2" t="s">
        <v>331</v>
      </c>
    </row>
    <row r="333">
      <c r="A333" s="2" t="s">
        <v>332</v>
      </c>
    </row>
    <row r="334">
      <c r="A334" s="2" t="s">
        <v>333</v>
      </c>
    </row>
    <row r="335">
      <c r="A335" s="2" t="s">
        <v>334</v>
      </c>
    </row>
    <row r="336">
      <c r="A336" s="2" t="s">
        <v>335</v>
      </c>
    </row>
    <row r="337">
      <c r="A337" s="2" t="s">
        <v>336</v>
      </c>
    </row>
    <row r="338">
      <c r="A338" s="2" t="s">
        <v>337</v>
      </c>
    </row>
    <row r="339">
      <c r="A339" s="2" t="s">
        <v>338</v>
      </c>
    </row>
    <row r="340">
      <c r="A340" s="2" t="s">
        <v>339</v>
      </c>
    </row>
    <row r="341">
      <c r="A341" s="2" t="s">
        <v>340</v>
      </c>
    </row>
    <row r="342">
      <c r="A342" s="2" t="s">
        <v>341</v>
      </c>
    </row>
    <row r="343">
      <c r="A343" s="2" t="s">
        <v>342</v>
      </c>
    </row>
    <row r="344">
      <c r="A344" s="2" t="s">
        <v>343</v>
      </c>
    </row>
    <row r="345">
      <c r="A345" s="2" t="s">
        <v>344</v>
      </c>
    </row>
    <row r="346">
      <c r="A346" s="2" t="s">
        <v>345</v>
      </c>
    </row>
    <row r="347">
      <c r="A347" s="2" t="s">
        <v>346</v>
      </c>
    </row>
    <row r="348">
      <c r="A348" s="2" t="s">
        <v>347</v>
      </c>
    </row>
    <row r="349">
      <c r="A349" s="2" t="s">
        <v>348</v>
      </c>
    </row>
    <row r="350">
      <c r="A350" s="2" t="s">
        <v>349</v>
      </c>
    </row>
    <row r="351">
      <c r="A351" s="2" t="s">
        <v>350</v>
      </c>
    </row>
    <row r="352">
      <c r="A352" s="2" t="s">
        <v>351</v>
      </c>
    </row>
    <row r="353">
      <c r="A353" s="2" t="s">
        <v>352</v>
      </c>
    </row>
    <row r="354">
      <c r="A354" s="2" t="s">
        <v>353</v>
      </c>
    </row>
    <row r="355">
      <c r="A355" s="2" t="s">
        <v>354</v>
      </c>
    </row>
    <row r="356">
      <c r="A356" s="2" t="s">
        <v>355</v>
      </c>
    </row>
    <row r="357">
      <c r="A357" s="2" t="s">
        <v>356</v>
      </c>
    </row>
    <row r="358">
      <c r="A358" s="2" t="s">
        <v>357</v>
      </c>
    </row>
    <row r="359">
      <c r="A359" s="2" t="s">
        <v>358</v>
      </c>
    </row>
    <row r="360">
      <c r="A360" s="2" t="s">
        <v>359</v>
      </c>
    </row>
    <row r="361">
      <c r="A361" s="2" t="s">
        <v>360</v>
      </c>
    </row>
    <row r="362">
      <c r="A362" s="2" t="s">
        <v>361</v>
      </c>
    </row>
    <row r="363">
      <c r="A363" s="2" t="s">
        <v>362</v>
      </c>
    </row>
    <row r="364">
      <c r="A364" s="2" t="s">
        <v>363</v>
      </c>
    </row>
    <row r="365">
      <c r="A365" s="2" t="s">
        <v>364</v>
      </c>
    </row>
    <row r="366">
      <c r="A366" s="2" t="s">
        <v>365</v>
      </c>
    </row>
    <row r="367">
      <c r="A367" s="2" t="s">
        <v>366</v>
      </c>
    </row>
    <row r="368">
      <c r="A368" s="2" t="s">
        <v>367</v>
      </c>
    </row>
    <row r="369">
      <c r="A369" s="2" t="s">
        <v>368</v>
      </c>
    </row>
    <row r="370">
      <c r="A370" s="2" t="s">
        <v>369</v>
      </c>
    </row>
    <row r="371">
      <c r="A371" s="2" t="s">
        <v>370</v>
      </c>
    </row>
    <row r="372">
      <c r="A372" s="2" t="s">
        <v>371</v>
      </c>
    </row>
    <row r="373">
      <c r="A373" s="2" t="s">
        <v>372</v>
      </c>
    </row>
    <row r="374">
      <c r="A374" s="2" t="s">
        <v>373</v>
      </c>
    </row>
    <row r="375">
      <c r="A375" s="2" t="s">
        <v>374</v>
      </c>
    </row>
    <row r="376">
      <c r="A376" s="2" t="s">
        <v>375</v>
      </c>
    </row>
    <row r="377">
      <c r="A377" s="2" t="s">
        <v>376</v>
      </c>
    </row>
    <row r="378">
      <c r="A378" s="2" t="s">
        <v>377</v>
      </c>
    </row>
    <row r="379">
      <c r="A379" s="2" t="s">
        <v>378</v>
      </c>
    </row>
    <row r="380">
      <c r="A380" s="2" t="s">
        <v>379</v>
      </c>
    </row>
    <row r="381">
      <c r="A381" s="2" t="s">
        <v>380</v>
      </c>
    </row>
    <row r="382">
      <c r="A382" s="2" t="s">
        <v>381</v>
      </c>
    </row>
    <row r="383">
      <c r="A383" s="2" t="s">
        <v>382</v>
      </c>
    </row>
    <row r="384">
      <c r="A384" s="2" t="s">
        <v>383</v>
      </c>
    </row>
    <row r="385">
      <c r="A385" s="2" t="s">
        <v>384</v>
      </c>
    </row>
    <row r="386">
      <c r="A386" s="2" t="s">
        <v>385</v>
      </c>
    </row>
    <row r="387">
      <c r="A387" s="2" t="s">
        <v>386</v>
      </c>
    </row>
    <row r="388">
      <c r="A388" s="2" t="s">
        <v>387</v>
      </c>
    </row>
    <row r="389">
      <c r="A389" s="2" t="s">
        <v>388</v>
      </c>
    </row>
    <row r="390">
      <c r="A390" s="2" t="s">
        <v>389</v>
      </c>
    </row>
    <row r="391">
      <c r="A391" s="2" t="s">
        <v>390</v>
      </c>
    </row>
    <row r="392">
      <c r="A392" s="2" t="s">
        <v>391</v>
      </c>
    </row>
    <row r="393">
      <c r="A393" s="2" t="s">
        <v>392</v>
      </c>
    </row>
    <row r="394">
      <c r="A394" s="2" t="s">
        <v>393</v>
      </c>
    </row>
    <row r="395">
      <c r="A395" s="2" t="s">
        <v>394</v>
      </c>
    </row>
    <row r="396">
      <c r="A396" s="2" t="s">
        <v>395</v>
      </c>
    </row>
    <row r="397">
      <c r="A397" s="2" t="s">
        <v>396</v>
      </c>
    </row>
    <row r="398">
      <c r="A398" s="2" t="s">
        <v>397</v>
      </c>
    </row>
    <row r="399">
      <c r="A399" s="2" t="s">
        <v>398</v>
      </c>
    </row>
    <row r="400">
      <c r="A400" s="2" t="s">
        <v>399</v>
      </c>
    </row>
    <row r="401">
      <c r="A401" s="2" t="s">
        <v>400</v>
      </c>
    </row>
    <row r="402">
      <c r="A402" s="2" t="s">
        <v>401</v>
      </c>
    </row>
    <row r="403">
      <c r="A403" s="2" t="s">
        <v>402</v>
      </c>
    </row>
    <row r="404">
      <c r="A404" s="2" t="s">
        <v>403</v>
      </c>
    </row>
    <row r="405">
      <c r="A405" s="2" t="s">
        <v>404</v>
      </c>
    </row>
    <row r="406">
      <c r="A406" s="2" t="s">
        <v>405</v>
      </c>
    </row>
    <row r="407">
      <c r="A407" s="2" t="s">
        <v>406</v>
      </c>
    </row>
    <row r="408">
      <c r="A408" s="2" t="s">
        <v>407</v>
      </c>
    </row>
    <row r="409">
      <c r="A409" s="2" t="s">
        <v>408</v>
      </c>
    </row>
    <row r="410">
      <c r="A410" s="2" t="s">
        <v>409</v>
      </c>
    </row>
    <row r="411">
      <c r="A411" s="2" t="s">
        <v>365</v>
      </c>
    </row>
    <row r="412">
      <c r="A412" s="2" t="s">
        <v>410</v>
      </c>
    </row>
    <row r="413">
      <c r="A413" s="2" t="s">
        <v>411</v>
      </c>
    </row>
    <row r="414">
      <c r="A414" s="2" t="s">
        <v>412</v>
      </c>
    </row>
    <row r="415">
      <c r="A415" s="2" t="s">
        <v>413</v>
      </c>
    </row>
    <row r="416">
      <c r="A416" s="2" t="s">
        <v>414</v>
      </c>
    </row>
    <row r="417">
      <c r="A417" s="2" t="s">
        <v>415</v>
      </c>
    </row>
    <row r="418">
      <c r="A418" s="2" t="s">
        <v>416</v>
      </c>
    </row>
    <row r="419">
      <c r="A419" s="2" t="s">
        <v>417</v>
      </c>
    </row>
    <row r="420">
      <c r="A420" s="2" t="s">
        <v>418</v>
      </c>
    </row>
    <row r="421">
      <c r="A421" s="2" t="s">
        <v>419</v>
      </c>
    </row>
    <row r="422">
      <c r="A422" s="2" t="s">
        <v>420</v>
      </c>
    </row>
    <row r="423">
      <c r="A423" s="2" t="s">
        <v>421</v>
      </c>
    </row>
    <row r="424">
      <c r="A424" s="2" t="s">
        <v>422</v>
      </c>
    </row>
    <row r="425">
      <c r="A425" s="2" t="s">
        <v>423</v>
      </c>
    </row>
    <row r="426">
      <c r="A426" s="2" t="s">
        <v>424</v>
      </c>
    </row>
    <row r="427">
      <c r="A427" s="2" t="s">
        <v>425</v>
      </c>
    </row>
    <row r="428">
      <c r="A428" s="2" t="s">
        <v>426</v>
      </c>
    </row>
    <row r="429">
      <c r="A429" s="2" t="s">
        <v>427</v>
      </c>
    </row>
    <row r="430">
      <c r="A430" s="2" t="s">
        <v>428</v>
      </c>
    </row>
    <row r="431">
      <c r="A431" s="2" t="s">
        <v>429</v>
      </c>
    </row>
    <row r="432">
      <c r="A432" s="2" t="s">
        <v>185</v>
      </c>
    </row>
    <row r="433">
      <c r="A433" s="2" t="s">
        <v>430</v>
      </c>
    </row>
    <row r="434">
      <c r="A434" s="2" t="s">
        <v>431</v>
      </c>
    </row>
    <row r="435">
      <c r="A435" s="2" t="s">
        <v>432</v>
      </c>
    </row>
    <row r="436">
      <c r="A436" s="2" t="s">
        <v>433</v>
      </c>
    </row>
    <row r="437">
      <c r="A437" s="2" t="s">
        <v>434</v>
      </c>
    </row>
    <row r="438">
      <c r="A438" s="2" t="s">
        <v>435</v>
      </c>
    </row>
    <row r="439">
      <c r="A439" s="2" t="s">
        <v>436</v>
      </c>
    </row>
    <row r="440">
      <c r="A440" s="2" t="s">
        <v>437</v>
      </c>
    </row>
    <row r="441">
      <c r="A441" s="2" t="s">
        <v>438</v>
      </c>
    </row>
    <row r="442">
      <c r="A442" s="2" t="s">
        <v>439</v>
      </c>
    </row>
    <row r="443">
      <c r="A443" s="2" t="s">
        <v>440</v>
      </c>
    </row>
    <row r="444">
      <c r="A444" s="2" t="s">
        <v>441</v>
      </c>
    </row>
    <row r="445">
      <c r="A445" s="2" t="s">
        <v>442</v>
      </c>
    </row>
    <row r="446">
      <c r="A446" s="2" t="s">
        <v>443</v>
      </c>
    </row>
    <row r="447">
      <c r="A447" s="2" t="s">
        <v>444</v>
      </c>
    </row>
    <row r="448">
      <c r="A448" s="2" t="s">
        <v>445</v>
      </c>
    </row>
    <row r="449">
      <c r="A449" s="2" t="s">
        <v>446</v>
      </c>
    </row>
    <row r="450">
      <c r="A450" s="2" t="s">
        <v>447</v>
      </c>
    </row>
    <row r="451">
      <c r="A451" s="2" t="s">
        <v>448</v>
      </c>
    </row>
    <row r="452">
      <c r="A452" s="2" t="s">
        <v>449</v>
      </c>
    </row>
    <row r="453">
      <c r="A453" s="2" t="s">
        <v>450</v>
      </c>
    </row>
    <row r="454">
      <c r="A454" s="2" t="s">
        <v>451</v>
      </c>
    </row>
    <row r="455">
      <c r="A455" s="2" t="s">
        <v>452</v>
      </c>
    </row>
    <row r="456">
      <c r="A456" s="2" t="s">
        <v>453</v>
      </c>
    </row>
    <row r="457">
      <c r="A457" s="2" t="s">
        <v>454</v>
      </c>
    </row>
    <row r="458">
      <c r="A458" s="2" t="s">
        <v>455</v>
      </c>
    </row>
    <row r="459">
      <c r="A459" s="2" t="s">
        <v>456</v>
      </c>
    </row>
    <row r="460">
      <c r="A460" s="2" t="s">
        <v>457</v>
      </c>
    </row>
    <row r="461">
      <c r="A461" s="2" t="s">
        <v>458</v>
      </c>
    </row>
    <row r="462">
      <c r="A462" s="2" t="s">
        <v>459</v>
      </c>
    </row>
    <row r="463">
      <c r="A463" s="2" t="s">
        <v>460</v>
      </c>
    </row>
    <row r="464">
      <c r="A464" s="2" t="s">
        <v>461</v>
      </c>
    </row>
    <row r="465">
      <c r="A465" s="2" t="s">
        <v>462</v>
      </c>
    </row>
    <row r="466">
      <c r="A466" s="2" t="s">
        <v>463</v>
      </c>
    </row>
    <row r="467">
      <c r="A467" s="2" t="s">
        <v>464</v>
      </c>
    </row>
    <row r="468">
      <c r="A468" s="2" t="s">
        <v>465</v>
      </c>
    </row>
    <row r="469">
      <c r="A469" s="2" t="s">
        <v>466</v>
      </c>
    </row>
    <row r="470">
      <c r="A470" s="2" t="s">
        <v>467</v>
      </c>
    </row>
    <row r="471">
      <c r="A471" s="2" t="s">
        <v>468</v>
      </c>
    </row>
    <row r="472">
      <c r="A472" s="2" t="s">
        <v>469</v>
      </c>
    </row>
    <row r="473">
      <c r="A473" s="2" t="s">
        <v>470</v>
      </c>
    </row>
    <row r="474">
      <c r="A474" s="2" t="s">
        <v>471</v>
      </c>
    </row>
    <row r="475">
      <c r="A475" s="2" t="s">
        <v>472</v>
      </c>
    </row>
    <row r="476">
      <c r="A476" s="2" t="s">
        <v>473</v>
      </c>
    </row>
    <row r="477">
      <c r="A477" s="2" t="s">
        <v>474</v>
      </c>
    </row>
    <row r="478">
      <c r="A478" s="2" t="s">
        <v>475</v>
      </c>
    </row>
    <row r="479">
      <c r="A479" s="2" t="s">
        <v>476</v>
      </c>
    </row>
    <row r="480">
      <c r="A480" s="2" t="s">
        <v>477</v>
      </c>
    </row>
    <row r="481">
      <c r="A481" s="2" t="s">
        <v>478</v>
      </c>
    </row>
    <row r="482">
      <c r="A482" s="2" t="s">
        <v>479</v>
      </c>
    </row>
    <row r="483">
      <c r="A483" s="2" t="s">
        <v>480</v>
      </c>
    </row>
    <row r="484">
      <c r="A484" s="2" t="s">
        <v>481</v>
      </c>
    </row>
    <row r="485">
      <c r="A485" s="2" t="s">
        <v>482</v>
      </c>
    </row>
    <row r="486">
      <c r="A486" s="2" t="s">
        <v>483</v>
      </c>
    </row>
    <row r="487">
      <c r="A487" s="2" t="s">
        <v>484</v>
      </c>
    </row>
    <row r="488">
      <c r="A488" s="2" t="s">
        <v>485</v>
      </c>
    </row>
    <row r="489">
      <c r="A489" s="2" t="s">
        <v>486</v>
      </c>
    </row>
    <row r="490">
      <c r="A490" s="2" t="s">
        <v>487</v>
      </c>
    </row>
    <row r="491">
      <c r="A491" s="2" t="s">
        <v>488</v>
      </c>
    </row>
    <row r="492">
      <c r="A492" s="2" t="s">
        <v>489</v>
      </c>
    </row>
    <row r="493">
      <c r="A493" s="2" t="s">
        <v>490</v>
      </c>
    </row>
    <row r="494">
      <c r="A494" s="2" t="s">
        <v>491</v>
      </c>
    </row>
    <row r="495">
      <c r="A495" s="2" t="s">
        <v>492</v>
      </c>
    </row>
    <row r="496">
      <c r="A496" s="2" t="s">
        <v>493</v>
      </c>
    </row>
    <row r="497">
      <c r="A497" s="2" t="s">
        <v>494</v>
      </c>
    </row>
    <row r="498">
      <c r="A498" s="2" t="s">
        <v>495</v>
      </c>
    </row>
    <row r="499">
      <c r="A499" s="2" t="s">
        <v>496</v>
      </c>
    </row>
    <row r="500">
      <c r="A500" s="2" t="s">
        <v>497</v>
      </c>
    </row>
    <row r="501">
      <c r="A501" s="2" t="s">
        <v>498</v>
      </c>
    </row>
    <row r="502">
      <c r="A502" s="2" t="s">
        <v>499</v>
      </c>
    </row>
    <row r="503">
      <c r="A503" s="2" t="s">
        <v>500</v>
      </c>
    </row>
    <row r="504">
      <c r="A504" s="2" t="s">
        <v>501</v>
      </c>
    </row>
    <row r="505">
      <c r="A505" s="2" t="s">
        <v>502</v>
      </c>
    </row>
    <row r="506">
      <c r="A506" s="2" t="s">
        <v>503</v>
      </c>
    </row>
    <row r="507">
      <c r="A507" s="2" t="s">
        <v>504</v>
      </c>
    </row>
    <row r="508">
      <c r="A508" s="2" t="s">
        <v>505</v>
      </c>
    </row>
    <row r="509">
      <c r="A509" s="2" t="s">
        <v>506</v>
      </c>
    </row>
    <row r="510">
      <c r="A510" s="2" t="s">
        <v>507</v>
      </c>
    </row>
    <row r="511">
      <c r="A511" s="2" t="s">
        <v>508</v>
      </c>
    </row>
    <row r="512">
      <c r="A512" s="2" t="s">
        <v>509</v>
      </c>
    </row>
    <row r="513">
      <c r="A513" s="2" t="s">
        <v>510</v>
      </c>
    </row>
    <row r="514">
      <c r="A514" s="2" t="s">
        <v>511</v>
      </c>
    </row>
    <row r="515">
      <c r="A515" s="2" t="s">
        <v>512</v>
      </c>
    </row>
    <row r="516">
      <c r="A516" s="2" t="s">
        <v>513</v>
      </c>
    </row>
    <row r="517">
      <c r="A517" s="2" t="s">
        <v>514</v>
      </c>
    </row>
    <row r="518">
      <c r="A518" s="2" t="s">
        <v>515</v>
      </c>
    </row>
    <row r="519">
      <c r="A519" s="2" t="s">
        <v>516</v>
      </c>
    </row>
    <row r="520">
      <c r="A520" s="2" t="s">
        <v>517</v>
      </c>
    </row>
    <row r="521">
      <c r="A521" s="2" t="s">
        <v>518</v>
      </c>
    </row>
    <row r="522">
      <c r="A522" s="2" t="s">
        <v>519</v>
      </c>
    </row>
    <row r="523">
      <c r="A523" s="2" t="s">
        <v>520</v>
      </c>
    </row>
    <row r="524">
      <c r="A524" s="2" t="s">
        <v>521</v>
      </c>
    </row>
    <row r="525">
      <c r="A525" s="2" t="s">
        <v>522</v>
      </c>
    </row>
    <row r="526">
      <c r="A526" s="2" t="s">
        <v>523</v>
      </c>
    </row>
    <row r="527">
      <c r="A527" s="2" t="s">
        <v>524</v>
      </c>
    </row>
    <row r="528">
      <c r="A528" s="2" t="s">
        <v>525</v>
      </c>
    </row>
    <row r="529">
      <c r="A529" s="2" t="s">
        <v>526</v>
      </c>
    </row>
    <row r="530">
      <c r="A530" s="2" t="s">
        <v>527</v>
      </c>
    </row>
    <row r="531">
      <c r="A531" s="2" t="s">
        <v>528</v>
      </c>
    </row>
    <row r="532">
      <c r="A532" s="2" t="s">
        <v>529</v>
      </c>
    </row>
    <row r="533">
      <c r="A533" s="2" t="s">
        <v>530</v>
      </c>
    </row>
    <row r="534">
      <c r="A534" s="2" t="s">
        <v>531</v>
      </c>
    </row>
    <row r="535">
      <c r="A535" s="2" t="s">
        <v>532</v>
      </c>
    </row>
    <row r="536">
      <c r="A536" s="2" t="s">
        <v>533</v>
      </c>
    </row>
    <row r="537">
      <c r="A537" s="2" t="s">
        <v>534</v>
      </c>
    </row>
    <row r="538">
      <c r="A538" s="2" t="s">
        <v>535</v>
      </c>
    </row>
    <row r="539">
      <c r="A539" s="2" t="s">
        <v>536</v>
      </c>
    </row>
    <row r="540">
      <c r="A540" s="2" t="s">
        <v>537</v>
      </c>
    </row>
    <row r="541">
      <c r="A541" s="2" t="s">
        <v>538</v>
      </c>
    </row>
    <row r="542">
      <c r="A542" s="2" t="s">
        <v>539</v>
      </c>
    </row>
    <row r="543">
      <c r="A543" s="2" t="s">
        <v>540</v>
      </c>
    </row>
    <row r="544">
      <c r="A544" s="2" t="s">
        <v>541</v>
      </c>
    </row>
    <row r="545">
      <c r="A545" s="2" t="s">
        <v>542</v>
      </c>
    </row>
    <row r="546">
      <c r="A546" s="2" t="s">
        <v>543</v>
      </c>
    </row>
    <row r="547">
      <c r="A547" s="2" t="s">
        <v>544</v>
      </c>
    </row>
    <row r="548">
      <c r="A548" s="2" t="s">
        <v>545</v>
      </c>
    </row>
    <row r="549">
      <c r="A549" s="2" t="s">
        <v>546</v>
      </c>
    </row>
    <row r="550">
      <c r="A550" s="2" t="s">
        <v>547</v>
      </c>
    </row>
    <row r="551">
      <c r="A551" s="2" t="s">
        <v>548</v>
      </c>
    </row>
    <row r="552">
      <c r="A552" s="2" t="s">
        <v>549</v>
      </c>
    </row>
    <row r="553">
      <c r="A553" s="2" t="s">
        <v>550</v>
      </c>
    </row>
    <row r="554">
      <c r="A554" s="2" t="s">
        <v>551</v>
      </c>
    </row>
    <row r="555">
      <c r="A555" s="2" t="s">
        <v>552</v>
      </c>
    </row>
    <row r="556">
      <c r="A556" s="2" t="s">
        <v>553</v>
      </c>
    </row>
    <row r="557">
      <c r="A557" s="2" t="s">
        <v>554</v>
      </c>
    </row>
    <row r="558">
      <c r="A558" s="2" t="s">
        <v>555</v>
      </c>
    </row>
    <row r="559">
      <c r="A559" s="2" t="s">
        <v>556</v>
      </c>
    </row>
    <row r="560">
      <c r="A560" s="2" t="s">
        <v>557</v>
      </c>
    </row>
    <row r="561">
      <c r="A561" s="2" t="s">
        <v>558</v>
      </c>
    </row>
    <row r="562">
      <c r="A562" s="2" t="s">
        <v>559</v>
      </c>
    </row>
    <row r="563">
      <c r="A563" s="2" t="s">
        <v>560</v>
      </c>
    </row>
    <row r="564">
      <c r="A564" s="2" t="s">
        <v>561</v>
      </c>
    </row>
    <row r="565">
      <c r="A565" s="2" t="s">
        <v>562</v>
      </c>
    </row>
    <row r="566">
      <c r="A566" s="2" t="s">
        <v>563</v>
      </c>
    </row>
    <row r="567">
      <c r="A567" s="2" t="s">
        <v>564</v>
      </c>
    </row>
    <row r="568">
      <c r="A568" s="2" t="s">
        <v>565</v>
      </c>
    </row>
    <row r="569">
      <c r="A569" s="2" t="s">
        <v>566</v>
      </c>
    </row>
    <row r="570">
      <c r="A570" s="2" t="s">
        <v>567</v>
      </c>
    </row>
    <row r="571">
      <c r="A571" s="2" t="s">
        <v>568</v>
      </c>
    </row>
    <row r="572">
      <c r="A572" s="2" t="s">
        <v>569</v>
      </c>
    </row>
    <row r="573">
      <c r="A573" s="2" t="s">
        <v>570</v>
      </c>
    </row>
    <row r="574">
      <c r="A574" s="2" t="s">
        <v>571</v>
      </c>
    </row>
    <row r="575">
      <c r="A575" s="2" t="s">
        <v>572</v>
      </c>
    </row>
    <row r="576">
      <c r="A576" s="2" t="s">
        <v>573</v>
      </c>
    </row>
    <row r="577">
      <c r="A577" s="2" t="s">
        <v>574</v>
      </c>
    </row>
    <row r="578">
      <c r="A578" s="2" t="s">
        <v>575</v>
      </c>
    </row>
    <row r="579">
      <c r="A579" s="2" t="s">
        <v>576</v>
      </c>
    </row>
    <row r="580">
      <c r="A580" s="2" t="s">
        <v>577</v>
      </c>
    </row>
    <row r="581">
      <c r="A581" s="2" t="s">
        <v>578</v>
      </c>
    </row>
    <row r="582">
      <c r="A582" s="2" t="s">
        <v>579</v>
      </c>
    </row>
    <row r="583">
      <c r="A583" s="2" t="s">
        <v>580</v>
      </c>
    </row>
    <row r="584">
      <c r="A584" s="2" t="s">
        <v>581</v>
      </c>
    </row>
    <row r="585">
      <c r="A585" s="2" t="s">
        <v>582</v>
      </c>
    </row>
    <row r="586">
      <c r="A586" s="2" t="s">
        <v>583</v>
      </c>
    </row>
    <row r="587">
      <c r="A587" s="2" t="s">
        <v>584</v>
      </c>
    </row>
    <row r="588">
      <c r="A588" s="2" t="s">
        <v>585</v>
      </c>
    </row>
    <row r="589">
      <c r="A589" s="2" t="s">
        <v>586</v>
      </c>
    </row>
    <row r="590">
      <c r="A590" s="2" t="s">
        <v>587</v>
      </c>
    </row>
    <row r="591">
      <c r="A591" s="2" t="s">
        <v>588</v>
      </c>
    </row>
    <row r="592">
      <c r="A592" s="2" t="s">
        <v>589</v>
      </c>
    </row>
    <row r="593">
      <c r="A593" s="2" t="s">
        <v>590</v>
      </c>
    </row>
    <row r="594">
      <c r="A594" s="2" t="s">
        <v>591</v>
      </c>
    </row>
    <row r="595">
      <c r="A595" s="2" t="s">
        <v>592</v>
      </c>
    </row>
    <row r="596">
      <c r="A596" s="2" t="s">
        <v>593</v>
      </c>
    </row>
    <row r="597">
      <c r="A597" s="2" t="s">
        <v>594</v>
      </c>
    </row>
    <row r="598">
      <c r="A598" s="2" t="s">
        <v>595</v>
      </c>
    </row>
    <row r="599">
      <c r="A599" s="2" t="s">
        <v>596</v>
      </c>
    </row>
    <row r="600">
      <c r="A600" s="2" t="s">
        <v>597</v>
      </c>
    </row>
    <row r="601">
      <c r="A601" s="2" t="s">
        <v>598</v>
      </c>
    </row>
    <row r="602">
      <c r="A602" s="2" t="s">
        <v>599</v>
      </c>
    </row>
    <row r="603">
      <c r="A603" s="2" t="s">
        <v>600</v>
      </c>
    </row>
    <row r="604">
      <c r="A604" s="2" t="s">
        <v>601</v>
      </c>
    </row>
    <row r="605">
      <c r="A605" s="2" t="s">
        <v>602</v>
      </c>
    </row>
    <row r="606">
      <c r="A606" s="2" t="s">
        <v>603</v>
      </c>
    </row>
    <row r="607">
      <c r="A607" s="2" t="s">
        <v>604</v>
      </c>
    </row>
    <row r="608">
      <c r="A608" s="2" t="s">
        <v>605</v>
      </c>
    </row>
    <row r="609">
      <c r="A609" s="2" t="s">
        <v>606</v>
      </c>
    </row>
    <row r="610">
      <c r="A610" s="2" t="s">
        <v>607</v>
      </c>
    </row>
    <row r="611">
      <c r="A611" s="2" t="s">
        <v>608</v>
      </c>
    </row>
    <row r="612">
      <c r="A612" s="2" t="s">
        <v>609</v>
      </c>
    </row>
    <row r="613">
      <c r="A613" s="2" t="s">
        <v>610</v>
      </c>
    </row>
    <row r="614">
      <c r="A614" s="2" t="s">
        <v>611</v>
      </c>
    </row>
    <row r="615">
      <c r="A615" s="2" t="s">
        <v>612</v>
      </c>
    </row>
    <row r="616">
      <c r="A616" s="2" t="s">
        <v>613</v>
      </c>
    </row>
    <row r="617">
      <c r="A617" s="2" t="s">
        <v>614</v>
      </c>
    </row>
    <row r="618">
      <c r="A618" s="2" t="s">
        <v>615</v>
      </c>
    </row>
    <row r="619">
      <c r="A619" s="2" t="s">
        <v>616</v>
      </c>
    </row>
    <row r="620">
      <c r="A620" s="2" t="s">
        <v>617</v>
      </c>
    </row>
    <row r="621">
      <c r="A621" s="2" t="s">
        <v>618</v>
      </c>
    </row>
    <row r="622">
      <c r="A622" s="2" t="s">
        <v>619</v>
      </c>
    </row>
    <row r="623">
      <c r="A623" s="2" t="s">
        <v>620</v>
      </c>
    </row>
    <row r="624">
      <c r="A624" s="2" t="s">
        <v>621</v>
      </c>
    </row>
    <row r="625">
      <c r="A625" s="2" t="s">
        <v>622</v>
      </c>
    </row>
    <row r="626">
      <c r="A626" s="2" t="s">
        <v>623</v>
      </c>
    </row>
    <row r="627">
      <c r="A627" s="2" t="s">
        <v>624</v>
      </c>
    </row>
    <row r="628">
      <c r="A628" s="2" t="s">
        <v>625</v>
      </c>
    </row>
    <row r="629">
      <c r="A629" s="2" t="s">
        <v>626</v>
      </c>
    </row>
    <row r="630">
      <c r="A630" s="2" t="s">
        <v>627</v>
      </c>
    </row>
    <row r="631">
      <c r="A631" s="2" t="s">
        <v>628</v>
      </c>
    </row>
    <row r="632">
      <c r="A632" s="2" t="s">
        <v>629</v>
      </c>
    </row>
    <row r="633">
      <c r="A633" s="2" t="s">
        <v>630</v>
      </c>
    </row>
    <row r="634">
      <c r="A634" s="2" t="s">
        <v>631</v>
      </c>
    </row>
    <row r="635">
      <c r="A635" s="2" t="s">
        <v>632</v>
      </c>
    </row>
    <row r="636">
      <c r="A636" s="2" t="s">
        <v>633</v>
      </c>
    </row>
    <row r="637">
      <c r="A637" s="2" t="s">
        <v>634</v>
      </c>
    </row>
    <row r="638">
      <c r="A638" s="2" t="s">
        <v>635</v>
      </c>
    </row>
    <row r="639">
      <c r="A639" s="2" t="s">
        <v>636</v>
      </c>
    </row>
    <row r="640">
      <c r="A640" s="2" t="s">
        <v>637</v>
      </c>
    </row>
    <row r="641">
      <c r="A641" s="2" t="s">
        <v>638</v>
      </c>
    </row>
    <row r="642">
      <c r="A642" s="2" t="s">
        <v>639</v>
      </c>
    </row>
    <row r="643">
      <c r="A643" s="2" t="s">
        <v>640</v>
      </c>
    </row>
    <row r="644">
      <c r="A644" s="2" t="s">
        <v>641</v>
      </c>
    </row>
    <row r="645">
      <c r="A645" s="2" t="s">
        <v>642</v>
      </c>
    </row>
    <row r="646">
      <c r="A646" s="2" t="s">
        <v>643</v>
      </c>
    </row>
    <row r="647">
      <c r="A647" s="2" t="s">
        <v>644</v>
      </c>
    </row>
    <row r="648">
      <c r="A648" s="2" t="s">
        <v>645</v>
      </c>
    </row>
    <row r="649">
      <c r="A649" s="2" t="s">
        <v>646</v>
      </c>
    </row>
    <row r="650">
      <c r="A650" s="2" t="s">
        <v>647</v>
      </c>
    </row>
    <row r="651">
      <c r="A651" s="2" t="s">
        <v>648</v>
      </c>
    </row>
    <row r="652">
      <c r="A652" s="2" t="s">
        <v>649</v>
      </c>
    </row>
    <row r="653">
      <c r="A653" s="2" t="s">
        <v>650</v>
      </c>
    </row>
    <row r="654">
      <c r="A654" s="2" t="s">
        <v>651</v>
      </c>
    </row>
    <row r="655">
      <c r="A655" s="2" t="s">
        <v>652</v>
      </c>
    </row>
    <row r="656">
      <c r="A656" s="2" t="s">
        <v>653</v>
      </c>
    </row>
    <row r="657">
      <c r="A657" s="2" t="s">
        <v>654</v>
      </c>
    </row>
    <row r="658">
      <c r="A658" s="2" t="s">
        <v>655</v>
      </c>
    </row>
    <row r="659">
      <c r="A659" s="2" t="s">
        <v>656</v>
      </c>
    </row>
    <row r="660">
      <c r="A660" s="2" t="s">
        <v>657</v>
      </c>
    </row>
    <row r="661">
      <c r="A661" s="2" t="s">
        <v>658</v>
      </c>
    </row>
    <row r="662">
      <c r="A662" s="2" t="s">
        <v>659</v>
      </c>
    </row>
    <row r="663">
      <c r="A663" s="2" t="s">
        <v>660</v>
      </c>
    </row>
    <row r="664">
      <c r="A664" s="2" t="s">
        <v>661</v>
      </c>
    </row>
    <row r="665">
      <c r="A665" s="2" t="s">
        <v>662</v>
      </c>
    </row>
    <row r="666">
      <c r="A666" s="2" t="s">
        <v>663</v>
      </c>
    </row>
    <row r="667">
      <c r="A667" s="2" t="s">
        <v>664</v>
      </c>
    </row>
    <row r="668">
      <c r="A668" s="2" t="s">
        <v>665</v>
      </c>
    </row>
    <row r="669">
      <c r="A669" s="2" t="s">
        <v>666</v>
      </c>
    </row>
    <row r="670">
      <c r="A670" s="2" t="s">
        <v>667</v>
      </c>
    </row>
    <row r="671">
      <c r="A671" s="2" t="s">
        <v>668</v>
      </c>
    </row>
    <row r="672">
      <c r="A672" s="2" t="s">
        <v>669</v>
      </c>
    </row>
    <row r="673">
      <c r="A673" s="2" t="s">
        <v>670</v>
      </c>
    </row>
    <row r="674">
      <c r="A674" s="2" t="s">
        <v>671</v>
      </c>
    </row>
    <row r="675">
      <c r="A675" s="2" t="s">
        <v>672</v>
      </c>
    </row>
    <row r="676">
      <c r="A676" s="2" t="s">
        <v>673</v>
      </c>
    </row>
    <row r="677">
      <c r="A677" s="2" t="s">
        <v>674</v>
      </c>
    </row>
    <row r="678">
      <c r="A678" s="2" t="s">
        <v>675</v>
      </c>
    </row>
    <row r="679">
      <c r="A679" s="2" t="s">
        <v>676</v>
      </c>
    </row>
    <row r="680">
      <c r="A680" s="2" t="s">
        <v>677</v>
      </c>
    </row>
    <row r="681">
      <c r="A681" s="2" t="s">
        <v>678</v>
      </c>
    </row>
    <row r="682">
      <c r="A682" s="2" t="s">
        <v>679</v>
      </c>
    </row>
    <row r="683">
      <c r="A683" s="2" t="s">
        <v>680</v>
      </c>
    </row>
    <row r="684">
      <c r="A684" s="2" t="s">
        <v>681</v>
      </c>
    </row>
    <row r="685">
      <c r="A685" s="2" t="s">
        <v>682</v>
      </c>
    </row>
    <row r="686">
      <c r="A686" s="2" t="s">
        <v>683</v>
      </c>
    </row>
    <row r="687">
      <c r="A687" s="2" t="s">
        <v>684</v>
      </c>
    </row>
    <row r="688">
      <c r="A688" s="2" t="s">
        <v>685</v>
      </c>
    </row>
    <row r="689">
      <c r="A689" s="2" t="s">
        <v>686</v>
      </c>
    </row>
    <row r="690">
      <c r="A690" s="2" t="s">
        <v>687</v>
      </c>
    </row>
    <row r="691">
      <c r="A691" s="2" t="s">
        <v>688</v>
      </c>
    </row>
    <row r="692">
      <c r="A692" s="2" t="s">
        <v>689</v>
      </c>
    </row>
    <row r="693">
      <c r="A693" s="2" t="s">
        <v>690</v>
      </c>
    </row>
    <row r="694">
      <c r="A694" s="2" t="s">
        <v>691</v>
      </c>
    </row>
    <row r="695">
      <c r="A695" s="2" t="s">
        <v>692</v>
      </c>
    </row>
    <row r="696">
      <c r="A696" s="2" t="s">
        <v>693</v>
      </c>
    </row>
    <row r="697">
      <c r="A697" s="2" t="s">
        <v>694</v>
      </c>
    </row>
    <row r="698">
      <c r="A698" s="2" t="s">
        <v>695</v>
      </c>
    </row>
    <row r="699">
      <c r="A699" s="2" t="s">
        <v>696</v>
      </c>
    </row>
    <row r="700">
      <c r="A700" s="2" t="s">
        <v>697</v>
      </c>
    </row>
    <row r="701">
      <c r="A701" s="2" t="s">
        <v>698</v>
      </c>
    </row>
    <row r="702">
      <c r="A702" s="2" t="s">
        <v>699</v>
      </c>
    </row>
    <row r="703">
      <c r="A703" s="2" t="s">
        <v>700</v>
      </c>
    </row>
    <row r="704">
      <c r="A704" s="2" t="s">
        <v>701</v>
      </c>
    </row>
    <row r="705">
      <c r="A705" s="2" t="s">
        <v>702</v>
      </c>
    </row>
    <row r="706">
      <c r="A706" s="2" t="s">
        <v>703</v>
      </c>
    </row>
    <row r="707">
      <c r="A707" s="2" t="s">
        <v>704</v>
      </c>
    </row>
    <row r="708">
      <c r="A708" s="2" t="s">
        <v>705</v>
      </c>
    </row>
    <row r="709">
      <c r="A709" s="2" t="s">
        <v>706</v>
      </c>
    </row>
    <row r="710">
      <c r="A710" s="2" t="s">
        <v>707</v>
      </c>
    </row>
    <row r="711">
      <c r="A711" s="2" t="s">
        <v>708</v>
      </c>
    </row>
    <row r="712">
      <c r="A712" s="2" t="s">
        <v>709</v>
      </c>
    </row>
    <row r="713">
      <c r="A713" s="2" t="s">
        <v>710</v>
      </c>
    </row>
    <row r="714">
      <c r="A714" s="2" t="s">
        <v>711</v>
      </c>
    </row>
    <row r="715">
      <c r="A715" s="2" t="s">
        <v>712</v>
      </c>
    </row>
    <row r="716">
      <c r="A716" s="2" t="s">
        <v>713</v>
      </c>
    </row>
    <row r="717">
      <c r="A717" s="2" t="s">
        <v>714</v>
      </c>
    </row>
    <row r="718">
      <c r="A718" s="2" t="s">
        <v>715</v>
      </c>
    </row>
    <row r="719">
      <c r="A719" s="2" t="s">
        <v>716</v>
      </c>
    </row>
    <row r="720">
      <c r="A720" s="2" t="s">
        <v>717</v>
      </c>
    </row>
    <row r="721">
      <c r="A721" s="2" t="s">
        <v>718</v>
      </c>
    </row>
    <row r="722">
      <c r="A722" s="2" t="s">
        <v>719</v>
      </c>
    </row>
    <row r="723">
      <c r="A723" s="2" t="s">
        <v>720</v>
      </c>
    </row>
    <row r="724">
      <c r="A724" s="2" t="s">
        <v>721</v>
      </c>
    </row>
    <row r="725">
      <c r="A725" s="2" t="s">
        <v>722</v>
      </c>
    </row>
    <row r="726">
      <c r="A726" s="2" t="s">
        <v>723</v>
      </c>
    </row>
    <row r="727">
      <c r="A727" s="2" t="s">
        <v>724</v>
      </c>
    </row>
    <row r="728">
      <c r="A728" s="2" t="s">
        <v>725</v>
      </c>
    </row>
    <row r="729">
      <c r="A729" s="2" t="s">
        <v>726</v>
      </c>
    </row>
    <row r="730">
      <c r="A730" s="2" t="s">
        <v>727</v>
      </c>
    </row>
    <row r="731">
      <c r="A731" s="2" t="s">
        <v>728</v>
      </c>
    </row>
    <row r="732">
      <c r="A732" s="2" t="s">
        <v>729</v>
      </c>
    </row>
    <row r="733">
      <c r="A733" s="2" t="s">
        <v>730</v>
      </c>
    </row>
    <row r="734">
      <c r="A734" s="2" t="s">
        <v>731</v>
      </c>
    </row>
    <row r="735">
      <c r="A735" s="2" t="s">
        <v>732</v>
      </c>
    </row>
    <row r="736">
      <c r="A736" s="2" t="s">
        <v>733</v>
      </c>
    </row>
    <row r="737">
      <c r="A737" s="2" t="s">
        <v>734</v>
      </c>
    </row>
    <row r="738">
      <c r="A738" s="2" t="s">
        <v>735</v>
      </c>
    </row>
    <row r="739">
      <c r="A739" s="2" t="s">
        <v>736</v>
      </c>
    </row>
    <row r="740">
      <c r="A740" s="2" t="s">
        <v>737</v>
      </c>
    </row>
    <row r="741">
      <c r="A741" s="2" t="s">
        <v>738</v>
      </c>
    </row>
    <row r="742">
      <c r="A742" s="2" t="s">
        <v>739</v>
      </c>
    </row>
    <row r="743">
      <c r="A743" s="2" t="s">
        <v>740</v>
      </c>
    </row>
    <row r="744">
      <c r="A744" s="2" t="s">
        <v>741</v>
      </c>
    </row>
    <row r="745">
      <c r="A745" s="2" t="s">
        <v>742</v>
      </c>
    </row>
    <row r="746">
      <c r="A746" s="2" t="s">
        <v>743</v>
      </c>
    </row>
    <row r="747">
      <c r="A747" s="2" t="s">
        <v>744</v>
      </c>
    </row>
    <row r="748">
      <c r="A748" s="2" t="s">
        <v>745</v>
      </c>
    </row>
    <row r="749">
      <c r="A749" s="2" t="s">
        <v>746</v>
      </c>
    </row>
    <row r="750">
      <c r="A750" s="2" t="s">
        <v>747</v>
      </c>
    </row>
    <row r="751">
      <c r="A751" s="2" t="s">
        <v>748</v>
      </c>
    </row>
    <row r="752">
      <c r="A752" s="2" t="s">
        <v>749</v>
      </c>
    </row>
    <row r="753">
      <c r="A753" s="2" t="s">
        <v>750</v>
      </c>
    </row>
    <row r="754">
      <c r="A754" s="2" t="s">
        <v>751</v>
      </c>
    </row>
    <row r="755">
      <c r="A755" s="2" t="s">
        <v>752</v>
      </c>
    </row>
    <row r="756">
      <c r="A756" s="2" t="s">
        <v>753</v>
      </c>
    </row>
    <row r="757">
      <c r="A757" s="2" t="s">
        <v>754</v>
      </c>
    </row>
    <row r="758">
      <c r="A758" s="2" t="s">
        <v>755</v>
      </c>
    </row>
    <row r="759">
      <c r="A759" s="2" t="s">
        <v>756</v>
      </c>
    </row>
    <row r="760">
      <c r="A760" s="2" t="s">
        <v>757</v>
      </c>
    </row>
    <row r="761">
      <c r="A761" s="2" t="s">
        <v>758</v>
      </c>
    </row>
    <row r="762">
      <c r="A762" s="2" t="s">
        <v>759</v>
      </c>
    </row>
    <row r="763">
      <c r="A763" s="2" t="s">
        <v>760</v>
      </c>
    </row>
    <row r="764">
      <c r="A764" s="2" t="s">
        <v>761</v>
      </c>
    </row>
    <row r="765">
      <c r="A765" s="2" t="s">
        <v>762</v>
      </c>
    </row>
    <row r="766">
      <c r="A766" s="2" t="s">
        <v>763</v>
      </c>
    </row>
    <row r="767">
      <c r="A767" s="2" t="s">
        <v>764</v>
      </c>
    </row>
    <row r="768">
      <c r="A768" s="2" t="s">
        <v>765</v>
      </c>
    </row>
    <row r="769">
      <c r="A769" s="2" t="s">
        <v>766</v>
      </c>
    </row>
    <row r="770">
      <c r="A770" s="2" t="s">
        <v>767</v>
      </c>
    </row>
    <row r="771">
      <c r="A771" s="2" t="s">
        <v>768</v>
      </c>
    </row>
    <row r="772">
      <c r="A772" s="2" t="s">
        <v>769</v>
      </c>
    </row>
    <row r="773">
      <c r="A773" s="2" t="s">
        <v>770</v>
      </c>
    </row>
    <row r="774">
      <c r="A774" s="2" t="s">
        <v>771</v>
      </c>
    </row>
    <row r="775">
      <c r="A775" s="2" t="s">
        <v>772</v>
      </c>
    </row>
    <row r="776">
      <c r="A776" s="2" t="s">
        <v>773</v>
      </c>
    </row>
    <row r="777">
      <c r="A777" s="2" t="s">
        <v>774</v>
      </c>
    </row>
    <row r="778">
      <c r="A778" s="2" t="s">
        <v>775</v>
      </c>
    </row>
    <row r="779">
      <c r="A779" s="2" t="s">
        <v>776</v>
      </c>
    </row>
    <row r="780">
      <c r="A780" s="2" t="s">
        <v>777</v>
      </c>
    </row>
    <row r="781">
      <c r="A781" s="2" t="s">
        <v>778</v>
      </c>
    </row>
    <row r="782">
      <c r="A782" s="2" t="s">
        <v>779</v>
      </c>
    </row>
    <row r="783">
      <c r="A783" s="2" t="s">
        <v>780</v>
      </c>
    </row>
    <row r="784">
      <c r="A784" s="2" t="s">
        <v>781</v>
      </c>
    </row>
    <row r="785">
      <c r="A785" s="2" t="s">
        <v>782</v>
      </c>
    </row>
    <row r="786">
      <c r="A786" s="2" t="s">
        <v>783</v>
      </c>
    </row>
    <row r="787">
      <c r="A787" s="2" t="s">
        <v>784</v>
      </c>
    </row>
    <row r="788">
      <c r="A788" s="2" t="s">
        <v>785</v>
      </c>
    </row>
    <row r="789">
      <c r="A789" s="2" t="s">
        <v>786</v>
      </c>
    </row>
    <row r="790">
      <c r="A790" s="2" t="s">
        <v>787</v>
      </c>
    </row>
    <row r="791">
      <c r="A791" s="2" t="s">
        <v>788</v>
      </c>
    </row>
    <row r="792">
      <c r="A792" s="2" t="s">
        <v>789</v>
      </c>
    </row>
    <row r="793">
      <c r="A793" s="2" t="s">
        <v>790</v>
      </c>
    </row>
    <row r="794">
      <c r="A794" s="2" t="s">
        <v>791</v>
      </c>
    </row>
    <row r="795">
      <c r="A795" s="2" t="s">
        <v>792</v>
      </c>
    </row>
    <row r="796">
      <c r="A796" s="2" t="s">
        <v>793</v>
      </c>
    </row>
    <row r="797">
      <c r="A797" s="2" t="s">
        <v>794</v>
      </c>
    </row>
    <row r="798">
      <c r="A798" s="2" t="s">
        <v>795</v>
      </c>
    </row>
    <row r="799">
      <c r="A799" s="2" t="s">
        <v>796</v>
      </c>
    </row>
    <row r="800">
      <c r="A800" s="2" t="s">
        <v>797</v>
      </c>
    </row>
    <row r="801">
      <c r="A801" s="2" t="s">
        <v>798</v>
      </c>
    </row>
    <row r="802">
      <c r="A802" s="2" t="s">
        <v>799</v>
      </c>
    </row>
    <row r="803">
      <c r="A803" s="2" t="s">
        <v>800</v>
      </c>
    </row>
    <row r="804">
      <c r="A804" s="2" t="s">
        <v>801</v>
      </c>
    </row>
    <row r="805">
      <c r="A805" s="2" t="s">
        <v>802</v>
      </c>
    </row>
    <row r="806">
      <c r="A806" s="2" t="s">
        <v>803</v>
      </c>
    </row>
    <row r="807">
      <c r="A807" s="2" t="s">
        <v>804</v>
      </c>
    </row>
    <row r="808">
      <c r="A808" s="2" t="s">
        <v>805</v>
      </c>
    </row>
    <row r="809">
      <c r="A809" s="2" t="s">
        <v>806</v>
      </c>
    </row>
    <row r="810">
      <c r="A810" s="2" t="s">
        <v>807</v>
      </c>
    </row>
    <row r="811">
      <c r="A811" s="2" t="s">
        <v>808</v>
      </c>
    </row>
    <row r="812">
      <c r="A812" s="2" t="s">
        <v>809</v>
      </c>
    </row>
    <row r="813">
      <c r="A813" s="2" t="s">
        <v>810</v>
      </c>
    </row>
    <row r="814">
      <c r="A814" s="2" t="s">
        <v>811</v>
      </c>
    </row>
    <row r="815">
      <c r="A815" s="2" t="s">
        <v>812</v>
      </c>
    </row>
    <row r="816">
      <c r="A816" s="2" t="s">
        <v>813</v>
      </c>
    </row>
    <row r="817">
      <c r="A817" s="2" t="s">
        <v>814</v>
      </c>
    </row>
    <row r="818">
      <c r="A818" s="2" t="s">
        <v>815</v>
      </c>
    </row>
    <row r="819">
      <c r="A819" s="2" t="s">
        <v>816</v>
      </c>
    </row>
    <row r="820">
      <c r="A820" s="2" t="s">
        <v>817</v>
      </c>
    </row>
    <row r="821">
      <c r="A821" s="2" t="s">
        <v>818</v>
      </c>
    </row>
    <row r="822">
      <c r="A822" s="2" t="s">
        <v>819</v>
      </c>
    </row>
    <row r="823">
      <c r="A823" s="2" t="s">
        <v>820</v>
      </c>
    </row>
    <row r="824">
      <c r="A824" s="2" t="s">
        <v>821</v>
      </c>
    </row>
    <row r="825">
      <c r="A825" s="2" t="s">
        <v>822</v>
      </c>
    </row>
    <row r="826">
      <c r="A826" s="2" t="s">
        <v>823</v>
      </c>
    </row>
    <row r="827">
      <c r="A827" s="2" t="s">
        <v>824</v>
      </c>
    </row>
    <row r="828">
      <c r="A828" s="2" t="s">
        <v>825</v>
      </c>
    </row>
    <row r="829">
      <c r="A829" s="2" t="s">
        <v>826</v>
      </c>
    </row>
    <row r="830">
      <c r="A830" s="2" t="s">
        <v>827</v>
      </c>
    </row>
    <row r="831">
      <c r="A831" s="2" t="s">
        <v>828</v>
      </c>
    </row>
    <row r="832">
      <c r="A832" s="2" t="s">
        <v>829</v>
      </c>
    </row>
    <row r="833">
      <c r="A833" s="2" t="s">
        <v>830</v>
      </c>
    </row>
    <row r="834">
      <c r="A834" s="2" t="s">
        <v>831</v>
      </c>
    </row>
    <row r="835">
      <c r="A835" s="2" t="s">
        <v>832</v>
      </c>
    </row>
    <row r="836">
      <c r="A836" s="2" t="s">
        <v>833</v>
      </c>
    </row>
    <row r="837">
      <c r="A837" s="2" t="s">
        <v>834</v>
      </c>
    </row>
    <row r="838">
      <c r="A838" s="2" t="s">
        <v>835</v>
      </c>
    </row>
    <row r="839">
      <c r="A839" s="2" t="s">
        <v>836</v>
      </c>
    </row>
    <row r="840">
      <c r="A840" s="2" t="s">
        <v>837</v>
      </c>
    </row>
    <row r="841">
      <c r="A841" s="2" t="s">
        <v>838</v>
      </c>
    </row>
    <row r="842">
      <c r="A842" s="2" t="s">
        <v>839</v>
      </c>
    </row>
    <row r="843">
      <c r="A843" s="2" t="s">
        <v>840</v>
      </c>
    </row>
    <row r="844">
      <c r="A844" s="2" t="s">
        <v>841</v>
      </c>
    </row>
    <row r="845">
      <c r="A845" s="2" t="s">
        <v>842</v>
      </c>
    </row>
    <row r="846">
      <c r="A846" s="2" t="s">
        <v>843</v>
      </c>
    </row>
    <row r="847">
      <c r="A847" s="2" t="s">
        <v>844</v>
      </c>
    </row>
    <row r="848">
      <c r="A848" s="2" t="s">
        <v>845</v>
      </c>
    </row>
    <row r="849">
      <c r="A849" s="2" t="s">
        <v>846</v>
      </c>
    </row>
    <row r="850">
      <c r="A850" s="2" t="s">
        <v>847</v>
      </c>
    </row>
    <row r="851">
      <c r="A851" s="2" t="s">
        <v>848</v>
      </c>
    </row>
    <row r="852">
      <c r="A852" s="2" t="s">
        <v>849</v>
      </c>
    </row>
    <row r="853">
      <c r="A853" s="2" t="s">
        <v>850</v>
      </c>
    </row>
    <row r="854">
      <c r="A854" s="2" t="s">
        <v>851</v>
      </c>
    </row>
    <row r="855">
      <c r="A855" s="2" t="s">
        <v>852</v>
      </c>
    </row>
    <row r="856">
      <c r="A856" s="2" t="s">
        <v>853</v>
      </c>
    </row>
    <row r="857">
      <c r="A857" s="2" t="s">
        <v>854</v>
      </c>
    </row>
    <row r="858">
      <c r="A858" s="2" t="s">
        <v>855</v>
      </c>
    </row>
    <row r="859">
      <c r="A859" s="2" t="s">
        <v>856</v>
      </c>
    </row>
    <row r="860">
      <c r="A860" s="2" t="s">
        <v>857</v>
      </c>
    </row>
    <row r="861">
      <c r="A861" s="2" t="s">
        <v>858</v>
      </c>
    </row>
    <row r="862">
      <c r="A862" s="2" t="s">
        <v>859</v>
      </c>
    </row>
    <row r="863">
      <c r="A863" s="2" t="s">
        <v>860</v>
      </c>
    </row>
    <row r="864">
      <c r="A864" s="2" t="s">
        <v>861</v>
      </c>
    </row>
    <row r="865">
      <c r="A865" s="2" t="s">
        <v>862</v>
      </c>
    </row>
    <row r="866">
      <c r="A866" s="2" t="s">
        <v>863</v>
      </c>
    </row>
    <row r="867">
      <c r="A867" s="2" t="s">
        <v>864</v>
      </c>
    </row>
    <row r="868">
      <c r="A868" s="2" t="s">
        <v>865</v>
      </c>
    </row>
    <row r="869">
      <c r="A869" s="2" t="s">
        <v>866</v>
      </c>
    </row>
    <row r="870">
      <c r="A870" s="2" t="s">
        <v>867</v>
      </c>
    </row>
    <row r="871">
      <c r="A871" s="2" t="s">
        <v>868</v>
      </c>
    </row>
    <row r="872">
      <c r="A872" s="2" t="s">
        <v>869</v>
      </c>
    </row>
    <row r="873">
      <c r="A873" s="2" t="s">
        <v>870</v>
      </c>
    </row>
    <row r="874">
      <c r="A874" s="2" t="s">
        <v>871</v>
      </c>
    </row>
    <row r="875">
      <c r="A875" s="2" t="s">
        <v>872</v>
      </c>
    </row>
    <row r="876">
      <c r="A876" s="2" t="s">
        <v>873</v>
      </c>
    </row>
    <row r="877">
      <c r="A877" s="2" t="s">
        <v>874</v>
      </c>
    </row>
    <row r="878">
      <c r="A878" s="2" t="s">
        <v>875</v>
      </c>
    </row>
    <row r="879">
      <c r="A879" s="2" t="s">
        <v>876</v>
      </c>
    </row>
    <row r="880">
      <c r="A880" s="2" t="s">
        <v>877</v>
      </c>
    </row>
    <row r="881">
      <c r="A881" s="2" t="s">
        <v>878</v>
      </c>
    </row>
    <row r="882">
      <c r="A882" s="2" t="s">
        <v>879</v>
      </c>
    </row>
    <row r="883">
      <c r="A883" s="2" t="s">
        <v>880</v>
      </c>
    </row>
    <row r="884">
      <c r="A884" s="2" t="s">
        <v>881</v>
      </c>
    </row>
    <row r="885">
      <c r="A885" s="2" t="s">
        <v>882</v>
      </c>
    </row>
    <row r="886">
      <c r="A886" s="2" t="s">
        <v>883</v>
      </c>
    </row>
    <row r="887">
      <c r="A887" s="2" t="s">
        <v>884</v>
      </c>
    </row>
    <row r="888">
      <c r="A888" s="2" t="s">
        <v>885</v>
      </c>
    </row>
    <row r="889">
      <c r="A889" s="2" t="s">
        <v>886</v>
      </c>
    </row>
    <row r="890">
      <c r="A890" s="2" t="s">
        <v>887</v>
      </c>
    </row>
    <row r="891">
      <c r="A891" s="2" t="s">
        <v>888</v>
      </c>
    </row>
    <row r="892">
      <c r="A892" s="2" t="s">
        <v>889</v>
      </c>
    </row>
    <row r="893">
      <c r="A893" s="2" t="s">
        <v>890</v>
      </c>
    </row>
    <row r="894">
      <c r="A894" s="2" t="s">
        <v>891</v>
      </c>
    </row>
    <row r="895">
      <c r="A895" s="2" t="s">
        <v>892</v>
      </c>
    </row>
    <row r="896">
      <c r="A896" s="2" t="s">
        <v>893</v>
      </c>
    </row>
    <row r="897">
      <c r="A897" s="2" t="s">
        <v>894</v>
      </c>
    </row>
    <row r="898">
      <c r="A898" s="2" t="s">
        <v>895</v>
      </c>
    </row>
    <row r="899">
      <c r="A899" s="2" t="s">
        <v>896</v>
      </c>
    </row>
    <row r="900">
      <c r="A900" s="2" t="s">
        <v>897</v>
      </c>
    </row>
    <row r="901">
      <c r="A901" s="2" t="s">
        <v>898</v>
      </c>
    </row>
    <row r="902">
      <c r="A902" s="2" t="s">
        <v>899</v>
      </c>
    </row>
    <row r="903">
      <c r="A903" s="2" t="s">
        <v>900</v>
      </c>
    </row>
    <row r="904">
      <c r="A904" s="2" t="s">
        <v>901</v>
      </c>
    </row>
    <row r="905">
      <c r="A905" s="2" t="s">
        <v>902</v>
      </c>
    </row>
    <row r="906">
      <c r="A906" s="2" t="s">
        <v>903</v>
      </c>
    </row>
    <row r="907">
      <c r="A907" s="2" t="s">
        <v>904</v>
      </c>
    </row>
    <row r="908">
      <c r="A908" s="2" t="s">
        <v>905</v>
      </c>
    </row>
    <row r="909">
      <c r="A909" s="2" t="s">
        <v>906</v>
      </c>
    </row>
    <row r="910">
      <c r="A910" s="2" t="s">
        <v>907</v>
      </c>
    </row>
    <row r="911">
      <c r="A911" s="2" t="s">
        <v>908</v>
      </c>
    </row>
    <row r="912">
      <c r="A912" s="2" t="s">
        <v>909</v>
      </c>
    </row>
    <row r="913">
      <c r="A913" s="2" t="s">
        <v>910</v>
      </c>
    </row>
    <row r="914">
      <c r="A914" s="2" t="s">
        <v>911</v>
      </c>
    </row>
    <row r="915">
      <c r="A915" s="2" t="s">
        <v>912</v>
      </c>
    </row>
    <row r="916">
      <c r="A916" s="2" t="s">
        <v>913</v>
      </c>
    </row>
    <row r="917">
      <c r="A917" s="2" t="s">
        <v>914</v>
      </c>
    </row>
    <row r="918">
      <c r="A918" s="2" t="s">
        <v>915</v>
      </c>
    </row>
    <row r="919">
      <c r="A919" s="2" t="s">
        <v>916</v>
      </c>
    </row>
    <row r="920">
      <c r="A920" s="2" t="s">
        <v>917</v>
      </c>
    </row>
    <row r="921">
      <c r="A921" s="2" t="s">
        <v>918</v>
      </c>
    </row>
    <row r="922">
      <c r="A922" s="2" t="s">
        <v>919</v>
      </c>
    </row>
    <row r="923">
      <c r="A923" s="2" t="s">
        <v>920</v>
      </c>
    </row>
    <row r="924">
      <c r="A924" s="2" t="s">
        <v>921</v>
      </c>
    </row>
    <row r="925">
      <c r="A925" s="2" t="s">
        <v>922</v>
      </c>
    </row>
    <row r="926">
      <c r="A926" s="2" t="s">
        <v>923</v>
      </c>
    </row>
    <row r="927">
      <c r="A927" s="2" t="s">
        <v>924</v>
      </c>
    </row>
    <row r="928">
      <c r="A928" s="2" t="s">
        <v>925</v>
      </c>
    </row>
    <row r="929">
      <c r="A929" s="2" t="s">
        <v>926</v>
      </c>
    </row>
    <row r="930">
      <c r="A930" s="2" t="s">
        <v>927</v>
      </c>
    </row>
    <row r="931">
      <c r="A931" s="2" t="s">
        <v>928</v>
      </c>
    </row>
    <row r="932">
      <c r="A932" s="2" t="s">
        <v>929</v>
      </c>
    </row>
    <row r="933">
      <c r="A933" s="2" t="s">
        <v>930</v>
      </c>
    </row>
    <row r="934">
      <c r="A934" s="2" t="s">
        <v>931</v>
      </c>
    </row>
    <row r="935">
      <c r="A935" s="2" t="s">
        <v>932</v>
      </c>
    </row>
    <row r="936">
      <c r="A936" s="2" t="s">
        <v>933</v>
      </c>
    </row>
    <row r="937">
      <c r="A937" s="2" t="s">
        <v>934</v>
      </c>
    </row>
    <row r="938">
      <c r="A938" s="2" t="s">
        <v>935</v>
      </c>
    </row>
    <row r="939">
      <c r="A939" s="2" t="s">
        <v>936</v>
      </c>
    </row>
    <row r="940">
      <c r="A940" s="2" t="s">
        <v>937</v>
      </c>
    </row>
    <row r="941">
      <c r="A941" s="2" t="s">
        <v>938</v>
      </c>
    </row>
    <row r="942">
      <c r="A942" s="2" t="s">
        <v>939</v>
      </c>
    </row>
    <row r="943">
      <c r="A943" s="2" t="s">
        <v>940</v>
      </c>
    </row>
    <row r="944">
      <c r="A944" s="2" t="s">
        <v>941</v>
      </c>
    </row>
    <row r="945">
      <c r="A945" s="2" t="s">
        <v>942</v>
      </c>
    </row>
    <row r="946">
      <c r="A946" s="2" t="s">
        <v>943</v>
      </c>
    </row>
    <row r="947">
      <c r="A947" s="2" t="s">
        <v>944</v>
      </c>
    </row>
    <row r="948">
      <c r="A948" s="2" t="s">
        <v>945</v>
      </c>
    </row>
    <row r="949">
      <c r="A949" s="2" t="s">
        <v>946</v>
      </c>
    </row>
    <row r="950">
      <c r="A950" s="2" t="s">
        <v>947</v>
      </c>
    </row>
    <row r="951">
      <c r="A951" s="2" t="s">
        <v>948</v>
      </c>
    </row>
    <row r="952">
      <c r="A952" s="2" t="s">
        <v>949</v>
      </c>
    </row>
    <row r="953">
      <c r="A953" s="2" t="s">
        <v>950</v>
      </c>
    </row>
    <row r="954">
      <c r="A954" s="2" t="s">
        <v>951</v>
      </c>
    </row>
    <row r="955">
      <c r="A955" s="2" t="s">
        <v>952</v>
      </c>
    </row>
    <row r="956">
      <c r="A956" s="2" t="s">
        <v>953</v>
      </c>
    </row>
    <row r="957">
      <c r="A957" s="2" t="s">
        <v>954</v>
      </c>
    </row>
    <row r="958">
      <c r="A958" s="2" t="s">
        <v>955</v>
      </c>
    </row>
    <row r="959">
      <c r="A959" s="2" t="s">
        <v>956</v>
      </c>
    </row>
    <row r="960">
      <c r="A960" s="2" t="s">
        <v>957</v>
      </c>
    </row>
    <row r="961">
      <c r="A961" s="2" t="s">
        <v>958</v>
      </c>
    </row>
    <row r="962">
      <c r="A962" s="2" t="s">
        <v>959</v>
      </c>
    </row>
    <row r="963">
      <c r="A963" s="2" t="s">
        <v>960</v>
      </c>
    </row>
    <row r="964">
      <c r="A964" s="2" t="s">
        <v>961</v>
      </c>
    </row>
    <row r="965">
      <c r="A965" s="2" t="s">
        <v>962</v>
      </c>
    </row>
    <row r="966">
      <c r="A966" s="2" t="s">
        <v>963</v>
      </c>
    </row>
    <row r="967">
      <c r="A967" s="2" t="s">
        <v>964</v>
      </c>
    </row>
    <row r="968">
      <c r="A968" s="2" t="s">
        <v>965</v>
      </c>
    </row>
    <row r="969">
      <c r="A969" s="2" t="s">
        <v>966</v>
      </c>
    </row>
    <row r="970">
      <c r="A970" s="2" t="s">
        <v>967</v>
      </c>
    </row>
    <row r="971">
      <c r="A971" s="2" t="s">
        <v>968</v>
      </c>
    </row>
    <row r="972">
      <c r="A972" s="2" t="s">
        <v>969</v>
      </c>
    </row>
    <row r="973">
      <c r="A973" s="2" t="s">
        <v>970</v>
      </c>
    </row>
    <row r="974">
      <c r="A974" s="2" t="s">
        <v>971</v>
      </c>
    </row>
    <row r="975">
      <c r="A975" s="2" t="s">
        <v>972</v>
      </c>
    </row>
    <row r="976">
      <c r="A976" s="2" t="s">
        <v>973</v>
      </c>
    </row>
    <row r="977">
      <c r="A977" s="2" t="s">
        <v>974</v>
      </c>
    </row>
    <row r="978">
      <c r="A978" s="2" t="s">
        <v>975</v>
      </c>
    </row>
    <row r="979">
      <c r="A979" s="2" t="s">
        <v>976</v>
      </c>
    </row>
    <row r="980">
      <c r="A980" s="2" t="s">
        <v>977</v>
      </c>
    </row>
    <row r="981">
      <c r="A981" s="2" t="s">
        <v>978</v>
      </c>
    </row>
    <row r="982">
      <c r="A982" s="2" t="s">
        <v>979</v>
      </c>
    </row>
    <row r="983">
      <c r="A983" s="2" t="s">
        <v>980</v>
      </c>
    </row>
    <row r="984">
      <c r="A984" s="2" t="s">
        <v>981</v>
      </c>
    </row>
    <row r="985">
      <c r="A985" s="2" t="s">
        <v>982</v>
      </c>
    </row>
    <row r="986">
      <c r="A986" s="2" t="s">
        <v>983</v>
      </c>
    </row>
    <row r="987">
      <c r="A987" s="2" t="s">
        <v>984</v>
      </c>
    </row>
    <row r="988">
      <c r="A988" s="2" t="s">
        <v>985</v>
      </c>
    </row>
    <row r="989">
      <c r="A989" s="2" t="s">
        <v>986</v>
      </c>
    </row>
    <row r="990">
      <c r="A990" s="2" t="s">
        <v>987</v>
      </c>
    </row>
    <row r="991">
      <c r="A991" s="2" t="s">
        <v>988</v>
      </c>
    </row>
    <row r="992">
      <c r="A992" s="2" t="s">
        <v>989</v>
      </c>
    </row>
    <row r="993">
      <c r="A993" s="2" t="s">
        <v>990</v>
      </c>
    </row>
    <row r="994">
      <c r="A994" s="2" t="s">
        <v>991</v>
      </c>
    </row>
    <row r="995">
      <c r="A995" s="2" t="s">
        <v>992</v>
      </c>
    </row>
    <row r="996">
      <c r="A996" s="2" t="s">
        <v>993</v>
      </c>
    </row>
    <row r="997">
      <c r="A997" s="2" t="s">
        <v>994</v>
      </c>
    </row>
    <row r="998">
      <c r="A998" s="2" t="s">
        <v>995</v>
      </c>
    </row>
    <row r="999">
      <c r="A999" s="2" t="s">
        <v>996</v>
      </c>
    </row>
    <row r="1000">
      <c r="A1000" s="2" t="s">
        <v>997</v>
      </c>
    </row>
    <row r="1001">
      <c r="A1001" s="2" t="s">
        <v>998</v>
      </c>
    </row>
    <row r="1002">
      <c r="A1002" s="2" t="s">
        <v>999</v>
      </c>
    </row>
    <row r="1003">
      <c r="A1003" s="2" t="s">
        <v>1000</v>
      </c>
    </row>
    <row r="1004">
      <c r="A1004" s="2" t="s">
        <v>1001</v>
      </c>
    </row>
    <row r="1005">
      <c r="A1005" s="2" t="s">
        <v>1002</v>
      </c>
    </row>
    <row r="1006">
      <c r="A1006" s="2" t="s">
        <v>1003</v>
      </c>
    </row>
    <row r="1007">
      <c r="A1007" s="2" t="s">
        <v>1004</v>
      </c>
    </row>
    <row r="1008">
      <c r="A1008" s="2" t="s">
        <v>1005</v>
      </c>
    </row>
    <row r="1009">
      <c r="A1009" s="2" t="s">
        <v>1006</v>
      </c>
    </row>
    <row r="1010">
      <c r="A1010" s="2" t="s">
        <v>1007</v>
      </c>
    </row>
    <row r="1011">
      <c r="A1011" s="2" t="s">
        <v>1008</v>
      </c>
    </row>
    <row r="1012">
      <c r="A1012" s="2" t="s">
        <v>1009</v>
      </c>
    </row>
    <row r="1013">
      <c r="A1013" s="2" t="s">
        <v>1010</v>
      </c>
    </row>
    <row r="1014">
      <c r="A1014" s="2" t="s">
        <v>1011</v>
      </c>
    </row>
    <row r="1015">
      <c r="A1015" s="2" t="s">
        <v>1012</v>
      </c>
    </row>
    <row r="1016">
      <c r="A1016" s="2" t="s">
        <v>1013</v>
      </c>
    </row>
    <row r="1017">
      <c r="A1017" s="2" t="s">
        <v>1014</v>
      </c>
    </row>
    <row r="1018">
      <c r="A1018" s="2" t="s">
        <v>1015</v>
      </c>
    </row>
    <row r="1019">
      <c r="A1019" s="2" t="s">
        <v>1016</v>
      </c>
    </row>
    <row r="1020">
      <c r="A1020" s="2" t="s">
        <v>1017</v>
      </c>
    </row>
    <row r="1021">
      <c r="A1021" s="2" t="s">
        <v>1018</v>
      </c>
    </row>
    <row r="1022">
      <c r="A1022" s="2" t="s">
        <v>1019</v>
      </c>
    </row>
    <row r="1023">
      <c r="A1023" s="2" t="s">
        <v>1020</v>
      </c>
    </row>
    <row r="1024">
      <c r="A1024" s="2" t="s">
        <v>1021</v>
      </c>
    </row>
    <row r="1025">
      <c r="A1025" s="2" t="s">
        <v>1022</v>
      </c>
    </row>
    <row r="1026">
      <c r="A1026" s="2" t="s">
        <v>1023</v>
      </c>
    </row>
    <row r="1027">
      <c r="A1027" s="2" t="s">
        <v>1024</v>
      </c>
    </row>
    <row r="1028">
      <c r="A1028" s="2" t="s">
        <v>1025</v>
      </c>
    </row>
    <row r="1029">
      <c r="A1029" s="2" t="s">
        <v>1026</v>
      </c>
    </row>
    <row r="1030">
      <c r="A1030" s="2" t="s">
        <v>1027</v>
      </c>
    </row>
    <row r="1031">
      <c r="A1031" s="2" t="s">
        <v>1028</v>
      </c>
    </row>
    <row r="1032">
      <c r="A1032" s="2" t="s">
        <v>1029</v>
      </c>
    </row>
    <row r="1033">
      <c r="A1033" s="2" t="s">
        <v>1030</v>
      </c>
    </row>
    <row r="1034">
      <c r="A1034" s="2" t="s">
        <v>1031</v>
      </c>
    </row>
    <row r="1035">
      <c r="A1035" s="2" t="s">
        <v>1032</v>
      </c>
    </row>
    <row r="1036">
      <c r="A1036" s="2" t="s">
        <v>1033</v>
      </c>
    </row>
    <row r="1037">
      <c r="A1037" s="2" t="s">
        <v>1034</v>
      </c>
    </row>
    <row r="1038">
      <c r="A1038" s="2" t="s">
        <v>1035</v>
      </c>
    </row>
    <row r="1039">
      <c r="A1039" s="2" t="s">
        <v>1036</v>
      </c>
    </row>
    <row r="1040">
      <c r="A1040" s="2" t="s">
        <v>1037</v>
      </c>
    </row>
    <row r="1041">
      <c r="A1041" s="2" t="s">
        <v>1038</v>
      </c>
    </row>
    <row r="1042">
      <c r="A1042" s="2" t="s">
        <v>1039</v>
      </c>
    </row>
    <row r="1043">
      <c r="A1043" s="2" t="s">
        <v>1040</v>
      </c>
    </row>
    <row r="1044">
      <c r="A1044" s="2" t="s">
        <v>1041</v>
      </c>
    </row>
    <row r="1045">
      <c r="A1045" s="2" t="s">
        <v>1042</v>
      </c>
    </row>
    <row r="1046">
      <c r="A1046" s="2" t="s">
        <v>1043</v>
      </c>
    </row>
    <row r="1047">
      <c r="A1047" s="2" t="s">
        <v>1044</v>
      </c>
    </row>
    <row r="1048">
      <c r="A1048" s="2" t="s">
        <v>1045</v>
      </c>
    </row>
    <row r="1049">
      <c r="A1049" s="2" t="s">
        <v>1046</v>
      </c>
    </row>
    <row r="1050">
      <c r="A1050" s="2" t="s">
        <v>1047</v>
      </c>
    </row>
    <row r="1051">
      <c r="A1051" s="2" t="s">
        <v>1048</v>
      </c>
    </row>
    <row r="1052">
      <c r="A1052" s="2" t="s">
        <v>1049</v>
      </c>
    </row>
    <row r="1053">
      <c r="A1053" s="2" t="s">
        <v>1050</v>
      </c>
    </row>
    <row r="1054">
      <c r="A1054" s="2" t="s">
        <v>1051</v>
      </c>
    </row>
    <row r="1055">
      <c r="A1055" s="2" t="s">
        <v>1052</v>
      </c>
    </row>
    <row r="1056">
      <c r="A1056" s="2" t="s">
        <v>1053</v>
      </c>
    </row>
    <row r="1057">
      <c r="A1057" s="2" t="s">
        <v>1054</v>
      </c>
    </row>
    <row r="1058">
      <c r="A1058" s="2" t="s">
        <v>1055</v>
      </c>
    </row>
    <row r="1059">
      <c r="A1059" s="2" t="s">
        <v>1056</v>
      </c>
    </row>
    <row r="1060">
      <c r="A1060" s="2" t="s">
        <v>1057</v>
      </c>
    </row>
    <row r="1061">
      <c r="A1061" s="2" t="s">
        <v>1058</v>
      </c>
    </row>
    <row r="1062">
      <c r="A1062" s="2" t="s">
        <v>1059</v>
      </c>
    </row>
    <row r="1063">
      <c r="A1063" s="2" t="s">
        <v>1060</v>
      </c>
    </row>
    <row r="1064">
      <c r="A1064" s="2" t="s">
        <v>1061</v>
      </c>
    </row>
    <row r="1065">
      <c r="A1065" s="2" t="s">
        <v>1062</v>
      </c>
    </row>
    <row r="1066">
      <c r="A1066" s="2" t="s">
        <v>1063</v>
      </c>
    </row>
    <row r="1067">
      <c r="A1067" s="2" t="s">
        <v>1064</v>
      </c>
    </row>
    <row r="1068">
      <c r="A1068" s="2" t="s">
        <v>1065</v>
      </c>
    </row>
    <row r="1069">
      <c r="A1069" s="2" t="s">
        <v>1066</v>
      </c>
    </row>
    <row r="1070">
      <c r="A1070" s="2" t="s">
        <v>1067</v>
      </c>
    </row>
    <row r="1071">
      <c r="A1071" s="2" t="s">
        <v>1068</v>
      </c>
    </row>
    <row r="1072">
      <c r="A1072" s="2" t="s">
        <v>1069</v>
      </c>
    </row>
    <row r="1073">
      <c r="A1073" s="2" t="s">
        <v>1070</v>
      </c>
    </row>
    <row r="1074">
      <c r="A1074" s="2" t="s">
        <v>1071</v>
      </c>
    </row>
    <row r="1075">
      <c r="A1075" s="2" t="s">
        <v>1072</v>
      </c>
    </row>
    <row r="1076">
      <c r="A1076" s="2" t="s">
        <v>1073</v>
      </c>
    </row>
    <row r="1077">
      <c r="A1077" s="2" t="s">
        <v>1074</v>
      </c>
    </row>
    <row r="1078">
      <c r="A1078" s="2" t="s">
        <v>1075</v>
      </c>
    </row>
    <row r="1079">
      <c r="A1079" s="2" t="s">
        <v>1076</v>
      </c>
    </row>
    <row r="1080">
      <c r="A1080" s="2" t="s">
        <v>1077</v>
      </c>
    </row>
    <row r="1081">
      <c r="A1081" s="2" t="s">
        <v>1078</v>
      </c>
    </row>
    <row r="1082">
      <c r="A1082" s="2" t="s">
        <v>1079</v>
      </c>
    </row>
    <row r="1083">
      <c r="A1083" s="2" t="s">
        <v>1080</v>
      </c>
    </row>
    <row r="1084">
      <c r="A1084" s="2" t="s">
        <v>1081</v>
      </c>
    </row>
    <row r="1085">
      <c r="A1085" s="2" t="s">
        <v>304</v>
      </c>
    </row>
    <row r="1086">
      <c r="A1086" s="2" t="s">
        <v>1082</v>
      </c>
    </row>
    <row r="1087">
      <c r="A1087" s="2" t="s">
        <v>1083</v>
      </c>
    </row>
    <row r="1088">
      <c r="A1088" s="2" t="s">
        <v>1084</v>
      </c>
    </row>
    <row r="1089">
      <c r="A1089" s="2" t="s">
        <v>1085</v>
      </c>
    </row>
    <row r="1090">
      <c r="A1090" s="2" t="s">
        <v>1086</v>
      </c>
    </row>
    <row r="1091">
      <c r="A1091" s="2" t="s">
        <v>1087</v>
      </c>
    </row>
    <row r="1092">
      <c r="A1092" s="2" t="s">
        <v>1088</v>
      </c>
    </row>
    <row r="1093">
      <c r="A1093" s="2" t="s">
        <v>1089</v>
      </c>
    </row>
    <row r="1094">
      <c r="A1094" s="2" t="s">
        <v>1090</v>
      </c>
    </row>
    <row r="1095">
      <c r="A1095" s="2" t="s">
        <v>1091</v>
      </c>
    </row>
    <row r="1096">
      <c r="A1096" s="2" t="s">
        <v>1092</v>
      </c>
    </row>
    <row r="1097">
      <c r="A1097" s="2" t="s">
        <v>1093</v>
      </c>
    </row>
    <row r="1098">
      <c r="A1098" s="2" t="s">
        <v>1094</v>
      </c>
    </row>
    <row r="1099">
      <c r="A1099" s="2" t="s">
        <v>1095</v>
      </c>
    </row>
    <row r="1100">
      <c r="A1100" s="2" t="s">
        <v>1096</v>
      </c>
    </row>
    <row r="1101">
      <c r="A1101" s="2" t="s">
        <v>1097</v>
      </c>
    </row>
    <row r="1102">
      <c r="A1102" s="2" t="s">
        <v>1098</v>
      </c>
    </row>
    <row r="1103">
      <c r="A1103" s="2" t="s">
        <v>1099</v>
      </c>
    </row>
    <row r="1104">
      <c r="A1104" s="2" t="s">
        <v>1100</v>
      </c>
    </row>
    <row r="1105">
      <c r="A1105" s="2" t="s">
        <v>1101</v>
      </c>
    </row>
    <row r="1106">
      <c r="A1106" s="2" t="s">
        <v>1102</v>
      </c>
    </row>
    <row r="1107">
      <c r="A1107" s="2" t="s">
        <v>1103</v>
      </c>
    </row>
    <row r="1108">
      <c r="A1108" s="2" t="s">
        <v>1104</v>
      </c>
    </row>
    <row r="1109">
      <c r="A1109" s="2" t="s">
        <v>1105</v>
      </c>
    </row>
    <row r="1110">
      <c r="A1110" s="2" t="s">
        <v>1106</v>
      </c>
    </row>
    <row r="1111">
      <c r="A1111" s="2" t="s">
        <v>1107</v>
      </c>
    </row>
    <row r="1112">
      <c r="A1112" s="2" t="s">
        <v>1108</v>
      </c>
    </row>
    <row r="1113">
      <c r="A1113" s="2" t="s">
        <v>1109</v>
      </c>
    </row>
    <row r="1114">
      <c r="A1114" s="2" t="s">
        <v>1110</v>
      </c>
    </row>
    <row r="1115">
      <c r="A1115" s="2" t="s">
        <v>1111</v>
      </c>
    </row>
    <row r="1116">
      <c r="A1116" s="2" t="s">
        <v>1112</v>
      </c>
    </row>
    <row r="1117">
      <c r="A1117" s="2" t="s">
        <v>1113</v>
      </c>
    </row>
    <row r="1118">
      <c r="A1118" s="2" t="s">
        <v>1114</v>
      </c>
    </row>
    <row r="1119">
      <c r="A1119" s="2" t="s">
        <v>1115</v>
      </c>
    </row>
    <row r="1120">
      <c r="A1120" s="2" t="s">
        <v>1116</v>
      </c>
    </row>
    <row r="1121">
      <c r="A1121" s="2" t="s">
        <v>1117</v>
      </c>
    </row>
    <row r="1122">
      <c r="A1122" s="2" t="s">
        <v>1118</v>
      </c>
    </row>
    <row r="1123">
      <c r="A1123" s="2" t="s">
        <v>301</v>
      </c>
    </row>
    <row r="1124">
      <c r="A1124" s="2" t="s">
        <v>1119</v>
      </c>
    </row>
    <row r="1125">
      <c r="A1125" s="2" t="s">
        <v>1120</v>
      </c>
    </row>
    <row r="1126">
      <c r="A1126" s="2" t="s">
        <v>1121</v>
      </c>
    </row>
    <row r="1127">
      <c r="A1127" s="2" t="s">
        <v>1122</v>
      </c>
    </row>
    <row r="1128">
      <c r="A1128" s="2" t="s">
        <v>1123</v>
      </c>
    </row>
    <row r="1129">
      <c r="A1129" s="2" t="s">
        <v>1124</v>
      </c>
    </row>
    <row r="1130">
      <c r="A1130" s="2" t="s">
        <v>1125</v>
      </c>
    </row>
    <row r="1131">
      <c r="A1131" s="2" t="s">
        <v>1126</v>
      </c>
    </row>
    <row r="1132">
      <c r="A1132" s="2" t="s">
        <v>1127</v>
      </c>
    </row>
    <row r="1133">
      <c r="A1133" s="2" t="s">
        <v>1128</v>
      </c>
    </row>
    <row r="1134">
      <c r="A1134" s="2" t="s">
        <v>1129</v>
      </c>
    </row>
    <row r="1135">
      <c r="A1135" s="2" t="s">
        <v>1130</v>
      </c>
    </row>
    <row r="1136">
      <c r="A1136" s="2" t="s">
        <v>1131</v>
      </c>
    </row>
    <row r="1137">
      <c r="A1137" s="2" t="s">
        <v>1132</v>
      </c>
    </row>
    <row r="1138">
      <c r="A1138" s="2" t="s">
        <v>1133</v>
      </c>
    </row>
    <row r="1139">
      <c r="A1139" s="2" t="s">
        <v>1134</v>
      </c>
    </row>
    <row r="1140">
      <c r="A1140" s="2" t="s">
        <v>1135</v>
      </c>
    </row>
    <row r="1141">
      <c r="A1141" s="2" t="s">
        <v>1136</v>
      </c>
    </row>
    <row r="1142">
      <c r="A1142" s="2" t="s">
        <v>1137</v>
      </c>
    </row>
    <row r="1143">
      <c r="A1143" s="2" t="s">
        <v>1138</v>
      </c>
    </row>
    <row r="1144">
      <c r="A1144" s="2" t="s">
        <v>1139</v>
      </c>
    </row>
    <row r="1145">
      <c r="A1145" s="2" t="s">
        <v>1140</v>
      </c>
    </row>
    <row r="1146">
      <c r="A1146" s="2" t="s">
        <v>1141</v>
      </c>
    </row>
    <row r="1147">
      <c r="A1147" s="2" t="s">
        <v>1142</v>
      </c>
    </row>
    <row r="1148">
      <c r="A1148" s="2" t="s">
        <v>1143</v>
      </c>
    </row>
    <row r="1149">
      <c r="A1149" s="2" t="s">
        <v>1144</v>
      </c>
    </row>
    <row r="1150">
      <c r="A1150" s="2" t="s">
        <v>1145</v>
      </c>
    </row>
    <row r="1151">
      <c r="A1151" s="2" t="s">
        <v>1146</v>
      </c>
    </row>
    <row r="1152">
      <c r="A1152" s="2" t="s">
        <v>1147</v>
      </c>
    </row>
    <row r="1153">
      <c r="A1153" s="2" t="s">
        <v>1148</v>
      </c>
    </row>
    <row r="1154">
      <c r="A1154" s="2" t="s">
        <v>1149</v>
      </c>
    </row>
    <row r="1155">
      <c r="A1155" s="2" t="s">
        <v>1150</v>
      </c>
    </row>
    <row r="1156">
      <c r="A1156" s="2" t="s">
        <v>1151</v>
      </c>
    </row>
    <row r="1157">
      <c r="A1157" s="2" t="s">
        <v>1152</v>
      </c>
    </row>
    <row r="1158">
      <c r="A1158" s="2" t="s">
        <v>1153</v>
      </c>
    </row>
    <row r="1159">
      <c r="A1159" s="2" t="s">
        <v>1154</v>
      </c>
    </row>
    <row r="1160">
      <c r="A1160" s="2" t="s">
        <v>1155</v>
      </c>
    </row>
    <row r="1161">
      <c r="A1161" s="2" t="s">
        <v>1156</v>
      </c>
    </row>
    <row r="1162">
      <c r="A1162" s="2" t="s">
        <v>1157</v>
      </c>
    </row>
    <row r="1163">
      <c r="A1163" s="2" t="s">
        <v>1158</v>
      </c>
    </row>
    <row r="1164">
      <c r="A1164" s="2" t="s">
        <v>1159</v>
      </c>
    </row>
    <row r="1165">
      <c r="A1165" s="2" t="s">
        <v>1160</v>
      </c>
    </row>
    <row r="1166">
      <c r="A1166" s="2" t="s">
        <v>1161</v>
      </c>
    </row>
    <row r="1167">
      <c r="A1167" s="2" t="s">
        <v>1162</v>
      </c>
    </row>
    <row r="1168">
      <c r="A1168" s="2" t="s">
        <v>1163</v>
      </c>
    </row>
    <row r="1169">
      <c r="A1169" s="2" t="s">
        <v>1164</v>
      </c>
    </row>
    <row r="1170">
      <c r="A1170" s="2" t="s">
        <v>1165</v>
      </c>
    </row>
    <row r="1171">
      <c r="A1171" s="2" t="s">
        <v>1166</v>
      </c>
    </row>
    <row r="1172">
      <c r="A1172" s="2" t="s">
        <v>1167</v>
      </c>
    </row>
    <row r="1173">
      <c r="A1173" s="2" t="s">
        <v>1168</v>
      </c>
    </row>
    <row r="1174">
      <c r="A1174" s="2" t="s">
        <v>1169</v>
      </c>
    </row>
    <row r="1175">
      <c r="A1175" s="2" t="s">
        <v>1170</v>
      </c>
    </row>
    <row r="1176">
      <c r="A1176" s="2" t="s">
        <v>1171</v>
      </c>
    </row>
    <row r="1177">
      <c r="A1177" s="2" t="s">
        <v>1172</v>
      </c>
    </row>
    <row r="1178">
      <c r="A1178" s="2" t="s">
        <v>1173</v>
      </c>
    </row>
    <row r="1179">
      <c r="A1179" s="2" t="s">
        <v>1174</v>
      </c>
    </row>
    <row r="1180">
      <c r="A1180" s="2" t="s">
        <v>1175</v>
      </c>
    </row>
    <row r="1181">
      <c r="A1181" s="2" t="s">
        <v>1176</v>
      </c>
    </row>
    <row r="1182">
      <c r="A1182" s="2" t="s">
        <v>1177</v>
      </c>
    </row>
    <row r="1183">
      <c r="A1183" s="2" t="s">
        <v>1178</v>
      </c>
    </row>
    <row r="1184">
      <c r="A1184" s="2" t="s">
        <v>1179</v>
      </c>
    </row>
    <row r="1185">
      <c r="A1185" s="2" t="s">
        <v>1180</v>
      </c>
    </row>
    <row r="1186">
      <c r="A1186" s="2" t="s">
        <v>1181</v>
      </c>
    </row>
    <row r="1187">
      <c r="A1187" s="2" t="s">
        <v>1182</v>
      </c>
    </row>
    <row r="1188">
      <c r="A1188" s="2" t="s">
        <v>1183</v>
      </c>
    </row>
    <row r="1189">
      <c r="A1189" s="2" t="s">
        <v>1184</v>
      </c>
    </row>
    <row r="1190">
      <c r="A1190" s="2" t="s">
        <v>1185</v>
      </c>
    </row>
    <row r="1191">
      <c r="A1191" s="2" t="s">
        <v>1186</v>
      </c>
    </row>
    <row r="1192">
      <c r="A1192" s="2" t="s">
        <v>1187</v>
      </c>
    </row>
    <row r="1193">
      <c r="A1193" s="2" t="s">
        <v>1188</v>
      </c>
    </row>
    <row r="1194">
      <c r="A1194" s="2" t="s">
        <v>1189</v>
      </c>
    </row>
    <row r="1195">
      <c r="A1195" s="2" t="s">
        <v>1190</v>
      </c>
    </row>
    <row r="1196">
      <c r="A1196" s="2" t="s">
        <v>1191</v>
      </c>
    </row>
    <row r="1197">
      <c r="A1197" s="2" t="s">
        <v>1192</v>
      </c>
    </row>
    <row r="1198">
      <c r="A1198" s="2" t="s">
        <v>1193</v>
      </c>
    </row>
    <row r="1199">
      <c r="A1199" s="2" t="s">
        <v>1194</v>
      </c>
    </row>
    <row r="1200">
      <c r="A1200" s="2" t="s">
        <v>1195</v>
      </c>
    </row>
    <row r="1201">
      <c r="A1201" s="2" t="s">
        <v>1196</v>
      </c>
    </row>
    <row r="1202">
      <c r="A1202" s="2" t="s">
        <v>1197</v>
      </c>
    </row>
    <row r="1203">
      <c r="A1203" s="2" t="s">
        <v>1198</v>
      </c>
    </row>
    <row r="1204">
      <c r="A1204" s="2" t="s">
        <v>1199</v>
      </c>
    </row>
    <row r="1205">
      <c r="A1205" s="2" t="s">
        <v>1200</v>
      </c>
    </row>
    <row r="1206">
      <c r="A1206" s="2" t="s">
        <v>1201</v>
      </c>
    </row>
    <row r="1207">
      <c r="A1207" s="2" t="s">
        <v>1202</v>
      </c>
    </row>
    <row r="1208">
      <c r="A1208" s="2" t="s">
        <v>1203</v>
      </c>
    </row>
    <row r="1209">
      <c r="A1209" s="2" t="s">
        <v>1204</v>
      </c>
    </row>
    <row r="1210">
      <c r="A1210" s="2" t="s">
        <v>1205</v>
      </c>
    </row>
    <row r="1211">
      <c r="A1211" s="2" t="s">
        <v>1206</v>
      </c>
    </row>
    <row r="1212">
      <c r="A1212" s="2" t="s">
        <v>1207</v>
      </c>
    </row>
    <row r="1213">
      <c r="A1213" s="2" t="s">
        <v>1208</v>
      </c>
    </row>
    <row r="1214">
      <c r="A1214" s="2" t="s">
        <v>1209</v>
      </c>
    </row>
    <row r="1215">
      <c r="A1215" s="2" t="s">
        <v>1210</v>
      </c>
    </row>
    <row r="1216">
      <c r="A1216" s="2" t="s">
        <v>1211</v>
      </c>
    </row>
    <row r="1217">
      <c r="A1217" s="2" t="s">
        <v>1212</v>
      </c>
    </row>
    <row r="1218">
      <c r="A1218" s="2" t="s">
        <v>1213</v>
      </c>
    </row>
    <row r="1219">
      <c r="A1219" s="2" t="s">
        <v>1214</v>
      </c>
    </row>
    <row r="1220">
      <c r="A1220" s="2" t="s">
        <v>1215</v>
      </c>
    </row>
    <row r="1221">
      <c r="A1221" s="2" t="s">
        <v>1216</v>
      </c>
    </row>
    <row r="1222">
      <c r="A1222" s="2" t="s">
        <v>1217</v>
      </c>
    </row>
    <row r="1223">
      <c r="A1223" s="2" t="s">
        <v>1218</v>
      </c>
    </row>
    <row r="1224">
      <c r="A1224" s="2" t="s">
        <v>1219</v>
      </c>
    </row>
    <row r="1225">
      <c r="A1225" s="2" t="s">
        <v>1220</v>
      </c>
    </row>
    <row r="1226">
      <c r="A1226" s="2" t="s">
        <v>1221</v>
      </c>
    </row>
    <row r="1227">
      <c r="A1227" s="2" t="s">
        <v>1222</v>
      </c>
    </row>
    <row r="1228">
      <c r="A1228" s="2" t="s">
        <v>1223</v>
      </c>
    </row>
    <row r="1229">
      <c r="A1229" s="2" t="s">
        <v>1224</v>
      </c>
    </row>
    <row r="1230">
      <c r="A1230" s="2" t="s">
        <v>1225</v>
      </c>
    </row>
    <row r="1231">
      <c r="A1231" s="2" t="s">
        <v>1226</v>
      </c>
    </row>
    <row r="1232">
      <c r="A1232" s="2" t="s">
        <v>1227</v>
      </c>
    </row>
    <row r="1233">
      <c r="A1233" s="2" t="s">
        <v>1228</v>
      </c>
    </row>
    <row r="1234">
      <c r="A1234" s="2" t="s">
        <v>1229</v>
      </c>
    </row>
    <row r="1235">
      <c r="A1235" s="2" t="s">
        <v>1230</v>
      </c>
    </row>
    <row r="1236">
      <c r="A1236" s="2" t="s">
        <v>1231</v>
      </c>
    </row>
    <row r="1237">
      <c r="A1237" s="2" t="s">
        <v>1232</v>
      </c>
    </row>
    <row r="1238">
      <c r="A1238" s="2" t="s">
        <v>1233</v>
      </c>
    </row>
    <row r="1239">
      <c r="A1239" s="2" t="s">
        <v>1234</v>
      </c>
    </row>
    <row r="1240">
      <c r="A1240" s="2" t="s">
        <v>1235</v>
      </c>
    </row>
    <row r="1241">
      <c r="A1241" s="2" t="s">
        <v>1236</v>
      </c>
    </row>
    <row r="1242">
      <c r="A1242" s="2" t="s">
        <v>1237</v>
      </c>
    </row>
    <row r="1243">
      <c r="A1243" s="2" t="s">
        <v>1238</v>
      </c>
    </row>
    <row r="1244">
      <c r="A1244" s="2" t="s">
        <v>1239</v>
      </c>
    </row>
    <row r="1245">
      <c r="A1245" s="2" t="s">
        <v>1240</v>
      </c>
    </row>
    <row r="1246">
      <c r="A1246" s="2" t="s">
        <v>1241</v>
      </c>
    </row>
    <row r="1247">
      <c r="A1247" s="2" t="s">
        <v>1242</v>
      </c>
    </row>
    <row r="1248">
      <c r="A1248" s="2" t="s">
        <v>1243</v>
      </c>
    </row>
    <row r="1249">
      <c r="A1249" s="2" t="s">
        <v>1244</v>
      </c>
    </row>
    <row r="1250">
      <c r="A1250" s="2" t="s">
        <v>1245</v>
      </c>
    </row>
    <row r="1251">
      <c r="A1251" s="2" t="s">
        <v>1246</v>
      </c>
    </row>
    <row r="1252">
      <c r="A1252" s="2" t="s">
        <v>1247</v>
      </c>
    </row>
    <row r="1253">
      <c r="A1253" s="2" t="s">
        <v>1248</v>
      </c>
    </row>
    <row r="1254">
      <c r="A1254" s="2" t="s">
        <v>1249</v>
      </c>
    </row>
    <row r="1255">
      <c r="A1255" s="2" t="s">
        <v>1250</v>
      </c>
    </row>
    <row r="1256">
      <c r="A1256" s="2" t="s">
        <v>1251</v>
      </c>
    </row>
    <row r="1257">
      <c r="A1257" s="2" t="s">
        <v>1252</v>
      </c>
    </row>
    <row r="1258">
      <c r="A1258" s="2" t="s">
        <v>1253</v>
      </c>
    </row>
    <row r="1259">
      <c r="A1259" s="2" t="s">
        <v>1254</v>
      </c>
    </row>
    <row r="1260">
      <c r="A1260" s="2" t="s">
        <v>1255</v>
      </c>
    </row>
    <row r="1261">
      <c r="A1261" s="2" t="s">
        <v>1256</v>
      </c>
    </row>
    <row r="1262">
      <c r="A1262" s="2" t="s">
        <v>1257</v>
      </c>
    </row>
    <row r="1263">
      <c r="A1263" s="2" t="s">
        <v>1258</v>
      </c>
    </row>
    <row r="1264">
      <c r="A1264" s="2" t="s">
        <v>1259</v>
      </c>
    </row>
    <row r="1265">
      <c r="A1265" s="2" t="s">
        <v>1260</v>
      </c>
    </row>
    <row r="1266">
      <c r="A1266" s="2" t="s">
        <v>1261</v>
      </c>
    </row>
    <row r="1267">
      <c r="A1267" s="2" t="s">
        <v>1262</v>
      </c>
    </row>
    <row r="1268">
      <c r="A1268" s="2" t="s">
        <v>1263</v>
      </c>
    </row>
    <row r="1269">
      <c r="A1269" s="2" t="s">
        <v>1264</v>
      </c>
    </row>
    <row r="1270">
      <c r="A1270" s="2" t="s">
        <v>1265</v>
      </c>
    </row>
    <row r="1271">
      <c r="A1271" s="2" t="s">
        <v>1266</v>
      </c>
    </row>
    <row r="1272">
      <c r="A1272" s="2" t="s">
        <v>1267</v>
      </c>
    </row>
    <row r="1273">
      <c r="A1273" s="2" t="s">
        <v>1268</v>
      </c>
    </row>
    <row r="1274">
      <c r="A1274" s="2" t="s">
        <v>1269</v>
      </c>
    </row>
    <row r="1275">
      <c r="A1275" s="2" t="s">
        <v>1270</v>
      </c>
    </row>
    <row r="1276">
      <c r="A1276" s="2" t="s">
        <v>1271</v>
      </c>
    </row>
    <row r="1277">
      <c r="A1277" s="2" t="s">
        <v>1272</v>
      </c>
    </row>
    <row r="1278">
      <c r="A1278" s="2" t="s">
        <v>1273</v>
      </c>
    </row>
    <row r="1279">
      <c r="A1279" s="2" t="s">
        <v>1274</v>
      </c>
    </row>
    <row r="1280">
      <c r="A1280" s="2" t="s">
        <v>1275</v>
      </c>
    </row>
    <row r="1281">
      <c r="A1281" s="2" t="s">
        <v>1276</v>
      </c>
    </row>
    <row r="1282">
      <c r="A1282" s="2" t="s">
        <v>1277</v>
      </c>
    </row>
    <row r="1283">
      <c r="A1283" s="2" t="s">
        <v>1278</v>
      </c>
    </row>
    <row r="1284">
      <c r="A1284" s="2" t="s">
        <v>1279</v>
      </c>
    </row>
    <row r="1285">
      <c r="A1285" s="2" t="s">
        <v>1280</v>
      </c>
    </row>
    <row r="1286">
      <c r="A1286" s="2" t="s">
        <v>1281</v>
      </c>
    </row>
    <row r="1287">
      <c r="A1287" s="2" t="s">
        <v>1282</v>
      </c>
    </row>
    <row r="1288">
      <c r="A1288" s="2" t="s">
        <v>1283</v>
      </c>
    </row>
    <row r="1289">
      <c r="A1289" s="2" t="s">
        <v>1284</v>
      </c>
    </row>
    <row r="1290">
      <c r="A1290" s="2" t="s">
        <v>1285</v>
      </c>
    </row>
    <row r="1291">
      <c r="A1291" s="2" t="s">
        <v>1286</v>
      </c>
    </row>
    <row r="1292">
      <c r="A1292" s="2" t="s">
        <v>1287</v>
      </c>
    </row>
    <row r="1293">
      <c r="A1293" s="2" t="s">
        <v>1288</v>
      </c>
    </row>
    <row r="1294">
      <c r="A1294" s="2" t="s">
        <v>1289</v>
      </c>
    </row>
    <row r="1295">
      <c r="A1295" s="2" t="s">
        <v>1290</v>
      </c>
    </row>
    <row r="1296">
      <c r="A1296" s="2" t="s">
        <v>1291</v>
      </c>
    </row>
    <row r="1297">
      <c r="A1297" s="2" t="s">
        <v>1292</v>
      </c>
    </row>
    <row r="1298">
      <c r="A1298" s="2" t="s">
        <v>1293</v>
      </c>
    </row>
    <row r="1299">
      <c r="A1299" s="2" t="s">
        <v>1294</v>
      </c>
    </row>
    <row r="1300">
      <c r="A1300" s="2" t="s">
        <v>1295</v>
      </c>
    </row>
    <row r="1301">
      <c r="A1301" s="2" t="s">
        <v>1296</v>
      </c>
    </row>
    <row r="1302">
      <c r="A1302" s="2" t="s">
        <v>1297</v>
      </c>
    </row>
    <row r="1303">
      <c r="A1303" s="2" t="s">
        <v>1298</v>
      </c>
    </row>
    <row r="1304">
      <c r="A1304" s="2" t="s">
        <v>1299</v>
      </c>
    </row>
    <row r="1305">
      <c r="A1305" s="2" t="s">
        <v>1300</v>
      </c>
    </row>
    <row r="1306">
      <c r="A1306" s="2" t="s">
        <v>1301</v>
      </c>
    </row>
    <row r="1307">
      <c r="A1307" s="2" t="s">
        <v>1302</v>
      </c>
    </row>
    <row r="1308">
      <c r="A1308" s="2" t="s">
        <v>1303</v>
      </c>
    </row>
    <row r="1309">
      <c r="A1309" s="2" t="s">
        <v>1304</v>
      </c>
    </row>
    <row r="1310">
      <c r="A1310" s="2" t="s">
        <v>1305</v>
      </c>
    </row>
    <row r="1311">
      <c r="A1311" s="2" t="s">
        <v>1306</v>
      </c>
    </row>
    <row r="1312">
      <c r="A1312" s="2" t="s">
        <v>1307</v>
      </c>
    </row>
    <row r="1313">
      <c r="A1313" s="2" t="s">
        <v>1308</v>
      </c>
    </row>
    <row r="1314">
      <c r="A1314" s="2" t="s">
        <v>1309</v>
      </c>
    </row>
    <row r="1315">
      <c r="A1315" s="2" t="s">
        <v>1310</v>
      </c>
    </row>
    <row r="1316">
      <c r="A1316" s="2" t="s">
        <v>1311</v>
      </c>
    </row>
    <row r="1317">
      <c r="A1317" s="2" t="s">
        <v>1312</v>
      </c>
    </row>
    <row r="1318">
      <c r="A1318" s="2" t="s">
        <v>1313</v>
      </c>
    </row>
    <row r="1319">
      <c r="A1319" s="2" t="s">
        <v>1314</v>
      </c>
    </row>
    <row r="1320">
      <c r="A1320" s="2" t="s">
        <v>1315</v>
      </c>
    </row>
    <row r="1321">
      <c r="A1321" s="2" t="s">
        <v>1316</v>
      </c>
    </row>
    <row r="1322">
      <c r="A1322" s="2" t="s">
        <v>1317</v>
      </c>
    </row>
    <row r="1323">
      <c r="A1323" s="2" t="s">
        <v>1318</v>
      </c>
    </row>
    <row r="1324">
      <c r="A1324" s="2" t="s">
        <v>1319</v>
      </c>
    </row>
    <row r="1325">
      <c r="A1325" s="2" t="s">
        <v>1320</v>
      </c>
    </row>
    <row r="1326">
      <c r="A1326" s="2" t="s">
        <v>1321</v>
      </c>
    </row>
    <row r="1327">
      <c r="A1327" s="2" t="s">
        <v>1322</v>
      </c>
    </row>
    <row r="1328">
      <c r="A1328" s="2" t="s">
        <v>1323</v>
      </c>
    </row>
    <row r="1329">
      <c r="A1329" s="2" t="s">
        <v>1324</v>
      </c>
    </row>
    <row r="1330">
      <c r="A1330" s="2" t="s">
        <v>1325</v>
      </c>
    </row>
    <row r="1331">
      <c r="A1331" s="2" t="s">
        <v>1326</v>
      </c>
    </row>
    <row r="1332">
      <c r="A1332" s="2" t="s">
        <v>1327</v>
      </c>
    </row>
    <row r="1333">
      <c r="A1333" s="2" t="s">
        <v>1328</v>
      </c>
    </row>
    <row r="1334">
      <c r="A1334" s="2" t="s">
        <v>1329</v>
      </c>
    </row>
    <row r="1335">
      <c r="A1335" s="2" t="s">
        <v>1330</v>
      </c>
    </row>
    <row r="1336">
      <c r="A1336" s="2" t="s">
        <v>1331</v>
      </c>
    </row>
    <row r="1337">
      <c r="A1337" s="2" t="s">
        <v>1332</v>
      </c>
    </row>
    <row r="1338">
      <c r="A1338" s="2" t="s">
        <v>1333</v>
      </c>
    </row>
    <row r="1339">
      <c r="A1339" s="2" t="s">
        <v>1334</v>
      </c>
    </row>
    <row r="1340">
      <c r="A1340" s="2" t="s">
        <v>1335</v>
      </c>
    </row>
    <row r="1341">
      <c r="A1341" s="2" t="s">
        <v>1336</v>
      </c>
    </row>
    <row r="1342">
      <c r="A1342" s="2" t="s">
        <v>1337</v>
      </c>
    </row>
    <row r="1343">
      <c r="A1343" s="2" t="s">
        <v>1338</v>
      </c>
    </row>
    <row r="1344">
      <c r="A1344" s="2" t="s">
        <v>1339</v>
      </c>
    </row>
    <row r="1345">
      <c r="A1345" s="2" t="s">
        <v>1340</v>
      </c>
    </row>
    <row r="1346">
      <c r="A1346" s="2" t="s">
        <v>1341</v>
      </c>
    </row>
    <row r="1347">
      <c r="A1347" s="2" t="s">
        <v>1342</v>
      </c>
    </row>
    <row r="1348">
      <c r="A1348" s="2" t="s">
        <v>1343</v>
      </c>
    </row>
    <row r="1349">
      <c r="A1349" s="2" t="s">
        <v>1344</v>
      </c>
    </row>
    <row r="1350">
      <c r="A1350" s="2" t="s">
        <v>1345</v>
      </c>
    </row>
    <row r="1351">
      <c r="A1351" s="2" t="s">
        <v>1346</v>
      </c>
    </row>
    <row r="1352">
      <c r="A1352" s="2" t="s">
        <v>1347</v>
      </c>
    </row>
    <row r="1353">
      <c r="A1353" s="2" t="s">
        <v>1348</v>
      </c>
    </row>
    <row r="1354">
      <c r="A1354" s="2" t="s">
        <v>1349</v>
      </c>
    </row>
    <row r="1355">
      <c r="A1355" s="2" t="s">
        <v>1350</v>
      </c>
    </row>
    <row r="1356">
      <c r="A1356" s="2" t="s">
        <v>1351</v>
      </c>
    </row>
    <row r="1357">
      <c r="A1357" s="2" t="s">
        <v>1352</v>
      </c>
    </row>
    <row r="1358">
      <c r="A1358" s="2" t="s">
        <v>1353</v>
      </c>
    </row>
    <row r="1359">
      <c r="A1359" s="2" t="s">
        <v>1354</v>
      </c>
    </row>
    <row r="1360">
      <c r="A1360" s="2" t="s">
        <v>627</v>
      </c>
    </row>
    <row r="1361">
      <c r="A1361" s="2" t="s">
        <v>1355</v>
      </c>
    </row>
    <row r="1362">
      <c r="A1362" s="2" t="s">
        <v>1356</v>
      </c>
    </row>
    <row r="1363">
      <c r="A1363" s="2" t="s">
        <v>1357</v>
      </c>
    </row>
    <row r="1364">
      <c r="A1364" s="2" t="s">
        <v>1358</v>
      </c>
    </row>
    <row r="1365">
      <c r="A1365" s="2" t="s">
        <v>1359</v>
      </c>
    </row>
    <row r="1366">
      <c r="A1366" s="2" t="s">
        <v>1360</v>
      </c>
    </row>
    <row r="1367">
      <c r="A1367" s="2" t="s">
        <v>1361</v>
      </c>
    </row>
    <row r="1368">
      <c r="A1368" s="2" t="s">
        <v>1362</v>
      </c>
    </row>
    <row r="1369">
      <c r="A1369" s="2" t="s">
        <v>1363</v>
      </c>
    </row>
    <row r="1370">
      <c r="A1370" s="2" t="s">
        <v>1364</v>
      </c>
    </row>
    <row r="1371">
      <c r="A1371" s="2" t="s">
        <v>1365</v>
      </c>
    </row>
    <row r="1372">
      <c r="A1372" s="2" t="s">
        <v>1366</v>
      </c>
    </row>
    <row r="1373">
      <c r="A1373" s="2" t="s">
        <v>1367</v>
      </c>
    </row>
    <row r="1374">
      <c r="A1374" s="2" t="s">
        <v>1368</v>
      </c>
    </row>
    <row r="1375">
      <c r="A1375" s="2" t="s">
        <v>1369</v>
      </c>
    </row>
    <row r="1376">
      <c r="A1376" s="2" t="s">
        <v>1370</v>
      </c>
    </row>
    <row r="1377">
      <c r="A1377" s="2" t="s">
        <v>1371</v>
      </c>
    </row>
    <row r="1378">
      <c r="A1378" s="2" t="s">
        <v>1372</v>
      </c>
    </row>
    <row r="1379">
      <c r="A1379" s="2" t="s">
        <v>1373</v>
      </c>
    </row>
    <row r="1380">
      <c r="A1380" s="2" t="s">
        <v>1374</v>
      </c>
    </row>
    <row r="1381">
      <c r="A1381" s="2" t="s">
        <v>1375</v>
      </c>
    </row>
    <row r="1382">
      <c r="A1382" s="2" t="s">
        <v>1376</v>
      </c>
    </row>
    <row r="1383">
      <c r="A1383" s="2" t="s">
        <v>1377</v>
      </c>
    </row>
    <row r="1384">
      <c r="A1384" s="2" t="s">
        <v>1378</v>
      </c>
    </row>
    <row r="1385">
      <c r="A1385" s="2" t="s">
        <v>1379</v>
      </c>
    </row>
    <row r="1386">
      <c r="A1386" s="2" t="s">
        <v>1380</v>
      </c>
    </row>
    <row r="1387">
      <c r="A1387" s="2" t="s">
        <v>1381</v>
      </c>
    </row>
    <row r="1388">
      <c r="A1388" s="2" t="s">
        <v>1382</v>
      </c>
    </row>
    <row r="1389">
      <c r="A1389" s="2" t="s">
        <v>1383</v>
      </c>
    </row>
    <row r="1390">
      <c r="A1390" s="2" t="s">
        <v>1384</v>
      </c>
    </row>
    <row r="1391">
      <c r="A1391" s="2" t="s">
        <v>1385</v>
      </c>
    </row>
    <row r="1392">
      <c r="A1392" s="2" t="s">
        <v>1386</v>
      </c>
    </row>
    <row r="1393">
      <c r="A1393" s="2" t="s">
        <v>1387</v>
      </c>
    </row>
    <row r="1394">
      <c r="A1394" s="2" t="s">
        <v>1388</v>
      </c>
    </row>
    <row r="1395">
      <c r="A1395" s="2" t="s">
        <v>1389</v>
      </c>
    </row>
    <row r="1396">
      <c r="A1396" s="2" t="s">
        <v>1390</v>
      </c>
    </row>
    <row r="1397">
      <c r="A1397" s="2" t="s">
        <v>1391</v>
      </c>
    </row>
    <row r="1398">
      <c r="A1398" s="2" t="s">
        <v>1392</v>
      </c>
    </row>
    <row r="1399">
      <c r="A1399" s="2" t="s">
        <v>1393</v>
      </c>
    </row>
    <row r="1400">
      <c r="A1400" s="2" t="s">
        <v>1394</v>
      </c>
    </row>
    <row r="1401">
      <c r="A1401" s="2" t="s">
        <v>1395</v>
      </c>
    </row>
    <row r="1402">
      <c r="A1402" s="2" t="s">
        <v>1396</v>
      </c>
    </row>
    <row r="1403">
      <c r="A1403" s="2" t="s">
        <v>1397</v>
      </c>
    </row>
    <row r="1404">
      <c r="A1404" s="2" t="s">
        <v>1398</v>
      </c>
    </row>
    <row r="1405">
      <c r="A1405" s="2" t="s">
        <v>1399</v>
      </c>
    </row>
    <row r="1406">
      <c r="A1406" s="2" t="s">
        <v>1400</v>
      </c>
    </row>
    <row r="1407">
      <c r="A1407" s="2" t="s">
        <v>1401</v>
      </c>
    </row>
    <row r="1408">
      <c r="A1408" s="2" t="s">
        <v>1402</v>
      </c>
    </row>
    <row r="1409">
      <c r="A1409" s="2" t="s">
        <v>1403</v>
      </c>
    </row>
    <row r="1410">
      <c r="A1410" s="2" t="s">
        <v>1404</v>
      </c>
    </row>
    <row r="1411">
      <c r="A1411" s="2" t="s">
        <v>1405</v>
      </c>
    </row>
    <row r="1412">
      <c r="A1412" s="2" t="s">
        <v>1406</v>
      </c>
    </row>
    <row r="1413">
      <c r="A1413" s="2" t="s">
        <v>1407</v>
      </c>
    </row>
    <row r="1414">
      <c r="A1414" s="2" t="s">
        <v>1408</v>
      </c>
    </row>
    <row r="1415">
      <c r="A1415" s="2" t="s">
        <v>1409</v>
      </c>
    </row>
    <row r="1416">
      <c r="A1416" s="2" t="s">
        <v>1410</v>
      </c>
    </row>
    <row r="1417">
      <c r="A1417" s="2" t="s">
        <v>1411</v>
      </c>
    </row>
    <row r="1418">
      <c r="A1418" s="2" t="s">
        <v>1412</v>
      </c>
    </row>
    <row r="1419">
      <c r="A1419" s="2" t="s">
        <v>1413</v>
      </c>
    </row>
    <row r="1420">
      <c r="A1420" s="2" t="s">
        <v>1414</v>
      </c>
    </row>
    <row r="1421">
      <c r="A1421" s="2" t="s">
        <v>1415</v>
      </c>
    </row>
    <row r="1422">
      <c r="A1422" s="2" t="s">
        <v>1416</v>
      </c>
    </row>
    <row r="1423">
      <c r="A1423" s="2" t="s">
        <v>1417</v>
      </c>
    </row>
    <row r="1424">
      <c r="A1424" s="2" t="s">
        <v>1418</v>
      </c>
    </row>
    <row r="1425">
      <c r="A1425" s="2" t="s">
        <v>1419</v>
      </c>
    </row>
    <row r="1426">
      <c r="A1426" s="2" t="s">
        <v>1420</v>
      </c>
    </row>
    <row r="1427">
      <c r="A1427" s="2" t="s">
        <v>1421</v>
      </c>
    </row>
    <row r="1428">
      <c r="A1428" s="2" t="s">
        <v>1422</v>
      </c>
    </row>
    <row r="1429">
      <c r="A1429" s="2" t="s">
        <v>1423</v>
      </c>
    </row>
    <row r="1430">
      <c r="A1430" s="2" t="s">
        <v>1424</v>
      </c>
    </row>
    <row r="1431">
      <c r="A1431" s="2" t="s">
        <v>1425</v>
      </c>
    </row>
    <row r="1432">
      <c r="A1432" s="2" t="s">
        <v>1426</v>
      </c>
    </row>
    <row r="1433">
      <c r="A1433" s="2" t="s">
        <v>1427</v>
      </c>
    </row>
    <row r="1434">
      <c r="A1434" s="2" t="s">
        <v>1428</v>
      </c>
    </row>
    <row r="1435">
      <c r="A1435" s="2" t="s">
        <v>1429</v>
      </c>
    </row>
    <row r="1436">
      <c r="A1436" s="2" t="s">
        <v>1430</v>
      </c>
    </row>
    <row r="1437">
      <c r="A1437" s="2" t="s">
        <v>1431</v>
      </c>
    </row>
    <row r="1438">
      <c r="A1438" s="2" t="s">
        <v>1432</v>
      </c>
    </row>
    <row r="1439">
      <c r="A1439" s="2" t="s">
        <v>1433</v>
      </c>
    </row>
    <row r="1440">
      <c r="A1440" s="2" t="s">
        <v>1434</v>
      </c>
    </row>
    <row r="1441">
      <c r="A1441" s="2" t="s">
        <v>1435</v>
      </c>
    </row>
    <row r="1442">
      <c r="A1442" s="2" t="s">
        <v>1436</v>
      </c>
    </row>
    <row r="1443">
      <c r="A1443" s="2" t="s">
        <v>1437</v>
      </c>
    </row>
    <row r="1444">
      <c r="A1444" s="2" t="s">
        <v>1438</v>
      </c>
    </row>
    <row r="1445">
      <c r="A1445" s="2" t="s">
        <v>1439</v>
      </c>
    </row>
    <row r="1446">
      <c r="A1446" s="2" t="s">
        <v>1440</v>
      </c>
    </row>
    <row r="1447">
      <c r="A1447" s="2" t="s">
        <v>1441</v>
      </c>
    </row>
    <row r="1448">
      <c r="A1448" s="2" t="s">
        <v>1442</v>
      </c>
    </row>
    <row r="1449">
      <c r="A1449" s="2" t="s">
        <v>1443</v>
      </c>
    </row>
    <row r="1450">
      <c r="A1450" s="2" t="s">
        <v>1444</v>
      </c>
    </row>
    <row r="1451">
      <c r="A1451" s="2" t="s">
        <v>714</v>
      </c>
    </row>
    <row r="1452">
      <c r="A1452" s="2" t="s">
        <v>1445</v>
      </c>
    </row>
    <row r="1453">
      <c r="A1453" s="2" t="s">
        <v>1446</v>
      </c>
    </row>
    <row r="1454">
      <c r="A1454" s="2" t="s">
        <v>1447</v>
      </c>
    </row>
    <row r="1455">
      <c r="A1455" s="2" t="s">
        <v>1448</v>
      </c>
    </row>
    <row r="1456">
      <c r="A1456" s="2" t="s">
        <v>1449</v>
      </c>
    </row>
    <row r="1457">
      <c r="A1457" s="2" t="s">
        <v>1450</v>
      </c>
    </row>
    <row r="1458">
      <c r="A1458" s="2" t="s">
        <v>1451</v>
      </c>
    </row>
    <row r="1459">
      <c r="A1459" s="2" t="s">
        <v>1452</v>
      </c>
    </row>
    <row r="1460">
      <c r="A1460" s="2" t="s">
        <v>1453</v>
      </c>
    </row>
    <row r="1461">
      <c r="A1461" s="2" t="s">
        <v>1454</v>
      </c>
    </row>
    <row r="1462">
      <c r="A1462" s="2" t="s">
        <v>1455</v>
      </c>
    </row>
    <row r="1463">
      <c r="A1463" s="2" t="s">
        <v>1456</v>
      </c>
    </row>
    <row r="1464">
      <c r="A1464" s="2" t="s">
        <v>1457</v>
      </c>
    </row>
    <row r="1465">
      <c r="A1465" s="2" t="s">
        <v>1458</v>
      </c>
    </row>
    <row r="1466">
      <c r="A1466" s="2" t="s">
        <v>1459</v>
      </c>
    </row>
    <row r="1467">
      <c r="A1467" s="2" t="s">
        <v>1460</v>
      </c>
    </row>
    <row r="1468">
      <c r="A1468" s="2" t="s">
        <v>1461</v>
      </c>
    </row>
    <row r="1469">
      <c r="A1469" s="2" t="s">
        <v>1462</v>
      </c>
    </row>
    <row r="1470">
      <c r="A1470" s="2" t="s">
        <v>1463</v>
      </c>
    </row>
    <row r="1471">
      <c r="A1471" s="2" t="s">
        <v>1464</v>
      </c>
    </row>
    <row r="1472">
      <c r="A1472" s="2" t="s">
        <v>1465</v>
      </c>
    </row>
    <row r="1473">
      <c r="A1473" s="2" t="s">
        <v>1466</v>
      </c>
    </row>
    <row r="1474">
      <c r="A1474" s="2" t="s">
        <v>1467</v>
      </c>
    </row>
    <row r="1475">
      <c r="A1475" s="2" t="s">
        <v>1468</v>
      </c>
    </row>
    <row r="1476">
      <c r="A1476" s="2" t="s">
        <v>1469</v>
      </c>
    </row>
    <row r="1477">
      <c r="A1477" s="2" t="s">
        <v>1470</v>
      </c>
    </row>
    <row r="1478">
      <c r="A1478" s="2" t="s">
        <v>1471</v>
      </c>
    </row>
    <row r="1479">
      <c r="A1479" s="2" t="s">
        <v>1472</v>
      </c>
    </row>
    <row r="1480">
      <c r="A1480" s="2" t="s">
        <v>1473</v>
      </c>
    </row>
    <row r="1481">
      <c r="A1481" s="2" t="s">
        <v>1474</v>
      </c>
    </row>
    <row r="1482">
      <c r="A1482" s="2" t="s">
        <v>1475</v>
      </c>
    </row>
    <row r="1483">
      <c r="A1483" s="2" t="s">
        <v>1476</v>
      </c>
    </row>
    <row r="1484">
      <c r="A1484" s="2" t="s">
        <v>1477</v>
      </c>
    </row>
    <row r="1485">
      <c r="A1485" s="2" t="s">
        <v>1478</v>
      </c>
    </row>
    <row r="1486">
      <c r="A1486" s="2" t="s">
        <v>1479</v>
      </c>
    </row>
    <row r="1487">
      <c r="A1487" s="2" t="s">
        <v>1480</v>
      </c>
    </row>
    <row r="1488">
      <c r="A1488" s="2" t="s">
        <v>1481</v>
      </c>
    </row>
    <row r="1489">
      <c r="A1489" s="2" t="s">
        <v>1482</v>
      </c>
    </row>
    <row r="1490">
      <c r="A1490" s="2" t="s">
        <v>1483</v>
      </c>
    </row>
    <row r="1491">
      <c r="A1491" s="2" t="s">
        <v>1484</v>
      </c>
    </row>
    <row r="1492">
      <c r="A1492" s="2" t="s">
        <v>1485</v>
      </c>
    </row>
    <row r="1493">
      <c r="A1493" s="2" t="s">
        <v>1486</v>
      </c>
    </row>
    <row r="1494">
      <c r="A1494" s="2" t="s">
        <v>1487</v>
      </c>
    </row>
    <row r="1495">
      <c r="A1495" s="2" t="s">
        <v>1488</v>
      </c>
    </row>
    <row r="1496">
      <c r="A1496" s="2" t="s">
        <v>1489</v>
      </c>
    </row>
    <row r="1497">
      <c r="A1497" s="2" t="s">
        <v>1490</v>
      </c>
    </row>
    <row r="1498">
      <c r="A1498" s="2" t="s">
        <v>1491</v>
      </c>
    </row>
    <row r="1499">
      <c r="A1499" s="2" t="s">
        <v>1492</v>
      </c>
    </row>
    <row r="1500">
      <c r="A1500" s="2" t="s">
        <v>1493</v>
      </c>
    </row>
    <row r="1501">
      <c r="A1501" s="2" t="s">
        <v>1494</v>
      </c>
    </row>
    <row r="1502">
      <c r="A1502" s="2" t="s">
        <v>1495</v>
      </c>
    </row>
    <row r="1503">
      <c r="A1503" s="2" t="s">
        <v>1496</v>
      </c>
    </row>
    <row r="1504">
      <c r="A1504" s="2" t="s">
        <v>1497</v>
      </c>
    </row>
    <row r="1505">
      <c r="A1505" s="2" t="s">
        <v>1498</v>
      </c>
    </row>
    <row r="1506">
      <c r="A1506" s="2" t="s">
        <v>1499</v>
      </c>
    </row>
    <row r="1507">
      <c r="A1507" s="2" t="s">
        <v>1500</v>
      </c>
    </row>
    <row r="1508">
      <c r="A1508" s="2" t="s">
        <v>1501</v>
      </c>
    </row>
    <row r="1509">
      <c r="A1509" s="2" t="s">
        <v>1502</v>
      </c>
    </row>
    <row r="1510">
      <c r="A1510" s="2" t="s">
        <v>1503</v>
      </c>
    </row>
    <row r="1511">
      <c r="A1511" s="2" t="s">
        <v>1504</v>
      </c>
    </row>
    <row r="1512">
      <c r="A1512" s="2" t="s">
        <v>1505</v>
      </c>
    </row>
    <row r="1513">
      <c r="A1513" s="2" t="s">
        <v>1506</v>
      </c>
    </row>
    <row r="1514">
      <c r="A1514" s="2" t="s">
        <v>1507</v>
      </c>
    </row>
    <row r="1515">
      <c r="A1515" s="2" t="s">
        <v>1508</v>
      </c>
    </row>
    <row r="1516">
      <c r="A1516" s="2" t="s">
        <v>1509</v>
      </c>
    </row>
    <row r="1517">
      <c r="A1517" s="2" t="s">
        <v>1510</v>
      </c>
    </row>
    <row r="1518">
      <c r="A1518" s="2" t="s">
        <v>1511</v>
      </c>
    </row>
    <row r="1519">
      <c r="A1519" s="2" t="s">
        <v>1512</v>
      </c>
    </row>
    <row r="1520">
      <c r="A1520" s="2" t="s">
        <v>1513</v>
      </c>
    </row>
    <row r="1521">
      <c r="A1521" s="2" t="s">
        <v>1514</v>
      </c>
    </row>
    <row r="1522">
      <c r="A1522" s="2" t="s">
        <v>1515</v>
      </c>
    </row>
    <row r="1523">
      <c r="A1523" s="2" t="s">
        <v>1516</v>
      </c>
    </row>
    <row r="1524">
      <c r="A1524" s="2" t="s">
        <v>1517</v>
      </c>
    </row>
    <row r="1525">
      <c r="A1525" s="2" t="s">
        <v>1518</v>
      </c>
    </row>
    <row r="1526">
      <c r="A1526" s="2" t="s">
        <v>1519</v>
      </c>
    </row>
    <row r="1527">
      <c r="A1527" s="2" t="s">
        <v>1520</v>
      </c>
    </row>
    <row r="1528">
      <c r="A1528" s="2" t="s">
        <v>1521</v>
      </c>
    </row>
    <row r="1529">
      <c r="A1529" s="2" t="s">
        <v>1522</v>
      </c>
    </row>
    <row r="1530">
      <c r="A1530" s="2" t="s">
        <v>1523</v>
      </c>
    </row>
    <row r="1531">
      <c r="A1531" s="2" t="s">
        <v>1524</v>
      </c>
    </row>
    <row r="1532">
      <c r="A1532" s="2" t="s">
        <v>1525</v>
      </c>
    </row>
    <row r="1533">
      <c r="A1533" s="2" t="s">
        <v>1526</v>
      </c>
    </row>
    <row r="1534">
      <c r="A1534" s="2" t="s">
        <v>1527</v>
      </c>
    </row>
    <row r="1535">
      <c r="A1535" s="2" t="s">
        <v>1528</v>
      </c>
    </row>
    <row r="1536">
      <c r="A1536" s="2" t="s">
        <v>1529</v>
      </c>
    </row>
    <row r="1537">
      <c r="A1537" s="2" t="s">
        <v>1530</v>
      </c>
    </row>
    <row r="1538">
      <c r="A1538" s="2" t="s">
        <v>1531</v>
      </c>
    </row>
    <row r="1539">
      <c r="A1539" s="2" t="s">
        <v>1532</v>
      </c>
    </row>
    <row r="1540">
      <c r="A1540" s="2" t="s">
        <v>1533</v>
      </c>
    </row>
    <row r="1541">
      <c r="A1541" s="2" t="s">
        <v>1534</v>
      </c>
    </row>
    <row r="1542">
      <c r="A1542" s="2" t="s">
        <v>1535</v>
      </c>
    </row>
    <row r="1543">
      <c r="A1543" s="2" t="s">
        <v>1536</v>
      </c>
    </row>
    <row r="1544">
      <c r="A1544" s="2" t="s">
        <v>1537</v>
      </c>
    </row>
    <row r="1545">
      <c r="A1545" s="2" t="s">
        <v>1538</v>
      </c>
    </row>
    <row r="1546">
      <c r="A1546" s="2" t="s">
        <v>1539</v>
      </c>
    </row>
    <row r="1547">
      <c r="A1547" s="2" t="s">
        <v>1540</v>
      </c>
    </row>
    <row r="1548">
      <c r="A1548" s="2" t="s">
        <v>1541</v>
      </c>
    </row>
    <row r="1549">
      <c r="A1549" s="2" t="s">
        <v>1542</v>
      </c>
    </row>
    <row r="1550">
      <c r="A1550" s="2" t="s">
        <v>1543</v>
      </c>
    </row>
    <row r="1551">
      <c r="A1551" s="2" t="s">
        <v>1544</v>
      </c>
    </row>
    <row r="1552">
      <c r="A1552" s="2" t="s">
        <v>1545</v>
      </c>
    </row>
    <row r="1553">
      <c r="A1553" s="2" t="s">
        <v>1546</v>
      </c>
    </row>
    <row r="1554">
      <c r="A1554" s="2" t="s">
        <v>1547</v>
      </c>
    </row>
    <row r="1555">
      <c r="A1555" s="2" t="s">
        <v>1548</v>
      </c>
    </row>
    <row r="1556">
      <c r="A1556" s="2" t="s">
        <v>1549</v>
      </c>
    </row>
    <row r="1557">
      <c r="A1557" s="2" t="s">
        <v>1550</v>
      </c>
    </row>
    <row r="1558">
      <c r="A1558" s="2" t="s">
        <v>1551</v>
      </c>
    </row>
    <row r="1559">
      <c r="A1559" s="2" t="s">
        <v>1552</v>
      </c>
    </row>
    <row r="1560">
      <c r="A1560" s="2" t="s">
        <v>1553</v>
      </c>
    </row>
    <row r="1561">
      <c r="A1561" s="2" t="s">
        <v>1554</v>
      </c>
    </row>
    <row r="1562">
      <c r="A1562" s="2" t="s">
        <v>1555</v>
      </c>
    </row>
    <row r="1563">
      <c r="A1563" s="2" t="s">
        <v>1556</v>
      </c>
    </row>
    <row r="1564">
      <c r="A1564" s="2" t="s">
        <v>1557</v>
      </c>
    </row>
    <row r="1565">
      <c r="A1565" s="2" t="s">
        <v>1558</v>
      </c>
    </row>
    <row r="1566">
      <c r="A1566" s="2" t="s">
        <v>1559</v>
      </c>
    </row>
    <row r="1567">
      <c r="A1567" s="2" t="s">
        <v>1560</v>
      </c>
    </row>
    <row r="1568">
      <c r="A1568" s="2" t="s">
        <v>1561</v>
      </c>
    </row>
    <row r="1569">
      <c r="A1569" s="2" t="s">
        <v>1562</v>
      </c>
    </row>
    <row r="1570">
      <c r="A1570" s="2" t="s">
        <v>1563</v>
      </c>
    </row>
    <row r="1571">
      <c r="A1571" s="2" t="s">
        <v>1564</v>
      </c>
    </row>
    <row r="1572">
      <c r="A1572" s="2" t="s">
        <v>1565</v>
      </c>
    </row>
    <row r="1573">
      <c r="A1573" s="2" t="s">
        <v>1566</v>
      </c>
    </row>
    <row r="1574">
      <c r="A1574" s="2" t="s">
        <v>1567</v>
      </c>
    </row>
    <row r="1575">
      <c r="A1575" s="2" t="s">
        <v>1568</v>
      </c>
    </row>
    <row r="1576">
      <c r="A1576" s="2" t="s">
        <v>1569</v>
      </c>
    </row>
    <row r="1577">
      <c r="A1577" s="2" t="s">
        <v>1570</v>
      </c>
    </row>
    <row r="1578">
      <c r="A1578" s="2" t="s">
        <v>1571</v>
      </c>
    </row>
    <row r="1579">
      <c r="A1579" s="2" t="s">
        <v>1572</v>
      </c>
    </row>
    <row r="1580">
      <c r="A1580" s="2" t="s">
        <v>1573</v>
      </c>
    </row>
    <row r="1581">
      <c r="A1581" s="2" t="s">
        <v>1574</v>
      </c>
    </row>
    <row r="1582">
      <c r="A1582" s="2" t="s">
        <v>1575</v>
      </c>
    </row>
    <row r="1583">
      <c r="A1583" s="2" t="s">
        <v>1576</v>
      </c>
    </row>
    <row r="1584">
      <c r="A1584" s="2" t="s">
        <v>1577</v>
      </c>
    </row>
    <row r="1585">
      <c r="A1585" s="2" t="s">
        <v>1578</v>
      </c>
    </row>
    <row r="1586">
      <c r="A1586" s="2" t="s">
        <v>1579</v>
      </c>
    </row>
    <row r="1587">
      <c r="A1587" s="2" t="s">
        <v>1580</v>
      </c>
    </row>
    <row r="1588">
      <c r="A1588" s="2" t="s">
        <v>1581</v>
      </c>
    </row>
    <row r="1589">
      <c r="A1589" s="2" t="s">
        <v>1582</v>
      </c>
    </row>
    <row r="1590">
      <c r="A1590" s="2" t="s">
        <v>1583</v>
      </c>
    </row>
    <row r="1591">
      <c r="A1591" s="2" t="s">
        <v>1584</v>
      </c>
    </row>
    <row r="1592">
      <c r="A1592" s="2" t="s">
        <v>1585</v>
      </c>
    </row>
    <row r="1593">
      <c r="A1593" s="2" t="s">
        <v>1586</v>
      </c>
    </row>
    <row r="1594">
      <c r="A1594" s="2" t="s">
        <v>1587</v>
      </c>
    </row>
    <row r="1595">
      <c r="A1595" s="2" t="s">
        <v>1588</v>
      </c>
    </row>
    <row r="1596">
      <c r="A1596" s="2" t="s">
        <v>1589</v>
      </c>
    </row>
    <row r="1597">
      <c r="A1597" s="2" t="s">
        <v>1590</v>
      </c>
    </row>
    <row r="1598">
      <c r="A1598" s="2" t="s">
        <v>1591</v>
      </c>
    </row>
    <row r="1599">
      <c r="A1599" s="2" t="s">
        <v>1592</v>
      </c>
    </row>
    <row r="1600">
      <c r="A1600" s="2" t="s">
        <v>1593</v>
      </c>
    </row>
    <row r="1601">
      <c r="A1601" s="2" t="s">
        <v>1594</v>
      </c>
    </row>
    <row r="1602">
      <c r="A1602" s="2" t="s">
        <v>1595</v>
      </c>
    </row>
    <row r="1603">
      <c r="A1603" s="2" t="s">
        <v>1596</v>
      </c>
    </row>
    <row r="1604">
      <c r="A1604" s="2" t="s">
        <v>1597</v>
      </c>
    </row>
    <row r="1605">
      <c r="A1605" s="2" t="s">
        <v>1598</v>
      </c>
    </row>
    <row r="1606">
      <c r="A1606" s="2" t="s">
        <v>1599</v>
      </c>
    </row>
    <row r="1607">
      <c r="A1607" s="2" t="s">
        <v>1600</v>
      </c>
    </row>
    <row r="1608">
      <c r="A1608" s="2" t="s">
        <v>1601</v>
      </c>
    </row>
    <row r="1609">
      <c r="A1609" s="2" t="s">
        <v>1602</v>
      </c>
    </row>
    <row r="1610">
      <c r="A1610" s="2" t="s">
        <v>1603</v>
      </c>
    </row>
    <row r="1611">
      <c r="A1611" s="2" t="s">
        <v>1604</v>
      </c>
    </row>
    <row r="1612">
      <c r="A1612" s="2" t="s">
        <v>1605</v>
      </c>
    </row>
    <row r="1613">
      <c r="A1613" s="2" t="s">
        <v>1606</v>
      </c>
    </row>
    <row r="1614">
      <c r="A1614" s="2" t="s">
        <v>1607</v>
      </c>
    </row>
    <row r="1615">
      <c r="A1615" s="2" t="s">
        <v>1608</v>
      </c>
    </row>
    <row r="1616">
      <c r="A1616" s="2" t="s">
        <v>1609</v>
      </c>
    </row>
    <row r="1617">
      <c r="A1617" s="2" t="s">
        <v>1610</v>
      </c>
    </row>
    <row r="1618">
      <c r="A1618" s="2" t="s">
        <v>1611</v>
      </c>
    </row>
    <row r="1619">
      <c r="A1619" s="2" t="s">
        <v>1612</v>
      </c>
    </row>
    <row r="1620">
      <c r="A1620" s="2" t="s">
        <v>1613</v>
      </c>
    </row>
    <row r="1621">
      <c r="A1621" s="2" t="s">
        <v>1614</v>
      </c>
    </row>
    <row r="1622">
      <c r="A1622" s="2" t="s">
        <v>1615</v>
      </c>
    </row>
    <row r="1623">
      <c r="A1623" s="2" t="s">
        <v>1616</v>
      </c>
    </row>
    <row r="1624">
      <c r="A1624" s="2" t="s">
        <v>1617</v>
      </c>
    </row>
    <row r="1625">
      <c r="A1625" s="2" t="s">
        <v>1618</v>
      </c>
    </row>
    <row r="1626">
      <c r="A1626" s="2" t="s">
        <v>1619</v>
      </c>
    </row>
    <row r="1627">
      <c r="A1627" s="2" t="s">
        <v>1620</v>
      </c>
    </row>
    <row r="1628">
      <c r="A1628" s="2" t="s">
        <v>1621</v>
      </c>
    </row>
    <row r="1629">
      <c r="A1629" s="2" t="s">
        <v>1622</v>
      </c>
    </row>
    <row r="1630">
      <c r="A1630" s="2" t="s">
        <v>1623</v>
      </c>
    </row>
    <row r="1631">
      <c r="A1631" s="2" t="s">
        <v>1624</v>
      </c>
    </row>
    <row r="1632">
      <c r="A1632" s="2" t="s">
        <v>1625</v>
      </c>
    </row>
    <row r="1633">
      <c r="A1633" s="2" t="s">
        <v>1626</v>
      </c>
    </row>
    <row r="1634">
      <c r="A1634" s="2" t="s">
        <v>1627</v>
      </c>
    </row>
    <row r="1635">
      <c r="A1635" s="2" t="s">
        <v>1628</v>
      </c>
    </row>
    <row r="1636">
      <c r="A1636" s="2" t="s">
        <v>1629</v>
      </c>
    </row>
    <row r="1637">
      <c r="A1637" s="2" t="s">
        <v>1630</v>
      </c>
    </row>
    <row r="1638">
      <c r="A1638" s="2" t="s">
        <v>1631</v>
      </c>
    </row>
    <row r="1639">
      <c r="A1639" s="2" t="s">
        <v>1632</v>
      </c>
    </row>
    <row r="1640">
      <c r="A1640" s="2" t="s">
        <v>1633</v>
      </c>
    </row>
    <row r="1641">
      <c r="A1641" s="2" t="s">
        <v>1634</v>
      </c>
    </row>
    <row r="1642">
      <c r="A1642" s="2" t="s">
        <v>1635</v>
      </c>
    </row>
    <row r="1643">
      <c r="A1643" s="2" t="s">
        <v>1636</v>
      </c>
    </row>
    <row r="1644">
      <c r="A1644" s="2" t="s">
        <v>1637</v>
      </c>
    </row>
    <row r="1645">
      <c r="A1645" s="2" t="s">
        <v>1638</v>
      </c>
    </row>
    <row r="1646">
      <c r="A1646" s="2" t="s">
        <v>1639</v>
      </c>
    </row>
    <row r="1647">
      <c r="A1647" s="2" t="s">
        <v>1640</v>
      </c>
    </row>
    <row r="1648">
      <c r="A1648" s="2" t="s">
        <v>1641</v>
      </c>
    </row>
    <row r="1649">
      <c r="A1649" s="2" t="s">
        <v>1642</v>
      </c>
    </row>
    <row r="1650">
      <c r="A1650" s="2" t="s">
        <v>1643</v>
      </c>
    </row>
    <row r="1651">
      <c r="A1651" s="2" t="s">
        <v>1644</v>
      </c>
    </row>
    <row r="1652">
      <c r="A1652" s="2" t="s">
        <v>1645</v>
      </c>
    </row>
    <row r="1653">
      <c r="A1653" s="2" t="s">
        <v>1646</v>
      </c>
    </row>
    <row r="1654">
      <c r="A1654" s="2" t="s">
        <v>1647</v>
      </c>
    </row>
    <row r="1655">
      <c r="A1655" s="2" t="s">
        <v>1648</v>
      </c>
    </row>
    <row r="1656">
      <c r="A1656" s="2" t="s">
        <v>1649</v>
      </c>
    </row>
    <row r="1657">
      <c r="A1657" s="2" t="s">
        <v>1650</v>
      </c>
    </row>
    <row r="1658">
      <c r="A1658" s="2" t="s">
        <v>1651</v>
      </c>
    </row>
    <row r="1659">
      <c r="A1659" s="2" t="s">
        <v>1652</v>
      </c>
    </row>
    <row r="1660">
      <c r="A1660" s="2" t="s">
        <v>1653</v>
      </c>
    </row>
    <row r="1661">
      <c r="A1661" s="2" t="s">
        <v>1654</v>
      </c>
    </row>
    <row r="1662">
      <c r="A1662" s="2" t="s">
        <v>1655</v>
      </c>
    </row>
    <row r="1663">
      <c r="A1663" s="2" t="s">
        <v>1656</v>
      </c>
    </row>
    <row r="1664">
      <c r="A1664" s="2" t="s">
        <v>1657</v>
      </c>
    </row>
    <row r="1665">
      <c r="A1665" s="2" t="s">
        <v>1658</v>
      </c>
    </row>
    <row r="1666">
      <c r="A1666" s="2" t="s">
        <v>1659</v>
      </c>
    </row>
    <row r="1667">
      <c r="A1667" s="2" t="s">
        <v>1660</v>
      </c>
    </row>
    <row r="1668">
      <c r="A1668" s="2" t="s">
        <v>1661</v>
      </c>
    </row>
    <row r="1669">
      <c r="A1669" s="2" t="s">
        <v>1662</v>
      </c>
    </row>
    <row r="1670">
      <c r="A1670" s="2" t="s">
        <v>1663</v>
      </c>
    </row>
    <row r="1671">
      <c r="A1671" s="2" t="s">
        <v>1664</v>
      </c>
    </row>
    <row r="1672">
      <c r="A1672" s="2" t="s">
        <v>1665</v>
      </c>
    </row>
    <row r="1673">
      <c r="A1673" s="2" t="s">
        <v>1666</v>
      </c>
    </row>
    <row r="1674">
      <c r="A1674" s="2" t="s">
        <v>1667</v>
      </c>
    </row>
    <row r="1675">
      <c r="A1675" s="2" t="s">
        <v>1668</v>
      </c>
    </row>
    <row r="1676">
      <c r="A1676" s="2" t="s">
        <v>1669</v>
      </c>
    </row>
    <row r="1677">
      <c r="A1677" s="2" t="s">
        <v>1670</v>
      </c>
    </row>
    <row r="1678">
      <c r="A1678" s="2" t="s">
        <v>1671</v>
      </c>
    </row>
    <row r="1679">
      <c r="A1679" s="2" t="s">
        <v>1672</v>
      </c>
    </row>
    <row r="1680">
      <c r="A1680" s="2" t="s">
        <v>1673</v>
      </c>
    </row>
    <row r="1681">
      <c r="A1681" s="2" t="s">
        <v>1674</v>
      </c>
    </row>
    <row r="1682">
      <c r="A1682" s="2" t="s">
        <v>1675</v>
      </c>
    </row>
    <row r="1683">
      <c r="A1683" s="2" t="s">
        <v>1676</v>
      </c>
    </row>
    <row r="1684">
      <c r="A1684" s="2" t="s">
        <v>1677</v>
      </c>
    </row>
    <row r="1685">
      <c r="A1685" s="2" t="s">
        <v>1678</v>
      </c>
    </row>
    <row r="1686">
      <c r="A1686" s="2" t="s">
        <v>1679</v>
      </c>
    </row>
    <row r="1687">
      <c r="A1687" s="2" t="s">
        <v>1680</v>
      </c>
    </row>
    <row r="1688">
      <c r="A1688" s="2" t="s">
        <v>1681</v>
      </c>
    </row>
    <row r="1689">
      <c r="A1689" s="2" t="s">
        <v>1682</v>
      </c>
    </row>
    <row r="1690">
      <c r="A1690" s="2" t="s">
        <v>1683</v>
      </c>
    </row>
    <row r="1691">
      <c r="A1691" s="2" t="s">
        <v>1684</v>
      </c>
    </row>
    <row r="1692">
      <c r="A1692" s="2" t="s">
        <v>1685</v>
      </c>
    </row>
    <row r="1693">
      <c r="A1693" s="2" t="s">
        <v>1686</v>
      </c>
    </row>
    <row r="1694">
      <c r="A1694" s="2" t="s">
        <v>1687</v>
      </c>
    </row>
    <row r="1695">
      <c r="A1695" s="2" t="s">
        <v>1688</v>
      </c>
    </row>
    <row r="1696">
      <c r="A1696" s="2" t="s">
        <v>1689</v>
      </c>
    </row>
    <row r="1697">
      <c r="A1697" s="2" t="s">
        <v>1690</v>
      </c>
    </row>
    <row r="1698">
      <c r="A1698" s="2" t="s">
        <v>1691</v>
      </c>
    </row>
    <row r="1699">
      <c r="A1699" s="2" t="s">
        <v>1692</v>
      </c>
    </row>
    <row r="1700">
      <c r="A1700" s="2" t="s">
        <v>1693</v>
      </c>
    </row>
    <row r="1701">
      <c r="A1701" s="2" t="s">
        <v>1694</v>
      </c>
    </row>
    <row r="1702">
      <c r="A1702" s="2" t="s">
        <v>1695</v>
      </c>
    </row>
    <row r="1703">
      <c r="A1703" s="2" t="s">
        <v>1696</v>
      </c>
    </row>
    <row r="1704">
      <c r="A1704" s="2" t="s">
        <v>1697</v>
      </c>
    </row>
    <row r="1705">
      <c r="A1705" s="2" t="s">
        <v>1698</v>
      </c>
    </row>
    <row r="1706">
      <c r="A1706" s="2" t="s">
        <v>1699</v>
      </c>
    </row>
    <row r="1707">
      <c r="A1707" s="2" t="s">
        <v>1700</v>
      </c>
    </row>
    <row r="1708">
      <c r="A1708" s="2" t="s">
        <v>1701</v>
      </c>
    </row>
    <row r="1709">
      <c r="A1709" s="2" t="s">
        <v>1702</v>
      </c>
    </row>
    <row r="1710">
      <c r="A1710" s="2" t="s">
        <v>1703</v>
      </c>
    </row>
    <row r="1711">
      <c r="A1711" s="2" t="s">
        <v>1704</v>
      </c>
    </row>
    <row r="1712">
      <c r="A1712" s="2" t="s">
        <v>1705</v>
      </c>
    </row>
    <row r="1713">
      <c r="A1713" s="2" t="s">
        <v>1706</v>
      </c>
    </row>
    <row r="1714">
      <c r="A1714" s="2" t="s">
        <v>1707</v>
      </c>
    </row>
    <row r="1715">
      <c r="A1715" s="2" t="s">
        <v>1708</v>
      </c>
    </row>
    <row r="1716">
      <c r="A1716" s="2" t="s">
        <v>1709</v>
      </c>
    </row>
    <row r="1717">
      <c r="A1717" s="2" t="s">
        <v>1710</v>
      </c>
    </row>
    <row r="1718">
      <c r="A1718" s="2" t="s">
        <v>1711</v>
      </c>
    </row>
    <row r="1719">
      <c r="A1719" s="2" t="s">
        <v>1712</v>
      </c>
    </row>
    <row r="1720">
      <c r="A1720" s="2" t="s">
        <v>1713</v>
      </c>
    </row>
    <row r="1721">
      <c r="A1721" s="2" t="s">
        <v>1714</v>
      </c>
    </row>
    <row r="1722">
      <c r="A1722" s="2" t="s">
        <v>1715</v>
      </c>
    </row>
    <row r="1723">
      <c r="A1723" s="2" t="s">
        <v>1716</v>
      </c>
    </row>
    <row r="1724">
      <c r="A1724" s="2" t="s">
        <v>1717</v>
      </c>
    </row>
    <row r="1725">
      <c r="A1725" s="2" t="s">
        <v>1718</v>
      </c>
    </row>
    <row r="1726">
      <c r="A1726" s="2" t="s">
        <v>1719</v>
      </c>
    </row>
    <row r="1727">
      <c r="A1727" s="2" t="s">
        <v>1720</v>
      </c>
    </row>
    <row r="1728">
      <c r="A1728" s="2" t="s">
        <v>1721</v>
      </c>
    </row>
    <row r="1729">
      <c r="A1729" s="2" t="s">
        <v>1722</v>
      </c>
    </row>
    <row r="1730">
      <c r="A1730" s="2" t="s">
        <v>1723</v>
      </c>
    </row>
    <row r="1731">
      <c r="A1731" s="2" t="s">
        <v>1724</v>
      </c>
    </row>
    <row r="1732">
      <c r="A1732" s="2" t="s">
        <v>1725</v>
      </c>
    </row>
    <row r="1733">
      <c r="A1733" s="2" t="s">
        <v>1726</v>
      </c>
    </row>
    <row r="1734">
      <c r="A1734" s="2" t="s">
        <v>1727</v>
      </c>
    </row>
    <row r="1735">
      <c r="A1735" s="2" t="s">
        <v>1728</v>
      </c>
    </row>
    <row r="1736">
      <c r="A1736" s="2" t="s">
        <v>1729</v>
      </c>
    </row>
    <row r="1737">
      <c r="A1737" s="2" t="s">
        <v>1730</v>
      </c>
    </row>
    <row r="1738">
      <c r="A1738" s="2" t="s">
        <v>1731</v>
      </c>
    </row>
    <row r="1739">
      <c r="A1739" s="2" t="s">
        <v>1732</v>
      </c>
    </row>
    <row r="1740">
      <c r="A1740" s="2" t="s">
        <v>1733</v>
      </c>
    </row>
    <row r="1741">
      <c r="A1741" s="2" t="s">
        <v>1734</v>
      </c>
    </row>
    <row r="1742">
      <c r="A1742" s="2" t="s">
        <v>1735</v>
      </c>
    </row>
    <row r="1743">
      <c r="A1743" s="2" t="s">
        <v>1736</v>
      </c>
    </row>
    <row r="1744">
      <c r="A1744" s="2" t="s">
        <v>1737</v>
      </c>
    </row>
    <row r="1745">
      <c r="A1745" s="2" t="s">
        <v>1738</v>
      </c>
    </row>
    <row r="1746">
      <c r="A1746" s="2" t="s">
        <v>1739</v>
      </c>
    </row>
    <row r="1747">
      <c r="A1747" s="2" t="s">
        <v>1740</v>
      </c>
    </row>
    <row r="1748">
      <c r="A1748" s="2" t="s">
        <v>1741</v>
      </c>
    </row>
    <row r="1749">
      <c r="A1749" s="2" t="s">
        <v>1742</v>
      </c>
    </row>
    <row r="1750">
      <c r="A1750" s="2" t="s">
        <v>1743</v>
      </c>
    </row>
    <row r="1751">
      <c r="A1751" s="2" t="s">
        <v>1744</v>
      </c>
    </row>
    <row r="1752">
      <c r="A1752" s="2" t="s">
        <v>1745</v>
      </c>
    </row>
    <row r="1753">
      <c r="A1753" s="2" t="s">
        <v>1746</v>
      </c>
    </row>
    <row r="1754">
      <c r="A1754" s="2" t="s">
        <v>1747</v>
      </c>
    </row>
    <row r="1755">
      <c r="A1755" s="2" t="s">
        <v>1748</v>
      </c>
    </row>
    <row r="1756">
      <c r="A1756" s="2" t="s">
        <v>1749</v>
      </c>
    </row>
    <row r="1757">
      <c r="A1757" s="2" t="s">
        <v>1750</v>
      </c>
    </row>
    <row r="1758">
      <c r="A1758" s="2" t="s">
        <v>1751</v>
      </c>
    </row>
    <row r="1759">
      <c r="A1759" s="2" t="s">
        <v>1752</v>
      </c>
    </row>
    <row r="1760">
      <c r="A1760" s="2" t="s">
        <v>1753</v>
      </c>
    </row>
    <row r="1761">
      <c r="A1761" s="2" t="s">
        <v>1754</v>
      </c>
    </row>
    <row r="1762">
      <c r="A1762" s="2" t="s">
        <v>1755</v>
      </c>
    </row>
    <row r="1763">
      <c r="A1763" s="2" t="s">
        <v>1756</v>
      </c>
    </row>
    <row r="1764">
      <c r="A1764" s="2" t="s">
        <v>1757</v>
      </c>
    </row>
    <row r="1765">
      <c r="A1765" s="2" t="s">
        <v>1758</v>
      </c>
    </row>
    <row r="1766">
      <c r="A1766" s="2" t="s">
        <v>1759</v>
      </c>
    </row>
    <row r="1767">
      <c r="A1767" s="2" t="s">
        <v>1760</v>
      </c>
    </row>
    <row r="1768">
      <c r="A1768" s="2" t="s">
        <v>1761</v>
      </c>
    </row>
    <row r="1769">
      <c r="A1769" s="2" t="s">
        <v>1762</v>
      </c>
    </row>
    <row r="1770">
      <c r="A1770" s="2" t="s">
        <v>1763</v>
      </c>
    </row>
    <row r="1771">
      <c r="A1771" s="2" t="s">
        <v>1764</v>
      </c>
    </row>
    <row r="1772">
      <c r="A1772" s="2" t="s">
        <v>1765</v>
      </c>
    </row>
    <row r="1773">
      <c r="A1773" s="2" t="s">
        <v>1766</v>
      </c>
    </row>
    <row r="1774">
      <c r="A1774" s="2" t="s">
        <v>1767</v>
      </c>
    </row>
    <row r="1775">
      <c r="A1775" s="2" t="s">
        <v>1768</v>
      </c>
    </row>
    <row r="1776">
      <c r="A1776" s="2" t="s">
        <v>1769</v>
      </c>
    </row>
    <row r="1777">
      <c r="A1777" s="2" t="s">
        <v>1770</v>
      </c>
    </row>
    <row r="1778">
      <c r="A1778" s="2" t="s">
        <v>1771</v>
      </c>
    </row>
    <row r="1779">
      <c r="A1779" s="2" t="s">
        <v>1772</v>
      </c>
    </row>
    <row r="1780">
      <c r="A1780" s="2" t="s">
        <v>1773</v>
      </c>
    </row>
    <row r="1781">
      <c r="A1781" s="2" t="s">
        <v>1774</v>
      </c>
    </row>
    <row r="1782">
      <c r="A1782" s="2" t="s">
        <v>1775</v>
      </c>
    </row>
    <row r="1783">
      <c r="A1783" s="2" t="s">
        <v>1776</v>
      </c>
    </row>
    <row r="1784">
      <c r="A1784" s="2" t="s">
        <v>1777</v>
      </c>
    </row>
    <row r="1785">
      <c r="A1785" s="2" t="s">
        <v>1778</v>
      </c>
    </row>
    <row r="1786">
      <c r="A1786" s="2" t="s">
        <v>1779</v>
      </c>
    </row>
    <row r="1787">
      <c r="A1787" s="2" t="s">
        <v>1780</v>
      </c>
    </row>
    <row r="1788">
      <c r="A1788" s="2" t="s">
        <v>1781</v>
      </c>
    </row>
    <row r="1789">
      <c r="A1789" s="2" t="s">
        <v>1782</v>
      </c>
    </row>
    <row r="1790">
      <c r="A1790" s="2" t="s">
        <v>1783</v>
      </c>
    </row>
    <row r="1791">
      <c r="A1791" s="2" t="s">
        <v>1784</v>
      </c>
    </row>
    <row r="1792">
      <c r="A1792" s="2" t="s">
        <v>1785</v>
      </c>
    </row>
    <row r="1793">
      <c r="A1793" s="2" t="s">
        <v>1786</v>
      </c>
    </row>
    <row r="1794">
      <c r="A1794" s="2" t="s">
        <v>1787</v>
      </c>
    </row>
    <row r="1795">
      <c r="A1795" s="2" t="s">
        <v>1788</v>
      </c>
    </row>
    <row r="1796">
      <c r="A1796" s="2" t="s">
        <v>1789</v>
      </c>
    </row>
    <row r="1797">
      <c r="A1797" s="2" t="s">
        <v>1790</v>
      </c>
    </row>
    <row r="1798">
      <c r="A1798" s="2" t="s">
        <v>1791</v>
      </c>
    </row>
    <row r="1799">
      <c r="A1799" s="2" t="s">
        <v>1792</v>
      </c>
    </row>
    <row r="1800">
      <c r="A1800" s="2" t="s">
        <v>1793</v>
      </c>
    </row>
    <row r="1801">
      <c r="A1801" s="2" t="s">
        <v>1794</v>
      </c>
    </row>
    <row r="1802">
      <c r="A1802" s="2" t="s">
        <v>1795</v>
      </c>
    </row>
    <row r="1803">
      <c r="A1803" s="2" t="s">
        <v>1796</v>
      </c>
    </row>
    <row r="1804">
      <c r="A1804" s="2" t="s">
        <v>1797</v>
      </c>
    </row>
    <row r="1805">
      <c r="A1805" s="2" t="s">
        <v>1798</v>
      </c>
    </row>
    <row r="1806">
      <c r="A1806" s="2" t="s">
        <v>1799</v>
      </c>
    </row>
    <row r="1807">
      <c r="A1807" s="2" t="s">
        <v>1800</v>
      </c>
    </row>
    <row r="1808">
      <c r="A1808" s="2" t="s">
        <v>1801</v>
      </c>
    </row>
    <row r="1809">
      <c r="A1809" s="2" t="s">
        <v>1802</v>
      </c>
    </row>
    <row r="1810">
      <c r="A1810" s="2" t="s">
        <v>1803</v>
      </c>
    </row>
    <row r="1811">
      <c r="A1811" s="2" t="s">
        <v>1804</v>
      </c>
    </row>
    <row r="1812">
      <c r="A1812" s="2" t="s">
        <v>1805</v>
      </c>
    </row>
    <row r="1813">
      <c r="A1813" s="2" t="s">
        <v>1806</v>
      </c>
    </row>
    <row r="1814">
      <c r="A1814" s="2" t="s">
        <v>1807</v>
      </c>
    </row>
    <row r="1815">
      <c r="A1815" s="2" t="s">
        <v>1808</v>
      </c>
    </row>
    <row r="1816">
      <c r="A1816" s="2" t="s">
        <v>1809</v>
      </c>
    </row>
    <row r="1817">
      <c r="A1817" s="2" t="s">
        <v>1810</v>
      </c>
    </row>
    <row r="1818">
      <c r="A1818" s="2" t="s">
        <v>1811</v>
      </c>
    </row>
    <row r="1819">
      <c r="A1819" s="2" t="s">
        <v>1812</v>
      </c>
    </row>
    <row r="1820">
      <c r="A1820" s="2" t="s">
        <v>1813</v>
      </c>
    </row>
    <row r="1821">
      <c r="A1821" s="2" t="s">
        <v>1814</v>
      </c>
    </row>
    <row r="1822">
      <c r="A1822" s="2" t="s">
        <v>1815</v>
      </c>
    </row>
    <row r="1823">
      <c r="A1823" s="2" t="s">
        <v>1816</v>
      </c>
    </row>
    <row r="1824">
      <c r="A1824" s="2" t="s">
        <v>1817</v>
      </c>
    </row>
    <row r="1825">
      <c r="A1825" s="2" t="s">
        <v>1818</v>
      </c>
    </row>
    <row r="1826">
      <c r="A1826" s="2" t="s">
        <v>1819</v>
      </c>
    </row>
    <row r="1827">
      <c r="A1827" s="2" t="s">
        <v>1820</v>
      </c>
    </row>
    <row r="1828">
      <c r="A1828" s="2" t="s">
        <v>1821</v>
      </c>
    </row>
    <row r="1829">
      <c r="A1829" s="2" t="s">
        <v>1822</v>
      </c>
    </row>
    <row r="1830">
      <c r="A1830" s="2" t="s">
        <v>1823</v>
      </c>
    </row>
    <row r="1831">
      <c r="A1831" s="2" t="s">
        <v>1824</v>
      </c>
    </row>
    <row r="1832">
      <c r="A1832" s="2" t="s">
        <v>1825</v>
      </c>
    </row>
    <row r="1833">
      <c r="A1833" s="2" t="s">
        <v>1826</v>
      </c>
    </row>
    <row r="1834">
      <c r="A1834" s="2" t="s">
        <v>1827</v>
      </c>
    </row>
    <row r="1835">
      <c r="A1835" s="2" t="s">
        <v>1828</v>
      </c>
    </row>
    <row r="1836">
      <c r="A1836" s="2" t="s">
        <v>1829</v>
      </c>
    </row>
    <row r="1837">
      <c r="A1837" s="2" t="s">
        <v>1830</v>
      </c>
    </row>
    <row r="1838">
      <c r="A1838" s="2" t="s">
        <v>1831</v>
      </c>
    </row>
    <row r="1839">
      <c r="A1839" s="2" t="s">
        <v>1832</v>
      </c>
    </row>
    <row r="1840">
      <c r="A1840" s="2" t="s">
        <v>1833</v>
      </c>
    </row>
    <row r="1841">
      <c r="A1841" s="2" t="s">
        <v>1834</v>
      </c>
    </row>
    <row r="1842">
      <c r="A1842" s="2" t="s">
        <v>1835</v>
      </c>
    </row>
    <row r="1843">
      <c r="A1843" s="2" t="s">
        <v>1836</v>
      </c>
    </row>
    <row r="1844">
      <c r="A1844" s="2" t="s">
        <v>1837</v>
      </c>
    </row>
    <row r="1845">
      <c r="A1845" s="2" t="s">
        <v>1838</v>
      </c>
    </row>
    <row r="1846">
      <c r="A1846" s="2" t="s">
        <v>1839</v>
      </c>
    </row>
    <row r="1847">
      <c r="A1847" s="2" t="s">
        <v>1840</v>
      </c>
    </row>
    <row r="1848">
      <c r="A1848" s="2" t="s">
        <v>1841</v>
      </c>
    </row>
    <row r="1849">
      <c r="A1849" s="2" t="s">
        <v>1842</v>
      </c>
    </row>
    <row r="1850">
      <c r="A1850" s="2" t="s">
        <v>1843</v>
      </c>
    </row>
    <row r="1851">
      <c r="A1851" s="2" t="s">
        <v>1844</v>
      </c>
    </row>
    <row r="1852">
      <c r="A1852" s="2" t="s">
        <v>1845</v>
      </c>
    </row>
    <row r="1853">
      <c r="A1853" s="2" t="s">
        <v>1846</v>
      </c>
    </row>
    <row r="1854">
      <c r="A1854" s="2" t="s">
        <v>1847</v>
      </c>
    </row>
    <row r="1855">
      <c r="A1855" s="2" t="s">
        <v>1848</v>
      </c>
    </row>
    <row r="1856">
      <c r="A1856" s="2" t="s">
        <v>1849</v>
      </c>
    </row>
    <row r="1857">
      <c r="A1857" s="2" t="s">
        <v>1850</v>
      </c>
    </row>
    <row r="1858">
      <c r="A1858" s="2" t="s">
        <v>1851</v>
      </c>
    </row>
    <row r="1859">
      <c r="A1859" s="2" t="s">
        <v>1852</v>
      </c>
    </row>
    <row r="1860">
      <c r="A1860" s="2" t="s">
        <v>1853</v>
      </c>
    </row>
    <row r="1861">
      <c r="A1861" s="2" t="s">
        <v>1854</v>
      </c>
    </row>
    <row r="1862">
      <c r="A1862" s="2" t="s">
        <v>1855</v>
      </c>
    </row>
    <row r="1863">
      <c r="A1863" s="2" t="s">
        <v>1856</v>
      </c>
    </row>
    <row r="1864">
      <c r="A1864" s="2" t="s">
        <v>1857</v>
      </c>
    </row>
    <row r="1865">
      <c r="A1865" s="2" t="s">
        <v>1858</v>
      </c>
    </row>
    <row r="1866">
      <c r="A1866" s="2" t="s">
        <v>1859</v>
      </c>
    </row>
    <row r="1867">
      <c r="A1867" s="2" t="s">
        <v>1860</v>
      </c>
    </row>
    <row r="1868">
      <c r="A1868" s="2" t="s">
        <v>1861</v>
      </c>
    </row>
    <row r="1869">
      <c r="A1869" s="2" t="s">
        <v>1862</v>
      </c>
    </row>
    <row r="1870">
      <c r="A1870" s="2" t="s">
        <v>1863</v>
      </c>
    </row>
    <row r="1871">
      <c r="A1871" s="2" t="s">
        <v>691</v>
      </c>
    </row>
    <row r="1872">
      <c r="A1872" s="2" t="s">
        <v>1864</v>
      </c>
    </row>
    <row r="1873">
      <c r="A1873" s="2" t="s">
        <v>1865</v>
      </c>
    </row>
    <row r="1874">
      <c r="A1874" s="2" t="s">
        <v>1866</v>
      </c>
    </row>
    <row r="1875">
      <c r="A1875" s="2" t="s">
        <v>1867</v>
      </c>
    </row>
    <row r="1876">
      <c r="A1876" s="2" t="s">
        <v>1868</v>
      </c>
    </row>
    <row r="1877">
      <c r="A1877" s="2" t="s">
        <v>1869</v>
      </c>
    </row>
    <row r="1878">
      <c r="A1878" s="2" t="s">
        <v>1870</v>
      </c>
    </row>
    <row r="1879">
      <c r="A1879" s="2" t="s">
        <v>1871</v>
      </c>
    </row>
    <row r="1880">
      <c r="A1880" s="2" t="s">
        <v>1872</v>
      </c>
    </row>
    <row r="1881">
      <c r="A1881" s="2" t="s">
        <v>1873</v>
      </c>
    </row>
    <row r="1882">
      <c r="A1882" s="2" t="s">
        <v>1874</v>
      </c>
    </row>
    <row r="1883">
      <c r="A1883" s="2" t="s">
        <v>1875</v>
      </c>
    </row>
    <row r="1884">
      <c r="A1884" s="2" t="s">
        <v>1876</v>
      </c>
    </row>
    <row r="1885">
      <c r="A1885" s="2" t="s">
        <v>1877</v>
      </c>
    </row>
    <row r="1886">
      <c r="A1886" s="2" t="s">
        <v>1878</v>
      </c>
    </row>
    <row r="1887">
      <c r="A1887" s="2" t="s">
        <v>1879</v>
      </c>
    </row>
    <row r="1888">
      <c r="A1888" s="2" t="s">
        <v>1880</v>
      </c>
    </row>
    <row r="1889">
      <c r="A1889" s="2" t="s">
        <v>1881</v>
      </c>
    </row>
    <row r="1890">
      <c r="A1890" s="2" t="s">
        <v>1882</v>
      </c>
    </row>
    <row r="1891">
      <c r="A1891" s="2" t="s">
        <v>1883</v>
      </c>
    </row>
    <row r="1892">
      <c r="A1892" s="2" t="s">
        <v>1884</v>
      </c>
    </row>
    <row r="1893">
      <c r="A1893" s="2" t="s">
        <v>1885</v>
      </c>
    </row>
    <row r="1894">
      <c r="A1894" s="2" t="s">
        <v>1886</v>
      </c>
    </row>
    <row r="1895">
      <c r="A1895" s="2" t="s">
        <v>1887</v>
      </c>
    </row>
    <row r="1896">
      <c r="A1896" s="2" t="s">
        <v>1888</v>
      </c>
    </row>
    <row r="1897">
      <c r="A1897" s="2" t="s">
        <v>1889</v>
      </c>
    </row>
    <row r="1898">
      <c r="A1898" s="2" t="s">
        <v>1890</v>
      </c>
    </row>
    <row r="1899">
      <c r="A1899" s="2" t="s">
        <v>1891</v>
      </c>
    </row>
    <row r="1900">
      <c r="A1900" s="2" t="s">
        <v>1892</v>
      </c>
    </row>
    <row r="1901">
      <c r="A1901" s="2" t="s">
        <v>1893</v>
      </c>
    </row>
    <row r="1902">
      <c r="A1902" s="2" t="s">
        <v>1894</v>
      </c>
    </row>
    <row r="1903">
      <c r="A1903" s="2" t="s">
        <v>1895</v>
      </c>
    </row>
    <row r="1904">
      <c r="A1904" s="2" t="s">
        <v>1896</v>
      </c>
    </row>
    <row r="1905">
      <c r="A1905" s="2" t="s">
        <v>1897</v>
      </c>
    </row>
    <row r="1906">
      <c r="A1906" s="2" t="s">
        <v>1898</v>
      </c>
    </row>
    <row r="1907">
      <c r="A1907" s="2" t="s">
        <v>1899</v>
      </c>
    </row>
    <row r="1908">
      <c r="A1908" s="2" t="s">
        <v>647</v>
      </c>
    </row>
    <row r="1909">
      <c r="A1909" s="2" t="s">
        <v>1900</v>
      </c>
    </row>
    <row r="1910">
      <c r="A1910" s="2" t="s">
        <v>1901</v>
      </c>
    </row>
    <row r="1911">
      <c r="A1911" s="2" t="s">
        <v>1902</v>
      </c>
    </row>
    <row r="1912">
      <c r="A1912" s="2" t="s">
        <v>1903</v>
      </c>
    </row>
    <row r="1913">
      <c r="A1913" s="2" t="s">
        <v>1904</v>
      </c>
    </row>
    <row r="1914">
      <c r="A1914" s="2" t="s">
        <v>1905</v>
      </c>
    </row>
    <row r="1915">
      <c r="A1915" s="2" t="s">
        <v>1906</v>
      </c>
    </row>
    <row r="1916">
      <c r="A1916" s="2" t="s">
        <v>1907</v>
      </c>
    </row>
    <row r="1917">
      <c r="A1917" s="2" t="s">
        <v>649</v>
      </c>
    </row>
    <row r="1918">
      <c r="A1918" s="2" t="s">
        <v>1908</v>
      </c>
    </row>
    <row r="1919">
      <c r="A1919" s="2" t="s">
        <v>1909</v>
      </c>
    </row>
    <row r="1920">
      <c r="A1920" s="2" t="s">
        <v>1910</v>
      </c>
    </row>
    <row r="1921">
      <c r="A1921" s="2" t="s">
        <v>1911</v>
      </c>
    </row>
    <row r="1922">
      <c r="A1922" s="2" t="s">
        <v>1912</v>
      </c>
    </row>
    <row r="1923">
      <c r="A1923" s="2" t="s">
        <v>1913</v>
      </c>
    </row>
    <row r="1924">
      <c r="A1924" s="2" t="s">
        <v>1914</v>
      </c>
    </row>
    <row r="1925">
      <c r="A1925" s="2" t="s">
        <v>1915</v>
      </c>
    </row>
    <row r="1926">
      <c r="A1926" s="2" t="s">
        <v>1916</v>
      </c>
    </row>
    <row r="1927">
      <c r="A1927" s="2" t="s">
        <v>1917</v>
      </c>
    </row>
    <row r="1928">
      <c r="A1928" s="2" t="s">
        <v>1918</v>
      </c>
    </row>
    <row r="1929">
      <c r="A1929" s="2" t="s">
        <v>1919</v>
      </c>
    </row>
    <row r="1930">
      <c r="A1930" s="2" t="s">
        <v>1920</v>
      </c>
    </row>
    <row r="1931">
      <c r="A1931" s="2" t="s">
        <v>1921</v>
      </c>
    </row>
    <row r="1932">
      <c r="A1932" s="2" t="s">
        <v>1922</v>
      </c>
    </row>
    <row r="1933">
      <c r="A1933" s="2" t="s">
        <v>1923</v>
      </c>
    </row>
    <row r="1934">
      <c r="A1934" s="2" t="s">
        <v>1924</v>
      </c>
    </row>
    <row r="1935">
      <c r="A1935" s="2" t="s">
        <v>1925</v>
      </c>
    </row>
    <row r="1936">
      <c r="A1936" s="2" t="s">
        <v>1926</v>
      </c>
    </row>
    <row r="1937">
      <c r="A1937" s="2" t="s">
        <v>1927</v>
      </c>
    </row>
    <row r="1938">
      <c r="A1938" s="2" t="s">
        <v>1928</v>
      </c>
    </row>
    <row r="1939">
      <c r="A1939" s="2" t="s">
        <v>1929</v>
      </c>
    </row>
    <row r="1940">
      <c r="A1940" s="2" t="s">
        <v>1930</v>
      </c>
    </row>
    <row r="1941">
      <c r="A1941" s="2" t="s">
        <v>1931</v>
      </c>
    </row>
    <row r="1942">
      <c r="A1942" s="2" t="s">
        <v>1932</v>
      </c>
    </row>
    <row r="1943">
      <c r="A1943" s="2" t="s">
        <v>1933</v>
      </c>
    </row>
    <row r="1944">
      <c r="A1944" s="2" t="s">
        <v>1934</v>
      </c>
    </row>
    <row r="1945">
      <c r="A1945" s="2" t="s">
        <v>1935</v>
      </c>
    </row>
    <row r="1946">
      <c r="A1946" s="2" t="s">
        <v>1936</v>
      </c>
    </row>
    <row r="1947">
      <c r="A1947" s="2" t="s">
        <v>1937</v>
      </c>
    </row>
    <row r="1948">
      <c r="A1948" s="2" t="s">
        <v>1938</v>
      </c>
    </row>
    <row r="1949">
      <c r="A1949" s="2" t="s">
        <v>1939</v>
      </c>
    </row>
    <row r="1950">
      <c r="A1950" s="2" t="s">
        <v>1940</v>
      </c>
    </row>
    <row r="1951">
      <c r="A1951" s="2" t="s">
        <v>1941</v>
      </c>
    </row>
    <row r="1952">
      <c r="A1952" s="2" t="s">
        <v>1942</v>
      </c>
    </row>
    <row r="1953">
      <c r="A1953" s="2" t="s">
        <v>1943</v>
      </c>
    </row>
    <row r="1954">
      <c r="A1954" s="2" t="s">
        <v>1944</v>
      </c>
    </row>
    <row r="1955">
      <c r="A1955" s="2" t="s">
        <v>1945</v>
      </c>
    </row>
    <row r="1956">
      <c r="A1956" s="2" t="s">
        <v>1946</v>
      </c>
    </row>
    <row r="1957">
      <c r="A1957" s="2" t="s">
        <v>1947</v>
      </c>
    </row>
    <row r="1958">
      <c r="A1958" s="2" t="s">
        <v>1948</v>
      </c>
    </row>
    <row r="1959">
      <c r="A1959" s="2" t="s">
        <v>1949</v>
      </c>
    </row>
    <row r="1960">
      <c r="A1960" s="2" t="s">
        <v>1950</v>
      </c>
    </row>
    <row r="1961">
      <c r="A1961" s="2" t="s">
        <v>1951</v>
      </c>
    </row>
    <row r="1962">
      <c r="A1962" s="2" t="s">
        <v>1952</v>
      </c>
    </row>
    <row r="1963">
      <c r="A1963" s="2" t="s">
        <v>1953</v>
      </c>
    </row>
    <row r="1964">
      <c r="A1964" s="2" t="s">
        <v>1954</v>
      </c>
    </row>
    <row r="1965">
      <c r="A1965" s="2" t="s">
        <v>1955</v>
      </c>
    </row>
    <row r="1966">
      <c r="A1966" s="2" t="s">
        <v>1956</v>
      </c>
    </row>
    <row r="1967">
      <c r="A1967" s="2" t="s">
        <v>1957</v>
      </c>
    </row>
    <row r="1968">
      <c r="A1968" s="2" t="s">
        <v>1958</v>
      </c>
    </row>
    <row r="1969">
      <c r="A1969" s="2" t="s">
        <v>1959</v>
      </c>
    </row>
    <row r="1970">
      <c r="A1970" s="2" t="s">
        <v>1960</v>
      </c>
    </row>
    <row r="1971">
      <c r="A1971" s="2" t="s">
        <v>1961</v>
      </c>
    </row>
    <row r="1972">
      <c r="A1972" s="2" t="s">
        <v>1962</v>
      </c>
    </row>
    <row r="1973">
      <c r="A1973" s="2" t="s">
        <v>1963</v>
      </c>
    </row>
    <row r="1974">
      <c r="A1974" s="2" t="s">
        <v>1964</v>
      </c>
    </row>
    <row r="1975">
      <c r="A1975" s="2" t="s">
        <v>1965</v>
      </c>
    </row>
    <row r="1976">
      <c r="A1976" s="2" t="s">
        <v>1966</v>
      </c>
    </row>
    <row r="1977">
      <c r="A1977" s="2" t="s">
        <v>1967</v>
      </c>
    </row>
    <row r="1978">
      <c r="A1978" s="2" t="s">
        <v>1968</v>
      </c>
    </row>
    <row r="1979">
      <c r="A1979" s="2" t="s">
        <v>1969</v>
      </c>
    </row>
    <row r="1980">
      <c r="A1980" s="2" t="s">
        <v>1970</v>
      </c>
    </row>
    <row r="1981">
      <c r="A1981" s="2" t="s">
        <v>1971</v>
      </c>
    </row>
    <row r="1982">
      <c r="A1982" s="2" t="s">
        <v>1972</v>
      </c>
    </row>
    <row r="1983">
      <c r="A1983" s="2" t="s">
        <v>1973</v>
      </c>
    </row>
    <row r="1984">
      <c r="A1984" s="2" t="s">
        <v>1974</v>
      </c>
    </row>
    <row r="1985">
      <c r="A1985" s="2" t="s">
        <v>1975</v>
      </c>
    </row>
    <row r="1986">
      <c r="A1986" s="2" t="s">
        <v>1976</v>
      </c>
    </row>
    <row r="1987">
      <c r="A1987" s="2" t="s">
        <v>1977</v>
      </c>
    </row>
    <row r="1988">
      <c r="A1988" s="2" t="s">
        <v>1978</v>
      </c>
    </row>
    <row r="1989">
      <c r="A1989" s="2" t="s">
        <v>1979</v>
      </c>
    </row>
    <row r="1990">
      <c r="A1990" s="2" t="s">
        <v>1980</v>
      </c>
    </row>
    <row r="1991">
      <c r="A1991" s="2" t="s">
        <v>1981</v>
      </c>
    </row>
    <row r="1992">
      <c r="A1992" s="2" t="s">
        <v>1982</v>
      </c>
    </row>
    <row r="1993">
      <c r="A1993" s="2" t="s">
        <v>1983</v>
      </c>
    </row>
    <row r="1994">
      <c r="A1994" s="2" t="s">
        <v>1984</v>
      </c>
    </row>
    <row r="1995">
      <c r="A1995" s="2" t="s">
        <v>1985</v>
      </c>
    </row>
    <row r="1996">
      <c r="A1996" s="2" t="s">
        <v>1986</v>
      </c>
    </row>
    <row r="1997">
      <c r="A1997" s="2" t="s">
        <v>1987</v>
      </c>
    </row>
    <row r="1998">
      <c r="A1998" s="2" t="s">
        <v>1988</v>
      </c>
    </row>
    <row r="1999">
      <c r="A1999" s="2" t="s">
        <v>1989</v>
      </c>
    </row>
    <row r="2000">
      <c r="A2000" s="2" t="s">
        <v>1990</v>
      </c>
    </row>
    <row r="2001">
      <c r="A2001" s="2" t="s">
        <v>1991</v>
      </c>
    </row>
    <row r="2002">
      <c r="A2002" s="2" t="s">
        <v>1992</v>
      </c>
    </row>
    <row r="2003">
      <c r="A2003" s="2" t="s">
        <v>1993</v>
      </c>
    </row>
    <row r="2004">
      <c r="A2004" s="2" t="s">
        <v>1994</v>
      </c>
    </row>
    <row r="2005">
      <c r="A2005" s="2" t="s">
        <v>1995</v>
      </c>
    </row>
    <row r="2006">
      <c r="A2006" s="2" t="s">
        <v>1996</v>
      </c>
    </row>
    <row r="2007">
      <c r="A2007" s="2" t="s">
        <v>1997</v>
      </c>
    </row>
    <row r="2008">
      <c r="A2008" s="2" t="s">
        <v>1998</v>
      </c>
    </row>
    <row r="2009">
      <c r="A2009" s="2" t="s">
        <v>1999</v>
      </c>
    </row>
    <row r="2010">
      <c r="A2010" s="2" t="s">
        <v>2000</v>
      </c>
    </row>
    <row r="2011">
      <c r="A2011" s="2" t="s">
        <v>2001</v>
      </c>
    </row>
    <row r="2012">
      <c r="A2012" s="2" t="s">
        <v>2002</v>
      </c>
    </row>
    <row r="2013">
      <c r="A2013" s="2" t="s">
        <v>2003</v>
      </c>
    </row>
    <row r="2014">
      <c r="A2014" s="2" t="s">
        <v>2004</v>
      </c>
    </row>
    <row r="2015">
      <c r="A2015" s="2" t="s">
        <v>2005</v>
      </c>
    </row>
    <row r="2016">
      <c r="A2016" s="2" t="s">
        <v>2006</v>
      </c>
    </row>
    <row r="2017">
      <c r="A2017" s="2" t="s">
        <v>2007</v>
      </c>
    </row>
    <row r="2018">
      <c r="A2018" s="2" t="s">
        <v>2008</v>
      </c>
    </row>
    <row r="2019">
      <c r="A2019" s="2" t="s">
        <v>2009</v>
      </c>
    </row>
    <row r="2020">
      <c r="A2020" s="2" t="s">
        <v>2010</v>
      </c>
    </row>
    <row r="2021">
      <c r="A2021" s="2" t="s">
        <v>2011</v>
      </c>
    </row>
    <row r="2022">
      <c r="A2022" s="2" t="s">
        <v>2012</v>
      </c>
    </row>
    <row r="2023">
      <c r="A2023" s="2" t="s">
        <v>2013</v>
      </c>
    </row>
    <row r="2024">
      <c r="A2024" s="2" t="s">
        <v>2014</v>
      </c>
    </row>
    <row r="2025">
      <c r="A2025" s="2" t="s">
        <v>2015</v>
      </c>
    </row>
    <row r="2026">
      <c r="A2026" s="2" t="s">
        <v>2016</v>
      </c>
    </row>
    <row r="2027">
      <c r="A2027" s="2" t="s">
        <v>2017</v>
      </c>
    </row>
    <row r="2028">
      <c r="A2028" s="2" t="s">
        <v>2018</v>
      </c>
    </row>
    <row r="2029">
      <c r="A2029" s="2" t="s">
        <v>2019</v>
      </c>
    </row>
    <row r="2030">
      <c r="A2030" s="2" t="s">
        <v>2020</v>
      </c>
    </row>
    <row r="2031">
      <c r="A2031" s="2" t="s">
        <v>2021</v>
      </c>
    </row>
    <row r="2032">
      <c r="A2032" s="2" t="s">
        <v>2022</v>
      </c>
    </row>
    <row r="2033">
      <c r="A2033" s="2" t="s">
        <v>2023</v>
      </c>
    </row>
    <row r="2034">
      <c r="A2034" s="2" t="s">
        <v>2024</v>
      </c>
    </row>
    <row r="2035">
      <c r="A2035" s="2" t="s">
        <v>2025</v>
      </c>
    </row>
    <row r="2036">
      <c r="A2036" s="2" t="s">
        <v>2026</v>
      </c>
    </row>
    <row r="2037">
      <c r="A2037" s="2" t="s">
        <v>2027</v>
      </c>
    </row>
    <row r="2038">
      <c r="A2038" s="2" t="s">
        <v>2028</v>
      </c>
    </row>
    <row r="2039">
      <c r="A2039" s="2" t="s">
        <v>216</v>
      </c>
    </row>
    <row r="2040">
      <c r="A2040" s="2" t="s">
        <v>2029</v>
      </c>
    </row>
    <row r="2041">
      <c r="A2041" s="2" t="s">
        <v>2030</v>
      </c>
    </row>
    <row r="2042">
      <c r="A2042" s="2" t="s">
        <v>2031</v>
      </c>
    </row>
    <row r="2043">
      <c r="A2043" s="2" t="s">
        <v>2032</v>
      </c>
    </row>
    <row r="2044">
      <c r="A2044" s="2" t="s">
        <v>2033</v>
      </c>
    </row>
    <row r="2045">
      <c r="A2045" s="2" t="s">
        <v>2034</v>
      </c>
    </row>
    <row r="2046">
      <c r="A2046" s="2" t="s">
        <v>2035</v>
      </c>
    </row>
    <row r="2047">
      <c r="A2047" s="2" t="s">
        <v>2036</v>
      </c>
    </row>
    <row r="2048">
      <c r="A2048" s="2" t="s">
        <v>2037</v>
      </c>
    </row>
    <row r="2049">
      <c r="A2049" s="2" t="s">
        <v>2038</v>
      </c>
    </row>
    <row r="2050">
      <c r="A2050" s="2" t="s">
        <v>2039</v>
      </c>
    </row>
    <row r="2051">
      <c r="A2051" s="2" t="s">
        <v>2040</v>
      </c>
    </row>
    <row r="2052">
      <c r="A2052" s="2" t="s">
        <v>2041</v>
      </c>
    </row>
    <row r="2053">
      <c r="A2053" s="2" t="s">
        <v>2042</v>
      </c>
    </row>
    <row r="2054">
      <c r="A2054" s="2" t="s">
        <v>2043</v>
      </c>
    </row>
    <row r="2055">
      <c r="A2055" s="2" t="s">
        <v>2044</v>
      </c>
    </row>
    <row r="2056">
      <c r="A2056" s="2" t="s">
        <v>2045</v>
      </c>
    </row>
    <row r="2057">
      <c r="A2057" s="2" t="s">
        <v>2046</v>
      </c>
    </row>
    <row r="2058">
      <c r="A2058" s="2" t="s">
        <v>2047</v>
      </c>
    </row>
    <row r="2059">
      <c r="A2059" s="2" t="s">
        <v>2048</v>
      </c>
    </row>
    <row r="2060">
      <c r="A2060" s="2" t="s">
        <v>2049</v>
      </c>
    </row>
    <row r="2061">
      <c r="A2061" s="2" t="s">
        <v>2050</v>
      </c>
    </row>
    <row r="2062">
      <c r="A2062" s="2" t="s">
        <v>2051</v>
      </c>
    </row>
    <row r="2063">
      <c r="A2063" s="2" t="s">
        <v>2052</v>
      </c>
    </row>
    <row r="2064">
      <c r="A2064" s="2" t="s">
        <v>2053</v>
      </c>
    </row>
    <row r="2065">
      <c r="A2065" s="2" t="s">
        <v>2054</v>
      </c>
    </row>
    <row r="2066">
      <c r="A2066" s="2" t="s">
        <v>2055</v>
      </c>
    </row>
    <row r="2067">
      <c r="A2067" s="2" t="s">
        <v>2056</v>
      </c>
    </row>
    <row r="2068">
      <c r="A2068" s="2" t="s">
        <v>2057</v>
      </c>
    </row>
    <row r="2069">
      <c r="A2069" s="2" t="s">
        <v>2058</v>
      </c>
    </row>
    <row r="2070">
      <c r="A2070" s="2" t="s">
        <v>2059</v>
      </c>
    </row>
    <row r="2071">
      <c r="A2071" s="2" t="s">
        <v>2060</v>
      </c>
    </row>
    <row r="2072">
      <c r="A2072" s="2" t="s">
        <v>2061</v>
      </c>
    </row>
    <row r="2073">
      <c r="A2073" s="2" t="s">
        <v>2062</v>
      </c>
    </row>
    <row r="2074">
      <c r="A2074" s="2" t="s">
        <v>2063</v>
      </c>
    </row>
    <row r="2075">
      <c r="A2075" s="2" t="s">
        <v>2064</v>
      </c>
    </row>
    <row r="2076">
      <c r="A2076" s="2" t="s">
        <v>2065</v>
      </c>
    </row>
    <row r="2077">
      <c r="A2077" s="2" t="s">
        <v>2066</v>
      </c>
    </row>
    <row r="2078">
      <c r="A2078" s="2" t="s">
        <v>2067</v>
      </c>
    </row>
    <row r="2079">
      <c r="A2079" s="2" t="s">
        <v>2068</v>
      </c>
    </row>
    <row r="2080">
      <c r="A2080" s="2" t="s">
        <v>2069</v>
      </c>
    </row>
    <row r="2081">
      <c r="A2081" s="2" t="s">
        <v>2070</v>
      </c>
    </row>
    <row r="2082">
      <c r="A2082" s="2" t="s">
        <v>2071</v>
      </c>
    </row>
    <row r="2083">
      <c r="A2083" s="2" t="s">
        <v>2072</v>
      </c>
    </row>
    <row r="2084">
      <c r="A2084" s="2" t="s">
        <v>2073</v>
      </c>
    </row>
    <row r="2085">
      <c r="A2085" s="2" t="s">
        <v>2074</v>
      </c>
    </row>
    <row r="2086">
      <c r="A2086" s="2" t="s">
        <v>2075</v>
      </c>
    </row>
    <row r="2087">
      <c r="A2087" s="2" t="s">
        <v>2076</v>
      </c>
    </row>
    <row r="2088">
      <c r="A2088" s="2" t="s">
        <v>2077</v>
      </c>
    </row>
    <row r="2089">
      <c r="A2089" s="2" t="s">
        <v>2078</v>
      </c>
    </row>
    <row r="2090">
      <c r="A2090" s="2" t="s">
        <v>2079</v>
      </c>
    </row>
    <row r="2091">
      <c r="A2091" s="2" t="s">
        <v>2080</v>
      </c>
    </row>
    <row r="2092">
      <c r="A2092" s="2" t="s">
        <v>2081</v>
      </c>
    </row>
    <row r="2093">
      <c r="A2093" s="2" t="s">
        <v>2082</v>
      </c>
    </row>
    <row r="2094">
      <c r="A2094" s="2" t="s">
        <v>2083</v>
      </c>
    </row>
    <row r="2095">
      <c r="A2095" s="2" t="s">
        <v>2084</v>
      </c>
    </row>
    <row r="2096">
      <c r="A2096" s="2" t="s">
        <v>2085</v>
      </c>
    </row>
    <row r="2097">
      <c r="A2097" s="2" t="s">
        <v>2086</v>
      </c>
    </row>
    <row r="2098">
      <c r="A2098" s="2" t="s">
        <v>2087</v>
      </c>
    </row>
    <row r="2099">
      <c r="A2099" s="2" t="s">
        <v>2088</v>
      </c>
    </row>
    <row r="2100">
      <c r="A2100" s="2" t="s">
        <v>2089</v>
      </c>
    </row>
    <row r="2101">
      <c r="A2101" s="2" t="s">
        <v>2090</v>
      </c>
    </row>
    <row r="2102">
      <c r="A2102" s="2" t="s">
        <v>2091</v>
      </c>
    </row>
    <row r="2103">
      <c r="A2103" s="2" t="s">
        <v>2092</v>
      </c>
    </row>
    <row r="2104">
      <c r="A2104" s="2" t="s">
        <v>2093</v>
      </c>
    </row>
    <row r="2105">
      <c r="A2105" s="2" t="s">
        <v>2094</v>
      </c>
    </row>
    <row r="2106">
      <c r="A2106" s="2" t="s">
        <v>2095</v>
      </c>
    </row>
    <row r="2107">
      <c r="A2107" s="2" t="s">
        <v>2096</v>
      </c>
    </row>
    <row r="2108">
      <c r="A2108" s="2" t="s">
        <v>2097</v>
      </c>
    </row>
    <row r="2109">
      <c r="A2109" s="2" t="s">
        <v>2098</v>
      </c>
    </row>
    <row r="2110">
      <c r="A2110" s="2" t="s">
        <v>2099</v>
      </c>
    </row>
    <row r="2111">
      <c r="A2111" s="2" t="s">
        <v>2100</v>
      </c>
    </row>
    <row r="2112">
      <c r="A2112" s="2" t="s">
        <v>2101</v>
      </c>
    </row>
    <row r="2113">
      <c r="A2113" s="2" t="s">
        <v>2102</v>
      </c>
    </row>
    <row r="2114">
      <c r="A2114" s="2" t="s">
        <v>2103</v>
      </c>
    </row>
    <row r="2115">
      <c r="A2115" s="2" t="s">
        <v>2104</v>
      </c>
    </row>
    <row r="2116">
      <c r="A2116" s="2" t="s">
        <v>2105</v>
      </c>
    </row>
    <row r="2117">
      <c r="A2117" s="2" t="s">
        <v>2106</v>
      </c>
    </row>
    <row r="2118">
      <c r="A2118" s="2" t="s">
        <v>2107</v>
      </c>
    </row>
    <row r="2119">
      <c r="A2119" s="2" t="s">
        <v>2108</v>
      </c>
    </row>
    <row r="2120">
      <c r="A2120" s="2" t="s">
        <v>2109</v>
      </c>
    </row>
    <row r="2121">
      <c r="A2121" s="2" t="s">
        <v>2110</v>
      </c>
    </row>
    <row r="2122">
      <c r="A2122" s="2" t="s">
        <v>2111</v>
      </c>
    </row>
    <row r="2123">
      <c r="A2123" s="2" t="s">
        <v>2112</v>
      </c>
    </row>
    <row r="2124">
      <c r="A2124" s="2" t="s">
        <v>2113</v>
      </c>
    </row>
    <row r="2125">
      <c r="A2125" s="2" t="s">
        <v>2114</v>
      </c>
    </row>
    <row r="2126">
      <c r="A2126" s="2" t="s">
        <v>2115</v>
      </c>
    </row>
    <row r="2127">
      <c r="A2127" s="2" t="s">
        <v>2116</v>
      </c>
    </row>
    <row r="2128">
      <c r="A2128" s="2" t="s">
        <v>2117</v>
      </c>
    </row>
    <row r="2129">
      <c r="A2129" s="2" t="s">
        <v>2118</v>
      </c>
    </row>
    <row r="2130">
      <c r="A2130" s="2" t="s">
        <v>2119</v>
      </c>
    </row>
    <row r="2131">
      <c r="A2131" s="2" t="s">
        <v>2120</v>
      </c>
    </row>
    <row r="2132">
      <c r="A2132" s="2" t="s">
        <v>2121</v>
      </c>
    </row>
    <row r="2133">
      <c r="A2133" s="2" t="s">
        <v>2122</v>
      </c>
    </row>
    <row r="2134">
      <c r="A2134" s="2" t="s">
        <v>2123</v>
      </c>
    </row>
    <row r="2135">
      <c r="A2135" s="2" t="s">
        <v>2124</v>
      </c>
    </row>
    <row r="2136">
      <c r="A2136" s="2" t="s">
        <v>2125</v>
      </c>
    </row>
    <row r="2137">
      <c r="A2137" s="2" t="s">
        <v>2126</v>
      </c>
    </row>
    <row r="2138">
      <c r="A2138" s="2" t="s">
        <v>2127</v>
      </c>
    </row>
    <row r="2139">
      <c r="A2139" s="2" t="s">
        <v>2128</v>
      </c>
    </row>
    <row r="2140">
      <c r="A2140" s="2" t="s">
        <v>2129</v>
      </c>
    </row>
    <row r="2141">
      <c r="A2141" s="2" t="s">
        <v>2130</v>
      </c>
    </row>
    <row r="2142">
      <c r="A2142" s="2" t="s">
        <v>2131</v>
      </c>
    </row>
    <row r="2143">
      <c r="A2143" s="2" t="s">
        <v>2132</v>
      </c>
    </row>
    <row r="2144">
      <c r="A2144" s="2" t="s">
        <v>2133</v>
      </c>
    </row>
    <row r="2145">
      <c r="A2145" s="2" t="s">
        <v>2134</v>
      </c>
    </row>
    <row r="2146">
      <c r="A2146" s="2" t="s">
        <v>2135</v>
      </c>
    </row>
    <row r="2147">
      <c r="A2147" s="2" t="s">
        <v>2136</v>
      </c>
    </row>
    <row r="2148">
      <c r="A2148" s="2" t="s">
        <v>2137</v>
      </c>
    </row>
    <row r="2149">
      <c r="A2149" s="2" t="s">
        <v>2138</v>
      </c>
    </row>
    <row r="2150">
      <c r="A2150" s="2" t="s">
        <v>2139</v>
      </c>
    </row>
    <row r="2151">
      <c r="A2151" s="2" t="s">
        <v>2140</v>
      </c>
    </row>
    <row r="2152">
      <c r="A2152" s="2" t="s">
        <v>2141</v>
      </c>
    </row>
    <row r="2153">
      <c r="A2153" s="2" t="s">
        <v>2142</v>
      </c>
    </row>
    <row r="2154">
      <c r="A2154" s="2" t="s">
        <v>2143</v>
      </c>
    </row>
    <row r="2155">
      <c r="A2155" s="2" t="s">
        <v>2144</v>
      </c>
    </row>
    <row r="2156">
      <c r="A2156" s="2" t="s">
        <v>2145</v>
      </c>
    </row>
    <row r="2157">
      <c r="A2157" s="2" t="s">
        <v>2146</v>
      </c>
    </row>
    <row r="2158">
      <c r="A2158" s="2" t="s">
        <v>2147</v>
      </c>
    </row>
    <row r="2159">
      <c r="A2159" s="2" t="s">
        <v>2148</v>
      </c>
    </row>
    <row r="2160">
      <c r="A2160" s="2" t="s">
        <v>2149</v>
      </c>
    </row>
    <row r="2161">
      <c r="A2161" s="2" t="s">
        <v>2150</v>
      </c>
    </row>
    <row r="2162">
      <c r="A2162" s="2" t="s">
        <v>2151</v>
      </c>
    </row>
    <row r="2163">
      <c r="A2163" s="2" t="s">
        <v>2152</v>
      </c>
    </row>
    <row r="2164">
      <c r="A2164" s="2" t="s">
        <v>2153</v>
      </c>
    </row>
    <row r="2165">
      <c r="A2165" s="2" t="s">
        <v>2154</v>
      </c>
    </row>
    <row r="2166">
      <c r="A2166" s="2" t="s">
        <v>2155</v>
      </c>
    </row>
    <row r="2167">
      <c r="A2167" s="2" t="s">
        <v>2156</v>
      </c>
    </row>
    <row r="2168">
      <c r="A2168" s="2" t="s">
        <v>2157</v>
      </c>
    </row>
    <row r="2169">
      <c r="A2169" s="2" t="s">
        <v>2158</v>
      </c>
    </row>
    <row r="2170">
      <c r="A2170" s="2" t="s">
        <v>2159</v>
      </c>
    </row>
    <row r="2171">
      <c r="A2171" s="2" t="s">
        <v>2160</v>
      </c>
    </row>
    <row r="2172">
      <c r="A2172" s="2" t="s">
        <v>2161</v>
      </c>
    </row>
    <row r="2173">
      <c r="A2173" s="2" t="s">
        <v>2162</v>
      </c>
    </row>
    <row r="2174">
      <c r="A2174" s="2" t="s">
        <v>2163</v>
      </c>
    </row>
    <row r="2175">
      <c r="A2175" s="2" t="s">
        <v>2164</v>
      </c>
    </row>
    <row r="2176">
      <c r="A2176" s="2" t="s">
        <v>2165</v>
      </c>
    </row>
    <row r="2177">
      <c r="A2177" s="2" t="s">
        <v>2166</v>
      </c>
    </row>
    <row r="2178">
      <c r="A2178" s="2" t="s">
        <v>2167</v>
      </c>
    </row>
    <row r="2179">
      <c r="A2179" s="2" t="s">
        <v>2168</v>
      </c>
    </row>
    <row r="2180">
      <c r="A2180" s="2" t="s">
        <v>2169</v>
      </c>
    </row>
    <row r="2181">
      <c r="A2181" s="2" t="s">
        <v>2170</v>
      </c>
    </row>
    <row r="2182">
      <c r="A2182" s="2" t="s">
        <v>2171</v>
      </c>
    </row>
    <row r="2183">
      <c r="A2183" s="2" t="s">
        <v>2172</v>
      </c>
    </row>
    <row r="2184">
      <c r="A2184" s="2" t="s">
        <v>2173</v>
      </c>
    </row>
    <row r="2185">
      <c r="A2185" s="2" t="s">
        <v>2174</v>
      </c>
    </row>
    <row r="2186">
      <c r="A2186" s="2" t="s">
        <v>2175</v>
      </c>
    </row>
    <row r="2187">
      <c r="A2187" s="2" t="s">
        <v>2176</v>
      </c>
    </row>
    <row r="2188">
      <c r="A2188" s="2" t="s">
        <v>2177</v>
      </c>
    </row>
    <row r="2189">
      <c r="A2189" s="2" t="s">
        <v>2178</v>
      </c>
    </row>
    <row r="2190">
      <c r="A2190" s="2" t="s">
        <v>2179</v>
      </c>
    </row>
    <row r="2191">
      <c r="A2191" s="2" t="s">
        <v>2180</v>
      </c>
    </row>
    <row r="2192">
      <c r="A2192" s="2" t="s">
        <v>2181</v>
      </c>
    </row>
    <row r="2193">
      <c r="A2193" s="2" t="s">
        <v>2182</v>
      </c>
    </row>
    <row r="2194">
      <c r="A2194" s="2" t="s">
        <v>2183</v>
      </c>
    </row>
    <row r="2195">
      <c r="A2195" s="2" t="s">
        <v>2184</v>
      </c>
    </row>
    <row r="2196">
      <c r="A2196" s="2" t="s">
        <v>2185</v>
      </c>
    </row>
    <row r="2197">
      <c r="A2197" s="2" t="s">
        <v>2186</v>
      </c>
    </row>
    <row r="2198">
      <c r="A2198" s="2" t="s">
        <v>2187</v>
      </c>
    </row>
    <row r="2199">
      <c r="A2199" s="2" t="s">
        <v>2188</v>
      </c>
    </row>
    <row r="2200">
      <c r="A2200" s="2" t="s">
        <v>2189</v>
      </c>
    </row>
    <row r="2201">
      <c r="A2201" s="2" t="s">
        <v>2190</v>
      </c>
    </row>
    <row r="2202">
      <c r="A2202" s="2" t="s">
        <v>2191</v>
      </c>
    </row>
    <row r="2203">
      <c r="A2203" s="2" t="s">
        <v>2192</v>
      </c>
    </row>
    <row r="2204">
      <c r="A2204" s="2" t="s">
        <v>2193</v>
      </c>
    </row>
    <row r="2205">
      <c r="A2205" s="2" t="s">
        <v>2194</v>
      </c>
    </row>
    <row r="2206">
      <c r="A2206" s="2" t="s">
        <v>2195</v>
      </c>
    </row>
    <row r="2207">
      <c r="A2207" s="2" t="s">
        <v>2196</v>
      </c>
    </row>
    <row r="2208">
      <c r="A2208" s="2" t="s">
        <v>2197</v>
      </c>
    </row>
    <row r="2209">
      <c r="A2209" s="2" t="s">
        <v>2198</v>
      </c>
    </row>
    <row r="2210">
      <c r="A2210" s="2" t="s">
        <v>2199</v>
      </c>
    </row>
    <row r="2211">
      <c r="A2211" s="2" t="s">
        <v>2200</v>
      </c>
    </row>
    <row r="2212">
      <c r="A2212" s="2" t="s">
        <v>2201</v>
      </c>
    </row>
    <row r="2213">
      <c r="A2213" s="2" t="s">
        <v>2202</v>
      </c>
    </row>
    <row r="2214">
      <c r="A2214" s="2" t="s">
        <v>2203</v>
      </c>
    </row>
    <row r="2215">
      <c r="A2215" s="2" t="s">
        <v>2204</v>
      </c>
    </row>
    <row r="2216">
      <c r="A2216" s="2" t="s">
        <v>2205</v>
      </c>
    </row>
    <row r="2217">
      <c r="A2217" s="2" t="s">
        <v>2206</v>
      </c>
    </row>
    <row r="2218">
      <c r="A2218" s="2" t="s">
        <v>2207</v>
      </c>
    </row>
    <row r="2219">
      <c r="A2219" s="2" t="s">
        <v>2208</v>
      </c>
    </row>
    <row r="2220">
      <c r="A2220" s="2" t="s">
        <v>2209</v>
      </c>
    </row>
    <row r="2221">
      <c r="A2221" s="2" t="s">
        <v>2210</v>
      </c>
    </row>
    <row r="2222">
      <c r="A2222" s="2" t="s">
        <v>2211</v>
      </c>
    </row>
    <row r="2223">
      <c r="A2223" s="2" t="s">
        <v>2212</v>
      </c>
    </row>
    <row r="2224">
      <c r="A2224" s="2" t="s">
        <v>2213</v>
      </c>
    </row>
    <row r="2225">
      <c r="A2225" s="2" t="s">
        <v>2214</v>
      </c>
    </row>
    <row r="2226">
      <c r="A2226" s="2" t="s">
        <v>2215</v>
      </c>
    </row>
    <row r="2227">
      <c r="A2227" s="2" t="s">
        <v>2216</v>
      </c>
    </row>
    <row r="2228">
      <c r="A2228" s="2" t="s">
        <v>2217</v>
      </c>
    </row>
    <row r="2229">
      <c r="A2229" s="2" t="s">
        <v>2218</v>
      </c>
    </row>
    <row r="2230">
      <c r="A2230" s="2" t="s">
        <v>2219</v>
      </c>
    </row>
    <row r="2231">
      <c r="A2231" s="2" t="s">
        <v>2220</v>
      </c>
    </row>
    <row r="2232">
      <c r="A2232" s="2" t="s">
        <v>2221</v>
      </c>
    </row>
    <row r="2233">
      <c r="A2233" s="2" t="s">
        <v>2222</v>
      </c>
    </row>
    <row r="2234">
      <c r="A2234" s="2" t="s">
        <v>2223</v>
      </c>
    </row>
    <row r="2235">
      <c r="A2235" s="2" t="s">
        <v>2224</v>
      </c>
    </row>
    <row r="2236">
      <c r="A2236" s="2" t="s">
        <v>2225</v>
      </c>
    </row>
    <row r="2237">
      <c r="A2237" s="2" t="s">
        <v>2226</v>
      </c>
    </row>
    <row r="2238">
      <c r="A2238" s="2" t="s">
        <v>2227</v>
      </c>
    </row>
    <row r="2239">
      <c r="A2239" s="2" t="s">
        <v>2228</v>
      </c>
    </row>
    <row r="2240">
      <c r="A2240" s="2" t="s">
        <v>2229</v>
      </c>
    </row>
    <row r="2241">
      <c r="A2241" s="2" t="s">
        <v>2230</v>
      </c>
    </row>
    <row r="2242">
      <c r="A2242" s="2" t="s">
        <v>2231</v>
      </c>
    </row>
    <row r="2243">
      <c r="A2243" s="2" t="s">
        <v>2232</v>
      </c>
    </row>
    <row r="2244">
      <c r="A2244" s="2" t="s">
        <v>2233</v>
      </c>
    </row>
    <row r="2245">
      <c r="A2245" s="2" t="s">
        <v>2234</v>
      </c>
    </row>
    <row r="2246">
      <c r="A2246" s="2" t="s">
        <v>2235</v>
      </c>
    </row>
    <row r="2247">
      <c r="A2247" s="2" t="s">
        <v>2236</v>
      </c>
    </row>
    <row r="2248">
      <c r="A2248" s="2" t="s">
        <v>2237</v>
      </c>
    </row>
    <row r="2249">
      <c r="A2249" s="2" t="s">
        <v>2238</v>
      </c>
    </row>
    <row r="2250">
      <c r="A2250" s="2" t="s">
        <v>2239</v>
      </c>
    </row>
    <row r="2251">
      <c r="A2251" s="2" t="s">
        <v>2240</v>
      </c>
    </row>
    <row r="2252">
      <c r="A2252" s="2" t="s">
        <v>2241</v>
      </c>
    </row>
    <row r="2253">
      <c r="A2253" s="2" t="s">
        <v>2242</v>
      </c>
    </row>
    <row r="2254">
      <c r="A2254" s="2" t="s">
        <v>2243</v>
      </c>
    </row>
    <row r="2255">
      <c r="A2255" s="2" t="s">
        <v>2244</v>
      </c>
    </row>
    <row r="2256">
      <c r="A2256" s="2" t="s">
        <v>2245</v>
      </c>
    </row>
    <row r="2257">
      <c r="A2257" s="2" t="s">
        <v>2246</v>
      </c>
    </row>
    <row r="2258">
      <c r="A2258" s="2" t="s">
        <v>2247</v>
      </c>
    </row>
    <row r="2259">
      <c r="A2259" s="2" t="s">
        <v>2248</v>
      </c>
    </row>
    <row r="2260">
      <c r="A2260" s="2" t="s">
        <v>2249</v>
      </c>
    </row>
    <row r="2261">
      <c r="A2261" s="2" t="s">
        <v>2250</v>
      </c>
    </row>
    <row r="2262">
      <c r="A2262" s="2" t="s">
        <v>2251</v>
      </c>
    </row>
    <row r="2263">
      <c r="A2263" s="2" t="s">
        <v>2252</v>
      </c>
    </row>
    <row r="2264">
      <c r="A2264" s="2" t="s">
        <v>2253</v>
      </c>
    </row>
    <row r="2265">
      <c r="A2265" s="2" t="s">
        <v>2254</v>
      </c>
    </row>
    <row r="2266">
      <c r="A2266" s="2" t="s">
        <v>2255</v>
      </c>
    </row>
    <row r="2267">
      <c r="A2267" s="2" t="s">
        <v>2256</v>
      </c>
    </row>
    <row r="2268">
      <c r="A2268" s="2" t="s">
        <v>2257</v>
      </c>
    </row>
    <row r="2269">
      <c r="A2269" s="2" t="s">
        <v>2258</v>
      </c>
    </row>
    <row r="2270">
      <c r="A2270" s="2" t="s">
        <v>2259</v>
      </c>
    </row>
    <row r="2271">
      <c r="A2271" s="2" t="s">
        <v>2260</v>
      </c>
    </row>
    <row r="2272">
      <c r="A2272" s="2" t="s">
        <v>2261</v>
      </c>
    </row>
    <row r="2273">
      <c r="A2273" s="2" t="s">
        <v>2262</v>
      </c>
    </row>
    <row r="2274">
      <c r="A2274" s="2" t="s">
        <v>2263</v>
      </c>
    </row>
    <row r="2275">
      <c r="A2275" s="2" t="s">
        <v>2264</v>
      </c>
    </row>
    <row r="2276">
      <c r="A2276" s="2" t="s">
        <v>2265</v>
      </c>
    </row>
    <row r="2277">
      <c r="A2277" s="2" t="s">
        <v>2266</v>
      </c>
    </row>
    <row r="2278">
      <c r="A2278" s="2" t="s">
        <v>2267</v>
      </c>
    </row>
    <row r="2279">
      <c r="A2279" s="2" t="s">
        <v>2268</v>
      </c>
    </row>
    <row r="2280">
      <c r="A2280" s="2" t="s">
        <v>2269</v>
      </c>
    </row>
    <row r="2281">
      <c r="A2281" s="2" t="s">
        <v>2270</v>
      </c>
    </row>
    <row r="2282">
      <c r="A2282" s="2" t="s">
        <v>2271</v>
      </c>
    </row>
    <row r="2283">
      <c r="A2283" s="2" t="s">
        <v>2272</v>
      </c>
    </row>
    <row r="2284">
      <c r="A2284" s="2" t="s">
        <v>2273</v>
      </c>
    </row>
    <row r="2285">
      <c r="A2285" s="2" t="s">
        <v>2274</v>
      </c>
    </row>
    <row r="2286">
      <c r="A2286" s="2" t="s">
        <v>2275</v>
      </c>
    </row>
    <row r="2287">
      <c r="A2287" s="2" t="s">
        <v>2276</v>
      </c>
    </row>
    <row r="2288">
      <c r="A2288" s="2" t="s">
        <v>2277</v>
      </c>
    </row>
    <row r="2289">
      <c r="A2289" s="2" t="s">
        <v>2278</v>
      </c>
    </row>
    <row r="2290">
      <c r="A2290" s="2" t="s">
        <v>2279</v>
      </c>
    </row>
    <row r="2291">
      <c r="A2291" s="2" t="s">
        <v>2280</v>
      </c>
    </row>
    <row r="2292">
      <c r="A2292" s="2" t="s">
        <v>2281</v>
      </c>
    </row>
    <row r="2293">
      <c r="A2293" s="2" t="s">
        <v>2282</v>
      </c>
    </row>
    <row r="2294">
      <c r="A2294" s="2" t="s">
        <v>2283</v>
      </c>
    </row>
    <row r="2295">
      <c r="A2295" s="2" t="s">
        <v>2284</v>
      </c>
    </row>
    <row r="2296">
      <c r="A2296" s="2" t="s">
        <v>2285</v>
      </c>
    </row>
    <row r="2297">
      <c r="A2297" s="2" t="s">
        <v>2286</v>
      </c>
    </row>
    <row r="2298">
      <c r="A2298" s="2" t="s">
        <v>2287</v>
      </c>
    </row>
    <row r="2299">
      <c r="A2299" s="2" t="s">
        <v>2288</v>
      </c>
    </row>
    <row r="2300">
      <c r="A2300" s="2" t="s">
        <v>2289</v>
      </c>
    </row>
    <row r="2301">
      <c r="A2301" s="2" t="s">
        <v>2290</v>
      </c>
    </row>
    <row r="2302">
      <c r="A2302" s="2" t="s">
        <v>2291</v>
      </c>
    </row>
    <row r="2303">
      <c r="A2303" s="2" t="s">
        <v>2292</v>
      </c>
    </row>
    <row r="2304">
      <c r="A2304" s="2" t="s">
        <v>2293</v>
      </c>
    </row>
    <row r="2305">
      <c r="A2305" s="2" t="s">
        <v>2294</v>
      </c>
    </row>
    <row r="2306">
      <c r="A2306" s="2" t="s">
        <v>2295</v>
      </c>
    </row>
    <row r="2307">
      <c r="A2307" s="2" t="s">
        <v>2296</v>
      </c>
    </row>
    <row r="2308">
      <c r="A2308" s="2" t="s">
        <v>2297</v>
      </c>
    </row>
    <row r="2309">
      <c r="A2309" s="2" t="s">
        <v>2298</v>
      </c>
    </row>
    <row r="2310">
      <c r="A2310" s="2" t="s">
        <v>2299</v>
      </c>
    </row>
    <row r="2311">
      <c r="A2311" s="2" t="s">
        <v>2300</v>
      </c>
    </row>
    <row r="2312">
      <c r="A2312" s="2" t="s">
        <v>489</v>
      </c>
    </row>
    <row r="2313">
      <c r="A2313" s="2" t="s">
        <v>2301</v>
      </c>
    </row>
    <row r="2314">
      <c r="A2314" s="2" t="s">
        <v>2302</v>
      </c>
    </row>
    <row r="2315">
      <c r="A2315" s="2" t="s">
        <v>2303</v>
      </c>
    </row>
    <row r="2316">
      <c r="A2316" s="2" t="s">
        <v>2304</v>
      </c>
    </row>
    <row r="2317">
      <c r="A2317" s="2" t="s">
        <v>2305</v>
      </c>
    </row>
    <row r="2318">
      <c r="A2318" s="2" t="s">
        <v>2306</v>
      </c>
    </row>
    <row r="2319">
      <c r="A2319" s="2" t="s">
        <v>2307</v>
      </c>
    </row>
    <row r="2320">
      <c r="A2320" s="2" t="s">
        <v>2308</v>
      </c>
    </row>
    <row r="2321">
      <c r="A2321" s="2" t="s">
        <v>2309</v>
      </c>
    </row>
    <row r="2322">
      <c r="A2322" s="2" t="s">
        <v>2310</v>
      </c>
    </row>
    <row r="2323">
      <c r="A2323" s="2" t="s">
        <v>2311</v>
      </c>
    </row>
    <row r="2324">
      <c r="A2324" s="2" t="s">
        <v>2312</v>
      </c>
    </row>
    <row r="2325">
      <c r="A2325" s="2" t="s">
        <v>2313</v>
      </c>
    </row>
    <row r="2326">
      <c r="A2326" s="2" t="s">
        <v>2314</v>
      </c>
    </row>
    <row r="2327">
      <c r="A2327" s="2" t="s">
        <v>2315</v>
      </c>
    </row>
    <row r="2328">
      <c r="A2328" s="2" t="s">
        <v>2316</v>
      </c>
    </row>
    <row r="2329">
      <c r="A2329" s="2" t="s">
        <v>2317</v>
      </c>
    </row>
    <row r="2330">
      <c r="A2330" s="2" t="s">
        <v>2318</v>
      </c>
    </row>
    <row r="2331">
      <c r="A2331" s="2" t="s">
        <v>2319</v>
      </c>
    </row>
    <row r="2332">
      <c r="A2332" s="2" t="s">
        <v>2320</v>
      </c>
    </row>
    <row r="2333">
      <c r="A2333" s="2" t="s">
        <v>2321</v>
      </c>
    </row>
    <row r="2334">
      <c r="A2334" s="2" t="s">
        <v>2322</v>
      </c>
    </row>
    <row r="2335">
      <c r="A2335" s="2" t="s">
        <v>2323</v>
      </c>
    </row>
    <row r="2336">
      <c r="A2336" s="2" t="s">
        <v>2324</v>
      </c>
    </row>
    <row r="2337">
      <c r="A2337" s="2" t="s">
        <v>2325</v>
      </c>
    </row>
    <row r="2338">
      <c r="A2338" s="2" t="s">
        <v>2326</v>
      </c>
    </row>
    <row r="2339">
      <c r="A2339" s="2" t="s">
        <v>2327</v>
      </c>
    </row>
    <row r="2340">
      <c r="A2340" s="2" t="s">
        <v>2328</v>
      </c>
    </row>
    <row r="2341">
      <c r="A2341" s="2" t="s">
        <v>2329</v>
      </c>
    </row>
    <row r="2342">
      <c r="A2342" s="2" t="s">
        <v>2330</v>
      </c>
    </row>
    <row r="2343">
      <c r="A2343" s="2" t="s">
        <v>2331</v>
      </c>
    </row>
    <row r="2344">
      <c r="A2344" s="2" t="s">
        <v>2332</v>
      </c>
    </row>
    <row r="2345">
      <c r="A2345" s="2" t="s">
        <v>2333</v>
      </c>
    </row>
    <row r="2346">
      <c r="A2346" s="2" t="s">
        <v>2334</v>
      </c>
    </row>
    <row r="2347">
      <c r="A2347" s="2" t="s">
        <v>2335</v>
      </c>
    </row>
    <row r="2348">
      <c r="A2348" s="2" t="s">
        <v>2336</v>
      </c>
    </row>
    <row r="2349">
      <c r="A2349" s="2" t="s">
        <v>2337</v>
      </c>
    </row>
    <row r="2350">
      <c r="A2350" s="2" t="s">
        <v>2338</v>
      </c>
    </row>
    <row r="2351">
      <c r="A2351" s="2" t="s">
        <v>2339</v>
      </c>
    </row>
    <row r="2352">
      <c r="A2352" s="2" t="s">
        <v>2340</v>
      </c>
    </row>
    <row r="2353">
      <c r="A2353" s="2" t="s">
        <v>2341</v>
      </c>
    </row>
    <row r="2354">
      <c r="A2354" s="2" t="s">
        <v>2342</v>
      </c>
    </row>
    <row r="2355">
      <c r="A2355" s="2" t="s">
        <v>2343</v>
      </c>
    </row>
    <row r="2356">
      <c r="A2356" s="2" t="s">
        <v>2344</v>
      </c>
    </row>
    <row r="2357">
      <c r="A2357" s="2" t="s">
        <v>2345</v>
      </c>
    </row>
    <row r="2358">
      <c r="A2358" s="2" t="s">
        <v>2346</v>
      </c>
    </row>
    <row r="2359">
      <c r="A2359" s="2" t="s">
        <v>2347</v>
      </c>
    </row>
    <row r="2360">
      <c r="A2360" s="2" t="s">
        <v>2348</v>
      </c>
    </row>
    <row r="2361">
      <c r="A2361" s="2" t="s">
        <v>2349</v>
      </c>
    </row>
    <row r="2362">
      <c r="A2362" s="2" t="s">
        <v>2350</v>
      </c>
    </row>
    <row r="2363">
      <c r="A2363" s="2" t="s">
        <v>2351</v>
      </c>
    </row>
    <row r="2364">
      <c r="A2364" s="2" t="s">
        <v>2352</v>
      </c>
    </row>
    <row r="2365">
      <c r="A2365" s="2" t="s">
        <v>2353</v>
      </c>
    </row>
    <row r="2366">
      <c r="A2366" s="2" t="s">
        <v>2354</v>
      </c>
    </row>
    <row r="2367">
      <c r="A2367" s="2" t="s">
        <v>2355</v>
      </c>
    </row>
    <row r="2368">
      <c r="A2368" s="2" t="s">
        <v>2356</v>
      </c>
    </row>
    <row r="2369">
      <c r="A2369" s="2" t="s">
        <v>2357</v>
      </c>
    </row>
    <row r="2370">
      <c r="A2370" s="2" t="s">
        <v>2358</v>
      </c>
    </row>
    <row r="2371">
      <c r="A2371" s="2" t="s">
        <v>2359</v>
      </c>
    </row>
    <row r="2372">
      <c r="A2372" s="2" t="s">
        <v>2360</v>
      </c>
    </row>
    <row r="2373">
      <c r="A2373" s="2" t="s">
        <v>2361</v>
      </c>
    </row>
    <row r="2374">
      <c r="A2374" s="2" t="s">
        <v>2362</v>
      </c>
    </row>
    <row r="2375">
      <c r="A2375" s="2" t="s">
        <v>2363</v>
      </c>
    </row>
    <row r="2376">
      <c r="A2376" s="2" t="s">
        <v>2364</v>
      </c>
    </row>
    <row r="2377">
      <c r="A2377" s="2" t="s">
        <v>2365</v>
      </c>
    </row>
    <row r="2378">
      <c r="A2378" s="2" t="s">
        <v>2366</v>
      </c>
    </row>
    <row r="2379">
      <c r="A2379" s="2" t="s">
        <v>2367</v>
      </c>
    </row>
    <row r="2380">
      <c r="A2380" s="2" t="s">
        <v>2368</v>
      </c>
    </row>
    <row r="2381">
      <c r="A2381" s="2" t="s">
        <v>2369</v>
      </c>
    </row>
    <row r="2382">
      <c r="A2382" s="2" t="s">
        <v>2370</v>
      </c>
    </row>
    <row r="2383">
      <c r="A2383" s="2" t="s">
        <v>2371</v>
      </c>
    </row>
    <row r="2384">
      <c r="A2384" s="2" t="s">
        <v>2372</v>
      </c>
    </row>
    <row r="2385">
      <c r="A2385" s="2" t="s">
        <v>2373</v>
      </c>
    </row>
    <row r="2386">
      <c r="A2386" s="2" t="s">
        <v>2374</v>
      </c>
    </row>
    <row r="2387">
      <c r="A2387" s="2" t="s">
        <v>2375</v>
      </c>
    </row>
    <row r="2388">
      <c r="A2388" s="2" t="s">
        <v>2376</v>
      </c>
    </row>
    <row r="2389">
      <c r="A2389" s="2" t="s">
        <v>2377</v>
      </c>
    </row>
    <row r="2390">
      <c r="A2390" s="2" t="s">
        <v>2378</v>
      </c>
    </row>
    <row r="2391">
      <c r="A2391" s="2" t="s">
        <v>2379</v>
      </c>
    </row>
    <row r="2392">
      <c r="A2392" s="2" t="s">
        <v>2380</v>
      </c>
    </row>
    <row r="2393">
      <c r="A2393" s="2" t="s">
        <v>2381</v>
      </c>
    </row>
    <row r="2394">
      <c r="A2394" s="2" t="s">
        <v>2382</v>
      </c>
    </row>
    <row r="2395">
      <c r="A2395" s="2" t="s">
        <v>2383</v>
      </c>
    </row>
    <row r="2396">
      <c r="A2396" s="2" t="s">
        <v>2384</v>
      </c>
    </row>
    <row r="2397">
      <c r="A2397" s="2" t="s">
        <v>2385</v>
      </c>
    </row>
    <row r="2398">
      <c r="A2398" s="2" t="s">
        <v>2386</v>
      </c>
    </row>
    <row r="2399">
      <c r="A2399" s="2" t="s">
        <v>2387</v>
      </c>
    </row>
    <row r="2400">
      <c r="A2400" s="2" t="s">
        <v>2388</v>
      </c>
    </row>
    <row r="2401">
      <c r="A2401" s="2" t="s">
        <v>2389</v>
      </c>
    </row>
    <row r="2402">
      <c r="A2402" s="2" t="s">
        <v>2390</v>
      </c>
    </row>
    <row r="2403">
      <c r="A2403" s="2" t="s">
        <v>2391</v>
      </c>
    </row>
    <row r="2404">
      <c r="A2404" s="2" t="s">
        <v>2392</v>
      </c>
    </row>
    <row r="2405">
      <c r="A2405" s="2" t="s">
        <v>2393</v>
      </c>
    </row>
    <row r="2406">
      <c r="A2406" s="2" t="s">
        <v>2394</v>
      </c>
    </row>
    <row r="2407">
      <c r="A2407" s="2" t="s">
        <v>2395</v>
      </c>
    </row>
    <row r="2408">
      <c r="A2408" s="2" t="s">
        <v>2396</v>
      </c>
    </row>
    <row r="2409">
      <c r="A2409" s="2" t="s">
        <v>2397</v>
      </c>
    </row>
    <row r="2410">
      <c r="A2410" s="2" t="s">
        <v>2398</v>
      </c>
    </row>
    <row r="2411">
      <c r="A2411" s="2" t="s">
        <v>2399</v>
      </c>
    </row>
    <row r="2412">
      <c r="A2412" s="2" t="s">
        <v>2400</v>
      </c>
    </row>
    <row r="2413">
      <c r="A2413" s="2" t="s">
        <v>2401</v>
      </c>
    </row>
    <row r="2414">
      <c r="A2414" s="2" t="s">
        <v>2402</v>
      </c>
    </row>
    <row r="2415">
      <c r="A2415" s="2" t="s">
        <v>2403</v>
      </c>
    </row>
    <row r="2416">
      <c r="A2416" s="2" t="s">
        <v>2404</v>
      </c>
    </row>
    <row r="2417">
      <c r="A2417" s="2" t="s">
        <v>2405</v>
      </c>
    </row>
    <row r="2418">
      <c r="A2418" s="2" t="s">
        <v>2406</v>
      </c>
    </row>
    <row r="2419">
      <c r="A2419" s="2" t="s">
        <v>2407</v>
      </c>
    </row>
    <row r="2420">
      <c r="A2420" s="2" t="s">
        <v>2408</v>
      </c>
    </row>
    <row r="2421">
      <c r="A2421" s="2" t="s">
        <v>2409</v>
      </c>
    </row>
    <row r="2422">
      <c r="A2422" s="2" t="s">
        <v>2410</v>
      </c>
    </row>
    <row r="2423">
      <c r="A2423" s="2" t="s">
        <v>2411</v>
      </c>
    </row>
    <row r="2424">
      <c r="A2424" s="2" t="s">
        <v>2412</v>
      </c>
    </row>
    <row r="2425">
      <c r="A2425" s="2" t="s">
        <v>2413</v>
      </c>
    </row>
    <row r="2426">
      <c r="A2426" s="2" t="s">
        <v>2414</v>
      </c>
    </row>
    <row r="2427">
      <c r="A2427" s="2" t="s">
        <v>2415</v>
      </c>
    </row>
    <row r="2428">
      <c r="A2428" s="2" t="s">
        <v>2416</v>
      </c>
    </row>
    <row r="2429">
      <c r="A2429" s="2" t="s">
        <v>2417</v>
      </c>
    </row>
    <row r="2430">
      <c r="A2430" s="2" t="s">
        <v>2418</v>
      </c>
    </row>
    <row r="2431">
      <c r="A2431" s="2" t="s">
        <v>2419</v>
      </c>
    </row>
    <row r="2432">
      <c r="A2432" s="2" t="s">
        <v>2420</v>
      </c>
    </row>
    <row r="2433">
      <c r="A2433" s="2" t="s">
        <v>2421</v>
      </c>
    </row>
    <row r="2434">
      <c r="A2434" s="2" t="s">
        <v>2422</v>
      </c>
    </row>
    <row r="2435">
      <c r="A2435" s="2" t="s">
        <v>2423</v>
      </c>
    </row>
    <row r="2436">
      <c r="A2436" s="2" t="s">
        <v>2424</v>
      </c>
    </row>
    <row r="2437">
      <c r="A2437" s="2" t="s">
        <v>2425</v>
      </c>
    </row>
    <row r="2438">
      <c r="A2438" s="2" t="s">
        <v>2426</v>
      </c>
    </row>
    <row r="2439">
      <c r="A2439" s="2" t="s">
        <v>2427</v>
      </c>
    </row>
    <row r="2440">
      <c r="A2440" s="2" t="s">
        <v>2428</v>
      </c>
    </row>
    <row r="2441">
      <c r="A2441" s="2" t="s">
        <v>2429</v>
      </c>
    </row>
    <row r="2442">
      <c r="A2442" s="2" t="s">
        <v>2430</v>
      </c>
    </row>
    <row r="2443">
      <c r="A2443" s="2" t="s">
        <v>2431</v>
      </c>
    </row>
    <row r="2444">
      <c r="A2444" s="2" t="s">
        <v>2432</v>
      </c>
    </row>
    <row r="2445">
      <c r="A2445" s="2" t="s">
        <v>2433</v>
      </c>
    </row>
    <row r="2446">
      <c r="A2446" s="2" t="s">
        <v>2434</v>
      </c>
    </row>
    <row r="2447">
      <c r="A2447" s="2" t="s">
        <v>2435</v>
      </c>
    </row>
    <row r="2448">
      <c r="A2448" s="2" t="s">
        <v>2436</v>
      </c>
    </row>
    <row r="2449">
      <c r="A2449" s="2" t="s">
        <v>2437</v>
      </c>
    </row>
    <row r="2450">
      <c r="A2450" s="2" t="s">
        <v>2438</v>
      </c>
    </row>
    <row r="2451">
      <c r="A2451" s="2" t="s">
        <v>2439</v>
      </c>
    </row>
    <row r="2452">
      <c r="A2452" s="2" t="s">
        <v>2440</v>
      </c>
    </row>
    <row r="2453">
      <c r="A2453" s="2" t="s">
        <v>2441</v>
      </c>
    </row>
    <row r="2454">
      <c r="A2454" s="2" t="s">
        <v>2442</v>
      </c>
    </row>
    <row r="2455">
      <c r="A2455" s="2" t="s">
        <v>2443</v>
      </c>
    </row>
    <row r="2456">
      <c r="A2456" s="2" t="s">
        <v>2444</v>
      </c>
    </row>
    <row r="2457">
      <c r="A2457" s="2" t="s">
        <v>2445</v>
      </c>
    </row>
    <row r="2458">
      <c r="A2458" s="2" t="s">
        <v>2446</v>
      </c>
    </row>
    <row r="2459">
      <c r="A2459" s="2" t="s">
        <v>2447</v>
      </c>
    </row>
    <row r="2460">
      <c r="A2460" s="2" t="s">
        <v>2448</v>
      </c>
    </row>
    <row r="2461">
      <c r="A2461" s="2" t="s">
        <v>2449</v>
      </c>
    </row>
    <row r="2462">
      <c r="A2462" s="2" t="s">
        <v>2450</v>
      </c>
    </row>
    <row r="2463">
      <c r="A2463" s="2" t="s">
        <v>2451</v>
      </c>
    </row>
    <row r="2464">
      <c r="A2464" s="2" t="s">
        <v>2452</v>
      </c>
    </row>
    <row r="2465">
      <c r="A2465" s="2" t="s">
        <v>2453</v>
      </c>
    </row>
    <row r="2466">
      <c r="A2466" s="2" t="s">
        <v>2454</v>
      </c>
    </row>
    <row r="2467">
      <c r="A2467" s="2" t="s">
        <v>2455</v>
      </c>
    </row>
    <row r="2468">
      <c r="A2468" s="2" t="s">
        <v>2456</v>
      </c>
    </row>
    <row r="2469">
      <c r="A2469" s="2" t="s">
        <v>2457</v>
      </c>
    </row>
    <row r="2470">
      <c r="A2470" s="2" t="s">
        <v>2458</v>
      </c>
    </row>
    <row r="2471">
      <c r="A2471" s="2" t="s">
        <v>2459</v>
      </c>
    </row>
    <row r="2472">
      <c r="A2472" s="2" t="s">
        <v>2460</v>
      </c>
    </row>
    <row r="2473">
      <c r="A2473" s="2" t="s">
        <v>2461</v>
      </c>
    </row>
    <row r="2474">
      <c r="A2474" s="2" t="s">
        <v>2462</v>
      </c>
    </row>
    <row r="2475">
      <c r="A2475" s="2" t="s">
        <v>2463</v>
      </c>
    </row>
    <row r="2476">
      <c r="A2476" s="2" t="s">
        <v>2464</v>
      </c>
    </row>
    <row r="2477">
      <c r="A2477" s="2" t="s">
        <v>2465</v>
      </c>
    </row>
    <row r="2478">
      <c r="A2478" s="2" t="s">
        <v>2466</v>
      </c>
    </row>
    <row r="2479">
      <c r="A2479" s="2" t="s">
        <v>2467</v>
      </c>
    </row>
    <row r="2480">
      <c r="A2480" s="2" t="s">
        <v>2468</v>
      </c>
    </row>
    <row r="2481">
      <c r="A2481" s="2" t="s">
        <v>2469</v>
      </c>
    </row>
    <row r="2482">
      <c r="A2482" s="2" t="s">
        <v>2470</v>
      </c>
    </row>
    <row r="2483">
      <c r="A2483" s="2" t="s">
        <v>2471</v>
      </c>
    </row>
    <row r="2484">
      <c r="A2484" s="2" t="s">
        <v>2472</v>
      </c>
    </row>
    <row r="2485">
      <c r="A2485" s="2" t="s">
        <v>2473</v>
      </c>
    </row>
    <row r="2486">
      <c r="A2486" s="2" t="s">
        <v>2474</v>
      </c>
    </row>
    <row r="2487">
      <c r="A2487" s="2" t="s">
        <v>2475</v>
      </c>
    </row>
    <row r="2488">
      <c r="A2488" s="2" t="s">
        <v>2476</v>
      </c>
    </row>
    <row r="2489">
      <c r="A2489" s="2" t="s">
        <v>888</v>
      </c>
    </row>
    <row r="2490">
      <c r="A2490" s="2" t="s">
        <v>2477</v>
      </c>
    </row>
    <row r="2491">
      <c r="A2491" s="2" t="s">
        <v>2478</v>
      </c>
    </row>
    <row r="2492">
      <c r="A2492" s="2" t="s">
        <v>2479</v>
      </c>
    </row>
    <row r="2493">
      <c r="A2493" s="2" t="s">
        <v>2480</v>
      </c>
    </row>
    <row r="2494">
      <c r="A2494" s="2" t="s">
        <v>2481</v>
      </c>
    </row>
    <row r="2495">
      <c r="A2495" s="2" t="s">
        <v>2482</v>
      </c>
    </row>
    <row r="2496">
      <c r="A2496" s="2" t="s">
        <v>2483</v>
      </c>
    </row>
    <row r="2497">
      <c r="A2497" s="2" t="s">
        <v>2484</v>
      </c>
    </row>
    <row r="2498">
      <c r="A2498" s="2" t="s">
        <v>2485</v>
      </c>
    </row>
    <row r="2499">
      <c r="A2499" s="2" t="s">
        <v>2486</v>
      </c>
    </row>
    <row r="2500">
      <c r="A2500" s="2" t="s">
        <v>2487</v>
      </c>
    </row>
    <row r="2501">
      <c r="A2501" s="2" t="s">
        <v>2488</v>
      </c>
    </row>
    <row r="2502">
      <c r="A2502" s="2" t="s">
        <v>2489</v>
      </c>
    </row>
    <row r="2503">
      <c r="A2503" s="2" t="s">
        <v>2490</v>
      </c>
    </row>
    <row r="2504">
      <c r="A2504" s="2" t="s">
        <v>928</v>
      </c>
    </row>
    <row r="2505">
      <c r="A2505" s="2" t="s">
        <v>2491</v>
      </c>
    </row>
    <row r="2506">
      <c r="A2506" s="2" t="s">
        <v>922</v>
      </c>
    </row>
    <row r="2507">
      <c r="A2507" s="2" t="s">
        <v>2492</v>
      </c>
    </row>
    <row r="2508">
      <c r="A2508" s="2" t="s">
        <v>2493</v>
      </c>
    </row>
    <row r="2509">
      <c r="A2509" s="2" t="s">
        <v>2494</v>
      </c>
    </row>
    <row r="2510">
      <c r="A2510" s="2" t="s">
        <v>2495</v>
      </c>
    </row>
    <row r="2511">
      <c r="A2511" s="2" t="s">
        <v>2496</v>
      </c>
    </row>
    <row r="2512">
      <c r="A2512" s="2" t="s">
        <v>2497</v>
      </c>
    </row>
    <row r="2513">
      <c r="A2513" s="2" t="s">
        <v>2498</v>
      </c>
    </row>
    <row r="2514">
      <c r="A2514" s="2" t="s">
        <v>2499</v>
      </c>
    </row>
    <row r="2515">
      <c r="A2515" s="2" t="s">
        <v>2500</v>
      </c>
    </row>
    <row r="2516">
      <c r="A2516" s="2" t="s">
        <v>2501</v>
      </c>
    </row>
    <row r="2517">
      <c r="A2517" s="2" t="s">
        <v>2502</v>
      </c>
    </row>
    <row r="2518">
      <c r="A2518" s="2" t="s">
        <v>2503</v>
      </c>
    </row>
    <row r="2519">
      <c r="A2519" s="2" t="s">
        <v>2504</v>
      </c>
    </row>
    <row r="2520">
      <c r="A2520" s="2" t="s">
        <v>2505</v>
      </c>
    </row>
    <row r="2521">
      <c r="A2521" s="2" t="s">
        <v>2506</v>
      </c>
    </row>
    <row r="2522">
      <c r="A2522" s="2" t="s">
        <v>2507</v>
      </c>
    </row>
    <row r="2523">
      <c r="A2523" s="2" t="s">
        <v>2508</v>
      </c>
    </row>
    <row r="2524">
      <c r="A2524" s="2" t="s">
        <v>2509</v>
      </c>
    </row>
    <row r="2525">
      <c r="A2525" s="2" t="s">
        <v>2510</v>
      </c>
    </row>
    <row r="2526">
      <c r="A2526" s="2" t="s">
        <v>2511</v>
      </c>
    </row>
    <row r="2527">
      <c r="A2527" s="2" t="s">
        <v>2512</v>
      </c>
    </row>
    <row r="2528">
      <c r="A2528" s="2" t="s">
        <v>2513</v>
      </c>
    </row>
    <row r="2529">
      <c r="A2529" s="2" t="s">
        <v>2514</v>
      </c>
    </row>
    <row r="2530">
      <c r="A2530" s="2" t="s">
        <v>2515</v>
      </c>
    </row>
    <row r="2531">
      <c r="A2531" s="2" t="s">
        <v>2516</v>
      </c>
    </row>
    <row r="2532">
      <c r="A2532" s="2" t="s">
        <v>2517</v>
      </c>
    </row>
    <row r="2533">
      <c r="A2533" s="2" t="s">
        <v>2518</v>
      </c>
    </row>
    <row r="2534">
      <c r="A2534" s="2" t="s">
        <v>2519</v>
      </c>
    </row>
    <row r="2535">
      <c r="A2535" s="2" t="s">
        <v>2520</v>
      </c>
    </row>
    <row r="2536">
      <c r="A2536" s="2" t="s">
        <v>2521</v>
      </c>
    </row>
    <row r="2537">
      <c r="A2537" s="2" t="s">
        <v>2522</v>
      </c>
    </row>
    <row r="2538">
      <c r="A2538" s="2" t="s">
        <v>2523</v>
      </c>
    </row>
    <row r="2539">
      <c r="A2539" s="2" t="s">
        <v>2524</v>
      </c>
    </row>
    <row r="2540">
      <c r="A2540" s="2" t="s">
        <v>2525</v>
      </c>
    </row>
    <row r="2541">
      <c r="A2541" s="2" t="s">
        <v>2526</v>
      </c>
    </row>
    <row r="2542">
      <c r="A2542" s="2" t="s">
        <v>2527</v>
      </c>
    </row>
    <row r="2543">
      <c r="A2543" s="2" t="s">
        <v>2528</v>
      </c>
    </row>
    <row r="2544">
      <c r="A2544" s="2" t="s">
        <v>2529</v>
      </c>
    </row>
    <row r="2545">
      <c r="A2545" s="2" t="s">
        <v>2530</v>
      </c>
    </row>
    <row r="2546">
      <c r="A2546" s="2" t="s">
        <v>2531</v>
      </c>
    </row>
    <row r="2547">
      <c r="A2547" s="2" t="s">
        <v>2532</v>
      </c>
    </row>
    <row r="2548">
      <c r="A2548" s="2" t="s">
        <v>2533</v>
      </c>
    </row>
    <row r="2549">
      <c r="A2549" s="2" t="s">
        <v>2534</v>
      </c>
    </row>
    <row r="2550">
      <c r="A2550" s="2" t="s">
        <v>2535</v>
      </c>
    </row>
    <row r="2551">
      <c r="A2551" s="2" t="s">
        <v>2536</v>
      </c>
    </row>
    <row r="2552">
      <c r="A2552" s="2" t="s">
        <v>2537</v>
      </c>
    </row>
    <row r="2553">
      <c r="A2553" s="2" t="s">
        <v>2538</v>
      </c>
    </row>
    <row r="2554">
      <c r="A2554" s="2" t="s">
        <v>2539</v>
      </c>
    </row>
    <row r="2555">
      <c r="A2555" s="2" t="s">
        <v>2540</v>
      </c>
    </row>
    <row r="2556">
      <c r="A2556" s="2" t="s">
        <v>2541</v>
      </c>
    </row>
    <row r="2557">
      <c r="A2557" s="2" t="s">
        <v>2542</v>
      </c>
    </row>
    <row r="2558">
      <c r="A2558" s="2" t="s">
        <v>2543</v>
      </c>
    </row>
    <row r="2559">
      <c r="A2559" s="2" t="s">
        <v>2544</v>
      </c>
    </row>
    <row r="2560">
      <c r="A2560" s="2" t="s">
        <v>2545</v>
      </c>
    </row>
    <row r="2561">
      <c r="A2561" s="2" t="s">
        <v>2546</v>
      </c>
    </row>
    <row r="2562">
      <c r="A2562" s="2" t="s">
        <v>2547</v>
      </c>
    </row>
    <row r="2563">
      <c r="A2563" s="2" t="s">
        <v>2548</v>
      </c>
    </row>
    <row r="2564">
      <c r="A2564" s="2" t="s">
        <v>2549</v>
      </c>
    </row>
    <row r="2565">
      <c r="A2565" s="2" t="s">
        <v>2550</v>
      </c>
    </row>
    <row r="2566">
      <c r="A2566" s="2" t="s">
        <v>2551</v>
      </c>
    </row>
    <row r="2567">
      <c r="A2567" s="2" t="s">
        <v>2552</v>
      </c>
    </row>
    <row r="2568">
      <c r="A2568" s="2" t="s">
        <v>2553</v>
      </c>
    </row>
    <row r="2569">
      <c r="A2569" s="2" t="s">
        <v>2554</v>
      </c>
    </row>
    <row r="2570">
      <c r="A2570" s="2" t="s">
        <v>2555</v>
      </c>
    </row>
    <row r="2571">
      <c r="A2571" s="2" t="s">
        <v>2556</v>
      </c>
    </row>
    <row r="2572">
      <c r="A2572" s="2" t="s">
        <v>2557</v>
      </c>
    </row>
    <row r="2573">
      <c r="A2573" s="2" t="s">
        <v>2558</v>
      </c>
    </row>
    <row r="2574">
      <c r="A2574" s="2" t="s">
        <v>2559</v>
      </c>
    </row>
    <row r="2575">
      <c r="A2575" s="2" t="s">
        <v>2560</v>
      </c>
    </row>
    <row r="2576">
      <c r="A2576" s="2" t="s">
        <v>2561</v>
      </c>
    </row>
    <row r="2577">
      <c r="A2577" s="2" t="s">
        <v>2562</v>
      </c>
    </row>
    <row r="2578">
      <c r="A2578" s="2" t="s">
        <v>2563</v>
      </c>
    </row>
    <row r="2579">
      <c r="A2579" s="2" t="s">
        <v>2564</v>
      </c>
    </row>
    <row r="2580">
      <c r="A2580" s="2" t="s">
        <v>2565</v>
      </c>
    </row>
    <row r="2581">
      <c r="A2581" s="2" t="s">
        <v>2566</v>
      </c>
    </row>
    <row r="2582">
      <c r="A2582" s="2" t="s">
        <v>2567</v>
      </c>
    </row>
    <row r="2583">
      <c r="A2583" s="2" t="s">
        <v>2568</v>
      </c>
    </row>
    <row r="2584">
      <c r="A2584" s="2" t="s">
        <v>2569</v>
      </c>
    </row>
    <row r="2585">
      <c r="A2585" s="2" t="s">
        <v>2570</v>
      </c>
    </row>
    <row r="2586">
      <c r="A2586" s="2" t="s">
        <v>2571</v>
      </c>
    </row>
    <row r="2587">
      <c r="A2587" s="2" t="s">
        <v>2572</v>
      </c>
    </row>
    <row r="2588">
      <c r="A2588" s="2" t="s">
        <v>2573</v>
      </c>
    </row>
    <row r="2589">
      <c r="A2589" s="2" t="s">
        <v>2574</v>
      </c>
    </row>
    <row r="2590">
      <c r="A2590" s="2" t="s">
        <v>2575</v>
      </c>
    </row>
    <row r="2591">
      <c r="A2591" s="2" t="s">
        <v>2576</v>
      </c>
    </row>
    <row r="2592">
      <c r="A2592" s="2" t="s">
        <v>2577</v>
      </c>
    </row>
    <row r="2593">
      <c r="A2593" s="2" t="s">
        <v>2578</v>
      </c>
    </row>
    <row r="2594">
      <c r="A2594" s="2" t="s">
        <v>2579</v>
      </c>
    </row>
    <row r="2595">
      <c r="A2595" s="2" t="s">
        <v>2580</v>
      </c>
    </row>
    <row r="2596">
      <c r="A2596" s="2" t="s">
        <v>2581</v>
      </c>
    </row>
    <row r="2597">
      <c r="A2597" s="2" t="s">
        <v>2582</v>
      </c>
    </row>
    <row r="2598">
      <c r="A2598" s="2" t="s">
        <v>2583</v>
      </c>
    </row>
    <row r="2599">
      <c r="A2599" s="2" t="s">
        <v>2584</v>
      </c>
    </row>
    <row r="2600">
      <c r="A2600" s="2" t="s">
        <v>2585</v>
      </c>
    </row>
    <row r="2601">
      <c r="A2601" s="2" t="s">
        <v>2586</v>
      </c>
    </row>
    <row r="2602">
      <c r="A2602" s="2" t="s">
        <v>2587</v>
      </c>
    </row>
    <row r="2603">
      <c r="A2603" s="2" t="s">
        <v>2588</v>
      </c>
    </row>
    <row r="2604">
      <c r="A2604" s="2" t="s">
        <v>2589</v>
      </c>
    </row>
    <row r="2605">
      <c r="A2605" s="2" t="s">
        <v>2590</v>
      </c>
    </row>
    <row r="2606">
      <c r="A2606" s="2" t="s">
        <v>2591</v>
      </c>
    </row>
    <row r="2607">
      <c r="A2607" s="2" t="s">
        <v>2592</v>
      </c>
    </row>
    <row r="2608">
      <c r="A2608" s="2" t="s">
        <v>2593</v>
      </c>
    </row>
    <row r="2609">
      <c r="A2609" s="2" t="s">
        <v>2594</v>
      </c>
    </row>
    <row r="2610">
      <c r="A2610" s="2" t="s">
        <v>2595</v>
      </c>
    </row>
    <row r="2611">
      <c r="A2611" s="2" t="s">
        <v>2596</v>
      </c>
    </row>
    <row r="2612">
      <c r="A2612" s="2" t="s">
        <v>2597</v>
      </c>
    </row>
    <row r="2613">
      <c r="A2613" s="2" t="s">
        <v>2598</v>
      </c>
    </row>
    <row r="2614">
      <c r="A2614" s="2" t="s">
        <v>2599</v>
      </c>
    </row>
    <row r="2615">
      <c r="A2615" s="2" t="s">
        <v>2600</v>
      </c>
    </row>
    <row r="2616">
      <c r="A2616" s="2" t="s">
        <v>2601</v>
      </c>
    </row>
    <row r="2617">
      <c r="A2617" s="2" t="s">
        <v>2602</v>
      </c>
    </row>
    <row r="2618">
      <c r="A2618" s="2" t="s">
        <v>2603</v>
      </c>
    </row>
    <row r="2619">
      <c r="A2619" s="2" t="s">
        <v>2604</v>
      </c>
    </row>
    <row r="2620">
      <c r="A2620" s="2" t="s">
        <v>2605</v>
      </c>
    </row>
    <row r="2621">
      <c r="A2621" s="2" t="s">
        <v>2606</v>
      </c>
    </row>
    <row r="2622">
      <c r="A2622" s="2" t="s">
        <v>2607</v>
      </c>
    </row>
    <row r="2623">
      <c r="A2623" s="2" t="s">
        <v>2608</v>
      </c>
    </row>
    <row r="2624">
      <c r="A2624" s="2" t="s">
        <v>2609</v>
      </c>
    </row>
    <row r="2625">
      <c r="A2625" s="2" t="s">
        <v>2610</v>
      </c>
    </row>
    <row r="2626">
      <c r="A2626" s="2" t="s">
        <v>2611</v>
      </c>
    </row>
    <row r="2627">
      <c r="A2627" s="2" t="s">
        <v>2612</v>
      </c>
    </row>
    <row r="2628">
      <c r="A2628" s="2" t="s">
        <v>2613</v>
      </c>
    </row>
    <row r="2629">
      <c r="A2629" s="2" t="s">
        <v>2614</v>
      </c>
    </row>
    <row r="2630">
      <c r="A2630" s="2" t="s">
        <v>2615</v>
      </c>
    </row>
    <row r="2631">
      <c r="A2631" s="2" t="s">
        <v>2616</v>
      </c>
    </row>
    <row r="2632">
      <c r="A2632" s="2" t="s">
        <v>2617</v>
      </c>
    </row>
    <row r="2633">
      <c r="A2633" s="2" t="s">
        <v>2618</v>
      </c>
    </row>
    <row r="2634">
      <c r="A2634" s="2" t="s">
        <v>2619</v>
      </c>
    </row>
    <row r="2635">
      <c r="A2635" s="2" t="s">
        <v>2620</v>
      </c>
    </row>
    <row r="2636">
      <c r="A2636" s="2" t="s">
        <v>2621</v>
      </c>
    </row>
    <row r="2637">
      <c r="A2637" s="2" t="s">
        <v>2622</v>
      </c>
    </row>
    <row r="2638">
      <c r="A2638" s="2" t="s">
        <v>2623</v>
      </c>
    </row>
    <row r="2639">
      <c r="A2639" s="2" t="s">
        <v>2624</v>
      </c>
    </row>
    <row r="2640">
      <c r="A2640" s="2" t="s">
        <v>2625</v>
      </c>
    </row>
    <row r="2641">
      <c r="A2641" s="2" t="s">
        <v>2626</v>
      </c>
    </row>
    <row r="2642">
      <c r="A2642" s="2" t="s">
        <v>2627</v>
      </c>
    </row>
    <row r="2643">
      <c r="A2643" s="2" t="s">
        <v>2628</v>
      </c>
    </row>
    <row r="2644">
      <c r="A2644" s="2" t="s">
        <v>2629</v>
      </c>
    </row>
    <row r="2645">
      <c r="A2645" s="2" t="s">
        <v>2630</v>
      </c>
    </row>
    <row r="2646">
      <c r="A2646" s="2" t="s">
        <v>2631</v>
      </c>
    </row>
    <row r="2647">
      <c r="A2647" s="2" t="s">
        <v>2632</v>
      </c>
    </row>
    <row r="2648">
      <c r="A2648" s="2" t="s">
        <v>2633</v>
      </c>
    </row>
    <row r="2649">
      <c r="A2649" s="2" t="s">
        <v>2634</v>
      </c>
    </row>
    <row r="2650">
      <c r="A2650" s="2" t="s">
        <v>2635</v>
      </c>
    </row>
    <row r="2651">
      <c r="A2651" s="2" t="s">
        <v>2636</v>
      </c>
    </row>
    <row r="2652">
      <c r="A2652" s="2" t="s">
        <v>2637</v>
      </c>
    </row>
    <row r="2653">
      <c r="A2653" s="2" t="s">
        <v>2638</v>
      </c>
    </row>
    <row r="2654">
      <c r="A2654" s="2" t="s">
        <v>2639</v>
      </c>
    </row>
    <row r="2655">
      <c r="A2655" s="2" t="s">
        <v>2640</v>
      </c>
    </row>
    <row r="2656">
      <c r="A2656" s="2" t="s">
        <v>2641</v>
      </c>
    </row>
    <row r="2657">
      <c r="A2657" s="2" t="s">
        <v>2642</v>
      </c>
    </row>
    <row r="2658">
      <c r="A2658" s="2" t="s">
        <v>2643</v>
      </c>
    </row>
    <row r="2659">
      <c r="A2659" s="2" t="s">
        <v>2644</v>
      </c>
    </row>
    <row r="2660">
      <c r="A2660" s="2" t="s">
        <v>2645</v>
      </c>
    </row>
    <row r="2661">
      <c r="A2661" s="2" t="s">
        <v>2646</v>
      </c>
    </row>
    <row r="2662">
      <c r="A2662" s="2" t="s">
        <v>2647</v>
      </c>
    </row>
    <row r="2663">
      <c r="A2663" s="2" t="s">
        <v>2648</v>
      </c>
    </row>
    <row r="2664">
      <c r="A2664" s="2" t="s">
        <v>2649</v>
      </c>
    </row>
    <row r="2665">
      <c r="A2665" s="2" t="s">
        <v>2650</v>
      </c>
    </row>
    <row r="2666">
      <c r="A2666" s="2" t="s">
        <v>2651</v>
      </c>
    </row>
    <row r="2667">
      <c r="A2667" s="2" t="s">
        <v>2652</v>
      </c>
    </row>
    <row r="2668">
      <c r="A2668" s="2" t="s">
        <v>2653</v>
      </c>
    </row>
    <row r="2669">
      <c r="A2669" s="2" t="s">
        <v>2654</v>
      </c>
    </row>
    <row r="2670">
      <c r="A2670" s="2" t="s">
        <v>2655</v>
      </c>
    </row>
    <row r="2671">
      <c r="A2671" s="2" t="s">
        <v>2656</v>
      </c>
    </row>
    <row r="2672">
      <c r="A2672" s="2" t="s">
        <v>2657</v>
      </c>
    </row>
    <row r="2673">
      <c r="A2673" s="2" t="s">
        <v>2658</v>
      </c>
    </row>
    <row r="2674">
      <c r="A2674" s="2" t="s">
        <v>2659</v>
      </c>
    </row>
    <row r="2675">
      <c r="A2675" s="2" t="s">
        <v>2660</v>
      </c>
    </row>
    <row r="2676">
      <c r="A2676" s="2" t="s">
        <v>2661</v>
      </c>
    </row>
    <row r="2677">
      <c r="A2677" s="2" t="s">
        <v>2662</v>
      </c>
    </row>
    <row r="2678">
      <c r="A2678" s="2" t="s">
        <v>2663</v>
      </c>
    </row>
    <row r="2679">
      <c r="A2679" s="2" t="s">
        <v>2664</v>
      </c>
    </row>
    <row r="2680">
      <c r="A2680" s="2" t="s">
        <v>2665</v>
      </c>
    </row>
    <row r="2681">
      <c r="A2681" s="2" t="s">
        <v>2666</v>
      </c>
    </row>
    <row r="2682">
      <c r="A2682" s="2" t="s">
        <v>2667</v>
      </c>
    </row>
    <row r="2683">
      <c r="A2683" s="2" t="s">
        <v>2668</v>
      </c>
    </row>
    <row r="2684">
      <c r="A2684" s="2" t="s">
        <v>2669</v>
      </c>
    </row>
    <row r="2685">
      <c r="A2685" s="2" t="s">
        <v>2670</v>
      </c>
    </row>
    <row r="2686">
      <c r="A2686" s="2" t="s">
        <v>2671</v>
      </c>
    </row>
    <row r="2687">
      <c r="A2687" s="2" t="s">
        <v>2672</v>
      </c>
    </row>
    <row r="2688">
      <c r="A2688" s="2" t="s">
        <v>2673</v>
      </c>
    </row>
    <row r="2689">
      <c r="A2689" s="2" t="s">
        <v>2674</v>
      </c>
    </row>
    <row r="2690">
      <c r="A2690" s="2" t="s">
        <v>2675</v>
      </c>
    </row>
    <row r="2691">
      <c r="A2691" s="2" t="s">
        <v>2676</v>
      </c>
    </row>
    <row r="2692">
      <c r="A2692" s="2" t="s">
        <v>2677</v>
      </c>
    </row>
    <row r="2693">
      <c r="A2693" s="2" t="s">
        <v>2678</v>
      </c>
    </row>
    <row r="2694">
      <c r="A2694" s="2" t="s">
        <v>2679</v>
      </c>
    </row>
    <row r="2695">
      <c r="A2695" s="2" t="s">
        <v>2680</v>
      </c>
    </row>
    <row r="2696">
      <c r="A2696" s="2" t="s">
        <v>2681</v>
      </c>
    </row>
    <row r="2697">
      <c r="A2697" s="2" t="s">
        <v>2682</v>
      </c>
    </row>
    <row r="2698">
      <c r="A2698" s="2" t="s">
        <v>2683</v>
      </c>
    </row>
    <row r="2699">
      <c r="A2699" s="2" t="s">
        <v>2684</v>
      </c>
    </row>
    <row r="2700">
      <c r="A2700" s="2" t="s">
        <v>2685</v>
      </c>
    </row>
    <row r="2701">
      <c r="A2701" s="2" t="s">
        <v>2686</v>
      </c>
    </row>
    <row r="2702">
      <c r="A2702" s="2" t="s">
        <v>2687</v>
      </c>
    </row>
    <row r="2703">
      <c r="A2703" s="2" t="s">
        <v>2688</v>
      </c>
    </row>
    <row r="2704">
      <c r="A2704" s="2" t="s">
        <v>2689</v>
      </c>
    </row>
    <row r="2705">
      <c r="A2705" s="2" t="s">
        <v>2690</v>
      </c>
    </row>
    <row r="2706">
      <c r="A2706" s="2" t="s">
        <v>2691</v>
      </c>
    </row>
    <row r="2707">
      <c r="A2707" s="2" t="s">
        <v>2692</v>
      </c>
    </row>
    <row r="2708">
      <c r="A2708" s="2" t="s">
        <v>2693</v>
      </c>
    </row>
    <row r="2709">
      <c r="A2709" s="2" t="s">
        <v>2694</v>
      </c>
    </row>
    <row r="2710">
      <c r="A2710" s="2" t="s">
        <v>2695</v>
      </c>
    </row>
    <row r="2711">
      <c r="A2711" s="2" t="s">
        <v>2696</v>
      </c>
    </row>
    <row r="2712">
      <c r="A2712" s="2" t="s">
        <v>2697</v>
      </c>
    </row>
    <row r="2713">
      <c r="A2713" s="2" t="s">
        <v>2698</v>
      </c>
    </row>
    <row r="2714">
      <c r="A2714" s="2" t="s">
        <v>2699</v>
      </c>
    </row>
    <row r="2715">
      <c r="A2715" s="2" t="s">
        <v>2700</v>
      </c>
    </row>
    <row r="2716">
      <c r="A2716" s="2" t="s">
        <v>2701</v>
      </c>
    </row>
    <row r="2717">
      <c r="A2717" s="2" t="s">
        <v>2702</v>
      </c>
    </row>
    <row r="2718">
      <c r="A2718" s="2" t="s">
        <v>2703</v>
      </c>
    </row>
    <row r="2719">
      <c r="A2719" s="2" t="s">
        <v>2704</v>
      </c>
    </row>
    <row r="2720">
      <c r="A2720" s="2" t="s">
        <v>2705</v>
      </c>
    </row>
    <row r="2721">
      <c r="A2721" s="2" t="s">
        <v>2706</v>
      </c>
    </row>
    <row r="2722">
      <c r="A2722" s="2" t="s">
        <v>2707</v>
      </c>
    </row>
    <row r="2723">
      <c r="A2723" s="2" t="s">
        <v>2708</v>
      </c>
    </row>
    <row r="2724">
      <c r="A2724" s="2" t="s">
        <v>2709</v>
      </c>
    </row>
    <row r="2725">
      <c r="A2725" s="2" t="s">
        <v>2710</v>
      </c>
    </row>
    <row r="2726">
      <c r="A2726" s="2" t="s">
        <v>2711</v>
      </c>
    </row>
    <row r="2727">
      <c r="A2727" s="2" t="s">
        <v>2712</v>
      </c>
    </row>
    <row r="2728">
      <c r="A2728" s="2" t="s">
        <v>2713</v>
      </c>
    </row>
    <row r="2729">
      <c r="A2729" s="2" t="s">
        <v>2714</v>
      </c>
    </row>
    <row r="2730">
      <c r="A2730" s="2" t="s">
        <v>2715</v>
      </c>
    </row>
    <row r="2731">
      <c r="A2731" s="2" t="s">
        <v>2716</v>
      </c>
    </row>
    <row r="2732">
      <c r="A2732" s="2" t="s">
        <v>2717</v>
      </c>
    </row>
    <row r="2733">
      <c r="A2733" s="2" t="s">
        <v>2718</v>
      </c>
    </row>
    <row r="2734">
      <c r="A2734" s="2" t="s">
        <v>2719</v>
      </c>
    </row>
    <row r="2735">
      <c r="A2735" s="2" t="s">
        <v>2720</v>
      </c>
    </row>
    <row r="2736">
      <c r="A2736" s="2" t="s">
        <v>2721</v>
      </c>
    </row>
    <row r="2737">
      <c r="A2737" s="2" t="s">
        <v>2722</v>
      </c>
    </row>
    <row r="2738">
      <c r="A2738" s="2" t="s">
        <v>2723</v>
      </c>
    </row>
    <row r="2739">
      <c r="A2739" s="2" t="s">
        <v>2724</v>
      </c>
    </row>
    <row r="2740">
      <c r="A2740" s="2" t="s">
        <v>2725</v>
      </c>
    </row>
    <row r="2741">
      <c r="A2741" s="2" t="s">
        <v>2726</v>
      </c>
    </row>
    <row r="2742">
      <c r="A2742" s="2" t="s">
        <v>2727</v>
      </c>
    </row>
    <row r="2743">
      <c r="A2743" s="2" t="s">
        <v>2728</v>
      </c>
    </row>
    <row r="2744">
      <c r="A2744" s="2" t="s">
        <v>2729</v>
      </c>
    </row>
    <row r="2745">
      <c r="A2745" s="2" t="s">
        <v>2730</v>
      </c>
    </row>
    <row r="2746">
      <c r="A2746" s="2" t="s">
        <v>2731</v>
      </c>
    </row>
    <row r="2747">
      <c r="A2747" s="2" t="s">
        <v>2732</v>
      </c>
    </row>
    <row r="2748">
      <c r="A2748" s="2" t="s">
        <v>2733</v>
      </c>
    </row>
    <row r="2749">
      <c r="A2749" s="2" t="s">
        <v>2734</v>
      </c>
    </row>
    <row r="2750">
      <c r="A2750" s="2" t="s">
        <v>2735</v>
      </c>
    </row>
    <row r="2751">
      <c r="A2751" s="2" t="s">
        <v>2736</v>
      </c>
    </row>
    <row r="2752">
      <c r="A2752" s="2" t="s">
        <v>2737</v>
      </c>
    </row>
    <row r="2753">
      <c r="A2753" s="2" t="s">
        <v>2738</v>
      </c>
    </row>
    <row r="2754">
      <c r="A2754" s="2" t="s">
        <v>2739</v>
      </c>
    </row>
    <row r="2755">
      <c r="A2755" s="2" t="s">
        <v>2740</v>
      </c>
    </row>
    <row r="2756">
      <c r="A2756" s="2" t="s">
        <v>2741</v>
      </c>
    </row>
    <row r="2757">
      <c r="A2757" s="2" t="s">
        <v>2742</v>
      </c>
    </row>
    <row r="2758">
      <c r="A2758" s="2" t="s">
        <v>2743</v>
      </c>
    </row>
    <row r="2759">
      <c r="A2759" s="2" t="s">
        <v>2744</v>
      </c>
    </row>
    <row r="2760">
      <c r="A2760" s="2" t="s">
        <v>2745</v>
      </c>
    </row>
    <row r="2761">
      <c r="A2761" s="2" t="s">
        <v>2746</v>
      </c>
    </row>
    <row r="2762">
      <c r="A2762" s="2" t="s">
        <v>2747</v>
      </c>
    </row>
    <row r="2763">
      <c r="A2763" s="2" t="s">
        <v>2748</v>
      </c>
    </row>
    <row r="2764">
      <c r="A2764" s="2" t="s">
        <v>2749</v>
      </c>
    </row>
    <row r="2765">
      <c r="A2765" s="2" t="s">
        <v>2750</v>
      </c>
    </row>
    <row r="2766">
      <c r="A2766" s="2" t="s">
        <v>2751</v>
      </c>
    </row>
    <row r="2767">
      <c r="A2767" s="2" t="s">
        <v>2752</v>
      </c>
    </row>
    <row r="2768">
      <c r="A2768" s="2" t="s">
        <v>2753</v>
      </c>
    </row>
    <row r="2769">
      <c r="A2769" s="2" t="s">
        <v>2754</v>
      </c>
    </row>
    <row r="2770">
      <c r="A2770" s="2" t="s">
        <v>2755</v>
      </c>
    </row>
    <row r="2771">
      <c r="A2771" s="2" t="s">
        <v>2756</v>
      </c>
    </row>
    <row r="2772">
      <c r="A2772" s="2" t="s">
        <v>2757</v>
      </c>
    </row>
    <row r="2773">
      <c r="A2773" s="2" t="s">
        <v>2758</v>
      </c>
    </row>
    <row r="2774">
      <c r="A2774" s="2" t="s">
        <v>2759</v>
      </c>
    </row>
    <row r="2775">
      <c r="A2775" s="2" t="s">
        <v>2760</v>
      </c>
    </row>
    <row r="2776">
      <c r="A2776" s="2" t="s">
        <v>2761</v>
      </c>
    </row>
    <row r="2777">
      <c r="A2777" s="2" t="s">
        <v>2762</v>
      </c>
    </row>
    <row r="2778">
      <c r="A2778" s="2" t="s">
        <v>2763</v>
      </c>
    </row>
    <row r="2779">
      <c r="A2779" s="2" t="s">
        <v>2764</v>
      </c>
    </row>
    <row r="2780">
      <c r="A2780" s="2" t="s">
        <v>2765</v>
      </c>
    </row>
    <row r="2781">
      <c r="A2781" s="2" t="s">
        <v>2766</v>
      </c>
    </row>
    <row r="2782">
      <c r="A2782" s="2" t="s">
        <v>2767</v>
      </c>
    </row>
    <row r="2783">
      <c r="A2783" s="2" t="s">
        <v>2768</v>
      </c>
    </row>
    <row r="2784">
      <c r="A2784" s="2" t="s">
        <v>2769</v>
      </c>
    </row>
    <row r="2785">
      <c r="A2785" s="2" t="s">
        <v>2770</v>
      </c>
    </row>
    <row r="2786">
      <c r="A2786" s="2" t="s">
        <v>2771</v>
      </c>
    </row>
    <row r="2787">
      <c r="A2787" s="2" t="s">
        <v>2772</v>
      </c>
    </row>
    <row r="2788">
      <c r="A2788" s="2" t="s">
        <v>2773</v>
      </c>
    </row>
    <row r="2789">
      <c r="A2789" s="2" t="s">
        <v>2774</v>
      </c>
    </row>
    <row r="2790">
      <c r="A2790" s="2" t="s">
        <v>2775</v>
      </c>
    </row>
    <row r="2791">
      <c r="A2791" s="2" t="s">
        <v>2776</v>
      </c>
    </row>
    <row r="2792">
      <c r="A2792" s="2" t="s">
        <v>2777</v>
      </c>
    </row>
    <row r="2793">
      <c r="A2793" s="2" t="s">
        <v>2778</v>
      </c>
    </row>
    <row r="2794">
      <c r="A2794" s="2" t="s">
        <v>2779</v>
      </c>
    </row>
    <row r="2795">
      <c r="A2795" s="2" t="s">
        <v>2780</v>
      </c>
    </row>
    <row r="2796">
      <c r="A2796" s="2" t="s">
        <v>2781</v>
      </c>
    </row>
    <row r="2797">
      <c r="A2797" s="2" t="s">
        <v>2782</v>
      </c>
    </row>
    <row r="2798">
      <c r="A2798" s="2" t="s">
        <v>2783</v>
      </c>
    </row>
    <row r="2799">
      <c r="A2799" s="2" t="s">
        <v>2784</v>
      </c>
    </row>
    <row r="2800">
      <c r="A2800" s="2" t="s">
        <v>2785</v>
      </c>
    </row>
    <row r="2801">
      <c r="A2801" s="2" t="s">
        <v>2786</v>
      </c>
    </row>
    <row r="2802">
      <c r="A2802" s="2" t="s">
        <v>2787</v>
      </c>
    </row>
    <row r="2803">
      <c r="A2803" s="2" t="s">
        <v>2788</v>
      </c>
    </row>
    <row r="2804">
      <c r="A2804" s="2" t="s">
        <v>2789</v>
      </c>
    </row>
    <row r="2805">
      <c r="A2805" s="2" t="s">
        <v>2790</v>
      </c>
    </row>
    <row r="2806">
      <c r="A2806" s="2" t="s">
        <v>2791</v>
      </c>
    </row>
    <row r="2807">
      <c r="A2807" s="2" t="s">
        <v>2792</v>
      </c>
    </row>
    <row r="2808">
      <c r="A2808" s="2" t="s">
        <v>2793</v>
      </c>
    </row>
    <row r="2809">
      <c r="A2809" s="2" t="s">
        <v>2794</v>
      </c>
    </row>
    <row r="2810">
      <c r="A2810" s="2" t="s">
        <v>2795</v>
      </c>
    </row>
    <row r="2811">
      <c r="A2811" s="2" t="s">
        <v>2796</v>
      </c>
    </row>
    <row r="2812">
      <c r="A2812" s="2" t="s">
        <v>2797</v>
      </c>
    </row>
    <row r="2813">
      <c r="A2813" s="2" t="s">
        <v>2798</v>
      </c>
    </row>
    <row r="2814">
      <c r="A2814" s="2" t="s">
        <v>2799</v>
      </c>
    </row>
    <row r="2815">
      <c r="A2815" s="2" t="s">
        <v>2800</v>
      </c>
    </row>
    <row r="2816">
      <c r="A2816" s="2" t="s">
        <v>2801</v>
      </c>
    </row>
    <row r="2817">
      <c r="A2817" s="2" t="s">
        <v>2802</v>
      </c>
    </row>
    <row r="2818">
      <c r="A2818" s="2" t="s">
        <v>2803</v>
      </c>
    </row>
    <row r="2819">
      <c r="A2819" s="2" t="s">
        <v>2804</v>
      </c>
    </row>
    <row r="2820">
      <c r="A2820" s="2" t="s">
        <v>2805</v>
      </c>
    </row>
    <row r="2821">
      <c r="A2821" s="2" t="s">
        <v>2806</v>
      </c>
    </row>
    <row r="2822">
      <c r="A2822" s="2" t="s">
        <v>2807</v>
      </c>
    </row>
    <row r="2823">
      <c r="A2823" s="2" t="s">
        <v>2808</v>
      </c>
    </row>
    <row r="2824">
      <c r="A2824" s="2" t="s">
        <v>2809</v>
      </c>
    </row>
    <row r="2825">
      <c r="A2825" s="2" t="s">
        <v>2810</v>
      </c>
    </row>
    <row r="2826">
      <c r="A2826" s="2" t="s">
        <v>2811</v>
      </c>
    </row>
    <row r="2827">
      <c r="A2827" s="2" t="s">
        <v>2812</v>
      </c>
    </row>
    <row r="2828">
      <c r="A2828" s="2" t="s">
        <v>2813</v>
      </c>
    </row>
    <row r="2829">
      <c r="A2829" s="2" t="s">
        <v>2814</v>
      </c>
    </row>
    <row r="2830">
      <c r="A2830" s="2" t="s">
        <v>2815</v>
      </c>
    </row>
    <row r="2831">
      <c r="A2831" s="2" t="s">
        <v>2816</v>
      </c>
    </row>
    <row r="2832">
      <c r="A2832" s="2" t="s">
        <v>2817</v>
      </c>
    </row>
    <row r="2833">
      <c r="A2833" s="2" t="s">
        <v>2818</v>
      </c>
    </row>
    <row r="2834">
      <c r="A2834" s="2" t="s">
        <v>2819</v>
      </c>
    </row>
    <row r="2835">
      <c r="A2835" s="2" t="s">
        <v>2820</v>
      </c>
    </row>
    <row r="2836">
      <c r="A2836" s="2" t="s">
        <v>2821</v>
      </c>
    </row>
    <row r="2837">
      <c r="A2837" s="2" t="s">
        <v>2822</v>
      </c>
    </row>
    <row r="2838">
      <c r="A2838" s="2" t="s">
        <v>2823</v>
      </c>
    </row>
    <row r="2839">
      <c r="A2839" s="2" t="s">
        <v>2824</v>
      </c>
    </row>
    <row r="2840">
      <c r="A2840" s="2" t="s">
        <v>2825</v>
      </c>
    </row>
    <row r="2841">
      <c r="A2841" s="2" t="s">
        <v>2826</v>
      </c>
    </row>
    <row r="2842">
      <c r="A2842" s="2" t="s">
        <v>2827</v>
      </c>
    </row>
    <row r="2843">
      <c r="A2843" s="2" t="s">
        <v>2828</v>
      </c>
    </row>
    <row r="2844">
      <c r="A2844" s="2" t="s">
        <v>2829</v>
      </c>
    </row>
    <row r="2845">
      <c r="A2845" s="2" t="s">
        <v>2830</v>
      </c>
    </row>
    <row r="2846">
      <c r="A2846" s="2" t="s">
        <v>2831</v>
      </c>
    </row>
    <row r="2847">
      <c r="A2847" s="2" t="s">
        <v>2832</v>
      </c>
    </row>
    <row r="2848">
      <c r="A2848" s="2" t="s">
        <v>2833</v>
      </c>
    </row>
    <row r="2849">
      <c r="A2849" s="2" t="s">
        <v>2834</v>
      </c>
    </row>
    <row r="2850">
      <c r="A2850" s="2" t="s">
        <v>2835</v>
      </c>
    </row>
    <row r="2851">
      <c r="A2851" s="2" t="s">
        <v>2836</v>
      </c>
    </row>
    <row r="2852">
      <c r="A2852" s="2" t="s">
        <v>2837</v>
      </c>
    </row>
    <row r="2853">
      <c r="A2853" s="2" t="s">
        <v>2838</v>
      </c>
    </row>
    <row r="2854">
      <c r="A2854" s="2" t="s">
        <v>2839</v>
      </c>
    </row>
    <row r="2855">
      <c r="A2855" s="2" t="s">
        <v>2840</v>
      </c>
    </row>
    <row r="2856">
      <c r="A2856" s="2" t="s">
        <v>2841</v>
      </c>
    </row>
    <row r="2857">
      <c r="A2857" s="2" t="s">
        <v>2842</v>
      </c>
    </row>
    <row r="2858">
      <c r="A2858" s="2" t="s">
        <v>2843</v>
      </c>
    </row>
    <row r="2859">
      <c r="A2859" s="2" t="s">
        <v>2844</v>
      </c>
    </row>
    <row r="2860">
      <c r="A2860" s="2" t="s">
        <v>2845</v>
      </c>
    </row>
    <row r="2861">
      <c r="A2861" s="2" t="s">
        <v>2846</v>
      </c>
    </row>
    <row r="2862">
      <c r="A2862" s="2" t="s">
        <v>2847</v>
      </c>
    </row>
    <row r="2863">
      <c r="A2863" s="2" t="s">
        <v>2848</v>
      </c>
    </row>
    <row r="2864">
      <c r="A2864" s="2" t="s">
        <v>2849</v>
      </c>
    </row>
    <row r="2865">
      <c r="A2865" s="2" t="s">
        <v>2850</v>
      </c>
    </row>
    <row r="2866">
      <c r="A2866" s="2" t="s">
        <v>2851</v>
      </c>
    </row>
    <row r="2867">
      <c r="A2867" s="2" t="s">
        <v>2852</v>
      </c>
    </row>
    <row r="2868">
      <c r="A2868" s="2" t="s">
        <v>2853</v>
      </c>
    </row>
    <row r="2869">
      <c r="A2869" s="2" t="s">
        <v>2854</v>
      </c>
    </row>
    <row r="2870">
      <c r="A2870" s="2" t="s">
        <v>2855</v>
      </c>
    </row>
    <row r="2871">
      <c r="A2871" s="2" t="s">
        <v>2856</v>
      </c>
    </row>
    <row r="2872">
      <c r="A2872" s="2" t="s">
        <v>2857</v>
      </c>
    </row>
    <row r="2873">
      <c r="A2873" s="2" t="s">
        <v>2858</v>
      </c>
    </row>
    <row r="2874">
      <c r="A2874" s="2" t="s">
        <v>2859</v>
      </c>
    </row>
    <row r="2875">
      <c r="A2875" s="2" t="s">
        <v>2860</v>
      </c>
    </row>
    <row r="2876">
      <c r="A2876" s="2" t="s">
        <v>2861</v>
      </c>
    </row>
    <row r="2877">
      <c r="A2877" s="2" t="s">
        <v>2862</v>
      </c>
    </row>
    <row r="2878">
      <c r="A2878" s="2" t="s">
        <v>2863</v>
      </c>
    </row>
    <row r="2879">
      <c r="A2879" s="2" t="s">
        <v>2864</v>
      </c>
    </row>
    <row r="2880">
      <c r="A2880" s="2" t="s">
        <v>2865</v>
      </c>
    </row>
    <row r="2881">
      <c r="A2881" s="2" t="s">
        <v>2866</v>
      </c>
    </row>
    <row r="2882">
      <c r="A2882" s="2" t="s">
        <v>2867</v>
      </c>
    </row>
    <row r="2883">
      <c r="A2883" s="2" t="s">
        <v>2868</v>
      </c>
    </row>
    <row r="2884">
      <c r="A2884" s="2" t="s">
        <v>2869</v>
      </c>
    </row>
    <row r="2885">
      <c r="A2885" s="2" t="s">
        <v>2870</v>
      </c>
    </row>
    <row r="2886">
      <c r="A2886" s="2" t="s">
        <v>2871</v>
      </c>
    </row>
    <row r="2887">
      <c r="A2887" s="2" t="s">
        <v>2872</v>
      </c>
    </row>
    <row r="2888">
      <c r="A2888" s="2" t="s">
        <v>2873</v>
      </c>
    </row>
    <row r="2889">
      <c r="A2889" s="2" t="s">
        <v>2874</v>
      </c>
    </row>
    <row r="2890">
      <c r="A2890" s="2" t="s">
        <v>2875</v>
      </c>
    </row>
    <row r="2891">
      <c r="A2891" s="2" t="s">
        <v>2876</v>
      </c>
    </row>
    <row r="2892">
      <c r="A2892" s="2" t="s">
        <v>2877</v>
      </c>
    </row>
    <row r="2893">
      <c r="A2893" s="2" t="s">
        <v>2878</v>
      </c>
    </row>
    <row r="2894">
      <c r="A2894" s="2" t="s">
        <v>2879</v>
      </c>
    </row>
    <row r="2895">
      <c r="A2895" s="2" t="s">
        <v>2880</v>
      </c>
    </row>
    <row r="2896">
      <c r="A2896" s="2" t="s">
        <v>2881</v>
      </c>
    </row>
    <row r="2897">
      <c r="A2897" s="2" t="s">
        <v>2882</v>
      </c>
    </row>
    <row r="2898">
      <c r="A2898" s="2" t="s">
        <v>2883</v>
      </c>
    </row>
    <row r="2899">
      <c r="A2899" s="2" t="s">
        <v>2884</v>
      </c>
    </row>
    <row r="2900">
      <c r="A2900" s="2" t="s">
        <v>2885</v>
      </c>
    </row>
    <row r="2901">
      <c r="A2901" s="2" t="s">
        <v>2886</v>
      </c>
    </row>
    <row r="2902">
      <c r="A2902" s="2" t="s">
        <v>2887</v>
      </c>
    </row>
    <row r="2903">
      <c r="A2903" s="2" t="s">
        <v>2888</v>
      </c>
    </row>
    <row r="2904">
      <c r="A2904" s="2" t="s">
        <v>2889</v>
      </c>
    </row>
    <row r="2905">
      <c r="A2905" s="2" t="s">
        <v>2872</v>
      </c>
    </row>
    <row r="2906">
      <c r="A2906" s="2" t="s">
        <v>2890</v>
      </c>
    </row>
    <row r="2907">
      <c r="A2907" s="2" t="s">
        <v>2891</v>
      </c>
    </row>
    <row r="2908">
      <c r="A2908" s="2" t="s">
        <v>2892</v>
      </c>
    </row>
    <row r="2909">
      <c r="A2909" s="2" t="s">
        <v>2893</v>
      </c>
    </row>
    <row r="2910">
      <c r="A2910" s="2" t="s">
        <v>2894</v>
      </c>
    </row>
    <row r="2911">
      <c r="A2911" s="2" t="s">
        <v>2895</v>
      </c>
    </row>
    <row r="2912">
      <c r="A2912" s="2" t="s">
        <v>2896</v>
      </c>
    </row>
    <row r="2913">
      <c r="A2913" s="2" t="s">
        <v>2897</v>
      </c>
    </row>
    <row r="2914">
      <c r="A2914" s="2" t="s">
        <v>2898</v>
      </c>
    </row>
    <row r="2915">
      <c r="A2915" s="2" t="s">
        <v>2899</v>
      </c>
    </row>
    <row r="2916">
      <c r="A2916" s="2" t="s">
        <v>2900</v>
      </c>
    </row>
    <row r="2917">
      <c r="A2917" s="2" t="s">
        <v>2901</v>
      </c>
    </row>
    <row r="2918">
      <c r="A2918" s="2" t="s">
        <v>2902</v>
      </c>
    </row>
    <row r="2919">
      <c r="A2919" s="2" t="s">
        <v>2903</v>
      </c>
    </row>
    <row r="2920">
      <c r="A2920" s="2" t="s">
        <v>2904</v>
      </c>
    </row>
    <row r="2921">
      <c r="A2921" s="2" t="s">
        <v>2905</v>
      </c>
    </row>
    <row r="2922">
      <c r="A2922" s="2" t="s">
        <v>2906</v>
      </c>
    </row>
    <row r="2923">
      <c r="A2923" s="2" t="s">
        <v>2907</v>
      </c>
    </row>
    <row r="2924">
      <c r="A2924" s="2" t="s">
        <v>2908</v>
      </c>
    </row>
    <row r="2925">
      <c r="A2925" s="2" t="s">
        <v>2909</v>
      </c>
    </row>
    <row r="2926">
      <c r="A2926" s="2" t="s">
        <v>2910</v>
      </c>
    </row>
    <row r="2927">
      <c r="A2927" s="2" t="s">
        <v>2911</v>
      </c>
    </row>
    <row r="2928">
      <c r="A2928" s="2" t="s">
        <v>2912</v>
      </c>
    </row>
    <row r="2929">
      <c r="A2929" s="2" t="s">
        <v>2913</v>
      </c>
    </row>
    <row r="2930">
      <c r="A2930" s="2" t="s">
        <v>2914</v>
      </c>
    </row>
    <row r="2931">
      <c r="A2931" s="2" t="s">
        <v>2915</v>
      </c>
    </row>
    <row r="2932">
      <c r="A2932" s="2" t="s">
        <v>2916</v>
      </c>
    </row>
    <row r="2933">
      <c r="A2933" s="2" t="s">
        <v>2917</v>
      </c>
    </row>
    <row r="2934">
      <c r="A2934" s="2" t="s">
        <v>2918</v>
      </c>
    </row>
    <row r="2935">
      <c r="A2935" s="2" t="s">
        <v>2919</v>
      </c>
    </row>
    <row r="2936">
      <c r="A2936" s="2" t="s">
        <v>2920</v>
      </c>
    </row>
    <row r="2937">
      <c r="A2937" s="2" t="s">
        <v>2921</v>
      </c>
    </row>
    <row r="2938">
      <c r="A2938" s="2" t="s">
        <v>2922</v>
      </c>
    </row>
    <row r="2939">
      <c r="A2939" s="2" t="s">
        <v>2923</v>
      </c>
    </row>
    <row r="2940">
      <c r="A2940" s="2" t="s">
        <v>2924</v>
      </c>
    </row>
    <row r="2941">
      <c r="A2941" s="2" t="s">
        <v>2925</v>
      </c>
    </row>
    <row r="2942">
      <c r="A2942" s="2" t="s">
        <v>2926</v>
      </c>
    </row>
    <row r="2943">
      <c r="A2943" s="2" t="s">
        <v>2927</v>
      </c>
    </row>
    <row r="2944">
      <c r="A2944" s="2" t="s">
        <v>2928</v>
      </c>
    </row>
    <row r="2945">
      <c r="A2945" s="2" t="s">
        <v>2929</v>
      </c>
    </row>
    <row r="2946">
      <c r="A2946" s="2" t="s">
        <v>2930</v>
      </c>
    </row>
    <row r="2947">
      <c r="A2947" s="2" t="s">
        <v>2931</v>
      </c>
    </row>
    <row r="2948">
      <c r="A2948" s="2" t="s">
        <v>2932</v>
      </c>
    </row>
    <row r="2949">
      <c r="A2949" s="2" t="s">
        <v>2933</v>
      </c>
    </row>
    <row r="2950">
      <c r="A2950" s="2" t="s">
        <v>2934</v>
      </c>
    </row>
    <row r="2951">
      <c r="A2951" s="2" t="s">
        <v>2935</v>
      </c>
    </row>
    <row r="2952">
      <c r="A2952" s="2" t="s">
        <v>2936</v>
      </c>
    </row>
    <row r="2953">
      <c r="A2953" s="2" t="s">
        <v>2937</v>
      </c>
    </row>
    <row r="2954">
      <c r="A2954" s="2" t="s">
        <v>2938</v>
      </c>
    </row>
    <row r="2955">
      <c r="A2955" s="2" t="s">
        <v>2939</v>
      </c>
    </row>
    <row r="2956">
      <c r="A2956" s="2" t="s">
        <v>2940</v>
      </c>
    </row>
    <row r="2957">
      <c r="A2957" s="2" t="s">
        <v>2941</v>
      </c>
    </row>
    <row r="2958">
      <c r="A2958" s="2" t="s">
        <v>2942</v>
      </c>
    </row>
    <row r="2959">
      <c r="A2959" s="2" t="s">
        <v>2943</v>
      </c>
    </row>
    <row r="2960">
      <c r="A2960" s="2" t="s">
        <v>2944</v>
      </c>
    </row>
    <row r="2961">
      <c r="A2961" s="2" t="s">
        <v>2945</v>
      </c>
    </row>
    <row r="2962">
      <c r="A2962" s="2" t="s">
        <v>2946</v>
      </c>
    </row>
    <row r="2963">
      <c r="A2963" s="2" t="s">
        <v>2947</v>
      </c>
    </row>
    <row r="2964">
      <c r="A2964" s="2" t="s">
        <v>2948</v>
      </c>
    </row>
    <row r="2965">
      <c r="A2965" s="2" t="s">
        <v>2949</v>
      </c>
    </row>
    <row r="2966">
      <c r="A2966" s="2" t="s">
        <v>2950</v>
      </c>
    </row>
    <row r="2967">
      <c r="A2967" s="2" t="s">
        <v>2951</v>
      </c>
    </row>
    <row r="2968">
      <c r="A2968" s="2" t="s">
        <v>2952</v>
      </c>
    </row>
    <row r="2969">
      <c r="A2969" s="2" t="s">
        <v>2953</v>
      </c>
    </row>
    <row r="2970">
      <c r="A2970" s="2" t="s">
        <v>2954</v>
      </c>
    </row>
    <row r="2971">
      <c r="A2971" s="2" t="s">
        <v>2955</v>
      </c>
    </row>
    <row r="2972">
      <c r="A2972" s="2" t="s">
        <v>2956</v>
      </c>
    </row>
    <row r="2973">
      <c r="A2973" s="2" t="s">
        <v>2957</v>
      </c>
    </row>
    <row r="2974">
      <c r="A2974" s="2" t="s">
        <v>2958</v>
      </c>
    </row>
    <row r="2975">
      <c r="A2975" s="2" t="s">
        <v>2959</v>
      </c>
    </row>
    <row r="2976">
      <c r="A2976" s="2" t="s">
        <v>2960</v>
      </c>
    </row>
    <row r="2977">
      <c r="A2977" s="2" t="s">
        <v>2961</v>
      </c>
    </row>
    <row r="2978">
      <c r="A2978" s="2" t="s">
        <v>2962</v>
      </c>
    </row>
    <row r="2979">
      <c r="A2979" s="2" t="s">
        <v>2963</v>
      </c>
    </row>
    <row r="2980">
      <c r="A2980" s="2" t="s">
        <v>2964</v>
      </c>
    </row>
    <row r="2981">
      <c r="A2981" s="2" t="s">
        <v>2965</v>
      </c>
    </row>
    <row r="2982">
      <c r="A2982" s="2" t="s">
        <v>2966</v>
      </c>
    </row>
    <row r="2983">
      <c r="A2983" s="2" t="s">
        <v>2967</v>
      </c>
    </row>
    <row r="2984">
      <c r="A2984" s="2" t="s">
        <v>2968</v>
      </c>
    </row>
    <row r="2985">
      <c r="A2985" s="2" t="s">
        <v>2969</v>
      </c>
    </row>
    <row r="2986">
      <c r="A2986" s="2" t="s">
        <v>2970</v>
      </c>
    </row>
    <row r="2987">
      <c r="A2987" s="2" t="s">
        <v>2971</v>
      </c>
    </row>
    <row r="2988">
      <c r="A2988" s="2" t="s">
        <v>2972</v>
      </c>
    </row>
    <row r="2989">
      <c r="A2989" s="2" t="s">
        <v>2973</v>
      </c>
    </row>
    <row r="2990">
      <c r="A2990" s="2" t="s">
        <v>2974</v>
      </c>
    </row>
    <row r="2991">
      <c r="A2991" s="2" t="s">
        <v>2975</v>
      </c>
    </row>
    <row r="2992">
      <c r="A2992" s="2" t="s">
        <v>2976</v>
      </c>
    </row>
    <row r="2993">
      <c r="A2993" s="2" t="s">
        <v>2977</v>
      </c>
    </row>
    <row r="2994">
      <c r="A2994" s="2" t="s">
        <v>2978</v>
      </c>
    </row>
    <row r="2995">
      <c r="A2995" s="2" t="s">
        <v>2979</v>
      </c>
    </row>
    <row r="2996">
      <c r="A2996" s="2" t="s">
        <v>2980</v>
      </c>
    </row>
    <row r="2997">
      <c r="A2997" s="2" t="s">
        <v>2981</v>
      </c>
    </row>
    <row r="2998">
      <c r="A2998" s="2" t="s">
        <v>2982</v>
      </c>
    </row>
    <row r="2999">
      <c r="A2999" s="2" t="s">
        <v>2983</v>
      </c>
    </row>
    <row r="3000">
      <c r="A3000" s="2" t="s">
        <v>2984</v>
      </c>
    </row>
    <row r="3001">
      <c r="A3001" s="2" t="s">
        <v>2985</v>
      </c>
    </row>
    <row r="3002">
      <c r="A3002" s="2" t="s">
        <v>2986</v>
      </c>
    </row>
    <row r="3003">
      <c r="A3003" s="2" t="s">
        <v>2987</v>
      </c>
    </row>
    <row r="3004">
      <c r="A3004" s="2" t="s">
        <v>2988</v>
      </c>
    </row>
    <row r="3005">
      <c r="A3005" s="2" t="s">
        <v>2989</v>
      </c>
    </row>
    <row r="3006">
      <c r="A3006" s="2" t="s">
        <v>2990</v>
      </c>
    </row>
    <row r="3007">
      <c r="A3007" s="2" t="s">
        <v>2991</v>
      </c>
    </row>
    <row r="3008">
      <c r="A3008" s="2" t="s">
        <v>2992</v>
      </c>
    </row>
    <row r="3009">
      <c r="A3009" s="2" t="s">
        <v>2993</v>
      </c>
    </row>
    <row r="3010">
      <c r="A3010" s="2" t="s">
        <v>2994</v>
      </c>
    </row>
    <row r="3011">
      <c r="A3011" s="2" t="s">
        <v>2995</v>
      </c>
    </row>
    <row r="3012">
      <c r="A3012" s="2" t="s">
        <v>2996</v>
      </c>
    </row>
    <row r="3013">
      <c r="A3013" s="2" t="s">
        <v>2997</v>
      </c>
    </row>
    <row r="3014">
      <c r="A3014" s="2" t="s">
        <v>2998</v>
      </c>
    </row>
    <row r="3015">
      <c r="A3015" s="2" t="s">
        <v>2999</v>
      </c>
    </row>
    <row r="3016">
      <c r="A3016" s="2" t="s">
        <v>3000</v>
      </c>
    </row>
    <row r="3017">
      <c r="A3017" s="2" t="s">
        <v>3001</v>
      </c>
    </row>
    <row r="3018">
      <c r="A3018" s="2" t="s">
        <v>3002</v>
      </c>
    </row>
    <row r="3019">
      <c r="A3019" s="2" t="s">
        <v>3003</v>
      </c>
    </row>
    <row r="3020">
      <c r="A3020" s="2" t="s">
        <v>3004</v>
      </c>
    </row>
    <row r="3021">
      <c r="A3021" s="2" t="s">
        <v>3005</v>
      </c>
    </row>
    <row r="3022">
      <c r="A3022" s="2" t="s">
        <v>3006</v>
      </c>
    </row>
    <row r="3023">
      <c r="A3023" s="2" t="s">
        <v>3007</v>
      </c>
    </row>
    <row r="3024">
      <c r="A3024" s="2" t="s">
        <v>3008</v>
      </c>
    </row>
    <row r="3025">
      <c r="A3025" s="2" t="s">
        <v>3009</v>
      </c>
    </row>
    <row r="3026">
      <c r="A3026" s="2" t="s">
        <v>3010</v>
      </c>
    </row>
    <row r="3027">
      <c r="A3027" s="2" t="s">
        <v>3011</v>
      </c>
    </row>
    <row r="3028">
      <c r="A3028" s="2" t="s">
        <v>3012</v>
      </c>
    </row>
    <row r="3029">
      <c r="A3029" s="2" t="s">
        <v>3013</v>
      </c>
    </row>
    <row r="3030">
      <c r="A3030" s="2" t="s">
        <v>3014</v>
      </c>
    </row>
    <row r="3031">
      <c r="A3031" s="2" t="s">
        <v>3015</v>
      </c>
    </row>
    <row r="3032">
      <c r="A3032" s="2" t="s">
        <v>3016</v>
      </c>
    </row>
    <row r="3033">
      <c r="A3033" s="2" t="s">
        <v>3017</v>
      </c>
    </row>
    <row r="3034">
      <c r="A3034" s="2" t="s">
        <v>3018</v>
      </c>
    </row>
    <row r="3035">
      <c r="A3035" s="2" t="s">
        <v>3019</v>
      </c>
    </row>
    <row r="3036">
      <c r="A3036" s="2" t="s">
        <v>3020</v>
      </c>
    </row>
    <row r="3037">
      <c r="A3037" s="2" t="s">
        <v>3021</v>
      </c>
    </row>
    <row r="3038">
      <c r="A3038" s="2" t="s">
        <v>3022</v>
      </c>
    </row>
    <row r="3039">
      <c r="A3039" s="2" t="s">
        <v>3023</v>
      </c>
    </row>
    <row r="3040">
      <c r="A3040" s="2" t="s">
        <v>3024</v>
      </c>
    </row>
    <row r="3041">
      <c r="A3041" s="2" t="s">
        <v>3025</v>
      </c>
    </row>
    <row r="3042">
      <c r="A3042" s="2" t="s">
        <v>3026</v>
      </c>
    </row>
    <row r="3043">
      <c r="A3043" s="2" t="s">
        <v>3027</v>
      </c>
    </row>
    <row r="3044">
      <c r="A3044" s="2" t="s">
        <v>3028</v>
      </c>
    </row>
    <row r="3045">
      <c r="A3045" s="2" t="s">
        <v>3029</v>
      </c>
    </row>
    <row r="3046">
      <c r="A3046" s="2" t="s">
        <v>3030</v>
      </c>
    </row>
    <row r="3047">
      <c r="A3047" s="2" t="s">
        <v>3031</v>
      </c>
    </row>
    <row r="3048">
      <c r="A3048" s="2" t="s">
        <v>3032</v>
      </c>
    </row>
    <row r="3049">
      <c r="A3049" s="2" t="s">
        <v>3033</v>
      </c>
    </row>
    <row r="3050">
      <c r="A3050" s="2" t="s">
        <v>3034</v>
      </c>
    </row>
    <row r="3051">
      <c r="A3051" s="2" t="s">
        <v>3035</v>
      </c>
    </row>
    <row r="3052">
      <c r="A3052" s="2" t="s">
        <v>3036</v>
      </c>
    </row>
    <row r="3053">
      <c r="A3053" s="2" t="s">
        <v>3037</v>
      </c>
    </row>
    <row r="3054">
      <c r="A3054" s="2" t="s">
        <v>3038</v>
      </c>
    </row>
    <row r="3055">
      <c r="A3055" s="2" t="s">
        <v>3039</v>
      </c>
    </row>
    <row r="3056">
      <c r="A3056" s="2" t="s">
        <v>3040</v>
      </c>
    </row>
    <row r="3057">
      <c r="A3057" s="2" t="s">
        <v>3041</v>
      </c>
    </row>
    <row r="3058">
      <c r="A3058" s="2" t="s">
        <v>3042</v>
      </c>
    </row>
    <row r="3059">
      <c r="A3059" s="2" t="s">
        <v>3043</v>
      </c>
    </row>
    <row r="3060">
      <c r="A3060" s="2" t="s">
        <v>3044</v>
      </c>
    </row>
    <row r="3061">
      <c r="A3061" s="2" t="s">
        <v>3045</v>
      </c>
    </row>
    <row r="3062">
      <c r="A3062" s="2" t="s">
        <v>3046</v>
      </c>
    </row>
    <row r="3063">
      <c r="A3063" s="2" t="s">
        <v>3047</v>
      </c>
    </row>
    <row r="3064">
      <c r="A3064" s="2" t="s">
        <v>3048</v>
      </c>
    </row>
    <row r="3065">
      <c r="A3065" s="2" t="s">
        <v>3049</v>
      </c>
    </row>
    <row r="3066">
      <c r="A3066" s="2" t="s">
        <v>3050</v>
      </c>
    </row>
    <row r="3067">
      <c r="A3067" s="2" t="s">
        <v>3051</v>
      </c>
    </row>
    <row r="3068">
      <c r="A3068" s="2" t="s">
        <v>3052</v>
      </c>
    </row>
    <row r="3069">
      <c r="A3069" s="2" t="s">
        <v>3053</v>
      </c>
    </row>
    <row r="3070">
      <c r="A3070" s="2" t="s">
        <v>3054</v>
      </c>
    </row>
    <row r="3071">
      <c r="A3071" s="2" t="s">
        <v>3055</v>
      </c>
    </row>
    <row r="3072">
      <c r="A3072" s="2" t="s">
        <v>3056</v>
      </c>
    </row>
    <row r="3073">
      <c r="A3073" s="2" t="s">
        <v>3057</v>
      </c>
    </row>
    <row r="3074">
      <c r="A3074" s="2" t="s">
        <v>3058</v>
      </c>
    </row>
    <row r="3075">
      <c r="A3075" s="2" t="s">
        <v>3059</v>
      </c>
    </row>
    <row r="3076">
      <c r="A3076" s="2" t="s">
        <v>3060</v>
      </c>
    </row>
    <row r="3077">
      <c r="A3077" s="2" t="s">
        <v>3061</v>
      </c>
    </row>
    <row r="3078">
      <c r="A3078" s="2" t="s">
        <v>3062</v>
      </c>
    </row>
    <row r="3079">
      <c r="A3079" s="2" t="s">
        <v>3063</v>
      </c>
    </row>
    <row r="3080">
      <c r="A3080" s="2" t="s">
        <v>3064</v>
      </c>
    </row>
    <row r="3081">
      <c r="A3081" s="2" t="s">
        <v>3065</v>
      </c>
    </row>
    <row r="3082">
      <c r="A3082" s="2" t="s">
        <v>3066</v>
      </c>
    </row>
    <row r="3083">
      <c r="A3083" s="2" t="s">
        <v>3067</v>
      </c>
    </row>
    <row r="3084">
      <c r="A3084" s="2" t="s">
        <v>3068</v>
      </c>
    </row>
    <row r="3085">
      <c r="A3085" s="2" t="s">
        <v>3069</v>
      </c>
    </row>
    <row r="3086">
      <c r="A3086" s="2" t="s">
        <v>3070</v>
      </c>
    </row>
    <row r="3087">
      <c r="A3087" s="2" t="s">
        <v>3071</v>
      </c>
    </row>
    <row r="3088">
      <c r="A3088" s="2" t="s">
        <v>3072</v>
      </c>
    </row>
    <row r="3089">
      <c r="A3089" s="2" t="s">
        <v>3073</v>
      </c>
    </row>
    <row r="3090">
      <c r="A3090" s="2" t="s">
        <v>3074</v>
      </c>
    </row>
    <row r="3091">
      <c r="A3091" s="2" t="s">
        <v>3075</v>
      </c>
    </row>
    <row r="3092">
      <c r="A3092" s="2" t="s">
        <v>3076</v>
      </c>
    </row>
    <row r="3093">
      <c r="A3093" s="2" t="s">
        <v>3077</v>
      </c>
    </row>
    <row r="3094">
      <c r="A3094" s="2" t="s">
        <v>3078</v>
      </c>
    </row>
    <row r="3095">
      <c r="A3095" s="2" t="s">
        <v>3079</v>
      </c>
    </row>
    <row r="3096">
      <c r="A3096" s="2" t="s">
        <v>3080</v>
      </c>
    </row>
    <row r="3097">
      <c r="A3097" s="2" t="s">
        <v>3081</v>
      </c>
    </row>
    <row r="3098">
      <c r="A3098" s="2" t="s">
        <v>3082</v>
      </c>
    </row>
    <row r="3099">
      <c r="A3099" s="2" t="s">
        <v>3083</v>
      </c>
    </row>
    <row r="3100">
      <c r="A3100" s="2" t="s">
        <v>3084</v>
      </c>
    </row>
    <row r="3101">
      <c r="A3101" s="2" t="s">
        <v>3085</v>
      </c>
    </row>
    <row r="3102">
      <c r="A3102" s="2" t="s">
        <v>3086</v>
      </c>
    </row>
    <row r="3103">
      <c r="A3103" s="2" t="s">
        <v>3087</v>
      </c>
    </row>
    <row r="3104">
      <c r="A3104" s="2" t="s">
        <v>3088</v>
      </c>
    </row>
    <row r="3105">
      <c r="A3105" s="2" t="s">
        <v>3089</v>
      </c>
    </row>
    <row r="3106">
      <c r="A3106" s="2" t="s">
        <v>3090</v>
      </c>
    </row>
    <row r="3107">
      <c r="A3107" s="2" t="s">
        <v>3091</v>
      </c>
    </row>
    <row r="3108">
      <c r="A3108" s="2" t="s">
        <v>3092</v>
      </c>
    </row>
    <row r="3109">
      <c r="A3109" s="2" t="s">
        <v>3093</v>
      </c>
    </row>
    <row r="3110">
      <c r="A3110" s="2" t="s">
        <v>3094</v>
      </c>
    </row>
    <row r="3111">
      <c r="A3111" s="2" t="s">
        <v>3095</v>
      </c>
    </row>
    <row r="3112">
      <c r="A3112" s="2" t="s">
        <v>3096</v>
      </c>
    </row>
    <row r="3113">
      <c r="A3113" s="2" t="s">
        <v>3097</v>
      </c>
    </row>
    <row r="3114">
      <c r="A3114" s="2" t="s">
        <v>3098</v>
      </c>
    </row>
    <row r="3115">
      <c r="A3115" s="2" t="s">
        <v>3099</v>
      </c>
    </row>
    <row r="3116">
      <c r="A3116" s="2" t="s">
        <v>3100</v>
      </c>
    </row>
    <row r="3117">
      <c r="A3117" s="2" t="s">
        <v>3101</v>
      </c>
    </row>
    <row r="3118">
      <c r="A3118" s="2" t="s">
        <v>3102</v>
      </c>
    </row>
    <row r="3119">
      <c r="A3119" s="2" t="s">
        <v>3103</v>
      </c>
    </row>
    <row r="3120">
      <c r="A3120" s="2" t="s">
        <v>3104</v>
      </c>
    </row>
    <row r="3121">
      <c r="A3121" s="2" t="s">
        <v>3105</v>
      </c>
    </row>
    <row r="3122">
      <c r="A3122" s="2" t="s">
        <v>3106</v>
      </c>
    </row>
    <row r="3123">
      <c r="A3123" s="2" t="s">
        <v>3107</v>
      </c>
    </row>
    <row r="3124">
      <c r="A3124" s="2" t="s">
        <v>3108</v>
      </c>
    </row>
    <row r="3125">
      <c r="A3125" s="2" t="s">
        <v>3109</v>
      </c>
    </row>
    <row r="3126">
      <c r="A3126" s="2" t="s">
        <v>3110</v>
      </c>
    </row>
    <row r="3127">
      <c r="A3127" s="2" t="s">
        <v>3111</v>
      </c>
    </row>
    <row r="3128">
      <c r="A3128" s="2" t="s">
        <v>3112</v>
      </c>
    </row>
    <row r="3129">
      <c r="A3129" s="2" t="s">
        <v>3113</v>
      </c>
    </row>
    <row r="3130">
      <c r="A3130" s="2" t="s">
        <v>3114</v>
      </c>
    </row>
    <row r="3131">
      <c r="A3131" s="2" t="s">
        <v>3115</v>
      </c>
    </row>
    <row r="3132">
      <c r="A3132" s="2" t="s">
        <v>3116</v>
      </c>
    </row>
    <row r="3133">
      <c r="A3133" s="2" t="s">
        <v>3117</v>
      </c>
    </row>
    <row r="3134">
      <c r="A3134" s="2" t="s">
        <v>3118</v>
      </c>
    </row>
    <row r="3135">
      <c r="A3135" s="2" t="s">
        <v>3119</v>
      </c>
    </row>
    <row r="3136">
      <c r="A3136" s="2" t="s">
        <v>3120</v>
      </c>
    </row>
    <row r="3137">
      <c r="A3137" s="2" t="s">
        <v>3121</v>
      </c>
    </row>
    <row r="3138">
      <c r="A3138" s="2" t="s">
        <v>3122</v>
      </c>
    </row>
    <row r="3139">
      <c r="A3139" s="2" t="s">
        <v>3123</v>
      </c>
    </row>
    <row r="3140">
      <c r="A3140" s="2" t="s">
        <v>3124</v>
      </c>
    </row>
    <row r="3141">
      <c r="A3141" s="2" t="s">
        <v>3125</v>
      </c>
    </row>
    <row r="3142">
      <c r="A3142" s="2" t="s">
        <v>3126</v>
      </c>
    </row>
    <row r="3143">
      <c r="A3143" s="2" t="s">
        <v>3127</v>
      </c>
    </row>
    <row r="3144">
      <c r="A3144" s="2" t="s">
        <v>3128</v>
      </c>
    </row>
    <row r="3145">
      <c r="A3145" s="2" t="s">
        <v>3129</v>
      </c>
    </row>
    <row r="3146">
      <c r="A3146" s="2" t="s">
        <v>3130</v>
      </c>
    </row>
    <row r="3147">
      <c r="A3147" s="2" t="s">
        <v>3131</v>
      </c>
    </row>
    <row r="3148">
      <c r="A3148" s="2" t="s">
        <v>3132</v>
      </c>
    </row>
    <row r="3149">
      <c r="A3149" s="2" t="s">
        <v>3133</v>
      </c>
    </row>
    <row r="3150">
      <c r="A3150" s="2" t="s">
        <v>3134</v>
      </c>
    </row>
    <row r="3151">
      <c r="A3151" s="2" t="s">
        <v>3135</v>
      </c>
    </row>
    <row r="3152">
      <c r="A3152" s="2" t="s">
        <v>3136</v>
      </c>
    </row>
    <row r="3153">
      <c r="A3153" s="2" t="s">
        <v>3137</v>
      </c>
    </row>
    <row r="3154">
      <c r="A3154" s="2" t="s">
        <v>3138</v>
      </c>
    </row>
    <row r="3155">
      <c r="A3155" s="2" t="s">
        <v>3139</v>
      </c>
    </row>
    <row r="3156">
      <c r="A3156" s="2" t="s">
        <v>3140</v>
      </c>
    </row>
    <row r="3157">
      <c r="A3157" s="2" t="s">
        <v>3141</v>
      </c>
    </row>
    <row r="3158">
      <c r="A3158" s="2" t="s">
        <v>3142</v>
      </c>
    </row>
    <row r="3159">
      <c r="A3159" s="2" t="s">
        <v>3143</v>
      </c>
    </row>
    <row r="3160">
      <c r="A3160" s="2" t="s">
        <v>3144</v>
      </c>
    </row>
    <row r="3161">
      <c r="A3161" s="2" t="s">
        <v>3145</v>
      </c>
    </row>
    <row r="3162">
      <c r="A3162" s="2" t="s">
        <v>3146</v>
      </c>
    </row>
    <row r="3163">
      <c r="A3163" s="2" t="s">
        <v>3147</v>
      </c>
    </row>
    <row r="3164">
      <c r="A3164" s="2" t="s">
        <v>3148</v>
      </c>
    </row>
    <row r="3165">
      <c r="A3165" s="2" t="s">
        <v>3149</v>
      </c>
    </row>
    <row r="3166">
      <c r="A3166" s="2" t="s">
        <v>3150</v>
      </c>
    </row>
    <row r="3167">
      <c r="A3167" s="2" t="s">
        <v>3151</v>
      </c>
    </row>
    <row r="3168">
      <c r="A3168" s="2" t="s">
        <v>3152</v>
      </c>
    </row>
    <row r="3169">
      <c r="A3169" s="2" t="s">
        <v>3153</v>
      </c>
    </row>
    <row r="3170">
      <c r="A3170" s="2" t="s">
        <v>3154</v>
      </c>
    </row>
    <row r="3171">
      <c r="A3171" s="2" t="s">
        <v>3155</v>
      </c>
    </row>
    <row r="3172">
      <c r="A3172" s="2" t="s">
        <v>3156</v>
      </c>
    </row>
    <row r="3173">
      <c r="A3173" s="2" t="s">
        <v>3157</v>
      </c>
    </row>
    <row r="3174">
      <c r="A3174" s="2" t="s">
        <v>3158</v>
      </c>
    </row>
    <row r="3175">
      <c r="A3175" s="2" t="s">
        <v>3159</v>
      </c>
    </row>
    <row r="3176">
      <c r="A3176" s="2" t="s">
        <v>3160</v>
      </c>
    </row>
    <row r="3177">
      <c r="A3177" s="2" t="s">
        <v>3161</v>
      </c>
    </row>
    <row r="3178">
      <c r="A3178" s="2" t="s">
        <v>3162</v>
      </c>
    </row>
    <row r="3179">
      <c r="A3179" s="2" t="s">
        <v>3163</v>
      </c>
    </row>
    <row r="3180">
      <c r="A3180" s="2" t="s">
        <v>3164</v>
      </c>
    </row>
    <row r="3181">
      <c r="A3181" s="2" t="s">
        <v>3165</v>
      </c>
    </row>
    <row r="3182">
      <c r="A3182" s="2" t="s">
        <v>3166</v>
      </c>
    </row>
    <row r="3183">
      <c r="A3183" s="2" t="s">
        <v>3167</v>
      </c>
    </row>
    <row r="3184">
      <c r="A3184" s="2" t="s">
        <v>3168</v>
      </c>
    </row>
    <row r="3185">
      <c r="A3185" s="2" t="s">
        <v>3169</v>
      </c>
    </row>
    <row r="3186">
      <c r="A3186" s="2" t="s">
        <v>3170</v>
      </c>
    </row>
    <row r="3187">
      <c r="A3187" s="2" t="s">
        <v>3171</v>
      </c>
    </row>
    <row r="3188">
      <c r="A3188" s="2" t="s">
        <v>3172</v>
      </c>
    </row>
    <row r="3189">
      <c r="A3189" s="2" t="s">
        <v>3173</v>
      </c>
    </row>
    <row r="3190">
      <c r="A3190" s="2" t="s">
        <v>3174</v>
      </c>
    </row>
    <row r="3191">
      <c r="A3191" s="2" t="s">
        <v>3175</v>
      </c>
    </row>
    <row r="3192">
      <c r="A3192" s="2" t="s">
        <v>3176</v>
      </c>
    </row>
    <row r="3193">
      <c r="A3193" s="2" t="s">
        <v>3177</v>
      </c>
    </row>
    <row r="3194">
      <c r="A3194" s="2" t="s">
        <v>3178</v>
      </c>
    </row>
    <row r="3195">
      <c r="A3195" s="2" t="s">
        <v>3179</v>
      </c>
    </row>
    <row r="3196">
      <c r="A3196" s="2" t="s">
        <v>3180</v>
      </c>
    </row>
    <row r="3197">
      <c r="A3197" s="2" t="s">
        <v>3181</v>
      </c>
    </row>
    <row r="3198">
      <c r="A3198" s="2" t="s">
        <v>3182</v>
      </c>
    </row>
    <row r="3199">
      <c r="A3199" s="2" t="s">
        <v>3183</v>
      </c>
    </row>
    <row r="3200">
      <c r="A3200" s="2" t="s">
        <v>3184</v>
      </c>
    </row>
    <row r="3201">
      <c r="A3201" s="2" t="s">
        <v>3185</v>
      </c>
    </row>
    <row r="3202">
      <c r="A3202" s="2" t="s">
        <v>3186</v>
      </c>
    </row>
    <row r="3203">
      <c r="A3203" s="2" t="s">
        <v>3187</v>
      </c>
    </row>
    <row r="3204">
      <c r="A3204" s="2" t="s">
        <v>3188</v>
      </c>
    </row>
    <row r="3205">
      <c r="A3205" s="2" t="s">
        <v>3189</v>
      </c>
    </row>
    <row r="3206">
      <c r="A3206" s="2" t="s">
        <v>3190</v>
      </c>
    </row>
    <row r="3207">
      <c r="A3207" s="2" t="s">
        <v>3191</v>
      </c>
    </row>
    <row r="3208">
      <c r="A3208" s="2" t="s">
        <v>3192</v>
      </c>
    </row>
    <row r="3209">
      <c r="A3209" s="2" t="s">
        <v>3193</v>
      </c>
    </row>
    <row r="3210">
      <c r="A3210" s="2" t="s">
        <v>3194</v>
      </c>
    </row>
    <row r="3211">
      <c r="A3211" s="2" t="s">
        <v>3195</v>
      </c>
    </row>
    <row r="3212">
      <c r="A3212" s="2" t="s">
        <v>3196</v>
      </c>
    </row>
    <row r="3213">
      <c r="A3213" s="2" t="s">
        <v>3118</v>
      </c>
    </row>
    <row r="3214">
      <c r="A3214" s="2" t="s">
        <v>3197</v>
      </c>
    </row>
    <row r="3215">
      <c r="A3215" s="2" t="s">
        <v>3198</v>
      </c>
    </row>
    <row r="3216">
      <c r="A3216" s="2" t="s">
        <v>3199</v>
      </c>
    </row>
    <row r="3217">
      <c r="A3217" s="2" t="s">
        <v>3200</v>
      </c>
    </row>
    <row r="3218">
      <c r="A3218" s="2" t="s">
        <v>3201</v>
      </c>
    </row>
    <row r="3219">
      <c r="A3219" s="2" t="s">
        <v>3202</v>
      </c>
    </row>
    <row r="3220">
      <c r="A3220" s="2" t="s">
        <v>3203</v>
      </c>
    </row>
    <row r="3221">
      <c r="A3221" s="2" t="s">
        <v>3204</v>
      </c>
    </row>
    <row r="3222">
      <c r="A3222" s="2" t="s">
        <v>3205</v>
      </c>
    </row>
    <row r="3223">
      <c r="A3223" s="2" t="s">
        <v>3206</v>
      </c>
    </row>
    <row r="3224">
      <c r="A3224" s="2" t="s">
        <v>3207</v>
      </c>
    </row>
    <row r="3225">
      <c r="A3225" s="2" t="s">
        <v>3208</v>
      </c>
    </row>
    <row r="3226">
      <c r="A3226" s="2" t="s">
        <v>3209</v>
      </c>
    </row>
    <row r="3227">
      <c r="A3227" s="2" t="s">
        <v>3210</v>
      </c>
    </row>
    <row r="3228">
      <c r="A3228" s="2" t="s">
        <v>3211</v>
      </c>
    </row>
    <row r="3229">
      <c r="A3229" s="2" t="s">
        <v>3212</v>
      </c>
    </row>
    <row r="3230">
      <c r="A3230" s="2" t="s">
        <v>3213</v>
      </c>
    </row>
    <row r="3231">
      <c r="A3231" s="2" t="s">
        <v>3214</v>
      </c>
    </row>
    <row r="3232">
      <c r="A3232" s="2" t="s">
        <v>3215</v>
      </c>
    </row>
    <row r="3233">
      <c r="A3233" s="2" t="s">
        <v>1918</v>
      </c>
    </row>
    <row r="3234">
      <c r="A3234" s="2" t="s">
        <v>1911</v>
      </c>
    </row>
    <row r="3235">
      <c r="A3235" s="2" t="s">
        <v>3216</v>
      </c>
    </row>
    <row r="3236">
      <c r="A3236" s="2" t="s">
        <v>3217</v>
      </c>
    </row>
    <row r="3237">
      <c r="A3237" s="2" t="s">
        <v>3218</v>
      </c>
    </row>
    <row r="3238">
      <c r="A3238" s="2" t="s">
        <v>3219</v>
      </c>
    </row>
    <row r="3239">
      <c r="A3239" s="2" t="s">
        <v>3220</v>
      </c>
    </row>
    <row r="3240">
      <c r="A3240" s="2" t="s">
        <v>3221</v>
      </c>
    </row>
    <row r="3241">
      <c r="A3241" s="2" t="s">
        <v>3222</v>
      </c>
    </row>
    <row r="3242">
      <c r="A3242" s="2" t="s">
        <v>3223</v>
      </c>
    </row>
    <row r="3243">
      <c r="A3243" s="2" t="s">
        <v>3224</v>
      </c>
    </row>
    <row r="3244">
      <c r="A3244" s="2" t="s">
        <v>3225</v>
      </c>
    </row>
    <row r="3245">
      <c r="A3245" s="2" t="s">
        <v>3226</v>
      </c>
    </row>
    <row r="3246">
      <c r="A3246" s="2" t="s">
        <v>3227</v>
      </c>
    </row>
    <row r="3247">
      <c r="A3247" s="2" t="s">
        <v>3228</v>
      </c>
    </row>
    <row r="3248">
      <c r="A3248" s="2" t="s">
        <v>3229</v>
      </c>
    </row>
    <row r="3249">
      <c r="A3249" s="2" t="s">
        <v>3230</v>
      </c>
    </row>
    <row r="3250">
      <c r="A3250" s="2" t="s">
        <v>3231</v>
      </c>
    </row>
    <row r="3251">
      <c r="A3251" s="2" t="s">
        <v>3232</v>
      </c>
    </row>
    <row r="3252">
      <c r="A3252" s="2" t="s">
        <v>3233</v>
      </c>
    </row>
    <row r="3253">
      <c r="A3253" s="2" t="s">
        <v>3234</v>
      </c>
    </row>
    <row r="3254">
      <c r="A3254" s="2" t="s">
        <v>3235</v>
      </c>
    </row>
    <row r="3255">
      <c r="A3255" s="2" t="s">
        <v>3236</v>
      </c>
    </row>
    <row r="3256">
      <c r="A3256" s="2" t="s">
        <v>3237</v>
      </c>
    </row>
    <row r="3257">
      <c r="A3257" s="2" t="s">
        <v>3238</v>
      </c>
    </row>
    <row r="3258">
      <c r="A3258" s="2" t="s">
        <v>3239</v>
      </c>
    </row>
    <row r="3259">
      <c r="A3259" s="2" t="s">
        <v>3240</v>
      </c>
    </row>
    <row r="3260">
      <c r="A3260" s="2" t="s">
        <v>3241</v>
      </c>
    </row>
    <row r="3261">
      <c r="A3261" s="2" t="s">
        <v>3242</v>
      </c>
    </row>
    <row r="3262">
      <c r="A3262" s="2" t="s">
        <v>3243</v>
      </c>
    </row>
    <row r="3263">
      <c r="A3263" s="2" t="s">
        <v>3244</v>
      </c>
    </row>
    <row r="3264">
      <c r="A3264" s="2" t="s">
        <v>3245</v>
      </c>
    </row>
    <row r="3265">
      <c r="A3265" s="2" t="s">
        <v>3246</v>
      </c>
    </row>
    <row r="3266">
      <c r="A3266" s="2" t="s">
        <v>3247</v>
      </c>
    </row>
    <row r="3267">
      <c r="A3267" s="2" t="s">
        <v>3248</v>
      </c>
    </row>
    <row r="3268">
      <c r="A3268" s="2" t="s">
        <v>3249</v>
      </c>
    </row>
    <row r="3269">
      <c r="A3269" s="2" t="s">
        <v>3250</v>
      </c>
    </row>
    <row r="3270">
      <c r="A3270" s="2" t="s">
        <v>3251</v>
      </c>
    </row>
    <row r="3271">
      <c r="A3271" s="2" t="s">
        <v>3252</v>
      </c>
    </row>
    <row r="3272">
      <c r="A3272" s="2" t="s">
        <v>3253</v>
      </c>
    </row>
    <row r="3273">
      <c r="A3273" s="2" t="s">
        <v>3254</v>
      </c>
    </row>
    <row r="3274">
      <c r="A3274" s="2" t="s">
        <v>3255</v>
      </c>
    </row>
    <row r="3275">
      <c r="A3275" s="2" t="s">
        <v>3256</v>
      </c>
    </row>
    <row r="3276">
      <c r="A3276" s="2" t="s">
        <v>3257</v>
      </c>
    </row>
    <row r="3277">
      <c r="A3277" s="2" t="s">
        <v>3258</v>
      </c>
    </row>
    <row r="3278">
      <c r="A3278" s="2" t="s">
        <v>3259</v>
      </c>
    </row>
    <row r="3279">
      <c r="A3279" s="2" t="s">
        <v>3260</v>
      </c>
    </row>
    <row r="3280">
      <c r="A3280" s="2" t="s">
        <v>3261</v>
      </c>
    </row>
    <row r="3281">
      <c r="A3281" s="2" t="s">
        <v>3262</v>
      </c>
    </row>
    <row r="3282">
      <c r="A3282" s="2" t="s">
        <v>3263</v>
      </c>
    </row>
    <row r="3283">
      <c r="A3283" s="2" t="s">
        <v>3264</v>
      </c>
    </row>
    <row r="3284">
      <c r="A3284" s="2" t="s">
        <v>3265</v>
      </c>
    </row>
    <row r="3285">
      <c r="A3285" s="2" t="s">
        <v>3266</v>
      </c>
    </row>
    <row r="3286">
      <c r="A3286" s="2" t="s">
        <v>3267</v>
      </c>
    </row>
    <row r="3287">
      <c r="A3287" s="2" t="s">
        <v>3268</v>
      </c>
    </row>
    <row r="3288">
      <c r="A3288" s="2" t="s">
        <v>3269</v>
      </c>
    </row>
    <row r="3289">
      <c r="A3289" s="2" t="s">
        <v>3270</v>
      </c>
    </row>
    <row r="3290">
      <c r="A3290" s="2" t="s">
        <v>3271</v>
      </c>
    </row>
    <row r="3291">
      <c r="A3291" s="2" t="s">
        <v>3272</v>
      </c>
    </row>
    <row r="3292">
      <c r="A3292" s="2" t="s">
        <v>3273</v>
      </c>
    </row>
    <row r="3293">
      <c r="A3293" s="2" t="s">
        <v>3274</v>
      </c>
    </row>
    <row r="3294">
      <c r="A3294" s="2" t="s">
        <v>3275</v>
      </c>
    </row>
    <row r="3295">
      <c r="A3295" s="2" t="s">
        <v>3276</v>
      </c>
    </row>
    <row r="3296">
      <c r="A3296" s="2" t="s">
        <v>3277</v>
      </c>
    </row>
    <row r="3297">
      <c r="A3297" s="2" t="s">
        <v>3278</v>
      </c>
    </row>
    <row r="3298">
      <c r="A3298" s="2" t="s">
        <v>3279</v>
      </c>
    </row>
    <row r="3299">
      <c r="A3299" s="2" t="s">
        <v>3280</v>
      </c>
    </row>
    <row r="3300">
      <c r="A3300" s="2" t="s">
        <v>3281</v>
      </c>
    </row>
    <row r="3301">
      <c r="A3301" s="2" t="s">
        <v>3282</v>
      </c>
    </row>
    <row r="3302">
      <c r="A3302" s="2" t="s">
        <v>3283</v>
      </c>
    </row>
    <row r="3303">
      <c r="A3303" s="2" t="s">
        <v>3284</v>
      </c>
    </row>
    <row r="3304">
      <c r="A3304" s="2" t="s">
        <v>3285</v>
      </c>
    </row>
    <row r="3305">
      <c r="A3305" s="2" t="s">
        <v>3286</v>
      </c>
    </row>
    <row r="3306">
      <c r="A3306" s="2" t="s">
        <v>3287</v>
      </c>
    </row>
    <row r="3307">
      <c r="A3307" s="2" t="s">
        <v>3288</v>
      </c>
    </row>
    <row r="3308">
      <c r="A3308" s="2" t="s">
        <v>3289</v>
      </c>
    </row>
    <row r="3309">
      <c r="A3309" s="2" t="s">
        <v>3290</v>
      </c>
    </row>
    <row r="3310">
      <c r="A3310" s="2" t="s">
        <v>3291</v>
      </c>
    </row>
    <row r="3311">
      <c r="A3311" s="2" t="s">
        <v>3292</v>
      </c>
    </row>
    <row r="3312">
      <c r="A3312" s="2" t="s">
        <v>3293</v>
      </c>
    </row>
    <row r="3313">
      <c r="A3313" s="2" t="s">
        <v>3294</v>
      </c>
    </row>
    <row r="3314">
      <c r="A3314" s="2" t="s">
        <v>3295</v>
      </c>
    </row>
    <row r="3315">
      <c r="A3315" s="2" t="s">
        <v>3296</v>
      </c>
    </row>
    <row r="3316">
      <c r="A3316" s="2" t="s">
        <v>3297</v>
      </c>
    </row>
    <row r="3317">
      <c r="A3317" s="2" t="s">
        <v>3298</v>
      </c>
    </row>
    <row r="3318">
      <c r="A3318" s="2" t="s">
        <v>3299</v>
      </c>
    </row>
    <row r="3319">
      <c r="A3319" s="2" t="s">
        <v>3300</v>
      </c>
    </row>
    <row r="3320">
      <c r="A3320" s="2" t="s">
        <v>3301</v>
      </c>
    </row>
    <row r="3321">
      <c r="A3321" s="2" t="s">
        <v>3302</v>
      </c>
    </row>
    <row r="3322">
      <c r="A3322" s="2" t="s">
        <v>3303</v>
      </c>
    </row>
    <row r="3323">
      <c r="A3323" s="2" t="s">
        <v>3304</v>
      </c>
    </row>
    <row r="3324">
      <c r="A3324" s="2" t="s">
        <v>3305</v>
      </c>
    </row>
    <row r="3325">
      <c r="A3325" s="2" t="s">
        <v>3306</v>
      </c>
    </row>
    <row r="3326">
      <c r="A3326" s="2" t="s">
        <v>3307</v>
      </c>
    </row>
    <row r="3327">
      <c r="A3327" s="2" t="s">
        <v>3308</v>
      </c>
    </row>
    <row r="3328">
      <c r="A3328" s="2" t="s">
        <v>3309</v>
      </c>
    </row>
    <row r="3329">
      <c r="A3329" s="2" t="s">
        <v>3310</v>
      </c>
    </row>
    <row r="3330">
      <c r="A3330" s="2" t="s">
        <v>3311</v>
      </c>
    </row>
    <row r="3331">
      <c r="A3331" s="2" t="s">
        <v>3312</v>
      </c>
    </row>
    <row r="3332">
      <c r="A3332" s="2" t="s">
        <v>3313</v>
      </c>
    </row>
    <row r="3333">
      <c r="A3333" s="2" t="s">
        <v>3314</v>
      </c>
    </row>
    <row r="3334">
      <c r="A3334" s="2" t="s">
        <v>3315</v>
      </c>
    </row>
    <row r="3335">
      <c r="A3335" s="2" t="s">
        <v>3316</v>
      </c>
    </row>
    <row r="3336">
      <c r="A3336" s="2" t="s">
        <v>3317</v>
      </c>
    </row>
    <row r="3337">
      <c r="A3337" s="2" t="s">
        <v>3318</v>
      </c>
    </row>
    <row r="3338">
      <c r="A3338" s="2" t="s">
        <v>3319</v>
      </c>
    </row>
    <row r="3339">
      <c r="A3339" s="2" t="s">
        <v>3320</v>
      </c>
    </row>
    <row r="3340">
      <c r="A3340" s="2" t="s">
        <v>3321</v>
      </c>
    </row>
    <row r="3341">
      <c r="A3341" s="2" t="s">
        <v>3322</v>
      </c>
    </row>
    <row r="3342">
      <c r="A3342" s="2" t="s">
        <v>3323</v>
      </c>
    </row>
    <row r="3343">
      <c r="A3343" s="2" t="s">
        <v>3324</v>
      </c>
    </row>
    <row r="3344">
      <c r="A3344" s="2" t="s">
        <v>3325</v>
      </c>
    </row>
    <row r="3345">
      <c r="A3345" s="2" t="s">
        <v>3326</v>
      </c>
    </row>
    <row r="3346">
      <c r="A3346" s="2" t="s">
        <v>3327</v>
      </c>
    </row>
    <row r="3347">
      <c r="A3347" s="2" t="s">
        <v>3328</v>
      </c>
    </row>
    <row r="3348">
      <c r="A3348" s="2" t="s">
        <v>3329</v>
      </c>
    </row>
    <row r="3349">
      <c r="A3349" s="2" t="s">
        <v>3330</v>
      </c>
    </row>
    <row r="3350">
      <c r="A3350" s="2" t="s">
        <v>3331</v>
      </c>
    </row>
    <row r="3351">
      <c r="A3351" s="2" t="s">
        <v>3332</v>
      </c>
    </row>
    <row r="3352">
      <c r="A3352" s="2" t="s">
        <v>3333</v>
      </c>
    </row>
    <row r="3353">
      <c r="A3353" s="2" t="s">
        <v>3334</v>
      </c>
    </row>
    <row r="3354">
      <c r="A3354" s="2" t="s">
        <v>3335</v>
      </c>
    </row>
    <row r="3355">
      <c r="A3355" s="2" t="s">
        <v>3336</v>
      </c>
    </row>
    <row r="3356">
      <c r="A3356" s="2" t="s">
        <v>3337</v>
      </c>
    </row>
    <row r="3357">
      <c r="A3357" s="2" t="s">
        <v>3338</v>
      </c>
    </row>
    <row r="3358">
      <c r="A3358" s="2" t="s">
        <v>3339</v>
      </c>
    </row>
    <row r="3359">
      <c r="A3359" s="2" t="s">
        <v>3340</v>
      </c>
    </row>
    <row r="3360">
      <c r="A3360" s="2" t="s">
        <v>3341</v>
      </c>
    </row>
    <row r="3361">
      <c r="A3361" s="2" t="s">
        <v>3342</v>
      </c>
    </row>
    <row r="3362">
      <c r="A3362" s="2" t="s">
        <v>3343</v>
      </c>
    </row>
    <row r="3363">
      <c r="A3363" s="2" t="s">
        <v>3344</v>
      </c>
    </row>
    <row r="3364">
      <c r="A3364" s="2" t="s">
        <v>3345</v>
      </c>
    </row>
    <row r="3365">
      <c r="A3365" s="2" t="s">
        <v>3346</v>
      </c>
    </row>
    <row r="3366">
      <c r="A3366" s="2" t="s">
        <v>3347</v>
      </c>
    </row>
    <row r="3367">
      <c r="A3367" s="2" t="s">
        <v>3348</v>
      </c>
    </row>
    <row r="3368">
      <c r="A3368" s="2" t="s">
        <v>1384</v>
      </c>
    </row>
    <row r="3369">
      <c r="A3369" s="2" t="s">
        <v>3349</v>
      </c>
    </row>
    <row r="3370">
      <c r="A3370" s="2" t="s">
        <v>3350</v>
      </c>
    </row>
    <row r="3371">
      <c r="A3371" s="2" t="s">
        <v>3351</v>
      </c>
    </row>
    <row r="3372">
      <c r="A3372" s="2" t="s">
        <v>3352</v>
      </c>
    </row>
    <row r="3373">
      <c r="A3373" s="2" t="s">
        <v>3353</v>
      </c>
    </row>
    <row r="3374">
      <c r="A3374" s="2" t="s">
        <v>3354</v>
      </c>
    </row>
    <row r="3375">
      <c r="A3375" s="2" t="s">
        <v>3355</v>
      </c>
    </row>
    <row r="3376">
      <c r="A3376" s="2" t="s">
        <v>3356</v>
      </c>
    </row>
    <row r="3377">
      <c r="A3377" s="2" t="s">
        <v>3357</v>
      </c>
    </row>
    <row r="3378">
      <c r="A3378" s="2" t="s">
        <v>3358</v>
      </c>
    </row>
    <row r="3379">
      <c r="A3379" s="2" t="s">
        <v>3359</v>
      </c>
    </row>
    <row r="3380">
      <c r="A3380" s="2" t="s">
        <v>3360</v>
      </c>
    </row>
    <row r="3381">
      <c r="A3381" s="2" t="s">
        <v>3361</v>
      </c>
    </row>
    <row r="3382">
      <c r="A3382" s="2" t="s">
        <v>3362</v>
      </c>
    </row>
    <row r="3383">
      <c r="A3383" s="2" t="s">
        <v>3363</v>
      </c>
    </row>
    <row r="3384">
      <c r="A3384" s="2" t="s">
        <v>3364</v>
      </c>
    </row>
    <row r="3385">
      <c r="A3385" s="2" t="s">
        <v>3365</v>
      </c>
    </row>
    <row r="3386">
      <c r="A3386" s="2" t="s">
        <v>3366</v>
      </c>
    </row>
    <row r="3387">
      <c r="A3387" s="2" t="s">
        <v>3367</v>
      </c>
    </row>
    <row r="3388">
      <c r="A3388" s="2" t="s">
        <v>3368</v>
      </c>
    </row>
    <row r="3389">
      <c r="A3389" s="2" t="s">
        <v>3369</v>
      </c>
    </row>
    <row r="3390">
      <c r="A3390" s="2" t="s">
        <v>3370</v>
      </c>
    </row>
    <row r="3391">
      <c r="A3391" s="2" t="s">
        <v>3371</v>
      </c>
    </row>
    <row r="3392">
      <c r="A3392" s="2" t="s">
        <v>3372</v>
      </c>
    </row>
    <row r="3393">
      <c r="A3393" s="2" t="s">
        <v>3373</v>
      </c>
    </row>
    <row r="3394">
      <c r="A3394" s="2" t="s">
        <v>3374</v>
      </c>
    </row>
    <row r="3395">
      <c r="A3395" s="2" t="s">
        <v>3375</v>
      </c>
    </row>
    <row r="3396">
      <c r="A3396" s="2" t="s">
        <v>3376</v>
      </c>
    </row>
    <row r="3397">
      <c r="A3397" s="2" t="s">
        <v>3377</v>
      </c>
    </row>
    <row r="3398">
      <c r="A3398" s="2" t="s">
        <v>3378</v>
      </c>
    </row>
    <row r="3399">
      <c r="A3399" s="2" t="s">
        <v>3379</v>
      </c>
    </row>
    <row r="3400">
      <c r="A3400" s="2" t="s">
        <v>3380</v>
      </c>
    </row>
    <row r="3401">
      <c r="A3401" s="2" t="s">
        <v>3381</v>
      </c>
    </row>
    <row r="3402">
      <c r="A3402" s="2" t="s">
        <v>3382</v>
      </c>
    </row>
    <row r="3403">
      <c r="A3403" s="2" t="s">
        <v>3383</v>
      </c>
    </row>
    <row r="3404">
      <c r="A3404" s="2" t="s">
        <v>3384</v>
      </c>
    </row>
    <row r="3405">
      <c r="A3405" s="2" t="s">
        <v>3385</v>
      </c>
    </row>
    <row r="3406">
      <c r="A3406" s="2" t="s">
        <v>3386</v>
      </c>
    </row>
    <row r="3407">
      <c r="A3407" s="2" t="s">
        <v>3387</v>
      </c>
    </row>
    <row r="3408">
      <c r="A3408" s="2" t="s">
        <v>3388</v>
      </c>
    </row>
    <row r="3409">
      <c r="A3409" s="2" t="s">
        <v>3389</v>
      </c>
    </row>
    <row r="3410">
      <c r="A3410" s="2" t="s">
        <v>1909</v>
      </c>
    </row>
    <row r="3411">
      <c r="A3411" s="2" t="s">
        <v>3390</v>
      </c>
    </row>
    <row r="3412">
      <c r="A3412" s="2" t="s">
        <v>3391</v>
      </c>
    </row>
    <row r="3413">
      <c r="A3413" s="2" t="s">
        <v>3392</v>
      </c>
    </row>
    <row r="3414">
      <c r="A3414" s="2" t="s">
        <v>3393</v>
      </c>
    </row>
    <row r="3415">
      <c r="A3415" s="2" t="s">
        <v>3394</v>
      </c>
    </row>
    <row r="3416">
      <c r="A3416" s="2" t="s">
        <v>3395</v>
      </c>
    </row>
    <row r="3417">
      <c r="A3417" s="2" t="s">
        <v>3396</v>
      </c>
    </row>
    <row r="3418">
      <c r="A3418" s="2" t="s">
        <v>3397</v>
      </c>
    </row>
    <row r="3419">
      <c r="A3419" s="2" t="s">
        <v>3398</v>
      </c>
    </row>
    <row r="3420">
      <c r="A3420" s="2" t="s">
        <v>3399</v>
      </c>
    </row>
    <row r="3421">
      <c r="A3421" s="2" t="s">
        <v>3400</v>
      </c>
    </row>
    <row r="3422">
      <c r="A3422" s="2" t="s">
        <v>3401</v>
      </c>
    </row>
    <row r="3423">
      <c r="A3423" s="2" t="s">
        <v>3402</v>
      </c>
    </row>
    <row r="3424">
      <c r="A3424" s="2" t="s">
        <v>3403</v>
      </c>
    </row>
    <row r="3425">
      <c r="A3425" s="2" t="s">
        <v>3404</v>
      </c>
    </row>
    <row r="3426">
      <c r="A3426" s="2" t="s">
        <v>3405</v>
      </c>
    </row>
    <row r="3427">
      <c r="A3427" s="2" t="s">
        <v>3406</v>
      </c>
    </row>
    <row r="3428">
      <c r="A3428" s="2" t="s">
        <v>3407</v>
      </c>
    </row>
    <row r="3429">
      <c r="A3429" s="2" t="s">
        <v>3408</v>
      </c>
    </row>
    <row r="3430">
      <c r="A3430" s="2" t="s">
        <v>3409</v>
      </c>
    </row>
    <row r="3431">
      <c r="A3431" s="2" t="s">
        <v>3410</v>
      </c>
    </row>
    <row r="3432">
      <c r="A3432" s="2" t="s">
        <v>3411</v>
      </c>
    </row>
    <row r="3433">
      <c r="A3433" s="2" t="s">
        <v>3412</v>
      </c>
    </row>
    <row r="3434">
      <c r="A3434" s="2" t="s">
        <v>3413</v>
      </c>
    </row>
    <row r="3435">
      <c r="A3435" s="2" t="s">
        <v>3414</v>
      </c>
    </row>
    <row r="3436">
      <c r="A3436" s="2" t="s">
        <v>3415</v>
      </c>
    </row>
    <row r="3437">
      <c r="A3437" s="2" t="s">
        <v>3416</v>
      </c>
    </row>
    <row r="3438">
      <c r="A3438" s="2" t="s">
        <v>3417</v>
      </c>
    </row>
    <row r="3439">
      <c r="A3439" s="2" t="s">
        <v>3418</v>
      </c>
    </row>
    <row r="3440">
      <c r="A3440" s="2" t="s">
        <v>3419</v>
      </c>
    </row>
    <row r="3441">
      <c r="A3441" s="2" t="s">
        <v>3420</v>
      </c>
    </row>
    <row r="3442">
      <c r="A3442" s="2" t="s">
        <v>3421</v>
      </c>
    </row>
    <row r="3443">
      <c r="A3443" s="2" t="s">
        <v>3422</v>
      </c>
    </row>
    <row r="3444">
      <c r="A3444" s="2" t="s">
        <v>3423</v>
      </c>
    </row>
    <row r="3445">
      <c r="A3445" s="2" t="s">
        <v>3424</v>
      </c>
    </row>
    <row r="3446">
      <c r="A3446" s="2" t="s">
        <v>3425</v>
      </c>
    </row>
    <row r="3447">
      <c r="A3447" s="2" t="s">
        <v>3426</v>
      </c>
    </row>
    <row r="3448">
      <c r="A3448" s="2" t="s">
        <v>3427</v>
      </c>
    </row>
    <row r="3449">
      <c r="A3449" s="2" t="s">
        <v>3428</v>
      </c>
    </row>
    <row r="3450">
      <c r="A3450" s="2" t="s">
        <v>3429</v>
      </c>
    </row>
    <row r="3451">
      <c r="A3451" s="2" t="s">
        <v>3430</v>
      </c>
    </row>
    <row r="3452">
      <c r="A3452" s="2" t="s">
        <v>3431</v>
      </c>
    </row>
    <row r="3453">
      <c r="A3453" s="2" t="s">
        <v>3432</v>
      </c>
    </row>
    <row r="3454">
      <c r="A3454" s="2" t="s">
        <v>3433</v>
      </c>
    </row>
    <row r="3455">
      <c r="A3455" s="2" t="s">
        <v>3434</v>
      </c>
    </row>
    <row r="3456">
      <c r="A3456" s="2" t="s">
        <v>3435</v>
      </c>
    </row>
    <row r="3457">
      <c r="A3457" s="2" t="s">
        <v>3436</v>
      </c>
    </row>
    <row r="3458">
      <c r="A3458" s="2" t="s">
        <v>3437</v>
      </c>
    </row>
    <row r="3459">
      <c r="A3459" s="2" t="s">
        <v>3438</v>
      </c>
    </row>
    <row r="3460">
      <c r="A3460" s="2" t="s">
        <v>3439</v>
      </c>
    </row>
    <row r="3461">
      <c r="A3461" s="2" t="s">
        <v>3440</v>
      </c>
    </row>
    <row r="3462">
      <c r="A3462" s="2" t="s">
        <v>3441</v>
      </c>
    </row>
    <row r="3463">
      <c r="A3463" s="2" t="s">
        <v>3442</v>
      </c>
    </row>
    <row r="3464">
      <c r="A3464" s="2" t="s">
        <v>3443</v>
      </c>
    </row>
    <row r="3465">
      <c r="A3465" s="2" t="s">
        <v>3444</v>
      </c>
    </row>
    <row r="3466">
      <c r="A3466" s="2" t="s">
        <v>3445</v>
      </c>
    </row>
    <row r="3467">
      <c r="A3467" s="2" t="s">
        <v>3446</v>
      </c>
    </row>
    <row r="3468">
      <c r="A3468" s="2" t="s">
        <v>3447</v>
      </c>
    </row>
    <row r="3469">
      <c r="A3469" s="2" t="s">
        <v>3448</v>
      </c>
    </row>
    <row r="3470">
      <c r="A3470" s="2" t="s">
        <v>3449</v>
      </c>
    </row>
    <row r="3471">
      <c r="A3471" s="2" t="s">
        <v>3450</v>
      </c>
    </row>
    <row r="3472">
      <c r="A3472" s="2" t="s">
        <v>3451</v>
      </c>
    </row>
    <row r="3473">
      <c r="A3473" s="2" t="s">
        <v>3452</v>
      </c>
    </row>
    <row r="3474">
      <c r="A3474" s="2" t="s">
        <v>3453</v>
      </c>
    </row>
    <row r="3475">
      <c r="A3475" s="2" t="s">
        <v>3454</v>
      </c>
    </row>
    <row r="3476">
      <c r="A3476" s="2" t="s">
        <v>3455</v>
      </c>
    </row>
    <row r="3477">
      <c r="A3477" s="2" t="s">
        <v>3456</v>
      </c>
    </row>
    <row r="3478">
      <c r="A3478" s="2" t="s">
        <v>3457</v>
      </c>
    </row>
    <row r="3479">
      <c r="A3479" s="2" t="s">
        <v>3458</v>
      </c>
    </row>
    <row r="3480">
      <c r="A3480" s="2" t="s">
        <v>3459</v>
      </c>
    </row>
    <row r="3481">
      <c r="A3481" s="2" t="s">
        <v>3460</v>
      </c>
    </row>
    <row r="3482">
      <c r="A3482" s="2" t="s">
        <v>3461</v>
      </c>
    </row>
    <row r="3483">
      <c r="A3483" s="2" t="s">
        <v>3462</v>
      </c>
    </row>
    <row r="3484">
      <c r="A3484" s="2" t="s">
        <v>3463</v>
      </c>
    </row>
    <row r="3485">
      <c r="A3485" s="2" t="s">
        <v>3464</v>
      </c>
    </row>
    <row r="3486">
      <c r="A3486" s="2" t="s">
        <v>3465</v>
      </c>
    </row>
    <row r="3487">
      <c r="A3487" s="2" t="s">
        <v>3466</v>
      </c>
    </row>
    <row r="3488">
      <c r="A3488" s="2" t="s">
        <v>3467</v>
      </c>
    </row>
    <row r="3489">
      <c r="A3489" s="2" t="s">
        <v>3468</v>
      </c>
    </row>
    <row r="3490">
      <c r="A3490" s="2" t="s">
        <v>3469</v>
      </c>
    </row>
    <row r="3491">
      <c r="A3491" s="2" t="s">
        <v>3470</v>
      </c>
    </row>
    <row r="3492">
      <c r="A3492" s="2" t="s">
        <v>3471</v>
      </c>
    </row>
    <row r="3493">
      <c r="A3493" s="2" t="s">
        <v>3472</v>
      </c>
    </row>
    <row r="3494">
      <c r="A3494" s="2" t="s">
        <v>3473</v>
      </c>
    </row>
    <row r="3495">
      <c r="A3495" s="2" t="s">
        <v>3474</v>
      </c>
    </row>
    <row r="3496">
      <c r="A3496" s="2" t="s">
        <v>3475</v>
      </c>
    </row>
    <row r="3497">
      <c r="A3497" s="2" t="s">
        <v>3476</v>
      </c>
    </row>
    <row r="3498">
      <c r="A3498" s="2" t="s">
        <v>3477</v>
      </c>
    </row>
    <row r="3499">
      <c r="A3499" s="2" t="s">
        <v>3478</v>
      </c>
    </row>
    <row r="3500">
      <c r="A3500" s="2" t="s">
        <v>3479</v>
      </c>
    </row>
    <row r="3501">
      <c r="A3501" s="2" t="s">
        <v>3480</v>
      </c>
    </row>
    <row r="3502">
      <c r="A3502" s="2" t="s">
        <v>3481</v>
      </c>
    </row>
    <row r="3503">
      <c r="A3503" s="2" t="s">
        <v>3482</v>
      </c>
    </row>
    <row r="3504">
      <c r="A3504" s="2" t="s">
        <v>3483</v>
      </c>
    </row>
    <row r="3505">
      <c r="A3505" s="2" t="s">
        <v>3484</v>
      </c>
    </row>
    <row r="3506">
      <c r="A3506" s="2" t="s">
        <v>3485</v>
      </c>
    </row>
    <row r="3507">
      <c r="A3507" s="2" t="s">
        <v>3486</v>
      </c>
    </row>
    <row r="3508">
      <c r="A3508" s="2" t="s">
        <v>3487</v>
      </c>
    </row>
    <row r="3509">
      <c r="A3509" s="2" t="s">
        <v>3488</v>
      </c>
    </row>
    <row r="3510">
      <c r="A3510" s="2" t="s">
        <v>3489</v>
      </c>
    </row>
    <row r="3511">
      <c r="A3511" s="2" t="s">
        <v>3490</v>
      </c>
    </row>
    <row r="3512">
      <c r="A3512" s="2" t="s">
        <v>3491</v>
      </c>
    </row>
    <row r="3513">
      <c r="A3513" s="2" t="s">
        <v>3492</v>
      </c>
    </row>
    <row r="3514">
      <c r="A3514" s="2" t="s">
        <v>3493</v>
      </c>
    </row>
    <row r="3515">
      <c r="A3515" s="2" t="s">
        <v>3494</v>
      </c>
    </row>
    <row r="3516">
      <c r="A3516" s="2" t="s">
        <v>3495</v>
      </c>
    </row>
    <row r="3517">
      <c r="A3517" s="2" t="s">
        <v>3496</v>
      </c>
    </row>
    <row r="3518">
      <c r="A3518" s="2" t="s">
        <v>3497</v>
      </c>
    </row>
    <row r="3519">
      <c r="A3519" s="2" t="s">
        <v>3498</v>
      </c>
    </row>
    <row r="3520">
      <c r="A3520" s="2" t="s">
        <v>3499</v>
      </c>
    </row>
    <row r="3521">
      <c r="A3521" s="2" t="s">
        <v>3500</v>
      </c>
    </row>
    <row r="3522">
      <c r="A3522" s="2" t="s">
        <v>3501</v>
      </c>
    </row>
    <row r="3523">
      <c r="A3523" s="2" t="s">
        <v>3502</v>
      </c>
    </row>
    <row r="3524">
      <c r="A3524" s="2" t="s">
        <v>3503</v>
      </c>
    </row>
    <row r="3525">
      <c r="A3525" s="2" t="s">
        <v>3504</v>
      </c>
    </row>
    <row r="3526">
      <c r="A3526" s="2" t="s">
        <v>3505</v>
      </c>
    </row>
    <row r="3527">
      <c r="A3527" s="2" t="s">
        <v>3506</v>
      </c>
    </row>
    <row r="3528">
      <c r="A3528" s="2" t="s">
        <v>3507</v>
      </c>
    </row>
    <row r="3529">
      <c r="A3529" s="2" t="s">
        <v>3508</v>
      </c>
    </row>
    <row r="3530">
      <c r="A3530" s="2" t="s">
        <v>3509</v>
      </c>
    </row>
    <row r="3531">
      <c r="A3531" s="2" t="s">
        <v>3510</v>
      </c>
    </row>
    <row r="3532">
      <c r="A3532" s="2" t="s">
        <v>3511</v>
      </c>
    </row>
    <row r="3533">
      <c r="A3533" s="2" t="s">
        <v>3512</v>
      </c>
    </row>
    <row r="3534">
      <c r="A3534" s="2" t="s">
        <v>3513</v>
      </c>
    </row>
    <row r="3535">
      <c r="A3535" s="2" t="s">
        <v>3514</v>
      </c>
    </row>
    <row r="3536">
      <c r="A3536" s="2" t="s">
        <v>3515</v>
      </c>
    </row>
    <row r="3537">
      <c r="A3537" s="2" t="s">
        <v>3516</v>
      </c>
    </row>
    <row r="3538">
      <c r="A3538" s="2" t="s">
        <v>3517</v>
      </c>
    </row>
    <row r="3539">
      <c r="A3539" s="2" t="s">
        <v>3518</v>
      </c>
    </row>
    <row r="3540">
      <c r="A3540" s="2" t="s">
        <v>3519</v>
      </c>
    </row>
    <row r="3541">
      <c r="A3541" s="2" t="s">
        <v>3520</v>
      </c>
    </row>
    <row r="3542">
      <c r="A3542" s="2" t="s">
        <v>3521</v>
      </c>
    </row>
    <row r="3543">
      <c r="A3543" s="2" t="s">
        <v>3522</v>
      </c>
    </row>
    <row r="3544">
      <c r="A3544" s="2" t="s">
        <v>3523</v>
      </c>
    </row>
    <row r="3545">
      <c r="A3545" s="2" t="s">
        <v>3524</v>
      </c>
    </row>
    <row r="3546">
      <c r="A3546" s="2" t="s">
        <v>3525</v>
      </c>
    </row>
    <row r="3547">
      <c r="A3547" s="2" t="s">
        <v>3526</v>
      </c>
    </row>
    <row r="3548">
      <c r="A3548" s="2" t="s">
        <v>3527</v>
      </c>
    </row>
    <row r="3549">
      <c r="A3549" s="2" t="s">
        <v>3528</v>
      </c>
    </row>
    <row r="3550">
      <c r="A3550" s="2" t="s">
        <v>3529</v>
      </c>
    </row>
    <row r="3551">
      <c r="A3551" s="2" t="s">
        <v>3530</v>
      </c>
    </row>
    <row r="3552">
      <c r="A3552" s="2" t="s">
        <v>3531</v>
      </c>
    </row>
    <row r="3553">
      <c r="A3553" s="2" t="s">
        <v>3532</v>
      </c>
    </row>
    <row r="3554">
      <c r="A3554" s="2" t="s">
        <v>3533</v>
      </c>
    </row>
    <row r="3555">
      <c r="A3555" s="2" t="s">
        <v>3534</v>
      </c>
    </row>
    <row r="3556">
      <c r="A3556" s="2" t="s">
        <v>3535</v>
      </c>
    </row>
    <row r="3557">
      <c r="A3557" s="2" t="s">
        <v>3536</v>
      </c>
    </row>
    <row r="3558">
      <c r="A3558" s="2" t="s">
        <v>3537</v>
      </c>
    </row>
    <row r="3559">
      <c r="A3559" s="2" t="s">
        <v>3538</v>
      </c>
    </row>
    <row r="3560">
      <c r="A3560" s="2" t="s">
        <v>3539</v>
      </c>
    </row>
    <row r="3561">
      <c r="A3561" s="2" t="s">
        <v>3540</v>
      </c>
    </row>
    <row r="3562">
      <c r="A3562" s="2" t="s">
        <v>3541</v>
      </c>
    </row>
    <row r="3563">
      <c r="A3563" s="2" t="s">
        <v>3542</v>
      </c>
    </row>
    <row r="3564">
      <c r="A3564" s="2" t="s">
        <v>3543</v>
      </c>
    </row>
    <row r="3565">
      <c r="A3565" s="2" t="s">
        <v>3544</v>
      </c>
    </row>
    <row r="3566">
      <c r="A3566" s="2" t="s">
        <v>3545</v>
      </c>
    </row>
    <row r="3567">
      <c r="A3567" s="2" t="s">
        <v>3546</v>
      </c>
    </row>
    <row r="3568">
      <c r="A3568" s="2" t="s">
        <v>3547</v>
      </c>
    </row>
    <row r="3569">
      <c r="A3569" s="2" t="s">
        <v>3548</v>
      </c>
    </row>
    <row r="3570">
      <c r="A3570" s="2" t="s">
        <v>3549</v>
      </c>
    </row>
    <row r="3571">
      <c r="A3571" s="2" t="s">
        <v>3550</v>
      </c>
    </row>
    <row r="3572">
      <c r="A3572" s="2" t="s">
        <v>3551</v>
      </c>
    </row>
    <row r="3573">
      <c r="A3573" s="2" t="s">
        <v>3552</v>
      </c>
    </row>
    <row r="3574">
      <c r="A3574" s="2" t="s">
        <v>3553</v>
      </c>
    </row>
    <row r="3575">
      <c r="A3575" s="2" t="s">
        <v>3554</v>
      </c>
    </row>
    <row r="3576">
      <c r="A3576" s="2" t="s">
        <v>3555</v>
      </c>
    </row>
    <row r="3577">
      <c r="A3577" s="2" t="s">
        <v>3556</v>
      </c>
    </row>
    <row r="3578">
      <c r="A3578" s="2" t="s">
        <v>3557</v>
      </c>
    </row>
    <row r="3579">
      <c r="A3579" s="2" t="s">
        <v>3558</v>
      </c>
    </row>
    <row r="3580">
      <c r="A3580" s="2" t="s">
        <v>3559</v>
      </c>
    </row>
    <row r="3581">
      <c r="A3581" s="2" t="s">
        <v>3560</v>
      </c>
    </row>
    <row r="3582">
      <c r="A3582" s="2" t="s">
        <v>3561</v>
      </c>
    </row>
    <row r="3583">
      <c r="A3583" s="2" t="s">
        <v>3562</v>
      </c>
    </row>
    <row r="3584">
      <c r="A3584" s="2" t="s">
        <v>3563</v>
      </c>
    </row>
    <row r="3585">
      <c r="A3585" s="2" t="s">
        <v>3564</v>
      </c>
    </row>
    <row r="3586">
      <c r="A3586" s="2" t="s">
        <v>3565</v>
      </c>
    </row>
    <row r="3587">
      <c r="A3587" s="2" t="s">
        <v>3566</v>
      </c>
    </row>
    <row r="3588">
      <c r="A3588" s="2" t="s">
        <v>3567</v>
      </c>
    </row>
    <row r="3589">
      <c r="A3589" s="2" t="s">
        <v>3568</v>
      </c>
    </row>
    <row r="3590">
      <c r="A3590" s="2" t="s">
        <v>3569</v>
      </c>
    </row>
    <row r="3591">
      <c r="A3591" s="2" t="s">
        <v>3570</v>
      </c>
    </row>
    <row r="3592">
      <c r="A3592" s="2" t="s">
        <v>3571</v>
      </c>
    </row>
    <row r="3593">
      <c r="A3593" s="2" t="s">
        <v>3572</v>
      </c>
    </row>
    <row r="3594">
      <c r="A3594" s="2" t="s">
        <v>3573</v>
      </c>
    </row>
    <row r="3595">
      <c r="A3595" s="2" t="s">
        <v>3574</v>
      </c>
    </row>
    <row r="3596">
      <c r="A3596" s="2" t="s">
        <v>3575</v>
      </c>
    </row>
    <row r="3597">
      <c r="A3597" s="2" t="s">
        <v>3576</v>
      </c>
    </row>
    <row r="3598">
      <c r="A3598" s="2" t="s">
        <v>3577</v>
      </c>
    </row>
    <row r="3599">
      <c r="A3599" s="2" t="s">
        <v>3578</v>
      </c>
    </row>
    <row r="3600">
      <c r="A3600" s="2" t="s">
        <v>3579</v>
      </c>
    </row>
    <row r="3601">
      <c r="A3601" s="2" t="s">
        <v>3580</v>
      </c>
    </row>
    <row r="3602">
      <c r="A3602" s="2" t="s">
        <v>3581</v>
      </c>
    </row>
    <row r="3603">
      <c r="A3603" s="2" t="s">
        <v>3582</v>
      </c>
    </row>
    <row r="3604">
      <c r="A3604" s="2" t="s">
        <v>3583</v>
      </c>
    </row>
    <row r="3605">
      <c r="A3605" s="2" t="s">
        <v>3584</v>
      </c>
    </row>
    <row r="3606">
      <c r="A3606" s="2" t="s">
        <v>3585</v>
      </c>
    </row>
    <row r="3607">
      <c r="A3607" s="2" t="s">
        <v>3586</v>
      </c>
    </row>
    <row r="3608">
      <c r="A3608" s="2" t="s">
        <v>3587</v>
      </c>
    </row>
    <row r="3609">
      <c r="A3609" s="2" t="s">
        <v>3588</v>
      </c>
    </row>
    <row r="3610">
      <c r="A3610" s="2" t="s">
        <v>3589</v>
      </c>
    </row>
    <row r="3611">
      <c r="A3611" s="2" t="s">
        <v>3590</v>
      </c>
    </row>
    <row r="3612">
      <c r="A3612" s="2" t="s">
        <v>3591</v>
      </c>
    </row>
    <row r="3613">
      <c r="A3613" s="2" t="s">
        <v>3592</v>
      </c>
    </row>
    <row r="3614">
      <c r="A3614" s="2" t="s">
        <v>3593</v>
      </c>
    </row>
    <row r="3615">
      <c r="A3615" s="2" t="s">
        <v>3594</v>
      </c>
    </row>
    <row r="3616">
      <c r="A3616" s="2" t="s">
        <v>3595</v>
      </c>
    </row>
    <row r="3617">
      <c r="A3617" s="2" t="s">
        <v>3596</v>
      </c>
    </row>
    <row r="3618">
      <c r="A3618" s="2" t="s">
        <v>3597</v>
      </c>
    </row>
    <row r="3619">
      <c r="A3619" s="2" t="s">
        <v>3598</v>
      </c>
    </row>
    <row r="3620">
      <c r="A3620" s="2" t="s">
        <v>3599</v>
      </c>
    </row>
    <row r="3621">
      <c r="A3621" s="2" t="s">
        <v>3600</v>
      </c>
    </row>
    <row r="3622">
      <c r="A3622" s="2" t="s">
        <v>3601</v>
      </c>
    </row>
    <row r="3623">
      <c r="A3623" s="2" t="s">
        <v>3602</v>
      </c>
    </row>
    <row r="3624">
      <c r="A3624" s="2" t="s">
        <v>3603</v>
      </c>
    </row>
    <row r="3625">
      <c r="A3625" s="2" t="s">
        <v>3604</v>
      </c>
    </row>
    <row r="3626">
      <c r="A3626" s="2" t="s">
        <v>3605</v>
      </c>
    </row>
    <row r="3627">
      <c r="A3627" s="2" t="s">
        <v>3606</v>
      </c>
    </row>
    <row r="3628">
      <c r="A3628" s="2" t="s">
        <v>3607</v>
      </c>
    </row>
    <row r="3629">
      <c r="A3629" s="2" t="s">
        <v>3608</v>
      </c>
    </row>
    <row r="3630">
      <c r="A3630" s="2" t="s">
        <v>3609</v>
      </c>
    </row>
    <row r="3631">
      <c r="A3631" s="2" t="s">
        <v>3610</v>
      </c>
    </row>
    <row r="3632">
      <c r="A3632" s="2" t="s">
        <v>3611</v>
      </c>
    </row>
    <row r="3633">
      <c r="A3633" s="2" t="s">
        <v>3612</v>
      </c>
    </row>
    <row r="3634">
      <c r="A3634" s="2" t="s">
        <v>3613</v>
      </c>
    </row>
    <row r="3635">
      <c r="A3635" s="2" t="s">
        <v>3614</v>
      </c>
    </row>
    <row r="3636">
      <c r="A3636" s="2" t="s">
        <v>3615</v>
      </c>
    </row>
    <row r="3637">
      <c r="A3637" s="2" t="s">
        <v>3616</v>
      </c>
    </row>
    <row r="3638">
      <c r="A3638" s="2" t="s">
        <v>3617</v>
      </c>
    </row>
    <row r="3639">
      <c r="A3639" s="2" t="s">
        <v>3618</v>
      </c>
    </row>
    <row r="3640">
      <c r="A3640" s="2" t="s">
        <v>3619</v>
      </c>
    </row>
    <row r="3641">
      <c r="A3641" s="2" t="s">
        <v>3620</v>
      </c>
    </row>
    <row r="3642">
      <c r="A3642" s="2" t="s">
        <v>3621</v>
      </c>
    </row>
    <row r="3643">
      <c r="A3643" s="2" t="s">
        <v>3622</v>
      </c>
    </row>
    <row r="3644">
      <c r="A3644" s="2" t="s">
        <v>3623</v>
      </c>
    </row>
    <row r="3645">
      <c r="A3645" s="2" t="s">
        <v>3624</v>
      </c>
    </row>
    <row r="3646">
      <c r="A3646" s="2" t="s">
        <v>3625</v>
      </c>
    </row>
    <row r="3647">
      <c r="A3647" s="2" t="s">
        <v>3626</v>
      </c>
    </row>
    <row r="3648">
      <c r="A3648" s="2" t="s">
        <v>3627</v>
      </c>
    </row>
    <row r="3649">
      <c r="A3649" s="2" t="s">
        <v>3628</v>
      </c>
    </row>
    <row r="3650">
      <c r="A3650" s="2" t="s">
        <v>3629</v>
      </c>
    </row>
    <row r="3651">
      <c r="A3651" s="2" t="s">
        <v>3630</v>
      </c>
    </row>
    <row r="3652">
      <c r="A3652" s="2" t="s">
        <v>3631</v>
      </c>
    </row>
    <row r="3653">
      <c r="A3653" s="2" t="s">
        <v>3632</v>
      </c>
    </row>
    <row r="3654">
      <c r="A3654" s="2" t="s">
        <v>3633</v>
      </c>
    </row>
    <row r="3655">
      <c r="A3655" s="2" t="s">
        <v>3634</v>
      </c>
    </row>
    <row r="3656">
      <c r="A3656" s="2" t="s">
        <v>3635</v>
      </c>
    </row>
    <row r="3657">
      <c r="A3657" s="2" t="s">
        <v>3636</v>
      </c>
    </row>
    <row r="3658">
      <c r="A3658" s="2" t="s">
        <v>3637</v>
      </c>
    </row>
    <row r="3659">
      <c r="A3659" s="2" t="s">
        <v>3638</v>
      </c>
    </row>
    <row r="3660">
      <c r="A3660" s="2" t="s">
        <v>3639</v>
      </c>
    </row>
    <row r="3661">
      <c r="A3661" s="2" t="s">
        <v>3640</v>
      </c>
    </row>
    <row r="3662">
      <c r="A3662" s="2" t="s">
        <v>3641</v>
      </c>
    </row>
    <row r="3663">
      <c r="A3663" s="2" t="s">
        <v>3642</v>
      </c>
    </row>
    <row r="3664">
      <c r="A3664" s="2" t="s">
        <v>3643</v>
      </c>
    </row>
    <row r="3665">
      <c r="A3665" s="2" t="s">
        <v>3644</v>
      </c>
    </row>
    <row r="3666">
      <c r="A3666" s="2" t="s">
        <v>3645</v>
      </c>
    </row>
    <row r="3667">
      <c r="A3667" s="2" t="s">
        <v>3646</v>
      </c>
    </row>
    <row r="3668">
      <c r="A3668" s="2" t="s">
        <v>3647</v>
      </c>
    </row>
    <row r="3669">
      <c r="A3669" s="2" t="s">
        <v>3648</v>
      </c>
    </row>
    <row r="3670">
      <c r="A3670" s="2" t="s">
        <v>3649</v>
      </c>
    </row>
    <row r="3671">
      <c r="A3671" s="2" t="s">
        <v>3650</v>
      </c>
    </row>
    <row r="3672">
      <c r="A3672" s="2" t="s">
        <v>3651</v>
      </c>
    </row>
    <row r="3673">
      <c r="A3673" s="2" t="s">
        <v>3652</v>
      </c>
    </row>
    <row r="3674">
      <c r="A3674" s="2" t="s">
        <v>3653</v>
      </c>
    </row>
    <row r="3675">
      <c r="A3675" s="2" t="s">
        <v>3654</v>
      </c>
    </row>
    <row r="3676">
      <c r="A3676" s="2" t="s">
        <v>3655</v>
      </c>
    </row>
    <row r="3677">
      <c r="A3677" s="2" t="s">
        <v>123</v>
      </c>
    </row>
    <row r="3678">
      <c r="A3678" s="2" t="s">
        <v>3656</v>
      </c>
    </row>
    <row r="3679">
      <c r="A3679" s="2" t="s">
        <v>3657</v>
      </c>
    </row>
    <row r="3680">
      <c r="A3680" s="2" t="s">
        <v>3516</v>
      </c>
    </row>
    <row r="3681">
      <c r="A3681" s="2" t="s">
        <v>3658</v>
      </c>
    </row>
    <row r="3682">
      <c r="A3682" s="2" t="s">
        <v>3659</v>
      </c>
    </row>
    <row r="3683">
      <c r="A3683" s="2" t="s">
        <v>3660</v>
      </c>
    </row>
    <row r="3684">
      <c r="A3684" s="2" t="s">
        <v>3661</v>
      </c>
    </row>
    <row r="3685">
      <c r="A3685" s="2" t="s">
        <v>3662</v>
      </c>
    </row>
    <row r="3686">
      <c r="A3686" s="2" t="s">
        <v>3663</v>
      </c>
    </row>
    <row r="3687">
      <c r="A3687" s="2" t="s">
        <v>3664</v>
      </c>
    </row>
    <row r="3688">
      <c r="A3688" s="2" t="s">
        <v>3665</v>
      </c>
    </row>
    <row r="3689">
      <c r="A3689" s="2" t="s">
        <v>3666</v>
      </c>
    </row>
    <row r="3690">
      <c r="A3690" s="2" t="s">
        <v>3667</v>
      </c>
    </row>
    <row r="3691">
      <c r="A3691" s="2" t="s">
        <v>3668</v>
      </c>
    </row>
    <row r="3692">
      <c r="A3692" s="2" t="s">
        <v>3669</v>
      </c>
    </row>
    <row r="3693">
      <c r="A3693" s="2" t="s">
        <v>3670</v>
      </c>
    </row>
    <row r="3694">
      <c r="A3694" s="2" t="s">
        <v>3671</v>
      </c>
    </row>
    <row r="3695">
      <c r="A3695" s="2" t="s">
        <v>3672</v>
      </c>
    </row>
    <row r="3696">
      <c r="A3696" s="2" t="s">
        <v>3673</v>
      </c>
    </row>
    <row r="3697">
      <c r="A3697" s="2" t="s">
        <v>3674</v>
      </c>
    </row>
    <row r="3698">
      <c r="A3698" s="2" t="s">
        <v>3675</v>
      </c>
    </row>
    <row r="3699">
      <c r="A3699" s="2" t="s">
        <v>3676</v>
      </c>
    </row>
    <row r="3700">
      <c r="A3700" s="2" t="s">
        <v>3677</v>
      </c>
    </row>
    <row r="3701">
      <c r="A3701" s="2" t="s">
        <v>3678</v>
      </c>
    </row>
    <row r="3702">
      <c r="A3702" s="2" t="s">
        <v>3679</v>
      </c>
    </row>
    <row r="3703">
      <c r="A3703" s="2" t="s">
        <v>3680</v>
      </c>
    </row>
    <row r="3704">
      <c r="A3704" s="2" t="s">
        <v>3681</v>
      </c>
    </row>
    <row r="3705">
      <c r="A3705" s="2" t="s">
        <v>3682</v>
      </c>
    </row>
    <row r="3706">
      <c r="A3706" s="2" t="s">
        <v>3683</v>
      </c>
    </row>
    <row r="3707">
      <c r="A3707" s="2" t="s">
        <v>3684</v>
      </c>
    </row>
    <row r="3708">
      <c r="A3708" s="2" t="s">
        <v>3685</v>
      </c>
    </row>
    <row r="3709">
      <c r="A3709" s="2" t="s">
        <v>3686</v>
      </c>
    </row>
    <row r="3710">
      <c r="A3710" s="2" t="s">
        <v>3687</v>
      </c>
    </row>
    <row r="3711">
      <c r="A3711" s="2" t="s">
        <v>3688</v>
      </c>
    </row>
    <row r="3712">
      <c r="A3712" s="2" t="s">
        <v>3689</v>
      </c>
    </row>
    <row r="3713">
      <c r="A3713" s="2" t="s">
        <v>3690</v>
      </c>
    </row>
    <row r="3714">
      <c r="A3714" s="2" t="s">
        <v>3691</v>
      </c>
    </row>
    <row r="3715">
      <c r="A3715" s="2" t="s">
        <v>3692</v>
      </c>
    </row>
    <row r="3716">
      <c r="A3716" s="2" t="s">
        <v>3693</v>
      </c>
    </row>
    <row r="3717">
      <c r="A3717" s="2" t="s">
        <v>3694</v>
      </c>
    </row>
    <row r="3718">
      <c r="A3718" s="2" t="s">
        <v>3695</v>
      </c>
    </row>
    <row r="3719">
      <c r="A3719" s="2" t="s">
        <v>3696</v>
      </c>
    </row>
    <row r="3720">
      <c r="A3720" s="2" t="s">
        <v>3697</v>
      </c>
    </row>
    <row r="3721">
      <c r="A3721" s="2" t="s">
        <v>3698</v>
      </c>
    </row>
    <row r="3722">
      <c r="A3722" s="2" t="s">
        <v>3699</v>
      </c>
    </row>
    <row r="3723">
      <c r="A3723" s="2" t="s">
        <v>3700</v>
      </c>
    </row>
    <row r="3724">
      <c r="A3724" s="2" t="s">
        <v>3701</v>
      </c>
    </row>
    <row r="3725">
      <c r="A3725" s="2" t="s">
        <v>3702</v>
      </c>
    </row>
    <row r="3726">
      <c r="A3726" s="2" t="s">
        <v>3703</v>
      </c>
    </row>
    <row r="3727">
      <c r="A3727" s="2" t="s">
        <v>3704</v>
      </c>
    </row>
    <row r="3728">
      <c r="A3728" s="2" t="s">
        <v>3705</v>
      </c>
    </row>
    <row r="3729">
      <c r="A3729" s="2" t="s">
        <v>3706</v>
      </c>
    </row>
    <row r="3730">
      <c r="A3730" s="2" t="s">
        <v>3707</v>
      </c>
    </row>
    <row r="3731">
      <c r="A3731" s="2" t="s">
        <v>3708</v>
      </c>
    </row>
    <row r="3732">
      <c r="A3732" s="2" t="s">
        <v>3709</v>
      </c>
    </row>
    <row r="3733">
      <c r="A3733" s="2" t="s">
        <v>3710</v>
      </c>
    </row>
    <row r="3734">
      <c r="A3734" s="2" t="s">
        <v>3711</v>
      </c>
    </row>
    <row r="3735">
      <c r="A3735" s="2" t="s">
        <v>3712</v>
      </c>
    </row>
    <row r="3736">
      <c r="A3736" s="2" t="s">
        <v>3713</v>
      </c>
    </row>
    <row r="3737">
      <c r="A3737" s="2" t="s">
        <v>3714</v>
      </c>
    </row>
    <row r="3738">
      <c r="A3738" s="2" t="s">
        <v>3715</v>
      </c>
    </row>
    <row r="3739">
      <c r="A3739" s="2" t="s">
        <v>3716</v>
      </c>
    </row>
    <row r="3740">
      <c r="A3740" s="2" t="s">
        <v>3717</v>
      </c>
    </row>
    <row r="3741">
      <c r="A3741" s="2" t="s">
        <v>3718</v>
      </c>
    </row>
    <row r="3742">
      <c r="A3742" s="2" t="s">
        <v>3719</v>
      </c>
    </row>
    <row r="3743">
      <c r="A3743" s="2" t="s">
        <v>3720</v>
      </c>
    </row>
    <row r="3744">
      <c r="A3744" s="2" t="s">
        <v>3721</v>
      </c>
    </row>
    <row r="3745">
      <c r="A3745" s="2" t="s">
        <v>3722</v>
      </c>
    </row>
    <row r="3746">
      <c r="A3746" s="2" t="s">
        <v>3723</v>
      </c>
    </row>
    <row r="3747">
      <c r="A3747" s="2" t="s">
        <v>3724</v>
      </c>
    </row>
    <row r="3748">
      <c r="A3748" s="2" t="s">
        <v>3725</v>
      </c>
    </row>
    <row r="3749">
      <c r="A3749" s="2" t="s">
        <v>3726</v>
      </c>
    </row>
    <row r="3750">
      <c r="A3750" s="2" t="s">
        <v>3727</v>
      </c>
    </row>
    <row r="3751">
      <c r="A3751" s="2" t="s">
        <v>3728</v>
      </c>
    </row>
    <row r="3752">
      <c r="A3752" s="2" t="s">
        <v>3729</v>
      </c>
    </row>
    <row r="3753">
      <c r="A3753" s="2" t="s">
        <v>3730</v>
      </c>
    </row>
    <row r="3754">
      <c r="A3754" s="2" t="s">
        <v>3731</v>
      </c>
    </row>
    <row r="3755">
      <c r="A3755" s="2" t="s">
        <v>3732</v>
      </c>
    </row>
    <row r="3756">
      <c r="A3756" s="2" t="s">
        <v>3733</v>
      </c>
    </row>
    <row r="3757">
      <c r="A3757" s="2" t="s">
        <v>3734</v>
      </c>
    </row>
    <row r="3758">
      <c r="A3758" s="2" t="s">
        <v>3735</v>
      </c>
    </row>
    <row r="3759">
      <c r="A3759" s="2" t="s">
        <v>3736</v>
      </c>
    </row>
    <row r="3760">
      <c r="A3760" s="2" t="s">
        <v>3737</v>
      </c>
    </row>
    <row r="3761">
      <c r="A3761" s="2" t="s">
        <v>3738</v>
      </c>
    </row>
    <row r="3762">
      <c r="A3762" s="2" t="s">
        <v>3739</v>
      </c>
    </row>
    <row r="3763">
      <c r="A3763" s="2" t="s">
        <v>3740</v>
      </c>
    </row>
    <row r="3764">
      <c r="A3764" s="2" t="s">
        <v>3741</v>
      </c>
    </row>
    <row r="3765">
      <c r="A3765" s="2" t="s">
        <v>3742</v>
      </c>
    </row>
    <row r="3766">
      <c r="A3766" s="2" t="s">
        <v>3743</v>
      </c>
    </row>
    <row r="3767">
      <c r="A3767" s="2" t="s">
        <v>3744</v>
      </c>
    </row>
    <row r="3768">
      <c r="A3768" s="2" t="s">
        <v>3745</v>
      </c>
    </row>
    <row r="3769">
      <c r="A3769" s="2" t="s">
        <v>3746</v>
      </c>
    </row>
    <row r="3770">
      <c r="A3770" s="2" t="s">
        <v>3747</v>
      </c>
    </row>
    <row r="3771">
      <c r="A3771" s="2" t="s">
        <v>3748</v>
      </c>
    </row>
    <row r="3772">
      <c r="A3772" s="2" t="s">
        <v>3749</v>
      </c>
    </row>
    <row r="3773">
      <c r="A3773" s="2" t="s">
        <v>3750</v>
      </c>
    </row>
    <row r="3774">
      <c r="A3774" s="2" t="s">
        <v>3751</v>
      </c>
    </row>
    <row r="3775">
      <c r="A3775" s="2" t="s">
        <v>3752</v>
      </c>
    </row>
    <row r="3776">
      <c r="A3776" s="2" t="s">
        <v>3753</v>
      </c>
    </row>
    <row r="3777">
      <c r="A3777" s="2" t="s">
        <v>3754</v>
      </c>
    </row>
    <row r="3778">
      <c r="A3778" s="2" t="s">
        <v>3755</v>
      </c>
    </row>
    <row r="3779">
      <c r="A3779" s="2" t="s">
        <v>3756</v>
      </c>
    </row>
    <row r="3780">
      <c r="A3780" s="2" t="s">
        <v>3757</v>
      </c>
    </row>
    <row r="3781">
      <c r="A3781" s="2" t="s">
        <v>3758</v>
      </c>
    </row>
    <row r="3782">
      <c r="A3782" s="2" t="s">
        <v>3759</v>
      </c>
    </row>
    <row r="3783">
      <c r="A3783" s="2" t="s">
        <v>3760</v>
      </c>
    </row>
    <row r="3784">
      <c r="A3784" s="2" t="s">
        <v>3761</v>
      </c>
    </row>
    <row r="3785">
      <c r="A3785" s="2" t="s">
        <v>3762</v>
      </c>
    </row>
    <row r="3786">
      <c r="A3786" s="2" t="s">
        <v>3763</v>
      </c>
    </row>
    <row r="3787">
      <c r="A3787" s="2" t="s">
        <v>3764</v>
      </c>
    </row>
    <row r="3788">
      <c r="A3788" s="2" t="s">
        <v>3765</v>
      </c>
    </row>
    <row r="3789">
      <c r="A3789" s="2" t="s">
        <v>3766</v>
      </c>
    </row>
    <row r="3790">
      <c r="A3790" s="2" t="s">
        <v>3767</v>
      </c>
    </row>
    <row r="3791">
      <c r="A3791" s="2" t="s">
        <v>3768</v>
      </c>
    </row>
    <row r="3792">
      <c r="A3792" s="2" t="s">
        <v>3769</v>
      </c>
    </row>
    <row r="3793">
      <c r="A3793" s="2" t="s">
        <v>3770</v>
      </c>
    </row>
    <row r="3794">
      <c r="A3794" s="2" t="s">
        <v>3771</v>
      </c>
    </row>
    <row r="3795">
      <c r="A3795" s="2" t="s">
        <v>3772</v>
      </c>
    </row>
    <row r="3796">
      <c r="A3796" s="2" t="s">
        <v>3773</v>
      </c>
    </row>
    <row r="3797">
      <c r="A3797" s="2" t="s">
        <v>3774</v>
      </c>
    </row>
    <row r="3798">
      <c r="A3798" s="2" t="s">
        <v>3775</v>
      </c>
    </row>
    <row r="3799">
      <c r="A3799" s="2" t="s">
        <v>3776</v>
      </c>
    </row>
    <row r="3800">
      <c r="A3800" s="2" t="s">
        <v>3777</v>
      </c>
    </row>
    <row r="3801">
      <c r="A3801" s="2" t="s">
        <v>3778</v>
      </c>
    </row>
    <row r="3802">
      <c r="A3802" s="2" t="s">
        <v>3779</v>
      </c>
    </row>
    <row r="3803">
      <c r="A3803" s="2" t="s">
        <v>3780</v>
      </c>
    </row>
    <row r="3804">
      <c r="A3804" s="2" t="s">
        <v>3781</v>
      </c>
    </row>
    <row r="3805">
      <c r="A3805" s="2" t="s">
        <v>3782</v>
      </c>
    </row>
    <row r="3806">
      <c r="A3806" s="2" t="s">
        <v>3783</v>
      </c>
    </row>
    <row r="3807">
      <c r="A3807" s="2" t="s">
        <v>3784</v>
      </c>
    </row>
    <row r="3808">
      <c r="A3808" s="2" t="s">
        <v>3785</v>
      </c>
    </row>
    <row r="3809">
      <c r="A3809" s="2" t="s">
        <v>3786</v>
      </c>
    </row>
    <row r="3810">
      <c r="A3810" s="2" t="s">
        <v>3787</v>
      </c>
    </row>
    <row r="3811">
      <c r="A3811" s="2" t="s">
        <v>3788</v>
      </c>
    </row>
    <row r="3812">
      <c r="A3812" s="2" t="s">
        <v>3789</v>
      </c>
    </row>
    <row r="3813">
      <c r="A3813" s="2" t="s">
        <v>3790</v>
      </c>
    </row>
    <row r="3814">
      <c r="A3814" s="2" t="s">
        <v>3791</v>
      </c>
    </row>
    <row r="3815">
      <c r="A3815" s="2" t="s">
        <v>3792</v>
      </c>
    </row>
    <row r="3816">
      <c r="A3816" s="2" t="s">
        <v>3793</v>
      </c>
    </row>
    <row r="3817">
      <c r="A3817" s="2" t="s">
        <v>3794</v>
      </c>
    </row>
    <row r="3818">
      <c r="A3818" s="2" t="s">
        <v>3795</v>
      </c>
    </row>
    <row r="3819">
      <c r="A3819" s="2" t="s">
        <v>3796</v>
      </c>
    </row>
    <row r="3820">
      <c r="A3820" s="2" t="s">
        <v>3797</v>
      </c>
    </row>
    <row r="3821">
      <c r="A3821" s="2" t="s">
        <v>3798</v>
      </c>
    </row>
    <row r="3822">
      <c r="A3822" s="2" t="s">
        <v>3799</v>
      </c>
    </row>
    <row r="3823">
      <c r="A3823" s="2" t="s">
        <v>3800</v>
      </c>
    </row>
    <row r="3824">
      <c r="A3824" s="2" t="s">
        <v>3801</v>
      </c>
    </row>
    <row r="3825">
      <c r="A3825" s="2" t="s">
        <v>3802</v>
      </c>
    </row>
    <row r="3826">
      <c r="A3826" s="2" t="s">
        <v>3803</v>
      </c>
    </row>
    <row r="3827">
      <c r="A3827" s="2" t="s">
        <v>3804</v>
      </c>
    </row>
    <row r="3828">
      <c r="A3828" s="2" t="s">
        <v>3805</v>
      </c>
    </row>
    <row r="3829">
      <c r="A3829" s="2" t="s">
        <v>3806</v>
      </c>
    </row>
    <row r="3830">
      <c r="A3830" s="2" t="s">
        <v>3807</v>
      </c>
    </row>
    <row r="3831">
      <c r="A3831" s="2" t="s">
        <v>3808</v>
      </c>
    </row>
    <row r="3832">
      <c r="A3832" s="2" t="s">
        <v>3809</v>
      </c>
    </row>
    <row r="3833">
      <c r="A3833" s="2" t="s">
        <v>3810</v>
      </c>
    </row>
    <row r="3834">
      <c r="A3834" s="2" t="s">
        <v>3811</v>
      </c>
    </row>
    <row r="3835">
      <c r="A3835" s="2" t="s">
        <v>3812</v>
      </c>
    </row>
    <row r="3836">
      <c r="A3836" s="2" t="s">
        <v>3813</v>
      </c>
    </row>
    <row r="3837">
      <c r="A3837" s="2" t="s">
        <v>3814</v>
      </c>
    </row>
    <row r="3838">
      <c r="A3838" s="2" t="s">
        <v>3815</v>
      </c>
    </row>
    <row r="3839">
      <c r="A3839" s="2" t="s">
        <v>3816</v>
      </c>
    </row>
    <row r="3840">
      <c r="A3840" s="2" t="s">
        <v>3817</v>
      </c>
    </row>
    <row r="3841">
      <c r="A3841" s="2" t="s">
        <v>3818</v>
      </c>
    </row>
    <row r="3842">
      <c r="A3842" s="2" t="s">
        <v>3819</v>
      </c>
    </row>
    <row r="3843">
      <c r="A3843" s="2" t="s">
        <v>3820</v>
      </c>
    </row>
    <row r="3844">
      <c r="A3844" s="2" t="s">
        <v>3821</v>
      </c>
    </row>
    <row r="3845">
      <c r="A3845" s="2" t="s">
        <v>3822</v>
      </c>
    </row>
    <row r="3846">
      <c r="A3846" s="2" t="s">
        <v>3823</v>
      </c>
    </row>
    <row r="3847">
      <c r="A3847" s="2" t="s">
        <v>3824</v>
      </c>
    </row>
    <row r="3848">
      <c r="A3848" s="2" t="s">
        <v>3825</v>
      </c>
    </row>
    <row r="3849">
      <c r="A3849" s="2" t="s">
        <v>3826</v>
      </c>
    </row>
    <row r="3850">
      <c r="A3850" s="2" t="s">
        <v>3827</v>
      </c>
    </row>
    <row r="3851">
      <c r="A3851" s="2" t="s">
        <v>3828</v>
      </c>
    </row>
    <row r="3852">
      <c r="A3852" s="2" t="s">
        <v>3829</v>
      </c>
    </row>
    <row r="3853">
      <c r="A3853" s="2" t="s">
        <v>3830</v>
      </c>
    </row>
    <row r="3854">
      <c r="A3854" s="2" t="s">
        <v>3831</v>
      </c>
    </row>
    <row r="3855">
      <c r="A3855" s="2" t="s">
        <v>3832</v>
      </c>
    </row>
    <row r="3856">
      <c r="A3856" s="2" t="s">
        <v>3833</v>
      </c>
    </row>
    <row r="3857">
      <c r="A3857" s="2" t="s">
        <v>3834</v>
      </c>
    </row>
    <row r="3858">
      <c r="A3858" s="2" t="s">
        <v>3835</v>
      </c>
    </row>
    <row r="3859">
      <c r="A3859" s="2" t="s">
        <v>3836</v>
      </c>
    </row>
    <row r="3860">
      <c r="A3860" s="2" t="s">
        <v>3837</v>
      </c>
    </row>
    <row r="3861">
      <c r="A3861" s="2" t="s">
        <v>3838</v>
      </c>
    </row>
    <row r="3862">
      <c r="A3862" s="2" t="s">
        <v>3839</v>
      </c>
    </row>
    <row r="3863">
      <c r="A3863" s="2" t="s">
        <v>3840</v>
      </c>
    </row>
    <row r="3864">
      <c r="A3864" s="2" t="s">
        <v>3841</v>
      </c>
    </row>
    <row r="3865">
      <c r="A3865" s="2" t="s">
        <v>3842</v>
      </c>
    </row>
    <row r="3866">
      <c r="A3866" s="2" t="s">
        <v>3843</v>
      </c>
    </row>
    <row r="3867">
      <c r="A3867" s="2" t="s">
        <v>3844</v>
      </c>
    </row>
    <row r="3868">
      <c r="A3868" s="2" t="s">
        <v>3845</v>
      </c>
    </row>
    <row r="3869">
      <c r="A3869" s="2" t="s">
        <v>3846</v>
      </c>
    </row>
    <row r="3870">
      <c r="A3870" s="2" t="s">
        <v>3847</v>
      </c>
    </row>
    <row r="3871">
      <c r="A3871" s="2" t="s">
        <v>3848</v>
      </c>
    </row>
    <row r="3872">
      <c r="A3872" s="2" t="s">
        <v>3849</v>
      </c>
    </row>
    <row r="3873">
      <c r="A3873" s="2" t="s">
        <v>3850</v>
      </c>
    </row>
    <row r="3874">
      <c r="A3874" s="2" t="s">
        <v>3851</v>
      </c>
    </row>
    <row r="3875">
      <c r="A3875" s="2" t="s">
        <v>3852</v>
      </c>
    </row>
    <row r="3876">
      <c r="A3876" s="2" t="s">
        <v>3853</v>
      </c>
    </row>
    <row r="3877">
      <c r="A3877" s="2" t="s">
        <v>3854</v>
      </c>
    </row>
    <row r="3878">
      <c r="A3878" s="2" t="s">
        <v>3855</v>
      </c>
    </row>
    <row r="3879">
      <c r="A3879" s="2" t="s">
        <v>3856</v>
      </c>
    </row>
    <row r="3880">
      <c r="A3880" s="2" t="s">
        <v>3857</v>
      </c>
    </row>
    <row r="3881">
      <c r="A3881" s="2" t="s">
        <v>3858</v>
      </c>
    </row>
    <row r="3882">
      <c r="A3882" s="2" t="s">
        <v>3859</v>
      </c>
    </row>
    <row r="3883">
      <c r="A3883" s="2" t="s">
        <v>3860</v>
      </c>
    </row>
    <row r="3884">
      <c r="A3884" s="2" t="s">
        <v>3861</v>
      </c>
    </row>
    <row r="3885">
      <c r="A3885" s="2" t="s">
        <v>3862</v>
      </c>
    </row>
    <row r="3886">
      <c r="A3886" s="2" t="s">
        <v>3863</v>
      </c>
    </row>
    <row r="3887">
      <c r="A3887" s="2" t="s">
        <v>3864</v>
      </c>
    </row>
    <row r="3888">
      <c r="A3888" s="2" t="s">
        <v>3865</v>
      </c>
    </row>
    <row r="3889">
      <c r="A3889" s="2" t="s">
        <v>3866</v>
      </c>
    </row>
    <row r="3890">
      <c r="A3890" s="2" t="s">
        <v>3867</v>
      </c>
    </row>
    <row r="3891">
      <c r="A3891" s="2" t="s">
        <v>3868</v>
      </c>
    </row>
    <row r="3892">
      <c r="A3892" s="2" t="s">
        <v>3869</v>
      </c>
    </row>
    <row r="3893">
      <c r="A3893" s="2" t="s">
        <v>3870</v>
      </c>
    </row>
    <row r="3894">
      <c r="A3894" s="2" t="s">
        <v>3871</v>
      </c>
    </row>
    <row r="3895">
      <c r="A3895" s="2" t="s">
        <v>3872</v>
      </c>
    </row>
    <row r="3896">
      <c r="A3896" s="2" t="s">
        <v>3873</v>
      </c>
    </row>
    <row r="3897">
      <c r="A3897" s="2" t="s">
        <v>3874</v>
      </c>
    </row>
    <row r="3898">
      <c r="A3898" s="2" t="s">
        <v>3875</v>
      </c>
    </row>
    <row r="3899">
      <c r="A3899" s="2" t="s">
        <v>3876</v>
      </c>
    </row>
    <row r="3900">
      <c r="A3900" s="2" t="s">
        <v>3877</v>
      </c>
    </row>
    <row r="3901">
      <c r="A3901" s="2" t="s">
        <v>3878</v>
      </c>
    </row>
    <row r="3902">
      <c r="A3902" s="2" t="s">
        <v>3879</v>
      </c>
    </row>
    <row r="3903">
      <c r="A3903" s="2" t="s">
        <v>3880</v>
      </c>
    </row>
    <row r="3904">
      <c r="A3904" s="2" t="s">
        <v>3881</v>
      </c>
    </row>
    <row r="3905">
      <c r="A3905" s="2" t="s">
        <v>3882</v>
      </c>
    </row>
    <row r="3906">
      <c r="A3906" s="2" t="s">
        <v>3883</v>
      </c>
    </row>
    <row r="3907">
      <c r="A3907" s="2" t="s">
        <v>3884</v>
      </c>
    </row>
    <row r="3908">
      <c r="A3908" s="2" t="s">
        <v>3885</v>
      </c>
    </row>
    <row r="3909">
      <c r="A3909" s="2" t="s">
        <v>3886</v>
      </c>
    </row>
    <row r="3910">
      <c r="A3910" s="2" t="s">
        <v>3887</v>
      </c>
    </row>
    <row r="3911">
      <c r="A3911" s="2" t="s">
        <v>3888</v>
      </c>
    </row>
    <row r="3912">
      <c r="A3912" s="2" t="s">
        <v>3889</v>
      </c>
    </row>
    <row r="3913">
      <c r="A3913" s="2" t="s">
        <v>3890</v>
      </c>
    </row>
    <row r="3914">
      <c r="A3914" s="2" t="s">
        <v>3891</v>
      </c>
    </row>
    <row r="3915">
      <c r="A3915" s="2" t="s">
        <v>3892</v>
      </c>
    </row>
    <row r="3916">
      <c r="A3916" s="2" t="s">
        <v>3893</v>
      </c>
    </row>
    <row r="3917">
      <c r="A3917" s="2" t="s">
        <v>3894</v>
      </c>
    </row>
    <row r="3918">
      <c r="A3918" s="2" t="s">
        <v>3895</v>
      </c>
    </row>
    <row r="3919">
      <c r="A3919" s="2" t="s">
        <v>3896</v>
      </c>
    </row>
    <row r="3920">
      <c r="A3920" s="2" t="s">
        <v>3897</v>
      </c>
    </row>
    <row r="3921">
      <c r="A3921" s="2" t="s">
        <v>3898</v>
      </c>
    </row>
    <row r="3922">
      <c r="A3922" s="2" t="s">
        <v>3899</v>
      </c>
    </row>
    <row r="3923">
      <c r="A3923" s="2" t="s">
        <v>3900</v>
      </c>
    </row>
    <row r="3924">
      <c r="A3924" s="2" t="s">
        <v>3901</v>
      </c>
    </row>
    <row r="3925">
      <c r="A3925" s="2" t="s">
        <v>3902</v>
      </c>
    </row>
    <row r="3926">
      <c r="A3926" s="2" t="s">
        <v>3903</v>
      </c>
    </row>
    <row r="3927">
      <c r="A3927" s="2" t="s">
        <v>3904</v>
      </c>
    </row>
    <row r="3928">
      <c r="A3928" s="2" t="s">
        <v>3905</v>
      </c>
    </row>
    <row r="3929">
      <c r="A3929" s="2" t="s">
        <v>3906</v>
      </c>
    </row>
    <row r="3930">
      <c r="A3930" s="2" t="s">
        <v>3907</v>
      </c>
    </row>
    <row r="3931">
      <c r="A3931" s="2" t="s">
        <v>3908</v>
      </c>
    </row>
    <row r="3932">
      <c r="A3932" s="2" t="s">
        <v>3909</v>
      </c>
    </row>
    <row r="3933">
      <c r="A3933" s="2" t="s">
        <v>3910</v>
      </c>
    </row>
    <row r="3934">
      <c r="A3934" s="2" t="s">
        <v>3911</v>
      </c>
    </row>
    <row r="3935">
      <c r="A3935" s="2" t="s">
        <v>3912</v>
      </c>
    </row>
    <row r="3936">
      <c r="A3936" s="2" t="s">
        <v>3913</v>
      </c>
    </row>
    <row r="3937">
      <c r="A3937" s="2" t="s">
        <v>3914</v>
      </c>
    </row>
    <row r="3938">
      <c r="A3938" s="2" t="s">
        <v>3915</v>
      </c>
    </row>
    <row r="3939">
      <c r="A3939" s="2" t="s">
        <v>3916</v>
      </c>
    </row>
    <row r="3940">
      <c r="A3940" s="2" t="s">
        <v>3917</v>
      </c>
    </row>
    <row r="3941">
      <c r="A3941" s="2" t="s">
        <v>3918</v>
      </c>
    </row>
    <row r="3942">
      <c r="A3942" s="2" t="s">
        <v>3919</v>
      </c>
    </row>
    <row r="3943">
      <c r="A3943" s="2" t="s">
        <v>3920</v>
      </c>
    </row>
    <row r="3944">
      <c r="A3944" s="2" t="s">
        <v>3921</v>
      </c>
    </row>
    <row r="3945">
      <c r="A3945" s="2" t="s">
        <v>3922</v>
      </c>
    </row>
    <row r="3946">
      <c r="A3946" s="2" t="s">
        <v>3923</v>
      </c>
    </row>
    <row r="3947">
      <c r="A3947" s="2" t="s">
        <v>3924</v>
      </c>
    </row>
    <row r="3948">
      <c r="A3948" s="2" t="s">
        <v>3925</v>
      </c>
    </row>
    <row r="3949">
      <c r="A3949" s="2" t="s">
        <v>3926</v>
      </c>
    </row>
    <row r="3950">
      <c r="A3950" s="2" t="s">
        <v>3927</v>
      </c>
    </row>
    <row r="3951">
      <c r="A3951" s="2" t="s">
        <v>3928</v>
      </c>
    </row>
    <row r="3952">
      <c r="A3952" s="2" t="s">
        <v>3929</v>
      </c>
    </row>
    <row r="3953">
      <c r="A3953" s="2" t="s">
        <v>3930</v>
      </c>
    </row>
    <row r="3954">
      <c r="A3954" s="2" t="s">
        <v>3931</v>
      </c>
    </row>
    <row r="3955">
      <c r="A3955" s="2" t="s">
        <v>3932</v>
      </c>
    </row>
    <row r="3956">
      <c r="A3956" s="2" t="s">
        <v>3933</v>
      </c>
    </row>
    <row r="3957">
      <c r="A3957" s="2" t="s">
        <v>3934</v>
      </c>
    </row>
    <row r="3958">
      <c r="A3958" s="2" t="s">
        <v>3935</v>
      </c>
    </row>
    <row r="3959">
      <c r="A3959" s="2" t="s">
        <v>3936</v>
      </c>
    </row>
    <row r="3960">
      <c r="A3960" s="2" t="s">
        <v>70</v>
      </c>
    </row>
    <row r="3961">
      <c r="A3961" s="2" t="s">
        <v>3937</v>
      </c>
    </row>
    <row r="3962">
      <c r="A3962" s="2" t="s">
        <v>3938</v>
      </c>
    </row>
    <row r="3963">
      <c r="A3963" s="2" t="s">
        <v>3939</v>
      </c>
    </row>
    <row r="3964">
      <c r="A3964" s="2" t="s">
        <v>3940</v>
      </c>
    </row>
    <row r="3965">
      <c r="A3965" s="2" t="s">
        <v>3941</v>
      </c>
    </row>
    <row r="3966">
      <c r="A3966" s="2" t="s">
        <v>3942</v>
      </c>
    </row>
    <row r="3967">
      <c r="A3967" s="2" t="s">
        <v>3943</v>
      </c>
    </row>
    <row r="3968">
      <c r="A3968" s="2" t="s">
        <v>3944</v>
      </c>
    </row>
    <row r="3969">
      <c r="A3969" s="2" t="s">
        <v>3945</v>
      </c>
    </row>
    <row r="3970">
      <c r="A3970" s="2" t="s">
        <v>3946</v>
      </c>
    </row>
    <row r="3971">
      <c r="A3971" s="2" t="s">
        <v>3947</v>
      </c>
    </row>
    <row r="3972">
      <c r="A3972" s="2" t="s">
        <v>3948</v>
      </c>
    </row>
    <row r="3973">
      <c r="A3973" s="2" t="s">
        <v>3949</v>
      </c>
    </row>
    <row r="3974">
      <c r="A3974" s="2" t="s">
        <v>3950</v>
      </c>
    </row>
    <row r="3975">
      <c r="A3975" s="2" t="s">
        <v>3951</v>
      </c>
    </row>
    <row r="3976">
      <c r="A3976" s="2" t="s">
        <v>3952</v>
      </c>
    </row>
    <row r="3977">
      <c r="A3977" s="2" t="s">
        <v>3953</v>
      </c>
    </row>
    <row r="3978">
      <c r="A3978" s="2" t="s">
        <v>3954</v>
      </c>
    </row>
    <row r="3979">
      <c r="A3979" s="2" t="s">
        <v>3955</v>
      </c>
    </row>
    <row r="3980">
      <c r="A3980" s="2" t="s">
        <v>3956</v>
      </c>
    </row>
    <row r="3981">
      <c r="A3981" s="2" t="s">
        <v>3957</v>
      </c>
    </row>
    <row r="3982">
      <c r="A3982" s="2" t="s">
        <v>3958</v>
      </c>
    </row>
    <row r="3983">
      <c r="A3983" s="2" t="s">
        <v>3959</v>
      </c>
    </row>
    <row r="3984">
      <c r="A3984" s="2" t="s">
        <v>3960</v>
      </c>
    </row>
    <row r="3985">
      <c r="A3985" s="2" t="s">
        <v>3961</v>
      </c>
    </row>
    <row r="3986">
      <c r="A3986" s="2" t="s">
        <v>3962</v>
      </c>
    </row>
    <row r="3987">
      <c r="A3987" s="2" t="s">
        <v>3963</v>
      </c>
    </row>
    <row r="3988">
      <c r="A3988" s="2" t="s">
        <v>3964</v>
      </c>
    </row>
    <row r="3989">
      <c r="A3989" s="2" t="s">
        <v>3965</v>
      </c>
    </row>
    <row r="3990">
      <c r="A3990" s="2" t="s">
        <v>3966</v>
      </c>
    </row>
    <row r="3991">
      <c r="A3991" s="2" t="s">
        <v>3967</v>
      </c>
    </row>
    <row r="3992">
      <c r="A3992" s="2" t="s">
        <v>3968</v>
      </c>
    </row>
    <row r="3993">
      <c r="A3993" s="2" t="s">
        <v>3969</v>
      </c>
    </row>
    <row r="3994">
      <c r="A3994" s="2" t="s">
        <v>3970</v>
      </c>
    </row>
    <row r="3995">
      <c r="A3995" s="2" t="s">
        <v>3971</v>
      </c>
    </row>
    <row r="3996">
      <c r="A3996" s="2" t="s">
        <v>3972</v>
      </c>
    </row>
    <row r="3997">
      <c r="A3997" s="2" t="s">
        <v>3973</v>
      </c>
    </row>
    <row r="3998">
      <c r="A3998" s="2" t="s">
        <v>3974</v>
      </c>
    </row>
    <row r="3999">
      <c r="A3999" s="2" t="s">
        <v>3975</v>
      </c>
    </row>
    <row r="4000">
      <c r="A4000" s="2" t="s">
        <v>3976</v>
      </c>
    </row>
    <row r="4001">
      <c r="A4001" s="2" t="s">
        <v>3977</v>
      </c>
    </row>
    <row r="4002">
      <c r="A4002" s="2" t="s">
        <v>3978</v>
      </c>
    </row>
    <row r="4003">
      <c r="A4003" s="2" t="s">
        <v>3979</v>
      </c>
    </row>
    <row r="4004">
      <c r="A4004" s="2" t="s">
        <v>3980</v>
      </c>
    </row>
    <row r="4005">
      <c r="A4005" s="2" t="s">
        <v>3981</v>
      </c>
    </row>
    <row r="4006">
      <c r="A4006" s="2" t="s">
        <v>3982</v>
      </c>
    </row>
    <row r="4007">
      <c r="A4007" s="2" t="s">
        <v>3983</v>
      </c>
    </row>
    <row r="4008">
      <c r="A4008" s="2" t="s">
        <v>3984</v>
      </c>
    </row>
    <row r="4009">
      <c r="A4009" s="2" t="s">
        <v>3985</v>
      </c>
    </row>
    <row r="4010">
      <c r="A4010" s="2" t="s">
        <v>3986</v>
      </c>
    </row>
    <row r="4011">
      <c r="A4011" s="2" t="s">
        <v>3987</v>
      </c>
    </row>
    <row r="4012">
      <c r="A4012" s="2" t="s">
        <v>3988</v>
      </c>
    </row>
    <row r="4013">
      <c r="A4013" s="2" t="s">
        <v>3989</v>
      </c>
    </row>
    <row r="4014">
      <c r="A4014" s="2" t="s">
        <v>3990</v>
      </c>
    </row>
    <row r="4015">
      <c r="A4015" s="2" t="s">
        <v>3991</v>
      </c>
    </row>
    <row r="4016">
      <c r="A4016" s="2" t="s">
        <v>3992</v>
      </c>
    </row>
    <row r="4017">
      <c r="A4017" s="2" t="s">
        <v>3993</v>
      </c>
    </row>
    <row r="4018">
      <c r="A4018" s="2" t="s">
        <v>3994</v>
      </c>
    </row>
    <row r="4019">
      <c r="A4019" s="2" t="s">
        <v>3995</v>
      </c>
    </row>
    <row r="4020">
      <c r="A4020" s="2" t="s">
        <v>3996</v>
      </c>
    </row>
    <row r="4021">
      <c r="A4021" s="2" t="s">
        <v>3997</v>
      </c>
    </row>
    <row r="4022">
      <c r="A4022" s="2" t="s">
        <v>3998</v>
      </c>
    </row>
    <row r="4023">
      <c r="A4023" s="2" t="s">
        <v>3999</v>
      </c>
    </row>
    <row r="4024">
      <c r="A4024" s="2" t="s">
        <v>4000</v>
      </c>
    </row>
    <row r="4025">
      <c r="A4025" s="2" t="s">
        <v>4001</v>
      </c>
    </row>
    <row r="4026">
      <c r="A4026" s="2" t="s">
        <v>4002</v>
      </c>
    </row>
    <row r="4027">
      <c r="A4027" s="2" t="s">
        <v>4003</v>
      </c>
    </row>
    <row r="4028">
      <c r="A4028" s="2" t="s">
        <v>4004</v>
      </c>
    </row>
    <row r="4029">
      <c r="A4029" s="2" t="s">
        <v>4005</v>
      </c>
    </row>
    <row r="4030">
      <c r="A4030" s="2" t="s">
        <v>4006</v>
      </c>
    </row>
    <row r="4031">
      <c r="A4031" s="2" t="s">
        <v>4007</v>
      </c>
    </row>
    <row r="4032">
      <c r="A4032" s="2" t="s">
        <v>4008</v>
      </c>
    </row>
    <row r="4033">
      <c r="A4033" s="2" t="s">
        <v>4009</v>
      </c>
    </row>
    <row r="4034">
      <c r="A4034" s="2" t="s">
        <v>4010</v>
      </c>
    </row>
    <row r="4035">
      <c r="A4035" s="2" t="s">
        <v>4011</v>
      </c>
    </row>
    <row r="4036">
      <c r="A4036" s="2" t="s">
        <v>4012</v>
      </c>
    </row>
    <row r="4037">
      <c r="A4037" s="2" t="s">
        <v>4013</v>
      </c>
    </row>
    <row r="4038">
      <c r="A4038" s="2" t="s">
        <v>4014</v>
      </c>
    </row>
    <row r="4039">
      <c r="A4039" s="2" t="s">
        <v>4015</v>
      </c>
    </row>
    <row r="4040">
      <c r="A4040" s="2" t="s">
        <v>4016</v>
      </c>
    </row>
    <row r="4041">
      <c r="A4041" s="2" t="s">
        <v>4017</v>
      </c>
    </row>
    <row r="4042">
      <c r="A4042" s="2" t="s">
        <v>4018</v>
      </c>
    </row>
    <row r="4043">
      <c r="A4043" s="2" t="s">
        <v>4019</v>
      </c>
    </row>
    <row r="4044">
      <c r="A4044" s="2" t="s">
        <v>4020</v>
      </c>
    </row>
    <row r="4045">
      <c r="A4045" s="2" t="s">
        <v>4021</v>
      </c>
    </row>
    <row r="4046">
      <c r="A4046" s="2" t="s">
        <v>4022</v>
      </c>
    </row>
    <row r="4047">
      <c r="A4047" s="2" t="s">
        <v>4023</v>
      </c>
    </row>
    <row r="4048">
      <c r="A4048" s="2" t="s">
        <v>4024</v>
      </c>
    </row>
    <row r="4049">
      <c r="A4049" s="2" t="s">
        <v>4025</v>
      </c>
    </row>
    <row r="4050">
      <c r="A4050" s="2" t="s">
        <v>4026</v>
      </c>
    </row>
    <row r="4051">
      <c r="A4051" s="2" t="s">
        <v>4027</v>
      </c>
    </row>
    <row r="4052">
      <c r="A4052" s="2" t="s">
        <v>4028</v>
      </c>
    </row>
    <row r="4053">
      <c r="A4053" s="2" t="s">
        <v>4029</v>
      </c>
    </row>
    <row r="4054">
      <c r="A4054" s="2" t="s">
        <v>4030</v>
      </c>
    </row>
    <row r="4055">
      <c r="A4055" s="2" t="s">
        <v>4031</v>
      </c>
    </row>
    <row r="4056">
      <c r="A4056" s="2" t="s">
        <v>4032</v>
      </c>
    </row>
    <row r="4057">
      <c r="A4057" s="2" t="s">
        <v>4033</v>
      </c>
    </row>
    <row r="4058">
      <c r="A4058" s="2" t="s">
        <v>4034</v>
      </c>
    </row>
    <row r="4059">
      <c r="A4059" s="2" t="s">
        <v>4035</v>
      </c>
    </row>
    <row r="4060">
      <c r="A4060" s="2" t="s">
        <v>4036</v>
      </c>
    </row>
    <row r="4061">
      <c r="A4061" s="2" t="s">
        <v>4037</v>
      </c>
    </row>
    <row r="4062">
      <c r="A4062" s="2" t="s">
        <v>4038</v>
      </c>
    </row>
    <row r="4063">
      <c r="A4063" s="2" t="s">
        <v>4039</v>
      </c>
    </row>
    <row r="4064">
      <c r="A4064" s="2" t="s">
        <v>4040</v>
      </c>
    </row>
    <row r="4065">
      <c r="A4065" s="2" t="s">
        <v>4041</v>
      </c>
    </row>
    <row r="4066">
      <c r="A4066" s="2" t="s">
        <v>4042</v>
      </c>
    </row>
    <row r="4067">
      <c r="A4067" s="2" t="s">
        <v>4043</v>
      </c>
    </row>
    <row r="4068">
      <c r="A4068" s="2" t="s">
        <v>4044</v>
      </c>
    </row>
    <row r="4069">
      <c r="A4069" s="2" t="s">
        <v>4045</v>
      </c>
    </row>
    <row r="4070">
      <c r="A4070" s="2" t="s">
        <v>4046</v>
      </c>
    </row>
    <row r="4071">
      <c r="A4071" s="2" t="s">
        <v>4047</v>
      </c>
    </row>
    <row r="4072">
      <c r="A4072" s="2" t="s">
        <v>4048</v>
      </c>
    </row>
    <row r="4073">
      <c r="A4073" s="2" t="s">
        <v>4049</v>
      </c>
    </row>
    <row r="4074">
      <c r="A4074" s="2" t="s">
        <v>4050</v>
      </c>
    </row>
    <row r="4075">
      <c r="A4075" s="2" t="s">
        <v>4051</v>
      </c>
    </row>
    <row r="4076">
      <c r="A4076" s="2" t="s">
        <v>4052</v>
      </c>
    </row>
    <row r="4077">
      <c r="A4077" s="2" t="s">
        <v>4053</v>
      </c>
    </row>
    <row r="4078">
      <c r="A4078" s="2" t="s">
        <v>4054</v>
      </c>
    </row>
    <row r="4079">
      <c r="A4079" s="2" t="s">
        <v>4055</v>
      </c>
    </row>
    <row r="4080">
      <c r="A4080" s="2" t="s">
        <v>4056</v>
      </c>
    </row>
    <row r="4081">
      <c r="A4081" s="2" t="s">
        <v>4057</v>
      </c>
    </row>
    <row r="4082">
      <c r="A4082" s="2" t="s">
        <v>4058</v>
      </c>
    </row>
    <row r="4083">
      <c r="A4083" s="2" t="s">
        <v>4059</v>
      </c>
    </row>
    <row r="4084">
      <c r="A4084" s="2" t="s">
        <v>4060</v>
      </c>
    </row>
    <row r="4085">
      <c r="A4085" s="2" t="s">
        <v>4061</v>
      </c>
    </row>
    <row r="4086">
      <c r="A4086" s="2" t="s">
        <v>4062</v>
      </c>
    </row>
    <row r="4087">
      <c r="A4087" s="2" t="s">
        <v>4063</v>
      </c>
    </row>
    <row r="4088">
      <c r="A4088" s="2" t="s">
        <v>4064</v>
      </c>
    </row>
    <row r="4089">
      <c r="A4089" s="2" t="s">
        <v>4065</v>
      </c>
    </row>
    <row r="4090">
      <c r="A4090" s="2" t="s">
        <v>4066</v>
      </c>
    </row>
    <row r="4091">
      <c r="A4091" s="2" t="s">
        <v>4067</v>
      </c>
    </row>
    <row r="4092">
      <c r="A4092" s="2" t="s">
        <v>4068</v>
      </c>
    </row>
    <row r="4093">
      <c r="A4093" s="2" t="s">
        <v>4069</v>
      </c>
    </row>
    <row r="4094">
      <c r="A4094" s="2" t="s">
        <v>4070</v>
      </c>
    </row>
    <row r="4095">
      <c r="A4095" s="2" t="s">
        <v>4071</v>
      </c>
    </row>
    <row r="4096">
      <c r="A4096" s="2" t="s">
        <v>4072</v>
      </c>
    </row>
    <row r="4097">
      <c r="A4097" s="2" t="s">
        <v>4073</v>
      </c>
    </row>
    <row r="4098">
      <c r="A4098" s="2" t="s">
        <v>4074</v>
      </c>
    </row>
    <row r="4099">
      <c r="A4099" s="2" t="s">
        <v>4075</v>
      </c>
    </row>
    <row r="4100">
      <c r="A4100" s="2" t="s">
        <v>4076</v>
      </c>
    </row>
    <row r="4101">
      <c r="A4101" s="2" t="s">
        <v>4077</v>
      </c>
    </row>
    <row r="4102">
      <c r="A4102" s="2" t="s">
        <v>4078</v>
      </c>
    </row>
    <row r="4103">
      <c r="A4103" s="2" t="s">
        <v>4079</v>
      </c>
    </row>
    <row r="4104">
      <c r="A4104" s="2" t="s">
        <v>4080</v>
      </c>
    </row>
    <row r="4105">
      <c r="A4105" s="2" t="s">
        <v>4081</v>
      </c>
    </row>
    <row r="4106">
      <c r="A4106" s="2" t="s">
        <v>4082</v>
      </c>
    </row>
    <row r="4107">
      <c r="A4107" s="2" t="s">
        <v>4083</v>
      </c>
    </row>
    <row r="4108">
      <c r="A4108" s="2" t="s">
        <v>4084</v>
      </c>
    </row>
    <row r="4109">
      <c r="A4109" s="2" t="s">
        <v>4085</v>
      </c>
    </row>
    <row r="4110">
      <c r="A4110" s="2" t="s">
        <v>4086</v>
      </c>
    </row>
    <row r="4111">
      <c r="A4111" s="2" t="s">
        <v>4087</v>
      </c>
    </row>
    <row r="4112">
      <c r="A4112" s="2" t="s">
        <v>4088</v>
      </c>
    </row>
    <row r="4113">
      <c r="A4113" s="2" t="s">
        <v>4089</v>
      </c>
    </row>
    <row r="4114">
      <c r="A4114" s="2" t="s">
        <v>4090</v>
      </c>
    </row>
    <row r="4115">
      <c r="A4115" s="2" t="s">
        <v>4091</v>
      </c>
    </row>
    <row r="4116">
      <c r="A4116" s="2" t="s">
        <v>4092</v>
      </c>
    </row>
    <row r="4117">
      <c r="A4117" s="2" t="s">
        <v>4093</v>
      </c>
    </row>
    <row r="4118">
      <c r="A4118" s="2" t="s">
        <v>4094</v>
      </c>
    </row>
    <row r="4119">
      <c r="A4119" s="2" t="s">
        <v>4095</v>
      </c>
    </row>
    <row r="4120">
      <c r="A4120" s="2" t="s">
        <v>4096</v>
      </c>
    </row>
    <row r="4121">
      <c r="A4121" s="2" t="s">
        <v>4097</v>
      </c>
    </row>
    <row r="4122">
      <c r="A4122" s="2" t="s">
        <v>4098</v>
      </c>
    </row>
    <row r="4123">
      <c r="A4123" s="2" t="s">
        <v>4099</v>
      </c>
    </row>
    <row r="4124">
      <c r="A4124" s="2" t="s">
        <v>4100</v>
      </c>
    </row>
    <row r="4125">
      <c r="A4125" s="2" t="s">
        <v>4101</v>
      </c>
    </row>
    <row r="4126">
      <c r="A4126" s="2" t="s">
        <v>4102</v>
      </c>
    </row>
    <row r="4127">
      <c r="A4127" s="2" t="s">
        <v>4103</v>
      </c>
    </row>
    <row r="4128">
      <c r="A4128" s="2" t="s">
        <v>4104</v>
      </c>
    </row>
    <row r="4129">
      <c r="A4129" s="2" t="s">
        <v>4105</v>
      </c>
    </row>
    <row r="4130">
      <c r="A4130" s="2" t="s">
        <v>4106</v>
      </c>
    </row>
    <row r="4131">
      <c r="A4131" s="2" t="s">
        <v>4107</v>
      </c>
    </row>
    <row r="4132">
      <c r="A4132" s="2" t="s">
        <v>4108</v>
      </c>
    </row>
    <row r="4133">
      <c r="A4133" s="2" t="s">
        <v>4109</v>
      </c>
    </row>
    <row r="4134">
      <c r="A4134" s="2" t="s">
        <v>4110</v>
      </c>
    </row>
    <row r="4135">
      <c r="A4135" s="2" t="s">
        <v>4111</v>
      </c>
    </row>
    <row r="4136">
      <c r="A4136" s="2" t="s">
        <v>4112</v>
      </c>
    </row>
    <row r="4137">
      <c r="A4137" s="2" t="s">
        <v>4113</v>
      </c>
    </row>
    <row r="4138">
      <c r="A4138" s="2" t="s">
        <v>4114</v>
      </c>
    </row>
    <row r="4139">
      <c r="A4139" s="2" t="s">
        <v>4115</v>
      </c>
    </row>
    <row r="4140">
      <c r="A4140" s="2" t="s">
        <v>4116</v>
      </c>
    </row>
    <row r="4141">
      <c r="A4141" s="2" t="s">
        <v>4117</v>
      </c>
    </row>
    <row r="4142">
      <c r="A4142" s="2" t="s">
        <v>4118</v>
      </c>
    </row>
    <row r="4143">
      <c r="A4143" s="2" t="s">
        <v>4119</v>
      </c>
    </row>
    <row r="4144">
      <c r="A4144" s="2" t="s">
        <v>4120</v>
      </c>
    </row>
    <row r="4145">
      <c r="A4145" s="2" t="s">
        <v>4121</v>
      </c>
    </row>
    <row r="4146">
      <c r="A4146" s="2" t="s">
        <v>4122</v>
      </c>
    </row>
    <row r="4147">
      <c r="A4147" s="2" t="s">
        <v>4123</v>
      </c>
    </row>
    <row r="4148">
      <c r="A4148" s="2" t="s">
        <v>4124</v>
      </c>
    </row>
    <row r="4149">
      <c r="A4149" s="2" t="s">
        <v>4125</v>
      </c>
    </row>
    <row r="4150">
      <c r="A4150" s="2" t="s">
        <v>4126</v>
      </c>
    </row>
    <row r="4151">
      <c r="A4151" s="2" t="s">
        <v>4127</v>
      </c>
    </row>
    <row r="4152">
      <c r="A4152" s="2" t="s">
        <v>4128</v>
      </c>
    </row>
    <row r="4153">
      <c r="A4153" s="2" t="s">
        <v>4129</v>
      </c>
    </row>
    <row r="4154">
      <c r="A4154" s="2" t="s">
        <v>4130</v>
      </c>
    </row>
    <row r="4155">
      <c r="A4155" s="2" t="s">
        <v>4131</v>
      </c>
    </row>
    <row r="4156">
      <c r="A4156" s="2" t="s">
        <v>4132</v>
      </c>
    </row>
    <row r="4157">
      <c r="A4157" s="2" t="s">
        <v>4133</v>
      </c>
    </row>
    <row r="4158">
      <c r="A4158" s="2" t="s">
        <v>4134</v>
      </c>
    </row>
    <row r="4159">
      <c r="A4159" s="2" t="s">
        <v>4135</v>
      </c>
    </row>
    <row r="4160">
      <c r="A4160" s="2" t="s">
        <v>4136</v>
      </c>
    </row>
    <row r="4161">
      <c r="A4161" s="2" t="s">
        <v>4137</v>
      </c>
    </row>
    <row r="4162">
      <c r="A4162" s="2" t="s">
        <v>4138</v>
      </c>
    </row>
    <row r="4163">
      <c r="A4163" s="2" t="s">
        <v>4139</v>
      </c>
    </row>
    <row r="4164">
      <c r="A4164" s="2" t="s">
        <v>4140</v>
      </c>
    </row>
    <row r="4165">
      <c r="A4165" s="2" t="s">
        <v>4141</v>
      </c>
    </row>
    <row r="4166">
      <c r="A4166" s="2" t="s">
        <v>4142</v>
      </c>
    </row>
    <row r="4167">
      <c r="A4167" s="2" t="s">
        <v>4143</v>
      </c>
    </row>
    <row r="4168">
      <c r="A4168" s="2" t="s">
        <v>4144</v>
      </c>
    </row>
    <row r="4169">
      <c r="A4169" s="2" t="s">
        <v>4145</v>
      </c>
    </row>
    <row r="4170">
      <c r="A4170" s="2" t="s">
        <v>3157</v>
      </c>
    </row>
    <row r="4171">
      <c r="A4171" s="2" t="s">
        <v>4146</v>
      </c>
    </row>
    <row r="4172">
      <c r="A4172" s="2" t="s">
        <v>4147</v>
      </c>
    </row>
    <row r="4173">
      <c r="A4173" s="2" t="s">
        <v>4148</v>
      </c>
    </row>
    <row r="4174">
      <c r="A4174" s="2" t="s">
        <v>4149</v>
      </c>
    </row>
    <row r="4175">
      <c r="A4175" s="2" t="s">
        <v>4150</v>
      </c>
    </row>
    <row r="4176">
      <c r="A4176" s="2" t="s">
        <v>4151</v>
      </c>
    </row>
    <row r="4177">
      <c r="A4177" s="2" t="s">
        <v>4152</v>
      </c>
    </row>
    <row r="4178">
      <c r="A4178" s="2" t="s">
        <v>4153</v>
      </c>
    </row>
    <row r="4179">
      <c r="A4179" s="2" t="s">
        <v>4154</v>
      </c>
    </row>
    <row r="4180">
      <c r="A4180" s="2" t="s">
        <v>4155</v>
      </c>
    </row>
    <row r="4181">
      <c r="A4181" s="2" t="s">
        <v>4156</v>
      </c>
    </row>
    <row r="4182">
      <c r="A4182" s="2" t="s">
        <v>4157</v>
      </c>
    </row>
    <row r="4183">
      <c r="A4183" s="2" t="s">
        <v>4158</v>
      </c>
    </row>
    <row r="4184">
      <c r="A4184" s="2" t="s">
        <v>4159</v>
      </c>
    </row>
    <row r="4185">
      <c r="A4185" s="2" t="s">
        <v>4160</v>
      </c>
    </row>
    <row r="4186">
      <c r="A4186" s="2" t="s">
        <v>4161</v>
      </c>
    </row>
    <row r="4187">
      <c r="A4187" s="2" t="s">
        <v>4162</v>
      </c>
    </row>
    <row r="4188">
      <c r="A4188" s="2" t="s">
        <v>4163</v>
      </c>
    </row>
    <row r="4189">
      <c r="A4189" s="2" t="s">
        <v>4164</v>
      </c>
    </row>
    <row r="4190">
      <c r="A4190" s="2" t="s">
        <v>4165</v>
      </c>
    </row>
    <row r="4191">
      <c r="A4191" s="2" t="s">
        <v>4166</v>
      </c>
    </row>
    <row r="4192">
      <c r="A4192" s="2" t="s">
        <v>4167</v>
      </c>
    </row>
    <row r="4193">
      <c r="A4193" s="2" t="s">
        <v>4168</v>
      </c>
    </row>
    <row r="4194">
      <c r="A4194" s="2" t="s">
        <v>4169</v>
      </c>
    </row>
    <row r="4195">
      <c r="A4195" s="2" t="s">
        <v>4170</v>
      </c>
    </row>
    <row r="4196">
      <c r="A4196" s="2" t="s">
        <v>4171</v>
      </c>
    </row>
    <row r="4197">
      <c r="A4197" s="2" t="s">
        <v>4172</v>
      </c>
    </row>
    <row r="4198">
      <c r="A4198" s="2" t="s">
        <v>4173</v>
      </c>
    </row>
    <row r="4199">
      <c r="A4199" s="2" t="s">
        <v>4174</v>
      </c>
    </row>
    <row r="4200">
      <c r="A4200" s="2" t="s">
        <v>4175</v>
      </c>
    </row>
    <row r="4201">
      <c r="A4201" s="2" t="s">
        <v>4176</v>
      </c>
    </row>
    <row r="4202">
      <c r="A4202" s="2" t="s">
        <v>4177</v>
      </c>
    </row>
    <row r="4203">
      <c r="A4203" s="2" t="s">
        <v>4178</v>
      </c>
    </row>
    <row r="4204">
      <c r="A4204" s="2" t="s">
        <v>4179</v>
      </c>
    </row>
    <row r="4205">
      <c r="A4205" s="2" t="s">
        <v>4180</v>
      </c>
    </row>
    <row r="4206">
      <c r="A4206" s="2" t="s">
        <v>4181</v>
      </c>
    </row>
    <row r="4207">
      <c r="A4207" s="2" t="s">
        <v>4182</v>
      </c>
    </row>
    <row r="4208">
      <c r="A4208" s="2" t="s">
        <v>4183</v>
      </c>
    </row>
    <row r="4209">
      <c r="A4209" s="2" t="s">
        <v>4184</v>
      </c>
    </row>
    <row r="4210">
      <c r="A4210" s="2" t="s">
        <v>4185</v>
      </c>
    </row>
    <row r="4211">
      <c r="A4211" s="2" t="s">
        <v>4186</v>
      </c>
    </row>
    <row r="4212">
      <c r="A4212" s="2" t="s">
        <v>4187</v>
      </c>
    </row>
    <row r="4213">
      <c r="A4213" s="2" t="s">
        <v>4188</v>
      </c>
    </row>
    <row r="4214">
      <c r="A4214" s="2" t="s">
        <v>4189</v>
      </c>
    </row>
    <row r="4215">
      <c r="A4215" s="2" t="s">
        <v>4190</v>
      </c>
    </row>
    <row r="4216">
      <c r="A4216" s="2" t="s">
        <v>4191</v>
      </c>
    </row>
    <row r="4217">
      <c r="A4217" s="2" t="s">
        <v>4192</v>
      </c>
    </row>
    <row r="4218">
      <c r="A4218" s="2" t="s">
        <v>4193</v>
      </c>
    </row>
    <row r="4219">
      <c r="A4219" s="2" t="s">
        <v>4194</v>
      </c>
    </row>
    <row r="4220">
      <c r="A4220" s="2" t="s">
        <v>4195</v>
      </c>
    </row>
    <row r="4221">
      <c r="A4221" s="2" t="s">
        <v>4196</v>
      </c>
    </row>
    <row r="4222">
      <c r="A4222" s="2" t="s">
        <v>4197</v>
      </c>
    </row>
    <row r="4223">
      <c r="A4223" s="2" t="s">
        <v>4198</v>
      </c>
    </row>
    <row r="4224">
      <c r="A4224" s="2" t="s">
        <v>4199</v>
      </c>
    </row>
    <row r="4225">
      <c r="A4225" s="2" t="s">
        <v>4200</v>
      </c>
    </row>
    <row r="4226">
      <c r="A4226" s="2" t="s">
        <v>4201</v>
      </c>
    </row>
    <row r="4227">
      <c r="A4227" s="2" t="s">
        <v>4202</v>
      </c>
    </row>
    <row r="4228">
      <c r="A4228" s="2" t="s">
        <v>4203</v>
      </c>
    </row>
    <row r="4229">
      <c r="A4229" s="2" t="s">
        <v>4204</v>
      </c>
    </row>
    <row r="4230">
      <c r="A4230" s="2" t="s">
        <v>4205</v>
      </c>
    </row>
    <row r="4231">
      <c r="A4231" s="2" t="s">
        <v>4206</v>
      </c>
    </row>
    <row r="4232">
      <c r="A4232" s="2" t="s">
        <v>4207</v>
      </c>
    </row>
    <row r="4233">
      <c r="A4233" s="2" t="s">
        <v>4208</v>
      </c>
    </row>
    <row r="4234">
      <c r="A4234" s="2" t="s">
        <v>4209</v>
      </c>
    </row>
    <row r="4235">
      <c r="A4235" s="2" t="s">
        <v>4210</v>
      </c>
    </row>
    <row r="4236">
      <c r="A4236" s="2" t="s">
        <v>4211</v>
      </c>
    </row>
    <row r="4237">
      <c r="A4237" s="2" t="s">
        <v>4212</v>
      </c>
    </row>
    <row r="4238">
      <c r="A4238" s="2" t="s">
        <v>4213</v>
      </c>
    </row>
    <row r="4239">
      <c r="A4239" s="2" t="s">
        <v>4214</v>
      </c>
    </row>
    <row r="4240">
      <c r="A4240" s="2" t="s">
        <v>4215</v>
      </c>
    </row>
    <row r="4241">
      <c r="A4241" s="2" t="s">
        <v>4216</v>
      </c>
    </row>
    <row r="4242">
      <c r="A4242" s="2" t="s">
        <v>4217</v>
      </c>
    </row>
    <row r="4243">
      <c r="A4243" s="2" t="s">
        <v>4218</v>
      </c>
    </row>
    <row r="4244">
      <c r="A4244" s="2" t="s">
        <v>4219</v>
      </c>
    </row>
    <row r="4245">
      <c r="A4245" s="2" t="s">
        <v>4220</v>
      </c>
    </row>
    <row r="4246">
      <c r="A4246" s="2" t="s">
        <v>4221</v>
      </c>
    </row>
    <row r="4247">
      <c r="A4247" s="2" t="s">
        <v>4222</v>
      </c>
    </row>
    <row r="4248">
      <c r="A4248" s="2" t="s">
        <v>4223</v>
      </c>
    </row>
    <row r="4249">
      <c r="A4249" s="2" t="s">
        <v>4224</v>
      </c>
    </row>
    <row r="4250">
      <c r="A4250" s="2" t="s">
        <v>4225</v>
      </c>
    </row>
    <row r="4251">
      <c r="A4251" s="2" t="s">
        <v>4226</v>
      </c>
    </row>
    <row r="4252">
      <c r="A4252" s="2" t="s">
        <v>4227</v>
      </c>
    </row>
    <row r="4253">
      <c r="A4253" s="2" t="s">
        <v>4228</v>
      </c>
    </row>
    <row r="4254">
      <c r="A4254" s="2" t="s">
        <v>4229</v>
      </c>
    </row>
    <row r="4255">
      <c r="A4255" s="2" t="s">
        <v>4230</v>
      </c>
    </row>
    <row r="4256">
      <c r="A4256" s="2" t="s">
        <v>4231</v>
      </c>
    </row>
    <row r="4257">
      <c r="A4257" s="2" t="s">
        <v>4232</v>
      </c>
    </row>
    <row r="4258">
      <c r="A4258" s="2" t="s">
        <v>4233</v>
      </c>
    </row>
    <row r="4259">
      <c r="A4259" s="2" t="s">
        <v>4234</v>
      </c>
    </row>
    <row r="4260">
      <c r="A4260" s="2" t="s">
        <v>4235</v>
      </c>
    </row>
    <row r="4261">
      <c r="A4261" s="2" t="s">
        <v>4236</v>
      </c>
    </row>
    <row r="4262">
      <c r="A4262" s="2" t="s">
        <v>4237</v>
      </c>
    </row>
    <row r="4263">
      <c r="A4263" s="2" t="s">
        <v>4238</v>
      </c>
    </row>
    <row r="4264">
      <c r="A4264" s="2" t="s">
        <v>4239</v>
      </c>
    </row>
    <row r="4265">
      <c r="A4265" s="2" t="s">
        <v>4240</v>
      </c>
    </row>
    <row r="4266">
      <c r="A4266" s="2" t="s">
        <v>4241</v>
      </c>
    </row>
    <row r="4267">
      <c r="A4267" s="2" t="s">
        <v>4242</v>
      </c>
    </row>
    <row r="4268">
      <c r="A4268" s="2" t="s">
        <v>4243</v>
      </c>
    </row>
    <row r="4269">
      <c r="A4269" s="2" t="s">
        <v>4244</v>
      </c>
    </row>
    <row r="4270">
      <c r="A4270" s="2" t="s">
        <v>4245</v>
      </c>
    </row>
    <row r="4271">
      <c r="A4271" s="2" t="s">
        <v>4246</v>
      </c>
    </row>
    <row r="4272">
      <c r="A4272" s="2" t="s">
        <v>4247</v>
      </c>
    </row>
    <row r="4273">
      <c r="A4273" s="2" t="s">
        <v>4248</v>
      </c>
    </row>
    <row r="4274">
      <c r="A4274" s="2" t="s">
        <v>4249</v>
      </c>
    </row>
    <row r="4275">
      <c r="A4275" s="2" t="s">
        <v>4250</v>
      </c>
    </row>
    <row r="4276">
      <c r="A4276" s="2" t="s">
        <v>4251</v>
      </c>
    </row>
    <row r="4277">
      <c r="A4277" s="2" t="s">
        <v>4252</v>
      </c>
    </row>
    <row r="4278">
      <c r="A4278" s="2" t="s">
        <v>4253</v>
      </c>
    </row>
    <row r="4279">
      <c r="A4279" s="2" t="s">
        <v>4254</v>
      </c>
    </row>
    <row r="4280">
      <c r="A4280" s="2" t="s">
        <v>4255</v>
      </c>
    </row>
    <row r="4281">
      <c r="A4281" s="2" t="s">
        <v>4256</v>
      </c>
    </row>
    <row r="4282">
      <c r="A4282" s="2" t="s">
        <v>4257</v>
      </c>
    </row>
    <row r="4283">
      <c r="A4283" s="2" t="s">
        <v>4258</v>
      </c>
    </row>
    <row r="4284">
      <c r="A4284" s="2" t="s">
        <v>4259</v>
      </c>
    </row>
    <row r="4285">
      <c r="A4285" s="2" t="s">
        <v>4260</v>
      </c>
    </row>
    <row r="4286">
      <c r="A4286" s="2" t="s">
        <v>4261</v>
      </c>
    </row>
    <row r="4287">
      <c r="A4287" s="2" t="s">
        <v>4262</v>
      </c>
    </row>
    <row r="4288">
      <c r="A4288" s="2" t="s">
        <v>4263</v>
      </c>
    </row>
    <row r="4289">
      <c r="A4289" s="2" t="s">
        <v>4264</v>
      </c>
    </row>
    <row r="4290">
      <c r="A4290" s="2" t="s">
        <v>4265</v>
      </c>
    </row>
    <row r="4291">
      <c r="A4291" s="2" t="s">
        <v>4266</v>
      </c>
    </row>
    <row r="4292">
      <c r="A4292" s="2" t="s">
        <v>4267</v>
      </c>
    </row>
    <row r="4293">
      <c r="A4293" s="2" t="s">
        <v>4268</v>
      </c>
    </row>
    <row r="4294">
      <c r="A4294" s="2" t="s">
        <v>4269</v>
      </c>
    </row>
    <row r="4295">
      <c r="A4295" s="2" t="s">
        <v>4270</v>
      </c>
    </row>
    <row r="4296">
      <c r="A4296" s="2" t="s">
        <v>4271</v>
      </c>
    </row>
    <row r="4297">
      <c r="A4297" s="2" t="s">
        <v>4272</v>
      </c>
    </row>
    <row r="4298">
      <c r="A4298" s="2" t="s">
        <v>4273</v>
      </c>
    </row>
    <row r="4299">
      <c r="A4299" s="2" t="s">
        <v>4274</v>
      </c>
    </row>
    <row r="4300">
      <c r="A4300" s="2" t="s">
        <v>4275</v>
      </c>
    </row>
    <row r="4301">
      <c r="A4301" s="2" t="s">
        <v>4276</v>
      </c>
    </row>
    <row r="4302">
      <c r="A4302" s="2" t="s">
        <v>4277</v>
      </c>
    </row>
    <row r="4303">
      <c r="A4303" s="2" t="s">
        <v>4278</v>
      </c>
    </row>
    <row r="4304">
      <c r="A4304" s="2" t="s">
        <v>4279</v>
      </c>
    </row>
    <row r="4305">
      <c r="A4305" s="2" t="s">
        <v>4280</v>
      </c>
    </row>
    <row r="4306">
      <c r="A4306" s="2" t="s">
        <v>4281</v>
      </c>
    </row>
    <row r="4307">
      <c r="A4307" s="2" t="s">
        <v>4282</v>
      </c>
    </row>
    <row r="4308">
      <c r="A4308" s="2" t="s">
        <v>4283</v>
      </c>
    </row>
    <row r="4309">
      <c r="A4309" s="2" t="s">
        <v>4284</v>
      </c>
    </row>
    <row r="4310">
      <c r="A4310" s="2" t="s">
        <v>4285</v>
      </c>
    </row>
    <row r="4311">
      <c r="A4311" s="2" t="s">
        <v>4286</v>
      </c>
    </row>
    <row r="4312">
      <c r="A4312" s="2" t="s">
        <v>4287</v>
      </c>
    </row>
    <row r="4313">
      <c r="A4313" s="2" t="s">
        <v>4288</v>
      </c>
    </row>
    <row r="4314">
      <c r="A4314" s="2" t="s">
        <v>4289</v>
      </c>
    </row>
    <row r="4315">
      <c r="A4315" s="2" t="s">
        <v>4290</v>
      </c>
    </row>
    <row r="4316">
      <c r="A4316" s="2" t="s">
        <v>4291</v>
      </c>
    </row>
    <row r="4317">
      <c r="A4317" s="2" t="s">
        <v>4292</v>
      </c>
    </row>
    <row r="4318">
      <c r="A4318" s="2" t="s">
        <v>4293</v>
      </c>
    </row>
    <row r="4319">
      <c r="A4319" s="2" t="s">
        <v>4294</v>
      </c>
    </row>
    <row r="4320">
      <c r="A4320" s="2" t="s">
        <v>4295</v>
      </c>
    </row>
    <row r="4321">
      <c r="A4321" s="2" t="s">
        <v>4296</v>
      </c>
    </row>
    <row r="4322">
      <c r="A4322" s="2" t="s">
        <v>4297</v>
      </c>
    </row>
    <row r="4323">
      <c r="A4323" s="2" t="s">
        <v>4298</v>
      </c>
    </row>
    <row r="4324">
      <c r="A4324" s="2" t="s">
        <v>4299</v>
      </c>
    </row>
    <row r="4325">
      <c r="A4325" s="2" t="s">
        <v>4300</v>
      </c>
    </row>
    <row r="4326">
      <c r="A4326" s="2" t="s">
        <v>4301</v>
      </c>
    </row>
    <row r="4327">
      <c r="A4327" s="2" t="s">
        <v>4302</v>
      </c>
    </row>
    <row r="4328">
      <c r="A4328" s="2" t="s">
        <v>4303</v>
      </c>
    </row>
    <row r="4329">
      <c r="A4329" s="2" t="s">
        <v>4304</v>
      </c>
    </row>
    <row r="4330">
      <c r="A4330" s="2" t="s">
        <v>4305</v>
      </c>
    </row>
    <row r="4331">
      <c r="A4331" s="2" t="s">
        <v>4306</v>
      </c>
    </row>
    <row r="4332">
      <c r="A4332" s="2" t="s">
        <v>4307</v>
      </c>
    </row>
    <row r="4333">
      <c r="A4333" s="2" t="s">
        <v>4308</v>
      </c>
    </row>
    <row r="4334">
      <c r="A4334" s="2" t="s">
        <v>4309</v>
      </c>
    </row>
    <row r="4335">
      <c r="A4335" s="2" t="s">
        <v>4310</v>
      </c>
    </row>
    <row r="4336">
      <c r="A4336" s="2" t="s">
        <v>4311</v>
      </c>
    </row>
    <row r="4337">
      <c r="A4337" s="2" t="s">
        <v>4312</v>
      </c>
    </row>
    <row r="4338">
      <c r="A4338" s="2" t="s">
        <v>4313</v>
      </c>
    </row>
    <row r="4339">
      <c r="A4339" s="2" t="s">
        <v>4314</v>
      </c>
    </row>
    <row r="4340">
      <c r="A4340" s="2" t="s">
        <v>4315</v>
      </c>
    </row>
    <row r="4341">
      <c r="A4341" s="2" t="s">
        <v>4316</v>
      </c>
    </row>
    <row r="4342">
      <c r="A4342" s="2" t="s">
        <v>4317</v>
      </c>
    </row>
    <row r="4343">
      <c r="A4343" s="2" t="s">
        <v>4318</v>
      </c>
    </row>
    <row r="4344">
      <c r="A4344" s="2" t="s">
        <v>4319</v>
      </c>
    </row>
    <row r="4345">
      <c r="A4345" s="2" t="s">
        <v>4320</v>
      </c>
    </row>
    <row r="4346">
      <c r="A4346" s="2" t="s">
        <v>4321</v>
      </c>
    </row>
    <row r="4347">
      <c r="A4347" s="2" t="s">
        <v>4322</v>
      </c>
    </row>
    <row r="4348">
      <c r="A4348" s="2" t="s">
        <v>4323</v>
      </c>
    </row>
    <row r="4349">
      <c r="A4349" s="2" t="s">
        <v>4324</v>
      </c>
    </row>
    <row r="4350">
      <c r="A4350" s="2" t="s">
        <v>4325</v>
      </c>
    </row>
    <row r="4351">
      <c r="A4351" s="2" t="s">
        <v>4326</v>
      </c>
    </row>
    <row r="4352">
      <c r="A4352" s="2" t="s">
        <v>4327</v>
      </c>
    </row>
    <row r="4353">
      <c r="A4353" s="2" t="s">
        <v>4328</v>
      </c>
    </row>
    <row r="4354">
      <c r="A4354" s="2" t="s">
        <v>4329</v>
      </c>
    </row>
    <row r="4355">
      <c r="A4355" s="2" t="s">
        <v>4330</v>
      </c>
    </row>
    <row r="4356">
      <c r="A4356" s="2" t="s">
        <v>4331</v>
      </c>
    </row>
    <row r="4357">
      <c r="A4357" s="2" t="s">
        <v>4332</v>
      </c>
    </row>
    <row r="4358">
      <c r="A4358" s="2" t="s">
        <v>4333</v>
      </c>
    </row>
    <row r="4359">
      <c r="A4359" s="2" t="s">
        <v>4334</v>
      </c>
    </row>
    <row r="4360">
      <c r="A4360" s="2" t="s">
        <v>4335</v>
      </c>
    </row>
    <row r="4361">
      <c r="A4361" s="2" t="s">
        <v>4336</v>
      </c>
    </row>
    <row r="4362">
      <c r="A4362" s="2" t="s">
        <v>4337</v>
      </c>
    </row>
    <row r="4363">
      <c r="A4363" s="2" t="s">
        <v>4338</v>
      </c>
    </row>
    <row r="4364">
      <c r="A4364" s="2" t="s">
        <v>4339</v>
      </c>
    </row>
    <row r="4365">
      <c r="A4365" s="2" t="s">
        <v>4340</v>
      </c>
    </row>
    <row r="4366">
      <c r="A4366" s="2" t="s">
        <v>4341</v>
      </c>
    </row>
    <row r="4367">
      <c r="A4367" s="2" t="s">
        <v>4342</v>
      </c>
    </row>
    <row r="4368">
      <c r="A4368" s="2" t="s">
        <v>4343</v>
      </c>
    </row>
    <row r="4369">
      <c r="A4369" s="2" t="s">
        <v>4344</v>
      </c>
    </row>
    <row r="4370">
      <c r="A4370" s="2" t="s">
        <v>4345</v>
      </c>
    </row>
    <row r="4371">
      <c r="A4371" s="2" t="s">
        <v>4346</v>
      </c>
    </row>
    <row r="4372">
      <c r="A4372" s="2" t="s">
        <v>4347</v>
      </c>
    </row>
    <row r="4373">
      <c r="A4373" s="2" t="s">
        <v>4348</v>
      </c>
    </row>
    <row r="4374">
      <c r="A4374" s="2" t="s">
        <v>4349</v>
      </c>
    </row>
    <row r="4375">
      <c r="A4375" s="2" t="s">
        <v>4350</v>
      </c>
    </row>
    <row r="4376">
      <c r="A4376" s="2" t="s">
        <v>4351</v>
      </c>
    </row>
    <row r="4377">
      <c r="A4377" s="2" t="s">
        <v>4352</v>
      </c>
    </row>
    <row r="4378">
      <c r="A4378" s="2" t="s">
        <v>4353</v>
      </c>
    </row>
    <row r="4379">
      <c r="A4379" s="2" t="s">
        <v>4354</v>
      </c>
    </row>
    <row r="4380">
      <c r="A4380" s="2" t="s">
        <v>4355</v>
      </c>
    </row>
    <row r="4381">
      <c r="A4381" s="2" t="s">
        <v>4356</v>
      </c>
    </row>
    <row r="4382">
      <c r="A4382" s="2" t="s">
        <v>4357</v>
      </c>
    </row>
    <row r="4383">
      <c r="A4383" s="2" t="s">
        <v>4358</v>
      </c>
    </row>
    <row r="4384">
      <c r="A4384" s="2" t="s">
        <v>4359</v>
      </c>
    </row>
    <row r="4385">
      <c r="A4385" s="2" t="s">
        <v>4360</v>
      </c>
    </row>
    <row r="4386">
      <c r="A4386" s="2"/>
    </row>
    <row r="4387">
      <c r="A4387" s="2"/>
    </row>
    <row r="4388">
      <c r="A4388" s="2"/>
    </row>
    <row r="4389">
      <c r="A4389" s="2"/>
    </row>
    <row r="4390">
      <c r="A4390" s="2"/>
    </row>
    <row r="4391">
      <c r="A4391" s="2"/>
    </row>
    <row r="4392">
      <c r="A4392" s="2"/>
    </row>
    <row r="4393">
      <c r="A4393" s="2"/>
    </row>
    <row r="4394">
      <c r="A4394" s="2"/>
    </row>
    <row r="4395">
      <c r="A4395" s="2"/>
    </row>
    <row r="4396">
      <c r="A4396" s="2"/>
    </row>
    <row r="4397">
      <c r="A4397" s="2"/>
    </row>
    <row r="4398">
      <c r="A4398" s="2"/>
    </row>
    <row r="4399">
      <c r="A4399" s="2"/>
    </row>
    <row r="4400">
      <c r="A4400" s="2"/>
    </row>
    <row r="4401">
      <c r="A4401" s="2"/>
    </row>
    <row r="4402">
      <c r="A4402" s="2"/>
    </row>
    <row r="4403">
      <c r="A4403" s="2"/>
    </row>
    <row r="4404">
      <c r="A4404" s="2"/>
    </row>
    <row r="4405">
      <c r="A4405" s="2"/>
    </row>
    <row r="4406">
      <c r="A4406" s="2"/>
    </row>
    <row r="4407">
      <c r="A4407" s="2"/>
    </row>
    <row r="4408">
      <c r="A4408" s="2"/>
    </row>
    <row r="4409">
      <c r="A4409" s="2"/>
    </row>
    <row r="4410">
      <c r="A4410" s="2"/>
    </row>
    <row r="4411">
      <c r="A4411" s="2"/>
    </row>
    <row r="4412">
      <c r="A4412" s="2"/>
    </row>
    <row r="4413">
      <c r="A4413" s="2"/>
    </row>
    <row r="4414">
      <c r="A4414" s="2"/>
    </row>
    <row r="4415">
      <c r="A4415" s="2"/>
    </row>
    <row r="4416">
      <c r="A4416" s="2"/>
    </row>
    <row r="4417">
      <c r="A4417" s="2"/>
    </row>
    <row r="4418">
      <c r="A4418" s="2"/>
    </row>
    <row r="4419">
      <c r="A4419" s="2"/>
    </row>
    <row r="4420">
      <c r="A4420" s="2"/>
    </row>
    <row r="4421">
      <c r="A4421" s="2"/>
    </row>
    <row r="4422">
      <c r="A4422" s="2"/>
    </row>
    <row r="4423">
      <c r="A4423" s="2"/>
    </row>
    <row r="4424">
      <c r="A4424" s="2"/>
    </row>
    <row r="4425">
      <c r="A4425" s="2"/>
    </row>
    <row r="4426">
      <c r="A4426" s="2"/>
    </row>
    <row r="4427">
      <c r="A4427" s="2"/>
    </row>
    <row r="4428">
      <c r="A4428" s="2"/>
    </row>
    <row r="4429">
      <c r="A4429" s="2"/>
    </row>
    <row r="4430">
      <c r="A4430" s="2"/>
    </row>
    <row r="4431">
      <c r="A4431" s="2"/>
    </row>
    <row r="4432">
      <c r="A4432" s="2"/>
    </row>
    <row r="4433">
      <c r="A4433" s="2"/>
    </row>
    <row r="4434">
      <c r="A4434" s="2"/>
    </row>
    <row r="4435">
      <c r="A4435" s="2"/>
    </row>
    <row r="4436">
      <c r="A4436" s="2"/>
    </row>
    <row r="4437">
      <c r="A4437" s="2"/>
    </row>
    <row r="4438">
      <c r="A4438" s="2"/>
    </row>
    <row r="4439">
      <c r="A4439" s="2"/>
    </row>
    <row r="4440">
      <c r="A4440" s="2"/>
    </row>
    <row r="4441">
      <c r="A4441" s="2"/>
    </row>
    <row r="4442">
      <c r="A4442" s="2"/>
    </row>
    <row r="4443">
      <c r="A4443" s="2"/>
    </row>
    <row r="4444">
      <c r="A4444" s="2"/>
    </row>
    <row r="4445">
      <c r="A4445" s="2"/>
    </row>
    <row r="4446">
      <c r="A4446" s="2"/>
    </row>
    <row r="4447">
      <c r="A4447" s="2"/>
    </row>
    <row r="4448">
      <c r="A4448" s="2"/>
    </row>
    <row r="4449">
      <c r="A4449" s="2"/>
    </row>
    <row r="4450">
      <c r="A4450" s="2"/>
    </row>
    <row r="4451">
      <c r="A4451" s="2"/>
    </row>
    <row r="4452">
      <c r="A4452" s="2"/>
    </row>
    <row r="4453">
      <c r="A4453" s="2"/>
    </row>
    <row r="4454">
      <c r="A4454" s="2"/>
    </row>
    <row r="4455">
      <c r="A4455" s="2"/>
    </row>
    <row r="4456">
      <c r="A4456" s="2"/>
    </row>
    <row r="4457">
      <c r="A4457" s="2"/>
    </row>
    <row r="4458">
      <c r="A4458" s="2"/>
    </row>
    <row r="4459">
      <c r="A4459" s="2"/>
    </row>
    <row r="4460">
      <c r="A4460" s="2"/>
    </row>
    <row r="4461">
      <c r="A4461" s="2"/>
    </row>
    <row r="4462">
      <c r="A4462" s="2"/>
    </row>
    <row r="4463">
      <c r="A4463" s="2"/>
    </row>
    <row r="4464">
      <c r="A4464" s="2"/>
    </row>
    <row r="4465">
      <c r="A4465" s="2"/>
    </row>
    <row r="4466">
      <c r="A4466" s="2"/>
    </row>
    <row r="4467">
      <c r="A4467" s="2"/>
    </row>
    <row r="4468">
      <c r="A4468" s="2"/>
    </row>
    <row r="4469">
      <c r="A4469" s="2"/>
    </row>
    <row r="4470">
      <c r="A4470" s="2"/>
    </row>
    <row r="4471">
      <c r="A4471" s="2"/>
    </row>
    <row r="4472">
      <c r="A4472" s="2"/>
    </row>
    <row r="4473">
      <c r="A4473" s="2"/>
    </row>
    <row r="4474">
      <c r="A4474" s="2"/>
    </row>
    <row r="4475">
      <c r="A4475" s="2"/>
    </row>
    <row r="4476">
      <c r="A4476" s="2"/>
    </row>
    <row r="4477">
      <c r="A4477" s="2"/>
    </row>
    <row r="4478">
      <c r="A4478" s="2"/>
    </row>
    <row r="4479">
      <c r="A4479" s="2"/>
    </row>
    <row r="4480">
      <c r="A4480" s="2"/>
    </row>
    <row r="4481">
      <c r="A4481" s="2"/>
    </row>
    <row r="4482">
      <c r="A4482" s="2"/>
    </row>
    <row r="4483">
      <c r="A4483" s="2"/>
    </row>
    <row r="4484">
      <c r="A4484" s="2"/>
    </row>
    <row r="4485">
      <c r="A4485" s="2"/>
    </row>
    <row r="4486">
      <c r="A4486" s="2"/>
    </row>
    <row r="4487">
      <c r="A4487" s="2"/>
    </row>
    <row r="4488">
      <c r="A4488" s="2"/>
    </row>
    <row r="4489">
      <c r="A4489" s="2"/>
    </row>
    <row r="4490">
      <c r="A4490" s="2"/>
    </row>
    <row r="4491">
      <c r="A4491" s="2"/>
    </row>
    <row r="4492">
      <c r="A4492" s="2"/>
    </row>
    <row r="4493">
      <c r="A4493" s="2"/>
    </row>
    <row r="4494">
      <c r="A4494" s="2"/>
    </row>
    <row r="4495">
      <c r="A4495" s="2"/>
    </row>
    <row r="4496">
      <c r="A4496" s="2"/>
    </row>
    <row r="4497">
      <c r="A4497" s="2"/>
    </row>
    <row r="4498">
      <c r="A4498" s="2"/>
    </row>
    <row r="4499">
      <c r="A4499" s="2"/>
    </row>
    <row r="4500">
      <c r="A4500" s="2"/>
    </row>
    <row r="4501">
      <c r="A4501" s="2"/>
    </row>
    <row r="4502">
      <c r="A4502" s="2"/>
    </row>
    <row r="4503">
      <c r="A4503" s="2"/>
    </row>
    <row r="4504">
      <c r="A4504" s="2"/>
    </row>
    <row r="4505">
      <c r="A4505" s="2"/>
    </row>
    <row r="4506">
      <c r="A4506" s="2"/>
    </row>
    <row r="4507">
      <c r="A4507" s="2"/>
    </row>
    <row r="4508">
      <c r="A4508" s="2"/>
    </row>
    <row r="4509">
      <c r="A4509" s="2"/>
    </row>
    <row r="4510">
      <c r="A4510" s="2"/>
    </row>
    <row r="4511">
      <c r="A4511" s="2"/>
    </row>
    <row r="4512">
      <c r="A4512" s="2"/>
    </row>
    <row r="4513">
      <c r="A4513" s="2"/>
    </row>
    <row r="4514">
      <c r="A4514" s="2"/>
    </row>
    <row r="4515">
      <c r="A4515" s="2"/>
    </row>
    <row r="4516">
      <c r="A4516" s="2"/>
    </row>
    <row r="4517">
      <c r="A4517" s="2"/>
    </row>
    <row r="4518">
      <c r="A4518" s="2"/>
    </row>
    <row r="4519">
      <c r="A4519" s="2"/>
    </row>
    <row r="4520">
      <c r="A4520" s="2"/>
    </row>
    <row r="4521">
      <c r="A4521" s="2"/>
    </row>
    <row r="4522">
      <c r="A4522" s="2"/>
    </row>
    <row r="4523">
      <c r="A4523" s="2"/>
    </row>
    <row r="4524">
      <c r="A4524" s="2"/>
    </row>
    <row r="4525">
      <c r="A4525" s="2"/>
    </row>
    <row r="4526">
      <c r="A4526" s="2"/>
    </row>
    <row r="4527">
      <c r="A4527" s="2"/>
    </row>
    <row r="4528">
      <c r="A4528" s="2"/>
    </row>
    <row r="4529">
      <c r="A4529" s="2"/>
    </row>
    <row r="4530">
      <c r="A4530" s="2"/>
    </row>
    <row r="4531">
      <c r="A4531" s="2"/>
    </row>
    <row r="4532">
      <c r="A4532" s="2"/>
    </row>
    <row r="4533">
      <c r="A4533" s="2"/>
    </row>
    <row r="4534">
      <c r="A4534" s="2"/>
    </row>
    <row r="4535">
      <c r="A4535" s="2"/>
    </row>
    <row r="4536">
      <c r="A4536" s="2"/>
    </row>
    <row r="4537">
      <c r="A4537" s="2"/>
    </row>
    <row r="4538">
      <c r="A4538" s="2"/>
    </row>
    <row r="4539">
      <c r="A4539" s="2"/>
    </row>
    <row r="4540">
      <c r="A4540" s="2"/>
    </row>
    <row r="4541">
      <c r="A4541" s="2"/>
    </row>
    <row r="4542">
      <c r="A4542" s="2"/>
    </row>
    <row r="4543">
      <c r="A4543" s="2"/>
    </row>
    <row r="4544">
      <c r="A4544" s="2"/>
    </row>
    <row r="4545">
      <c r="A4545" s="2"/>
    </row>
    <row r="4546">
      <c r="A4546" s="2"/>
    </row>
    <row r="4547">
      <c r="A4547" s="2"/>
    </row>
    <row r="4548">
      <c r="A4548" s="2"/>
    </row>
    <row r="4549">
      <c r="A4549" s="2"/>
    </row>
    <row r="4550">
      <c r="A4550" s="2"/>
    </row>
    <row r="4551">
      <c r="A4551" s="2"/>
    </row>
    <row r="4552">
      <c r="A4552" s="2"/>
    </row>
    <row r="4553">
      <c r="A4553" s="2"/>
    </row>
    <row r="4554">
      <c r="A4554" s="2"/>
    </row>
    <row r="4555">
      <c r="A4555" s="2"/>
    </row>
    <row r="4556">
      <c r="A4556" s="2"/>
    </row>
    <row r="4557">
      <c r="A4557" s="2"/>
    </row>
    <row r="4558">
      <c r="A4558" s="2"/>
    </row>
    <row r="4559">
      <c r="A4559" s="2"/>
    </row>
    <row r="4560">
      <c r="A4560" s="2"/>
    </row>
    <row r="4561">
      <c r="A4561" s="2"/>
    </row>
    <row r="4562">
      <c r="A4562" s="2"/>
    </row>
    <row r="4563">
      <c r="A4563" s="2"/>
    </row>
    <row r="4564">
      <c r="A4564" s="2"/>
    </row>
    <row r="4565">
      <c r="A4565" s="2"/>
    </row>
    <row r="4566">
      <c r="A4566" s="2"/>
    </row>
    <row r="4567">
      <c r="A4567" s="2"/>
    </row>
    <row r="4568">
      <c r="A4568" s="2"/>
    </row>
    <row r="4569">
      <c r="A4569" s="2"/>
    </row>
    <row r="4570">
      <c r="A4570" s="2"/>
    </row>
    <row r="4571">
      <c r="A4571" s="2"/>
    </row>
    <row r="4572">
      <c r="A4572" s="2"/>
    </row>
    <row r="4573">
      <c r="A4573" s="2"/>
    </row>
    <row r="4574">
      <c r="A4574" s="2"/>
    </row>
    <row r="4575">
      <c r="A4575" s="2"/>
    </row>
    <row r="4576">
      <c r="A4576" s="2"/>
    </row>
    <row r="4577">
      <c r="A4577" s="2"/>
    </row>
    <row r="4578">
      <c r="A4578" s="2"/>
    </row>
    <row r="4579">
      <c r="A4579" s="2"/>
    </row>
    <row r="4580">
      <c r="A4580" s="2"/>
    </row>
    <row r="4581">
      <c r="A4581" s="2"/>
    </row>
    <row r="4582">
      <c r="A4582" s="2"/>
    </row>
    <row r="4583">
      <c r="A4583" s="2"/>
    </row>
    <row r="4584">
      <c r="A4584" s="2"/>
    </row>
    <row r="4585">
      <c r="A4585" s="2"/>
    </row>
    <row r="4586">
      <c r="A4586" s="2"/>
    </row>
    <row r="4587">
      <c r="A4587" s="2"/>
    </row>
    <row r="4588">
      <c r="A4588" s="2"/>
    </row>
    <row r="4589">
      <c r="A4589" s="2"/>
    </row>
    <row r="4590">
      <c r="A4590" s="2"/>
    </row>
    <row r="4591">
      <c r="A4591" s="2"/>
    </row>
    <row r="4592">
      <c r="A4592" s="2"/>
    </row>
    <row r="4593">
      <c r="A4593" s="2"/>
    </row>
    <row r="4594">
      <c r="A4594" s="2"/>
    </row>
    <row r="4595">
      <c r="A4595" s="2"/>
    </row>
    <row r="4596">
      <c r="A4596" s="2"/>
    </row>
    <row r="4597">
      <c r="A4597" s="2"/>
    </row>
    <row r="4598">
      <c r="A4598" s="2"/>
    </row>
    <row r="4599">
      <c r="A4599" s="2"/>
    </row>
    <row r="4600">
      <c r="A4600" s="2"/>
    </row>
    <row r="4601">
      <c r="A4601" s="2"/>
    </row>
    <row r="4602">
      <c r="A4602" s="2"/>
    </row>
    <row r="4603">
      <c r="A4603" s="2"/>
    </row>
    <row r="4604">
      <c r="A4604" s="2"/>
    </row>
    <row r="4605">
      <c r="A4605" s="2"/>
    </row>
    <row r="4606">
      <c r="A4606" s="2"/>
    </row>
    <row r="4607">
      <c r="A4607" s="2"/>
    </row>
    <row r="4608">
      <c r="A4608" s="2"/>
    </row>
    <row r="4609">
      <c r="A4609" s="2"/>
    </row>
    <row r="4610">
      <c r="A4610" s="2"/>
    </row>
    <row r="4611">
      <c r="A4611" s="2"/>
    </row>
    <row r="4612">
      <c r="A4612" s="2"/>
    </row>
    <row r="4613">
      <c r="A4613" s="2"/>
    </row>
    <row r="4614">
      <c r="A4614" s="2"/>
    </row>
    <row r="4615">
      <c r="A4615" s="2"/>
    </row>
    <row r="4616">
      <c r="A4616" s="2"/>
    </row>
    <row r="4617">
      <c r="A4617" s="2"/>
    </row>
    <row r="4618">
      <c r="A4618" s="2"/>
    </row>
    <row r="4619">
      <c r="A4619" s="2"/>
    </row>
    <row r="4620">
      <c r="A4620" s="2"/>
    </row>
    <row r="4621">
      <c r="A4621" s="2"/>
    </row>
    <row r="4622">
      <c r="A4622" s="2"/>
    </row>
    <row r="4623">
      <c r="A4623" s="2"/>
    </row>
    <row r="4624">
      <c r="A4624" s="2"/>
    </row>
    <row r="4625">
      <c r="A4625" s="2"/>
    </row>
    <row r="4626">
      <c r="A4626" s="2"/>
    </row>
    <row r="4627">
      <c r="A4627" s="2"/>
    </row>
    <row r="4628">
      <c r="A4628" s="2"/>
    </row>
    <row r="4629">
      <c r="A4629" s="2"/>
    </row>
    <row r="4630">
      <c r="A4630" s="2"/>
    </row>
    <row r="4631">
      <c r="A4631" s="2"/>
    </row>
    <row r="4632">
      <c r="A4632" s="2"/>
    </row>
    <row r="4633">
      <c r="A4633" s="2"/>
    </row>
    <row r="4634">
      <c r="A4634" s="2"/>
    </row>
    <row r="4635">
      <c r="A4635" s="2"/>
    </row>
    <row r="4636">
      <c r="A4636" s="2"/>
    </row>
    <row r="4637">
      <c r="A4637" s="2"/>
    </row>
    <row r="4638">
      <c r="A4638" s="2"/>
    </row>
    <row r="4639">
      <c r="A4639" s="2"/>
    </row>
    <row r="4640">
      <c r="A4640" s="2"/>
    </row>
    <row r="4641">
      <c r="A4641" s="2"/>
    </row>
    <row r="4642">
      <c r="A4642" s="2"/>
    </row>
    <row r="4643">
      <c r="A4643" s="2"/>
    </row>
    <row r="4644">
      <c r="A4644" s="2"/>
    </row>
    <row r="4645">
      <c r="A4645" s="2"/>
    </row>
    <row r="4646">
      <c r="A4646" s="2"/>
    </row>
    <row r="4647">
      <c r="A4647" s="2"/>
    </row>
    <row r="4648">
      <c r="A4648" s="2"/>
    </row>
    <row r="4649">
      <c r="A4649" s="2"/>
    </row>
    <row r="4650">
      <c r="A4650" s="2"/>
    </row>
    <row r="4651">
      <c r="A4651" s="2"/>
    </row>
    <row r="4652">
      <c r="A4652" s="2"/>
    </row>
    <row r="4653">
      <c r="A4653" s="2"/>
    </row>
    <row r="4654">
      <c r="A4654" s="2"/>
    </row>
    <row r="4655">
      <c r="A4655" s="2"/>
    </row>
    <row r="4656">
      <c r="A4656" s="2"/>
    </row>
    <row r="4657">
      <c r="A4657" s="2"/>
    </row>
    <row r="4658">
      <c r="A4658" s="2"/>
    </row>
    <row r="4659">
      <c r="A4659" s="2"/>
    </row>
    <row r="4660">
      <c r="A4660" s="2"/>
    </row>
    <row r="4661">
      <c r="A4661" s="2"/>
    </row>
    <row r="4662">
      <c r="A4662" s="2"/>
    </row>
    <row r="4663">
      <c r="A4663" s="2"/>
    </row>
    <row r="4664">
      <c r="A4664" s="2"/>
    </row>
    <row r="4665">
      <c r="A4665" s="2"/>
    </row>
    <row r="4666">
      <c r="A4666" s="2"/>
    </row>
    <row r="4667">
      <c r="A4667" s="2"/>
    </row>
    <row r="4668">
      <c r="A4668" s="2"/>
    </row>
    <row r="4669">
      <c r="A4669" s="2"/>
    </row>
    <row r="4670">
      <c r="A4670" s="2"/>
    </row>
    <row r="4671">
      <c r="A4671" s="2"/>
    </row>
    <row r="4672">
      <c r="A4672" s="2"/>
    </row>
    <row r="4673">
      <c r="A4673" s="2"/>
    </row>
    <row r="4674">
      <c r="A4674" s="2"/>
    </row>
    <row r="4675">
      <c r="A4675" s="2"/>
    </row>
    <row r="4676">
      <c r="A4676" s="2"/>
    </row>
    <row r="4677">
      <c r="A4677" s="2"/>
    </row>
    <row r="4678">
      <c r="A4678" s="2"/>
    </row>
    <row r="4679">
      <c r="A4679" s="2"/>
    </row>
    <row r="4680">
      <c r="A4680" s="2"/>
    </row>
    <row r="4681">
      <c r="A4681" s="2"/>
    </row>
    <row r="4682">
      <c r="A4682" s="2"/>
    </row>
    <row r="4683">
      <c r="A4683" s="2"/>
    </row>
    <row r="4684">
      <c r="A4684" s="2"/>
    </row>
    <row r="4685">
      <c r="A4685" s="2"/>
    </row>
    <row r="4686">
      <c r="A4686" s="2"/>
    </row>
    <row r="4687">
      <c r="A4687" s="2"/>
    </row>
    <row r="4688">
      <c r="A4688" s="2"/>
    </row>
    <row r="4689">
      <c r="A4689" s="2"/>
    </row>
    <row r="4690">
      <c r="A4690" s="2"/>
    </row>
    <row r="4691">
      <c r="A4691" s="2"/>
    </row>
    <row r="4692">
      <c r="A4692" s="2"/>
    </row>
    <row r="4693">
      <c r="A4693" s="2"/>
    </row>
    <row r="4694">
      <c r="A4694" s="2"/>
    </row>
    <row r="4695">
      <c r="A4695" s="2"/>
    </row>
    <row r="4696">
      <c r="A4696" s="2"/>
    </row>
    <row r="4697">
      <c r="A4697" s="2"/>
    </row>
    <row r="4698">
      <c r="A4698" s="2"/>
    </row>
    <row r="4699">
      <c r="A4699" s="2"/>
    </row>
    <row r="4700">
      <c r="A4700" s="2"/>
    </row>
    <row r="4701">
      <c r="A4701" s="2"/>
    </row>
    <row r="4702">
      <c r="A4702" s="2"/>
    </row>
    <row r="4703">
      <c r="A4703" s="2"/>
    </row>
    <row r="4704">
      <c r="A4704" s="2"/>
    </row>
    <row r="4705">
      <c r="A4705" s="2"/>
    </row>
    <row r="4706">
      <c r="A4706" s="2"/>
    </row>
    <row r="4707">
      <c r="A4707" s="2"/>
    </row>
    <row r="4708">
      <c r="A4708" s="2"/>
    </row>
    <row r="4709">
      <c r="A4709" s="2"/>
    </row>
    <row r="4710">
      <c r="A4710" s="2"/>
    </row>
    <row r="4711">
      <c r="A4711" s="2"/>
    </row>
    <row r="4712">
      <c r="A4712" s="2"/>
    </row>
    <row r="4713">
      <c r="A4713" s="2"/>
    </row>
    <row r="4714">
      <c r="A4714" s="2"/>
    </row>
    <row r="4715">
      <c r="A4715" s="2"/>
    </row>
    <row r="4716">
      <c r="A4716" s="2"/>
    </row>
    <row r="4717">
      <c r="A4717" s="2"/>
    </row>
    <row r="4718">
      <c r="A4718" s="2"/>
    </row>
    <row r="4719">
      <c r="A4719" s="2"/>
    </row>
    <row r="4720">
      <c r="A4720" s="2"/>
    </row>
    <row r="4721">
      <c r="A4721" s="2"/>
    </row>
    <row r="4722">
      <c r="A4722" s="2"/>
    </row>
    <row r="4723">
      <c r="A4723" s="2"/>
    </row>
    <row r="4724">
      <c r="A4724" s="2"/>
    </row>
    <row r="4725">
      <c r="A4725" s="2"/>
    </row>
    <row r="4726">
      <c r="A4726" s="2"/>
    </row>
    <row r="4727">
      <c r="A4727" s="2"/>
    </row>
    <row r="4728">
      <c r="A4728" s="2"/>
    </row>
    <row r="4729">
      <c r="A4729" s="2"/>
    </row>
    <row r="4730">
      <c r="A4730" s="2"/>
    </row>
    <row r="4731">
      <c r="A4731" s="2"/>
    </row>
    <row r="4732">
      <c r="A4732" s="2"/>
    </row>
    <row r="4733">
      <c r="A4733" s="2"/>
    </row>
    <row r="4734">
      <c r="A4734" s="2"/>
    </row>
    <row r="4735">
      <c r="A4735" s="2"/>
    </row>
    <row r="4736">
      <c r="A4736" s="2"/>
    </row>
    <row r="4737">
      <c r="A4737" s="2"/>
    </row>
    <row r="4738">
      <c r="A4738" s="2"/>
    </row>
    <row r="4739">
      <c r="A4739" s="2"/>
    </row>
    <row r="4740">
      <c r="A4740" s="2"/>
    </row>
    <row r="4741">
      <c r="A4741" s="2"/>
    </row>
    <row r="4742">
      <c r="A4742" s="2"/>
    </row>
    <row r="4743">
      <c r="A4743" s="2"/>
    </row>
    <row r="4744">
      <c r="A4744" s="2"/>
    </row>
    <row r="4745">
      <c r="A4745" s="2"/>
    </row>
    <row r="4746">
      <c r="A4746" s="2"/>
    </row>
    <row r="4747">
      <c r="A4747" s="2"/>
    </row>
    <row r="4748">
      <c r="A4748" s="2"/>
    </row>
    <row r="4749">
      <c r="A4749" s="2"/>
    </row>
    <row r="4750">
      <c r="A4750" s="2"/>
    </row>
    <row r="4751">
      <c r="A4751" s="2"/>
    </row>
    <row r="4752">
      <c r="A4752" s="2"/>
    </row>
    <row r="4753">
      <c r="A4753" s="2"/>
    </row>
    <row r="4754">
      <c r="A4754" s="2"/>
    </row>
    <row r="4755">
      <c r="A4755" s="2"/>
    </row>
    <row r="4756">
      <c r="A4756" s="2"/>
    </row>
    <row r="4757">
      <c r="A4757" s="2"/>
    </row>
    <row r="4758">
      <c r="A4758" s="2"/>
    </row>
    <row r="4759">
      <c r="A4759" s="2"/>
    </row>
    <row r="4760">
      <c r="A4760" s="2"/>
    </row>
    <row r="4761">
      <c r="A4761" s="2"/>
    </row>
    <row r="4762">
      <c r="A4762" s="2"/>
    </row>
    <row r="4763">
      <c r="A4763" s="2"/>
    </row>
    <row r="4764">
      <c r="A4764" s="2"/>
    </row>
    <row r="4765">
      <c r="A4765" s="2"/>
    </row>
    <row r="4766">
      <c r="A4766" s="2"/>
    </row>
    <row r="4767">
      <c r="A4767" s="2"/>
    </row>
    <row r="4768">
      <c r="A4768" s="2"/>
    </row>
    <row r="4769">
      <c r="A4769" s="2"/>
    </row>
    <row r="4770">
      <c r="A4770" s="2"/>
    </row>
    <row r="4771">
      <c r="A4771" s="2"/>
    </row>
    <row r="4772">
      <c r="A4772" s="2"/>
    </row>
    <row r="4773">
      <c r="A4773" s="2"/>
    </row>
    <row r="4774">
      <c r="A4774" s="2"/>
    </row>
    <row r="4775">
      <c r="A4775" s="2"/>
    </row>
    <row r="4776">
      <c r="A4776" s="2"/>
    </row>
    <row r="4777">
      <c r="A4777" s="2"/>
    </row>
    <row r="4778">
      <c r="A4778" s="2"/>
    </row>
    <row r="4779">
      <c r="A4779" s="2"/>
    </row>
    <row r="4780">
      <c r="A4780" s="2"/>
    </row>
    <row r="4781">
      <c r="A4781" s="2"/>
    </row>
    <row r="4782">
      <c r="A4782" s="2"/>
    </row>
    <row r="4783">
      <c r="A4783" s="2"/>
    </row>
    <row r="4784">
      <c r="A4784" s="2"/>
    </row>
    <row r="4785">
      <c r="A4785" s="2"/>
    </row>
    <row r="4786">
      <c r="A4786" s="2"/>
    </row>
    <row r="4787">
      <c r="A4787" s="2"/>
    </row>
    <row r="4788">
      <c r="A4788" s="2"/>
    </row>
    <row r="4789">
      <c r="A4789" s="2"/>
    </row>
    <row r="4790">
      <c r="A4790" s="2"/>
    </row>
    <row r="4791">
      <c r="A4791" s="2"/>
    </row>
    <row r="4792">
      <c r="A4792" s="2"/>
    </row>
    <row r="4793">
      <c r="A4793" s="2"/>
    </row>
    <row r="4794">
      <c r="A4794" s="2"/>
    </row>
    <row r="4795">
      <c r="A4795" s="2"/>
    </row>
    <row r="4796">
      <c r="A4796" s="2"/>
    </row>
    <row r="4797">
      <c r="A4797" s="2"/>
    </row>
    <row r="4798">
      <c r="A4798" s="2"/>
    </row>
    <row r="4799">
      <c r="A4799" s="2"/>
    </row>
    <row r="4800">
      <c r="A4800" s="2"/>
    </row>
    <row r="4801">
      <c r="A4801" s="2"/>
    </row>
    <row r="4802">
      <c r="A4802" s="2"/>
    </row>
    <row r="4803">
      <c r="A4803" s="2"/>
    </row>
    <row r="4804">
      <c r="A4804" s="2"/>
    </row>
    <row r="4805">
      <c r="A4805" s="2"/>
    </row>
    <row r="4806">
      <c r="A4806" s="2"/>
    </row>
    <row r="4807">
      <c r="A4807" s="2"/>
    </row>
    <row r="4808">
      <c r="A4808" s="2"/>
    </row>
    <row r="4809">
      <c r="A4809" s="2"/>
    </row>
    <row r="4810">
      <c r="A4810" s="2"/>
    </row>
    <row r="4811">
      <c r="A4811" s="2"/>
    </row>
    <row r="4812">
      <c r="A4812" s="2"/>
    </row>
    <row r="4813">
      <c r="A4813" s="2"/>
    </row>
    <row r="4814">
      <c r="A4814" s="2"/>
    </row>
    <row r="4815">
      <c r="A4815" s="2"/>
    </row>
    <row r="4816">
      <c r="A4816" s="2"/>
    </row>
    <row r="4817">
      <c r="A4817" s="2"/>
    </row>
    <row r="4818">
      <c r="A4818" s="2"/>
    </row>
    <row r="4819">
      <c r="A4819" s="2"/>
    </row>
    <row r="4820">
      <c r="A4820" s="2"/>
    </row>
    <row r="4821">
      <c r="A4821" s="2"/>
    </row>
    <row r="4822">
      <c r="A4822" s="2"/>
    </row>
    <row r="4823">
      <c r="A4823" s="2"/>
    </row>
    <row r="4824">
      <c r="A4824" s="2"/>
    </row>
    <row r="4825">
      <c r="A4825" s="2"/>
    </row>
    <row r="4826">
      <c r="A4826" s="2"/>
    </row>
    <row r="4827">
      <c r="A4827" s="2"/>
    </row>
    <row r="4828">
      <c r="A4828" s="2"/>
    </row>
    <row r="4829">
      <c r="A4829" s="2"/>
    </row>
    <row r="4830">
      <c r="A4830" s="2"/>
    </row>
    <row r="4831">
      <c r="A4831" s="2"/>
    </row>
    <row r="4832">
      <c r="A4832" s="2"/>
    </row>
    <row r="4833">
      <c r="A4833" s="2"/>
    </row>
    <row r="4834">
      <c r="A4834" s="2"/>
    </row>
    <row r="4835">
      <c r="A4835" s="2"/>
    </row>
    <row r="4836">
      <c r="A4836" s="2"/>
    </row>
    <row r="4837">
      <c r="A4837" s="2"/>
    </row>
    <row r="4838">
      <c r="A4838" s="2"/>
    </row>
    <row r="4839">
      <c r="A4839" s="2"/>
    </row>
    <row r="4840">
      <c r="A4840" s="2"/>
    </row>
    <row r="4841">
      <c r="A4841" s="2"/>
    </row>
    <row r="4842">
      <c r="A4842" s="2"/>
    </row>
    <row r="4843">
      <c r="A4843" s="2"/>
    </row>
    <row r="4844">
      <c r="A4844" s="2"/>
    </row>
    <row r="4845">
      <c r="A4845" s="2"/>
    </row>
    <row r="4846">
      <c r="A4846" s="2"/>
    </row>
    <row r="4847">
      <c r="A4847" s="2"/>
    </row>
    <row r="4848">
      <c r="A4848" s="2"/>
    </row>
    <row r="4849">
      <c r="A4849" s="2"/>
    </row>
    <row r="4850">
      <c r="A4850" s="2"/>
    </row>
    <row r="4851">
      <c r="A4851" s="2"/>
    </row>
    <row r="4852">
      <c r="A4852" s="2"/>
    </row>
    <row r="4853">
      <c r="A4853" s="2"/>
    </row>
    <row r="4854">
      <c r="A4854" s="2"/>
    </row>
    <row r="4855">
      <c r="A4855" s="2"/>
    </row>
    <row r="4856">
      <c r="A4856" s="2"/>
    </row>
    <row r="4857">
      <c r="A4857" s="2"/>
    </row>
    <row r="4858">
      <c r="A4858" s="2"/>
    </row>
    <row r="4859">
      <c r="A4859" s="2"/>
    </row>
    <row r="4860">
      <c r="A4860" s="2"/>
    </row>
    <row r="4861">
      <c r="A4861" s="2"/>
    </row>
    <row r="4862">
      <c r="A4862" s="2"/>
    </row>
    <row r="4863">
      <c r="A4863" s="2"/>
    </row>
    <row r="4864">
      <c r="A4864" s="2"/>
    </row>
    <row r="4865">
      <c r="A4865" s="2"/>
    </row>
    <row r="4866">
      <c r="A4866" s="2"/>
    </row>
    <row r="4867">
      <c r="A4867" s="2"/>
    </row>
    <row r="4868">
      <c r="A4868" s="2"/>
    </row>
    <row r="4869">
      <c r="A4869" s="2"/>
    </row>
    <row r="4870">
      <c r="A4870" s="2"/>
    </row>
    <row r="4871">
      <c r="A4871" s="2"/>
    </row>
    <row r="4872">
      <c r="A4872" s="2"/>
    </row>
    <row r="4873">
      <c r="A4873" s="2"/>
    </row>
    <row r="4874">
      <c r="A4874" s="2"/>
    </row>
    <row r="4875">
      <c r="A4875" s="2"/>
    </row>
    <row r="4876">
      <c r="A4876" s="2"/>
    </row>
    <row r="4877">
      <c r="A4877" s="2"/>
    </row>
    <row r="4878">
      <c r="A4878" s="2"/>
    </row>
    <row r="4879">
      <c r="A4879" s="2"/>
    </row>
    <row r="4880">
      <c r="A4880" s="2"/>
    </row>
    <row r="4881">
      <c r="A4881" s="2"/>
    </row>
    <row r="4882">
      <c r="A4882" s="2"/>
    </row>
    <row r="4883">
      <c r="A4883" s="2"/>
    </row>
    <row r="4884">
      <c r="A4884" s="2"/>
    </row>
    <row r="4885">
      <c r="A4885" s="2"/>
    </row>
    <row r="4886">
      <c r="A4886" s="2"/>
    </row>
    <row r="4887">
      <c r="A4887" s="2"/>
    </row>
    <row r="4888">
      <c r="A4888" s="2"/>
    </row>
    <row r="4889">
      <c r="A4889" s="2"/>
    </row>
    <row r="4890">
      <c r="A4890" s="2"/>
    </row>
    <row r="4891">
      <c r="A4891" s="2"/>
    </row>
    <row r="4892">
      <c r="A4892" s="2"/>
    </row>
    <row r="4893">
      <c r="A4893" s="2"/>
    </row>
    <row r="4894">
      <c r="A4894" s="2"/>
    </row>
    <row r="4895">
      <c r="A4895" s="2"/>
    </row>
    <row r="4896">
      <c r="A4896" s="2"/>
    </row>
    <row r="4897">
      <c r="A4897" s="2"/>
    </row>
    <row r="4898">
      <c r="A4898" s="2"/>
    </row>
    <row r="4899">
      <c r="A4899" s="2"/>
    </row>
    <row r="4900">
      <c r="A4900" s="2"/>
    </row>
    <row r="4901">
      <c r="A4901" s="2"/>
    </row>
    <row r="4902">
      <c r="A4902" s="2"/>
    </row>
    <row r="4903">
      <c r="A4903" s="2"/>
    </row>
    <row r="4904">
      <c r="A4904" s="2"/>
    </row>
    <row r="4905">
      <c r="A4905" s="2"/>
    </row>
    <row r="4906">
      <c r="A4906" s="2"/>
    </row>
    <row r="4907">
      <c r="A4907" s="2"/>
    </row>
    <row r="4908">
      <c r="A4908" s="2"/>
    </row>
    <row r="4909">
      <c r="A4909" s="2"/>
    </row>
    <row r="4910">
      <c r="A4910" s="2"/>
    </row>
    <row r="4911">
      <c r="A4911" s="2"/>
    </row>
    <row r="4912">
      <c r="A4912" s="2"/>
    </row>
    <row r="4913">
      <c r="A4913" s="2"/>
    </row>
    <row r="4914">
      <c r="A4914" s="2"/>
    </row>
    <row r="4915">
      <c r="A4915" s="2"/>
    </row>
    <row r="4916">
      <c r="A4916" s="2"/>
    </row>
    <row r="4917">
      <c r="A4917" s="2"/>
    </row>
    <row r="4918">
      <c r="A4918" s="2"/>
    </row>
    <row r="4919">
      <c r="A4919" s="2"/>
    </row>
    <row r="4920">
      <c r="A4920" s="2"/>
    </row>
    <row r="4921">
      <c r="A4921" s="2"/>
    </row>
    <row r="4922">
      <c r="A4922" s="2"/>
    </row>
    <row r="4923">
      <c r="A4923" s="2"/>
    </row>
    <row r="4924">
      <c r="A4924" s="2"/>
    </row>
    <row r="4925">
      <c r="A4925" s="2"/>
    </row>
    <row r="4926">
      <c r="A4926" s="2"/>
    </row>
    <row r="4927">
      <c r="A4927" s="2"/>
    </row>
    <row r="4928">
      <c r="A4928" s="2"/>
    </row>
    <row r="4929">
      <c r="A4929" s="2"/>
    </row>
    <row r="4930">
      <c r="A4930" s="2"/>
    </row>
    <row r="4931">
      <c r="A4931" s="2"/>
    </row>
    <row r="4932">
      <c r="A4932" s="2"/>
    </row>
    <row r="4933">
      <c r="A4933" s="2"/>
    </row>
    <row r="4934">
      <c r="A4934" s="2"/>
    </row>
    <row r="4935">
      <c r="A4935" s="2"/>
    </row>
    <row r="4936">
      <c r="A4936" s="2"/>
    </row>
    <row r="4937">
      <c r="A4937" s="2"/>
    </row>
    <row r="4938">
      <c r="A4938" s="2"/>
    </row>
    <row r="4939">
      <c r="A4939" s="2"/>
    </row>
    <row r="4940">
      <c r="A4940" s="2"/>
    </row>
    <row r="4941">
      <c r="A4941" s="2"/>
    </row>
    <row r="4942">
      <c r="A4942" s="2"/>
    </row>
    <row r="4943">
      <c r="A4943" s="2"/>
    </row>
    <row r="4944">
      <c r="A4944" s="2"/>
    </row>
    <row r="4945">
      <c r="A4945" s="2"/>
    </row>
    <row r="4946">
      <c r="A4946" s="2"/>
    </row>
    <row r="4947">
      <c r="A4947" s="2"/>
    </row>
    <row r="4948">
      <c r="A4948" s="2"/>
    </row>
    <row r="4949">
      <c r="A4949" s="2"/>
    </row>
    <row r="4950">
      <c r="A4950" s="2"/>
    </row>
    <row r="4951">
      <c r="A4951" s="2"/>
    </row>
    <row r="4952">
      <c r="A4952" s="2"/>
    </row>
    <row r="4953">
      <c r="A4953" s="2"/>
    </row>
    <row r="4954">
      <c r="A4954" s="2"/>
    </row>
    <row r="4955">
      <c r="A4955" s="2"/>
    </row>
    <row r="4956">
      <c r="A4956" s="2"/>
    </row>
    <row r="4957">
      <c r="A4957" s="2"/>
    </row>
    <row r="4958">
      <c r="A4958" s="2"/>
    </row>
    <row r="4959">
      <c r="A4959" s="2"/>
    </row>
    <row r="4960">
      <c r="A4960" s="2"/>
    </row>
    <row r="4961">
      <c r="A4961" s="2"/>
    </row>
    <row r="4962">
      <c r="A4962" s="2"/>
    </row>
    <row r="4963">
      <c r="A4963" s="2"/>
    </row>
    <row r="4964">
      <c r="A4964" s="2"/>
    </row>
    <row r="4965">
      <c r="A4965" s="2"/>
    </row>
    <row r="4966">
      <c r="A4966" s="2"/>
    </row>
    <row r="4967">
      <c r="A4967" s="2"/>
    </row>
    <row r="4968">
      <c r="A4968" s="2"/>
    </row>
    <row r="4969">
      <c r="A4969" s="2"/>
    </row>
    <row r="4970">
      <c r="A4970" s="2"/>
    </row>
    <row r="4971">
      <c r="A4971" s="2"/>
    </row>
    <row r="4972">
      <c r="A4972" s="2"/>
    </row>
    <row r="4973">
      <c r="A4973" s="2"/>
    </row>
    <row r="4974">
      <c r="A4974" s="2"/>
    </row>
    <row r="4975">
      <c r="A4975" s="2"/>
    </row>
    <row r="4976">
      <c r="A4976" s="2"/>
    </row>
    <row r="4977">
      <c r="A4977" s="2"/>
    </row>
    <row r="4978">
      <c r="A4978" s="2"/>
    </row>
    <row r="4979">
      <c r="A4979" s="2"/>
    </row>
    <row r="4980">
      <c r="A4980" s="2"/>
    </row>
    <row r="4981">
      <c r="A4981" s="2"/>
    </row>
    <row r="4982">
      <c r="A4982" s="2"/>
    </row>
    <row r="4983">
      <c r="A4983" s="2"/>
    </row>
    <row r="4984">
      <c r="A4984" s="2"/>
    </row>
    <row r="4985">
      <c r="A4985" s="2"/>
    </row>
    <row r="4986">
      <c r="A4986" s="2"/>
    </row>
    <row r="4987">
      <c r="A4987" s="2"/>
    </row>
    <row r="4988">
      <c r="A4988" s="2"/>
    </row>
    <row r="4989">
      <c r="A4989" s="2"/>
    </row>
    <row r="4990">
      <c r="A4990" s="2"/>
    </row>
    <row r="4991">
      <c r="A4991" s="2"/>
    </row>
    <row r="4992">
      <c r="A4992" s="2"/>
    </row>
    <row r="4993">
      <c r="A4993" s="2"/>
    </row>
    <row r="4994">
      <c r="A4994" s="2"/>
    </row>
    <row r="4995">
      <c r="A4995" s="2"/>
    </row>
    <row r="4996">
      <c r="A4996" s="2"/>
    </row>
    <row r="4997">
      <c r="A4997" s="2"/>
    </row>
    <row r="4998">
      <c r="A4998" s="2"/>
    </row>
    <row r="4999">
      <c r="A4999" s="2"/>
    </row>
    <row r="5000">
      <c r="A5000" s="2"/>
    </row>
    <row r="5001">
      <c r="A5001" s="2"/>
    </row>
    <row r="5002">
      <c r="A5002" s="2"/>
    </row>
    <row r="5003">
      <c r="A5003" s="2"/>
    </row>
    <row r="5004">
      <c r="A5004" s="2"/>
    </row>
    <row r="5005">
      <c r="A5005" s="2"/>
    </row>
    <row r="5006">
      <c r="A5006" s="2"/>
    </row>
    <row r="5007">
      <c r="A5007" s="2"/>
    </row>
    <row r="5008">
      <c r="A5008" s="2"/>
    </row>
    <row r="5009">
      <c r="A5009" s="2"/>
    </row>
    <row r="5010">
      <c r="A5010" s="2"/>
    </row>
    <row r="5011">
      <c r="A5011" s="2"/>
    </row>
    <row r="5012">
      <c r="A5012" s="2"/>
    </row>
    <row r="5013">
      <c r="A5013" s="2"/>
    </row>
    <row r="5014">
      <c r="A5014" s="2"/>
    </row>
    <row r="5015">
      <c r="A5015" s="2"/>
    </row>
    <row r="5016">
      <c r="A5016" s="2"/>
    </row>
    <row r="5017">
      <c r="A5017" s="2"/>
    </row>
    <row r="5018">
      <c r="A5018" s="2"/>
    </row>
    <row r="5019">
      <c r="A5019" s="2"/>
    </row>
    <row r="5020">
      <c r="A5020" s="2"/>
    </row>
    <row r="5021">
      <c r="A5021" s="2"/>
    </row>
    <row r="5022">
      <c r="A5022" s="2"/>
    </row>
    <row r="5023">
      <c r="A5023" s="2"/>
    </row>
    <row r="5024">
      <c r="A5024" s="2"/>
    </row>
    <row r="5025">
      <c r="A5025" s="2"/>
    </row>
    <row r="5026">
      <c r="A5026" s="2"/>
    </row>
    <row r="5027">
      <c r="A5027" s="2"/>
    </row>
    <row r="5028">
      <c r="A5028" s="2"/>
    </row>
    <row r="5029">
      <c r="A5029" s="2"/>
    </row>
    <row r="5030">
      <c r="A5030" s="2"/>
    </row>
    <row r="5031">
      <c r="A5031" s="2"/>
    </row>
    <row r="5032">
      <c r="A5032" s="2"/>
    </row>
    <row r="5033">
      <c r="A5033" s="2"/>
    </row>
    <row r="5034">
      <c r="A5034" s="2"/>
    </row>
    <row r="5035">
      <c r="A5035" s="2"/>
    </row>
    <row r="5036">
      <c r="A5036" s="2"/>
    </row>
    <row r="5037">
      <c r="A5037" s="2"/>
    </row>
    <row r="5038">
      <c r="A5038" s="2"/>
    </row>
    <row r="5039">
      <c r="A5039" s="2"/>
    </row>
    <row r="5040">
      <c r="A5040" s="2"/>
    </row>
    <row r="5041">
      <c r="A5041" s="2"/>
    </row>
    <row r="5042">
      <c r="A5042" s="2"/>
    </row>
    <row r="5043">
      <c r="A5043" s="2"/>
    </row>
    <row r="5044">
      <c r="A5044" s="2"/>
    </row>
    <row r="5045">
      <c r="A5045" s="2"/>
    </row>
    <row r="5046">
      <c r="A5046" s="2"/>
    </row>
    <row r="5047">
      <c r="A5047" s="2"/>
    </row>
    <row r="5048">
      <c r="A5048" s="2"/>
    </row>
    <row r="5049">
      <c r="A5049" s="2"/>
    </row>
    <row r="5050">
      <c r="A5050" s="2"/>
    </row>
    <row r="5051">
      <c r="A5051" s="2"/>
    </row>
    <row r="5052">
      <c r="A5052" s="2"/>
    </row>
    <row r="5053">
      <c r="A5053" s="2"/>
    </row>
    <row r="5054">
      <c r="A5054" s="2"/>
    </row>
    <row r="5055">
      <c r="A5055" s="2"/>
    </row>
    <row r="5056">
      <c r="A5056" s="2"/>
    </row>
    <row r="5057">
      <c r="A5057" s="2"/>
    </row>
    <row r="5058">
      <c r="A5058" s="2"/>
    </row>
    <row r="5059">
      <c r="A5059" s="2"/>
    </row>
    <row r="5060">
      <c r="A5060" s="2"/>
    </row>
    <row r="5061">
      <c r="A5061" s="2"/>
    </row>
    <row r="5062">
      <c r="A5062" s="2"/>
    </row>
    <row r="5063">
      <c r="A5063" s="2"/>
    </row>
    <row r="5064">
      <c r="A5064" s="2"/>
    </row>
    <row r="5065">
      <c r="A5065" s="2"/>
    </row>
    <row r="5066">
      <c r="A5066" s="2"/>
    </row>
    <row r="5067">
      <c r="A5067" s="2"/>
    </row>
    <row r="5068">
      <c r="A5068" s="2"/>
    </row>
    <row r="5069">
      <c r="A5069" s="2"/>
    </row>
    <row r="5070">
      <c r="A5070" s="2"/>
    </row>
    <row r="5071">
      <c r="A5071" s="2"/>
    </row>
    <row r="5072">
      <c r="A5072" s="2"/>
    </row>
    <row r="5073">
      <c r="A5073" s="2"/>
    </row>
    <row r="5074">
      <c r="A5074" s="2"/>
    </row>
    <row r="5075">
      <c r="A5075" s="2"/>
    </row>
    <row r="5076">
      <c r="A5076" s="2"/>
    </row>
    <row r="5077">
      <c r="A5077" s="2"/>
    </row>
    <row r="5078">
      <c r="A5078" s="2"/>
    </row>
    <row r="5079">
      <c r="A5079" s="2"/>
    </row>
    <row r="5080">
      <c r="A5080" s="2"/>
    </row>
    <row r="5081">
      <c r="A5081" s="2"/>
    </row>
    <row r="5082">
      <c r="A5082" s="2"/>
    </row>
    <row r="5083">
      <c r="A5083" s="2"/>
    </row>
    <row r="5084">
      <c r="A5084" s="2"/>
    </row>
    <row r="5085">
      <c r="A5085" s="2"/>
    </row>
    <row r="5086">
      <c r="A5086" s="2"/>
    </row>
    <row r="5087">
      <c r="A5087" s="2"/>
    </row>
    <row r="5088">
      <c r="A5088" s="2"/>
    </row>
    <row r="5089">
      <c r="A5089" s="2"/>
    </row>
    <row r="5090">
      <c r="A5090" s="2"/>
    </row>
    <row r="5091">
      <c r="A5091" s="2"/>
    </row>
    <row r="5092">
      <c r="A5092" s="2"/>
    </row>
    <row r="5093">
      <c r="A5093" s="2"/>
    </row>
    <row r="5094">
      <c r="A5094" s="2"/>
    </row>
    <row r="5095">
      <c r="A5095" s="2"/>
    </row>
    <row r="5096">
      <c r="A5096" s="2"/>
    </row>
    <row r="5097">
      <c r="A5097" s="2"/>
    </row>
    <row r="5098">
      <c r="A5098" s="2"/>
    </row>
    <row r="5099">
      <c r="A5099" s="2"/>
    </row>
    <row r="5100">
      <c r="A5100" s="2"/>
    </row>
    <row r="5101">
      <c r="A5101" s="2"/>
    </row>
    <row r="5102">
      <c r="A5102" s="2"/>
    </row>
    <row r="5103">
      <c r="A5103" s="2"/>
    </row>
    <row r="5104">
      <c r="A5104" s="2"/>
    </row>
    <row r="5105">
      <c r="A5105" s="2"/>
    </row>
    <row r="5106">
      <c r="A5106" s="2"/>
    </row>
    <row r="5107">
      <c r="A5107" s="2"/>
    </row>
    <row r="5108">
      <c r="A5108" s="2"/>
    </row>
    <row r="5109">
      <c r="A5109" s="2"/>
    </row>
    <row r="5110">
      <c r="A5110" s="2"/>
    </row>
    <row r="5111">
      <c r="A5111" s="2"/>
    </row>
    <row r="5112">
      <c r="A5112" s="2"/>
    </row>
    <row r="5113">
      <c r="A5113" s="2"/>
    </row>
    <row r="5114">
      <c r="A5114" s="2"/>
    </row>
    <row r="5115">
      <c r="A5115" s="2"/>
    </row>
    <row r="5116">
      <c r="A5116" s="2"/>
    </row>
    <row r="5117">
      <c r="A5117" s="2"/>
    </row>
    <row r="5118">
      <c r="A5118" s="2"/>
    </row>
    <row r="5119">
      <c r="A5119" s="2"/>
    </row>
    <row r="5120">
      <c r="A5120" s="2"/>
    </row>
    <row r="5121">
      <c r="A5121" s="2"/>
    </row>
    <row r="5122">
      <c r="A5122" s="2"/>
    </row>
    <row r="5123">
      <c r="A5123" s="2"/>
    </row>
    <row r="5124">
      <c r="A5124" s="2"/>
    </row>
    <row r="5125">
      <c r="A5125" s="2"/>
    </row>
    <row r="5126">
      <c r="A5126" s="2"/>
    </row>
    <row r="5127">
      <c r="A5127" s="2"/>
    </row>
    <row r="5128">
      <c r="A5128" s="2"/>
    </row>
    <row r="5129">
      <c r="A5129" s="2"/>
    </row>
    <row r="5130">
      <c r="A5130" s="2"/>
    </row>
    <row r="5131">
      <c r="A5131" s="2"/>
    </row>
    <row r="5132">
      <c r="A5132" s="2"/>
    </row>
    <row r="5133">
      <c r="A5133" s="2"/>
    </row>
    <row r="5134">
      <c r="A5134" s="2"/>
    </row>
    <row r="5135">
      <c r="A5135" s="2"/>
    </row>
    <row r="5136">
      <c r="A5136" s="2"/>
    </row>
    <row r="5137">
      <c r="A5137" s="2"/>
    </row>
    <row r="5138">
      <c r="A5138" s="2"/>
    </row>
    <row r="5139">
      <c r="A5139" s="2"/>
    </row>
    <row r="5140">
      <c r="A5140" s="2"/>
    </row>
    <row r="5141">
      <c r="A5141" s="2"/>
    </row>
    <row r="5142">
      <c r="A5142" s="2"/>
    </row>
    <row r="5143">
      <c r="A5143" s="2"/>
    </row>
    <row r="5144">
      <c r="A5144" s="2"/>
    </row>
    <row r="5145">
      <c r="A5145" s="2"/>
    </row>
    <row r="5146">
      <c r="A5146" s="2"/>
    </row>
    <row r="5147">
      <c r="A5147" s="2"/>
    </row>
    <row r="5148">
      <c r="A5148" s="2"/>
    </row>
    <row r="5149">
      <c r="A5149" s="2"/>
    </row>
    <row r="5150">
      <c r="A5150" s="2"/>
    </row>
    <row r="5151">
      <c r="A5151" s="2"/>
    </row>
    <row r="5152">
      <c r="A5152" s="2"/>
    </row>
    <row r="5153">
      <c r="A5153" s="2"/>
    </row>
    <row r="5154">
      <c r="A5154" s="2"/>
    </row>
    <row r="5155">
      <c r="A5155" s="2"/>
    </row>
    <row r="5156">
      <c r="A5156" s="2"/>
    </row>
    <row r="5157">
      <c r="A5157" s="2"/>
    </row>
    <row r="5158">
      <c r="A5158" s="2"/>
    </row>
    <row r="5159">
      <c r="A5159" s="2"/>
    </row>
    <row r="5160">
      <c r="A5160" s="2"/>
    </row>
    <row r="5161">
      <c r="A5161" s="2"/>
    </row>
    <row r="5162">
      <c r="A5162" s="2"/>
    </row>
    <row r="5163">
      <c r="A5163" s="2"/>
    </row>
    <row r="5164">
      <c r="A5164" s="2"/>
    </row>
    <row r="5165">
      <c r="A5165" s="2"/>
    </row>
    <row r="5166">
      <c r="A5166" s="2"/>
    </row>
    <row r="5167">
      <c r="A5167" s="2"/>
    </row>
    <row r="5168">
      <c r="A5168" s="2"/>
    </row>
    <row r="5169">
      <c r="A5169" s="2"/>
    </row>
    <row r="5170">
      <c r="A5170" s="2"/>
    </row>
    <row r="5171">
      <c r="A5171" s="2"/>
    </row>
    <row r="5172">
      <c r="A5172" s="2"/>
    </row>
    <row r="5173">
      <c r="A5173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</cols>
  <sheetData>
    <row r="1">
      <c r="A1" s="1" t="s">
        <v>4361</v>
      </c>
      <c r="B1" s="1" t="s">
        <v>4362</v>
      </c>
      <c r="C1" s="1" t="s">
        <v>4363</v>
      </c>
    </row>
    <row r="2">
      <c r="A2" s="2" t="s">
        <v>1</v>
      </c>
      <c r="B2" s="2" t="s">
        <v>4364</v>
      </c>
      <c r="C2" s="2" t="s">
        <v>4365</v>
      </c>
    </row>
    <row r="3">
      <c r="A3" s="2" t="s">
        <v>35</v>
      </c>
      <c r="B3" s="2" t="s">
        <v>4364</v>
      </c>
      <c r="C3" s="2" t="s">
        <v>4365</v>
      </c>
    </row>
    <row r="4">
      <c r="A4" s="2" t="s">
        <v>34</v>
      </c>
      <c r="B4" s="2" t="s">
        <v>4364</v>
      </c>
      <c r="C4" s="2" t="s">
        <v>4365</v>
      </c>
    </row>
    <row r="5">
      <c r="A5" s="2" t="s">
        <v>14</v>
      </c>
      <c r="B5" s="2" t="s">
        <v>4364</v>
      </c>
      <c r="C5" s="2" t="s">
        <v>4365</v>
      </c>
    </row>
    <row r="6">
      <c r="A6" s="2" t="s">
        <v>2777</v>
      </c>
      <c r="B6" s="2" t="s">
        <v>4366</v>
      </c>
      <c r="C6" s="2" t="s">
        <v>4365</v>
      </c>
    </row>
    <row r="7">
      <c r="A7" s="2" t="s">
        <v>4367</v>
      </c>
      <c r="B7" s="2" t="s">
        <v>4366</v>
      </c>
      <c r="C7" s="2" t="s">
        <v>4365</v>
      </c>
    </row>
    <row r="8">
      <c r="A8" s="2" t="s">
        <v>4368</v>
      </c>
      <c r="B8" s="2" t="s">
        <v>4366</v>
      </c>
      <c r="C8" s="2" t="s">
        <v>4365</v>
      </c>
    </row>
    <row r="9">
      <c r="A9" s="2" t="s">
        <v>4369</v>
      </c>
      <c r="B9" s="2" t="s">
        <v>4366</v>
      </c>
      <c r="C9" s="2" t="s">
        <v>4365</v>
      </c>
    </row>
    <row r="10">
      <c r="A10" s="2" t="s">
        <v>4370</v>
      </c>
      <c r="B10" s="2" t="s">
        <v>4371</v>
      </c>
      <c r="C10" s="2" t="s">
        <v>4365</v>
      </c>
    </row>
    <row r="11">
      <c r="A11" s="2" t="s">
        <v>4372</v>
      </c>
      <c r="B11" s="2" t="s">
        <v>4371</v>
      </c>
      <c r="C11" s="2" t="s">
        <v>4365</v>
      </c>
    </row>
    <row r="12">
      <c r="A12" s="2" t="s">
        <v>939</v>
      </c>
      <c r="B12" s="2" t="s">
        <v>4371</v>
      </c>
      <c r="C12" s="2" t="s">
        <v>4373</v>
      </c>
    </row>
    <row r="13">
      <c r="A13" s="2" t="s">
        <v>4374</v>
      </c>
      <c r="B13" s="2" t="s">
        <v>4371</v>
      </c>
      <c r="C13" s="2" t="s">
        <v>4375</v>
      </c>
    </row>
    <row r="14">
      <c r="A14" s="2" t="s">
        <v>4376</v>
      </c>
      <c r="B14" s="2" t="s">
        <v>4377</v>
      </c>
      <c r="C14" s="2" t="s">
        <v>4365</v>
      </c>
    </row>
    <row r="15">
      <c r="A15" s="2" t="s">
        <v>4378</v>
      </c>
      <c r="B15" s="2" t="s">
        <v>4377</v>
      </c>
      <c r="C15" s="2" t="s">
        <v>4365</v>
      </c>
    </row>
    <row r="16">
      <c r="A16" s="2" t="s">
        <v>4379</v>
      </c>
      <c r="B16" s="2" t="s">
        <v>4377</v>
      </c>
      <c r="C16" s="2" t="s">
        <v>4365</v>
      </c>
    </row>
    <row r="17">
      <c r="A17" s="2" t="s">
        <v>4380</v>
      </c>
      <c r="B17" s="2" t="s">
        <v>4381</v>
      </c>
      <c r="C17" s="2" t="s">
        <v>4365</v>
      </c>
    </row>
    <row r="18">
      <c r="A18" s="2" t="s">
        <v>4382</v>
      </c>
      <c r="B18" s="2" t="s">
        <v>4381</v>
      </c>
      <c r="C18" s="2" t="s">
        <v>4365</v>
      </c>
    </row>
    <row r="19">
      <c r="A19" s="2" t="s">
        <v>4383</v>
      </c>
      <c r="B19" s="2" t="s">
        <v>4381</v>
      </c>
      <c r="C19" s="2" t="s">
        <v>4365</v>
      </c>
    </row>
    <row r="20">
      <c r="A20" s="2" t="s">
        <v>4384</v>
      </c>
      <c r="B20" s="2" t="s">
        <v>4381</v>
      </c>
      <c r="C20" s="2" t="s">
        <v>4365</v>
      </c>
    </row>
    <row r="21">
      <c r="A21" s="2" t="s">
        <v>4385</v>
      </c>
      <c r="B21" s="2" t="s">
        <v>4386</v>
      </c>
      <c r="C21" s="2" t="s">
        <v>4365</v>
      </c>
    </row>
    <row r="22">
      <c r="A22" s="2" t="s">
        <v>4387</v>
      </c>
      <c r="B22" s="2" t="s">
        <v>4386</v>
      </c>
      <c r="C22" s="2" t="s">
        <v>4365</v>
      </c>
    </row>
    <row r="23">
      <c r="A23" s="2" t="s">
        <v>4388</v>
      </c>
      <c r="B23" s="2" t="s">
        <v>4386</v>
      </c>
      <c r="C23" s="2" t="s">
        <v>4365</v>
      </c>
    </row>
    <row r="24">
      <c r="A24" s="2" t="s">
        <v>4389</v>
      </c>
      <c r="B24" s="2" t="s">
        <v>4386</v>
      </c>
      <c r="C24" s="2" t="s">
        <v>4390</v>
      </c>
    </row>
    <row r="25">
      <c r="A25" s="2" t="s">
        <v>4391</v>
      </c>
      <c r="B25" s="2" t="s">
        <v>4392</v>
      </c>
      <c r="C25" s="2" t="s">
        <v>4365</v>
      </c>
    </row>
    <row r="26">
      <c r="A26" s="2" t="s">
        <v>1337</v>
      </c>
      <c r="B26" s="2" t="s">
        <v>4392</v>
      </c>
      <c r="C26" s="2" t="s">
        <v>4365</v>
      </c>
    </row>
    <row r="27">
      <c r="A27" s="2" t="s">
        <v>4393</v>
      </c>
      <c r="B27" s="2" t="s">
        <v>4392</v>
      </c>
      <c r="C27" s="2" t="s">
        <v>4365</v>
      </c>
    </row>
    <row r="28">
      <c r="A28" s="2" t="s">
        <v>618</v>
      </c>
      <c r="B28" s="2" t="s">
        <v>4394</v>
      </c>
      <c r="C28" s="2" t="s">
        <v>4365</v>
      </c>
    </row>
    <row r="29">
      <c r="A29" s="2" t="s">
        <v>4395</v>
      </c>
      <c r="B29" s="2" t="s">
        <v>4394</v>
      </c>
      <c r="C29" s="2" t="s">
        <v>4365</v>
      </c>
    </row>
    <row r="30">
      <c r="A30" s="2" t="s">
        <v>4396</v>
      </c>
      <c r="B30" s="2" t="s">
        <v>4394</v>
      </c>
      <c r="C30" s="2" t="s">
        <v>4365</v>
      </c>
    </row>
    <row r="31">
      <c r="A31" s="2" t="s">
        <v>515</v>
      </c>
      <c r="B31" s="2" t="s">
        <v>4397</v>
      </c>
      <c r="C31" s="2" t="s">
        <v>4365</v>
      </c>
    </row>
    <row r="32">
      <c r="A32" s="2" t="s">
        <v>4398</v>
      </c>
      <c r="B32" s="2" t="s">
        <v>4397</v>
      </c>
      <c r="C32" s="2" t="s">
        <v>4365</v>
      </c>
    </row>
    <row r="33">
      <c r="A33" s="2" t="s">
        <v>4399</v>
      </c>
      <c r="B33" s="2" t="s">
        <v>4397</v>
      </c>
      <c r="C33" s="2" t="s">
        <v>4365</v>
      </c>
    </row>
    <row r="34">
      <c r="A34" s="2" t="s">
        <v>4400</v>
      </c>
      <c r="B34" s="2" t="s">
        <v>4397</v>
      </c>
      <c r="C34" s="2" t="s">
        <v>4365</v>
      </c>
    </row>
    <row r="35">
      <c r="A35" s="2" t="s">
        <v>4401</v>
      </c>
      <c r="B35" s="2" t="s">
        <v>4402</v>
      </c>
      <c r="C35" s="2" t="s">
        <v>4365</v>
      </c>
    </row>
    <row r="36">
      <c r="A36" s="2" t="s">
        <v>3608</v>
      </c>
      <c r="B36" s="2" t="s">
        <v>4402</v>
      </c>
      <c r="C36" s="2" t="s">
        <v>4365</v>
      </c>
    </row>
    <row r="37">
      <c r="A37" s="2" t="s">
        <v>2042</v>
      </c>
      <c r="B37" s="2" t="s">
        <v>4402</v>
      </c>
      <c r="C37" s="2" t="s">
        <v>4365</v>
      </c>
    </row>
    <row r="38">
      <c r="A38" s="2" t="s">
        <v>4403</v>
      </c>
      <c r="B38" s="2" t="s">
        <v>4404</v>
      </c>
      <c r="C38" s="2" t="s">
        <v>4365</v>
      </c>
    </row>
    <row r="39">
      <c r="A39" s="2" t="s">
        <v>4405</v>
      </c>
      <c r="B39" s="2" t="s">
        <v>4404</v>
      </c>
      <c r="C39" s="2" t="s">
        <v>4365</v>
      </c>
    </row>
    <row r="40">
      <c r="A40" s="2" t="s">
        <v>4406</v>
      </c>
      <c r="B40" s="2" t="s">
        <v>4404</v>
      </c>
      <c r="C40" s="2" t="s">
        <v>4365</v>
      </c>
    </row>
    <row r="41">
      <c r="A41" s="2" t="s">
        <v>2168</v>
      </c>
      <c r="B41" s="2" t="s">
        <v>4407</v>
      </c>
      <c r="C41" s="2" t="s">
        <v>4365</v>
      </c>
    </row>
    <row r="42">
      <c r="A42" s="2" t="s">
        <v>4408</v>
      </c>
      <c r="B42" s="2" t="s">
        <v>4407</v>
      </c>
      <c r="C42" s="2" t="s">
        <v>4365</v>
      </c>
    </row>
    <row r="43">
      <c r="A43" s="2" t="s">
        <v>4409</v>
      </c>
      <c r="B43" s="2" t="s">
        <v>4407</v>
      </c>
      <c r="C43" s="2" t="s">
        <v>4365</v>
      </c>
    </row>
    <row r="44">
      <c r="A44" s="2" t="s">
        <v>3714</v>
      </c>
      <c r="B44" s="2" t="s">
        <v>4410</v>
      </c>
      <c r="C44" s="2" t="s">
        <v>4365</v>
      </c>
    </row>
    <row r="45">
      <c r="A45" s="2" t="s">
        <v>3777</v>
      </c>
      <c r="B45" s="2" t="s">
        <v>4410</v>
      </c>
      <c r="C45" s="2" t="s">
        <v>4365</v>
      </c>
    </row>
    <row r="46">
      <c r="A46" s="2" t="s">
        <v>3785</v>
      </c>
      <c r="B46" s="2" t="s">
        <v>4410</v>
      </c>
      <c r="C46" s="2" t="s">
        <v>4365</v>
      </c>
    </row>
    <row r="47">
      <c r="A47" s="2" t="s">
        <v>4411</v>
      </c>
      <c r="B47" s="2" t="s">
        <v>4412</v>
      </c>
      <c r="C47" s="2" t="s">
        <v>4365</v>
      </c>
    </row>
    <row r="48">
      <c r="A48" s="2" t="s">
        <v>4413</v>
      </c>
      <c r="B48" s="2" t="s">
        <v>4412</v>
      </c>
      <c r="C48" s="2" t="s">
        <v>4365</v>
      </c>
    </row>
    <row r="49">
      <c r="A49" s="2" t="s">
        <v>4414</v>
      </c>
      <c r="B49" s="2" t="s">
        <v>4412</v>
      </c>
      <c r="C49" s="2" t="s">
        <v>4365</v>
      </c>
    </row>
    <row r="50">
      <c r="A50" s="3" t="s">
        <v>4415</v>
      </c>
      <c r="B50" s="2" t="s">
        <v>4412</v>
      </c>
      <c r="C50" s="2" t="s">
        <v>4365</v>
      </c>
    </row>
    <row r="51">
      <c r="A51" s="2" t="s">
        <v>4416</v>
      </c>
      <c r="B51" s="2" t="s">
        <v>4364</v>
      </c>
      <c r="C51" s="2" t="s">
        <v>4365</v>
      </c>
    </row>
    <row r="52">
      <c r="A52" s="2" t="s">
        <v>4417</v>
      </c>
      <c r="B52" s="2" t="s">
        <v>4364</v>
      </c>
      <c r="C52" s="2" t="s">
        <v>4365</v>
      </c>
    </row>
    <row r="53">
      <c r="A53" s="2" t="s">
        <v>7</v>
      </c>
      <c r="B53" s="2" t="s">
        <v>4364</v>
      </c>
      <c r="C53" s="2" t="s">
        <v>4365</v>
      </c>
    </row>
    <row r="54">
      <c r="A54" s="2" t="s">
        <v>13</v>
      </c>
      <c r="B54" s="2" t="s">
        <v>4364</v>
      </c>
      <c r="C54" s="2" t="s">
        <v>4365</v>
      </c>
    </row>
    <row r="55">
      <c r="A55" s="2" t="s">
        <v>4400</v>
      </c>
      <c r="B55" s="2" t="s">
        <v>4364</v>
      </c>
      <c r="C55" s="2" t="s">
        <v>4365</v>
      </c>
    </row>
    <row r="56">
      <c r="A56" s="2" t="s">
        <v>4418</v>
      </c>
      <c r="B56" s="2" t="s">
        <v>4364</v>
      </c>
      <c r="C56" s="2" t="s">
        <v>4365</v>
      </c>
    </row>
    <row r="57">
      <c r="A57" s="2" t="s">
        <v>4419</v>
      </c>
      <c r="B57" s="2" t="s">
        <v>4364</v>
      </c>
      <c r="C57" s="2" t="s">
        <v>4365</v>
      </c>
    </row>
    <row r="58">
      <c r="A58" s="2" t="s">
        <v>5</v>
      </c>
      <c r="B58" s="2" t="s">
        <v>4364</v>
      </c>
      <c r="C58" s="2" t="s">
        <v>4365</v>
      </c>
    </row>
    <row r="59">
      <c r="A59" s="2" t="s">
        <v>36</v>
      </c>
      <c r="B59" s="2" t="s">
        <v>4364</v>
      </c>
      <c r="C59" s="2" t="s">
        <v>4365</v>
      </c>
    </row>
    <row r="60">
      <c r="A60" s="2" t="s">
        <v>4420</v>
      </c>
      <c r="B60" s="2" t="s">
        <v>4364</v>
      </c>
      <c r="C60" s="2" t="s">
        <v>4365</v>
      </c>
    </row>
    <row r="61">
      <c r="A61" s="2" t="s">
        <v>4421</v>
      </c>
      <c r="B61" s="2" t="s">
        <v>4364</v>
      </c>
      <c r="C61" s="2" t="s">
        <v>4365</v>
      </c>
    </row>
    <row r="62">
      <c r="A62" s="2" t="s">
        <v>32</v>
      </c>
      <c r="B62" s="2" t="s">
        <v>4364</v>
      </c>
      <c r="C62" s="2" t="s">
        <v>4365</v>
      </c>
    </row>
    <row r="63">
      <c r="A63" s="2" t="s">
        <v>24</v>
      </c>
      <c r="B63" s="2" t="s">
        <v>4364</v>
      </c>
      <c r="C63" s="2" t="s">
        <v>4365</v>
      </c>
    </row>
    <row r="64">
      <c r="A64" s="2" t="s">
        <v>4422</v>
      </c>
      <c r="B64" s="2" t="s">
        <v>4364</v>
      </c>
      <c r="C64" s="2" t="s">
        <v>4365</v>
      </c>
    </row>
    <row r="65">
      <c r="A65" s="2" t="s">
        <v>4423</v>
      </c>
      <c r="B65" s="2" t="s">
        <v>4364</v>
      </c>
      <c r="C65" s="2" t="s">
        <v>4365</v>
      </c>
    </row>
    <row r="66">
      <c r="A66" s="2" t="s">
        <v>4424</v>
      </c>
      <c r="B66" s="2" t="s">
        <v>4397</v>
      </c>
      <c r="C66" s="2" t="s">
        <v>4373</v>
      </c>
    </row>
    <row r="67">
      <c r="A67" s="2" t="s">
        <v>516</v>
      </c>
      <c r="B67" s="2" t="s">
        <v>4397</v>
      </c>
      <c r="C67" s="2" t="s">
        <v>4365</v>
      </c>
    </row>
    <row r="68">
      <c r="A68" s="2" t="s">
        <v>4425</v>
      </c>
      <c r="B68" s="2" t="s">
        <v>4397</v>
      </c>
      <c r="C68" s="2" t="s">
        <v>4365</v>
      </c>
    </row>
    <row r="69">
      <c r="A69" s="2" t="s">
        <v>4426</v>
      </c>
      <c r="B69" s="2" t="s">
        <v>4397</v>
      </c>
      <c r="C69" s="2" t="s">
        <v>4365</v>
      </c>
    </row>
    <row r="70">
      <c r="A70" s="2" t="s">
        <v>4427</v>
      </c>
      <c r="B70" s="2" t="s">
        <v>4397</v>
      </c>
      <c r="C70" s="2" t="s">
        <v>4365</v>
      </c>
    </row>
    <row r="71">
      <c r="A71" s="2" t="s">
        <v>4428</v>
      </c>
      <c r="B71" s="2" t="s">
        <v>4397</v>
      </c>
      <c r="C71" s="2" t="s">
        <v>4365</v>
      </c>
    </row>
    <row r="72">
      <c r="A72" s="2" t="s">
        <v>4429</v>
      </c>
      <c r="B72" s="2" t="s">
        <v>4397</v>
      </c>
      <c r="C72" s="2" t="s">
        <v>4365</v>
      </c>
    </row>
    <row r="73">
      <c r="A73" s="2" t="s">
        <v>4430</v>
      </c>
      <c r="B73" s="2" t="s">
        <v>4397</v>
      </c>
      <c r="C73" s="2" t="s">
        <v>4365</v>
      </c>
    </row>
    <row r="74">
      <c r="A74" s="2" t="s">
        <v>3934</v>
      </c>
      <c r="B74" s="2" t="s">
        <v>4397</v>
      </c>
      <c r="C74" s="2" t="s">
        <v>4365</v>
      </c>
    </row>
    <row r="75">
      <c r="A75" s="2" t="s">
        <v>4431</v>
      </c>
      <c r="B75" s="2" t="s">
        <v>4397</v>
      </c>
      <c r="C75" s="2" t="s">
        <v>4365</v>
      </c>
    </row>
    <row r="76">
      <c r="A76" s="2" t="s">
        <v>4432</v>
      </c>
      <c r="B76" s="2" t="s">
        <v>4397</v>
      </c>
      <c r="C76" s="2" t="s">
        <v>4365</v>
      </c>
    </row>
    <row r="77">
      <c r="A77" s="2" t="s">
        <v>4433</v>
      </c>
      <c r="B77" s="2" t="s">
        <v>4397</v>
      </c>
      <c r="C77" s="2" t="s">
        <v>4365</v>
      </c>
    </row>
    <row r="78">
      <c r="A78" s="2" t="s">
        <v>4434</v>
      </c>
      <c r="B78" s="2" t="s">
        <v>4397</v>
      </c>
      <c r="C78" s="2" t="s">
        <v>4365</v>
      </c>
    </row>
    <row r="79">
      <c r="A79" s="2" t="s">
        <v>4435</v>
      </c>
      <c r="B79" s="2" t="s">
        <v>4397</v>
      </c>
      <c r="C79" s="2" t="s">
        <v>4365</v>
      </c>
    </row>
    <row r="80">
      <c r="A80" s="2" t="s">
        <v>4436</v>
      </c>
      <c r="B80" s="2" t="s">
        <v>4397</v>
      </c>
      <c r="C80" s="2" t="s">
        <v>4365</v>
      </c>
    </row>
    <row r="81">
      <c r="A81" s="2" t="s">
        <v>4437</v>
      </c>
      <c r="B81" s="2" t="s">
        <v>4397</v>
      </c>
      <c r="C81" s="2" t="s">
        <v>4365</v>
      </c>
    </row>
    <row r="82">
      <c r="A82" s="2" t="s">
        <v>4438</v>
      </c>
      <c r="B82" s="2" t="s">
        <v>4397</v>
      </c>
      <c r="C82" s="2" t="s">
        <v>4365</v>
      </c>
    </row>
    <row r="83">
      <c r="A83" s="2" t="s">
        <v>4439</v>
      </c>
      <c r="B83" s="2" t="s">
        <v>4397</v>
      </c>
      <c r="C83" s="2" t="s">
        <v>4365</v>
      </c>
    </row>
    <row r="84">
      <c r="A84" s="2" t="s">
        <v>4440</v>
      </c>
      <c r="B84" s="2" t="s">
        <v>4366</v>
      </c>
      <c r="C84" s="2" t="s">
        <v>4365</v>
      </c>
    </row>
    <row r="85">
      <c r="A85" s="2" t="s">
        <v>4441</v>
      </c>
      <c r="B85" s="2" t="s">
        <v>4366</v>
      </c>
      <c r="C85" s="2" t="s">
        <v>4365</v>
      </c>
    </row>
    <row r="86">
      <c r="A86" s="2" t="s">
        <v>4442</v>
      </c>
      <c r="B86" s="2" t="s">
        <v>4366</v>
      </c>
      <c r="C86" s="2" t="s">
        <v>4365</v>
      </c>
    </row>
    <row r="87">
      <c r="A87" s="2" t="s">
        <v>4443</v>
      </c>
      <c r="B87" s="2" t="s">
        <v>4366</v>
      </c>
      <c r="C87" s="2" t="s">
        <v>4365</v>
      </c>
    </row>
    <row r="88">
      <c r="A88" s="2" t="s">
        <v>4444</v>
      </c>
      <c r="B88" s="2" t="s">
        <v>4366</v>
      </c>
      <c r="C88" s="2" t="s">
        <v>4365</v>
      </c>
    </row>
    <row r="89">
      <c r="A89" s="2" t="s">
        <v>4445</v>
      </c>
      <c r="B89" s="2" t="s">
        <v>4366</v>
      </c>
      <c r="C89" s="2" t="s">
        <v>4365</v>
      </c>
    </row>
    <row r="90">
      <c r="A90" s="2" t="s">
        <v>1024</v>
      </c>
      <c r="B90" s="2" t="s">
        <v>4366</v>
      </c>
      <c r="C90" s="2" t="s">
        <v>4373</v>
      </c>
    </row>
    <row r="91">
      <c r="A91" s="2" t="s">
        <v>4446</v>
      </c>
      <c r="B91" s="2" t="s">
        <v>4366</v>
      </c>
      <c r="C91" s="2" t="s">
        <v>4375</v>
      </c>
    </row>
    <row r="92">
      <c r="A92" s="2" t="s">
        <v>4447</v>
      </c>
      <c r="B92" s="2" t="s">
        <v>4366</v>
      </c>
      <c r="C92" s="2" t="s">
        <v>4448</v>
      </c>
    </row>
    <row r="93">
      <c r="A93" s="2" t="s">
        <v>4449</v>
      </c>
      <c r="B93" s="2" t="s">
        <v>4366</v>
      </c>
      <c r="C93" s="2" t="s">
        <v>4390</v>
      </c>
    </row>
    <row r="94">
      <c r="A94" s="2" t="s">
        <v>4450</v>
      </c>
      <c r="B94" s="2" t="s">
        <v>4366</v>
      </c>
      <c r="C94" s="2" t="s">
        <v>4365</v>
      </c>
    </row>
    <row r="95">
      <c r="A95" s="2" t="s">
        <v>4451</v>
      </c>
      <c r="B95" s="2" t="s">
        <v>4366</v>
      </c>
      <c r="C95" s="2" t="s">
        <v>4365</v>
      </c>
    </row>
    <row r="96">
      <c r="A96" s="2" t="s">
        <v>4452</v>
      </c>
      <c r="B96" s="2" t="s">
        <v>4366</v>
      </c>
      <c r="C96" s="2" t="s">
        <v>4365</v>
      </c>
    </row>
    <row r="97">
      <c r="A97" s="2" t="s">
        <v>4453</v>
      </c>
      <c r="B97" s="2" t="s">
        <v>4366</v>
      </c>
      <c r="C97" s="2" t="s">
        <v>4365</v>
      </c>
    </row>
    <row r="98">
      <c r="A98" s="2" t="s">
        <v>4454</v>
      </c>
      <c r="B98" s="2" t="s">
        <v>4366</v>
      </c>
      <c r="C98" s="2" t="s">
        <v>4365</v>
      </c>
    </row>
    <row r="99">
      <c r="A99" s="2" t="s">
        <v>4455</v>
      </c>
      <c r="B99" s="2" t="s">
        <v>4366</v>
      </c>
      <c r="C99" s="2" t="s">
        <v>4365</v>
      </c>
    </row>
    <row r="100">
      <c r="A100" s="2" t="s">
        <v>4456</v>
      </c>
      <c r="B100" s="2" t="s">
        <v>4366</v>
      </c>
      <c r="C100" s="2" t="s">
        <v>4365</v>
      </c>
    </row>
    <row r="101">
      <c r="A101" s="2" t="s">
        <v>4457</v>
      </c>
      <c r="B101" s="2" t="s">
        <v>4366</v>
      </c>
      <c r="C101" s="2" t="s">
        <v>4365</v>
      </c>
    </row>
    <row r="102">
      <c r="A102" s="2" t="s">
        <v>4458</v>
      </c>
      <c r="B102" s="2" t="s">
        <v>4377</v>
      </c>
      <c r="C102" s="2" t="s">
        <v>4365</v>
      </c>
    </row>
    <row r="103">
      <c r="A103" s="2" t="s">
        <v>4459</v>
      </c>
      <c r="B103" s="2" t="s">
        <v>4377</v>
      </c>
      <c r="C103" s="2" t="s">
        <v>4365</v>
      </c>
    </row>
    <row r="104">
      <c r="A104" s="2" t="s">
        <v>4460</v>
      </c>
      <c r="B104" s="2" t="s">
        <v>4377</v>
      </c>
      <c r="C104" s="2" t="s">
        <v>4365</v>
      </c>
    </row>
    <row r="105">
      <c r="A105" s="2" t="s">
        <v>4461</v>
      </c>
      <c r="B105" s="2" t="s">
        <v>4377</v>
      </c>
      <c r="C105" s="2" t="s">
        <v>4365</v>
      </c>
    </row>
    <row r="106">
      <c r="A106" s="2" t="s">
        <v>4462</v>
      </c>
      <c r="B106" s="2" t="s">
        <v>4377</v>
      </c>
      <c r="C106" s="2" t="s">
        <v>4365</v>
      </c>
    </row>
    <row r="107">
      <c r="A107" s="2" t="s">
        <v>4463</v>
      </c>
      <c r="B107" s="2" t="s">
        <v>4377</v>
      </c>
      <c r="C107" s="2" t="s">
        <v>4365</v>
      </c>
    </row>
    <row r="108">
      <c r="A108" s="2" t="s">
        <v>4464</v>
      </c>
      <c r="B108" s="2" t="s">
        <v>4377</v>
      </c>
      <c r="C108" s="2" t="s">
        <v>4373</v>
      </c>
    </row>
    <row r="109">
      <c r="A109" s="2" t="s">
        <v>4465</v>
      </c>
      <c r="B109" s="2" t="s">
        <v>4377</v>
      </c>
      <c r="C109" s="2" t="s">
        <v>4365</v>
      </c>
    </row>
    <row r="110">
      <c r="A110" s="2" t="s">
        <v>4466</v>
      </c>
      <c r="B110" s="2" t="s">
        <v>4377</v>
      </c>
      <c r="C110" s="2" t="s">
        <v>4365</v>
      </c>
    </row>
    <row r="111">
      <c r="A111" s="2" t="s">
        <v>4467</v>
      </c>
      <c r="B111" s="2" t="s">
        <v>4377</v>
      </c>
      <c r="C111" s="2" t="s">
        <v>4365</v>
      </c>
    </row>
    <row r="112">
      <c r="A112" s="2" t="s">
        <v>4468</v>
      </c>
      <c r="B112" s="2" t="s">
        <v>4377</v>
      </c>
      <c r="C112" s="2" t="s">
        <v>4365</v>
      </c>
    </row>
    <row r="113">
      <c r="A113" s="2" t="s">
        <v>4469</v>
      </c>
      <c r="B113" s="2" t="s">
        <v>4377</v>
      </c>
      <c r="C113" s="2" t="s">
        <v>4375</v>
      </c>
    </row>
    <row r="114">
      <c r="A114" s="2" t="s">
        <v>4470</v>
      </c>
      <c r="B114" s="2" t="s">
        <v>4381</v>
      </c>
      <c r="C114" s="2" t="s">
        <v>4365</v>
      </c>
    </row>
    <row r="115">
      <c r="A115" s="2" t="s">
        <v>4471</v>
      </c>
      <c r="B115" s="2" t="s">
        <v>4381</v>
      </c>
      <c r="C115" s="2" t="s">
        <v>4365</v>
      </c>
    </row>
    <row r="116">
      <c r="A116" s="2" t="s">
        <v>4134</v>
      </c>
      <c r="B116" s="2" t="s">
        <v>4381</v>
      </c>
      <c r="C116" s="2" t="s">
        <v>4365</v>
      </c>
    </row>
    <row r="117">
      <c r="A117" s="2" t="s">
        <v>4472</v>
      </c>
      <c r="B117" s="2" t="s">
        <v>4381</v>
      </c>
      <c r="C117" s="2" t="s">
        <v>4373</v>
      </c>
    </row>
    <row r="118">
      <c r="A118" s="2" t="s">
        <v>4055</v>
      </c>
      <c r="B118" s="2" t="s">
        <v>4381</v>
      </c>
      <c r="C118" s="2" t="s">
        <v>4365</v>
      </c>
    </row>
    <row r="119">
      <c r="A119" s="2" t="s">
        <v>4473</v>
      </c>
      <c r="B119" s="2" t="s">
        <v>4381</v>
      </c>
      <c r="C119" s="2" t="s">
        <v>4365</v>
      </c>
    </row>
    <row r="120">
      <c r="A120" s="2" t="s">
        <v>4474</v>
      </c>
      <c r="B120" s="2" t="s">
        <v>4381</v>
      </c>
      <c r="C120" s="2" t="s">
        <v>4365</v>
      </c>
    </row>
    <row r="121">
      <c r="A121" s="2" t="s">
        <v>4475</v>
      </c>
      <c r="B121" s="2" t="s">
        <v>4386</v>
      </c>
      <c r="C121" s="2" t="s">
        <v>4365</v>
      </c>
    </row>
    <row r="122">
      <c r="A122" s="2" t="s">
        <v>4476</v>
      </c>
      <c r="B122" s="2" t="s">
        <v>4386</v>
      </c>
      <c r="C122" s="2" t="s">
        <v>4365</v>
      </c>
    </row>
    <row r="123">
      <c r="A123" s="2" t="s">
        <v>4477</v>
      </c>
      <c r="B123" s="2" t="s">
        <v>4386</v>
      </c>
      <c r="C123" s="2" t="s">
        <v>4365</v>
      </c>
    </row>
    <row r="124">
      <c r="A124" s="2" t="s">
        <v>4478</v>
      </c>
      <c r="B124" s="2" t="s">
        <v>4386</v>
      </c>
      <c r="C124" s="2" t="s">
        <v>4448</v>
      </c>
    </row>
    <row r="125">
      <c r="A125" s="2" t="s">
        <v>4479</v>
      </c>
      <c r="B125" s="2" t="s">
        <v>4386</v>
      </c>
      <c r="C125" s="2" t="s">
        <v>4365</v>
      </c>
    </row>
    <row r="126">
      <c r="A126" s="2" t="s">
        <v>4480</v>
      </c>
      <c r="B126" s="2" t="s">
        <v>4386</v>
      </c>
      <c r="C126" s="2" t="s">
        <v>4365</v>
      </c>
    </row>
    <row r="127">
      <c r="A127" s="2" t="s">
        <v>4481</v>
      </c>
      <c r="B127" s="2" t="s">
        <v>4386</v>
      </c>
      <c r="C127" s="2" t="s">
        <v>4365</v>
      </c>
    </row>
    <row r="128">
      <c r="A128" s="2" t="s">
        <v>4482</v>
      </c>
      <c r="B128" s="2" t="s">
        <v>4386</v>
      </c>
      <c r="C128" s="2" t="s">
        <v>4365</v>
      </c>
    </row>
    <row r="129">
      <c r="A129" s="2" t="s">
        <v>4483</v>
      </c>
      <c r="B129" s="2" t="s">
        <v>4386</v>
      </c>
      <c r="C129" s="2" t="s">
        <v>4365</v>
      </c>
    </row>
    <row r="130">
      <c r="A130" s="2" t="s">
        <v>4484</v>
      </c>
      <c r="B130" s="2" t="s">
        <v>4386</v>
      </c>
      <c r="C130" s="2" t="s">
        <v>4365</v>
      </c>
    </row>
    <row r="131">
      <c r="A131" s="2" t="s">
        <v>4485</v>
      </c>
      <c r="B131" s="2" t="s">
        <v>4386</v>
      </c>
      <c r="C131" s="2" t="s">
        <v>4365</v>
      </c>
    </row>
    <row r="132">
      <c r="A132" s="2" t="s">
        <v>4486</v>
      </c>
      <c r="B132" s="2" t="s">
        <v>4386</v>
      </c>
      <c r="C132" s="2" t="s">
        <v>4365</v>
      </c>
    </row>
    <row r="133">
      <c r="A133" s="2" t="s">
        <v>4487</v>
      </c>
      <c r="B133" s="2" t="s">
        <v>4386</v>
      </c>
      <c r="C133" s="2" t="s">
        <v>4365</v>
      </c>
    </row>
    <row r="134">
      <c r="A134" s="2" t="s">
        <v>4488</v>
      </c>
      <c r="B134" s="2" t="s">
        <v>4386</v>
      </c>
      <c r="C134" s="2" t="s">
        <v>4365</v>
      </c>
    </row>
    <row r="135">
      <c r="A135" s="2" t="s">
        <v>4489</v>
      </c>
      <c r="B135" s="2" t="s">
        <v>4386</v>
      </c>
      <c r="C135" s="2" t="s">
        <v>4365</v>
      </c>
    </row>
    <row r="136">
      <c r="A136" s="2" t="s">
        <v>2376</v>
      </c>
      <c r="B136" s="2" t="s">
        <v>4386</v>
      </c>
      <c r="C136" s="2" t="s">
        <v>4365</v>
      </c>
    </row>
    <row r="137">
      <c r="A137" s="2" t="s">
        <v>1338</v>
      </c>
      <c r="B137" s="2" t="s">
        <v>4392</v>
      </c>
      <c r="C137" s="2" t="s">
        <v>4365</v>
      </c>
    </row>
    <row r="138">
      <c r="A138" s="2" t="s">
        <v>1339</v>
      </c>
      <c r="B138" s="2" t="s">
        <v>4392</v>
      </c>
      <c r="C138" s="2" t="s">
        <v>4365</v>
      </c>
    </row>
    <row r="139">
      <c r="A139" s="2" t="s">
        <v>4490</v>
      </c>
      <c r="B139" s="2" t="s">
        <v>4392</v>
      </c>
      <c r="C139" s="2" t="s">
        <v>4365</v>
      </c>
    </row>
    <row r="140">
      <c r="A140" s="2" t="s">
        <v>4491</v>
      </c>
      <c r="B140" s="2" t="s">
        <v>4392</v>
      </c>
      <c r="C140" s="2" t="s">
        <v>4365</v>
      </c>
    </row>
    <row r="141">
      <c r="A141" s="2" t="s">
        <v>4492</v>
      </c>
      <c r="B141" s="2" t="s">
        <v>4392</v>
      </c>
      <c r="C141" s="2" t="s">
        <v>4365</v>
      </c>
    </row>
    <row r="142">
      <c r="A142" s="2" t="s">
        <v>4493</v>
      </c>
      <c r="B142" s="2" t="s">
        <v>4392</v>
      </c>
      <c r="C142" s="2" t="s">
        <v>4365</v>
      </c>
    </row>
    <row r="143">
      <c r="A143" s="2" t="s">
        <v>4494</v>
      </c>
      <c r="B143" s="2" t="s">
        <v>4392</v>
      </c>
      <c r="C143" s="2" t="s">
        <v>4365</v>
      </c>
    </row>
    <row r="144">
      <c r="A144" s="2" t="s">
        <v>4495</v>
      </c>
      <c r="B144" s="2" t="s">
        <v>4394</v>
      </c>
      <c r="C144" s="2" t="s">
        <v>4365</v>
      </c>
    </row>
    <row r="145">
      <c r="A145" s="2" t="s">
        <v>1451</v>
      </c>
      <c r="B145" s="2" t="s">
        <v>4394</v>
      </c>
      <c r="C145" s="2" t="s">
        <v>4365</v>
      </c>
    </row>
    <row r="146">
      <c r="A146" s="2" t="s">
        <v>620</v>
      </c>
      <c r="B146" s="2" t="s">
        <v>4394</v>
      </c>
      <c r="C146" s="2" t="s">
        <v>4365</v>
      </c>
    </row>
    <row r="147">
      <c r="A147" s="2" t="s">
        <v>4496</v>
      </c>
      <c r="B147" s="2" t="s">
        <v>4394</v>
      </c>
      <c r="C147" s="2" t="s">
        <v>4365</v>
      </c>
    </row>
    <row r="148">
      <c r="A148" s="2" t="s">
        <v>4497</v>
      </c>
      <c r="B148" s="2" t="s">
        <v>4394</v>
      </c>
      <c r="C148" s="2" t="s">
        <v>4365</v>
      </c>
    </row>
    <row r="149">
      <c r="A149" s="2" t="s">
        <v>4498</v>
      </c>
      <c r="B149" s="2" t="s">
        <v>4394</v>
      </c>
      <c r="C149" s="2" t="s">
        <v>4365</v>
      </c>
    </row>
    <row r="150">
      <c r="A150" s="2" t="s">
        <v>4499</v>
      </c>
      <c r="B150" s="2" t="s">
        <v>4394</v>
      </c>
      <c r="C150" s="2" t="s">
        <v>4365</v>
      </c>
    </row>
    <row r="151">
      <c r="A151" s="2" t="s">
        <v>4500</v>
      </c>
      <c r="B151" s="2" t="s">
        <v>4394</v>
      </c>
      <c r="C151" s="2" t="s">
        <v>4365</v>
      </c>
    </row>
    <row r="152">
      <c r="A152" s="2" t="s">
        <v>4501</v>
      </c>
      <c r="B152" s="2" t="s">
        <v>4394</v>
      </c>
      <c r="C152" s="2" t="s">
        <v>4365</v>
      </c>
    </row>
    <row r="153">
      <c r="A153" s="2" t="s">
        <v>4502</v>
      </c>
      <c r="B153" s="2" t="s">
        <v>4394</v>
      </c>
      <c r="C153" s="2" t="s">
        <v>4365</v>
      </c>
    </row>
    <row r="154">
      <c r="A154" s="2" t="s">
        <v>4503</v>
      </c>
      <c r="B154" s="2" t="s">
        <v>4394</v>
      </c>
      <c r="C154" s="2" t="s">
        <v>4365</v>
      </c>
    </row>
    <row r="155">
      <c r="A155" s="2" t="s">
        <v>4504</v>
      </c>
      <c r="B155" s="2" t="s">
        <v>4404</v>
      </c>
      <c r="C155" s="2" t="s">
        <v>4365</v>
      </c>
    </row>
    <row r="156">
      <c r="A156" s="2" t="s">
        <v>4505</v>
      </c>
      <c r="B156" s="2" t="s">
        <v>4404</v>
      </c>
      <c r="C156" s="2" t="s">
        <v>4365</v>
      </c>
    </row>
    <row r="157">
      <c r="A157" s="2" t="s">
        <v>4506</v>
      </c>
      <c r="B157" s="2" t="s">
        <v>4404</v>
      </c>
      <c r="C157" s="2" t="s">
        <v>4365</v>
      </c>
    </row>
    <row r="158">
      <c r="A158" s="2" t="s">
        <v>4507</v>
      </c>
      <c r="B158" s="2" t="s">
        <v>4404</v>
      </c>
      <c r="C158" s="2" t="s">
        <v>4365</v>
      </c>
    </row>
    <row r="159">
      <c r="A159" s="2" t="s">
        <v>4508</v>
      </c>
      <c r="B159" s="2" t="s">
        <v>4404</v>
      </c>
      <c r="C159" s="2" t="s">
        <v>4365</v>
      </c>
    </row>
    <row r="160">
      <c r="A160" s="2" t="s">
        <v>4509</v>
      </c>
      <c r="B160" s="2" t="s">
        <v>4404</v>
      </c>
      <c r="C160" s="2" t="s">
        <v>4365</v>
      </c>
    </row>
    <row r="161">
      <c r="A161" s="2" t="s">
        <v>4510</v>
      </c>
      <c r="B161" s="2" t="s">
        <v>4404</v>
      </c>
      <c r="C161" s="2" t="s">
        <v>4365</v>
      </c>
    </row>
    <row r="162">
      <c r="A162" s="2" t="s">
        <v>4511</v>
      </c>
      <c r="B162" s="2" t="s">
        <v>4404</v>
      </c>
      <c r="C162" s="2" t="s">
        <v>4365</v>
      </c>
    </row>
    <row r="163">
      <c r="A163" s="2" t="s">
        <v>4512</v>
      </c>
      <c r="B163" s="2" t="s">
        <v>4404</v>
      </c>
      <c r="C163" s="2" t="s">
        <v>4365</v>
      </c>
    </row>
    <row r="164">
      <c r="A164" s="2" t="s">
        <v>4513</v>
      </c>
      <c r="B164" s="2" t="s">
        <v>4404</v>
      </c>
      <c r="C164" s="2" t="s">
        <v>4365</v>
      </c>
    </row>
    <row r="165">
      <c r="A165" s="2" t="s">
        <v>4514</v>
      </c>
      <c r="B165" s="2" t="s">
        <v>4404</v>
      </c>
      <c r="C165" s="2" t="s">
        <v>4365</v>
      </c>
    </row>
    <row r="166">
      <c r="A166" s="2" t="s">
        <v>4515</v>
      </c>
      <c r="B166" s="2" t="s">
        <v>4407</v>
      </c>
      <c r="C166" s="2" t="s">
        <v>4365</v>
      </c>
    </row>
    <row r="167">
      <c r="A167" s="2" t="s">
        <v>2232</v>
      </c>
      <c r="B167" s="2" t="s">
        <v>4407</v>
      </c>
      <c r="C167" s="2" t="s">
        <v>4365</v>
      </c>
    </row>
    <row r="168">
      <c r="A168" s="2" t="s">
        <v>4516</v>
      </c>
      <c r="B168" s="2" t="s">
        <v>4407</v>
      </c>
      <c r="C168" s="2" t="s">
        <v>4365</v>
      </c>
    </row>
    <row r="169">
      <c r="A169" s="2" t="s">
        <v>2191</v>
      </c>
      <c r="B169" s="2" t="s">
        <v>4407</v>
      </c>
      <c r="C169" s="2" t="s">
        <v>4365</v>
      </c>
    </row>
    <row r="170">
      <c r="A170" s="2" t="s">
        <v>2203</v>
      </c>
      <c r="B170" s="2" t="s">
        <v>4407</v>
      </c>
      <c r="C170" s="2" t="s">
        <v>4365</v>
      </c>
    </row>
    <row r="171">
      <c r="A171" s="2" t="s">
        <v>4517</v>
      </c>
      <c r="B171" s="2" t="s">
        <v>4407</v>
      </c>
      <c r="C171" s="2" t="s">
        <v>4365</v>
      </c>
    </row>
    <row r="172">
      <c r="A172" s="2" t="s">
        <v>2237</v>
      </c>
      <c r="B172" s="2" t="s">
        <v>4407</v>
      </c>
      <c r="C172" s="2" t="s">
        <v>4365</v>
      </c>
    </row>
    <row r="173">
      <c r="A173" s="2" t="s">
        <v>3713</v>
      </c>
      <c r="B173" s="2" t="s">
        <v>4410</v>
      </c>
      <c r="C173" s="2" t="s">
        <v>4365</v>
      </c>
    </row>
    <row r="174">
      <c r="A174" s="2" t="s">
        <v>3786</v>
      </c>
      <c r="B174" s="2" t="s">
        <v>4410</v>
      </c>
      <c r="C174" s="2" t="s">
        <v>4365</v>
      </c>
    </row>
    <row r="175">
      <c r="A175" s="2" t="s">
        <v>3767</v>
      </c>
      <c r="B175" s="2" t="s">
        <v>4410</v>
      </c>
      <c r="C175" s="2" t="s">
        <v>4365</v>
      </c>
    </row>
    <row r="176">
      <c r="A176" s="2" t="s">
        <v>3766</v>
      </c>
      <c r="B176" s="2" t="s">
        <v>4410</v>
      </c>
      <c r="C176" s="2" t="s">
        <v>4365</v>
      </c>
    </row>
    <row r="177">
      <c r="A177" s="2" t="s">
        <v>3772</v>
      </c>
      <c r="B177" s="2" t="s">
        <v>4410</v>
      </c>
      <c r="C177" s="2" t="s">
        <v>4365</v>
      </c>
    </row>
    <row r="178">
      <c r="A178" s="2" t="s">
        <v>3776</v>
      </c>
      <c r="B178" s="2" t="s">
        <v>4410</v>
      </c>
      <c r="C178" s="2" t="s">
        <v>4365</v>
      </c>
    </row>
    <row r="179">
      <c r="A179" s="2" t="s">
        <v>4518</v>
      </c>
      <c r="B179" s="2" t="s">
        <v>4410</v>
      </c>
      <c r="C179" s="2" t="s">
        <v>4365</v>
      </c>
    </row>
    <row r="180">
      <c r="A180" s="2" t="s">
        <v>4519</v>
      </c>
      <c r="B180" s="2" t="s">
        <v>4410</v>
      </c>
      <c r="C180" s="2" t="s">
        <v>4365</v>
      </c>
    </row>
    <row r="181">
      <c r="A181" s="2" t="s">
        <v>4520</v>
      </c>
      <c r="B181" s="2" t="s">
        <v>4410</v>
      </c>
      <c r="C181" s="2" t="s">
        <v>4365</v>
      </c>
    </row>
    <row r="182">
      <c r="A182" s="2" t="s">
        <v>3724</v>
      </c>
      <c r="B182" s="2" t="s">
        <v>4410</v>
      </c>
      <c r="C182" s="2" t="s">
        <v>4365</v>
      </c>
    </row>
    <row r="183">
      <c r="A183" s="2" t="s">
        <v>4521</v>
      </c>
      <c r="B183" s="2" t="s">
        <v>4412</v>
      </c>
      <c r="C183" s="2" t="s">
        <v>4365</v>
      </c>
    </row>
    <row r="184">
      <c r="A184" s="2" t="s">
        <v>4522</v>
      </c>
      <c r="B184" s="2" t="s">
        <v>4412</v>
      </c>
      <c r="C184" s="2" t="s">
        <v>4365</v>
      </c>
    </row>
    <row r="185">
      <c r="A185" s="2" t="s">
        <v>4523</v>
      </c>
      <c r="B185" s="2" t="s">
        <v>4412</v>
      </c>
      <c r="C185" s="2" t="s">
        <v>4365</v>
      </c>
    </row>
    <row r="186">
      <c r="A186" s="2" t="s">
        <v>4524</v>
      </c>
      <c r="B186" s="2" t="s">
        <v>4412</v>
      </c>
      <c r="C186" s="2" t="s">
        <v>4365</v>
      </c>
    </row>
    <row r="187">
      <c r="A187" s="2" t="s">
        <v>4525</v>
      </c>
      <c r="B187" s="2" t="s">
        <v>4412</v>
      </c>
      <c r="C187" s="2" t="s">
        <v>4365</v>
      </c>
    </row>
    <row r="188">
      <c r="A188" s="2" t="s">
        <v>4526</v>
      </c>
      <c r="B188" s="2" t="s">
        <v>4412</v>
      </c>
      <c r="C188" s="2" t="s">
        <v>4365</v>
      </c>
    </row>
    <row r="189">
      <c r="A189" s="2" t="s">
        <v>4527</v>
      </c>
      <c r="B189" s="2" t="s">
        <v>4528</v>
      </c>
      <c r="C189" s="2" t="s">
        <v>4365</v>
      </c>
    </row>
    <row r="190">
      <c r="A190" s="2" t="s">
        <v>4529</v>
      </c>
      <c r="B190" s="2" t="s">
        <v>4528</v>
      </c>
      <c r="C190" s="2" t="s">
        <v>4365</v>
      </c>
    </row>
    <row r="191">
      <c r="A191" s="2" t="s">
        <v>853</v>
      </c>
      <c r="B191" s="2" t="s">
        <v>4528</v>
      </c>
      <c r="C191" s="2" t="s">
        <v>4365</v>
      </c>
    </row>
    <row r="192">
      <c r="A192" s="2" t="s">
        <v>4530</v>
      </c>
      <c r="B192" s="2" t="s">
        <v>4528</v>
      </c>
      <c r="C192" s="2" t="s">
        <v>4365</v>
      </c>
    </row>
    <row r="193">
      <c r="A193" s="2" t="s">
        <v>4531</v>
      </c>
      <c r="B193" s="2" t="s">
        <v>4528</v>
      </c>
      <c r="C193" s="2" t="s">
        <v>4365</v>
      </c>
    </row>
    <row r="194">
      <c r="A194" s="2" t="s">
        <v>4532</v>
      </c>
      <c r="B194" s="2" t="s">
        <v>4528</v>
      </c>
      <c r="C194" s="2" t="s">
        <v>4365</v>
      </c>
    </row>
    <row r="195">
      <c r="A195" s="2" t="s">
        <v>4533</v>
      </c>
      <c r="B195" s="2" t="s">
        <v>4528</v>
      </c>
      <c r="C195" s="2" t="s">
        <v>4365</v>
      </c>
    </row>
    <row r="196">
      <c r="A196" s="2" t="s">
        <v>4534</v>
      </c>
      <c r="B196" s="2" t="s">
        <v>4528</v>
      </c>
      <c r="C196" s="2" t="s">
        <v>4365</v>
      </c>
    </row>
    <row r="197">
      <c r="A197" s="2" t="s">
        <v>4535</v>
      </c>
      <c r="B197" s="2" t="s">
        <v>4528</v>
      </c>
      <c r="C197" s="2" t="s">
        <v>4365</v>
      </c>
    </row>
    <row r="198">
      <c r="A198" s="2" t="s">
        <v>4536</v>
      </c>
      <c r="B198" s="2" t="s">
        <v>4528</v>
      </c>
      <c r="C198" s="2" t="s">
        <v>4365</v>
      </c>
    </row>
    <row r="199">
      <c r="A199" s="2" t="s">
        <v>4537</v>
      </c>
      <c r="B199" s="2" t="s">
        <v>4371</v>
      </c>
      <c r="C199" s="2" t="s">
        <v>4365</v>
      </c>
    </row>
    <row r="200">
      <c r="A200" s="2" t="s">
        <v>4538</v>
      </c>
      <c r="B200" s="2" t="s">
        <v>4371</v>
      </c>
      <c r="C200" s="2" t="s">
        <v>4365</v>
      </c>
    </row>
    <row r="201">
      <c r="A201" s="2" t="s">
        <v>4539</v>
      </c>
      <c r="B201" s="2" t="s">
        <v>4371</v>
      </c>
      <c r="C201" s="2" t="s">
        <v>4365</v>
      </c>
    </row>
    <row r="202">
      <c r="A202" s="2" t="s">
        <v>4540</v>
      </c>
      <c r="B202" s="2" t="s">
        <v>4371</v>
      </c>
      <c r="C202" s="2" t="s">
        <v>4365</v>
      </c>
    </row>
    <row r="203">
      <c r="A203" s="2" t="s">
        <v>4541</v>
      </c>
      <c r="B203" s="2" t="s">
        <v>4371</v>
      </c>
      <c r="C203" s="2" t="s">
        <v>4365</v>
      </c>
    </row>
    <row r="204">
      <c r="A204" s="2" t="s">
        <v>4542</v>
      </c>
      <c r="B204" s="2" t="s">
        <v>4371</v>
      </c>
      <c r="C204" s="2" t="s">
        <v>4365</v>
      </c>
    </row>
    <row r="205">
      <c r="A205" s="2" t="s">
        <v>4543</v>
      </c>
      <c r="B205" s="2" t="s">
        <v>4371</v>
      </c>
      <c r="C205" s="2" t="s">
        <v>4365</v>
      </c>
    </row>
    <row r="206">
      <c r="A206" s="2" t="s">
        <v>1757</v>
      </c>
      <c r="B206" s="2" t="s">
        <v>4371</v>
      </c>
      <c r="C206" s="2" t="s">
        <v>4448</v>
      </c>
    </row>
    <row r="207">
      <c r="A207" s="2" t="s">
        <v>4544</v>
      </c>
      <c r="B207" s="2" t="s">
        <v>4371</v>
      </c>
      <c r="C207" s="2" t="s">
        <v>4390</v>
      </c>
    </row>
    <row r="208">
      <c r="A208" s="2" t="s">
        <v>4545</v>
      </c>
      <c r="B208" s="2" t="s">
        <v>4371</v>
      </c>
      <c r="C208" s="2" t="s">
        <v>4365</v>
      </c>
    </row>
    <row r="209">
      <c r="A209" s="2" t="s">
        <v>4546</v>
      </c>
      <c r="B209" s="2" t="s">
        <v>4371</v>
      </c>
      <c r="C209" s="2" t="s">
        <v>4365</v>
      </c>
    </row>
    <row r="210">
      <c r="A210" s="2" t="s">
        <v>4547</v>
      </c>
      <c r="B210" s="2" t="s">
        <v>4371</v>
      </c>
      <c r="C210" s="2" t="s">
        <v>4365</v>
      </c>
    </row>
    <row r="211">
      <c r="A211" s="2" t="s">
        <v>4548</v>
      </c>
      <c r="B211" s="2" t="s">
        <v>4371</v>
      </c>
      <c r="C211" s="2" t="s">
        <v>4365</v>
      </c>
    </row>
    <row r="212">
      <c r="A212" s="2" t="s">
        <v>1542</v>
      </c>
      <c r="B212" s="2" t="s">
        <v>4371</v>
      </c>
      <c r="C212" s="2" t="s">
        <v>4365</v>
      </c>
    </row>
    <row r="213">
      <c r="A213" s="2" t="s">
        <v>4549</v>
      </c>
      <c r="B213" s="2" t="s">
        <v>4371</v>
      </c>
      <c r="C213" s="2" t="s">
        <v>4365</v>
      </c>
    </row>
    <row r="214">
      <c r="A214" s="2" t="s">
        <v>4550</v>
      </c>
      <c r="B214" s="2" t="s">
        <v>4371</v>
      </c>
      <c r="C214" s="2" t="s">
        <v>4365</v>
      </c>
    </row>
    <row r="215">
      <c r="A215" s="2" t="s">
        <v>4551</v>
      </c>
      <c r="B215" s="2" t="s">
        <v>4371</v>
      </c>
      <c r="C215" s="2" t="s">
        <v>4365</v>
      </c>
    </row>
    <row r="216">
      <c r="A216" s="2" t="s">
        <v>4552</v>
      </c>
      <c r="B216" s="2" t="s">
        <v>4371</v>
      </c>
      <c r="C216" s="2" t="s">
        <v>4365</v>
      </c>
    </row>
    <row r="217">
      <c r="A217" s="2" t="s">
        <v>4553</v>
      </c>
      <c r="B217" s="2" t="s">
        <v>4371</v>
      </c>
      <c r="C217" s="2" t="s">
        <v>4365</v>
      </c>
    </row>
    <row r="218">
      <c r="A218" s="2" t="s">
        <v>1959</v>
      </c>
      <c r="B218" s="2" t="s">
        <v>4402</v>
      </c>
      <c r="C218" s="2" t="s">
        <v>4365</v>
      </c>
    </row>
    <row r="219">
      <c r="A219" s="2" t="s">
        <v>4554</v>
      </c>
      <c r="B219" s="2" t="s">
        <v>4402</v>
      </c>
      <c r="C219" s="2" t="s">
        <v>4365</v>
      </c>
    </row>
    <row r="220">
      <c r="A220" s="2" t="s">
        <v>2044</v>
      </c>
      <c r="B220" s="2" t="s">
        <v>4402</v>
      </c>
      <c r="C220" s="2" t="s">
        <v>4365</v>
      </c>
    </row>
    <row r="221">
      <c r="A221" s="2" t="s">
        <v>4555</v>
      </c>
      <c r="B221" s="2" t="s">
        <v>4402</v>
      </c>
      <c r="C221" s="2" t="s">
        <v>4365</v>
      </c>
    </row>
    <row r="222">
      <c r="A222" s="2" t="s">
        <v>4556</v>
      </c>
      <c r="B222" s="2" t="s">
        <v>4402</v>
      </c>
      <c r="C222" s="2" t="s">
        <v>4365</v>
      </c>
    </row>
    <row r="223">
      <c r="A223" s="2" t="s">
        <v>4557</v>
      </c>
      <c r="B223" s="2" t="s">
        <v>4402</v>
      </c>
      <c r="C223" s="2" t="s">
        <v>4365</v>
      </c>
    </row>
    <row r="224">
      <c r="A224" s="2" t="s">
        <v>4558</v>
      </c>
      <c r="B224" s="2" t="s">
        <v>4402</v>
      </c>
      <c r="C224" s="2" t="s">
        <v>4365</v>
      </c>
    </row>
    <row r="225">
      <c r="A225" s="2" t="s">
        <v>4559</v>
      </c>
      <c r="B225" s="2" t="s">
        <v>4560</v>
      </c>
      <c r="C225" s="2" t="s">
        <v>4365</v>
      </c>
    </row>
    <row r="226">
      <c r="A226" s="2" t="s">
        <v>4561</v>
      </c>
      <c r="B226" s="2" t="s">
        <v>4560</v>
      </c>
      <c r="C226" s="2" t="s">
        <v>4365</v>
      </c>
    </row>
    <row r="227">
      <c r="A227" s="2" t="s">
        <v>4562</v>
      </c>
      <c r="B227" s="2" t="s">
        <v>4560</v>
      </c>
      <c r="C227" s="2" t="s">
        <v>4365</v>
      </c>
    </row>
    <row r="228">
      <c r="A228" s="2" t="s">
        <v>4563</v>
      </c>
      <c r="B228" s="2" t="s">
        <v>4560</v>
      </c>
      <c r="C228" s="2" t="s">
        <v>4365</v>
      </c>
    </row>
    <row r="229">
      <c r="A229" s="2" t="s">
        <v>4564</v>
      </c>
      <c r="B229" s="2" t="s">
        <v>4560</v>
      </c>
      <c r="C229" s="2" t="s">
        <v>4365</v>
      </c>
    </row>
    <row r="230">
      <c r="A230" s="2" t="s">
        <v>4565</v>
      </c>
      <c r="B230" s="2" t="s">
        <v>4560</v>
      </c>
      <c r="C230" s="2" t="s">
        <v>4365</v>
      </c>
    </row>
    <row r="231">
      <c r="A231" s="2" t="s">
        <v>4566</v>
      </c>
      <c r="B231" s="2" t="s">
        <v>4560</v>
      </c>
      <c r="C231" s="2" t="s">
        <v>4365</v>
      </c>
    </row>
    <row r="232">
      <c r="A232" s="2" t="s">
        <v>4567</v>
      </c>
      <c r="B232" s="2" t="s">
        <v>4560</v>
      </c>
      <c r="C232" s="2" t="s">
        <v>4365</v>
      </c>
    </row>
    <row r="233">
      <c r="A233" s="2" t="s">
        <v>4568</v>
      </c>
      <c r="B233" s="2" t="s">
        <v>4560</v>
      </c>
      <c r="C233" s="2" t="s">
        <v>4365</v>
      </c>
    </row>
    <row r="234">
      <c r="A234" s="2" t="s">
        <v>4569</v>
      </c>
      <c r="B234" s="2" t="s">
        <v>4560</v>
      </c>
      <c r="C234" s="2" t="s">
        <v>4365</v>
      </c>
    </row>
    <row r="235">
      <c r="A235" s="2" t="s">
        <v>4570</v>
      </c>
      <c r="B235" s="2" t="s">
        <v>4560</v>
      </c>
      <c r="C235" s="2" t="s">
        <v>4365</v>
      </c>
    </row>
    <row r="236">
      <c r="A236" s="2" t="s">
        <v>4571</v>
      </c>
      <c r="B236" s="2" t="s">
        <v>4560</v>
      </c>
      <c r="C236" s="2" t="s">
        <v>4365</v>
      </c>
    </row>
    <row r="237">
      <c r="A237" s="2" t="s">
        <v>4572</v>
      </c>
      <c r="B237" s="2" t="s">
        <v>4560</v>
      </c>
      <c r="C237" s="2" t="s">
        <v>4365</v>
      </c>
    </row>
    <row r="238">
      <c r="A238" s="2" t="s">
        <v>4573</v>
      </c>
      <c r="B238" s="2" t="s">
        <v>4560</v>
      </c>
      <c r="C238" s="2" t="s">
        <v>4365</v>
      </c>
    </row>
    <row r="239">
      <c r="A239" s="2" t="s">
        <v>4574</v>
      </c>
      <c r="B239" s="2" t="s">
        <v>4560</v>
      </c>
      <c r="C239" s="2" t="s">
        <v>4375</v>
      </c>
    </row>
    <row r="240">
      <c r="A240" s="2" t="s">
        <v>4575</v>
      </c>
      <c r="B240" s="2" t="s">
        <v>4560</v>
      </c>
      <c r="C240" s="2" t="s">
        <v>4373</v>
      </c>
    </row>
    <row r="241">
      <c r="A241" s="2" t="s">
        <v>4576</v>
      </c>
      <c r="B241" s="2" t="s">
        <v>4577</v>
      </c>
      <c r="C241" s="2" t="s">
        <v>4365</v>
      </c>
    </row>
    <row r="242">
      <c r="A242" s="2" t="s">
        <v>4578</v>
      </c>
      <c r="B242" s="2" t="s">
        <v>4577</v>
      </c>
      <c r="C242" s="2" t="s">
        <v>4365</v>
      </c>
    </row>
    <row r="243">
      <c r="A243" s="2" t="s">
        <v>4579</v>
      </c>
      <c r="B243" s="2" t="s">
        <v>4577</v>
      </c>
      <c r="C243" s="2" t="s">
        <v>4365</v>
      </c>
    </row>
    <row r="244">
      <c r="A244" s="2" t="s">
        <v>4580</v>
      </c>
      <c r="B244" s="2" t="s">
        <v>4577</v>
      </c>
      <c r="C244" s="2" t="s">
        <v>4365</v>
      </c>
    </row>
    <row r="245">
      <c r="A245" s="2" t="s">
        <v>4581</v>
      </c>
      <c r="B245" s="2" t="s">
        <v>4577</v>
      </c>
      <c r="C245" s="2" t="s">
        <v>4365</v>
      </c>
    </row>
    <row r="246">
      <c r="A246" s="2" t="s">
        <v>4582</v>
      </c>
      <c r="B246" s="2" t="s">
        <v>4577</v>
      </c>
      <c r="C246" s="2" t="s">
        <v>4365</v>
      </c>
    </row>
    <row r="247">
      <c r="A247" s="2" t="s">
        <v>4583</v>
      </c>
      <c r="B247" s="2" t="s">
        <v>4577</v>
      </c>
      <c r="C247" s="2" t="s">
        <v>4365</v>
      </c>
    </row>
    <row r="248">
      <c r="A248" s="2" t="s">
        <v>4584</v>
      </c>
      <c r="B248" s="2" t="s">
        <v>4577</v>
      </c>
      <c r="C248" s="2" t="s">
        <v>4365</v>
      </c>
    </row>
    <row r="249">
      <c r="A249" s="2" t="s">
        <v>4585</v>
      </c>
      <c r="B249" s="2" t="s">
        <v>4577</v>
      </c>
      <c r="C249" s="2" t="s">
        <v>4365</v>
      </c>
    </row>
    <row r="250">
      <c r="A250" s="2" t="s">
        <v>4586</v>
      </c>
      <c r="B250" s="2" t="s">
        <v>4577</v>
      </c>
      <c r="C250" s="2" t="s">
        <v>4365</v>
      </c>
    </row>
    <row r="251">
      <c r="A251" s="2" t="s">
        <v>4587</v>
      </c>
      <c r="B251" s="2" t="s">
        <v>4366</v>
      </c>
      <c r="C251" s="2" t="s">
        <v>4365</v>
      </c>
    </row>
    <row r="252">
      <c r="A252" s="2" t="s">
        <v>4588</v>
      </c>
      <c r="B252" s="2" t="s">
        <v>4366</v>
      </c>
      <c r="C252" s="2" t="s">
        <v>4365</v>
      </c>
    </row>
    <row r="253">
      <c r="A253" s="2" t="s">
        <v>4589</v>
      </c>
      <c r="B253" s="2" t="s">
        <v>4366</v>
      </c>
      <c r="C253" s="2" t="s">
        <v>4365</v>
      </c>
    </row>
    <row r="254">
      <c r="A254" s="2" t="s">
        <v>4590</v>
      </c>
      <c r="B254" s="2" t="s">
        <v>4366</v>
      </c>
      <c r="C254" s="2" t="s">
        <v>4365</v>
      </c>
    </row>
    <row r="255">
      <c r="A255" s="2" t="s">
        <v>4591</v>
      </c>
      <c r="B255" s="2" t="s">
        <v>4366</v>
      </c>
      <c r="C255" s="2" t="s">
        <v>4365</v>
      </c>
    </row>
    <row r="256">
      <c r="A256" s="2" t="s">
        <v>4592</v>
      </c>
      <c r="B256" s="2" t="s">
        <v>4371</v>
      </c>
      <c r="C256" s="2" t="s">
        <v>4365</v>
      </c>
    </row>
    <row r="257">
      <c r="A257" s="2" t="s">
        <v>4593</v>
      </c>
      <c r="B257" s="2" t="s">
        <v>4371</v>
      </c>
      <c r="C257" s="2" t="s">
        <v>4365</v>
      </c>
    </row>
    <row r="258">
      <c r="A258" s="2" t="s">
        <v>4594</v>
      </c>
      <c r="B258" s="2" t="s">
        <v>4371</v>
      </c>
      <c r="C258" s="2" t="s">
        <v>4365</v>
      </c>
    </row>
    <row r="259">
      <c r="A259" s="2" t="s">
        <v>4595</v>
      </c>
      <c r="B259" s="2" t="s">
        <v>4371</v>
      </c>
      <c r="C259" s="2" t="s">
        <v>4365</v>
      </c>
    </row>
    <row r="260">
      <c r="A260" s="2" t="s">
        <v>4596</v>
      </c>
      <c r="B260" s="2" t="s">
        <v>4371</v>
      </c>
      <c r="C260" s="2" t="s">
        <v>4365</v>
      </c>
    </row>
    <row r="261">
      <c r="A261" s="2" t="s">
        <v>4597</v>
      </c>
      <c r="B261" s="2" t="s">
        <v>4377</v>
      </c>
      <c r="C261" s="2" t="s">
        <v>4365</v>
      </c>
    </row>
    <row r="262">
      <c r="A262" s="2" t="s">
        <v>4598</v>
      </c>
      <c r="B262" s="2" t="s">
        <v>4377</v>
      </c>
      <c r="C262" s="2" t="s">
        <v>4365</v>
      </c>
    </row>
    <row r="263">
      <c r="A263" s="2" t="s">
        <v>4599</v>
      </c>
      <c r="B263" s="2" t="s">
        <v>4377</v>
      </c>
      <c r="C263" s="2" t="s">
        <v>4365</v>
      </c>
    </row>
    <row r="264">
      <c r="A264" s="2" t="s">
        <v>4600</v>
      </c>
      <c r="B264" s="2" t="s">
        <v>4377</v>
      </c>
      <c r="C264" s="2" t="s">
        <v>4365</v>
      </c>
    </row>
    <row r="265">
      <c r="A265" s="2" t="s">
        <v>4601</v>
      </c>
      <c r="B265" s="2" t="s">
        <v>4377</v>
      </c>
      <c r="C265" s="2" t="s">
        <v>4365</v>
      </c>
    </row>
    <row r="266">
      <c r="A266" s="2" t="s">
        <v>4602</v>
      </c>
      <c r="B266" s="2" t="s">
        <v>4381</v>
      </c>
      <c r="C266" s="2" t="s">
        <v>4365</v>
      </c>
    </row>
    <row r="267">
      <c r="A267" s="2" t="s">
        <v>4603</v>
      </c>
      <c r="B267" s="2" t="s">
        <v>4381</v>
      </c>
      <c r="C267" s="2" t="s">
        <v>4365</v>
      </c>
    </row>
    <row r="268">
      <c r="A268" s="2" t="s">
        <v>4604</v>
      </c>
      <c r="B268" s="2" t="s">
        <v>4381</v>
      </c>
      <c r="C268" s="2" t="s">
        <v>4365</v>
      </c>
    </row>
    <row r="269">
      <c r="A269" s="2" t="s">
        <v>4605</v>
      </c>
      <c r="B269" s="2" t="s">
        <v>4381</v>
      </c>
      <c r="C269" s="2" t="s">
        <v>4365</v>
      </c>
    </row>
    <row r="270">
      <c r="A270" s="2" t="s">
        <v>4606</v>
      </c>
      <c r="B270" s="2" t="s">
        <v>4381</v>
      </c>
      <c r="C270" s="2" t="s">
        <v>4365</v>
      </c>
    </row>
    <row r="271">
      <c r="A271" s="2" t="s">
        <v>4607</v>
      </c>
      <c r="B271" s="2" t="s">
        <v>4386</v>
      </c>
      <c r="C271" s="2" t="s">
        <v>4365</v>
      </c>
    </row>
    <row r="272">
      <c r="A272" s="2" t="s">
        <v>4608</v>
      </c>
      <c r="B272" s="2" t="s">
        <v>4386</v>
      </c>
      <c r="C272" s="2" t="s">
        <v>4365</v>
      </c>
    </row>
    <row r="273">
      <c r="A273" s="2" t="s">
        <v>4609</v>
      </c>
      <c r="B273" s="2" t="s">
        <v>4386</v>
      </c>
      <c r="C273" s="2" t="s">
        <v>4365</v>
      </c>
    </row>
    <row r="274">
      <c r="A274" s="2" t="s">
        <v>4610</v>
      </c>
      <c r="B274" s="2" t="s">
        <v>4386</v>
      </c>
      <c r="C274" s="2" t="s">
        <v>4365</v>
      </c>
    </row>
    <row r="275">
      <c r="A275" s="2" t="s">
        <v>4611</v>
      </c>
      <c r="B275" s="2" t="s">
        <v>4386</v>
      </c>
      <c r="C275" s="2" t="s">
        <v>4365</v>
      </c>
    </row>
    <row r="276">
      <c r="A276" s="2" t="s">
        <v>4612</v>
      </c>
      <c r="B276" s="2" t="s">
        <v>4392</v>
      </c>
      <c r="C276" s="2" t="s">
        <v>4365</v>
      </c>
    </row>
    <row r="277">
      <c r="A277" s="2" t="s">
        <v>4613</v>
      </c>
      <c r="B277" s="2" t="s">
        <v>4392</v>
      </c>
      <c r="C277" s="2" t="s">
        <v>4365</v>
      </c>
    </row>
    <row r="278">
      <c r="A278" s="2" t="s">
        <v>4614</v>
      </c>
      <c r="B278" s="2" t="s">
        <v>4392</v>
      </c>
      <c r="C278" s="2" t="s">
        <v>4365</v>
      </c>
    </row>
    <row r="279">
      <c r="A279" s="2" t="s">
        <v>4615</v>
      </c>
      <c r="B279" s="2" t="s">
        <v>4392</v>
      </c>
      <c r="C279" s="2" t="s">
        <v>4365</v>
      </c>
    </row>
    <row r="280">
      <c r="A280" s="2" t="s">
        <v>4616</v>
      </c>
      <c r="B280" s="2" t="s">
        <v>4392</v>
      </c>
      <c r="C280" s="2" t="s">
        <v>4365</v>
      </c>
    </row>
    <row r="281">
      <c r="A281" s="2" t="s">
        <v>4617</v>
      </c>
      <c r="B281" s="2" t="s">
        <v>4394</v>
      </c>
      <c r="C281" s="2" t="s">
        <v>4365</v>
      </c>
    </row>
    <row r="282">
      <c r="A282" s="2" t="s">
        <v>4618</v>
      </c>
      <c r="B282" s="2" t="s">
        <v>4394</v>
      </c>
      <c r="C282" s="2" t="s">
        <v>4365</v>
      </c>
    </row>
    <row r="283">
      <c r="A283" s="2" t="s">
        <v>4619</v>
      </c>
      <c r="B283" s="2" t="s">
        <v>4394</v>
      </c>
      <c r="C283" s="2" t="s">
        <v>4365</v>
      </c>
    </row>
    <row r="284">
      <c r="A284" s="2" t="s">
        <v>4620</v>
      </c>
      <c r="B284" s="2" t="s">
        <v>4394</v>
      </c>
      <c r="C284" s="2" t="s">
        <v>4365</v>
      </c>
    </row>
    <row r="285">
      <c r="A285" s="2" t="s">
        <v>4621</v>
      </c>
      <c r="B285" s="2" t="s">
        <v>4394</v>
      </c>
      <c r="C285" s="2" t="s">
        <v>4365</v>
      </c>
    </row>
    <row r="286">
      <c r="A286" s="2" t="s">
        <v>4622</v>
      </c>
      <c r="B286" s="2" t="s">
        <v>4364</v>
      </c>
      <c r="C286" s="2" t="s">
        <v>4365</v>
      </c>
    </row>
    <row r="287">
      <c r="A287" s="2" t="s">
        <v>2780</v>
      </c>
      <c r="B287" s="2" t="s">
        <v>4364</v>
      </c>
      <c r="C287" s="2" t="s">
        <v>4365</v>
      </c>
    </row>
    <row r="288">
      <c r="A288" s="2" t="s">
        <v>4623</v>
      </c>
      <c r="B288" s="2" t="s">
        <v>4364</v>
      </c>
      <c r="C288" s="2" t="s">
        <v>4365</v>
      </c>
    </row>
    <row r="289">
      <c r="A289" s="2" t="s">
        <v>4624</v>
      </c>
      <c r="B289" s="2" t="s">
        <v>4364</v>
      </c>
      <c r="C289" s="2" t="s">
        <v>4365</v>
      </c>
    </row>
    <row r="290">
      <c r="A290" s="2" t="s">
        <v>4625</v>
      </c>
      <c r="B290" s="2" t="s">
        <v>4397</v>
      </c>
      <c r="C290" s="2" t="s">
        <v>4365</v>
      </c>
    </row>
    <row r="291">
      <c r="A291" s="2" t="s">
        <v>4626</v>
      </c>
      <c r="B291" s="2" t="s">
        <v>4397</v>
      </c>
      <c r="C291" s="2" t="s">
        <v>4365</v>
      </c>
    </row>
    <row r="292">
      <c r="A292" s="2" t="s">
        <v>4627</v>
      </c>
      <c r="B292" s="2" t="s">
        <v>4410</v>
      </c>
      <c r="C292" s="2" t="s">
        <v>4365</v>
      </c>
    </row>
    <row r="293">
      <c r="A293" s="2" t="s">
        <v>4628</v>
      </c>
      <c r="B293" s="2" t="s">
        <v>4410</v>
      </c>
      <c r="C293" s="2" t="s">
        <v>4365</v>
      </c>
    </row>
    <row r="294">
      <c r="A294" s="2" t="s">
        <v>3717</v>
      </c>
      <c r="B294" s="2" t="s">
        <v>4410</v>
      </c>
      <c r="C294" s="2" t="s">
        <v>4365</v>
      </c>
    </row>
    <row r="295">
      <c r="A295" s="2" t="s">
        <v>4629</v>
      </c>
      <c r="B295" s="2" t="s">
        <v>4410</v>
      </c>
      <c r="C295" s="2" t="s">
        <v>4365</v>
      </c>
    </row>
    <row r="296">
      <c r="A296" s="2" t="s">
        <v>2036</v>
      </c>
      <c r="B296" s="2" t="s">
        <v>4412</v>
      </c>
      <c r="C296" s="2" t="s">
        <v>4365</v>
      </c>
    </row>
    <row r="297">
      <c r="A297" s="2" t="s">
        <v>4630</v>
      </c>
      <c r="B297" s="2" t="s">
        <v>4412</v>
      </c>
      <c r="C297" s="2" t="s">
        <v>4365</v>
      </c>
    </row>
    <row r="298">
      <c r="A298" s="2" t="s">
        <v>4631</v>
      </c>
      <c r="B298" s="2" t="s">
        <v>4412</v>
      </c>
      <c r="C298" s="2" t="s">
        <v>4365</v>
      </c>
    </row>
    <row r="299">
      <c r="A299" s="2" t="s">
        <v>4632</v>
      </c>
      <c r="B299" s="2" t="s">
        <v>4412</v>
      </c>
      <c r="C299" s="2" t="s">
        <v>4365</v>
      </c>
    </row>
    <row r="300">
      <c r="A300" s="2" t="s">
        <v>4633</v>
      </c>
      <c r="B300" s="2" t="s">
        <v>4528</v>
      </c>
      <c r="C300" s="2" t="s">
        <v>4365</v>
      </c>
    </row>
    <row r="301">
      <c r="A301" s="2" t="s">
        <v>4634</v>
      </c>
      <c r="B301" s="2" t="s">
        <v>4528</v>
      </c>
      <c r="C301" s="2" t="s">
        <v>4365</v>
      </c>
    </row>
    <row r="302">
      <c r="A302" s="2" t="s">
        <v>4635</v>
      </c>
      <c r="B302" s="2" t="s">
        <v>4528</v>
      </c>
      <c r="C302" s="2" t="s">
        <v>4365</v>
      </c>
    </row>
    <row r="303">
      <c r="A303" s="2" t="s">
        <v>4636</v>
      </c>
      <c r="B303" s="2" t="s">
        <v>4528</v>
      </c>
      <c r="C303" s="2" t="s">
        <v>4365</v>
      </c>
    </row>
    <row r="304">
      <c r="A304" s="2" t="s">
        <v>4637</v>
      </c>
      <c r="B304" s="2" t="s">
        <v>4528</v>
      </c>
      <c r="C304" s="2" t="s">
        <v>4365</v>
      </c>
    </row>
    <row r="305">
      <c r="A305" s="2" t="s">
        <v>4638</v>
      </c>
      <c r="B305" s="2" t="s">
        <v>4528</v>
      </c>
      <c r="C305" s="2" t="s">
        <v>4365</v>
      </c>
    </row>
    <row r="306">
      <c r="A306" s="2" t="s">
        <v>4639</v>
      </c>
      <c r="B306" s="2" t="s">
        <v>4560</v>
      </c>
      <c r="C306" s="2" t="s">
        <v>4365</v>
      </c>
    </row>
    <row r="307">
      <c r="A307" s="2" t="s">
        <v>4640</v>
      </c>
      <c r="B307" s="2" t="s">
        <v>4560</v>
      </c>
      <c r="C307" s="2" t="s">
        <v>4365</v>
      </c>
    </row>
    <row r="308">
      <c r="A308" s="2" t="s">
        <v>4641</v>
      </c>
      <c r="B308" s="2" t="s">
        <v>4560</v>
      </c>
      <c r="C308" s="2" t="s">
        <v>4365</v>
      </c>
    </row>
    <row r="309">
      <c r="A309" s="2" t="s">
        <v>4642</v>
      </c>
      <c r="B309" s="2" t="s">
        <v>4560</v>
      </c>
      <c r="C309" s="2" t="s">
        <v>4365</v>
      </c>
    </row>
    <row r="310">
      <c r="A310" s="2" t="s">
        <v>4643</v>
      </c>
      <c r="B310" s="2" t="s">
        <v>4560</v>
      </c>
      <c r="C310" s="2" t="s">
        <v>4365</v>
      </c>
    </row>
    <row r="311">
      <c r="A311" s="2" t="s">
        <v>4644</v>
      </c>
      <c r="B311" s="2" t="s">
        <v>4560</v>
      </c>
      <c r="C311" s="2" t="s">
        <v>4365</v>
      </c>
    </row>
    <row r="312">
      <c r="A312" s="2" t="s">
        <v>4645</v>
      </c>
      <c r="B312" s="2" t="s">
        <v>4577</v>
      </c>
      <c r="C312" s="2" t="s">
        <v>4365</v>
      </c>
    </row>
    <row r="313">
      <c r="A313" s="2" t="s">
        <v>4646</v>
      </c>
      <c r="B313" s="2" t="s">
        <v>4577</v>
      </c>
      <c r="C313" s="2" t="s">
        <v>4365</v>
      </c>
    </row>
    <row r="314">
      <c r="A314" s="2" t="s">
        <v>4647</v>
      </c>
      <c r="B314" s="2" t="s">
        <v>4402</v>
      </c>
      <c r="C314" s="2" t="s">
        <v>4365</v>
      </c>
    </row>
    <row r="315">
      <c r="A315" s="2" t="s">
        <v>4648</v>
      </c>
      <c r="B315" s="2" t="s">
        <v>4402</v>
      </c>
      <c r="C315" s="2" t="s">
        <v>4365</v>
      </c>
    </row>
    <row r="316">
      <c r="A316" s="2" t="s">
        <v>2238</v>
      </c>
      <c r="B316" s="2" t="s">
        <v>4407</v>
      </c>
      <c r="C316" s="2" t="s">
        <v>4365</v>
      </c>
    </row>
    <row r="317">
      <c r="A317" s="2" t="s">
        <v>4649</v>
      </c>
      <c r="B317" s="2" t="s">
        <v>4407</v>
      </c>
      <c r="C317" s="2" t="s">
        <v>4365</v>
      </c>
    </row>
    <row r="318">
      <c r="A318" s="2" t="s">
        <v>4650</v>
      </c>
      <c r="B318" s="2" t="s">
        <v>4404</v>
      </c>
      <c r="C318" s="2" t="s">
        <v>4365</v>
      </c>
    </row>
    <row r="319">
      <c r="A319" s="2" t="s">
        <v>4269</v>
      </c>
      <c r="B319" s="2" t="s">
        <v>4404</v>
      </c>
      <c r="C319" s="2" t="s">
        <v>4365</v>
      </c>
    </row>
    <row r="320">
      <c r="A320" s="2" t="s">
        <v>4651</v>
      </c>
      <c r="B320" s="2" t="s">
        <v>4364</v>
      </c>
      <c r="C320" s="2" t="s">
        <v>4365</v>
      </c>
    </row>
    <row r="321">
      <c r="A321" s="2" t="s">
        <v>4652</v>
      </c>
      <c r="B321" s="2" t="s">
        <v>4364</v>
      </c>
      <c r="C321" s="2" t="s">
        <v>4365</v>
      </c>
    </row>
    <row r="322">
      <c r="A322" s="2" t="s">
        <v>4653</v>
      </c>
      <c r="B322" s="2" t="s">
        <v>4366</v>
      </c>
      <c r="C322" s="2" t="s">
        <v>4365</v>
      </c>
    </row>
    <row r="323">
      <c r="A323" s="2" t="s">
        <v>2780</v>
      </c>
      <c r="B323" s="2" t="s">
        <v>4366</v>
      </c>
      <c r="C323" s="2" t="s">
        <v>4365</v>
      </c>
    </row>
    <row r="324">
      <c r="A324" s="2" t="s">
        <v>4654</v>
      </c>
      <c r="B324" s="2" t="s">
        <v>4366</v>
      </c>
      <c r="C324" s="2" t="s">
        <v>4365</v>
      </c>
    </row>
    <row r="325">
      <c r="A325" s="2" t="s">
        <v>4655</v>
      </c>
      <c r="B325" s="2" t="s">
        <v>4371</v>
      </c>
      <c r="C325" s="2" t="s">
        <v>4365</v>
      </c>
    </row>
    <row r="326">
      <c r="A326" s="2" t="s">
        <v>4656</v>
      </c>
      <c r="B326" s="2" t="s">
        <v>4371</v>
      </c>
      <c r="C326" s="2" t="s">
        <v>4365</v>
      </c>
    </row>
    <row r="327">
      <c r="A327" s="2" t="s">
        <v>4657</v>
      </c>
      <c r="B327" s="2" t="s">
        <v>4377</v>
      </c>
      <c r="C327" s="2" t="s">
        <v>4365</v>
      </c>
    </row>
    <row r="328">
      <c r="A328" s="2" t="s">
        <v>4658</v>
      </c>
      <c r="B328" s="2" t="s">
        <v>4377</v>
      </c>
      <c r="C328" s="2" t="s">
        <v>4365</v>
      </c>
    </row>
    <row r="329">
      <c r="A329" s="2" t="s">
        <v>4659</v>
      </c>
      <c r="B329" s="2" t="s">
        <v>4377</v>
      </c>
      <c r="C329" s="2" t="s">
        <v>4365</v>
      </c>
    </row>
    <row r="330">
      <c r="A330" s="2" t="s">
        <v>4660</v>
      </c>
      <c r="B330" s="2" t="s">
        <v>4377</v>
      </c>
      <c r="C330" s="2" t="s">
        <v>4365</v>
      </c>
    </row>
    <row r="331">
      <c r="A331" s="2" t="s">
        <v>4661</v>
      </c>
      <c r="B331" s="2" t="s">
        <v>4381</v>
      </c>
      <c r="C331" s="2" t="s">
        <v>4365</v>
      </c>
    </row>
    <row r="332">
      <c r="A332" s="2" t="s">
        <v>4662</v>
      </c>
      <c r="B332" s="2" t="s">
        <v>4381</v>
      </c>
      <c r="C332" s="2" t="s">
        <v>4365</v>
      </c>
    </row>
    <row r="333">
      <c r="A333" s="2" t="s">
        <v>4663</v>
      </c>
      <c r="B333" s="2" t="s">
        <v>4381</v>
      </c>
      <c r="C333" s="2" t="s">
        <v>4365</v>
      </c>
    </row>
    <row r="334">
      <c r="A334" s="2" t="s">
        <v>4664</v>
      </c>
      <c r="B334" s="2" t="s">
        <v>4381</v>
      </c>
      <c r="C334" s="2" t="s">
        <v>4365</v>
      </c>
    </row>
    <row r="335">
      <c r="A335" s="2" t="s">
        <v>4665</v>
      </c>
      <c r="B335" s="2" t="s">
        <v>4381</v>
      </c>
      <c r="C335" s="2" t="s">
        <v>4365</v>
      </c>
    </row>
    <row r="336">
      <c r="A336" s="2" t="s">
        <v>4666</v>
      </c>
      <c r="B336" s="2" t="s">
        <v>4386</v>
      </c>
      <c r="C336" s="2" t="s">
        <v>4365</v>
      </c>
    </row>
    <row r="337">
      <c r="A337" s="2" t="s">
        <v>4667</v>
      </c>
      <c r="B337" s="2" t="s">
        <v>4386</v>
      </c>
      <c r="C337" s="2" t="s">
        <v>4365</v>
      </c>
    </row>
    <row r="338">
      <c r="A338" s="2" t="s">
        <v>4668</v>
      </c>
      <c r="B338" s="2" t="s">
        <v>4386</v>
      </c>
      <c r="C338" s="2" t="s">
        <v>4365</v>
      </c>
    </row>
    <row r="339">
      <c r="A339" s="2" t="s">
        <v>4669</v>
      </c>
      <c r="B339" s="2" t="s">
        <v>4386</v>
      </c>
      <c r="C339" s="2" t="s">
        <v>4365</v>
      </c>
    </row>
    <row r="340">
      <c r="A340" s="2" t="s">
        <v>4670</v>
      </c>
      <c r="B340" s="2" t="s">
        <v>4386</v>
      </c>
      <c r="C340" s="2" t="s">
        <v>4365</v>
      </c>
    </row>
    <row r="341">
      <c r="A341" s="2" t="s">
        <v>4671</v>
      </c>
      <c r="B341" s="2" t="s">
        <v>4392</v>
      </c>
      <c r="C341" s="2" t="s">
        <v>4365</v>
      </c>
    </row>
    <row r="342">
      <c r="A342" s="2" t="s">
        <v>4672</v>
      </c>
      <c r="B342" s="2" t="s">
        <v>4392</v>
      </c>
      <c r="C342" s="2" t="s">
        <v>4365</v>
      </c>
    </row>
    <row r="343">
      <c r="A343" s="2" t="s">
        <v>4673</v>
      </c>
      <c r="B343" s="2" t="s">
        <v>4392</v>
      </c>
      <c r="C343" s="2" t="s">
        <v>4365</v>
      </c>
    </row>
    <row r="344">
      <c r="A344" s="2" t="s">
        <v>4674</v>
      </c>
      <c r="B344" s="2" t="s">
        <v>4392</v>
      </c>
      <c r="C344" s="2" t="s">
        <v>4365</v>
      </c>
    </row>
    <row r="345">
      <c r="A345" s="2" t="s">
        <v>4675</v>
      </c>
      <c r="B345" s="2" t="s">
        <v>4392</v>
      </c>
      <c r="C345" s="2" t="s">
        <v>4365</v>
      </c>
    </row>
    <row r="346">
      <c r="A346" s="2" t="s">
        <v>4676</v>
      </c>
      <c r="B346" s="2" t="s">
        <v>4394</v>
      </c>
      <c r="C346" s="2" t="s">
        <v>4365</v>
      </c>
    </row>
    <row r="347">
      <c r="A347" s="2" t="s">
        <v>4677</v>
      </c>
      <c r="B347" s="2" t="s">
        <v>4394</v>
      </c>
      <c r="C347" s="2" t="s">
        <v>4365</v>
      </c>
    </row>
    <row r="348">
      <c r="A348" s="2" t="s">
        <v>4678</v>
      </c>
      <c r="B348" s="2" t="s">
        <v>4394</v>
      </c>
      <c r="C348" s="2" t="s">
        <v>4365</v>
      </c>
    </row>
    <row r="349">
      <c r="A349" s="2" t="s">
        <v>4679</v>
      </c>
      <c r="B349" s="2" t="s">
        <v>4394</v>
      </c>
      <c r="C349" s="2" t="s">
        <v>4365</v>
      </c>
    </row>
    <row r="350">
      <c r="A350" s="2" t="s">
        <v>621</v>
      </c>
      <c r="B350" s="2" t="s">
        <v>4394</v>
      </c>
      <c r="C350" s="2" t="s">
        <v>4365</v>
      </c>
    </row>
    <row r="351">
      <c r="A351" s="2" t="s">
        <v>4680</v>
      </c>
      <c r="B351" s="2" t="s">
        <v>4394</v>
      </c>
      <c r="C351" s="2" t="s">
        <v>4365</v>
      </c>
    </row>
    <row r="352">
      <c r="A352" s="2" t="s">
        <v>4681</v>
      </c>
      <c r="B352" s="2" t="s">
        <v>4394</v>
      </c>
      <c r="C352" s="2" t="s">
        <v>4365</v>
      </c>
    </row>
    <row r="353">
      <c r="A353" s="2" t="s">
        <v>4682</v>
      </c>
      <c r="B353" s="2" t="s">
        <v>4394</v>
      </c>
      <c r="C353" s="2" t="s">
        <v>4365</v>
      </c>
    </row>
    <row r="354">
      <c r="A354" s="2" t="s">
        <v>4683</v>
      </c>
      <c r="B354" s="2" t="s">
        <v>4394</v>
      </c>
      <c r="C354" s="2" t="s">
        <v>4365</v>
      </c>
    </row>
    <row r="355">
      <c r="A355" s="2" t="s">
        <v>4684</v>
      </c>
      <c r="B355" s="2" t="s">
        <v>4560</v>
      </c>
      <c r="C355" s="2" t="s">
        <v>4365</v>
      </c>
    </row>
    <row r="356">
      <c r="A356" s="2" t="s">
        <v>4685</v>
      </c>
      <c r="B356" s="2" t="s">
        <v>4560</v>
      </c>
      <c r="C356" s="2" t="s">
        <v>4365</v>
      </c>
    </row>
    <row r="357">
      <c r="A357" s="2" t="s">
        <v>4686</v>
      </c>
      <c r="B357" s="2" t="s">
        <v>4560</v>
      </c>
      <c r="C357" s="2" t="s">
        <v>4365</v>
      </c>
    </row>
    <row r="358">
      <c r="A358" s="2" t="s">
        <v>4687</v>
      </c>
      <c r="B358" s="2" t="s">
        <v>4560</v>
      </c>
      <c r="C358" s="2" t="s">
        <v>4365</v>
      </c>
    </row>
    <row r="359">
      <c r="A359" s="2" t="s">
        <v>4688</v>
      </c>
      <c r="B359" s="2" t="s">
        <v>4560</v>
      </c>
      <c r="C359" s="2" t="s">
        <v>4365</v>
      </c>
    </row>
    <row r="360">
      <c r="A360" s="2" t="s">
        <v>4689</v>
      </c>
      <c r="B360" s="2" t="s">
        <v>4560</v>
      </c>
      <c r="C360" s="2" t="s">
        <v>4365</v>
      </c>
    </row>
    <row r="361">
      <c r="A361" s="2" t="s">
        <v>4690</v>
      </c>
      <c r="B361" s="2" t="s">
        <v>4560</v>
      </c>
      <c r="C361" s="2" t="s">
        <v>4365</v>
      </c>
    </row>
    <row r="362">
      <c r="A362" s="2" t="s">
        <v>4691</v>
      </c>
      <c r="B362" s="2" t="s">
        <v>4560</v>
      </c>
      <c r="C362" s="2" t="s">
        <v>4365</v>
      </c>
    </row>
    <row r="363">
      <c r="A363" s="2" t="s">
        <v>4692</v>
      </c>
      <c r="B363" s="2" t="s">
        <v>4560</v>
      </c>
      <c r="C363" s="2" t="s">
        <v>4365</v>
      </c>
    </row>
    <row r="364">
      <c r="A364" s="2" t="s">
        <v>4693</v>
      </c>
      <c r="B364" s="2" t="s">
        <v>4560</v>
      </c>
      <c r="C364" s="2" t="s">
        <v>4365</v>
      </c>
    </row>
    <row r="365">
      <c r="A365" s="2" t="s">
        <v>4694</v>
      </c>
      <c r="B365" s="2" t="s">
        <v>4371</v>
      </c>
      <c r="C365" s="2" t="s">
        <v>4365</v>
      </c>
    </row>
    <row r="366">
      <c r="A366" s="2" t="s">
        <v>4695</v>
      </c>
      <c r="B366" s="2" t="s">
        <v>4371</v>
      </c>
      <c r="C366" s="2" t="s">
        <v>4365</v>
      </c>
    </row>
    <row r="367">
      <c r="A367" s="2" t="s">
        <v>4696</v>
      </c>
      <c r="B367" s="2" t="s">
        <v>4371</v>
      </c>
      <c r="C367" s="2" t="s">
        <v>4365</v>
      </c>
    </row>
    <row r="368">
      <c r="A368" s="2" t="s">
        <v>4697</v>
      </c>
      <c r="B368" s="2" t="s">
        <v>4371</v>
      </c>
      <c r="C368" s="2" t="s">
        <v>4365</v>
      </c>
    </row>
    <row r="369">
      <c r="A369" s="2" t="s">
        <v>4698</v>
      </c>
      <c r="B369" s="2" t="s">
        <v>4366</v>
      </c>
      <c r="C369" s="2" t="s">
        <v>4365</v>
      </c>
    </row>
    <row r="370">
      <c r="A370" s="2" t="s">
        <v>4699</v>
      </c>
      <c r="B370" s="2" t="s">
        <v>4366</v>
      </c>
      <c r="C370" s="2" t="s">
        <v>4365</v>
      </c>
    </row>
    <row r="371">
      <c r="A371" s="2" t="s">
        <v>4700</v>
      </c>
      <c r="B371" s="2" t="s">
        <v>4366</v>
      </c>
      <c r="C371" s="2" t="s">
        <v>4365</v>
      </c>
    </row>
    <row r="372">
      <c r="A372" s="2" t="s">
        <v>4701</v>
      </c>
      <c r="B372" s="2" t="s">
        <v>4366</v>
      </c>
      <c r="C372" s="2" t="s">
        <v>4365</v>
      </c>
    </row>
    <row r="373">
      <c r="A373" s="2" t="s">
        <v>4702</v>
      </c>
      <c r="B373" s="2" t="s">
        <v>4366</v>
      </c>
      <c r="C373" s="2" t="s">
        <v>4365</v>
      </c>
    </row>
    <row r="374">
      <c r="A374" s="2" t="s">
        <v>4703</v>
      </c>
      <c r="B374" s="2" t="s">
        <v>4560</v>
      </c>
      <c r="C374" s="2" t="s">
        <v>4365</v>
      </c>
    </row>
    <row r="375">
      <c r="A375" s="2" t="s">
        <v>4704</v>
      </c>
      <c r="B375" s="2" t="s">
        <v>4577</v>
      </c>
      <c r="C375" s="2" t="s">
        <v>4365</v>
      </c>
    </row>
    <row r="376">
      <c r="A376" s="2" t="s">
        <v>4705</v>
      </c>
      <c r="B376" s="2" t="s">
        <v>4560</v>
      </c>
      <c r="C376" s="2" t="s">
        <v>4365</v>
      </c>
    </row>
    <row r="377">
      <c r="A377" s="2" t="s">
        <v>4706</v>
      </c>
      <c r="B377" s="2" t="s">
        <v>4560</v>
      </c>
      <c r="C377" s="2" t="s">
        <v>4365</v>
      </c>
    </row>
    <row r="378">
      <c r="A378" s="2" t="s">
        <v>4707</v>
      </c>
      <c r="B378" s="2" t="s">
        <v>4560</v>
      </c>
      <c r="C378" s="2" t="s">
        <v>4365</v>
      </c>
    </row>
    <row r="379">
      <c r="A379" s="2" t="s">
        <v>4708</v>
      </c>
      <c r="B379" s="2" t="s">
        <v>4392</v>
      </c>
      <c r="C379" s="2" t="s">
        <v>4365</v>
      </c>
    </row>
    <row r="380">
      <c r="A380" s="2" t="s">
        <v>4709</v>
      </c>
      <c r="B380" s="2" t="s">
        <v>4392</v>
      </c>
      <c r="C380" s="2" t="s">
        <v>4365</v>
      </c>
    </row>
    <row r="381">
      <c r="A381" s="2" t="s">
        <v>4710</v>
      </c>
      <c r="B381" s="2" t="s">
        <v>4392</v>
      </c>
      <c r="C381" s="2" t="s">
        <v>4365</v>
      </c>
    </row>
    <row r="382">
      <c r="A382" s="2" t="s">
        <v>4711</v>
      </c>
      <c r="B382" s="2" t="s">
        <v>4392</v>
      </c>
      <c r="C382" s="2" t="s">
        <v>4365</v>
      </c>
    </row>
    <row r="383">
      <c r="A383" s="2" t="s">
        <v>4712</v>
      </c>
      <c r="B383" s="2" t="s">
        <v>4410</v>
      </c>
      <c r="C383" s="2" t="s">
        <v>4365</v>
      </c>
    </row>
    <row r="384">
      <c r="A384" s="2" t="s">
        <v>3727</v>
      </c>
      <c r="B384" s="2" t="s">
        <v>4410</v>
      </c>
      <c r="C384" s="2" t="s">
        <v>4365</v>
      </c>
    </row>
    <row r="385">
      <c r="A385" s="2" t="s">
        <v>4713</v>
      </c>
      <c r="B385" s="2" t="s">
        <v>4410</v>
      </c>
      <c r="C385" s="2" t="s">
        <v>4365</v>
      </c>
    </row>
    <row r="386">
      <c r="A386" s="2" t="s">
        <v>3716</v>
      </c>
      <c r="B386" s="2" t="s">
        <v>4410</v>
      </c>
      <c r="C386" s="2" t="s">
        <v>4365</v>
      </c>
    </row>
    <row r="387">
      <c r="A387" s="2" t="s">
        <v>4714</v>
      </c>
      <c r="B387" s="2" t="s">
        <v>4412</v>
      </c>
      <c r="C387" s="2" t="s">
        <v>4365</v>
      </c>
    </row>
    <row r="388">
      <c r="A388" s="2" t="s">
        <v>4715</v>
      </c>
      <c r="B388" s="2" t="s">
        <v>4412</v>
      </c>
      <c r="C388" s="2" t="s">
        <v>4365</v>
      </c>
    </row>
    <row r="389">
      <c r="A389" s="2" t="s">
        <v>4716</v>
      </c>
      <c r="B389" s="2" t="s">
        <v>4412</v>
      </c>
      <c r="C389" s="2" t="s">
        <v>4365</v>
      </c>
    </row>
    <row r="390">
      <c r="A390" s="2" t="s">
        <v>4717</v>
      </c>
      <c r="B390" s="2" t="s">
        <v>4412</v>
      </c>
      <c r="C390" s="2" t="s">
        <v>4365</v>
      </c>
    </row>
    <row r="391">
      <c r="A391" s="2" t="s">
        <v>4718</v>
      </c>
      <c r="B391" s="2" t="s">
        <v>4412</v>
      </c>
      <c r="C391" s="2" t="s">
        <v>4365</v>
      </c>
    </row>
    <row r="392">
      <c r="A392" s="2" t="s">
        <v>4719</v>
      </c>
      <c r="B392" s="2" t="s">
        <v>4528</v>
      </c>
      <c r="C392" s="2" t="s">
        <v>4365</v>
      </c>
    </row>
    <row r="393">
      <c r="A393" s="2" t="s">
        <v>4720</v>
      </c>
      <c r="B393" s="2" t="s">
        <v>4528</v>
      </c>
      <c r="C393" s="2" t="s">
        <v>4365</v>
      </c>
    </row>
    <row r="394">
      <c r="A394" s="2" t="s">
        <v>4721</v>
      </c>
      <c r="B394" s="2" t="s">
        <v>4528</v>
      </c>
      <c r="C394" s="2" t="s">
        <v>4365</v>
      </c>
    </row>
    <row r="395">
      <c r="A395" s="2" t="s">
        <v>4722</v>
      </c>
      <c r="B395" s="2" t="s">
        <v>4528</v>
      </c>
      <c r="C395" s="2" t="s">
        <v>4365</v>
      </c>
    </row>
    <row r="396">
      <c r="A396" s="2" t="s">
        <v>4723</v>
      </c>
      <c r="B396" s="2" t="s">
        <v>4528</v>
      </c>
      <c r="C396" s="2" t="s">
        <v>4365</v>
      </c>
    </row>
    <row r="397">
      <c r="A397" s="2" t="s">
        <v>4724</v>
      </c>
      <c r="B397" s="2" t="s">
        <v>4404</v>
      </c>
      <c r="C397" s="2" t="s">
        <v>4365</v>
      </c>
    </row>
    <row r="398">
      <c r="A398" s="2" t="s">
        <v>4725</v>
      </c>
      <c r="B398" s="2" t="s">
        <v>4404</v>
      </c>
      <c r="C398" s="2" t="s">
        <v>4365</v>
      </c>
    </row>
    <row r="399">
      <c r="A399" s="2" t="s">
        <v>4726</v>
      </c>
      <c r="B399" s="2" t="s">
        <v>4404</v>
      </c>
      <c r="C399" s="2" t="s">
        <v>4365</v>
      </c>
    </row>
    <row r="400">
      <c r="A400" s="2" t="s">
        <v>4727</v>
      </c>
      <c r="B400" s="2" t="s">
        <v>4404</v>
      </c>
      <c r="C400" s="2" t="s">
        <v>4365</v>
      </c>
    </row>
    <row r="401">
      <c r="A401" s="2" t="s">
        <v>4728</v>
      </c>
      <c r="B401" s="2" t="s">
        <v>4404</v>
      </c>
      <c r="C401" s="2" t="s">
        <v>4365</v>
      </c>
    </row>
    <row r="402">
      <c r="A402" s="2" t="s">
        <v>4729</v>
      </c>
      <c r="B402" s="2" t="s">
        <v>4404</v>
      </c>
      <c r="C402" s="2" t="s">
        <v>4365</v>
      </c>
    </row>
    <row r="403">
      <c r="A403" s="2" t="s">
        <v>4730</v>
      </c>
      <c r="B403" s="2" t="s">
        <v>4404</v>
      </c>
      <c r="C403" s="2" t="s">
        <v>4365</v>
      </c>
    </row>
    <row r="404">
      <c r="A404" s="2" t="s">
        <v>4731</v>
      </c>
      <c r="B404" s="2" t="s">
        <v>4404</v>
      </c>
      <c r="C404" s="2" t="s">
        <v>4365</v>
      </c>
    </row>
    <row r="405">
      <c r="A405" s="2" t="s">
        <v>2184</v>
      </c>
      <c r="B405" s="2" t="s">
        <v>4407</v>
      </c>
      <c r="C405" s="2" t="s">
        <v>4365</v>
      </c>
    </row>
    <row r="406">
      <c r="A406" s="2" t="s">
        <v>4732</v>
      </c>
      <c r="B406" s="2" t="s">
        <v>4407</v>
      </c>
      <c r="C406" s="2" t="s">
        <v>4365</v>
      </c>
    </row>
    <row r="407">
      <c r="A407" s="2" t="s">
        <v>4733</v>
      </c>
      <c r="B407" s="2" t="s">
        <v>4407</v>
      </c>
      <c r="C407" s="2" t="s">
        <v>4365</v>
      </c>
    </row>
    <row r="408">
      <c r="A408" s="2" t="s">
        <v>2229</v>
      </c>
      <c r="B408" s="2" t="s">
        <v>4407</v>
      </c>
      <c r="C408" s="2" t="s">
        <v>4365</v>
      </c>
    </row>
    <row r="409">
      <c r="A409" s="2" t="s">
        <v>4734</v>
      </c>
      <c r="B409" s="2" t="s">
        <v>4407</v>
      </c>
      <c r="C409" s="2" t="s">
        <v>4365</v>
      </c>
    </row>
    <row r="410">
      <c r="A410" s="2" t="s">
        <v>2236</v>
      </c>
      <c r="B410" s="2" t="s">
        <v>4407</v>
      </c>
      <c r="C410" s="2" t="s">
        <v>4365</v>
      </c>
    </row>
    <row r="411">
      <c r="A411" s="2" t="s">
        <v>4735</v>
      </c>
      <c r="B411" s="2" t="s">
        <v>4407</v>
      </c>
      <c r="C411" s="2" t="s">
        <v>4365</v>
      </c>
    </row>
    <row r="412">
      <c r="A412" s="2" t="s">
        <v>4736</v>
      </c>
      <c r="B412" s="2" t="s">
        <v>4402</v>
      </c>
      <c r="C412" s="2" t="s">
        <v>4365</v>
      </c>
    </row>
    <row r="413">
      <c r="A413" s="2" t="s">
        <v>2050</v>
      </c>
      <c r="B413" s="2" t="s">
        <v>4402</v>
      </c>
      <c r="C413" s="2" t="s">
        <v>4365</v>
      </c>
    </row>
    <row r="414">
      <c r="A414" s="2" t="s">
        <v>4737</v>
      </c>
      <c r="B414" s="2" t="s">
        <v>4402</v>
      </c>
      <c r="C414" s="2" t="s">
        <v>4365</v>
      </c>
    </row>
    <row r="415">
      <c r="A415" s="2" t="s">
        <v>4738</v>
      </c>
      <c r="B415" s="2" t="s">
        <v>4371</v>
      </c>
      <c r="C415" s="2" t="s">
        <v>4365</v>
      </c>
    </row>
    <row r="416">
      <c r="A416" s="2" t="s">
        <v>4739</v>
      </c>
      <c r="B416" s="2" t="s">
        <v>4366</v>
      </c>
      <c r="C416" s="2" t="s">
        <v>4365</v>
      </c>
    </row>
    <row r="417">
      <c r="A417" s="2" t="s">
        <v>4740</v>
      </c>
      <c r="B417" s="2" t="s">
        <v>4366</v>
      </c>
      <c r="C417" s="2" t="s">
        <v>4365</v>
      </c>
    </row>
    <row r="418">
      <c r="A418" s="2" t="s">
        <v>4741</v>
      </c>
      <c r="B418" s="2" t="s">
        <v>4366</v>
      </c>
      <c r="C418" s="2" t="s">
        <v>4365</v>
      </c>
    </row>
    <row r="419">
      <c r="A419" s="2" t="s">
        <v>4742</v>
      </c>
      <c r="B419" s="2" t="s">
        <v>4560</v>
      </c>
      <c r="C419" s="2" t="s">
        <v>4365</v>
      </c>
    </row>
    <row r="420">
      <c r="A420" s="2" t="s">
        <v>4743</v>
      </c>
      <c r="B420" s="2" t="s">
        <v>4560</v>
      </c>
      <c r="C420" s="2" t="s">
        <v>4365</v>
      </c>
    </row>
    <row r="421">
      <c r="A421" s="2" t="s">
        <v>4744</v>
      </c>
      <c r="B421" s="2" t="s">
        <v>4404</v>
      </c>
      <c r="C421" s="2" t="s">
        <v>4365</v>
      </c>
    </row>
    <row r="422">
      <c r="A422" s="2" t="s">
        <v>4745</v>
      </c>
      <c r="B422" s="2" t="s">
        <v>4404</v>
      </c>
      <c r="C422" s="2" t="s">
        <v>4365</v>
      </c>
    </row>
    <row r="423">
      <c r="A423" s="2" t="s">
        <v>4746</v>
      </c>
      <c r="B423" s="2" t="s">
        <v>4404</v>
      </c>
      <c r="C423" s="2" t="s">
        <v>4365</v>
      </c>
    </row>
    <row r="424">
      <c r="A424" s="2" t="s">
        <v>4747</v>
      </c>
      <c r="B424" s="2" t="s">
        <v>4366</v>
      </c>
      <c r="C424" s="2" t="s">
        <v>4365</v>
      </c>
    </row>
    <row r="425">
      <c r="A425" s="2" t="s">
        <v>4748</v>
      </c>
      <c r="B425" s="2" t="s">
        <v>4366</v>
      </c>
      <c r="C425" s="2" t="s">
        <v>4365</v>
      </c>
    </row>
    <row r="426">
      <c r="A426" s="2" t="s">
        <v>4749</v>
      </c>
      <c r="B426" s="2" t="s">
        <v>4560</v>
      </c>
      <c r="C426" s="2" t="s">
        <v>4365</v>
      </c>
    </row>
    <row r="427">
      <c r="A427" s="2" t="s">
        <v>4750</v>
      </c>
      <c r="B427" s="2" t="s">
        <v>4560</v>
      </c>
      <c r="C427" s="2" t="s">
        <v>4365</v>
      </c>
    </row>
    <row r="428">
      <c r="A428" s="2" t="s">
        <v>4751</v>
      </c>
      <c r="B428" s="2" t="s">
        <v>4577</v>
      </c>
      <c r="C428" s="2" t="s">
        <v>4365</v>
      </c>
    </row>
    <row r="429">
      <c r="A429" s="2" t="s">
        <v>4752</v>
      </c>
      <c r="B429" s="2" t="s">
        <v>4577</v>
      </c>
      <c r="C429" s="2" t="s">
        <v>4365</v>
      </c>
    </row>
    <row r="430">
      <c r="A430" s="2" t="s">
        <v>4753</v>
      </c>
      <c r="B430" s="2" t="s">
        <v>4377</v>
      </c>
      <c r="C430" s="2" t="s">
        <v>4365</v>
      </c>
    </row>
    <row r="431">
      <c r="A431" s="2" t="s">
        <v>4754</v>
      </c>
      <c r="B431" s="2" t="s">
        <v>4377</v>
      </c>
      <c r="C431" s="2" t="s">
        <v>4365</v>
      </c>
    </row>
    <row r="432">
      <c r="A432" s="2" t="s">
        <v>4755</v>
      </c>
      <c r="B432" s="2" t="s">
        <v>4377</v>
      </c>
      <c r="C432" s="2" t="s">
        <v>4365</v>
      </c>
    </row>
    <row r="433">
      <c r="A433" s="2" t="s">
        <v>4756</v>
      </c>
      <c r="B433" s="2" t="s">
        <v>4386</v>
      </c>
      <c r="C433" s="2" t="s">
        <v>4365</v>
      </c>
    </row>
    <row r="434">
      <c r="A434" s="2" t="s">
        <v>4757</v>
      </c>
      <c r="B434" s="2" t="s">
        <v>4386</v>
      </c>
      <c r="C434" s="2" t="s">
        <v>4365</v>
      </c>
    </row>
    <row r="435">
      <c r="A435" s="2" t="s">
        <v>4758</v>
      </c>
      <c r="B435" s="2" t="s">
        <v>4392</v>
      </c>
      <c r="C435" s="2" t="s">
        <v>4365</v>
      </c>
    </row>
    <row r="436">
      <c r="A436" s="2" t="s">
        <v>4759</v>
      </c>
      <c r="B436" s="2" t="s">
        <v>4392</v>
      </c>
      <c r="C436" s="2" t="s">
        <v>4365</v>
      </c>
    </row>
    <row r="437">
      <c r="A437" s="2" t="s">
        <v>4760</v>
      </c>
      <c r="B437" s="2" t="s">
        <v>4392</v>
      </c>
      <c r="C437" s="2" t="s">
        <v>4365</v>
      </c>
    </row>
    <row r="438">
      <c r="A438" s="2" t="s">
        <v>4761</v>
      </c>
      <c r="B438" s="2" t="s">
        <v>4394</v>
      </c>
      <c r="C438" s="2" t="s">
        <v>4365</v>
      </c>
    </row>
    <row r="439">
      <c r="A439" s="2" t="s">
        <v>4762</v>
      </c>
      <c r="B439" s="2" t="s">
        <v>4394</v>
      </c>
      <c r="C439" s="2" t="s">
        <v>4365</v>
      </c>
    </row>
    <row r="440">
      <c r="A440" s="2" t="s">
        <v>4763</v>
      </c>
      <c r="B440" s="2" t="s">
        <v>4394</v>
      </c>
      <c r="C440" s="2" t="s">
        <v>4365</v>
      </c>
    </row>
    <row r="441">
      <c r="A441" s="2" t="s">
        <v>4764</v>
      </c>
      <c r="B441" s="2" t="s">
        <v>4560</v>
      </c>
      <c r="C441" s="2" t="s">
        <v>4365</v>
      </c>
    </row>
    <row r="442">
      <c r="A442" s="2" t="s">
        <v>4765</v>
      </c>
      <c r="B442" s="2" t="s">
        <v>4560</v>
      </c>
      <c r="C442" s="2" t="s">
        <v>4365</v>
      </c>
    </row>
    <row r="443">
      <c r="A443" s="2" t="s">
        <v>4766</v>
      </c>
      <c r="B443" s="2" t="s">
        <v>4560</v>
      </c>
      <c r="C443" s="2" t="s">
        <v>4365</v>
      </c>
    </row>
    <row r="444">
      <c r="A444" s="2" t="s">
        <v>4767</v>
      </c>
      <c r="B444" s="2" t="s">
        <v>4364</v>
      </c>
      <c r="C444" s="2" t="s">
        <v>4365</v>
      </c>
    </row>
    <row r="445">
      <c r="A445" s="2" t="s">
        <v>4768</v>
      </c>
      <c r="B445" s="2" t="s">
        <v>4397</v>
      </c>
      <c r="C445" s="2" t="s">
        <v>4365</v>
      </c>
    </row>
    <row r="446">
      <c r="A446" s="2" t="s">
        <v>4769</v>
      </c>
      <c r="B446" s="2" t="s">
        <v>4410</v>
      </c>
      <c r="C446" s="2" t="s">
        <v>4365</v>
      </c>
    </row>
    <row r="447">
      <c r="A447" s="2" t="s">
        <v>4770</v>
      </c>
      <c r="B447" s="2" t="s">
        <v>4410</v>
      </c>
      <c r="C447" s="2" t="s">
        <v>4365</v>
      </c>
    </row>
    <row r="448">
      <c r="A448" s="2" t="s">
        <v>4771</v>
      </c>
      <c r="B448" s="2" t="s">
        <v>4412</v>
      </c>
      <c r="C448" s="2" t="s">
        <v>4365</v>
      </c>
    </row>
    <row r="449">
      <c r="A449" s="2" t="s">
        <v>4772</v>
      </c>
      <c r="B449" s="2" t="s">
        <v>4412</v>
      </c>
      <c r="C449" s="2" t="s">
        <v>4365</v>
      </c>
    </row>
    <row r="450">
      <c r="A450" s="2" t="s">
        <v>4773</v>
      </c>
      <c r="B450" s="2" t="s">
        <v>4528</v>
      </c>
      <c r="C450" s="2" t="s">
        <v>4365</v>
      </c>
    </row>
    <row r="451">
      <c r="A451" s="2" t="s">
        <v>4774</v>
      </c>
      <c r="B451" s="2" t="s">
        <v>4528</v>
      </c>
      <c r="C451" s="2" t="s">
        <v>4365</v>
      </c>
    </row>
    <row r="452">
      <c r="A452" s="3" t="s">
        <v>4775</v>
      </c>
      <c r="B452" s="2" t="s">
        <v>4402</v>
      </c>
      <c r="C452" s="2" t="s">
        <v>4365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0.63"/>
    <col customWidth="1" min="3" max="3" width="16.13"/>
    <col customWidth="1" min="35" max="35" width="19.38"/>
  </cols>
  <sheetData>
    <row r="1">
      <c r="A1" s="4"/>
      <c r="B1" s="5" t="s">
        <v>4776</v>
      </c>
      <c r="C1" s="5" t="s">
        <v>4777</v>
      </c>
      <c r="D1" s="5" t="s">
        <v>4778</v>
      </c>
      <c r="E1" s="5" t="s">
        <v>4779</v>
      </c>
      <c r="F1" s="5" t="s">
        <v>4780</v>
      </c>
      <c r="G1" s="5" t="s">
        <v>4781</v>
      </c>
      <c r="H1" s="4" t="s">
        <v>4782</v>
      </c>
      <c r="I1" s="4" t="s">
        <v>4783</v>
      </c>
      <c r="J1" s="4" t="s">
        <v>4784</v>
      </c>
      <c r="K1" s="4" t="s">
        <v>4785</v>
      </c>
      <c r="L1" s="4" t="s">
        <v>4786</v>
      </c>
      <c r="M1" s="4" t="s">
        <v>4787</v>
      </c>
      <c r="N1" s="4" t="s">
        <v>4788</v>
      </c>
      <c r="O1" s="4" t="s">
        <v>4789</v>
      </c>
      <c r="P1" s="4" t="s">
        <v>4790</v>
      </c>
      <c r="Q1" s="4" t="s">
        <v>4791</v>
      </c>
      <c r="R1" s="4" t="s">
        <v>4792</v>
      </c>
      <c r="S1" s="4" t="s">
        <v>4793</v>
      </c>
      <c r="T1" s="4" t="s">
        <v>4794</v>
      </c>
      <c r="U1" s="4" t="s">
        <v>4795</v>
      </c>
      <c r="V1" s="4" t="s">
        <v>4796</v>
      </c>
      <c r="W1" s="4" t="s">
        <v>4797</v>
      </c>
      <c r="X1" s="4" t="s">
        <v>4798</v>
      </c>
      <c r="Y1" s="4" t="s">
        <v>4799</v>
      </c>
      <c r="Z1" s="4" t="s">
        <v>4800</v>
      </c>
      <c r="AA1" s="4" t="s">
        <v>4801</v>
      </c>
      <c r="AB1" s="4" t="s">
        <v>4802</v>
      </c>
      <c r="AC1" s="4" t="s">
        <v>4803</v>
      </c>
      <c r="AD1" s="4" t="s">
        <v>4804</v>
      </c>
      <c r="AE1" s="4" t="s">
        <v>4805</v>
      </c>
      <c r="AF1" s="4" t="s">
        <v>4806</v>
      </c>
      <c r="AG1" s="4" t="s">
        <v>4807</v>
      </c>
      <c r="AH1" s="4" t="s">
        <v>4808</v>
      </c>
      <c r="AI1" s="4" t="s">
        <v>4809</v>
      </c>
      <c r="AJ1" s="4" t="s">
        <v>4810</v>
      </c>
      <c r="AK1" s="4" t="s">
        <v>4811</v>
      </c>
      <c r="AL1" s="4" t="s">
        <v>4812</v>
      </c>
      <c r="AM1" s="4" t="s">
        <v>4813</v>
      </c>
      <c r="AN1" s="6"/>
      <c r="AO1" s="6"/>
    </row>
    <row r="2">
      <c r="A2" s="4" t="s">
        <v>4814</v>
      </c>
      <c r="B2" s="7" t="str">
        <f>CONCATENATE($B$1," ",$A2)</f>
        <v>"ootd New York",</v>
      </c>
      <c r="C2" s="7" t="str">
        <f t="shared" ref="C2:AM2" si="1">CONCATENATE(C1," ",$A$2)</f>
        <v>"street style New York",</v>
      </c>
      <c r="D2" s="7" t="str">
        <f t="shared" si="1"/>
        <v>"skincare New York",</v>
      </c>
      <c r="E2" s="7" t="str">
        <f t="shared" si="1"/>
        <v>"makeup New York",</v>
      </c>
      <c r="F2" s="7" t="str">
        <f t="shared" si="1"/>
        <v>"nails New York",</v>
      </c>
      <c r="G2" s="7" t="str">
        <f t="shared" si="1"/>
        <v>"curly hair New York",</v>
      </c>
      <c r="H2" s="7" t="str">
        <f t="shared" si="1"/>
        <v>"thrift New York",</v>
      </c>
      <c r="I2" s="7" t="str">
        <f t="shared" si="1"/>
        <v>"streetwear New York",</v>
      </c>
      <c r="J2" s="7" t="str">
        <f t="shared" si="1"/>
        <v>"luxury New York",</v>
      </c>
      <c r="K2" s="7" t="str">
        <f t="shared" si="1"/>
        <v>"handbags New York",</v>
      </c>
      <c r="L2" s="7" t="str">
        <f t="shared" si="1"/>
        <v>"sneakers New York",</v>
      </c>
      <c r="M2" s="7" t="str">
        <f t="shared" si="1"/>
        <v>"high heels New York",</v>
      </c>
      <c r="N2" s="7" t="str">
        <f t="shared" si="1"/>
        <v>"haute-couture New York",</v>
      </c>
      <c r="O2" s="7" t="str">
        <f t="shared" si="1"/>
        <v>"diyfashion New York",</v>
      </c>
      <c r="P2" s="7" t="str">
        <f t="shared" si="1"/>
        <v>"accessories New York",</v>
      </c>
      <c r="Q2" s="7" t="str">
        <f t="shared" si="1"/>
        <v>"menswear New York",</v>
      </c>
      <c r="R2" s="7" t="str">
        <f t="shared" si="1"/>
        <v>"womenswear New York",</v>
      </c>
      <c r="S2" s="7" t="str">
        <f t="shared" si="1"/>
        <v>"moda New York",</v>
      </c>
      <c r="T2" s="7" t="str">
        <f t="shared" si="1"/>
        <v>"hairstyle New York",</v>
      </c>
      <c r="U2" s="7" t="str">
        <f t="shared" si="1"/>
        <v>"perfume New York",</v>
      </c>
      <c r="V2" s="7" t="str">
        <f t="shared" si="1"/>
        <v>"cosmetiques New York",</v>
      </c>
      <c r="W2" s="7" t="str">
        <f t="shared" si="1"/>
        <v>"beauty routine New York",</v>
      </c>
      <c r="X2" s="7" t="str">
        <f t="shared" si="1"/>
        <v>"natural beauty New York",</v>
      </c>
      <c r="Y2" s="7" t="str">
        <f t="shared" si="1"/>
        <v>"organic beauty New York",</v>
      </c>
      <c r="Z2" s="7" t="str">
        <f t="shared" si="1"/>
        <v>"sustainable fashion New York",</v>
      </c>
      <c r="AA2" s="7" t="str">
        <f t="shared" si="1"/>
        <v>"fashion hacks New York",</v>
      </c>
      <c r="AB2" s="7" t="str">
        <f t="shared" si="1"/>
        <v>"capsule wardrobe New York",</v>
      </c>
      <c r="AC2" s="7" t="str">
        <f t="shared" si="1"/>
        <v>"fashion trends New York",</v>
      </c>
      <c r="AD2" s="7" t="str">
        <f t="shared" si="1"/>
        <v>"minimalist fashion New York",</v>
      </c>
      <c r="AE2" s="7" t="str">
        <f t="shared" si="1"/>
        <v>"beauty hacks New York",</v>
      </c>
      <c r="AF2" s="7" t="str">
        <f t="shared" si="1"/>
        <v>"hair routines New York",</v>
      </c>
      <c r="AG2" s="7" t="str">
        <f t="shared" si="1"/>
        <v>"empties New York",</v>
      </c>
      <c r="AH2" s="7" t="str">
        <f t="shared" si="1"/>
        <v>"product reviews New York",</v>
      </c>
      <c r="AI2" s="7" t="str">
        <f t="shared" si="1"/>
        <v>"beauty reviews  New York",</v>
      </c>
      <c r="AJ2" s="7" t="str">
        <f t="shared" si="1"/>
        <v>"make-up artist New York",</v>
      </c>
      <c r="AK2" s="7" t="str">
        <f t="shared" si="1"/>
        <v>"skincare journey New York",</v>
      </c>
      <c r="AL2" s="7" t="str">
        <f t="shared" si="1"/>
        <v>"hair tutorial New York",</v>
      </c>
      <c r="AM2" s="7" t="str">
        <f t="shared" si="1"/>
        <v>"barbershop New York",</v>
      </c>
      <c r="AN2" s="6"/>
      <c r="AO2" s="6"/>
    </row>
    <row r="3">
      <c r="A3" s="4" t="s">
        <v>4815</v>
      </c>
      <c r="B3" s="7" t="str">
        <f t="shared" ref="B3:AM3" si="2">CONCATENATE(B$1," ",$A3)</f>
        <v>"ootd Los Angeles",</v>
      </c>
      <c r="C3" s="7" t="str">
        <f t="shared" si="2"/>
        <v>"street style Los Angeles",</v>
      </c>
      <c r="D3" s="7" t="str">
        <f t="shared" si="2"/>
        <v>"skincare Los Angeles",</v>
      </c>
      <c r="E3" s="7" t="str">
        <f t="shared" si="2"/>
        <v>"makeup Los Angeles",</v>
      </c>
      <c r="F3" s="7" t="str">
        <f t="shared" si="2"/>
        <v>"nails Los Angeles",</v>
      </c>
      <c r="G3" s="7" t="str">
        <f t="shared" si="2"/>
        <v>"curly hair Los Angeles",</v>
      </c>
      <c r="H3" s="7" t="str">
        <f t="shared" si="2"/>
        <v>"thrift Los Angeles",</v>
      </c>
      <c r="I3" s="7" t="str">
        <f t="shared" si="2"/>
        <v>"streetwear Los Angeles",</v>
      </c>
      <c r="J3" s="7" t="str">
        <f t="shared" si="2"/>
        <v>"luxury Los Angeles",</v>
      </c>
      <c r="K3" s="7" t="str">
        <f t="shared" si="2"/>
        <v>"handbags Los Angeles",</v>
      </c>
      <c r="L3" s="7" t="str">
        <f t="shared" si="2"/>
        <v>"sneakers Los Angeles",</v>
      </c>
      <c r="M3" s="7" t="str">
        <f t="shared" si="2"/>
        <v>"high heels Los Angeles",</v>
      </c>
      <c r="N3" s="7" t="str">
        <f t="shared" si="2"/>
        <v>"haute-couture Los Angeles",</v>
      </c>
      <c r="O3" s="7" t="str">
        <f t="shared" si="2"/>
        <v>"diyfashion Los Angeles",</v>
      </c>
      <c r="P3" s="7" t="str">
        <f t="shared" si="2"/>
        <v>"accessories Los Angeles",</v>
      </c>
      <c r="Q3" s="7" t="str">
        <f t="shared" si="2"/>
        <v>"menswear Los Angeles",</v>
      </c>
      <c r="R3" s="7" t="str">
        <f t="shared" si="2"/>
        <v>"womenswear Los Angeles",</v>
      </c>
      <c r="S3" s="7" t="str">
        <f t="shared" si="2"/>
        <v>"moda Los Angeles",</v>
      </c>
      <c r="T3" s="7" t="str">
        <f t="shared" si="2"/>
        <v>"hairstyle Los Angeles",</v>
      </c>
      <c r="U3" s="7" t="str">
        <f t="shared" si="2"/>
        <v>"perfume Los Angeles",</v>
      </c>
      <c r="V3" s="7" t="str">
        <f t="shared" si="2"/>
        <v>"cosmetiques Los Angeles",</v>
      </c>
      <c r="W3" s="7" t="str">
        <f t="shared" si="2"/>
        <v>"beauty routine Los Angeles",</v>
      </c>
      <c r="X3" s="7" t="str">
        <f t="shared" si="2"/>
        <v>"natural beauty Los Angeles",</v>
      </c>
      <c r="Y3" s="7" t="str">
        <f t="shared" si="2"/>
        <v>"organic beauty Los Angeles",</v>
      </c>
      <c r="Z3" s="7" t="str">
        <f t="shared" si="2"/>
        <v>"sustainable fashion Los Angeles",</v>
      </c>
      <c r="AA3" s="7" t="str">
        <f t="shared" si="2"/>
        <v>"fashion hacks Los Angeles",</v>
      </c>
      <c r="AB3" s="7" t="str">
        <f t="shared" si="2"/>
        <v>"capsule wardrobe Los Angeles",</v>
      </c>
      <c r="AC3" s="7" t="str">
        <f t="shared" si="2"/>
        <v>"fashion trends Los Angeles",</v>
      </c>
      <c r="AD3" s="7" t="str">
        <f t="shared" si="2"/>
        <v>"minimalist fashion Los Angeles",</v>
      </c>
      <c r="AE3" s="7" t="str">
        <f t="shared" si="2"/>
        <v>"beauty hacks Los Angeles",</v>
      </c>
      <c r="AF3" s="7" t="str">
        <f t="shared" si="2"/>
        <v>"hair routines Los Angeles",</v>
      </c>
      <c r="AG3" s="7" t="str">
        <f t="shared" si="2"/>
        <v>"empties Los Angeles",</v>
      </c>
      <c r="AH3" s="7" t="str">
        <f t="shared" si="2"/>
        <v>"product reviews Los Angeles",</v>
      </c>
      <c r="AI3" s="7" t="str">
        <f t="shared" si="2"/>
        <v>"beauty reviews  Los Angeles",</v>
      </c>
      <c r="AJ3" s="7" t="str">
        <f t="shared" si="2"/>
        <v>"make-up artist Los Angeles",</v>
      </c>
      <c r="AK3" s="7" t="str">
        <f t="shared" si="2"/>
        <v>"skincare journey Los Angeles",</v>
      </c>
      <c r="AL3" s="7" t="str">
        <f t="shared" si="2"/>
        <v>"hair tutorial Los Angeles",</v>
      </c>
      <c r="AM3" s="7" t="str">
        <f t="shared" si="2"/>
        <v>"barbershop Los Angeles",</v>
      </c>
      <c r="AN3" s="6"/>
      <c r="AO3" s="6"/>
    </row>
    <row r="4">
      <c r="A4" s="4" t="s">
        <v>4816</v>
      </c>
      <c r="B4" s="7" t="str">
        <f t="shared" ref="B4:AM4" si="3">CONCATENATE(B$1," ",$A4)</f>
        <v>"ootd San Francisco",</v>
      </c>
      <c r="C4" s="7" t="str">
        <f t="shared" si="3"/>
        <v>"street style San Francisco",</v>
      </c>
      <c r="D4" s="7" t="str">
        <f t="shared" si="3"/>
        <v>"skincare San Francisco",</v>
      </c>
      <c r="E4" s="7" t="str">
        <f t="shared" si="3"/>
        <v>"makeup San Francisco",</v>
      </c>
      <c r="F4" s="7" t="str">
        <f t="shared" si="3"/>
        <v>"nails San Francisco",</v>
      </c>
      <c r="G4" s="7" t="str">
        <f t="shared" si="3"/>
        <v>"curly hair San Francisco",</v>
      </c>
      <c r="H4" s="7" t="str">
        <f t="shared" si="3"/>
        <v>"thrift San Francisco",</v>
      </c>
      <c r="I4" s="7" t="str">
        <f t="shared" si="3"/>
        <v>"streetwear San Francisco",</v>
      </c>
      <c r="J4" s="7" t="str">
        <f t="shared" si="3"/>
        <v>"luxury San Francisco",</v>
      </c>
      <c r="K4" s="7" t="str">
        <f t="shared" si="3"/>
        <v>"handbags San Francisco",</v>
      </c>
      <c r="L4" s="7" t="str">
        <f t="shared" si="3"/>
        <v>"sneakers San Francisco",</v>
      </c>
      <c r="M4" s="7" t="str">
        <f t="shared" si="3"/>
        <v>"high heels San Francisco",</v>
      </c>
      <c r="N4" s="7" t="str">
        <f t="shared" si="3"/>
        <v>"haute-couture San Francisco",</v>
      </c>
      <c r="O4" s="7" t="str">
        <f t="shared" si="3"/>
        <v>"diyfashion San Francisco",</v>
      </c>
      <c r="P4" s="7" t="str">
        <f t="shared" si="3"/>
        <v>"accessories San Francisco",</v>
      </c>
      <c r="Q4" s="7" t="str">
        <f t="shared" si="3"/>
        <v>"menswear San Francisco",</v>
      </c>
      <c r="R4" s="7" t="str">
        <f t="shared" si="3"/>
        <v>"womenswear San Francisco",</v>
      </c>
      <c r="S4" s="7" t="str">
        <f t="shared" si="3"/>
        <v>"moda San Francisco",</v>
      </c>
      <c r="T4" s="7" t="str">
        <f t="shared" si="3"/>
        <v>"hairstyle San Francisco",</v>
      </c>
      <c r="U4" s="7" t="str">
        <f t="shared" si="3"/>
        <v>"perfume San Francisco",</v>
      </c>
      <c r="V4" s="7" t="str">
        <f t="shared" si="3"/>
        <v>"cosmetiques San Francisco",</v>
      </c>
      <c r="W4" s="7" t="str">
        <f t="shared" si="3"/>
        <v>"beauty routine San Francisco",</v>
      </c>
      <c r="X4" s="7" t="str">
        <f t="shared" si="3"/>
        <v>"natural beauty San Francisco",</v>
      </c>
      <c r="Y4" s="7" t="str">
        <f t="shared" si="3"/>
        <v>"organic beauty San Francisco",</v>
      </c>
      <c r="Z4" s="7" t="str">
        <f t="shared" si="3"/>
        <v>"sustainable fashion San Francisco",</v>
      </c>
      <c r="AA4" s="7" t="str">
        <f t="shared" si="3"/>
        <v>"fashion hacks San Francisco",</v>
      </c>
      <c r="AB4" s="7" t="str">
        <f t="shared" si="3"/>
        <v>"capsule wardrobe San Francisco",</v>
      </c>
      <c r="AC4" s="7" t="str">
        <f t="shared" si="3"/>
        <v>"fashion trends San Francisco",</v>
      </c>
      <c r="AD4" s="7" t="str">
        <f t="shared" si="3"/>
        <v>"minimalist fashion San Francisco",</v>
      </c>
      <c r="AE4" s="7" t="str">
        <f t="shared" si="3"/>
        <v>"beauty hacks San Francisco",</v>
      </c>
      <c r="AF4" s="7" t="str">
        <f t="shared" si="3"/>
        <v>"hair routines San Francisco",</v>
      </c>
      <c r="AG4" s="7" t="str">
        <f t="shared" si="3"/>
        <v>"empties San Francisco",</v>
      </c>
      <c r="AH4" s="7" t="str">
        <f t="shared" si="3"/>
        <v>"product reviews San Francisco",</v>
      </c>
      <c r="AI4" s="7" t="str">
        <f t="shared" si="3"/>
        <v>"beauty reviews  San Francisco",</v>
      </c>
      <c r="AJ4" s="7" t="str">
        <f t="shared" si="3"/>
        <v>"make-up artist San Francisco",</v>
      </c>
      <c r="AK4" s="7" t="str">
        <f t="shared" si="3"/>
        <v>"skincare journey San Francisco",</v>
      </c>
      <c r="AL4" s="7" t="str">
        <f t="shared" si="3"/>
        <v>"hair tutorial San Francisco",</v>
      </c>
      <c r="AM4" s="7" t="str">
        <f t="shared" si="3"/>
        <v>"barbershop San Francisco",</v>
      </c>
      <c r="AN4" s="6"/>
      <c r="AO4" s="6"/>
    </row>
    <row r="5">
      <c r="A5" s="4" t="s">
        <v>4817</v>
      </c>
      <c r="B5" s="7" t="str">
        <f t="shared" ref="B5:B101" si="5">CONCATENATE($B$1," ",$A5)</f>
        <v>"ootd Miami",</v>
      </c>
      <c r="C5" s="7" t="str">
        <f t="shared" ref="C5:AM5" si="4">CONCATENATE(C$1," ",$A5)</f>
        <v>"street style Miami",</v>
      </c>
      <c r="D5" s="7" t="str">
        <f t="shared" si="4"/>
        <v>"skincare Miami",</v>
      </c>
      <c r="E5" s="7" t="str">
        <f t="shared" si="4"/>
        <v>"makeup Miami",</v>
      </c>
      <c r="F5" s="7" t="str">
        <f t="shared" si="4"/>
        <v>"nails Miami",</v>
      </c>
      <c r="G5" s="7" t="str">
        <f t="shared" si="4"/>
        <v>"curly hair Miami",</v>
      </c>
      <c r="H5" s="7" t="str">
        <f t="shared" si="4"/>
        <v>"thrift Miami",</v>
      </c>
      <c r="I5" s="7" t="str">
        <f t="shared" si="4"/>
        <v>"streetwear Miami",</v>
      </c>
      <c r="J5" s="7" t="str">
        <f t="shared" si="4"/>
        <v>"luxury Miami",</v>
      </c>
      <c r="K5" s="7" t="str">
        <f t="shared" si="4"/>
        <v>"handbags Miami",</v>
      </c>
      <c r="L5" s="7" t="str">
        <f t="shared" si="4"/>
        <v>"sneakers Miami",</v>
      </c>
      <c r="M5" s="7" t="str">
        <f t="shared" si="4"/>
        <v>"high heels Miami",</v>
      </c>
      <c r="N5" s="7" t="str">
        <f t="shared" si="4"/>
        <v>"haute-couture Miami",</v>
      </c>
      <c r="O5" s="7" t="str">
        <f t="shared" si="4"/>
        <v>"diyfashion Miami",</v>
      </c>
      <c r="P5" s="7" t="str">
        <f t="shared" si="4"/>
        <v>"accessories Miami",</v>
      </c>
      <c r="Q5" s="7" t="str">
        <f t="shared" si="4"/>
        <v>"menswear Miami",</v>
      </c>
      <c r="R5" s="7" t="str">
        <f t="shared" si="4"/>
        <v>"womenswear Miami",</v>
      </c>
      <c r="S5" s="7" t="str">
        <f t="shared" si="4"/>
        <v>"moda Miami",</v>
      </c>
      <c r="T5" s="7" t="str">
        <f t="shared" si="4"/>
        <v>"hairstyle Miami",</v>
      </c>
      <c r="U5" s="7" t="str">
        <f t="shared" si="4"/>
        <v>"perfume Miami",</v>
      </c>
      <c r="V5" s="7" t="str">
        <f t="shared" si="4"/>
        <v>"cosmetiques Miami",</v>
      </c>
      <c r="W5" s="7" t="str">
        <f t="shared" si="4"/>
        <v>"beauty routine Miami",</v>
      </c>
      <c r="X5" s="7" t="str">
        <f t="shared" si="4"/>
        <v>"natural beauty Miami",</v>
      </c>
      <c r="Y5" s="7" t="str">
        <f t="shared" si="4"/>
        <v>"organic beauty Miami",</v>
      </c>
      <c r="Z5" s="7" t="str">
        <f t="shared" si="4"/>
        <v>"sustainable fashion Miami",</v>
      </c>
      <c r="AA5" s="7" t="str">
        <f t="shared" si="4"/>
        <v>"fashion hacks Miami",</v>
      </c>
      <c r="AB5" s="7" t="str">
        <f t="shared" si="4"/>
        <v>"capsule wardrobe Miami",</v>
      </c>
      <c r="AC5" s="7" t="str">
        <f t="shared" si="4"/>
        <v>"fashion trends Miami",</v>
      </c>
      <c r="AD5" s="7" t="str">
        <f t="shared" si="4"/>
        <v>"minimalist fashion Miami",</v>
      </c>
      <c r="AE5" s="7" t="str">
        <f t="shared" si="4"/>
        <v>"beauty hacks Miami",</v>
      </c>
      <c r="AF5" s="7" t="str">
        <f t="shared" si="4"/>
        <v>"hair routines Miami",</v>
      </c>
      <c r="AG5" s="7" t="str">
        <f t="shared" si="4"/>
        <v>"empties Miami",</v>
      </c>
      <c r="AH5" s="7" t="str">
        <f t="shared" si="4"/>
        <v>"product reviews Miami",</v>
      </c>
      <c r="AI5" s="7" t="str">
        <f t="shared" si="4"/>
        <v>"beauty reviews  Miami",</v>
      </c>
      <c r="AJ5" s="7" t="str">
        <f t="shared" si="4"/>
        <v>"make-up artist Miami",</v>
      </c>
      <c r="AK5" s="7" t="str">
        <f t="shared" si="4"/>
        <v>"skincare journey Miami",</v>
      </c>
      <c r="AL5" s="7" t="str">
        <f t="shared" si="4"/>
        <v>"hair tutorial Miami",</v>
      </c>
      <c r="AM5" s="7" t="str">
        <f t="shared" si="4"/>
        <v>"barbershop Miami",</v>
      </c>
      <c r="AN5" s="6"/>
      <c r="AO5" s="6"/>
    </row>
    <row r="6">
      <c r="A6" s="4" t="s">
        <v>4818</v>
      </c>
      <c r="B6" s="7" t="str">
        <f t="shared" si="5"/>
        <v>"ootd Chicago",</v>
      </c>
      <c r="C6" s="7" t="str">
        <f t="shared" ref="C6:AM6" si="6">CONCATENATE(C$1," ",$A6)</f>
        <v>"street style Chicago",</v>
      </c>
      <c r="D6" s="7" t="str">
        <f t="shared" si="6"/>
        <v>"skincare Chicago",</v>
      </c>
      <c r="E6" s="7" t="str">
        <f t="shared" si="6"/>
        <v>"makeup Chicago",</v>
      </c>
      <c r="F6" s="7" t="str">
        <f t="shared" si="6"/>
        <v>"nails Chicago",</v>
      </c>
      <c r="G6" s="7" t="str">
        <f t="shared" si="6"/>
        <v>"curly hair Chicago",</v>
      </c>
      <c r="H6" s="7" t="str">
        <f t="shared" si="6"/>
        <v>"thrift Chicago",</v>
      </c>
      <c r="I6" s="7" t="str">
        <f t="shared" si="6"/>
        <v>"streetwear Chicago",</v>
      </c>
      <c r="J6" s="7" t="str">
        <f t="shared" si="6"/>
        <v>"luxury Chicago",</v>
      </c>
      <c r="K6" s="7" t="str">
        <f t="shared" si="6"/>
        <v>"handbags Chicago",</v>
      </c>
      <c r="L6" s="7" t="str">
        <f t="shared" si="6"/>
        <v>"sneakers Chicago",</v>
      </c>
      <c r="M6" s="7" t="str">
        <f t="shared" si="6"/>
        <v>"high heels Chicago",</v>
      </c>
      <c r="N6" s="7" t="str">
        <f t="shared" si="6"/>
        <v>"haute-couture Chicago",</v>
      </c>
      <c r="O6" s="7" t="str">
        <f t="shared" si="6"/>
        <v>"diyfashion Chicago",</v>
      </c>
      <c r="P6" s="7" t="str">
        <f t="shared" si="6"/>
        <v>"accessories Chicago",</v>
      </c>
      <c r="Q6" s="7" t="str">
        <f t="shared" si="6"/>
        <v>"menswear Chicago",</v>
      </c>
      <c r="R6" s="7" t="str">
        <f t="shared" si="6"/>
        <v>"womenswear Chicago",</v>
      </c>
      <c r="S6" s="7" t="str">
        <f t="shared" si="6"/>
        <v>"moda Chicago",</v>
      </c>
      <c r="T6" s="7" t="str">
        <f t="shared" si="6"/>
        <v>"hairstyle Chicago",</v>
      </c>
      <c r="U6" s="7" t="str">
        <f t="shared" si="6"/>
        <v>"perfume Chicago",</v>
      </c>
      <c r="V6" s="7" t="str">
        <f t="shared" si="6"/>
        <v>"cosmetiques Chicago",</v>
      </c>
      <c r="W6" s="7" t="str">
        <f t="shared" si="6"/>
        <v>"beauty routine Chicago",</v>
      </c>
      <c r="X6" s="7" t="str">
        <f t="shared" si="6"/>
        <v>"natural beauty Chicago",</v>
      </c>
      <c r="Y6" s="7" t="str">
        <f t="shared" si="6"/>
        <v>"organic beauty Chicago",</v>
      </c>
      <c r="Z6" s="7" t="str">
        <f t="shared" si="6"/>
        <v>"sustainable fashion Chicago",</v>
      </c>
      <c r="AA6" s="7" t="str">
        <f t="shared" si="6"/>
        <v>"fashion hacks Chicago",</v>
      </c>
      <c r="AB6" s="7" t="str">
        <f t="shared" si="6"/>
        <v>"capsule wardrobe Chicago",</v>
      </c>
      <c r="AC6" s="7" t="str">
        <f t="shared" si="6"/>
        <v>"fashion trends Chicago",</v>
      </c>
      <c r="AD6" s="7" t="str">
        <f t="shared" si="6"/>
        <v>"minimalist fashion Chicago",</v>
      </c>
      <c r="AE6" s="7" t="str">
        <f t="shared" si="6"/>
        <v>"beauty hacks Chicago",</v>
      </c>
      <c r="AF6" s="7" t="str">
        <f t="shared" si="6"/>
        <v>"hair routines Chicago",</v>
      </c>
      <c r="AG6" s="7" t="str">
        <f t="shared" si="6"/>
        <v>"empties Chicago",</v>
      </c>
      <c r="AH6" s="7" t="str">
        <f t="shared" si="6"/>
        <v>"product reviews Chicago",</v>
      </c>
      <c r="AI6" s="7" t="str">
        <f t="shared" si="6"/>
        <v>"beauty reviews  Chicago",</v>
      </c>
      <c r="AJ6" s="7" t="str">
        <f t="shared" si="6"/>
        <v>"make-up artist Chicago",</v>
      </c>
      <c r="AK6" s="7" t="str">
        <f t="shared" si="6"/>
        <v>"skincare journey Chicago",</v>
      </c>
      <c r="AL6" s="7" t="str">
        <f t="shared" si="6"/>
        <v>"hair tutorial Chicago",</v>
      </c>
      <c r="AM6" s="7" t="str">
        <f t="shared" si="6"/>
        <v>"barbershop Chicago",</v>
      </c>
      <c r="AN6" s="6"/>
      <c r="AO6" s="6"/>
    </row>
    <row r="7">
      <c r="A7" s="4" t="s">
        <v>4819</v>
      </c>
      <c r="B7" s="7" t="str">
        <f t="shared" si="5"/>
        <v>"ootd Toronto",</v>
      </c>
      <c r="C7" s="7" t="str">
        <f t="shared" ref="C7:AM7" si="7">CONCATENATE(C$1," ",$A7)</f>
        <v>"street style Toronto",</v>
      </c>
      <c r="D7" s="7" t="str">
        <f t="shared" si="7"/>
        <v>"skincare Toronto",</v>
      </c>
      <c r="E7" s="7" t="str">
        <f t="shared" si="7"/>
        <v>"makeup Toronto",</v>
      </c>
      <c r="F7" s="7" t="str">
        <f t="shared" si="7"/>
        <v>"nails Toronto",</v>
      </c>
      <c r="G7" s="7" t="str">
        <f t="shared" si="7"/>
        <v>"curly hair Toronto",</v>
      </c>
      <c r="H7" s="7" t="str">
        <f t="shared" si="7"/>
        <v>"thrift Toronto",</v>
      </c>
      <c r="I7" s="7" t="str">
        <f t="shared" si="7"/>
        <v>"streetwear Toronto",</v>
      </c>
      <c r="J7" s="7" t="str">
        <f t="shared" si="7"/>
        <v>"luxury Toronto",</v>
      </c>
      <c r="K7" s="7" t="str">
        <f t="shared" si="7"/>
        <v>"handbags Toronto",</v>
      </c>
      <c r="L7" s="7" t="str">
        <f t="shared" si="7"/>
        <v>"sneakers Toronto",</v>
      </c>
      <c r="M7" s="7" t="str">
        <f t="shared" si="7"/>
        <v>"high heels Toronto",</v>
      </c>
      <c r="N7" s="7" t="str">
        <f t="shared" si="7"/>
        <v>"haute-couture Toronto",</v>
      </c>
      <c r="O7" s="7" t="str">
        <f t="shared" si="7"/>
        <v>"diyfashion Toronto",</v>
      </c>
      <c r="P7" s="7" t="str">
        <f t="shared" si="7"/>
        <v>"accessories Toronto",</v>
      </c>
      <c r="Q7" s="7" t="str">
        <f t="shared" si="7"/>
        <v>"menswear Toronto",</v>
      </c>
      <c r="R7" s="7" t="str">
        <f t="shared" si="7"/>
        <v>"womenswear Toronto",</v>
      </c>
      <c r="S7" s="7" t="str">
        <f t="shared" si="7"/>
        <v>"moda Toronto",</v>
      </c>
      <c r="T7" s="7" t="str">
        <f t="shared" si="7"/>
        <v>"hairstyle Toronto",</v>
      </c>
      <c r="U7" s="7" t="str">
        <f t="shared" si="7"/>
        <v>"perfume Toronto",</v>
      </c>
      <c r="V7" s="7" t="str">
        <f t="shared" si="7"/>
        <v>"cosmetiques Toronto",</v>
      </c>
      <c r="W7" s="7" t="str">
        <f t="shared" si="7"/>
        <v>"beauty routine Toronto",</v>
      </c>
      <c r="X7" s="7" t="str">
        <f t="shared" si="7"/>
        <v>"natural beauty Toronto",</v>
      </c>
      <c r="Y7" s="7" t="str">
        <f t="shared" si="7"/>
        <v>"organic beauty Toronto",</v>
      </c>
      <c r="Z7" s="7" t="str">
        <f t="shared" si="7"/>
        <v>"sustainable fashion Toronto",</v>
      </c>
      <c r="AA7" s="7" t="str">
        <f t="shared" si="7"/>
        <v>"fashion hacks Toronto",</v>
      </c>
      <c r="AB7" s="7" t="str">
        <f t="shared" si="7"/>
        <v>"capsule wardrobe Toronto",</v>
      </c>
      <c r="AC7" s="7" t="str">
        <f t="shared" si="7"/>
        <v>"fashion trends Toronto",</v>
      </c>
      <c r="AD7" s="7" t="str">
        <f t="shared" si="7"/>
        <v>"minimalist fashion Toronto",</v>
      </c>
      <c r="AE7" s="7" t="str">
        <f t="shared" si="7"/>
        <v>"beauty hacks Toronto",</v>
      </c>
      <c r="AF7" s="7" t="str">
        <f t="shared" si="7"/>
        <v>"hair routines Toronto",</v>
      </c>
      <c r="AG7" s="7" t="str">
        <f t="shared" si="7"/>
        <v>"empties Toronto",</v>
      </c>
      <c r="AH7" s="7" t="str">
        <f t="shared" si="7"/>
        <v>"product reviews Toronto",</v>
      </c>
      <c r="AI7" s="7" t="str">
        <f t="shared" si="7"/>
        <v>"beauty reviews  Toronto",</v>
      </c>
      <c r="AJ7" s="7" t="str">
        <f t="shared" si="7"/>
        <v>"make-up artist Toronto",</v>
      </c>
      <c r="AK7" s="7" t="str">
        <f t="shared" si="7"/>
        <v>"skincare journey Toronto",</v>
      </c>
      <c r="AL7" s="7" t="str">
        <f t="shared" si="7"/>
        <v>"hair tutorial Toronto",</v>
      </c>
      <c r="AM7" s="7" t="str">
        <f t="shared" si="7"/>
        <v>"barbershop Toronto",</v>
      </c>
      <c r="AN7" s="6"/>
      <c r="AO7" s="6"/>
    </row>
    <row r="8">
      <c r="A8" s="4" t="s">
        <v>4820</v>
      </c>
      <c r="B8" s="7" t="str">
        <f t="shared" si="5"/>
        <v>"ootd Mexico City",</v>
      </c>
      <c r="C8" s="7" t="str">
        <f t="shared" ref="C8:AM8" si="8">CONCATENATE(C$1," ",$A8)</f>
        <v>"street style Mexico City",</v>
      </c>
      <c r="D8" s="7" t="str">
        <f t="shared" si="8"/>
        <v>"skincare Mexico City",</v>
      </c>
      <c r="E8" s="7" t="str">
        <f t="shared" si="8"/>
        <v>"makeup Mexico City",</v>
      </c>
      <c r="F8" s="7" t="str">
        <f t="shared" si="8"/>
        <v>"nails Mexico City",</v>
      </c>
      <c r="G8" s="7" t="str">
        <f t="shared" si="8"/>
        <v>"curly hair Mexico City",</v>
      </c>
      <c r="H8" s="7" t="str">
        <f t="shared" si="8"/>
        <v>"thrift Mexico City",</v>
      </c>
      <c r="I8" s="7" t="str">
        <f t="shared" si="8"/>
        <v>"streetwear Mexico City",</v>
      </c>
      <c r="J8" s="7" t="str">
        <f t="shared" si="8"/>
        <v>"luxury Mexico City",</v>
      </c>
      <c r="K8" s="7" t="str">
        <f t="shared" si="8"/>
        <v>"handbags Mexico City",</v>
      </c>
      <c r="L8" s="7" t="str">
        <f t="shared" si="8"/>
        <v>"sneakers Mexico City",</v>
      </c>
      <c r="M8" s="7" t="str">
        <f t="shared" si="8"/>
        <v>"high heels Mexico City",</v>
      </c>
      <c r="N8" s="7" t="str">
        <f t="shared" si="8"/>
        <v>"haute-couture Mexico City",</v>
      </c>
      <c r="O8" s="7" t="str">
        <f t="shared" si="8"/>
        <v>"diyfashion Mexico City",</v>
      </c>
      <c r="P8" s="7" t="str">
        <f t="shared" si="8"/>
        <v>"accessories Mexico City",</v>
      </c>
      <c r="Q8" s="7" t="str">
        <f t="shared" si="8"/>
        <v>"menswear Mexico City",</v>
      </c>
      <c r="R8" s="7" t="str">
        <f t="shared" si="8"/>
        <v>"womenswear Mexico City",</v>
      </c>
      <c r="S8" s="7" t="str">
        <f t="shared" si="8"/>
        <v>"moda Mexico City",</v>
      </c>
      <c r="T8" s="7" t="str">
        <f t="shared" si="8"/>
        <v>"hairstyle Mexico City",</v>
      </c>
      <c r="U8" s="7" t="str">
        <f t="shared" si="8"/>
        <v>"perfume Mexico City",</v>
      </c>
      <c r="V8" s="7" t="str">
        <f t="shared" si="8"/>
        <v>"cosmetiques Mexico City",</v>
      </c>
      <c r="W8" s="7" t="str">
        <f t="shared" si="8"/>
        <v>"beauty routine Mexico City",</v>
      </c>
      <c r="X8" s="7" t="str">
        <f t="shared" si="8"/>
        <v>"natural beauty Mexico City",</v>
      </c>
      <c r="Y8" s="7" t="str">
        <f t="shared" si="8"/>
        <v>"organic beauty Mexico City",</v>
      </c>
      <c r="Z8" s="7" t="str">
        <f t="shared" si="8"/>
        <v>"sustainable fashion Mexico City",</v>
      </c>
      <c r="AA8" s="7" t="str">
        <f t="shared" si="8"/>
        <v>"fashion hacks Mexico City",</v>
      </c>
      <c r="AB8" s="7" t="str">
        <f t="shared" si="8"/>
        <v>"capsule wardrobe Mexico City",</v>
      </c>
      <c r="AC8" s="7" t="str">
        <f t="shared" si="8"/>
        <v>"fashion trends Mexico City",</v>
      </c>
      <c r="AD8" s="7" t="str">
        <f t="shared" si="8"/>
        <v>"minimalist fashion Mexico City",</v>
      </c>
      <c r="AE8" s="7" t="str">
        <f t="shared" si="8"/>
        <v>"beauty hacks Mexico City",</v>
      </c>
      <c r="AF8" s="7" t="str">
        <f t="shared" si="8"/>
        <v>"hair routines Mexico City",</v>
      </c>
      <c r="AG8" s="7" t="str">
        <f t="shared" si="8"/>
        <v>"empties Mexico City",</v>
      </c>
      <c r="AH8" s="7" t="str">
        <f t="shared" si="8"/>
        <v>"product reviews Mexico City",</v>
      </c>
      <c r="AI8" s="7" t="str">
        <f t="shared" si="8"/>
        <v>"beauty reviews  Mexico City",</v>
      </c>
      <c r="AJ8" s="7" t="str">
        <f t="shared" si="8"/>
        <v>"make-up artist Mexico City",</v>
      </c>
      <c r="AK8" s="7" t="str">
        <f t="shared" si="8"/>
        <v>"skincare journey Mexico City",</v>
      </c>
      <c r="AL8" s="7" t="str">
        <f t="shared" si="8"/>
        <v>"hair tutorial Mexico City",</v>
      </c>
      <c r="AM8" s="7" t="str">
        <f t="shared" si="8"/>
        <v>"barbershop Mexico City",</v>
      </c>
      <c r="AN8" s="6"/>
      <c r="AO8" s="6"/>
    </row>
    <row r="9">
      <c r="A9" s="4" t="s">
        <v>4821</v>
      </c>
      <c r="B9" s="7" t="str">
        <f t="shared" si="5"/>
        <v>"ootd Sao Paulo",</v>
      </c>
      <c r="C9" s="7" t="str">
        <f t="shared" ref="C9:AM9" si="9">CONCATENATE(C$1," ",$A9)</f>
        <v>"street style Sao Paulo",</v>
      </c>
      <c r="D9" s="7" t="str">
        <f t="shared" si="9"/>
        <v>"skincare Sao Paulo",</v>
      </c>
      <c r="E9" s="7" t="str">
        <f t="shared" si="9"/>
        <v>"makeup Sao Paulo",</v>
      </c>
      <c r="F9" s="7" t="str">
        <f t="shared" si="9"/>
        <v>"nails Sao Paulo",</v>
      </c>
      <c r="G9" s="7" t="str">
        <f t="shared" si="9"/>
        <v>"curly hair Sao Paulo",</v>
      </c>
      <c r="H9" s="7" t="str">
        <f t="shared" si="9"/>
        <v>"thrift Sao Paulo",</v>
      </c>
      <c r="I9" s="7" t="str">
        <f t="shared" si="9"/>
        <v>"streetwear Sao Paulo",</v>
      </c>
      <c r="J9" s="7" t="str">
        <f t="shared" si="9"/>
        <v>"luxury Sao Paulo",</v>
      </c>
      <c r="K9" s="7" t="str">
        <f t="shared" si="9"/>
        <v>"handbags Sao Paulo",</v>
      </c>
      <c r="L9" s="7" t="str">
        <f t="shared" si="9"/>
        <v>"sneakers Sao Paulo",</v>
      </c>
      <c r="M9" s="7" t="str">
        <f t="shared" si="9"/>
        <v>"high heels Sao Paulo",</v>
      </c>
      <c r="N9" s="7" t="str">
        <f t="shared" si="9"/>
        <v>"haute-couture Sao Paulo",</v>
      </c>
      <c r="O9" s="7" t="str">
        <f t="shared" si="9"/>
        <v>"diyfashion Sao Paulo",</v>
      </c>
      <c r="P9" s="7" t="str">
        <f t="shared" si="9"/>
        <v>"accessories Sao Paulo",</v>
      </c>
      <c r="Q9" s="7" t="str">
        <f t="shared" si="9"/>
        <v>"menswear Sao Paulo",</v>
      </c>
      <c r="R9" s="7" t="str">
        <f t="shared" si="9"/>
        <v>"womenswear Sao Paulo",</v>
      </c>
      <c r="S9" s="7" t="str">
        <f t="shared" si="9"/>
        <v>"moda Sao Paulo",</v>
      </c>
      <c r="T9" s="7" t="str">
        <f t="shared" si="9"/>
        <v>"hairstyle Sao Paulo",</v>
      </c>
      <c r="U9" s="7" t="str">
        <f t="shared" si="9"/>
        <v>"perfume Sao Paulo",</v>
      </c>
      <c r="V9" s="7" t="str">
        <f t="shared" si="9"/>
        <v>"cosmetiques Sao Paulo",</v>
      </c>
      <c r="W9" s="7" t="str">
        <f t="shared" si="9"/>
        <v>"beauty routine Sao Paulo",</v>
      </c>
      <c r="X9" s="7" t="str">
        <f t="shared" si="9"/>
        <v>"natural beauty Sao Paulo",</v>
      </c>
      <c r="Y9" s="7" t="str">
        <f t="shared" si="9"/>
        <v>"organic beauty Sao Paulo",</v>
      </c>
      <c r="Z9" s="7" t="str">
        <f t="shared" si="9"/>
        <v>"sustainable fashion Sao Paulo",</v>
      </c>
      <c r="AA9" s="7" t="str">
        <f t="shared" si="9"/>
        <v>"fashion hacks Sao Paulo",</v>
      </c>
      <c r="AB9" s="7" t="str">
        <f t="shared" si="9"/>
        <v>"capsule wardrobe Sao Paulo",</v>
      </c>
      <c r="AC9" s="7" t="str">
        <f t="shared" si="9"/>
        <v>"fashion trends Sao Paulo",</v>
      </c>
      <c r="AD9" s="7" t="str">
        <f t="shared" si="9"/>
        <v>"minimalist fashion Sao Paulo",</v>
      </c>
      <c r="AE9" s="7" t="str">
        <f t="shared" si="9"/>
        <v>"beauty hacks Sao Paulo",</v>
      </c>
      <c r="AF9" s="7" t="str">
        <f t="shared" si="9"/>
        <v>"hair routines Sao Paulo",</v>
      </c>
      <c r="AG9" s="7" t="str">
        <f t="shared" si="9"/>
        <v>"empties Sao Paulo",</v>
      </c>
      <c r="AH9" s="7" t="str">
        <f t="shared" si="9"/>
        <v>"product reviews Sao Paulo",</v>
      </c>
      <c r="AI9" s="7" t="str">
        <f t="shared" si="9"/>
        <v>"beauty reviews  Sao Paulo",</v>
      </c>
      <c r="AJ9" s="7" t="str">
        <f t="shared" si="9"/>
        <v>"make-up artist Sao Paulo",</v>
      </c>
      <c r="AK9" s="7" t="str">
        <f t="shared" si="9"/>
        <v>"skincare journey Sao Paulo",</v>
      </c>
      <c r="AL9" s="7" t="str">
        <f t="shared" si="9"/>
        <v>"hair tutorial Sao Paulo",</v>
      </c>
      <c r="AM9" s="7" t="str">
        <f t="shared" si="9"/>
        <v>"barbershop Sao Paulo",</v>
      </c>
      <c r="AN9" s="6"/>
      <c r="AO9" s="6"/>
    </row>
    <row r="10">
      <c r="A10" s="4" t="s">
        <v>4822</v>
      </c>
      <c r="B10" s="7" t="str">
        <f t="shared" si="5"/>
        <v>"ootd Rio de Janeiro",</v>
      </c>
      <c r="C10" s="7" t="str">
        <f t="shared" ref="C10:AM10" si="10">CONCATENATE(C$1," ",$A10)</f>
        <v>"street style Rio de Janeiro",</v>
      </c>
      <c r="D10" s="7" t="str">
        <f t="shared" si="10"/>
        <v>"skincare Rio de Janeiro",</v>
      </c>
      <c r="E10" s="7" t="str">
        <f t="shared" si="10"/>
        <v>"makeup Rio de Janeiro",</v>
      </c>
      <c r="F10" s="7" t="str">
        <f t="shared" si="10"/>
        <v>"nails Rio de Janeiro",</v>
      </c>
      <c r="G10" s="7" t="str">
        <f t="shared" si="10"/>
        <v>"curly hair Rio de Janeiro",</v>
      </c>
      <c r="H10" s="7" t="str">
        <f t="shared" si="10"/>
        <v>"thrift Rio de Janeiro",</v>
      </c>
      <c r="I10" s="7" t="str">
        <f t="shared" si="10"/>
        <v>"streetwear Rio de Janeiro",</v>
      </c>
      <c r="J10" s="7" t="str">
        <f t="shared" si="10"/>
        <v>"luxury Rio de Janeiro",</v>
      </c>
      <c r="K10" s="7" t="str">
        <f t="shared" si="10"/>
        <v>"handbags Rio de Janeiro",</v>
      </c>
      <c r="L10" s="7" t="str">
        <f t="shared" si="10"/>
        <v>"sneakers Rio de Janeiro",</v>
      </c>
      <c r="M10" s="7" t="str">
        <f t="shared" si="10"/>
        <v>"high heels Rio de Janeiro",</v>
      </c>
      <c r="N10" s="7" t="str">
        <f t="shared" si="10"/>
        <v>"haute-couture Rio de Janeiro",</v>
      </c>
      <c r="O10" s="7" t="str">
        <f t="shared" si="10"/>
        <v>"diyfashion Rio de Janeiro",</v>
      </c>
      <c r="P10" s="7" t="str">
        <f t="shared" si="10"/>
        <v>"accessories Rio de Janeiro",</v>
      </c>
      <c r="Q10" s="7" t="str">
        <f t="shared" si="10"/>
        <v>"menswear Rio de Janeiro",</v>
      </c>
      <c r="R10" s="7" t="str">
        <f t="shared" si="10"/>
        <v>"womenswear Rio de Janeiro",</v>
      </c>
      <c r="S10" s="7" t="str">
        <f t="shared" si="10"/>
        <v>"moda Rio de Janeiro",</v>
      </c>
      <c r="T10" s="7" t="str">
        <f t="shared" si="10"/>
        <v>"hairstyle Rio de Janeiro",</v>
      </c>
      <c r="U10" s="7" t="str">
        <f t="shared" si="10"/>
        <v>"perfume Rio de Janeiro",</v>
      </c>
      <c r="V10" s="7" t="str">
        <f t="shared" si="10"/>
        <v>"cosmetiques Rio de Janeiro",</v>
      </c>
      <c r="W10" s="7" t="str">
        <f t="shared" si="10"/>
        <v>"beauty routine Rio de Janeiro",</v>
      </c>
      <c r="X10" s="7" t="str">
        <f t="shared" si="10"/>
        <v>"natural beauty Rio de Janeiro",</v>
      </c>
      <c r="Y10" s="7" t="str">
        <f t="shared" si="10"/>
        <v>"organic beauty Rio de Janeiro",</v>
      </c>
      <c r="Z10" s="7" t="str">
        <f t="shared" si="10"/>
        <v>"sustainable fashion Rio de Janeiro",</v>
      </c>
      <c r="AA10" s="7" t="str">
        <f t="shared" si="10"/>
        <v>"fashion hacks Rio de Janeiro",</v>
      </c>
      <c r="AB10" s="7" t="str">
        <f t="shared" si="10"/>
        <v>"capsule wardrobe Rio de Janeiro",</v>
      </c>
      <c r="AC10" s="7" t="str">
        <f t="shared" si="10"/>
        <v>"fashion trends Rio de Janeiro",</v>
      </c>
      <c r="AD10" s="7" t="str">
        <f t="shared" si="10"/>
        <v>"minimalist fashion Rio de Janeiro",</v>
      </c>
      <c r="AE10" s="7" t="str">
        <f t="shared" si="10"/>
        <v>"beauty hacks Rio de Janeiro",</v>
      </c>
      <c r="AF10" s="7" t="str">
        <f t="shared" si="10"/>
        <v>"hair routines Rio de Janeiro",</v>
      </c>
      <c r="AG10" s="7" t="str">
        <f t="shared" si="10"/>
        <v>"empties Rio de Janeiro",</v>
      </c>
      <c r="AH10" s="7" t="str">
        <f t="shared" si="10"/>
        <v>"product reviews Rio de Janeiro",</v>
      </c>
      <c r="AI10" s="7" t="str">
        <f t="shared" si="10"/>
        <v>"beauty reviews  Rio de Janeiro",</v>
      </c>
      <c r="AJ10" s="7" t="str">
        <f t="shared" si="10"/>
        <v>"make-up artist Rio de Janeiro",</v>
      </c>
      <c r="AK10" s="7" t="str">
        <f t="shared" si="10"/>
        <v>"skincare journey Rio de Janeiro",</v>
      </c>
      <c r="AL10" s="7" t="str">
        <f t="shared" si="10"/>
        <v>"hair tutorial Rio de Janeiro",</v>
      </c>
      <c r="AM10" s="7" t="str">
        <f t="shared" si="10"/>
        <v>"barbershop Rio de Janeiro",</v>
      </c>
      <c r="AN10" s="6"/>
      <c r="AO10" s="6"/>
    </row>
    <row r="11">
      <c r="A11" s="4" t="s">
        <v>4823</v>
      </c>
      <c r="B11" s="7" t="str">
        <f t="shared" si="5"/>
        <v>"ootd Buenos Aires",</v>
      </c>
      <c r="C11" s="7" t="str">
        <f t="shared" ref="C11:AM11" si="11">CONCATENATE(C$1," ",$A11)</f>
        <v>"street style Buenos Aires",</v>
      </c>
      <c r="D11" s="7" t="str">
        <f t="shared" si="11"/>
        <v>"skincare Buenos Aires",</v>
      </c>
      <c r="E11" s="7" t="str">
        <f t="shared" si="11"/>
        <v>"makeup Buenos Aires",</v>
      </c>
      <c r="F11" s="7" t="str">
        <f t="shared" si="11"/>
        <v>"nails Buenos Aires",</v>
      </c>
      <c r="G11" s="7" t="str">
        <f t="shared" si="11"/>
        <v>"curly hair Buenos Aires",</v>
      </c>
      <c r="H11" s="7" t="str">
        <f t="shared" si="11"/>
        <v>"thrift Buenos Aires",</v>
      </c>
      <c r="I11" s="7" t="str">
        <f t="shared" si="11"/>
        <v>"streetwear Buenos Aires",</v>
      </c>
      <c r="J11" s="7" t="str">
        <f t="shared" si="11"/>
        <v>"luxury Buenos Aires",</v>
      </c>
      <c r="K11" s="7" t="str">
        <f t="shared" si="11"/>
        <v>"handbags Buenos Aires",</v>
      </c>
      <c r="L11" s="7" t="str">
        <f t="shared" si="11"/>
        <v>"sneakers Buenos Aires",</v>
      </c>
      <c r="M11" s="7" t="str">
        <f t="shared" si="11"/>
        <v>"high heels Buenos Aires",</v>
      </c>
      <c r="N11" s="7" t="str">
        <f t="shared" si="11"/>
        <v>"haute-couture Buenos Aires",</v>
      </c>
      <c r="O11" s="7" t="str">
        <f t="shared" si="11"/>
        <v>"diyfashion Buenos Aires",</v>
      </c>
      <c r="P11" s="7" t="str">
        <f t="shared" si="11"/>
        <v>"accessories Buenos Aires",</v>
      </c>
      <c r="Q11" s="7" t="str">
        <f t="shared" si="11"/>
        <v>"menswear Buenos Aires",</v>
      </c>
      <c r="R11" s="7" t="str">
        <f t="shared" si="11"/>
        <v>"womenswear Buenos Aires",</v>
      </c>
      <c r="S11" s="7" t="str">
        <f t="shared" si="11"/>
        <v>"moda Buenos Aires",</v>
      </c>
      <c r="T11" s="7" t="str">
        <f t="shared" si="11"/>
        <v>"hairstyle Buenos Aires",</v>
      </c>
      <c r="U11" s="7" t="str">
        <f t="shared" si="11"/>
        <v>"perfume Buenos Aires",</v>
      </c>
      <c r="V11" s="7" t="str">
        <f t="shared" si="11"/>
        <v>"cosmetiques Buenos Aires",</v>
      </c>
      <c r="W11" s="7" t="str">
        <f t="shared" si="11"/>
        <v>"beauty routine Buenos Aires",</v>
      </c>
      <c r="X11" s="7" t="str">
        <f t="shared" si="11"/>
        <v>"natural beauty Buenos Aires",</v>
      </c>
      <c r="Y11" s="7" t="str">
        <f t="shared" si="11"/>
        <v>"organic beauty Buenos Aires",</v>
      </c>
      <c r="Z11" s="7" t="str">
        <f t="shared" si="11"/>
        <v>"sustainable fashion Buenos Aires",</v>
      </c>
      <c r="AA11" s="7" t="str">
        <f t="shared" si="11"/>
        <v>"fashion hacks Buenos Aires",</v>
      </c>
      <c r="AB11" s="7" t="str">
        <f t="shared" si="11"/>
        <v>"capsule wardrobe Buenos Aires",</v>
      </c>
      <c r="AC11" s="7" t="str">
        <f t="shared" si="11"/>
        <v>"fashion trends Buenos Aires",</v>
      </c>
      <c r="AD11" s="7" t="str">
        <f t="shared" si="11"/>
        <v>"minimalist fashion Buenos Aires",</v>
      </c>
      <c r="AE11" s="7" t="str">
        <f t="shared" si="11"/>
        <v>"beauty hacks Buenos Aires",</v>
      </c>
      <c r="AF11" s="7" t="str">
        <f t="shared" si="11"/>
        <v>"hair routines Buenos Aires",</v>
      </c>
      <c r="AG11" s="7" t="str">
        <f t="shared" si="11"/>
        <v>"empties Buenos Aires",</v>
      </c>
      <c r="AH11" s="7" t="str">
        <f t="shared" si="11"/>
        <v>"product reviews Buenos Aires",</v>
      </c>
      <c r="AI11" s="7" t="str">
        <f t="shared" si="11"/>
        <v>"beauty reviews  Buenos Aires",</v>
      </c>
      <c r="AJ11" s="7" t="str">
        <f t="shared" si="11"/>
        <v>"make-up artist Buenos Aires",</v>
      </c>
      <c r="AK11" s="7" t="str">
        <f t="shared" si="11"/>
        <v>"skincare journey Buenos Aires",</v>
      </c>
      <c r="AL11" s="7" t="str">
        <f t="shared" si="11"/>
        <v>"hair tutorial Buenos Aires",</v>
      </c>
      <c r="AM11" s="7" t="str">
        <f t="shared" si="11"/>
        <v>"barbershop Buenos Aires",</v>
      </c>
      <c r="AN11" s="7"/>
      <c r="AO11" s="7"/>
    </row>
    <row r="12">
      <c r="A12" s="4" t="s">
        <v>4824</v>
      </c>
      <c r="B12" s="7" t="str">
        <f t="shared" si="5"/>
        <v>"ootd Bogota",</v>
      </c>
      <c r="C12" s="7" t="str">
        <f t="shared" ref="C12:AM12" si="12">CONCATENATE(C$1," ",$A12)</f>
        <v>"street style Bogota",</v>
      </c>
      <c r="D12" s="7" t="str">
        <f t="shared" si="12"/>
        <v>"skincare Bogota",</v>
      </c>
      <c r="E12" s="7" t="str">
        <f t="shared" si="12"/>
        <v>"makeup Bogota",</v>
      </c>
      <c r="F12" s="7" t="str">
        <f t="shared" si="12"/>
        <v>"nails Bogota",</v>
      </c>
      <c r="G12" s="7" t="str">
        <f t="shared" si="12"/>
        <v>"curly hair Bogota",</v>
      </c>
      <c r="H12" s="7" t="str">
        <f t="shared" si="12"/>
        <v>"thrift Bogota",</v>
      </c>
      <c r="I12" s="7" t="str">
        <f t="shared" si="12"/>
        <v>"streetwear Bogota",</v>
      </c>
      <c r="J12" s="7" t="str">
        <f t="shared" si="12"/>
        <v>"luxury Bogota",</v>
      </c>
      <c r="K12" s="7" t="str">
        <f t="shared" si="12"/>
        <v>"handbags Bogota",</v>
      </c>
      <c r="L12" s="7" t="str">
        <f t="shared" si="12"/>
        <v>"sneakers Bogota",</v>
      </c>
      <c r="M12" s="7" t="str">
        <f t="shared" si="12"/>
        <v>"high heels Bogota",</v>
      </c>
      <c r="N12" s="7" t="str">
        <f t="shared" si="12"/>
        <v>"haute-couture Bogota",</v>
      </c>
      <c r="O12" s="7" t="str">
        <f t="shared" si="12"/>
        <v>"diyfashion Bogota",</v>
      </c>
      <c r="P12" s="7" t="str">
        <f t="shared" si="12"/>
        <v>"accessories Bogota",</v>
      </c>
      <c r="Q12" s="7" t="str">
        <f t="shared" si="12"/>
        <v>"menswear Bogota",</v>
      </c>
      <c r="R12" s="7" t="str">
        <f t="shared" si="12"/>
        <v>"womenswear Bogota",</v>
      </c>
      <c r="S12" s="7" t="str">
        <f t="shared" si="12"/>
        <v>"moda Bogota",</v>
      </c>
      <c r="T12" s="7" t="str">
        <f t="shared" si="12"/>
        <v>"hairstyle Bogota",</v>
      </c>
      <c r="U12" s="7" t="str">
        <f t="shared" si="12"/>
        <v>"perfume Bogota",</v>
      </c>
      <c r="V12" s="7" t="str">
        <f t="shared" si="12"/>
        <v>"cosmetiques Bogota",</v>
      </c>
      <c r="W12" s="7" t="str">
        <f t="shared" si="12"/>
        <v>"beauty routine Bogota",</v>
      </c>
      <c r="X12" s="7" t="str">
        <f t="shared" si="12"/>
        <v>"natural beauty Bogota",</v>
      </c>
      <c r="Y12" s="7" t="str">
        <f t="shared" si="12"/>
        <v>"organic beauty Bogota",</v>
      </c>
      <c r="Z12" s="7" t="str">
        <f t="shared" si="12"/>
        <v>"sustainable fashion Bogota",</v>
      </c>
      <c r="AA12" s="7" t="str">
        <f t="shared" si="12"/>
        <v>"fashion hacks Bogota",</v>
      </c>
      <c r="AB12" s="7" t="str">
        <f t="shared" si="12"/>
        <v>"capsule wardrobe Bogota",</v>
      </c>
      <c r="AC12" s="7" t="str">
        <f t="shared" si="12"/>
        <v>"fashion trends Bogota",</v>
      </c>
      <c r="AD12" s="7" t="str">
        <f t="shared" si="12"/>
        <v>"minimalist fashion Bogota",</v>
      </c>
      <c r="AE12" s="7" t="str">
        <f t="shared" si="12"/>
        <v>"beauty hacks Bogota",</v>
      </c>
      <c r="AF12" s="7" t="str">
        <f t="shared" si="12"/>
        <v>"hair routines Bogota",</v>
      </c>
      <c r="AG12" s="7" t="str">
        <f t="shared" si="12"/>
        <v>"empties Bogota",</v>
      </c>
      <c r="AH12" s="7" t="str">
        <f t="shared" si="12"/>
        <v>"product reviews Bogota",</v>
      </c>
      <c r="AI12" s="7" t="str">
        <f t="shared" si="12"/>
        <v>"beauty reviews  Bogota",</v>
      </c>
      <c r="AJ12" s="7" t="str">
        <f t="shared" si="12"/>
        <v>"make-up artist Bogota",</v>
      </c>
      <c r="AK12" s="7" t="str">
        <f t="shared" si="12"/>
        <v>"skincare journey Bogota",</v>
      </c>
      <c r="AL12" s="7" t="str">
        <f t="shared" si="12"/>
        <v>"hair tutorial Bogota",</v>
      </c>
      <c r="AM12" s="7" t="str">
        <f t="shared" si="12"/>
        <v>"barbershop Bogota",</v>
      </c>
      <c r="AN12" s="7"/>
      <c r="AO12" s="7"/>
    </row>
    <row r="13">
      <c r="A13" s="4" t="s">
        <v>4825</v>
      </c>
      <c r="B13" s="7" t="str">
        <f t="shared" si="5"/>
        <v>"ootd Santiago",</v>
      </c>
      <c r="C13" s="7" t="str">
        <f t="shared" ref="C13:AM13" si="13">CONCATENATE(C$1," ",$A13)</f>
        <v>"street style Santiago",</v>
      </c>
      <c r="D13" s="7" t="str">
        <f t="shared" si="13"/>
        <v>"skincare Santiago",</v>
      </c>
      <c r="E13" s="7" t="str">
        <f t="shared" si="13"/>
        <v>"makeup Santiago",</v>
      </c>
      <c r="F13" s="7" t="str">
        <f t="shared" si="13"/>
        <v>"nails Santiago",</v>
      </c>
      <c r="G13" s="7" t="str">
        <f t="shared" si="13"/>
        <v>"curly hair Santiago",</v>
      </c>
      <c r="H13" s="7" t="str">
        <f t="shared" si="13"/>
        <v>"thrift Santiago",</v>
      </c>
      <c r="I13" s="7" t="str">
        <f t="shared" si="13"/>
        <v>"streetwear Santiago",</v>
      </c>
      <c r="J13" s="7" t="str">
        <f t="shared" si="13"/>
        <v>"luxury Santiago",</v>
      </c>
      <c r="K13" s="7" t="str">
        <f t="shared" si="13"/>
        <v>"handbags Santiago",</v>
      </c>
      <c r="L13" s="7" t="str">
        <f t="shared" si="13"/>
        <v>"sneakers Santiago",</v>
      </c>
      <c r="M13" s="7" t="str">
        <f t="shared" si="13"/>
        <v>"high heels Santiago",</v>
      </c>
      <c r="N13" s="7" t="str">
        <f t="shared" si="13"/>
        <v>"haute-couture Santiago",</v>
      </c>
      <c r="O13" s="7" t="str">
        <f t="shared" si="13"/>
        <v>"diyfashion Santiago",</v>
      </c>
      <c r="P13" s="7" t="str">
        <f t="shared" si="13"/>
        <v>"accessories Santiago",</v>
      </c>
      <c r="Q13" s="7" t="str">
        <f t="shared" si="13"/>
        <v>"menswear Santiago",</v>
      </c>
      <c r="R13" s="7" t="str">
        <f t="shared" si="13"/>
        <v>"womenswear Santiago",</v>
      </c>
      <c r="S13" s="7" t="str">
        <f t="shared" si="13"/>
        <v>"moda Santiago",</v>
      </c>
      <c r="T13" s="7" t="str">
        <f t="shared" si="13"/>
        <v>"hairstyle Santiago",</v>
      </c>
      <c r="U13" s="7" t="str">
        <f t="shared" si="13"/>
        <v>"perfume Santiago",</v>
      </c>
      <c r="V13" s="7" t="str">
        <f t="shared" si="13"/>
        <v>"cosmetiques Santiago",</v>
      </c>
      <c r="W13" s="7" t="str">
        <f t="shared" si="13"/>
        <v>"beauty routine Santiago",</v>
      </c>
      <c r="X13" s="7" t="str">
        <f t="shared" si="13"/>
        <v>"natural beauty Santiago",</v>
      </c>
      <c r="Y13" s="7" t="str">
        <f t="shared" si="13"/>
        <v>"organic beauty Santiago",</v>
      </c>
      <c r="Z13" s="7" t="str">
        <f t="shared" si="13"/>
        <v>"sustainable fashion Santiago",</v>
      </c>
      <c r="AA13" s="7" t="str">
        <f t="shared" si="13"/>
        <v>"fashion hacks Santiago",</v>
      </c>
      <c r="AB13" s="7" t="str">
        <f t="shared" si="13"/>
        <v>"capsule wardrobe Santiago",</v>
      </c>
      <c r="AC13" s="7" t="str">
        <f t="shared" si="13"/>
        <v>"fashion trends Santiago",</v>
      </c>
      <c r="AD13" s="7" t="str">
        <f t="shared" si="13"/>
        <v>"minimalist fashion Santiago",</v>
      </c>
      <c r="AE13" s="7" t="str">
        <f t="shared" si="13"/>
        <v>"beauty hacks Santiago",</v>
      </c>
      <c r="AF13" s="7" t="str">
        <f t="shared" si="13"/>
        <v>"hair routines Santiago",</v>
      </c>
      <c r="AG13" s="7" t="str">
        <f t="shared" si="13"/>
        <v>"empties Santiago",</v>
      </c>
      <c r="AH13" s="7" t="str">
        <f t="shared" si="13"/>
        <v>"product reviews Santiago",</v>
      </c>
      <c r="AI13" s="7" t="str">
        <f t="shared" si="13"/>
        <v>"beauty reviews  Santiago",</v>
      </c>
      <c r="AJ13" s="7" t="str">
        <f t="shared" si="13"/>
        <v>"make-up artist Santiago",</v>
      </c>
      <c r="AK13" s="7" t="str">
        <f t="shared" si="13"/>
        <v>"skincare journey Santiago",</v>
      </c>
      <c r="AL13" s="7" t="str">
        <f t="shared" si="13"/>
        <v>"hair tutorial Santiago",</v>
      </c>
      <c r="AM13" s="7" t="str">
        <f t="shared" si="13"/>
        <v>"barbershop Santiago",</v>
      </c>
      <c r="AN13" s="7"/>
      <c r="AO13" s="7"/>
    </row>
    <row r="14">
      <c r="A14" s="4" t="s">
        <v>4826</v>
      </c>
      <c r="B14" s="7" t="str">
        <f t="shared" si="5"/>
        <v>"ootd London",</v>
      </c>
      <c r="C14" s="7" t="str">
        <f t="shared" ref="C14:AM14" si="14">CONCATENATE(C$1," ",$A14)</f>
        <v>"street style London",</v>
      </c>
      <c r="D14" s="7" t="str">
        <f t="shared" si="14"/>
        <v>"skincare London",</v>
      </c>
      <c r="E14" s="7" t="str">
        <f t="shared" si="14"/>
        <v>"makeup London",</v>
      </c>
      <c r="F14" s="7" t="str">
        <f t="shared" si="14"/>
        <v>"nails London",</v>
      </c>
      <c r="G14" s="7" t="str">
        <f t="shared" si="14"/>
        <v>"curly hair London",</v>
      </c>
      <c r="H14" s="7" t="str">
        <f t="shared" si="14"/>
        <v>"thrift London",</v>
      </c>
      <c r="I14" s="7" t="str">
        <f t="shared" si="14"/>
        <v>"streetwear London",</v>
      </c>
      <c r="J14" s="7" t="str">
        <f t="shared" si="14"/>
        <v>"luxury London",</v>
      </c>
      <c r="K14" s="7" t="str">
        <f t="shared" si="14"/>
        <v>"handbags London",</v>
      </c>
      <c r="L14" s="7" t="str">
        <f t="shared" si="14"/>
        <v>"sneakers London",</v>
      </c>
      <c r="M14" s="7" t="str">
        <f t="shared" si="14"/>
        <v>"high heels London",</v>
      </c>
      <c r="N14" s="7" t="str">
        <f t="shared" si="14"/>
        <v>"haute-couture London",</v>
      </c>
      <c r="O14" s="7" t="str">
        <f t="shared" si="14"/>
        <v>"diyfashion London",</v>
      </c>
      <c r="P14" s="7" t="str">
        <f t="shared" si="14"/>
        <v>"accessories London",</v>
      </c>
      <c r="Q14" s="7" t="str">
        <f t="shared" si="14"/>
        <v>"menswear London",</v>
      </c>
      <c r="R14" s="7" t="str">
        <f t="shared" si="14"/>
        <v>"womenswear London",</v>
      </c>
      <c r="S14" s="7" t="str">
        <f t="shared" si="14"/>
        <v>"moda London",</v>
      </c>
      <c r="T14" s="7" t="str">
        <f t="shared" si="14"/>
        <v>"hairstyle London",</v>
      </c>
      <c r="U14" s="7" t="str">
        <f t="shared" si="14"/>
        <v>"perfume London",</v>
      </c>
      <c r="V14" s="7" t="str">
        <f t="shared" si="14"/>
        <v>"cosmetiques London",</v>
      </c>
      <c r="W14" s="7" t="str">
        <f t="shared" si="14"/>
        <v>"beauty routine London",</v>
      </c>
      <c r="X14" s="7" t="str">
        <f t="shared" si="14"/>
        <v>"natural beauty London",</v>
      </c>
      <c r="Y14" s="7" t="str">
        <f t="shared" si="14"/>
        <v>"organic beauty London",</v>
      </c>
      <c r="Z14" s="7" t="str">
        <f t="shared" si="14"/>
        <v>"sustainable fashion London",</v>
      </c>
      <c r="AA14" s="7" t="str">
        <f t="shared" si="14"/>
        <v>"fashion hacks London",</v>
      </c>
      <c r="AB14" s="7" t="str">
        <f t="shared" si="14"/>
        <v>"capsule wardrobe London",</v>
      </c>
      <c r="AC14" s="7" t="str">
        <f t="shared" si="14"/>
        <v>"fashion trends London",</v>
      </c>
      <c r="AD14" s="7" t="str">
        <f t="shared" si="14"/>
        <v>"minimalist fashion London",</v>
      </c>
      <c r="AE14" s="7" t="str">
        <f t="shared" si="14"/>
        <v>"beauty hacks London",</v>
      </c>
      <c r="AF14" s="7" t="str">
        <f t="shared" si="14"/>
        <v>"hair routines London",</v>
      </c>
      <c r="AG14" s="7" t="str">
        <f t="shared" si="14"/>
        <v>"empties London",</v>
      </c>
      <c r="AH14" s="7" t="str">
        <f t="shared" si="14"/>
        <v>"product reviews London",</v>
      </c>
      <c r="AI14" s="7" t="str">
        <f t="shared" si="14"/>
        <v>"beauty reviews  London",</v>
      </c>
      <c r="AJ14" s="7" t="str">
        <f t="shared" si="14"/>
        <v>"make-up artist London",</v>
      </c>
      <c r="AK14" s="7" t="str">
        <f t="shared" si="14"/>
        <v>"skincare journey London",</v>
      </c>
      <c r="AL14" s="7" t="str">
        <f t="shared" si="14"/>
        <v>"hair tutorial London",</v>
      </c>
      <c r="AM14" s="7" t="str">
        <f t="shared" si="14"/>
        <v>"barbershop London",</v>
      </c>
      <c r="AN14" s="7"/>
      <c r="AO14" s="7"/>
    </row>
    <row r="15">
      <c r="A15" s="4" t="s">
        <v>4827</v>
      </c>
      <c r="B15" s="7" t="str">
        <f t="shared" si="5"/>
        <v>"ootd Paris",</v>
      </c>
      <c r="C15" s="7" t="str">
        <f t="shared" ref="C15:AM15" si="15">CONCATENATE(C$1," ",$A15)</f>
        <v>"street style Paris",</v>
      </c>
      <c r="D15" s="7" t="str">
        <f t="shared" si="15"/>
        <v>"skincare Paris",</v>
      </c>
      <c r="E15" s="7" t="str">
        <f t="shared" si="15"/>
        <v>"makeup Paris",</v>
      </c>
      <c r="F15" s="7" t="str">
        <f t="shared" si="15"/>
        <v>"nails Paris",</v>
      </c>
      <c r="G15" s="7" t="str">
        <f t="shared" si="15"/>
        <v>"curly hair Paris",</v>
      </c>
      <c r="H15" s="7" t="str">
        <f t="shared" si="15"/>
        <v>"thrift Paris",</v>
      </c>
      <c r="I15" s="7" t="str">
        <f t="shared" si="15"/>
        <v>"streetwear Paris",</v>
      </c>
      <c r="J15" s="7" t="str">
        <f t="shared" si="15"/>
        <v>"luxury Paris",</v>
      </c>
      <c r="K15" s="7" t="str">
        <f t="shared" si="15"/>
        <v>"handbags Paris",</v>
      </c>
      <c r="L15" s="7" t="str">
        <f t="shared" si="15"/>
        <v>"sneakers Paris",</v>
      </c>
      <c r="M15" s="7" t="str">
        <f t="shared" si="15"/>
        <v>"high heels Paris",</v>
      </c>
      <c r="N15" s="7" t="str">
        <f t="shared" si="15"/>
        <v>"haute-couture Paris",</v>
      </c>
      <c r="O15" s="7" t="str">
        <f t="shared" si="15"/>
        <v>"diyfashion Paris",</v>
      </c>
      <c r="P15" s="7" t="str">
        <f t="shared" si="15"/>
        <v>"accessories Paris",</v>
      </c>
      <c r="Q15" s="7" t="str">
        <f t="shared" si="15"/>
        <v>"menswear Paris",</v>
      </c>
      <c r="R15" s="7" t="str">
        <f t="shared" si="15"/>
        <v>"womenswear Paris",</v>
      </c>
      <c r="S15" s="7" t="str">
        <f t="shared" si="15"/>
        <v>"moda Paris",</v>
      </c>
      <c r="T15" s="7" t="str">
        <f t="shared" si="15"/>
        <v>"hairstyle Paris",</v>
      </c>
      <c r="U15" s="7" t="str">
        <f t="shared" si="15"/>
        <v>"perfume Paris",</v>
      </c>
      <c r="V15" s="7" t="str">
        <f t="shared" si="15"/>
        <v>"cosmetiques Paris",</v>
      </c>
      <c r="W15" s="7" t="str">
        <f t="shared" si="15"/>
        <v>"beauty routine Paris",</v>
      </c>
      <c r="X15" s="7" t="str">
        <f t="shared" si="15"/>
        <v>"natural beauty Paris",</v>
      </c>
      <c r="Y15" s="7" t="str">
        <f t="shared" si="15"/>
        <v>"organic beauty Paris",</v>
      </c>
      <c r="Z15" s="7" t="str">
        <f t="shared" si="15"/>
        <v>"sustainable fashion Paris",</v>
      </c>
      <c r="AA15" s="7" t="str">
        <f t="shared" si="15"/>
        <v>"fashion hacks Paris",</v>
      </c>
      <c r="AB15" s="7" t="str">
        <f t="shared" si="15"/>
        <v>"capsule wardrobe Paris",</v>
      </c>
      <c r="AC15" s="7" t="str">
        <f t="shared" si="15"/>
        <v>"fashion trends Paris",</v>
      </c>
      <c r="AD15" s="7" t="str">
        <f t="shared" si="15"/>
        <v>"minimalist fashion Paris",</v>
      </c>
      <c r="AE15" s="7" t="str">
        <f t="shared" si="15"/>
        <v>"beauty hacks Paris",</v>
      </c>
      <c r="AF15" s="7" t="str">
        <f t="shared" si="15"/>
        <v>"hair routines Paris",</v>
      </c>
      <c r="AG15" s="7" t="str">
        <f t="shared" si="15"/>
        <v>"empties Paris",</v>
      </c>
      <c r="AH15" s="7" t="str">
        <f t="shared" si="15"/>
        <v>"product reviews Paris",</v>
      </c>
      <c r="AI15" s="7" t="str">
        <f t="shared" si="15"/>
        <v>"beauty reviews  Paris",</v>
      </c>
      <c r="AJ15" s="7" t="str">
        <f t="shared" si="15"/>
        <v>"make-up artist Paris",</v>
      </c>
      <c r="AK15" s="7" t="str">
        <f t="shared" si="15"/>
        <v>"skincare journey Paris",</v>
      </c>
      <c r="AL15" s="7" t="str">
        <f t="shared" si="15"/>
        <v>"hair tutorial Paris",</v>
      </c>
      <c r="AM15" s="7" t="str">
        <f t="shared" si="15"/>
        <v>"barbershop Paris",</v>
      </c>
      <c r="AN15" s="7"/>
      <c r="AO15" s="7"/>
    </row>
    <row r="16">
      <c r="A16" s="4" t="s">
        <v>4828</v>
      </c>
      <c r="B16" s="7" t="str">
        <f t="shared" si="5"/>
        <v>"ootd Berlin",</v>
      </c>
      <c r="C16" s="7" t="str">
        <f t="shared" ref="C16:AM16" si="16">CONCATENATE(C$1," ",$A16)</f>
        <v>"street style Berlin",</v>
      </c>
      <c r="D16" s="7" t="str">
        <f t="shared" si="16"/>
        <v>"skincare Berlin",</v>
      </c>
      <c r="E16" s="7" t="str">
        <f t="shared" si="16"/>
        <v>"makeup Berlin",</v>
      </c>
      <c r="F16" s="7" t="str">
        <f t="shared" si="16"/>
        <v>"nails Berlin",</v>
      </c>
      <c r="G16" s="7" t="str">
        <f t="shared" si="16"/>
        <v>"curly hair Berlin",</v>
      </c>
      <c r="H16" s="7" t="str">
        <f t="shared" si="16"/>
        <v>"thrift Berlin",</v>
      </c>
      <c r="I16" s="7" t="str">
        <f t="shared" si="16"/>
        <v>"streetwear Berlin",</v>
      </c>
      <c r="J16" s="7" t="str">
        <f t="shared" si="16"/>
        <v>"luxury Berlin",</v>
      </c>
      <c r="K16" s="7" t="str">
        <f t="shared" si="16"/>
        <v>"handbags Berlin",</v>
      </c>
      <c r="L16" s="7" t="str">
        <f t="shared" si="16"/>
        <v>"sneakers Berlin",</v>
      </c>
      <c r="M16" s="7" t="str">
        <f t="shared" si="16"/>
        <v>"high heels Berlin",</v>
      </c>
      <c r="N16" s="7" t="str">
        <f t="shared" si="16"/>
        <v>"haute-couture Berlin",</v>
      </c>
      <c r="O16" s="7" t="str">
        <f t="shared" si="16"/>
        <v>"diyfashion Berlin",</v>
      </c>
      <c r="P16" s="7" t="str">
        <f t="shared" si="16"/>
        <v>"accessories Berlin",</v>
      </c>
      <c r="Q16" s="7" t="str">
        <f t="shared" si="16"/>
        <v>"menswear Berlin",</v>
      </c>
      <c r="R16" s="7" t="str">
        <f t="shared" si="16"/>
        <v>"womenswear Berlin",</v>
      </c>
      <c r="S16" s="7" t="str">
        <f t="shared" si="16"/>
        <v>"moda Berlin",</v>
      </c>
      <c r="T16" s="7" t="str">
        <f t="shared" si="16"/>
        <v>"hairstyle Berlin",</v>
      </c>
      <c r="U16" s="7" t="str">
        <f t="shared" si="16"/>
        <v>"perfume Berlin",</v>
      </c>
      <c r="V16" s="7" t="str">
        <f t="shared" si="16"/>
        <v>"cosmetiques Berlin",</v>
      </c>
      <c r="W16" s="7" t="str">
        <f t="shared" si="16"/>
        <v>"beauty routine Berlin",</v>
      </c>
      <c r="X16" s="7" t="str">
        <f t="shared" si="16"/>
        <v>"natural beauty Berlin",</v>
      </c>
      <c r="Y16" s="7" t="str">
        <f t="shared" si="16"/>
        <v>"organic beauty Berlin",</v>
      </c>
      <c r="Z16" s="7" t="str">
        <f t="shared" si="16"/>
        <v>"sustainable fashion Berlin",</v>
      </c>
      <c r="AA16" s="7" t="str">
        <f t="shared" si="16"/>
        <v>"fashion hacks Berlin",</v>
      </c>
      <c r="AB16" s="7" t="str">
        <f t="shared" si="16"/>
        <v>"capsule wardrobe Berlin",</v>
      </c>
      <c r="AC16" s="7" t="str">
        <f t="shared" si="16"/>
        <v>"fashion trends Berlin",</v>
      </c>
      <c r="AD16" s="7" t="str">
        <f t="shared" si="16"/>
        <v>"minimalist fashion Berlin",</v>
      </c>
      <c r="AE16" s="7" t="str">
        <f t="shared" si="16"/>
        <v>"beauty hacks Berlin",</v>
      </c>
      <c r="AF16" s="7" t="str">
        <f t="shared" si="16"/>
        <v>"hair routines Berlin",</v>
      </c>
      <c r="AG16" s="7" t="str">
        <f t="shared" si="16"/>
        <v>"empties Berlin",</v>
      </c>
      <c r="AH16" s="7" t="str">
        <f t="shared" si="16"/>
        <v>"product reviews Berlin",</v>
      </c>
      <c r="AI16" s="7" t="str">
        <f t="shared" si="16"/>
        <v>"beauty reviews  Berlin",</v>
      </c>
      <c r="AJ16" s="7" t="str">
        <f t="shared" si="16"/>
        <v>"make-up artist Berlin",</v>
      </c>
      <c r="AK16" s="7" t="str">
        <f t="shared" si="16"/>
        <v>"skincare journey Berlin",</v>
      </c>
      <c r="AL16" s="7" t="str">
        <f t="shared" si="16"/>
        <v>"hair tutorial Berlin",</v>
      </c>
      <c r="AM16" s="7" t="str">
        <f t="shared" si="16"/>
        <v>"barbershop Berlin",</v>
      </c>
      <c r="AN16" s="7"/>
      <c r="AO16" s="7"/>
    </row>
    <row r="17">
      <c r="A17" s="4" t="s">
        <v>4829</v>
      </c>
      <c r="B17" s="7" t="str">
        <f t="shared" si="5"/>
        <v>"ootd Munich",</v>
      </c>
      <c r="C17" s="7" t="str">
        <f t="shared" ref="C17:AM17" si="17">CONCATENATE(C$1," ",$A17)</f>
        <v>"street style Munich",</v>
      </c>
      <c r="D17" s="7" t="str">
        <f t="shared" si="17"/>
        <v>"skincare Munich",</v>
      </c>
      <c r="E17" s="7" t="str">
        <f t="shared" si="17"/>
        <v>"makeup Munich",</v>
      </c>
      <c r="F17" s="7" t="str">
        <f t="shared" si="17"/>
        <v>"nails Munich",</v>
      </c>
      <c r="G17" s="7" t="str">
        <f t="shared" si="17"/>
        <v>"curly hair Munich",</v>
      </c>
      <c r="H17" s="7" t="str">
        <f t="shared" si="17"/>
        <v>"thrift Munich",</v>
      </c>
      <c r="I17" s="7" t="str">
        <f t="shared" si="17"/>
        <v>"streetwear Munich",</v>
      </c>
      <c r="J17" s="7" t="str">
        <f t="shared" si="17"/>
        <v>"luxury Munich",</v>
      </c>
      <c r="K17" s="7" t="str">
        <f t="shared" si="17"/>
        <v>"handbags Munich",</v>
      </c>
      <c r="L17" s="7" t="str">
        <f t="shared" si="17"/>
        <v>"sneakers Munich",</v>
      </c>
      <c r="M17" s="7" t="str">
        <f t="shared" si="17"/>
        <v>"high heels Munich",</v>
      </c>
      <c r="N17" s="7" t="str">
        <f t="shared" si="17"/>
        <v>"haute-couture Munich",</v>
      </c>
      <c r="O17" s="7" t="str">
        <f t="shared" si="17"/>
        <v>"diyfashion Munich",</v>
      </c>
      <c r="P17" s="7" t="str">
        <f t="shared" si="17"/>
        <v>"accessories Munich",</v>
      </c>
      <c r="Q17" s="7" t="str">
        <f t="shared" si="17"/>
        <v>"menswear Munich",</v>
      </c>
      <c r="R17" s="7" t="str">
        <f t="shared" si="17"/>
        <v>"womenswear Munich",</v>
      </c>
      <c r="S17" s="7" t="str">
        <f t="shared" si="17"/>
        <v>"moda Munich",</v>
      </c>
      <c r="T17" s="7" t="str">
        <f t="shared" si="17"/>
        <v>"hairstyle Munich",</v>
      </c>
      <c r="U17" s="7" t="str">
        <f t="shared" si="17"/>
        <v>"perfume Munich",</v>
      </c>
      <c r="V17" s="7" t="str">
        <f t="shared" si="17"/>
        <v>"cosmetiques Munich",</v>
      </c>
      <c r="W17" s="7" t="str">
        <f t="shared" si="17"/>
        <v>"beauty routine Munich",</v>
      </c>
      <c r="X17" s="7" t="str">
        <f t="shared" si="17"/>
        <v>"natural beauty Munich",</v>
      </c>
      <c r="Y17" s="7" t="str">
        <f t="shared" si="17"/>
        <v>"organic beauty Munich",</v>
      </c>
      <c r="Z17" s="7" t="str">
        <f t="shared" si="17"/>
        <v>"sustainable fashion Munich",</v>
      </c>
      <c r="AA17" s="7" t="str">
        <f t="shared" si="17"/>
        <v>"fashion hacks Munich",</v>
      </c>
      <c r="AB17" s="7" t="str">
        <f t="shared" si="17"/>
        <v>"capsule wardrobe Munich",</v>
      </c>
      <c r="AC17" s="7" t="str">
        <f t="shared" si="17"/>
        <v>"fashion trends Munich",</v>
      </c>
      <c r="AD17" s="7" t="str">
        <f t="shared" si="17"/>
        <v>"minimalist fashion Munich",</v>
      </c>
      <c r="AE17" s="7" t="str">
        <f t="shared" si="17"/>
        <v>"beauty hacks Munich",</v>
      </c>
      <c r="AF17" s="7" t="str">
        <f t="shared" si="17"/>
        <v>"hair routines Munich",</v>
      </c>
      <c r="AG17" s="7" t="str">
        <f t="shared" si="17"/>
        <v>"empties Munich",</v>
      </c>
      <c r="AH17" s="7" t="str">
        <f t="shared" si="17"/>
        <v>"product reviews Munich",</v>
      </c>
      <c r="AI17" s="7" t="str">
        <f t="shared" si="17"/>
        <v>"beauty reviews  Munich",</v>
      </c>
      <c r="AJ17" s="7" t="str">
        <f t="shared" si="17"/>
        <v>"make-up artist Munich",</v>
      </c>
      <c r="AK17" s="7" t="str">
        <f t="shared" si="17"/>
        <v>"skincare journey Munich",</v>
      </c>
      <c r="AL17" s="7" t="str">
        <f t="shared" si="17"/>
        <v>"hair tutorial Munich",</v>
      </c>
      <c r="AM17" s="7" t="str">
        <f t="shared" si="17"/>
        <v>"barbershop Munich",</v>
      </c>
      <c r="AN17" s="7"/>
      <c r="AO17" s="7"/>
    </row>
    <row r="18">
      <c r="A18" s="4" t="s">
        <v>4830</v>
      </c>
      <c r="B18" s="7" t="str">
        <f t="shared" si="5"/>
        <v>"ootd Amsterdam",</v>
      </c>
      <c r="C18" s="7" t="str">
        <f t="shared" ref="C18:AM18" si="18">CONCATENATE(C$1," ",$A18)</f>
        <v>"street style Amsterdam",</v>
      </c>
      <c r="D18" s="7" t="str">
        <f t="shared" si="18"/>
        <v>"skincare Amsterdam",</v>
      </c>
      <c r="E18" s="7" t="str">
        <f t="shared" si="18"/>
        <v>"makeup Amsterdam",</v>
      </c>
      <c r="F18" s="7" t="str">
        <f t="shared" si="18"/>
        <v>"nails Amsterdam",</v>
      </c>
      <c r="G18" s="7" t="str">
        <f t="shared" si="18"/>
        <v>"curly hair Amsterdam",</v>
      </c>
      <c r="H18" s="7" t="str">
        <f t="shared" si="18"/>
        <v>"thrift Amsterdam",</v>
      </c>
      <c r="I18" s="7" t="str">
        <f t="shared" si="18"/>
        <v>"streetwear Amsterdam",</v>
      </c>
      <c r="J18" s="7" t="str">
        <f t="shared" si="18"/>
        <v>"luxury Amsterdam",</v>
      </c>
      <c r="K18" s="7" t="str">
        <f t="shared" si="18"/>
        <v>"handbags Amsterdam",</v>
      </c>
      <c r="L18" s="7" t="str">
        <f t="shared" si="18"/>
        <v>"sneakers Amsterdam",</v>
      </c>
      <c r="M18" s="7" t="str">
        <f t="shared" si="18"/>
        <v>"high heels Amsterdam",</v>
      </c>
      <c r="N18" s="7" t="str">
        <f t="shared" si="18"/>
        <v>"haute-couture Amsterdam",</v>
      </c>
      <c r="O18" s="7" t="str">
        <f t="shared" si="18"/>
        <v>"diyfashion Amsterdam",</v>
      </c>
      <c r="P18" s="7" t="str">
        <f t="shared" si="18"/>
        <v>"accessories Amsterdam",</v>
      </c>
      <c r="Q18" s="7" t="str">
        <f t="shared" si="18"/>
        <v>"menswear Amsterdam",</v>
      </c>
      <c r="R18" s="7" t="str">
        <f t="shared" si="18"/>
        <v>"womenswear Amsterdam",</v>
      </c>
      <c r="S18" s="7" t="str">
        <f t="shared" si="18"/>
        <v>"moda Amsterdam",</v>
      </c>
      <c r="T18" s="7" t="str">
        <f t="shared" si="18"/>
        <v>"hairstyle Amsterdam",</v>
      </c>
      <c r="U18" s="7" t="str">
        <f t="shared" si="18"/>
        <v>"perfume Amsterdam",</v>
      </c>
      <c r="V18" s="7" t="str">
        <f t="shared" si="18"/>
        <v>"cosmetiques Amsterdam",</v>
      </c>
      <c r="W18" s="7" t="str">
        <f t="shared" si="18"/>
        <v>"beauty routine Amsterdam",</v>
      </c>
      <c r="X18" s="7" t="str">
        <f t="shared" si="18"/>
        <v>"natural beauty Amsterdam",</v>
      </c>
      <c r="Y18" s="7" t="str">
        <f t="shared" si="18"/>
        <v>"organic beauty Amsterdam",</v>
      </c>
      <c r="Z18" s="7" t="str">
        <f t="shared" si="18"/>
        <v>"sustainable fashion Amsterdam",</v>
      </c>
      <c r="AA18" s="7" t="str">
        <f t="shared" si="18"/>
        <v>"fashion hacks Amsterdam",</v>
      </c>
      <c r="AB18" s="7" t="str">
        <f t="shared" si="18"/>
        <v>"capsule wardrobe Amsterdam",</v>
      </c>
      <c r="AC18" s="7" t="str">
        <f t="shared" si="18"/>
        <v>"fashion trends Amsterdam",</v>
      </c>
      <c r="AD18" s="7" t="str">
        <f t="shared" si="18"/>
        <v>"minimalist fashion Amsterdam",</v>
      </c>
      <c r="AE18" s="7" t="str">
        <f t="shared" si="18"/>
        <v>"beauty hacks Amsterdam",</v>
      </c>
      <c r="AF18" s="7" t="str">
        <f t="shared" si="18"/>
        <v>"hair routines Amsterdam",</v>
      </c>
      <c r="AG18" s="7" t="str">
        <f t="shared" si="18"/>
        <v>"empties Amsterdam",</v>
      </c>
      <c r="AH18" s="7" t="str">
        <f t="shared" si="18"/>
        <v>"product reviews Amsterdam",</v>
      </c>
      <c r="AI18" s="7" t="str">
        <f t="shared" si="18"/>
        <v>"beauty reviews  Amsterdam",</v>
      </c>
      <c r="AJ18" s="7" t="str">
        <f t="shared" si="18"/>
        <v>"make-up artist Amsterdam",</v>
      </c>
      <c r="AK18" s="7" t="str">
        <f t="shared" si="18"/>
        <v>"skincare journey Amsterdam",</v>
      </c>
      <c r="AL18" s="7" t="str">
        <f t="shared" si="18"/>
        <v>"hair tutorial Amsterdam",</v>
      </c>
      <c r="AM18" s="7" t="str">
        <f t="shared" si="18"/>
        <v>"barbershop Amsterdam",</v>
      </c>
      <c r="AN18" s="7"/>
      <c r="AO18" s="7"/>
    </row>
    <row r="19">
      <c r="A19" s="4" t="s">
        <v>4831</v>
      </c>
      <c r="B19" s="7" t="str">
        <f t="shared" si="5"/>
        <v>"ootd Copenhagen",</v>
      </c>
      <c r="C19" s="7" t="str">
        <f t="shared" ref="C19:AM19" si="19">CONCATENATE(C$1," ",$A19)</f>
        <v>"street style Copenhagen",</v>
      </c>
      <c r="D19" s="7" t="str">
        <f t="shared" si="19"/>
        <v>"skincare Copenhagen",</v>
      </c>
      <c r="E19" s="7" t="str">
        <f t="shared" si="19"/>
        <v>"makeup Copenhagen",</v>
      </c>
      <c r="F19" s="7" t="str">
        <f t="shared" si="19"/>
        <v>"nails Copenhagen",</v>
      </c>
      <c r="G19" s="7" t="str">
        <f t="shared" si="19"/>
        <v>"curly hair Copenhagen",</v>
      </c>
      <c r="H19" s="7" t="str">
        <f t="shared" si="19"/>
        <v>"thrift Copenhagen",</v>
      </c>
      <c r="I19" s="7" t="str">
        <f t="shared" si="19"/>
        <v>"streetwear Copenhagen",</v>
      </c>
      <c r="J19" s="7" t="str">
        <f t="shared" si="19"/>
        <v>"luxury Copenhagen",</v>
      </c>
      <c r="K19" s="7" t="str">
        <f t="shared" si="19"/>
        <v>"handbags Copenhagen",</v>
      </c>
      <c r="L19" s="7" t="str">
        <f t="shared" si="19"/>
        <v>"sneakers Copenhagen",</v>
      </c>
      <c r="M19" s="7" t="str">
        <f t="shared" si="19"/>
        <v>"high heels Copenhagen",</v>
      </c>
      <c r="N19" s="7" t="str">
        <f t="shared" si="19"/>
        <v>"haute-couture Copenhagen",</v>
      </c>
      <c r="O19" s="7" t="str">
        <f t="shared" si="19"/>
        <v>"diyfashion Copenhagen",</v>
      </c>
      <c r="P19" s="7" t="str">
        <f t="shared" si="19"/>
        <v>"accessories Copenhagen",</v>
      </c>
      <c r="Q19" s="7" t="str">
        <f t="shared" si="19"/>
        <v>"menswear Copenhagen",</v>
      </c>
      <c r="R19" s="7" t="str">
        <f t="shared" si="19"/>
        <v>"womenswear Copenhagen",</v>
      </c>
      <c r="S19" s="7" t="str">
        <f t="shared" si="19"/>
        <v>"moda Copenhagen",</v>
      </c>
      <c r="T19" s="7" t="str">
        <f t="shared" si="19"/>
        <v>"hairstyle Copenhagen",</v>
      </c>
      <c r="U19" s="7" t="str">
        <f t="shared" si="19"/>
        <v>"perfume Copenhagen",</v>
      </c>
      <c r="V19" s="7" t="str">
        <f t="shared" si="19"/>
        <v>"cosmetiques Copenhagen",</v>
      </c>
      <c r="W19" s="7" t="str">
        <f t="shared" si="19"/>
        <v>"beauty routine Copenhagen",</v>
      </c>
      <c r="X19" s="7" t="str">
        <f t="shared" si="19"/>
        <v>"natural beauty Copenhagen",</v>
      </c>
      <c r="Y19" s="7" t="str">
        <f t="shared" si="19"/>
        <v>"organic beauty Copenhagen",</v>
      </c>
      <c r="Z19" s="7" t="str">
        <f t="shared" si="19"/>
        <v>"sustainable fashion Copenhagen",</v>
      </c>
      <c r="AA19" s="7" t="str">
        <f t="shared" si="19"/>
        <v>"fashion hacks Copenhagen",</v>
      </c>
      <c r="AB19" s="7" t="str">
        <f t="shared" si="19"/>
        <v>"capsule wardrobe Copenhagen",</v>
      </c>
      <c r="AC19" s="7" t="str">
        <f t="shared" si="19"/>
        <v>"fashion trends Copenhagen",</v>
      </c>
      <c r="AD19" s="7" t="str">
        <f t="shared" si="19"/>
        <v>"minimalist fashion Copenhagen",</v>
      </c>
      <c r="AE19" s="7" t="str">
        <f t="shared" si="19"/>
        <v>"beauty hacks Copenhagen",</v>
      </c>
      <c r="AF19" s="7" t="str">
        <f t="shared" si="19"/>
        <v>"hair routines Copenhagen",</v>
      </c>
      <c r="AG19" s="7" t="str">
        <f t="shared" si="19"/>
        <v>"empties Copenhagen",</v>
      </c>
      <c r="AH19" s="7" t="str">
        <f t="shared" si="19"/>
        <v>"product reviews Copenhagen",</v>
      </c>
      <c r="AI19" s="7" t="str">
        <f t="shared" si="19"/>
        <v>"beauty reviews  Copenhagen",</v>
      </c>
      <c r="AJ19" s="7" t="str">
        <f t="shared" si="19"/>
        <v>"make-up artist Copenhagen",</v>
      </c>
      <c r="AK19" s="7" t="str">
        <f t="shared" si="19"/>
        <v>"skincare journey Copenhagen",</v>
      </c>
      <c r="AL19" s="7" t="str">
        <f t="shared" si="19"/>
        <v>"hair tutorial Copenhagen",</v>
      </c>
      <c r="AM19" s="7" t="str">
        <f t="shared" si="19"/>
        <v>"barbershop Copenhagen",</v>
      </c>
      <c r="AN19" s="7"/>
      <c r="AO19" s="7"/>
    </row>
    <row r="20">
      <c r="A20" s="4" t="s">
        <v>4832</v>
      </c>
      <c r="B20" s="7" t="str">
        <f t="shared" si="5"/>
        <v>"ootd Stockholm",</v>
      </c>
      <c r="C20" s="7" t="str">
        <f t="shared" ref="C20:AM20" si="20">CONCATENATE(C$1," ",$A20)</f>
        <v>"street style Stockholm",</v>
      </c>
      <c r="D20" s="7" t="str">
        <f t="shared" si="20"/>
        <v>"skincare Stockholm",</v>
      </c>
      <c r="E20" s="7" t="str">
        <f t="shared" si="20"/>
        <v>"makeup Stockholm",</v>
      </c>
      <c r="F20" s="7" t="str">
        <f t="shared" si="20"/>
        <v>"nails Stockholm",</v>
      </c>
      <c r="G20" s="7" t="str">
        <f t="shared" si="20"/>
        <v>"curly hair Stockholm",</v>
      </c>
      <c r="H20" s="7" t="str">
        <f t="shared" si="20"/>
        <v>"thrift Stockholm",</v>
      </c>
      <c r="I20" s="7" t="str">
        <f t="shared" si="20"/>
        <v>"streetwear Stockholm",</v>
      </c>
      <c r="J20" s="7" t="str">
        <f t="shared" si="20"/>
        <v>"luxury Stockholm",</v>
      </c>
      <c r="K20" s="7" t="str">
        <f t="shared" si="20"/>
        <v>"handbags Stockholm",</v>
      </c>
      <c r="L20" s="7" t="str">
        <f t="shared" si="20"/>
        <v>"sneakers Stockholm",</v>
      </c>
      <c r="M20" s="7" t="str">
        <f t="shared" si="20"/>
        <v>"high heels Stockholm",</v>
      </c>
      <c r="N20" s="7" t="str">
        <f t="shared" si="20"/>
        <v>"haute-couture Stockholm",</v>
      </c>
      <c r="O20" s="7" t="str">
        <f t="shared" si="20"/>
        <v>"diyfashion Stockholm",</v>
      </c>
      <c r="P20" s="7" t="str">
        <f t="shared" si="20"/>
        <v>"accessories Stockholm",</v>
      </c>
      <c r="Q20" s="7" t="str">
        <f t="shared" si="20"/>
        <v>"menswear Stockholm",</v>
      </c>
      <c r="R20" s="7" t="str">
        <f t="shared" si="20"/>
        <v>"womenswear Stockholm",</v>
      </c>
      <c r="S20" s="7" t="str">
        <f t="shared" si="20"/>
        <v>"moda Stockholm",</v>
      </c>
      <c r="T20" s="7" t="str">
        <f t="shared" si="20"/>
        <v>"hairstyle Stockholm",</v>
      </c>
      <c r="U20" s="7" t="str">
        <f t="shared" si="20"/>
        <v>"perfume Stockholm",</v>
      </c>
      <c r="V20" s="7" t="str">
        <f t="shared" si="20"/>
        <v>"cosmetiques Stockholm",</v>
      </c>
      <c r="W20" s="7" t="str">
        <f t="shared" si="20"/>
        <v>"beauty routine Stockholm",</v>
      </c>
      <c r="X20" s="7" t="str">
        <f t="shared" si="20"/>
        <v>"natural beauty Stockholm",</v>
      </c>
      <c r="Y20" s="7" t="str">
        <f t="shared" si="20"/>
        <v>"organic beauty Stockholm",</v>
      </c>
      <c r="Z20" s="7" t="str">
        <f t="shared" si="20"/>
        <v>"sustainable fashion Stockholm",</v>
      </c>
      <c r="AA20" s="7" t="str">
        <f t="shared" si="20"/>
        <v>"fashion hacks Stockholm",</v>
      </c>
      <c r="AB20" s="7" t="str">
        <f t="shared" si="20"/>
        <v>"capsule wardrobe Stockholm",</v>
      </c>
      <c r="AC20" s="7" t="str">
        <f t="shared" si="20"/>
        <v>"fashion trends Stockholm",</v>
      </c>
      <c r="AD20" s="7" t="str">
        <f t="shared" si="20"/>
        <v>"minimalist fashion Stockholm",</v>
      </c>
      <c r="AE20" s="7" t="str">
        <f t="shared" si="20"/>
        <v>"beauty hacks Stockholm",</v>
      </c>
      <c r="AF20" s="7" t="str">
        <f t="shared" si="20"/>
        <v>"hair routines Stockholm",</v>
      </c>
      <c r="AG20" s="7" t="str">
        <f t="shared" si="20"/>
        <v>"empties Stockholm",</v>
      </c>
      <c r="AH20" s="7" t="str">
        <f t="shared" si="20"/>
        <v>"product reviews Stockholm",</v>
      </c>
      <c r="AI20" s="7" t="str">
        <f t="shared" si="20"/>
        <v>"beauty reviews  Stockholm",</v>
      </c>
      <c r="AJ20" s="7" t="str">
        <f t="shared" si="20"/>
        <v>"make-up artist Stockholm",</v>
      </c>
      <c r="AK20" s="7" t="str">
        <f t="shared" si="20"/>
        <v>"skincare journey Stockholm",</v>
      </c>
      <c r="AL20" s="7" t="str">
        <f t="shared" si="20"/>
        <v>"hair tutorial Stockholm",</v>
      </c>
      <c r="AM20" s="7" t="str">
        <f t="shared" si="20"/>
        <v>"barbershop Stockholm",</v>
      </c>
      <c r="AN20" s="7"/>
      <c r="AO20" s="7"/>
    </row>
    <row r="21">
      <c r="A21" s="4" t="s">
        <v>4833</v>
      </c>
      <c r="B21" s="7" t="str">
        <f t="shared" si="5"/>
        <v>"ootd Barcelona",</v>
      </c>
      <c r="C21" s="7" t="str">
        <f t="shared" ref="C21:AM21" si="21">CONCATENATE(C$1," ",$A21)</f>
        <v>"street style Barcelona",</v>
      </c>
      <c r="D21" s="7" t="str">
        <f t="shared" si="21"/>
        <v>"skincare Barcelona",</v>
      </c>
      <c r="E21" s="7" t="str">
        <f t="shared" si="21"/>
        <v>"makeup Barcelona",</v>
      </c>
      <c r="F21" s="7" t="str">
        <f t="shared" si="21"/>
        <v>"nails Barcelona",</v>
      </c>
      <c r="G21" s="7" t="str">
        <f t="shared" si="21"/>
        <v>"curly hair Barcelona",</v>
      </c>
      <c r="H21" s="7" t="str">
        <f t="shared" si="21"/>
        <v>"thrift Barcelona",</v>
      </c>
      <c r="I21" s="7" t="str">
        <f t="shared" si="21"/>
        <v>"streetwear Barcelona",</v>
      </c>
      <c r="J21" s="7" t="str">
        <f t="shared" si="21"/>
        <v>"luxury Barcelona",</v>
      </c>
      <c r="K21" s="7" t="str">
        <f t="shared" si="21"/>
        <v>"handbags Barcelona",</v>
      </c>
      <c r="L21" s="7" t="str">
        <f t="shared" si="21"/>
        <v>"sneakers Barcelona",</v>
      </c>
      <c r="M21" s="7" t="str">
        <f t="shared" si="21"/>
        <v>"high heels Barcelona",</v>
      </c>
      <c r="N21" s="7" t="str">
        <f t="shared" si="21"/>
        <v>"haute-couture Barcelona",</v>
      </c>
      <c r="O21" s="7" t="str">
        <f t="shared" si="21"/>
        <v>"diyfashion Barcelona",</v>
      </c>
      <c r="P21" s="7" t="str">
        <f t="shared" si="21"/>
        <v>"accessories Barcelona",</v>
      </c>
      <c r="Q21" s="7" t="str">
        <f t="shared" si="21"/>
        <v>"menswear Barcelona",</v>
      </c>
      <c r="R21" s="7" t="str">
        <f t="shared" si="21"/>
        <v>"womenswear Barcelona",</v>
      </c>
      <c r="S21" s="7" t="str">
        <f t="shared" si="21"/>
        <v>"moda Barcelona",</v>
      </c>
      <c r="T21" s="7" t="str">
        <f t="shared" si="21"/>
        <v>"hairstyle Barcelona",</v>
      </c>
      <c r="U21" s="7" t="str">
        <f t="shared" si="21"/>
        <v>"perfume Barcelona",</v>
      </c>
      <c r="V21" s="7" t="str">
        <f t="shared" si="21"/>
        <v>"cosmetiques Barcelona",</v>
      </c>
      <c r="W21" s="7" t="str">
        <f t="shared" si="21"/>
        <v>"beauty routine Barcelona",</v>
      </c>
      <c r="X21" s="7" t="str">
        <f t="shared" si="21"/>
        <v>"natural beauty Barcelona",</v>
      </c>
      <c r="Y21" s="7" t="str">
        <f t="shared" si="21"/>
        <v>"organic beauty Barcelona",</v>
      </c>
      <c r="Z21" s="7" t="str">
        <f t="shared" si="21"/>
        <v>"sustainable fashion Barcelona",</v>
      </c>
      <c r="AA21" s="7" t="str">
        <f t="shared" si="21"/>
        <v>"fashion hacks Barcelona",</v>
      </c>
      <c r="AB21" s="7" t="str">
        <f t="shared" si="21"/>
        <v>"capsule wardrobe Barcelona",</v>
      </c>
      <c r="AC21" s="7" t="str">
        <f t="shared" si="21"/>
        <v>"fashion trends Barcelona",</v>
      </c>
      <c r="AD21" s="7" t="str">
        <f t="shared" si="21"/>
        <v>"minimalist fashion Barcelona",</v>
      </c>
      <c r="AE21" s="7" t="str">
        <f t="shared" si="21"/>
        <v>"beauty hacks Barcelona",</v>
      </c>
      <c r="AF21" s="7" t="str">
        <f t="shared" si="21"/>
        <v>"hair routines Barcelona",</v>
      </c>
      <c r="AG21" s="7" t="str">
        <f t="shared" si="21"/>
        <v>"empties Barcelona",</v>
      </c>
      <c r="AH21" s="7" t="str">
        <f t="shared" si="21"/>
        <v>"product reviews Barcelona",</v>
      </c>
      <c r="AI21" s="7" t="str">
        <f t="shared" si="21"/>
        <v>"beauty reviews  Barcelona",</v>
      </c>
      <c r="AJ21" s="7" t="str">
        <f t="shared" si="21"/>
        <v>"make-up artist Barcelona",</v>
      </c>
      <c r="AK21" s="7" t="str">
        <f t="shared" si="21"/>
        <v>"skincare journey Barcelona",</v>
      </c>
      <c r="AL21" s="7" t="str">
        <f t="shared" si="21"/>
        <v>"hair tutorial Barcelona",</v>
      </c>
      <c r="AM21" s="7" t="str">
        <f t="shared" si="21"/>
        <v>"barbershop Barcelona",</v>
      </c>
      <c r="AN21" s="7"/>
      <c r="AO21" s="7"/>
    </row>
    <row r="22">
      <c r="A22" s="4" t="s">
        <v>4834</v>
      </c>
      <c r="B22" s="7" t="str">
        <f t="shared" si="5"/>
        <v>"ootd Madrid",</v>
      </c>
      <c r="C22" s="7" t="str">
        <f t="shared" ref="C22:AM22" si="22">CONCATENATE(C$1," ",$A22)</f>
        <v>"street style Madrid",</v>
      </c>
      <c r="D22" s="7" t="str">
        <f t="shared" si="22"/>
        <v>"skincare Madrid",</v>
      </c>
      <c r="E22" s="7" t="str">
        <f t="shared" si="22"/>
        <v>"makeup Madrid",</v>
      </c>
      <c r="F22" s="7" t="str">
        <f t="shared" si="22"/>
        <v>"nails Madrid",</v>
      </c>
      <c r="G22" s="7" t="str">
        <f t="shared" si="22"/>
        <v>"curly hair Madrid",</v>
      </c>
      <c r="H22" s="7" t="str">
        <f t="shared" si="22"/>
        <v>"thrift Madrid",</v>
      </c>
      <c r="I22" s="7" t="str">
        <f t="shared" si="22"/>
        <v>"streetwear Madrid",</v>
      </c>
      <c r="J22" s="7" t="str">
        <f t="shared" si="22"/>
        <v>"luxury Madrid",</v>
      </c>
      <c r="K22" s="7" t="str">
        <f t="shared" si="22"/>
        <v>"handbags Madrid",</v>
      </c>
      <c r="L22" s="7" t="str">
        <f t="shared" si="22"/>
        <v>"sneakers Madrid",</v>
      </c>
      <c r="M22" s="7" t="str">
        <f t="shared" si="22"/>
        <v>"high heels Madrid",</v>
      </c>
      <c r="N22" s="7" t="str">
        <f t="shared" si="22"/>
        <v>"haute-couture Madrid",</v>
      </c>
      <c r="O22" s="7" t="str">
        <f t="shared" si="22"/>
        <v>"diyfashion Madrid",</v>
      </c>
      <c r="P22" s="7" t="str">
        <f t="shared" si="22"/>
        <v>"accessories Madrid",</v>
      </c>
      <c r="Q22" s="7" t="str">
        <f t="shared" si="22"/>
        <v>"menswear Madrid",</v>
      </c>
      <c r="R22" s="7" t="str">
        <f t="shared" si="22"/>
        <v>"womenswear Madrid",</v>
      </c>
      <c r="S22" s="7" t="str">
        <f t="shared" si="22"/>
        <v>"moda Madrid",</v>
      </c>
      <c r="T22" s="7" t="str">
        <f t="shared" si="22"/>
        <v>"hairstyle Madrid",</v>
      </c>
      <c r="U22" s="7" t="str">
        <f t="shared" si="22"/>
        <v>"perfume Madrid",</v>
      </c>
      <c r="V22" s="7" t="str">
        <f t="shared" si="22"/>
        <v>"cosmetiques Madrid",</v>
      </c>
      <c r="W22" s="7" t="str">
        <f t="shared" si="22"/>
        <v>"beauty routine Madrid",</v>
      </c>
      <c r="X22" s="7" t="str">
        <f t="shared" si="22"/>
        <v>"natural beauty Madrid",</v>
      </c>
      <c r="Y22" s="7" t="str">
        <f t="shared" si="22"/>
        <v>"organic beauty Madrid",</v>
      </c>
      <c r="Z22" s="7" t="str">
        <f t="shared" si="22"/>
        <v>"sustainable fashion Madrid",</v>
      </c>
      <c r="AA22" s="7" t="str">
        <f t="shared" si="22"/>
        <v>"fashion hacks Madrid",</v>
      </c>
      <c r="AB22" s="7" t="str">
        <f t="shared" si="22"/>
        <v>"capsule wardrobe Madrid",</v>
      </c>
      <c r="AC22" s="7" t="str">
        <f t="shared" si="22"/>
        <v>"fashion trends Madrid",</v>
      </c>
      <c r="AD22" s="7" t="str">
        <f t="shared" si="22"/>
        <v>"minimalist fashion Madrid",</v>
      </c>
      <c r="AE22" s="7" t="str">
        <f t="shared" si="22"/>
        <v>"beauty hacks Madrid",</v>
      </c>
      <c r="AF22" s="7" t="str">
        <f t="shared" si="22"/>
        <v>"hair routines Madrid",</v>
      </c>
      <c r="AG22" s="7" t="str">
        <f t="shared" si="22"/>
        <v>"empties Madrid",</v>
      </c>
      <c r="AH22" s="7" t="str">
        <f t="shared" si="22"/>
        <v>"product reviews Madrid",</v>
      </c>
      <c r="AI22" s="7" t="str">
        <f t="shared" si="22"/>
        <v>"beauty reviews  Madrid",</v>
      </c>
      <c r="AJ22" s="7" t="str">
        <f t="shared" si="22"/>
        <v>"make-up artist Madrid",</v>
      </c>
      <c r="AK22" s="7" t="str">
        <f t="shared" si="22"/>
        <v>"skincare journey Madrid",</v>
      </c>
      <c r="AL22" s="7" t="str">
        <f t="shared" si="22"/>
        <v>"hair tutorial Madrid",</v>
      </c>
      <c r="AM22" s="7" t="str">
        <f t="shared" si="22"/>
        <v>"barbershop Madrid",</v>
      </c>
      <c r="AN22" s="7"/>
      <c r="AO22" s="7"/>
    </row>
    <row r="23">
      <c r="A23" s="4" t="s">
        <v>4835</v>
      </c>
      <c r="B23" s="7" t="str">
        <f t="shared" si="5"/>
        <v>"ootd Lisbon",</v>
      </c>
      <c r="C23" s="7" t="str">
        <f t="shared" ref="C23:AM23" si="23">CONCATENATE(C$1," ",$A23)</f>
        <v>"street style Lisbon",</v>
      </c>
      <c r="D23" s="7" t="str">
        <f t="shared" si="23"/>
        <v>"skincare Lisbon",</v>
      </c>
      <c r="E23" s="7" t="str">
        <f t="shared" si="23"/>
        <v>"makeup Lisbon",</v>
      </c>
      <c r="F23" s="7" t="str">
        <f t="shared" si="23"/>
        <v>"nails Lisbon",</v>
      </c>
      <c r="G23" s="7" t="str">
        <f t="shared" si="23"/>
        <v>"curly hair Lisbon",</v>
      </c>
      <c r="H23" s="7" t="str">
        <f t="shared" si="23"/>
        <v>"thrift Lisbon",</v>
      </c>
      <c r="I23" s="7" t="str">
        <f t="shared" si="23"/>
        <v>"streetwear Lisbon",</v>
      </c>
      <c r="J23" s="7" t="str">
        <f t="shared" si="23"/>
        <v>"luxury Lisbon",</v>
      </c>
      <c r="K23" s="7" t="str">
        <f t="shared" si="23"/>
        <v>"handbags Lisbon",</v>
      </c>
      <c r="L23" s="7" t="str">
        <f t="shared" si="23"/>
        <v>"sneakers Lisbon",</v>
      </c>
      <c r="M23" s="7" t="str">
        <f t="shared" si="23"/>
        <v>"high heels Lisbon",</v>
      </c>
      <c r="N23" s="7" t="str">
        <f t="shared" si="23"/>
        <v>"haute-couture Lisbon",</v>
      </c>
      <c r="O23" s="7" t="str">
        <f t="shared" si="23"/>
        <v>"diyfashion Lisbon",</v>
      </c>
      <c r="P23" s="7" t="str">
        <f t="shared" si="23"/>
        <v>"accessories Lisbon",</v>
      </c>
      <c r="Q23" s="7" t="str">
        <f t="shared" si="23"/>
        <v>"menswear Lisbon",</v>
      </c>
      <c r="R23" s="7" t="str">
        <f t="shared" si="23"/>
        <v>"womenswear Lisbon",</v>
      </c>
      <c r="S23" s="7" t="str">
        <f t="shared" si="23"/>
        <v>"moda Lisbon",</v>
      </c>
      <c r="T23" s="7" t="str">
        <f t="shared" si="23"/>
        <v>"hairstyle Lisbon",</v>
      </c>
      <c r="U23" s="7" t="str">
        <f t="shared" si="23"/>
        <v>"perfume Lisbon",</v>
      </c>
      <c r="V23" s="7" t="str">
        <f t="shared" si="23"/>
        <v>"cosmetiques Lisbon",</v>
      </c>
      <c r="W23" s="7" t="str">
        <f t="shared" si="23"/>
        <v>"beauty routine Lisbon",</v>
      </c>
      <c r="X23" s="7" t="str">
        <f t="shared" si="23"/>
        <v>"natural beauty Lisbon",</v>
      </c>
      <c r="Y23" s="7" t="str">
        <f t="shared" si="23"/>
        <v>"organic beauty Lisbon",</v>
      </c>
      <c r="Z23" s="7" t="str">
        <f t="shared" si="23"/>
        <v>"sustainable fashion Lisbon",</v>
      </c>
      <c r="AA23" s="7" t="str">
        <f t="shared" si="23"/>
        <v>"fashion hacks Lisbon",</v>
      </c>
      <c r="AB23" s="7" t="str">
        <f t="shared" si="23"/>
        <v>"capsule wardrobe Lisbon",</v>
      </c>
      <c r="AC23" s="7" t="str">
        <f t="shared" si="23"/>
        <v>"fashion trends Lisbon",</v>
      </c>
      <c r="AD23" s="7" t="str">
        <f t="shared" si="23"/>
        <v>"minimalist fashion Lisbon",</v>
      </c>
      <c r="AE23" s="7" t="str">
        <f t="shared" si="23"/>
        <v>"beauty hacks Lisbon",</v>
      </c>
      <c r="AF23" s="7" t="str">
        <f t="shared" si="23"/>
        <v>"hair routines Lisbon",</v>
      </c>
      <c r="AG23" s="7" t="str">
        <f t="shared" si="23"/>
        <v>"empties Lisbon",</v>
      </c>
      <c r="AH23" s="7" t="str">
        <f t="shared" si="23"/>
        <v>"product reviews Lisbon",</v>
      </c>
      <c r="AI23" s="7" t="str">
        <f t="shared" si="23"/>
        <v>"beauty reviews  Lisbon",</v>
      </c>
      <c r="AJ23" s="7" t="str">
        <f t="shared" si="23"/>
        <v>"make-up artist Lisbon",</v>
      </c>
      <c r="AK23" s="7" t="str">
        <f t="shared" si="23"/>
        <v>"skincare journey Lisbon",</v>
      </c>
      <c r="AL23" s="7" t="str">
        <f t="shared" si="23"/>
        <v>"hair tutorial Lisbon",</v>
      </c>
      <c r="AM23" s="7" t="str">
        <f t="shared" si="23"/>
        <v>"barbershop Lisbon",</v>
      </c>
      <c r="AN23" s="7"/>
      <c r="AO23" s="7"/>
    </row>
    <row r="24">
      <c r="A24" s="4" t="s">
        <v>4836</v>
      </c>
      <c r="B24" s="7" t="str">
        <f t="shared" si="5"/>
        <v>"ootd Milan",</v>
      </c>
      <c r="C24" s="7" t="str">
        <f t="shared" ref="C24:AM24" si="24">CONCATENATE(C$1," ",$A24)</f>
        <v>"street style Milan",</v>
      </c>
      <c r="D24" s="7" t="str">
        <f t="shared" si="24"/>
        <v>"skincare Milan",</v>
      </c>
      <c r="E24" s="7" t="str">
        <f t="shared" si="24"/>
        <v>"makeup Milan",</v>
      </c>
      <c r="F24" s="7" t="str">
        <f t="shared" si="24"/>
        <v>"nails Milan",</v>
      </c>
      <c r="G24" s="7" t="str">
        <f t="shared" si="24"/>
        <v>"curly hair Milan",</v>
      </c>
      <c r="H24" s="7" t="str">
        <f t="shared" si="24"/>
        <v>"thrift Milan",</v>
      </c>
      <c r="I24" s="7" t="str">
        <f t="shared" si="24"/>
        <v>"streetwear Milan",</v>
      </c>
      <c r="J24" s="7" t="str">
        <f t="shared" si="24"/>
        <v>"luxury Milan",</v>
      </c>
      <c r="K24" s="7" t="str">
        <f t="shared" si="24"/>
        <v>"handbags Milan",</v>
      </c>
      <c r="L24" s="7" t="str">
        <f t="shared" si="24"/>
        <v>"sneakers Milan",</v>
      </c>
      <c r="M24" s="7" t="str">
        <f t="shared" si="24"/>
        <v>"high heels Milan",</v>
      </c>
      <c r="N24" s="7" t="str">
        <f t="shared" si="24"/>
        <v>"haute-couture Milan",</v>
      </c>
      <c r="O24" s="7" t="str">
        <f t="shared" si="24"/>
        <v>"diyfashion Milan",</v>
      </c>
      <c r="P24" s="7" t="str">
        <f t="shared" si="24"/>
        <v>"accessories Milan",</v>
      </c>
      <c r="Q24" s="7" t="str">
        <f t="shared" si="24"/>
        <v>"menswear Milan",</v>
      </c>
      <c r="R24" s="7" t="str">
        <f t="shared" si="24"/>
        <v>"womenswear Milan",</v>
      </c>
      <c r="S24" s="7" t="str">
        <f t="shared" si="24"/>
        <v>"moda Milan",</v>
      </c>
      <c r="T24" s="7" t="str">
        <f t="shared" si="24"/>
        <v>"hairstyle Milan",</v>
      </c>
      <c r="U24" s="7" t="str">
        <f t="shared" si="24"/>
        <v>"perfume Milan",</v>
      </c>
      <c r="V24" s="7" t="str">
        <f t="shared" si="24"/>
        <v>"cosmetiques Milan",</v>
      </c>
      <c r="W24" s="7" t="str">
        <f t="shared" si="24"/>
        <v>"beauty routine Milan",</v>
      </c>
      <c r="X24" s="7" t="str">
        <f t="shared" si="24"/>
        <v>"natural beauty Milan",</v>
      </c>
      <c r="Y24" s="7" t="str">
        <f t="shared" si="24"/>
        <v>"organic beauty Milan",</v>
      </c>
      <c r="Z24" s="7" t="str">
        <f t="shared" si="24"/>
        <v>"sustainable fashion Milan",</v>
      </c>
      <c r="AA24" s="7" t="str">
        <f t="shared" si="24"/>
        <v>"fashion hacks Milan",</v>
      </c>
      <c r="AB24" s="7" t="str">
        <f t="shared" si="24"/>
        <v>"capsule wardrobe Milan",</v>
      </c>
      <c r="AC24" s="7" t="str">
        <f t="shared" si="24"/>
        <v>"fashion trends Milan",</v>
      </c>
      <c r="AD24" s="7" t="str">
        <f t="shared" si="24"/>
        <v>"minimalist fashion Milan",</v>
      </c>
      <c r="AE24" s="7" t="str">
        <f t="shared" si="24"/>
        <v>"beauty hacks Milan",</v>
      </c>
      <c r="AF24" s="7" t="str">
        <f t="shared" si="24"/>
        <v>"hair routines Milan",</v>
      </c>
      <c r="AG24" s="7" t="str">
        <f t="shared" si="24"/>
        <v>"empties Milan",</v>
      </c>
      <c r="AH24" s="7" t="str">
        <f t="shared" si="24"/>
        <v>"product reviews Milan",</v>
      </c>
      <c r="AI24" s="7" t="str">
        <f t="shared" si="24"/>
        <v>"beauty reviews  Milan",</v>
      </c>
      <c r="AJ24" s="7" t="str">
        <f t="shared" si="24"/>
        <v>"make-up artist Milan",</v>
      </c>
      <c r="AK24" s="7" t="str">
        <f t="shared" si="24"/>
        <v>"skincare journey Milan",</v>
      </c>
      <c r="AL24" s="7" t="str">
        <f t="shared" si="24"/>
        <v>"hair tutorial Milan",</v>
      </c>
      <c r="AM24" s="7" t="str">
        <f t="shared" si="24"/>
        <v>"barbershop Milan",</v>
      </c>
      <c r="AN24" s="7"/>
      <c r="AO24" s="7"/>
    </row>
    <row r="25">
      <c r="A25" s="4" t="s">
        <v>4837</v>
      </c>
      <c r="B25" s="7" t="str">
        <f t="shared" si="5"/>
        <v>"ootd Rome",</v>
      </c>
      <c r="C25" s="7" t="str">
        <f t="shared" ref="C25:AM25" si="25">CONCATENATE(C$1," ",$A25)</f>
        <v>"street style Rome",</v>
      </c>
      <c r="D25" s="7" t="str">
        <f t="shared" si="25"/>
        <v>"skincare Rome",</v>
      </c>
      <c r="E25" s="7" t="str">
        <f t="shared" si="25"/>
        <v>"makeup Rome",</v>
      </c>
      <c r="F25" s="7" t="str">
        <f t="shared" si="25"/>
        <v>"nails Rome",</v>
      </c>
      <c r="G25" s="7" t="str">
        <f t="shared" si="25"/>
        <v>"curly hair Rome",</v>
      </c>
      <c r="H25" s="7" t="str">
        <f t="shared" si="25"/>
        <v>"thrift Rome",</v>
      </c>
      <c r="I25" s="7" t="str">
        <f t="shared" si="25"/>
        <v>"streetwear Rome",</v>
      </c>
      <c r="J25" s="7" t="str">
        <f t="shared" si="25"/>
        <v>"luxury Rome",</v>
      </c>
      <c r="K25" s="7" t="str">
        <f t="shared" si="25"/>
        <v>"handbags Rome",</v>
      </c>
      <c r="L25" s="7" t="str">
        <f t="shared" si="25"/>
        <v>"sneakers Rome",</v>
      </c>
      <c r="M25" s="7" t="str">
        <f t="shared" si="25"/>
        <v>"high heels Rome",</v>
      </c>
      <c r="N25" s="7" t="str">
        <f t="shared" si="25"/>
        <v>"haute-couture Rome",</v>
      </c>
      <c r="O25" s="7" t="str">
        <f t="shared" si="25"/>
        <v>"diyfashion Rome",</v>
      </c>
      <c r="P25" s="7" t="str">
        <f t="shared" si="25"/>
        <v>"accessories Rome",</v>
      </c>
      <c r="Q25" s="7" t="str">
        <f t="shared" si="25"/>
        <v>"menswear Rome",</v>
      </c>
      <c r="R25" s="7" t="str">
        <f t="shared" si="25"/>
        <v>"womenswear Rome",</v>
      </c>
      <c r="S25" s="7" t="str">
        <f t="shared" si="25"/>
        <v>"moda Rome",</v>
      </c>
      <c r="T25" s="7" t="str">
        <f t="shared" si="25"/>
        <v>"hairstyle Rome",</v>
      </c>
      <c r="U25" s="7" t="str">
        <f t="shared" si="25"/>
        <v>"perfume Rome",</v>
      </c>
      <c r="V25" s="7" t="str">
        <f t="shared" si="25"/>
        <v>"cosmetiques Rome",</v>
      </c>
      <c r="W25" s="7" t="str">
        <f t="shared" si="25"/>
        <v>"beauty routine Rome",</v>
      </c>
      <c r="X25" s="7" t="str">
        <f t="shared" si="25"/>
        <v>"natural beauty Rome",</v>
      </c>
      <c r="Y25" s="7" t="str">
        <f t="shared" si="25"/>
        <v>"organic beauty Rome",</v>
      </c>
      <c r="Z25" s="7" t="str">
        <f t="shared" si="25"/>
        <v>"sustainable fashion Rome",</v>
      </c>
      <c r="AA25" s="7" t="str">
        <f t="shared" si="25"/>
        <v>"fashion hacks Rome",</v>
      </c>
      <c r="AB25" s="7" t="str">
        <f t="shared" si="25"/>
        <v>"capsule wardrobe Rome",</v>
      </c>
      <c r="AC25" s="7" t="str">
        <f t="shared" si="25"/>
        <v>"fashion trends Rome",</v>
      </c>
      <c r="AD25" s="7" t="str">
        <f t="shared" si="25"/>
        <v>"minimalist fashion Rome",</v>
      </c>
      <c r="AE25" s="7" t="str">
        <f t="shared" si="25"/>
        <v>"beauty hacks Rome",</v>
      </c>
      <c r="AF25" s="7" t="str">
        <f t="shared" si="25"/>
        <v>"hair routines Rome",</v>
      </c>
      <c r="AG25" s="7" t="str">
        <f t="shared" si="25"/>
        <v>"empties Rome",</v>
      </c>
      <c r="AH25" s="7" t="str">
        <f t="shared" si="25"/>
        <v>"product reviews Rome",</v>
      </c>
      <c r="AI25" s="7" t="str">
        <f t="shared" si="25"/>
        <v>"beauty reviews  Rome",</v>
      </c>
      <c r="AJ25" s="7" t="str">
        <f t="shared" si="25"/>
        <v>"make-up artist Rome",</v>
      </c>
      <c r="AK25" s="7" t="str">
        <f t="shared" si="25"/>
        <v>"skincare journey Rome",</v>
      </c>
      <c r="AL25" s="7" t="str">
        <f t="shared" si="25"/>
        <v>"hair tutorial Rome",</v>
      </c>
      <c r="AM25" s="7" t="str">
        <f t="shared" si="25"/>
        <v>"barbershop Rome",</v>
      </c>
      <c r="AN25" s="7"/>
      <c r="AO25" s="7"/>
    </row>
    <row r="26">
      <c r="A26" s="4" t="s">
        <v>4838</v>
      </c>
      <c r="B26" s="7" t="str">
        <f t="shared" si="5"/>
        <v>"ootd Florence",</v>
      </c>
      <c r="C26" s="7" t="str">
        <f t="shared" ref="C26:AM26" si="26">CONCATENATE(C$1," ",$A26)</f>
        <v>"street style Florence",</v>
      </c>
      <c r="D26" s="7" t="str">
        <f t="shared" si="26"/>
        <v>"skincare Florence",</v>
      </c>
      <c r="E26" s="7" t="str">
        <f t="shared" si="26"/>
        <v>"makeup Florence",</v>
      </c>
      <c r="F26" s="7" t="str">
        <f t="shared" si="26"/>
        <v>"nails Florence",</v>
      </c>
      <c r="G26" s="7" t="str">
        <f t="shared" si="26"/>
        <v>"curly hair Florence",</v>
      </c>
      <c r="H26" s="7" t="str">
        <f t="shared" si="26"/>
        <v>"thrift Florence",</v>
      </c>
      <c r="I26" s="7" t="str">
        <f t="shared" si="26"/>
        <v>"streetwear Florence",</v>
      </c>
      <c r="J26" s="7" t="str">
        <f t="shared" si="26"/>
        <v>"luxury Florence",</v>
      </c>
      <c r="K26" s="7" t="str">
        <f t="shared" si="26"/>
        <v>"handbags Florence",</v>
      </c>
      <c r="L26" s="7" t="str">
        <f t="shared" si="26"/>
        <v>"sneakers Florence",</v>
      </c>
      <c r="M26" s="7" t="str">
        <f t="shared" si="26"/>
        <v>"high heels Florence",</v>
      </c>
      <c r="N26" s="7" t="str">
        <f t="shared" si="26"/>
        <v>"haute-couture Florence",</v>
      </c>
      <c r="O26" s="7" t="str">
        <f t="shared" si="26"/>
        <v>"diyfashion Florence",</v>
      </c>
      <c r="P26" s="7" t="str">
        <f t="shared" si="26"/>
        <v>"accessories Florence",</v>
      </c>
      <c r="Q26" s="7" t="str">
        <f t="shared" si="26"/>
        <v>"menswear Florence",</v>
      </c>
      <c r="R26" s="7" t="str">
        <f t="shared" si="26"/>
        <v>"womenswear Florence",</v>
      </c>
      <c r="S26" s="7" t="str">
        <f t="shared" si="26"/>
        <v>"moda Florence",</v>
      </c>
      <c r="T26" s="7" t="str">
        <f t="shared" si="26"/>
        <v>"hairstyle Florence",</v>
      </c>
      <c r="U26" s="7" t="str">
        <f t="shared" si="26"/>
        <v>"perfume Florence",</v>
      </c>
      <c r="V26" s="7" t="str">
        <f t="shared" si="26"/>
        <v>"cosmetiques Florence",</v>
      </c>
      <c r="W26" s="7" t="str">
        <f t="shared" si="26"/>
        <v>"beauty routine Florence",</v>
      </c>
      <c r="X26" s="7" t="str">
        <f t="shared" si="26"/>
        <v>"natural beauty Florence",</v>
      </c>
      <c r="Y26" s="7" t="str">
        <f t="shared" si="26"/>
        <v>"organic beauty Florence",</v>
      </c>
      <c r="Z26" s="7" t="str">
        <f t="shared" si="26"/>
        <v>"sustainable fashion Florence",</v>
      </c>
      <c r="AA26" s="7" t="str">
        <f t="shared" si="26"/>
        <v>"fashion hacks Florence",</v>
      </c>
      <c r="AB26" s="7" t="str">
        <f t="shared" si="26"/>
        <v>"capsule wardrobe Florence",</v>
      </c>
      <c r="AC26" s="7" t="str">
        <f t="shared" si="26"/>
        <v>"fashion trends Florence",</v>
      </c>
      <c r="AD26" s="7" t="str">
        <f t="shared" si="26"/>
        <v>"minimalist fashion Florence",</v>
      </c>
      <c r="AE26" s="7" t="str">
        <f t="shared" si="26"/>
        <v>"beauty hacks Florence",</v>
      </c>
      <c r="AF26" s="7" t="str">
        <f t="shared" si="26"/>
        <v>"hair routines Florence",</v>
      </c>
      <c r="AG26" s="7" t="str">
        <f t="shared" si="26"/>
        <v>"empties Florence",</v>
      </c>
      <c r="AH26" s="7" t="str">
        <f t="shared" si="26"/>
        <v>"product reviews Florence",</v>
      </c>
      <c r="AI26" s="7" t="str">
        <f t="shared" si="26"/>
        <v>"beauty reviews  Florence",</v>
      </c>
      <c r="AJ26" s="7" t="str">
        <f t="shared" si="26"/>
        <v>"make-up artist Florence",</v>
      </c>
      <c r="AK26" s="7" t="str">
        <f t="shared" si="26"/>
        <v>"skincare journey Florence",</v>
      </c>
      <c r="AL26" s="7" t="str">
        <f t="shared" si="26"/>
        <v>"hair tutorial Florence",</v>
      </c>
      <c r="AM26" s="7" t="str">
        <f t="shared" si="26"/>
        <v>"barbershop Florence",</v>
      </c>
      <c r="AN26" s="7"/>
      <c r="AO26" s="7"/>
    </row>
    <row r="27">
      <c r="A27" s="4" t="s">
        <v>4839</v>
      </c>
      <c r="B27" s="7" t="str">
        <f t="shared" si="5"/>
        <v>"ootd Venice",</v>
      </c>
      <c r="C27" s="7" t="str">
        <f t="shared" ref="C27:AM27" si="27">CONCATENATE(C$1," ",$A27)</f>
        <v>"street style Venice",</v>
      </c>
      <c r="D27" s="7" t="str">
        <f t="shared" si="27"/>
        <v>"skincare Venice",</v>
      </c>
      <c r="E27" s="7" t="str">
        <f t="shared" si="27"/>
        <v>"makeup Venice",</v>
      </c>
      <c r="F27" s="7" t="str">
        <f t="shared" si="27"/>
        <v>"nails Venice",</v>
      </c>
      <c r="G27" s="7" t="str">
        <f t="shared" si="27"/>
        <v>"curly hair Venice",</v>
      </c>
      <c r="H27" s="7" t="str">
        <f t="shared" si="27"/>
        <v>"thrift Venice",</v>
      </c>
      <c r="I27" s="7" t="str">
        <f t="shared" si="27"/>
        <v>"streetwear Venice",</v>
      </c>
      <c r="J27" s="7" t="str">
        <f t="shared" si="27"/>
        <v>"luxury Venice",</v>
      </c>
      <c r="K27" s="7" t="str">
        <f t="shared" si="27"/>
        <v>"handbags Venice",</v>
      </c>
      <c r="L27" s="7" t="str">
        <f t="shared" si="27"/>
        <v>"sneakers Venice",</v>
      </c>
      <c r="M27" s="7" t="str">
        <f t="shared" si="27"/>
        <v>"high heels Venice",</v>
      </c>
      <c r="N27" s="7" t="str">
        <f t="shared" si="27"/>
        <v>"haute-couture Venice",</v>
      </c>
      <c r="O27" s="7" t="str">
        <f t="shared" si="27"/>
        <v>"diyfashion Venice",</v>
      </c>
      <c r="P27" s="7" t="str">
        <f t="shared" si="27"/>
        <v>"accessories Venice",</v>
      </c>
      <c r="Q27" s="7" t="str">
        <f t="shared" si="27"/>
        <v>"menswear Venice",</v>
      </c>
      <c r="R27" s="7" t="str">
        <f t="shared" si="27"/>
        <v>"womenswear Venice",</v>
      </c>
      <c r="S27" s="7" t="str">
        <f t="shared" si="27"/>
        <v>"moda Venice",</v>
      </c>
      <c r="T27" s="7" t="str">
        <f t="shared" si="27"/>
        <v>"hairstyle Venice",</v>
      </c>
      <c r="U27" s="7" t="str">
        <f t="shared" si="27"/>
        <v>"perfume Venice",</v>
      </c>
      <c r="V27" s="7" t="str">
        <f t="shared" si="27"/>
        <v>"cosmetiques Venice",</v>
      </c>
      <c r="W27" s="7" t="str">
        <f t="shared" si="27"/>
        <v>"beauty routine Venice",</v>
      </c>
      <c r="X27" s="7" t="str">
        <f t="shared" si="27"/>
        <v>"natural beauty Venice",</v>
      </c>
      <c r="Y27" s="7" t="str">
        <f t="shared" si="27"/>
        <v>"organic beauty Venice",</v>
      </c>
      <c r="Z27" s="7" t="str">
        <f t="shared" si="27"/>
        <v>"sustainable fashion Venice",</v>
      </c>
      <c r="AA27" s="7" t="str">
        <f t="shared" si="27"/>
        <v>"fashion hacks Venice",</v>
      </c>
      <c r="AB27" s="7" t="str">
        <f t="shared" si="27"/>
        <v>"capsule wardrobe Venice",</v>
      </c>
      <c r="AC27" s="7" t="str">
        <f t="shared" si="27"/>
        <v>"fashion trends Venice",</v>
      </c>
      <c r="AD27" s="7" t="str">
        <f t="shared" si="27"/>
        <v>"minimalist fashion Venice",</v>
      </c>
      <c r="AE27" s="7" t="str">
        <f t="shared" si="27"/>
        <v>"beauty hacks Venice",</v>
      </c>
      <c r="AF27" s="7" t="str">
        <f t="shared" si="27"/>
        <v>"hair routines Venice",</v>
      </c>
      <c r="AG27" s="7" t="str">
        <f t="shared" si="27"/>
        <v>"empties Venice",</v>
      </c>
      <c r="AH27" s="7" t="str">
        <f t="shared" si="27"/>
        <v>"product reviews Venice",</v>
      </c>
      <c r="AI27" s="7" t="str">
        <f t="shared" si="27"/>
        <v>"beauty reviews  Venice",</v>
      </c>
      <c r="AJ27" s="7" t="str">
        <f t="shared" si="27"/>
        <v>"make-up artist Venice",</v>
      </c>
      <c r="AK27" s="7" t="str">
        <f t="shared" si="27"/>
        <v>"skincare journey Venice",</v>
      </c>
      <c r="AL27" s="7" t="str">
        <f t="shared" si="27"/>
        <v>"hair tutorial Venice",</v>
      </c>
      <c r="AM27" s="7" t="str">
        <f t="shared" si="27"/>
        <v>"barbershop Venice",</v>
      </c>
      <c r="AN27" s="7"/>
      <c r="AO27" s="7"/>
    </row>
    <row r="28">
      <c r="A28" s="4" t="s">
        <v>4840</v>
      </c>
      <c r="B28" s="7" t="str">
        <f t="shared" si="5"/>
        <v>"ootd Vienna",</v>
      </c>
      <c r="C28" s="7" t="str">
        <f t="shared" ref="C28:AM28" si="28">CONCATENATE(C$1," ",$A28)</f>
        <v>"street style Vienna",</v>
      </c>
      <c r="D28" s="7" t="str">
        <f t="shared" si="28"/>
        <v>"skincare Vienna",</v>
      </c>
      <c r="E28" s="7" t="str">
        <f t="shared" si="28"/>
        <v>"makeup Vienna",</v>
      </c>
      <c r="F28" s="7" t="str">
        <f t="shared" si="28"/>
        <v>"nails Vienna",</v>
      </c>
      <c r="G28" s="7" t="str">
        <f t="shared" si="28"/>
        <v>"curly hair Vienna",</v>
      </c>
      <c r="H28" s="7" t="str">
        <f t="shared" si="28"/>
        <v>"thrift Vienna",</v>
      </c>
      <c r="I28" s="7" t="str">
        <f t="shared" si="28"/>
        <v>"streetwear Vienna",</v>
      </c>
      <c r="J28" s="7" t="str">
        <f t="shared" si="28"/>
        <v>"luxury Vienna",</v>
      </c>
      <c r="K28" s="7" t="str">
        <f t="shared" si="28"/>
        <v>"handbags Vienna",</v>
      </c>
      <c r="L28" s="7" t="str">
        <f t="shared" si="28"/>
        <v>"sneakers Vienna",</v>
      </c>
      <c r="M28" s="7" t="str">
        <f t="shared" si="28"/>
        <v>"high heels Vienna",</v>
      </c>
      <c r="N28" s="7" t="str">
        <f t="shared" si="28"/>
        <v>"haute-couture Vienna",</v>
      </c>
      <c r="O28" s="7" t="str">
        <f t="shared" si="28"/>
        <v>"diyfashion Vienna",</v>
      </c>
      <c r="P28" s="7" t="str">
        <f t="shared" si="28"/>
        <v>"accessories Vienna",</v>
      </c>
      <c r="Q28" s="7" t="str">
        <f t="shared" si="28"/>
        <v>"menswear Vienna",</v>
      </c>
      <c r="R28" s="7" t="str">
        <f t="shared" si="28"/>
        <v>"womenswear Vienna",</v>
      </c>
      <c r="S28" s="7" t="str">
        <f t="shared" si="28"/>
        <v>"moda Vienna",</v>
      </c>
      <c r="T28" s="7" t="str">
        <f t="shared" si="28"/>
        <v>"hairstyle Vienna",</v>
      </c>
      <c r="U28" s="7" t="str">
        <f t="shared" si="28"/>
        <v>"perfume Vienna",</v>
      </c>
      <c r="V28" s="7" t="str">
        <f t="shared" si="28"/>
        <v>"cosmetiques Vienna",</v>
      </c>
      <c r="W28" s="7" t="str">
        <f t="shared" si="28"/>
        <v>"beauty routine Vienna",</v>
      </c>
      <c r="X28" s="7" t="str">
        <f t="shared" si="28"/>
        <v>"natural beauty Vienna",</v>
      </c>
      <c r="Y28" s="7" t="str">
        <f t="shared" si="28"/>
        <v>"organic beauty Vienna",</v>
      </c>
      <c r="Z28" s="7" t="str">
        <f t="shared" si="28"/>
        <v>"sustainable fashion Vienna",</v>
      </c>
      <c r="AA28" s="7" t="str">
        <f t="shared" si="28"/>
        <v>"fashion hacks Vienna",</v>
      </c>
      <c r="AB28" s="7" t="str">
        <f t="shared" si="28"/>
        <v>"capsule wardrobe Vienna",</v>
      </c>
      <c r="AC28" s="7" t="str">
        <f t="shared" si="28"/>
        <v>"fashion trends Vienna",</v>
      </c>
      <c r="AD28" s="7" t="str">
        <f t="shared" si="28"/>
        <v>"minimalist fashion Vienna",</v>
      </c>
      <c r="AE28" s="7" t="str">
        <f t="shared" si="28"/>
        <v>"beauty hacks Vienna",</v>
      </c>
      <c r="AF28" s="7" t="str">
        <f t="shared" si="28"/>
        <v>"hair routines Vienna",</v>
      </c>
      <c r="AG28" s="7" t="str">
        <f t="shared" si="28"/>
        <v>"empties Vienna",</v>
      </c>
      <c r="AH28" s="7" t="str">
        <f t="shared" si="28"/>
        <v>"product reviews Vienna",</v>
      </c>
      <c r="AI28" s="7" t="str">
        <f t="shared" si="28"/>
        <v>"beauty reviews  Vienna",</v>
      </c>
      <c r="AJ28" s="7" t="str">
        <f t="shared" si="28"/>
        <v>"make-up artist Vienna",</v>
      </c>
      <c r="AK28" s="7" t="str">
        <f t="shared" si="28"/>
        <v>"skincare journey Vienna",</v>
      </c>
      <c r="AL28" s="7" t="str">
        <f t="shared" si="28"/>
        <v>"hair tutorial Vienna",</v>
      </c>
      <c r="AM28" s="7" t="str">
        <f t="shared" si="28"/>
        <v>"barbershop Vienna",</v>
      </c>
      <c r="AN28" s="7"/>
      <c r="AO28" s="7"/>
    </row>
    <row r="29">
      <c r="A29" s="4" t="s">
        <v>4841</v>
      </c>
      <c r="B29" s="7" t="str">
        <f t="shared" si="5"/>
        <v>"ootd Prague",</v>
      </c>
      <c r="C29" s="7" t="str">
        <f t="shared" ref="C29:AM29" si="29">CONCATENATE(C$1," ",$A29)</f>
        <v>"street style Prague",</v>
      </c>
      <c r="D29" s="7" t="str">
        <f t="shared" si="29"/>
        <v>"skincare Prague",</v>
      </c>
      <c r="E29" s="7" t="str">
        <f t="shared" si="29"/>
        <v>"makeup Prague",</v>
      </c>
      <c r="F29" s="7" t="str">
        <f t="shared" si="29"/>
        <v>"nails Prague",</v>
      </c>
      <c r="G29" s="7" t="str">
        <f t="shared" si="29"/>
        <v>"curly hair Prague",</v>
      </c>
      <c r="H29" s="7" t="str">
        <f t="shared" si="29"/>
        <v>"thrift Prague",</v>
      </c>
      <c r="I29" s="7" t="str">
        <f t="shared" si="29"/>
        <v>"streetwear Prague",</v>
      </c>
      <c r="J29" s="7" t="str">
        <f t="shared" si="29"/>
        <v>"luxury Prague",</v>
      </c>
      <c r="K29" s="7" t="str">
        <f t="shared" si="29"/>
        <v>"handbags Prague",</v>
      </c>
      <c r="L29" s="7" t="str">
        <f t="shared" si="29"/>
        <v>"sneakers Prague",</v>
      </c>
      <c r="M29" s="7" t="str">
        <f t="shared" si="29"/>
        <v>"high heels Prague",</v>
      </c>
      <c r="N29" s="7" t="str">
        <f t="shared" si="29"/>
        <v>"haute-couture Prague",</v>
      </c>
      <c r="O29" s="7" t="str">
        <f t="shared" si="29"/>
        <v>"diyfashion Prague",</v>
      </c>
      <c r="P29" s="7" t="str">
        <f t="shared" si="29"/>
        <v>"accessories Prague",</v>
      </c>
      <c r="Q29" s="7" t="str">
        <f t="shared" si="29"/>
        <v>"menswear Prague",</v>
      </c>
      <c r="R29" s="7" t="str">
        <f t="shared" si="29"/>
        <v>"womenswear Prague",</v>
      </c>
      <c r="S29" s="7" t="str">
        <f t="shared" si="29"/>
        <v>"moda Prague",</v>
      </c>
      <c r="T29" s="7" t="str">
        <f t="shared" si="29"/>
        <v>"hairstyle Prague",</v>
      </c>
      <c r="U29" s="7" t="str">
        <f t="shared" si="29"/>
        <v>"perfume Prague",</v>
      </c>
      <c r="V29" s="7" t="str">
        <f t="shared" si="29"/>
        <v>"cosmetiques Prague",</v>
      </c>
      <c r="W29" s="7" t="str">
        <f t="shared" si="29"/>
        <v>"beauty routine Prague",</v>
      </c>
      <c r="X29" s="7" t="str">
        <f t="shared" si="29"/>
        <v>"natural beauty Prague",</v>
      </c>
      <c r="Y29" s="7" t="str">
        <f t="shared" si="29"/>
        <v>"organic beauty Prague",</v>
      </c>
      <c r="Z29" s="7" t="str">
        <f t="shared" si="29"/>
        <v>"sustainable fashion Prague",</v>
      </c>
      <c r="AA29" s="7" t="str">
        <f t="shared" si="29"/>
        <v>"fashion hacks Prague",</v>
      </c>
      <c r="AB29" s="7" t="str">
        <f t="shared" si="29"/>
        <v>"capsule wardrobe Prague",</v>
      </c>
      <c r="AC29" s="7" t="str">
        <f t="shared" si="29"/>
        <v>"fashion trends Prague",</v>
      </c>
      <c r="AD29" s="7" t="str">
        <f t="shared" si="29"/>
        <v>"minimalist fashion Prague",</v>
      </c>
      <c r="AE29" s="7" t="str">
        <f t="shared" si="29"/>
        <v>"beauty hacks Prague",</v>
      </c>
      <c r="AF29" s="7" t="str">
        <f t="shared" si="29"/>
        <v>"hair routines Prague",</v>
      </c>
      <c r="AG29" s="7" t="str">
        <f t="shared" si="29"/>
        <v>"empties Prague",</v>
      </c>
      <c r="AH29" s="7" t="str">
        <f t="shared" si="29"/>
        <v>"product reviews Prague",</v>
      </c>
      <c r="AI29" s="7" t="str">
        <f t="shared" si="29"/>
        <v>"beauty reviews  Prague",</v>
      </c>
      <c r="AJ29" s="7" t="str">
        <f t="shared" si="29"/>
        <v>"make-up artist Prague",</v>
      </c>
      <c r="AK29" s="7" t="str">
        <f t="shared" si="29"/>
        <v>"skincare journey Prague",</v>
      </c>
      <c r="AL29" s="7" t="str">
        <f t="shared" si="29"/>
        <v>"hair tutorial Prague",</v>
      </c>
      <c r="AM29" s="7" t="str">
        <f t="shared" si="29"/>
        <v>"barbershop Prague",</v>
      </c>
      <c r="AN29" s="7"/>
      <c r="AO29" s="7"/>
    </row>
    <row r="30">
      <c r="A30" s="4" t="s">
        <v>4842</v>
      </c>
      <c r="B30" s="7" t="str">
        <f t="shared" si="5"/>
        <v>"ootd Budapest",</v>
      </c>
      <c r="C30" s="7" t="str">
        <f t="shared" ref="C30:AM30" si="30">CONCATENATE(C$1," ",$A30)</f>
        <v>"street style Budapest",</v>
      </c>
      <c r="D30" s="7" t="str">
        <f t="shared" si="30"/>
        <v>"skincare Budapest",</v>
      </c>
      <c r="E30" s="7" t="str">
        <f t="shared" si="30"/>
        <v>"makeup Budapest",</v>
      </c>
      <c r="F30" s="7" t="str">
        <f t="shared" si="30"/>
        <v>"nails Budapest",</v>
      </c>
      <c r="G30" s="7" t="str">
        <f t="shared" si="30"/>
        <v>"curly hair Budapest",</v>
      </c>
      <c r="H30" s="7" t="str">
        <f t="shared" si="30"/>
        <v>"thrift Budapest",</v>
      </c>
      <c r="I30" s="7" t="str">
        <f t="shared" si="30"/>
        <v>"streetwear Budapest",</v>
      </c>
      <c r="J30" s="7" t="str">
        <f t="shared" si="30"/>
        <v>"luxury Budapest",</v>
      </c>
      <c r="K30" s="7" t="str">
        <f t="shared" si="30"/>
        <v>"handbags Budapest",</v>
      </c>
      <c r="L30" s="7" t="str">
        <f t="shared" si="30"/>
        <v>"sneakers Budapest",</v>
      </c>
      <c r="M30" s="7" t="str">
        <f t="shared" si="30"/>
        <v>"high heels Budapest",</v>
      </c>
      <c r="N30" s="7" t="str">
        <f t="shared" si="30"/>
        <v>"haute-couture Budapest",</v>
      </c>
      <c r="O30" s="7" t="str">
        <f t="shared" si="30"/>
        <v>"diyfashion Budapest",</v>
      </c>
      <c r="P30" s="7" t="str">
        <f t="shared" si="30"/>
        <v>"accessories Budapest",</v>
      </c>
      <c r="Q30" s="7" t="str">
        <f t="shared" si="30"/>
        <v>"menswear Budapest",</v>
      </c>
      <c r="R30" s="7" t="str">
        <f t="shared" si="30"/>
        <v>"womenswear Budapest",</v>
      </c>
      <c r="S30" s="7" t="str">
        <f t="shared" si="30"/>
        <v>"moda Budapest",</v>
      </c>
      <c r="T30" s="7" t="str">
        <f t="shared" si="30"/>
        <v>"hairstyle Budapest",</v>
      </c>
      <c r="U30" s="7" t="str">
        <f t="shared" si="30"/>
        <v>"perfume Budapest",</v>
      </c>
      <c r="V30" s="7" t="str">
        <f t="shared" si="30"/>
        <v>"cosmetiques Budapest",</v>
      </c>
      <c r="W30" s="7" t="str">
        <f t="shared" si="30"/>
        <v>"beauty routine Budapest",</v>
      </c>
      <c r="X30" s="7" t="str">
        <f t="shared" si="30"/>
        <v>"natural beauty Budapest",</v>
      </c>
      <c r="Y30" s="7" t="str">
        <f t="shared" si="30"/>
        <v>"organic beauty Budapest",</v>
      </c>
      <c r="Z30" s="7" t="str">
        <f t="shared" si="30"/>
        <v>"sustainable fashion Budapest",</v>
      </c>
      <c r="AA30" s="7" t="str">
        <f t="shared" si="30"/>
        <v>"fashion hacks Budapest",</v>
      </c>
      <c r="AB30" s="7" t="str">
        <f t="shared" si="30"/>
        <v>"capsule wardrobe Budapest",</v>
      </c>
      <c r="AC30" s="7" t="str">
        <f t="shared" si="30"/>
        <v>"fashion trends Budapest",</v>
      </c>
      <c r="AD30" s="7" t="str">
        <f t="shared" si="30"/>
        <v>"minimalist fashion Budapest",</v>
      </c>
      <c r="AE30" s="7" t="str">
        <f t="shared" si="30"/>
        <v>"beauty hacks Budapest",</v>
      </c>
      <c r="AF30" s="7" t="str">
        <f t="shared" si="30"/>
        <v>"hair routines Budapest",</v>
      </c>
      <c r="AG30" s="7" t="str">
        <f t="shared" si="30"/>
        <v>"empties Budapest",</v>
      </c>
      <c r="AH30" s="7" t="str">
        <f t="shared" si="30"/>
        <v>"product reviews Budapest",</v>
      </c>
      <c r="AI30" s="7" t="str">
        <f t="shared" si="30"/>
        <v>"beauty reviews  Budapest",</v>
      </c>
      <c r="AJ30" s="7" t="str">
        <f t="shared" si="30"/>
        <v>"make-up artist Budapest",</v>
      </c>
      <c r="AK30" s="7" t="str">
        <f t="shared" si="30"/>
        <v>"skincare journey Budapest",</v>
      </c>
      <c r="AL30" s="7" t="str">
        <f t="shared" si="30"/>
        <v>"hair tutorial Budapest",</v>
      </c>
      <c r="AM30" s="7" t="str">
        <f t="shared" si="30"/>
        <v>"barbershop Budapest",</v>
      </c>
      <c r="AN30" s="7"/>
      <c r="AO30" s="7"/>
    </row>
    <row r="31">
      <c r="A31" s="4" t="s">
        <v>4843</v>
      </c>
      <c r="B31" s="7" t="str">
        <f t="shared" si="5"/>
        <v>"ootd Zurich",</v>
      </c>
      <c r="C31" s="7" t="str">
        <f t="shared" ref="C31:AM31" si="31">CONCATENATE(C$1," ",$A31)</f>
        <v>"street style Zurich",</v>
      </c>
      <c r="D31" s="7" t="str">
        <f t="shared" si="31"/>
        <v>"skincare Zurich",</v>
      </c>
      <c r="E31" s="7" t="str">
        <f t="shared" si="31"/>
        <v>"makeup Zurich",</v>
      </c>
      <c r="F31" s="7" t="str">
        <f t="shared" si="31"/>
        <v>"nails Zurich",</v>
      </c>
      <c r="G31" s="7" t="str">
        <f t="shared" si="31"/>
        <v>"curly hair Zurich",</v>
      </c>
      <c r="H31" s="7" t="str">
        <f t="shared" si="31"/>
        <v>"thrift Zurich",</v>
      </c>
      <c r="I31" s="7" t="str">
        <f t="shared" si="31"/>
        <v>"streetwear Zurich",</v>
      </c>
      <c r="J31" s="7" t="str">
        <f t="shared" si="31"/>
        <v>"luxury Zurich",</v>
      </c>
      <c r="K31" s="7" t="str">
        <f t="shared" si="31"/>
        <v>"handbags Zurich",</v>
      </c>
      <c r="L31" s="7" t="str">
        <f t="shared" si="31"/>
        <v>"sneakers Zurich",</v>
      </c>
      <c r="M31" s="7" t="str">
        <f t="shared" si="31"/>
        <v>"high heels Zurich",</v>
      </c>
      <c r="N31" s="7" t="str">
        <f t="shared" si="31"/>
        <v>"haute-couture Zurich",</v>
      </c>
      <c r="O31" s="7" t="str">
        <f t="shared" si="31"/>
        <v>"diyfashion Zurich",</v>
      </c>
      <c r="P31" s="7" t="str">
        <f t="shared" si="31"/>
        <v>"accessories Zurich",</v>
      </c>
      <c r="Q31" s="7" t="str">
        <f t="shared" si="31"/>
        <v>"menswear Zurich",</v>
      </c>
      <c r="R31" s="7" t="str">
        <f t="shared" si="31"/>
        <v>"womenswear Zurich",</v>
      </c>
      <c r="S31" s="7" t="str">
        <f t="shared" si="31"/>
        <v>"moda Zurich",</v>
      </c>
      <c r="T31" s="7" t="str">
        <f t="shared" si="31"/>
        <v>"hairstyle Zurich",</v>
      </c>
      <c r="U31" s="7" t="str">
        <f t="shared" si="31"/>
        <v>"perfume Zurich",</v>
      </c>
      <c r="V31" s="7" t="str">
        <f t="shared" si="31"/>
        <v>"cosmetiques Zurich",</v>
      </c>
      <c r="W31" s="7" t="str">
        <f t="shared" si="31"/>
        <v>"beauty routine Zurich",</v>
      </c>
      <c r="X31" s="7" t="str">
        <f t="shared" si="31"/>
        <v>"natural beauty Zurich",</v>
      </c>
      <c r="Y31" s="7" t="str">
        <f t="shared" si="31"/>
        <v>"organic beauty Zurich",</v>
      </c>
      <c r="Z31" s="7" t="str">
        <f t="shared" si="31"/>
        <v>"sustainable fashion Zurich",</v>
      </c>
      <c r="AA31" s="7" t="str">
        <f t="shared" si="31"/>
        <v>"fashion hacks Zurich",</v>
      </c>
      <c r="AB31" s="7" t="str">
        <f t="shared" si="31"/>
        <v>"capsule wardrobe Zurich",</v>
      </c>
      <c r="AC31" s="7" t="str">
        <f t="shared" si="31"/>
        <v>"fashion trends Zurich",</v>
      </c>
      <c r="AD31" s="7" t="str">
        <f t="shared" si="31"/>
        <v>"minimalist fashion Zurich",</v>
      </c>
      <c r="AE31" s="7" t="str">
        <f t="shared" si="31"/>
        <v>"beauty hacks Zurich",</v>
      </c>
      <c r="AF31" s="7" t="str">
        <f t="shared" si="31"/>
        <v>"hair routines Zurich",</v>
      </c>
      <c r="AG31" s="7" t="str">
        <f t="shared" si="31"/>
        <v>"empties Zurich",</v>
      </c>
      <c r="AH31" s="7" t="str">
        <f t="shared" si="31"/>
        <v>"product reviews Zurich",</v>
      </c>
      <c r="AI31" s="7" t="str">
        <f t="shared" si="31"/>
        <v>"beauty reviews  Zurich",</v>
      </c>
      <c r="AJ31" s="7" t="str">
        <f t="shared" si="31"/>
        <v>"make-up artist Zurich",</v>
      </c>
      <c r="AK31" s="7" t="str">
        <f t="shared" si="31"/>
        <v>"skincare journey Zurich",</v>
      </c>
      <c r="AL31" s="7" t="str">
        <f t="shared" si="31"/>
        <v>"hair tutorial Zurich",</v>
      </c>
      <c r="AM31" s="7" t="str">
        <f t="shared" si="31"/>
        <v>"barbershop Zurich",</v>
      </c>
      <c r="AN31" s="7"/>
      <c r="AO31" s="7"/>
    </row>
    <row r="32">
      <c r="A32" s="4" t="s">
        <v>4844</v>
      </c>
      <c r="B32" s="7" t="str">
        <f t="shared" si="5"/>
        <v>"ootd Athens",</v>
      </c>
      <c r="C32" s="7" t="str">
        <f t="shared" ref="C32:AM32" si="32">CONCATENATE(C$1," ",$A32)</f>
        <v>"street style Athens",</v>
      </c>
      <c r="D32" s="7" t="str">
        <f t="shared" si="32"/>
        <v>"skincare Athens",</v>
      </c>
      <c r="E32" s="7" t="str">
        <f t="shared" si="32"/>
        <v>"makeup Athens",</v>
      </c>
      <c r="F32" s="7" t="str">
        <f t="shared" si="32"/>
        <v>"nails Athens",</v>
      </c>
      <c r="G32" s="7" t="str">
        <f t="shared" si="32"/>
        <v>"curly hair Athens",</v>
      </c>
      <c r="H32" s="7" t="str">
        <f t="shared" si="32"/>
        <v>"thrift Athens",</v>
      </c>
      <c r="I32" s="7" t="str">
        <f t="shared" si="32"/>
        <v>"streetwear Athens",</v>
      </c>
      <c r="J32" s="7" t="str">
        <f t="shared" si="32"/>
        <v>"luxury Athens",</v>
      </c>
      <c r="K32" s="7" t="str">
        <f t="shared" si="32"/>
        <v>"handbags Athens",</v>
      </c>
      <c r="L32" s="7" t="str">
        <f t="shared" si="32"/>
        <v>"sneakers Athens",</v>
      </c>
      <c r="M32" s="7" t="str">
        <f t="shared" si="32"/>
        <v>"high heels Athens",</v>
      </c>
      <c r="N32" s="7" t="str">
        <f t="shared" si="32"/>
        <v>"haute-couture Athens",</v>
      </c>
      <c r="O32" s="7" t="str">
        <f t="shared" si="32"/>
        <v>"diyfashion Athens",</v>
      </c>
      <c r="P32" s="7" t="str">
        <f t="shared" si="32"/>
        <v>"accessories Athens",</v>
      </c>
      <c r="Q32" s="7" t="str">
        <f t="shared" si="32"/>
        <v>"menswear Athens",</v>
      </c>
      <c r="R32" s="7" t="str">
        <f t="shared" si="32"/>
        <v>"womenswear Athens",</v>
      </c>
      <c r="S32" s="7" t="str">
        <f t="shared" si="32"/>
        <v>"moda Athens",</v>
      </c>
      <c r="T32" s="7" t="str">
        <f t="shared" si="32"/>
        <v>"hairstyle Athens",</v>
      </c>
      <c r="U32" s="7" t="str">
        <f t="shared" si="32"/>
        <v>"perfume Athens",</v>
      </c>
      <c r="V32" s="7" t="str">
        <f t="shared" si="32"/>
        <v>"cosmetiques Athens",</v>
      </c>
      <c r="W32" s="7" t="str">
        <f t="shared" si="32"/>
        <v>"beauty routine Athens",</v>
      </c>
      <c r="X32" s="7" t="str">
        <f t="shared" si="32"/>
        <v>"natural beauty Athens",</v>
      </c>
      <c r="Y32" s="7" t="str">
        <f t="shared" si="32"/>
        <v>"organic beauty Athens",</v>
      </c>
      <c r="Z32" s="7" t="str">
        <f t="shared" si="32"/>
        <v>"sustainable fashion Athens",</v>
      </c>
      <c r="AA32" s="7" t="str">
        <f t="shared" si="32"/>
        <v>"fashion hacks Athens",</v>
      </c>
      <c r="AB32" s="7" t="str">
        <f t="shared" si="32"/>
        <v>"capsule wardrobe Athens",</v>
      </c>
      <c r="AC32" s="7" t="str">
        <f t="shared" si="32"/>
        <v>"fashion trends Athens",</v>
      </c>
      <c r="AD32" s="7" t="str">
        <f t="shared" si="32"/>
        <v>"minimalist fashion Athens",</v>
      </c>
      <c r="AE32" s="7" t="str">
        <f t="shared" si="32"/>
        <v>"beauty hacks Athens",</v>
      </c>
      <c r="AF32" s="7" t="str">
        <f t="shared" si="32"/>
        <v>"hair routines Athens",</v>
      </c>
      <c r="AG32" s="7" t="str">
        <f t="shared" si="32"/>
        <v>"empties Athens",</v>
      </c>
      <c r="AH32" s="7" t="str">
        <f t="shared" si="32"/>
        <v>"product reviews Athens",</v>
      </c>
      <c r="AI32" s="7" t="str">
        <f t="shared" si="32"/>
        <v>"beauty reviews  Athens",</v>
      </c>
      <c r="AJ32" s="7" t="str">
        <f t="shared" si="32"/>
        <v>"make-up artist Athens",</v>
      </c>
      <c r="AK32" s="7" t="str">
        <f t="shared" si="32"/>
        <v>"skincare journey Athens",</v>
      </c>
      <c r="AL32" s="7" t="str">
        <f t="shared" si="32"/>
        <v>"hair tutorial Athens",</v>
      </c>
      <c r="AM32" s="7" t="str">
        <f t="shared" si="32"/>
        <v>"barbershop Athens",</v>
      </c>
      <c r="AN32" s="7"/>
      <c r="AO32" s="7"/>
    </row>
    <row r="33">
      <c r="A33" s="4" t="s">
        <v>4845</v>
      </c>
      <c r="B33" s="7" t="str">
        <f t="shared" si="5"/>
        <v>"ootd Monaco",</v>
      </c>
      <c r="C33" s="7" t="str">
        <f t="shared" ref="C33:AM33" si="33">CONCATENATE(C$1," ",$A33)</f>
        <v>"street style Monaco",</v>
      </c>
      <c r="D33" s="7" t="str">
        <f t="shared" si="33"/>
        <v>"skincare Monaco",</v>
      </c>
      <c r="E33" s="7" t="str">
        <f t="shared" si="33"/>
        <v>"makeup Monaco",</v>
      </c>
      <c r="F33" s="7" t="str">
        <f t="shared" si="33"/>
        <v>"nails Monaco",</v>
      </c>
      <c r="G33" s="7" t="str">
        <f t="shared" si="33"/>
        <v>"curly hair Monaco",</v>
      </c>
      <c r="H33" s="7" t="str">
        <f t="shared" si="33"/>
        <v>"thrift Monaco",</v>
      </c>
      <c r="I33" s="7" t="str">
        <f t="shared" si="33"/>
        <v>"streetwear Monaco",</v>
      </c>
      <c r="J33" s="7" t="str">
        <f t="shared" si="33"/>
        <v>"luxury Monaco",</v>
      </c>
      <c r="K33" s="7" t="str">
        <f t="shared" si="33"/>
        <v>"handbags Monaco",</v>
      </c>
      <c r="L33" s="7" t="str">
        <f t="shared" si="33"/>
        <v>"sneakers Monaco",</v>
      </c>
      <c r="M33" s="7" t="str">
        <f t="shared" si="33"/>
        <v>"high heels Monaco",</v>
      </c>
      <c r="N33" s="7" t="str">
        <f t="shared" si="33"/>
        <v>"haute-couture Monaco",</v>
      </c>
      <c r="O33" s="7" t="str">
        <f t="shared" si="33"/>
        <v>"diyfashion Monaco",</v>
      </c>
      <c r="P33" s="7" t="str">
        <f t="shared" si="33"/>
        <v>"accessories Monaco",</v>
      </c>
      <c r="Q33" s="7" t="str">
        <f t="shared" si="33"/>
        <v>"menswear Monaco",</v>
      </c>
      <c r="R33" s="7" t="str">
        <f t="shared" si="33"/>
        <v>"womenswear Monaco",</v>
      </c>
      <c r="S33" s="7" t="str">
        <f t="shared" si="33"/>
        <v>"moda Monaco",</v>
      </c>
      <c r="T33" s="7" t="str">
        <f t="shared" si="33"/>
        <v>"hairstyle Monaco",</v>
      </c>
      <c r="U33" s="7" t="str">
        <f t="shared" si="33"/>
        <v>"perfume Monaco",</v>
      </c>
      <c r="V33" s="7" t="str">
        <f t="shared" si="33"/>
        <v>"cosmetiques Monaco",</v>
      </c>
      <c r="W33" s="7" t="str">
        <f t="shared" si="33"/>
        <v>"beauty routine Monaco",</v>
      </c>
      <c r="X33" s="7" t="str">
        <f t="shared" si="33"/>
        <v>"natural beauty Monaco",</v>
      </c>
      <c r="Y33" s="7" t="str">
        <f t="shared" si="33"/>
        <v>"organic beauty Monaco",</v>
      </c>
      <c r="Z33" s="7" t="str">
        <f t="shared" si="33"/>
        <v>"sustainable fashion Monaco",</v>
      </c>
      <c r="AA33" s="7" t="str">
        <f t="shared" si="33"/>
        <v>"fashion hacks Monaco",</v>
      </c>
      <c r="AB33" s="7" t="str">
        <f t="shared" si="33"/>
        <v>"capsule wardrobe Monaco",</v>
      </c>
      <c r="AC33" s="7" t="str">
        <f t="shared" si="33"/>
        <v>"fashion trends Monaco",</v>
      </c>
      <c r="AD33" s="7" t="str">
        <f t="shared" si="33"/>
        <v>"minimalist fashion Monaco",</v>
      </c>
      <c r="AE33" s="7" t="str">
        <f t="shared" si="33"/>
        <v>"beauty hacks Monaco",</v>
      </c>
      <c r="AF33" s="7" t="str">
        <f t="shared" si="33"/>
        <v>"hair routines Monaco",</v>
      </c>
      <c r="AG33" s="7" t="str">
        <f t="shared" si="33"/>
        <v>"empties Monaco",</v>
      </c>
      <c r="AH33" s="7" t="str">
        <f t="shared" si="33"/>
        <v>"product reviews Monaco",</v>
      </c>
      <c r="AI33" s="7" t="str">
        <f t="shared" si="33"/>
        <v>"beauty reviews  Monaco",</v>
      </c>
      <c r="AJ33" s="7" t="str">
        <f t="shared" si="33"/>
        <v>"make-up artist Monaco",</v>
      </c>
      <c r="AK33" s="7" t="str">
        <f t="shared" si="33"/>
        <v>"skincare journey Monaco",</v>
      </c>
      <c r="AL33" s="7" t="str">
        <f t="shared" si="33"/>
        <v>"hair tutorial Monaco",</v>
      </c>
      <c r="AM33" s="7" t="str">
        <f t="shared" si="33"/>
        <v>"barbershop Monaco",</v>
      </c>
      <c r="AN33" s="7"/>
      <c r="AO33" s="7"/>
    </row>
    <row r="34">
      <c r="A34" s="4" t="s">
        <v>4846</v>
      </c>
      <c r="B34" s="7" t="str">
        <f t="shared" si="5"/>
        <v>"ootd Cannes",</v>
      </c>
      <c r="C34" s="7" t="str">
        <f t="shared" ref="C34:AM34" si="34">CONCATENATE(C$1," ",$A34)</f>
        <v>"street style Cannes",</v>
      </c>
      <c r="D34" s="7" t="str">
        <f t="shared" si="34"/>
        <v>"skincare Cannes",</v>
      </c>
      <c r="E34" s="7" t="str">
        <f t="shared" si="34"/>
        <v>"makeup Cannes",</v>
      </c>
      <c r="F34" s="7" t="str">
        <f t="shared" si="34"/>
        <v>"nails Cannes",</v>
      </c>
      <c r="G34" s="7" t="str">
        <f t="shared" si="34"/>
        <v>"curly hair Cannes",</v>
      </c>
      <c r="H34" s="7" t="str">
        <f t="shared" si="34"/>
        <v>"thrift Cannes",</v>
      </c>
      <c r="I34" s="7" t="str">
        <f t="shared" si="34"/>
        <v>"streetwear Cannes",</v>
      </c>
      <c r="J34" s="7" t="str">
        <f t="shared" si="34"/>
        <v>"luxury Cannes",</v>
      </c>
      <c r="K34" s="7" t="str">
        <f t="shared" si="34"/>
        <v>"handbags Cannes",</v>
      </c>
      <c r="L34" s="7" t="str">
        <f t="shared" si="34"/>
        <v>"sneakers Cannes",</v>
      </c>
      <c r="M34" s="7" t="str">
        <f t="shared" si="34"/>
        <v>"high heels Cannes",</v>
      </c>
      <c r="N34" s="7" t="str">
        <f t="shared" si="34"/>
        <v>"haute-couture Cannes",</v>
      </c>
      <c r="O34" s="7" t="str">
        <f t="shared" si="34"/>
        <v>"diyfashion Cannes",</v>
      </c>
      <c r="P34" s="7" t="str">
        <f t="shared" si="34"/>
        <v>"accessories Cannes",</v>
      </c>
      <c r="Q34" s="7" t="str">
        <f t="shared" si="34"/>
        <v>"menswear Cannes",</v>
      </c>
      <c r="R34" s="7" t="str">
        <f t="shared" si="34"/>
        <v>"womenswear Cannes",</v>
      </c>
      <c r="S34" s="7" t="str">
        <f t="shared" si="34"/>
        <v>"moda Cannes",</v>
      </c>
      <c r="T34" s="7" t="str">
        <f t="shared" si="34"/>
        <v>"hairstyle Cannes",</v>
      </c>
      <c r="U34" s="7" t="str">
        <f t="shared" si="34"/>
        <v>"perfume Cannes",</v>
      </c>
      <c r="V34" s="7" t="str">
        <f t="shared" si="34"/>
        <v>"cosmetiques Cannes",</v>
      </c>
      <c r="W34" s="7" t="str">
        <f t="shared" si="34"/>
        <v>"beauty routine Cannes",</v>
      </c>
      <c r="X34" s="7" t="str">
        <f t="shared" si="34"/>
        <v>"natural beauty Cannes",</v>
      </c>
      <c r="Y34" s="7" t="str">
        <f t="shared" si="34"/>
        <v>"organic beauty Cannes",</v>
      </c>
      <c r="Z34" s="7" t="str">
        <f t="shared" si="34"/>
        <v>"sustainable fashion Cannes",</v>
      </c>
      <c r="AA34" s="7" t="str">
        <f t="shared" si="34"/>
        <v>"fashion hacks Cannes",</v>
      </c>
      <c r="AB34" s="7" t="str">
        <f t="shared" si="34"/>
        <v>"capsule wardrobe Cannes",</v>
      </c>
      <c r="AC34" s="7" t="str">
        <f t="shared" si="34"/>
        <v>"fashion trends Cannes",</v>
      </c>
      <c r="AD34" s="7" t="str">
        <f t="shared" si="34"/>
        <v>"minimalist fashion Cannes",</v>
      </c>
      <c r="AE34" s="7" t="str">
        <f t="shared" si="34"/>
        <v>"beauty hacks Cannes",</v>
      </c>
      <c r="AF34" s="7" t="str">
        <f t="shared" si="34"/>
        <v>"hair routines Cannes",</v>
      </c>
      <c r="AG34" s="7" t="str">
        <f t="shared" si="34"/>
        <v>"empties Cannes",</v>
      </c>
      <c r="AH34" s="7" t="str">
        <f t="shared" si="34"/>
        <v>"product reviews Cannes",</v>
      </c>
      <c r="AI34" s="7" t="str">
        <f t="shared" si="34"/>
        <v>"beauty reviews  Cannes",</v>
      </c>
      <c r="AJ34" s="7" t="str">
        <f t="shared" si="34"/>
        <v>"make-up artist Cannes",</v>
      </c>
      <c r="AK34" s="7" t="str">
        <f t="shared" si="34"/>
        <v>"skincare journey Cannes",</v>
      </c>
      <c r="AL34" s="7" t="str">
        <f t="shared" si="34"/>
        <v>"hair tutorial Cannes",</v>
      </c>
      <c r="AM34" s="7" t="str">
        <f t="shared" si="34"/>
        <v>"barbershop Cannes",</v>
      </c>
      <c r="AN34" s="7"/>
      <c r="AO34" s="7"/>
    </row>
    <row r="35">
      <c r="A35" s="4" t="s">
        <v>4847</v>
      </c>
      <c r="B35" s="7" t="str">
        <f t="shared" si="5"/>
        <v>"ootd Saint-Tropez",</v>
      </c>
      <c r="C35" s="7" t="str">
        <f t="shared" ref="C35:AM35" si="35">CONCATENATE(C$1," ",$A35)</f>
        <v>"street style Saint-Tropez",</v>
      </c>
      <c r="D35" s="7" t="str">
        <f t="shared" si="35"/>
        <v>"skincare Saint-Tropez",</v>
      </c>
      <c r="E35" s="7" t="str">
        <f t="shared" si="35"/>
        <v>"makeup Saint-Tropez",</v>
      </c>
      <c r="F35" s="7" t="str">
        <f t="shared" si="35"/>
        <v>"nails Saint-Tropez",</v>
      </c>
      <c r="G35" s="7" t="str">
        <f t="shared" si="35"/>
        <v>"curly hair Saint-Tropez",</v>
      </c>
      <c r="H35" s="7" t="str">
        <f t="shared" si="35"/>
        <v>"thrift Saint-Tropez",</v>
      </c>
      <c r="I35" s="7" t="str">
        <f t="shared" si="35"/>
        <v>"streetwear Saint-Tropez",</v>
      </c>
      <c r="J35" s="7" t="str">
        <f t="shared" si="35"/>
        <v>"luxury Saint-Tropez",</v>
      </c>
      <c r="K35" s="7" t="str">
        <f t="shared" si="35"/>
        <v>"handbags Saint-Tropez",</v>
      </c>
      <c r="L35" s="7" t="str">
        <f t="shared" si="35"/>
        <v>"sneakers Saint-Tropez",</v>
      </c>
      <c r="M35" s="7" t="str">
        <f t="shared" si="35"/>
        <v>"high heels Saint-Tropez",</v>
      </c>
      <c r="N35" s="7" t="str">
        <f t="shared" si="35"/>
        <v>"haute-couture Saint-Tropez",</v>
      </c>
      <c r="O35" s="7" t="str">
        <f t="shared" si="35"/>
        <v>"diyfashion Saint-Tropez",</v>
      </c>
      <c r="P35" s="7" t="str">
        <f t="shared" si="35"/>
        <v>"accessories Saint-Tropez",</v>
      </c>
      <c r="Q35" s="7" t="str">
        <f t="shared" si="35"/>
        <v>"menswear Saint-Tropez",</v>
      </c>
      <c r="R35" s="7" t="str">
        <f t="shared" si="35"/>
        <v>"womenswear Saint-Tropez",</v>
      </c>
      <c r="S35" s="7" t="str">
        <f t="shared" si="35"/>
        <v>"moda Saint-Tropez",</v>
      </c>
      <c r="T35" s="7" t="str">
        <f t="shared" si="35"/>
        <v>"hairstyle Saint-Tropez",</v>
      </c>
      <c r="U35" s="7" t="str">
        <f t="shared" si="35"/>
        <v>"perfume Saint-Tropez",</v>
      </c>
      <c r="V35" s="7" t="str">
        <f t="shared" si="35"/>
        <v>"cosmetiques Saint-Tropez",</v>
      </c>
      <c r="W35" s="7" t="str">
        <f t="shared" si="35"/>
        <v>"beauty routine Saint-Tropez",</v>
      </c>
      <c r="X35" s="7" t="str">
        <f t="shared" si="35"/>
        <v>"natural beauty Saint-Tropez",</v>
      </c>
      <c r="Y35" s="7" t="str">
        <f t="shared" si="35"/>
        <v>"organic beauty Saint-Tropez",</v>
      </c>
      <c r="Z35" s="7" t="str">
        <f t="shared" si="35"/>
        <v>"sustainable fashion Saint-Tropez",</v>
      </c>
      <c r="AA35" s="7" t="str">
        <f t="shared" si="35"/>
        <v>"fashion hacks Saint-Tropez",</v>
      </c>
      <c r="AB35" s="7" t="str">
        <f t="shared" si="35"/>
        <v>"capsule wardrobe Saint-Tropez",</v>
      </c>
      <c r="AC35" s="7" t="str">
        <f t="shared" si="35"/>
        <v>"fashion trends Saint-Tropez",</v>
      </c>
      <c r="AD35" s="7" t="str">
        <f t="shared" si="35"/>
        <v>"minimalist fashion Saint-Tropez",</v>
      </c>
      <c r="AE35" s="7" t="str">
        <f t="shared" si="35"/>
        <v>"beauty hacks Saint-Tropez",</v>
      </c>
      <c r="AF35" s="7" t="str">
        <f t="shared" si="35"/>
        <v>"hair routines Saint-Tropez",</v>
      </c>
      <c r="AG35" s="7" t="str">
        <f t="shared" si="35"/>
        <v>"empties Saint-Tropez",</v>
      </c>
      <c r="AH35" s="7" t="str">
        <f t="shared" si="35"/>
        <v>"product reviews Saint-Tropez",</v>
      </c>
      <c r="AI35" s="7" t="str">
        <f t="shared" si="35"/>
        <v>"beauty reviews  Saint-Tropez",</v>
      </c>
      <c r="AJ35" s="7" t="str">
        <f t="shared" si="35"/>
        <v>"make-up artist Saint-Tropez",</v>
      </c>
      <c r="AK35" s="7" t="str">
        <f t="shared" si="35"/>
        <v>"skincare journey Saint-Tropez",</v>
      </c>
      <c r="AL35" s="7" t="str">
        <f t="shared" si="35"/>
        <v>"hair tutorial Saint-Tropez",</v>
      </c>
      <c r="AM35" s="7" t="str">
        <f t="shared" si="35"/>
        <v>"barbershop Saint-Tropez",</v>
      </c>
      <c r="AN35" s="7"/>
      <c r="AO35" s="7"/>
    </row>
    <row r="36">
      <c r="A36" s="4" t="s">
        <v>4848</v>
      </c>
      <c r="B36" s="7" t="str">
        <f t="shared" si="5"/>
        <v>"ootd Istanbul",</v>
      </c>
      <c r="C36" s="7" t="str">
        <f t="shared" ref="C36:AM36" si="36">CONCATENATE(C$1," ",$A36)</f>
        <v>"street style Istanbul",</v>
      </c>
      <c r="D36" s="7" t="str">
        <f t="shared" si="36"/>
        <v>"skincare Istanbul",</v>
      </c>
      <c r="E36" s="7" t="str">
        <f t="shared" si="36"/>
        <v>"makeup Istanbul",</v>
      </c>
      <c r="F36" s="7" t="str">
        <f t="shared" si="36"/>
        <v>"nails Istanbul",</v>
      </c>
      <c r="G36" s="7" t="str">
        <f t="shared" si="36"/>
        <v>"curly hair Istanbul",</v>
      </c>
      <c r="H36" s="7" t="str">
        <f t="shared" si="36"/>
        <v>"thrift Istanbul",</v>
      </c>
      <c r="I36" s="7" t="str">
        <f t="shared" si="36"/>
        <v>"streetwear Istanbul",</v>
      </c>
      <c r="J36" s="7" t="str">
        <f t="shared" si="36"/>
        <v>"luxury Istanbul",</v>
      </c>
      <c r="K36" s="7" t="str">
        <f t="shared" si="36"/>
        <v>"handbags Istanbul",</v>
      </c>
      <c r="L36" s="7" t="str">
        <f t="shared" si="36"/>
        <v>"sneakers Istanbul",</v>
      </c>
      <c r="M36" s="7" t="str">
        <f t="shared" si="36"/>
        <v>"high heels Istanbul",</v>
      </c>
      <c r="N36" s="7" t="str">
        <f t="shared" si="36"/>
        <v>"haute-couture Istanbul",</v>
      </c>
      <c r="O36" s="7" t="str">
        <f t="shared" si="36"/>
        <v>"diyfashion Istanbul",</v>
      </c>
      <c r="P36" s="7" t="str">
        <f t="shared" si="36"/>
        <v>"accessories Istanbul",</v>
      </c>
      <c r="Q36" s="7" t="str">
        <f t="shared" si="36"/>
        <v>"menswear Istanbul",</v>
      </c>
      <c r="R36" s="7" t="str">
        <f t="shared" si="36"/>
        <v>"womenswear Istanbul",</v>
      </c>
      <c r="S36" s="7" t="str">
        <f t="shared" si="36"/>
        <v>"moda Istanbul",</v>
      </c>
      <c r="T36" s="7" t="str">
        <f t="shared" si="36"/>
        <v>"hairstyle Istanbul",</v>
      </c>
      <c r="U36" s="7" t="str">
        <f t="shared" si="36"/>
        <v>"perfume Istanbul",</v>
      </c>
      <c r="V36" s="7" t="str">
        <f t="shared" si="36"/>
        <v>"cosmetiques Istanbul",</v>
      </c>
      <c r="W36" s="7" t="str">
        <f t="shared" si="36"/>
        <v>"beauty routine Istanbul",</v>
      </c>
      <c r="X36" s="7" t="str">
        <f t="shared" si="36"/>
        <v>"natural beauty Istanbul",</v>
      </c>
      <c r="Y36" s="7" t="str">
        <f t="shared" si="36"/>
        <v>"organic beauty Istanbul",</v>
      </c>
      <c r="Z36" s="7" t="str">
        <f t="shared" si="36"/>
        <v>"sustainable fashion Istanbul",</v>
      </c>
      <c r="AA36" s="7" t="str">
        <f t="shared" si="36"/>
        <v>"fashion hacks Istanbul",</v>
      </c>
      <c r="AB36" s="7" t="str">
        <f t="shared" si="36"/>
        <v>"capsule wardrobe Istanbul",</v>
      </c>
      <c r="AC36" s="7" t="str">
        <f t="shared" si="36"/>
        <v>"fashion trends Istanbul",</v>
      </c>
      <c r="AD36" s="7" t="str">
        <f t="shared" si="36"/>
        <v>"minimalist fashion Istanbul",</v>
      </c>
      <c r="AE36" s="7" t="str">
        <f t="shared" si="36"/>
        <v>"beauty hacks Istanbul",</v>
      </c>
      <c r="AF36" s="7" t="str">
        <f t="shared" si="36"/>
        <v>"hair routines Istanbul",</v>
      </c>
      <c r="AG36" s="7" t="str">
        <f t="shared" si="36"/>
        <v>"empties Istanbul",</v>
      </c>
      <c r="AH36" s="7" t="str">
        <f t="shared" si="36"/>
        <v>"product reviews Istanbul",</v>
      </c>
      <c r="AI36" s="7" t="str">
        <f t="shared" si="36"/>
        <v>"beauty reviews  Istanbul",</v>
      </c>
      <c r="AJ36" s="7" t="str">
        <f t="shared" si="36"/>
        <v>"make-up artist Istanbul",</v>
      </c>
      <c r="AK36" s="7" t="str">
        <f t="shared" si="36"/>
        <v>"skincare journey Istanbul",</v>
      </c>
      <c r="AL36" s="7" t="str">
        <f t="shared" si="36"/>
        <v>"hair tutorial Istanbul",</v>
      </c>
      <c r="AM36" s="7" t="str">
        <f t="shared" si="36"/>
        <v>"barbershop Istanbul",</v>
      </c>
      <c r="AN36" s="7"/>
      <c r="AO36" s="7"/>
    </row>
    <row r="37">
      <c r="A37" s="4" t="s">
        <v>4849</v>
      </c>
      <c r="B37" s="7" t="str">
        <f t="shared" si="5"/>
        <v>"ootd Tel Aviv",</v>
      </c>
      <c r="C37" s="7" t="str">
        <f t="shared" ref="C37:AM37" si="37">CONCATENATE(C$1," ",$A37)</f>
        <v>"street style Tel Aviv",</v>
      </c>
      <c r="D37" s="7" t="str">
        <f t="shared" si="37"/>
        <v>"skincare Tel Aviv",</v>
      </c>
      <c r="E37" s="7" t="str">
        <f t="shared" si="37"/>
        <v>"makeup Tel Aviv",</v>
      </c>
      <c r="F37" s="7" t="str">
        <f t="shared" si="37"/>
        <v>"nails Tel Aviv",</v>
      </c>
      <c r="G37" s="7" t="str">
        <f t="shared" si="37"/>
        <v>"curly hair Tel Aviv",</v>
      </c>
      <c r="H37" s="7" t="str">
        <f t="shared" si="37"/>
        <v>"thrift Tel Aviv",</v>
      </c>
      <c r="I37" s="7" t="str">
        <f t="shared" si="37"/>
        <v>"streetwear Tel Aviv",</v>
      </c>
      <c r="J37" s="7" t="str">
        <f t="shared" si="37"/>
        <v>"luxury Tel Aviv",</v>
      </c>
      <c r="K37" s="7" t="str">
        <f t="shared" si="37"/>
        <v>"handbags Tel Aviv",</v>
      </c>
      <c r="L37" s="7" t="str">
        <f t="shared" si="37"/>
        <v>"sneakers Tel Aviv",</v>
      </c>
      <c r="M37" s="7" t="str">
        <f t="shared" si="37"/>
        <v>"high heels Tel Aviv",</v>
      </c>
      <c r="N37" s="7" t="str">
        <f t="shared" si="37"/>
        <v>"haute-couture Tel Aviv",</v>
      </c>
      <c r="O37" s="7" t="str">
        <f t="shared" si="37"/>
        <v>"diyfashion Tel Aviv",</v>
      </c>
      <c r="P37" s="7" t="str">
        <f t="shared" si="37"/>
        <v>"accessories Tel Aviv",</v>
      </c>
      <c r="Q37" s="7" t="str">
        <f t="shared" si="37"/>
        <v>"menswear Tel Aviv",</v>
      </c>
      <c r="R37" s="7" t="str">
        <f t="shared" si="37"/>
        <v>"womenswear Tel Aviv",</v>
      </c>
      <c r="S37" s="7" t="str">
        <f t="shared" si="37"/>
        <v>"moda Tel Aviv",</v>
      </c>
      <c r="T37" s="7" t="str">
        <f t="shared" si="37"/>
        <v>"hairstyle Tel Aviv",</v>
      </c>
      <c r="U37" s="7" t="str">
        <f t="shared" si="37"/>
        <v>"perfume Tel Aviv",</v>
      </c>
      <c r="V37" s="7" t="str">
        <f t="shared" si="37"/>
        <v>"cosmetiques Tel Aviv",</v>
      </c>
      <c r="W37" s="7" t="str">
        <f t="shared" si="37"/>
        <v>"beauty routine Tel Aviv",</v>
      </c>
      <c r="X37" s="7" t="str">
        <f t="shared" si="37"/>
        <v>"natural beauty Tel Aviv",</v>
      </c>
      <c r="Y37" s="7" t="str">
        <f t="shared" si="37"/>
        <v>"organic beauty Tel Aviv",</v>
      </c>
      <c r="Z37" s="7" t="str">
        <f t="shared" si="37"/>
        <v>"sustainable fashion Tel Aviv",</v>
      </c>
      <c r="AA37" s="7" t="str">
        <f t="shared" si="37"/>
        <v>"fashion hacks Tel Aviv",</v>
      </c>
      <c r="AB37" s="7" t="str">
        <f t="shared" si="37"/>
        <v>"capsule wardrobe Tel Aviv",</v>
      </c>
      <c r="AC37" s="7" t="str">
        <f t="shared" si="37"/>
        <v>"fashion trends Tel Aviv",</v>
      </c>
      <c r="AD37" s="7" t="str">
        <f t="shared" si="37"/>
        <v>"minimalist fashion Tel Aviv",</v>
      </c>
      <c r="AE37" s="7" t="str">
        <f t="shared" si="37"/>
        <v>"beauty hacks Tel Aviv",</v>
      </c>
      <c r="AF37" s="7" t="str">
        <f t="shared" si="37"/>
        <v>"hair routines Tel Aviv",</v>
      </c>
      <c r="AG37" s="7" t="str">
        <f t="shared" si="37"/>
        <v>"empties Tel Aviv",</v>
      </c>
      <c r="AH37" s="7" t="str">
        <f t="shared" si="37"/>
        <v>"product reviews Tel Aviv",</v>
      </c>
      <c r="AI37" s="7" t="str">
        <f t="shared" si="37"/>
        <v>"beauty reviews  Tel Aviv",</v>
      </c>
      <c r="AJ37" s="7" t="str">
        <f t="shared" si="37"/>
        <v>"make-up artist Tel Aviv",</v>
      </c>
      <c r="AK37" s="7" t="str">
        <f t="shared" si="37"/>
        <v>"skincare journey Tel Aviv",</v>
      </c>
      <c r="AL37" s="7" t="str">
        <f t="shared" si="37"/>
        <v>"hair tutorial Tel Aviv",</v>
      </c>
      <c r="AM37" s="7" t="str">
        <f t="shared" si="37"/>
        <v>"barbershop Tel Aviv",</v>
      </c>
      <c r="AN37" s="7"/>
      <c r="AO37" s="7"/>
    </row>
    <row r="38">
      <c r="A38" s="4" t="s">
        <v>4850</v>
      </c>
      <c r="B38" s="7" t="str">
        <f t="shared" si="5"/>
        <v>"ootd Beirut",</v>
      </c>
      <c r="C38" s="7" t="str">
        <f t="shared" ref="C38:AM38" si="38">CONCATENATE(C$1," ",$A38)</f>
        <v>"street style Beirut",</v>
      </c>
      <c r="D38" s="7" t="str">
        <f t="shared" si="38"/>
        <v>"skincare Beirut",</v>
      </c>
      <c r="E38" s="7" t="str">
        <f t="shared" si="38"/>
        <v>"makeup Beirut",</v>
      </c>
      <c r="F38" s="7" t="str">
        <f t="shared" si="38"/>
        <v>"nails Beirut",</v>
      </c>
      <c r="G38" s="7" t="str">
        <f t="shared" si="38"/>
        <v>"curly hair Beirut",</v>
      </c>
      <c r="H38" s="7" t="str">
        <f t="shared" si="38"/>
        <v>"thrift Beirut",</v>
      </c>
      <c r="I38" s="7" t="str">
        <f t="shared" si="38"/>
        <v>"streetwear Beirut",</v>
      </c>
      <c r="J38" s="7" t="str">
        <f t="shared" si="38"/>
        <v>"luxury Beirut",</v>
      </c>
      <c r="K38" s="7" t="str">
        <f t="shared" si="38"/>
        <v>"handbags Beirut",</v>
      </c>
      <c r="L38" s="7" t="str">
        <f t="shared" si="38"/>
        <v>"sneakers Beirut",</v>
      </c>
      <c r="M38" s="7" t="str">
        <f t="shared" si="38"/>
        <v>"high heels Beirut",</v>
      </c>
      <c r="N38" s="7" t="str">
        <f t="shared" si="38"/>
        <v>"haute-couture Beirut",</v>
      </c>
      <c r="O38" s="7" t="str">
        <f t="shared" si="38"/>
        <v>"diyfashion Beirut",</v>
      </c>
      <c r="P38" s="7" t="str">
        <f t="shared" si="38"/>
        <v>"accessories Beirut",</v>
      </c>
      <c r="Q38" s="7" t="str">
        <f t="shared" si="38"/>
        <v>"menswear Beirut",</v>
      </c>
      <c r="R38" s="7" t="str">
        <f t="shared" si="38"/>
        <v>"womenswear Beirut",</v>
      </c>
      <c r="S38" s="7" t="str">
        <f t="shared" si="38"/>
        <v>"moda Beirut",</v>
      </c>
      <c r="T38" s="7" t="str">
        <f t="shared" si="38"/>
        <v>"hairstyle Beirut",</v>
      </c>
      <c r="U38" s="7" t="str">
        <f t="shared" si="38"/>
        <v>"perfume Beirut",</v>
      </c>
      <c r="V38" s="7" t="str">
        <f t="shared" si="38"/>
        <v>"cosmetiques Beirut",</v>
      </c>
      <c r="W38" s="7" t="str">
        <f t="shared" si="38"/>
        <v>"beauty routine Beirut",</v>
      </c>
      <c r="X38" s="7" t="str">
        <f t="shared" si="38"/>
        <v>"natural beauty Beirut",</v>
      </c>
      <c r="Y38" s="7" t="str">
        <f t="shared" si="38"/>
        <v>"organic beauty Beirut",</v>
      </c>
      <c r="Z38" s="7" t="str">
        <f t="shared" si="38"/>
        <v>"sustainable fashion Beirut",</v>
      </c>
      <c r="AA38" s="7" t="str">
        <f t="shared" si="38"/>
        <v>"fashion hacks Beirut",</v>
      </c>
      <c r="AB38" s="7" t="str">
        <f t="shared" si="38"/>
        <v>"capsule wardrobe Beirut",</v>
      </c>
      <c r="AC38" s="7" t="str">
        <f t="shared" si="38"/>
        <v>"fashion trends Beirut",</v>
      </c>
      <c r="AD38" s="7" t="str">
        <f t="shared" si="38"/>
        <v>"minimalist fashion Beirut",</v>
      </c>
      <c r="AE38" s="7" t="str">
        <f t="shared" si="38"/>
        <v>"beauty hacks Beirut",</v>
      </c>
      <c r="AF38" s="7" t="str">
        <f t="shared" si="38"/>
        <v>"hair routines Beirut",</v>
      </c>
      <c r="AG38" s="7" t="str">
        <f t="shared" si="38"/>
        <v>"empties Beirut",</v>
      </c>
      <c r="AH38" s="7" t="str">
        <f t="shared" si="38"/>
        <v>"product reviews Beirut",</v>
      </c>
      <c r="AI38" s="7" t="str">
        <f t="shared" si="38"/>
        <v>"beauty reviews  Beirut",</v>
      </c>
      <c r="AJ38" s="7" t="str">
        <f t="shared" si="38"/>
        <v>"make-up artist Beirut",</v>
      </c>
      <c r="AK38" s="7" t="str">
        <f t="shared" si="38"/>
        <v>"skincare journey Beirut",</v>
      </c>
      <c r="AL38" s="7" t="str">
        <f t="shared" si="38"/>
        <v>"hair tutorial Beirut",</v>
      </c>
      <c r="AM38" s="7" t="str">
        <f t="shared" si="38"/>
        <v>"barbershop Beirut",</v>
      </c>
      <c r="AN38" s="7"/>
      <c r="AO38" s="7"/>
    </row>
    <row r="39">
      <c r="A39" s="4" t="s">
        <v>4851</v>
      </c>
      <c r="B39" s="7" t="str">
        <f t="shared" si="5"/>
        <v>"ootd Dubai",</v>
      </c>
      <c r="C39" s="7" t="str">
        <f t="shared" ref="C39:AM39" si="39">CONCATENATE(C$1," ",$A39)</f>
        <v>"street style Dubai",</v>
      </c>
      <c r="D39" s="7" t="str">
        <f t="shared" si="39"/>
        <v>"skincare Dubai",</v>
      </c>
      <c r="E39" s="7" t="str">
        <f t="shared" si="39"/>
        <v>"makeup Dubai",</v>
      </c>
      <c r="F39" s="7" t="str">
        <f t="shared" si="39"/>
        <v>"nails Dubai",</v>
      </c>
      <c r="G39" s="7" t="str">
        <f t="shared" si="39"/>
        <v>"curly hair Dubai",</v>
      </c>
      <c r="H39" s="7" t="str">
        <f t="shared" si="39"/>
        <v>"thrift Dubai",</v>
      </c>
      <c r="I39" s="7" t="str">
        <f t="shared" si="39"/>
        <v>"streetwear Dubai",</v>
      </c>
      <c r="J39" s="7" t="str">
        <f t="shared" si="39"/>
        <v>"luxury Dubai",</v>
      </c>
      <c r="K39" s="7" t="str">
        <f t="shared" si="39"/>
        <v>"handbags Dubai",</v>
      </c>
      <c r="L39" s="7" t="str">
        <f t="shared" si="39"/>
        <v>"sneakers Dubai",</v>
      </c>
      <c r="M39" s="7" t="str">
        <f t="shared" si="39"/>
        <v>"high heels Dubai",</v>
      </c>
      <c r="N39" s="7" t="str">
        <f t="shared" si="39"/>
        <v>"haute-couture Dubai",</v>
      </c>
      <c r="O39" s="7" t="str">
        <f t="shared" si="39"/>
        <v>"diyfashion Dubai",</v>
      </c>
      <c r="P39" s="7" t="str">
        <f t="shared" si="39"/>
        <v>"accessories Dubai",</v>
      </c>
      <c r="Q39" s="7" t="str">
        <f t="shared" si="39"/>
        <v>"menswear Dubai",</v>
      </c>
      <c r="R39" s="7" t="str">
        <f t="shared" si="39"/>
        <v>"womenswear Dubai",</v>
      </c>
      <c r="S39" s="7" t="str">
        <f t="shared" si="39"/>
        <v>"moda Dubai",</v>
      </c>
      <c r="T39" s="7" t="str">
        <f t="shared" si="39"/>
        <v>"hairstyle Dubai",</v>
      </c>
      <c r="U39" s="7" t="str">
        <f t="shared" si="39"/>
        <v>"perfume Dubai",</v>
      </c>
      <c r="V39" s="7" t="str">
        <f t="shared" si="39"/>
        <v>"cosmetiques Dubai",</v>
      </c>
      <c r="W39" s="7" t="str">
        <f t="shared" si="39"/>
        <v>"beauty routine Dubai",</v>
      </c>
      <c r="X39" s="7" t="str">
        <f t="shared" si="39"/>
        <v>"natural beauty Dubai",</v>
      </c>
      <c r="Y39" s="7" t="str">
        <f t="shared" si="39"/>
        <v>"organic beauty Dubai",</v>
      </c>
      <c r="Z39" s="7" t="str">
        <f t="shared" si="39"/>
        <v>"sustainable fashion Dubai",</v>
      </c>
      <c r="AA39" s="7" t="str">
        <f t="shared" si="39"/>
        <v>"fashion hacks Dubai",</v>
      </c>
      <c r="AB39" s="7" t="str">
        <f t="shared" si="39"/>
        <v>"capsule wardrobe Dubai",</v>
      </c>
      <c r="AC39" s="7" t="str">
        <f t="shared" si="39"/>
        <v>"fashion trends Dubai",</v>
      </c>
      <c r="AD39" s="7" t="str">
        <f t="shared" si="39"/>
        <v>"minimalist fashion Dubai",</v>
      </c>
      <c r="AE39" s="7" t="str">
        <f t="shared" si="39"/>
        <v>"beauty hacks Dubai",</v>
      </c>
      <c r="AF39" s="7" t="str">
        <f t="shared" si="39"/>
        <v>"hair routines Dubai",</v>
      </c>
      <c r="AG39" s="7" t="str">
        <f t="shared" si="39"/>
        <v>"empties Dubai",</v>
      </c>
      <c r="AH39" s="7" t="str">
        <f t="shared" si="39"/>
        <v>"product reviews Dubai",</v>
      </c>
      <c r="AI39" s="7" t="str">
        <f t="shared" si="39"/>
        <v>"beauty reviews  Dubai",</v>
      </c>
      <c r="AJ39" s="7" t="str">
        <f t="shared" si="39"/>
        <v>"make-up artist Dubai",</v>
      </c>
      <c r="AK39" s="7" t="str">
        <f t="shared" si="39"/>
        <v>"skincare journey Dubai",</v>
      </c>
      <c r="AL39" s="7" t="str">
        <f t="shared" si="39"/>
        <v>"hair tutorial Dubai",</v>
      </c>
      <c r="AM39" s="7" t="str">
        <f t="shared" si="39"/>
        <v>"barbershop Dubai",</v>
      </c>
      <c r="AN39" s="7"/>
      <c r="AO39" s="7"/>
    </row>
    <row r="40">
      <c r="A40" s="4" t="s">
        <v>4852</v>
      </c>
      <c r="B40" s="7" t="str">
        <f t="shared" si="5"/>
        <v>"ootd Doha",</v>
      </c>
      <c r="C40" s="7" t="str">
        <f t="shared" ref="C40:AM40" si="40">CONCATENATE(C$1," ",$A40)</f>
        <v>"street style Doha",</v>
      </c>
      <c r="D40" s="7" t="str">
        <f t="shared" si="40"/>
        <v>"skincare Doha",</v>
      </c>
      <c r="E40" s="7" t="str">
        <f t="shared" si="40"/>
        <v>"makeup Doha",</v>
      </c>
      <c r="F40" s="7" t="str">
        <f t="shared" si="40"/>
        <v>"nails Doha",</v>
      </c>
      <c r="G40" s="7" t="str">
        <f t="shared" si="40"/>
        <v>"curly hair Doha",</v>
      </c>
      <c r="H40" s="7" t="str">
        <f t="shared" si="40"/>
        <v>"thrift Doha",</v>
      </c>
      <c r="I40" s="7" t="str">
        <f t="shared" si="40"/>
        <v>"streetwear Doha",</v>
      </c>
      <c r="J40" s="7" t="str">
        <f t="shared" si="40"/>
        <v>"luxury Doha",</v>
      </c>
      <c r="K40" s="7" t="str">
        <f t="shared" si="40"/>
        <v>"handbags Doha",</v>
      </c>
      <c r="L40" s="7" t="str">
        <f t="shared" si="40"/>
        <v>"sneakers Doha",</v>
      </c>
      <c r="M40" s="7" t="str">
        <f t="shared" si="40"/>
        <v>"high heels Doha",</v>
      </c>
      <c r="N40" s="7" t="str">
        <f t="shared" si="40"/>
        <v>"haute-couture Doha",</v>
      </c>
      <c r="O40" s="7" t="str">
        <f t="shared" si="40"/>
        <v>"diyfashion Doha",</v>
      </c>
      <c r="P40" s="7" t="str">
        <f t="shared" si="40"/>
        <v>"accessories Doha",</v>
      </c>
      <c r="Q40" s="7" t="str">
        <f t="shared" si="40"/>
        <v>"menswear Doha",</v>
      </c>
      <c r="R40" s="7" t="str">
        <f t="shared" si="40"/>
        <v>"womenswear Doha",</v>
      </c>
      <c r="S40" s="7" t="str">
        <f t="shared" si="40"/>
        <v>"moda Doha",</v>
      </c>
      <c r="T40" s="7" t="str">
        <f t="shared" si="40"/>
        <v>"hairstyle Doha",</v>
      </c>
      <c r="U40" s="7" t="str">
        <f t="shared" si="40"/>
        <v>"perfume Doha",</v>
      </c>
      <c r="V40" s="7" t="str">
        <f t="shared" si="40"/>
        <v>"cosmetiques Doha",</v>
      </c>
      <c r="W40" s="7" t="str">
        <f t="shared" si="40"/>
        <v>"beauty routine Doha",</v>
      </c>
      <c r="X40" s="7" t="str">
        <f t="shared" si="40"/>
        <v>"natural beauty Doha",</v>
      </c>
      <c r="Y40" s="7" t="str">
        <f t="shared" si="40"/>
        <v>"organic beauty Doha",</v>
      </c>
      <c r="Z40" s="7" t="str">
        <f t="shared" si="40"/>
        <v>"sustainable fashion Doha",</v>
      </c>
      <c r="AA40" s="7" t="str">
        <f t="shared" si="40"/>
        <v>"fashion hacks Doha",</v>
      </c>
      <c r="AB40" s="7" t="str">
        <f t="shared" si="40"/>
        <v>"capsule wardrobe Doha",</v>
      </c>
      <c r="AC40" s="7" t="str">
        <f t="shared" si="40"/>
        <v>"fashion trends Doha",</v>
      </c>
      <c r="AD40" s="7" t="str">
        <f t="shared" si="40"/>
        <v>"minimalist fashion Doha",</v>
      </c>
      <c r="AE40" s="7" t="str">
        <f t="shared" si="40"/>
        <v>"beauty hacks Doha",</v>
      </c>
      <c r="AF40" s="7" t="str">
        <f t="shared" si="40"/>
        <v>"hair routines Doha",</v>
      </c>
      <c r="AG40" s="7" t="str">
        <f t="shared" si="40"/>
        <v>"empties Doha",</v>
      </c>
      <c r="AH40" s="7" t="str">
        <f t="shared" si="40"/>
        <v>"product reviews Doha",</v>
      </c>
      <c r="AI40" s="7" t="str">
        <f t="shared" si="40"/>
        <v>"beauty reviews  Doha",</v>
      </c>
      <c r="AJ40" s="7" t="str">
        <f t="shared" si="40"/>
        <v>"make-up artist Doha",</v>
      </c>
      <c r="AK40" s="7" t="str">
        <f t="shared" si="40"/>
        <v>"skincare journey Doha",</v>
      </c>
      <c r="AL40" s="7" t="str">
        <f t="shared" si="40"/>
        <v>"hair tutorial Doha",</v>
      </c>
      <c r="AM40" s="7" t="str">
        <f t="shared" si="40"/>
        <v>"barbershop Doha",</v>
      </c>
      <c r="AN40" s="7"/>
      <c r="AO40" s="7"/>
    </row>
    <row r="41">
      <c r="A41" s="4" t="s">
        <v>4853</v>
      </c>
      <c r="B41" s="7" t="str">
        <f t="shared" si="5"/>
        <v>"ootd Cairo",</v>
      </c>
      <c r="C41" s="7" t="str">
        <f t="shared" ref="C41:AM41" si="41">CONCATENATE(C$1," ",$A41)</f>
        <v>"street style Cairo",</v>
      </c>
      <c r="D41" s="7" t="str">
        <f t="shared" si="41"/>
        <v>"skincare Cairo",</v>
      </c>
      <c r="E41" s="7" t="str">
        <f t="shared" si="41"/>
        <v>"makeup Cairo",</v>
      </c>
      <c r="F41" s="7" t="str">
        <f t="shared" si="41"/>
        <v>"nails Cairo",</v>
      </c>
      <c r="G41" s="7" t="str">
        <f t="shared" si="41"/>
        <v>"curly hair Cairo",</v>
      </c>
      <c r="H41" s="7" t="str">
        <f t="shared" si="41"/>
        <v>"thrift Cairo",</v>
      </c>
      <c r="I41" s="7" t="str">
        <f t="shared" si="41"/>
        <v>"streetwear Cairo",</v>
      </c>
      <c r="J41" s="7" t="str">
        <f t="shared" si="41"/>
        <v>"luxury Cairo",</v>
      </c>
      <c r="K41" s="7" t="str">
        <f t="shared" si="41"/>
        <v>"handbags Cairo",</v>
      </c>
      <c r="L41" s="7" t="str">
        <f t="shared" si="41"/>
        <v>"sneakers Cairo",</v>
      </c>
      <c r="M41" s="7" t="str">
        <f t="shared" si="41"/>
        <v>"high heels Cairo",</v>
      </c>
      <c r="N41" s="7" t="str">
        <f t="shared" si="41"/>
        <v>"haute-couture Cairo",</v>
      </c>
      <c r="O41" s="7" t="str">
        <f t="shared" si="41"/>
        <v>"diyfashion Cairo",</v>
      </c>
      <c r="P41" s="7" t="str">
        <f t="shared" si="41"/>
        <v>"accessories Cairo",</v>
      </c>
      <c r="Q41" s="7" t="str">
        <f t="shared" si="41"/>
        <v>"menswear Cairo",</v>
      </c>
      <c r="R41" s="7" t="str">
        <f t="shared" si="41"/>
        <v>"womenswear Cairo",</v>
      </c>
      <c r="S41" s="7" t="str">
        <f t="shared" si="41"/>
        <v>"moda Cairo",</v>
      </c>
      <c r="T41" s="7" t="str">
        <f t="shared" si="41"/>
        <v>"hairstyle Cairo",</v>
      </c>
      <c r="U41" s="7" t="str">
        <f t="shared" si="41"/>
        <v>"perfume Cairo",</v>
      </c>
      <c r="V41" s="7" t="str">
        <f t="shared" si="41"/>
        <v>"cosmetiques Cairo",</v>
      </c>
      <c r="W41" s="7" t="str">
        <f t="shared" si="41"/>
        <v>"beauty routine Cairo",</v>
      </c>
      <c r="X41" s="7" t="str">
        <f t="shared" si="41"/>
        <v>"natural beauty Cairo",</v>
      </c>
      <c r="Y41" s="7" t="str">
        <f t="shared" si="41"/>
        <v>"organic beauty Cairo",</v>
      </c>
      <c r="Z41" s="7" t="str">
        <f t="shared" si="41"/>
        <v>"sustainable fashion Cairo",</v>
      </c>
      <c r="AA41" s="7" t="str">
        <f t="shared" si="41"/>
        <v>"fashion hacks Cairo",</v>
      </c>
      <c r="AB41" s="7" t="str">
        <f t="shared" si="41"/>
        <v>"capsule wardrobe Cairo",</v>
      </c>
      <c r="AC41" s="7" t="str">
        <f t="shared" si="41"/>
        <v>"fashion trends Cairo",</v>
      </c>
      <c r="AD41" s="7" t="str">
        <f t="shared" si="41"/>
        <v>"minimalist fashion Cairo",</v>
      </c>
      <c r="AE41" s="7" t="str">
        <f t="shared" si="41"/>
        <v>"beauty hacks Cairo",</v>
      </c>
      <c r="AF41" s="7" t="str">
        <f t="shared" si="41"/>
        <v>"hair routines Cairo",</v>
      </c>
      <c r="AG41" s="7" t="str">
        <f t="shared" si="41"/>
        <v>"empties Cairo",</v>
      </c>
      <c r="AH41" s="7" t="str">
        <f t="shared" si="41"/>
        <v>"product reviews Cairo",</v>
      </c>
      <c r="AI41" s="7" t="str">
        <f t="shared" si="41"/>
        <v>"beauty reviews  Cairo",</v>
      </c>
      <c r="AJ41" s="7" t="str">
        <f t="shared" si="41"/>
        <v>"make-up artist Cairo",</v>
      </c>
      <c r="AK41" s="7" t="str">
        <f t="shared" si="41"/>
        <v>"skincare journey Cairo",</v>
      </c>
      <c r="AL41" s="7" t="str">
        <f t="shared" si="41"/>
        <v>"hair tutorial Cairo",</v>
      </c>
      <c r="AM41" s="7" t="str">
        <f t="shared" si="41"/>
        <v>"barbershop Cairo",</v>
      </c>
      <c r="AN41" s="7"/>
      <c r="AO41" s="7"/>
    </row>
    <row r="42">
      <c r="A42" s="4" t="s">
        <v>4854</v>
      </c>
      <c r="B42" s="7" t="str">
        <f t="shared" si="5"/>
        <v>"ootd Cape Town",</v>
      </c>
      <c r="C42" s="7" t="str">
        <f t="shared" ref="C42:AM42" si="42">CONCATENATE(C$1," ",$A42)</f>
        <v>"street style Cape Town",</v>
      </c>
      <c r="D42" s="7" t="str">
        <f t="shared" si="42"/>
        <v>"skincare Cape Town",</v>
      </c>
      <c r="E42" s="7" t="str">
        <f t="shared" si="42"/>
        <v>"makeup Cape Town",</v>
      </c>
      <c r="F42" s="7" t="str">
        <f t="shared" si="42"/>
        <v>"nails Cape Town",</v>
      </c>
      <c r="G42" s="7" t="str">
        <f t="shared" si="42"/>
        <v>"curly hair Cape Town",</v>
      </c>
      <c r="H42" s="7" t="str">
        <f t="shared" si="42"/>
        <v>"thrift Cape Town",</v>
      </c>
      <c r="I42" s="7" t="str">
        <f t="shared" si="42"/>
        <v>"streetwear Cape Town",</v>
      </c>
      <c r="J42" s="7" t="str">
        <f t="shared" si="42"/>
        <v>"luxury Cape Town",</v>
      </c>
      <c r="K42" s="7" t="str">
        <f t="shared" si="42"/>
        <v>"handbags Cape Town",</v>
      </c>
      <c r="L42" s="7" t="str">
        <f t="shared" si="42"/>
        <v>"sneakers Cape Town",</v>
      </c>
      <c r="M42" s="7" t="str">
        <f t="shared" si="42"/>
        <v>"high heels Cape Town",</v>
      </c>
      <c r="N42" s="7" t="str">
        <f t="shared" si="42"/>
        <v>"haute-couture Cape Town",</v>
      </c>
      <c r="O42" s="7" t="str">
        <f t="shared" si="42"/>
        <v>"diyfashion Cape Town",</v>
      </c>
      <c r="P42" s="7" t="str">
        <f t="shared" si="42"/>
        <v>"accessories Cape Town",</v>
      </c>
      <c r="Q42" s="7" t="str">
        <f t="shared" si="42"/>
        <v>"menswear Cape Town",</v>
      </c>
      <c r="R42" s="7" t="str">
        <f t="shared" si="42"/>
        <v>"womenswear Cape Town",</v>
      </c>
      <c r="S42" s="7" t="str">
        <f t="shared" si="42"/>
        <v>"moda Cape Town",</v>
      </c>
      <c r="T42" s="7" t="str">
        <f t="shared" si="42"/>
        <v>"hairstyle Cape Town",</v>
      </c>
      <c r="U42" s="7" t="str">
        <f t="shared" si="42"/>
        <v>"perfume Cape Town",</v>
      </c>
      <c r="V42" s="7" t="str">
        <f t="shared" si="42"/>
        <v>"cosmetiques Cape Town",</v>
      </c>
      <c r="W42" s="7" t="str">
        <f t="shared" si="42"/>
        <v>"beauty routine Cape Town",</v>
      </c>
      <c r="X42" s="7" t="str">
        <f t="shared" si="42"/>
        <v>"natural beauty Cape Town",</v>
      </c>
      <c r="Y42" s="7" t="str">
        <f t="shared" si="42"/>
        <v>"organic beauty Cape Town",</v>
      </c>
      <c r="Z42" s="7" t="str">
        <f t="shared" si="42"/>
        <v>"sustainable fashion Cape Town",</v>
      </c>
      <c r="AA42" s="7" t="str">
        <f t="shared" si="42"/>
        <v>"fashion hacks Cape Town",</v>
      </c>
      <c r="AB42" s="7" t="str">
        <f t="shared" si="42"/>
        <v>"capsule wardrobe Cape Town",</v>
      </c>
      <c r="AC42" s="7" t="str">
        <f t="shared" si="42"/>
        <v>"fashion trends Cape Town",</v>
      </c>
      <c r="AD42" s="7" t="str">
        <f t="shared" si="42"/>
        <v>"minimalist fashion Cape Town",</v>
      </c>
      <c r="AE42" s="7" t="str">
        <f t="shared" si="42"/>
        <v>"beauty hacks Cape Town",</v>
      </c>
      <c r="AF42" s="7" t="str">
        <f t="shared" si="42"/>
        <v>"hair routines Cape Town",</v>
      </c>
      <c r="AG42" s="7" t="str">
        <f t="shared" si="42"/>
        <v>"empties Cape Town",</v>
      </c>
      <c r="AH42" s="7" t="str">
        <f t="shared" si="42"/>
        <v>"product reviews Cape Town",</v>
      </c>
      <c r="AI42" s="7" t="str">
        <f t="shared" si="42"/>
        <v>"beauty reviews  Cape Town",</v>
      </c>
      <c r="AJ42" s="7" t="str">
        <f t="shared" si="42"/>
        <v>"make-up artist Cape Town",</v>
      </c>
      <c r="AK42" s="7" t="str">
        <f t="shared" si="42"/>
        <v>"skincare journey Cape Town",</v>
      </c>
      <c r="AL42" s="7" t="str">
        <f t="shared" si="42"/>
        <v>"hair tutorial Cape Town",</v>
      </c>
      <c r="AM42" s="7" t="str">
        <f t="shared" si="42"/>
        <v>"barbershop Cape Town",</v>
      </c>
      <c r="AN42" s="7"/>
      <c r="AO42" s="7"/>
    </row>
    <row r="43">
      <c r="A43" s="4" t="s">
        <v>4855</v>
      </c>
      <c r="B43" s="7" t="str">
        <f t="shared" si="5"/>
        <v>"ootd Johannesburg",</v>
      </c>
      <c r="C43" s="7" t="str">
        <f t="shared" ref="C43:AM43" si="43">CONCATENATE(C$1," ",$A43)</f>
        <v>"street style Johannesburg",</v>
      </c>
      <c r="D43" s="7" t="str">
        <f t="shared" si="43"/>
        <v>"skincare Johannesburg",</v>
      </c>
      <c r="E43" s="7" t="str">
        <f t="shared" si="43"/>
        <v>"makeup Johannesburg",</v>
      </c>
      <c r="F43" s="7" t="str">
        <f t="shared" si="43"/>
        <v>"nails Johannesburg",</v>
      </c>
      <c r="G43" s="7" t="str">
        <f t="shared" si="43"/>
        <v>"curly hair Johannesburg",</v>
      </c>
      <c r="H43" s="7" t="str">
        <f t="shared" si="43"/>
        <v>"thrift Johannesburg",</v>
      </c>
      <c r="I43" s="7" t="str">
        <f t="shared" si="43"/>
        <v>"streetwear Johannesburg",</v>
      </c>
      <c r="J43" s="7" t="str">
        <f t="shared" si="43"/>
        <v>"luxury Johannesburg",</v>
      </c>
      <c r="K43" s="7" t="str">
        <f t="shared" si="43"/>
        <v>"handbags Johannesburg",</v>
      </c>
      <c r="L43" s="7" t="str">
        <f t="shared" si="43"/>
        <v>"sneakers Johannesburg",</v>
      </c>
      <c r="M43" s="7" t="str">
        <f t="shared" si="43"/>
        <v>"high heels Johannesburg",</v>
      </c>
      <c r="N43" s="7" t="str">
        <f t="shared" si="43"/>
        <v>"haute-couture Johannesburg",</v>
      </c>
      <c r="O43" s="7" t="str">
        <f t="shared" si="43"/>
        <v>"diyfashion Johannesburg",</v>
      </c>
      <c r="P43" s="7" t="str">
        <f t="shared" si="43"/>
        <v>"accessories Johannesburg",</v>
      </c>
      <c r="Q43" s="7" t="str">
        <f t="shared" si="43"/>
        <v>"menswear Johannesburg",</v>
      </c>
      <c r="R43" s="7" t="str">
        <f t="shared" si="43"/>
        <v>"womenswear Johannesburg",</v>
      </c>
      <c r="S43" s="7" t="str">
        <f t="shared" si="43"/>
        <v>"moda Johannesburg",</v>
      </c>
      <c r="T43" s="7" t="str">
        <f t="shared" si="43"/>
        <v>"hairstyle Johannesburg",</v>
      </c>
      <c r="U43" s="7" t="str">
        <f t="shared" si="43"/>
        <v>"perfume Johannesburg",</v>
      </c>
      <c r="V43" s="7" t="str">
        <f t="shared" si="43"/>
        <v>"cosmetiques Johannesburg",</v>
      </c>
      <c r="W43" s="7" t="str">
        <f t="shared" si="43"/>
        <v>"beauty routine Johannesburg",</v>
      </c>
      <c r="X43" s="7" t="str">
        <f t="shared" si="43"/>
        <v>"natural beauty Johannesburg",</v>
      </c>
      <c r="Y43" s="7" t="str">
        <f t="shared" si="43"/>
        <v>"organic beauty Johannesburg",</v>
      </c>
      <c r="Z43" s="7" t="str">
        <f t="shared" si="43"/>
        <v>"sustainable fashion Johannesburg",</v>
      </c>
      <c r="AA43" s="7" t="str">
        <f t="shared" si="43"/>
        <v>"fashion hacks Johannesburg",</v>
      </c>
      <c r="AB43" s="7" t="str">
        <f t="shared" si="43"/>
        <v>"capsule wardrobe Johannesburg",</v>
      </c>
      <c r="AC43" s="7" t="str">
        <f t="shared" si="43"/>
        <v>"fashion trends Johannesburg",</v>
      </c>
      <c r="AD43" s="7" t="str">
        <f t="shared" si="43"/>
        <v>"minimalist fashion Johannesburg",</v>
      </c>
      <c r="AE43" s="7" t="str">
        <f t="shared" si="43"/>
        <v>"beauty hacks Johannesburg",</v>
      </c>
      <c r="AF43" s="7" t="str">
        <f t="shared" si="43"/>
        <v>"hair routines Johannesburg",</v>
      </c>
      <c r="AG43" s="7" t="str">
        <f t="shared" si="43"/>
        <v>"empties Johannesburg",</v>
      </c>
      <c r="AH43" s="7" t="str">
        <f t="shared" si="43"/>
        <v>"product reviews Johannesburg",</v>
      </c>
      <c r="AI43" s="7" t="str">
        <f t="shared" si="43"/>
        <v>"beauty reviews  Johannesburg",</v>
      </c>
      <c r="AJ43" s="7" t="str">
        <f t="shared" si="43"/>
        <v>"make-up artist Johannesburg",</v>
      </c>
      <c r="AK43" s="7" t="str">
        <f t="shared" si="43"/>
        <v>"skincare journey Johannesburg",</v>
      </c>
      <c r="AL43" s="7" t="str">
        <f t="shared" si="43"/>
        <v>"hair tutorial Johannesburg",</v>
      </c>
      <c r="AM43" s="7" t="str">
        <f t="shared" si="43"/>
        <v>"barbershop Johannesburg",</v>
      </c>
      <c r="AN43" s="7"/>
      <c r="AO43" s="7"/>
    </row>
    <row r="44">
      <c r="A44" s="4" t="s">
        <v>4856</v>
      </c>
      <c r="B44" s="7" t="str">
        <f t="shared" si="5"/>
        <v>"ootd Lagos",</v>
      </c>
      <c r="C44" s="7" t="str">
        <f t="shared" ref="C44:AM44" si="44">CONCATENATE(C$1," ",$A44)</f>
        <v>"street style Lagos",</v>
      </c>
      <c r="D44" s="7" t="str">
        <f t="shared" si="44"/>
        <v>"skincare Lagos",</v>
      </c>
      <c r="E44" s="7" t="str">
        <f t="shared" si="44"/>
        <v>"makeup Lagos",</v>
      </c>
      <c r="F44" s="7" t="str">
        <f t="shared" si="44"/>
        <v>"nails Lagos",</v>
      </c>
      <c r="G44" s="7" t="str">
        <f t="shared" si="44"/>
        <v>"curly hair Lagos",</v>
      </c>
      <c r="H44" s="7" t="str">
        <f t="shared" si="44"/>
        <v>"thrift Lagos",</v>
      </c>
      <c r="I44" s="7" t="str">
        <f t="shared" si="44"/>
        <v>"streetwear Lagos",</v>
      </c>
      <c r="J44" s="7" t="str">
        <f t="shared" si="44"/>
        <v>"luxury Lagos",</v>
      </c>
      <c r="K44" s="7" t="str">
        <f t="shared" si="44"/>
        <v>"handbags Lagos",</v>
      </c>
      <c r="L44" s="7" t="str">
        <f t="shared" si="44"/>
        <v>"sneakers Lagos",</v>
      </c>
      <c r="M44" s="7" t="str">
        <f t="shared" si="44"/>
        <v>"high heels Lagos",</v>
      </c>
      <c r="N44" s="7" t="str">
        <f t="shared" si="44"/>
        <v>"haute-couture Lagos",</v>
      </c>
      <c r="O44" s="7" t="str">
        <f t="shared" si="44"/>
        <v>"diyfashion Lagos",</v>
      </c>
      <c r="P44" s="7" t="str">
        <f t="shared" si="44"/>
        <v>"accessories Lagos",</v>
      </c>
      <c r="Q44" s="7" t="str">
        <f t="shared" si="44"/>
        <v>"menswear Lagos",</v>
      </c>
      <c r="R44" s="7" t="str">
        <f t="shared" si="44"/>
        <v>"womenswear Lagos",</v>
      </c>
      <c r="S44" s="7" t="str">
        <f t="shared" si="44"/>
        <v>"moda Lagos",</v>
      </c>
      <c r="T44" s="7" t="str">
        <f t="shared" si="44"/>
        <v>"hairstyle Lagos",</v>
      </c>
      <c r="U44" s="7" t="str">
        <f t="shared" si="44"/>
        <v>"perfume Lagos",</v>
      </c>
      <c r="V44" s="7" t="str">
        <f t="shared" si="44"/>
        <v>"cosmetiques Lagos",</v>
      </c>
      <c r="W44" s="7" t="str">
        <f t="shared" si="44"/>
        <v>"beauty routine Lagos",</v>
      </c>
      <c r="X44" s="7" t="str">
        <f t="shared" si="44"/>
        <v>"natural beauty Lagos",</v>
      </c>
      <c r="Y44" s="7" t="str">
        <f t="shared" si="44"/>
        <v>"organic beauty Lagos",</v>
      </c>
      <c r="Z44" s="7" t="str">
        <f t="shared" si="44"/>
        <v>"sustainable fashion Lagos",</v>
      </c>
      <c r="AA44" s="7" t="str">
        <f t="shared" si="44"/>
        <v>"fashion hacks Lagos",</v>
      </c>
      <c r="AB44" s="7" t="str">
        <f t="shared" si="44"/>
        <v>"capsule wardrobe Lagos",</v>
      </c>
      <c r="AC44" s="7" t="str">
        <f t="shared" si="44"/>
        <v>"fashion trends Lagos",</v>
      </c>
      <c r="AD44" s="7" t="str">
        <f t="shared" si="44"/>
        <v>"minimalist fashion Lagos",</v>
      </c>
      <c r="AE44" s="7" t="str">
        <f t="shared" si="44"/>
        <v>"beauty hacks Lagos",</v>
      </c>
      <c r="AF44" s="7" t="str">
        <f t="shared" si="44"/>
        <v>"hair routines Lagos",</v>
      </c>
      <c r="AG44" s="7" t="str">
        <f t="shared" si="44"/>
        <v>"empties Lagos",</v>
      </c>
      <c r="AH44" s="7" t="str">
        <f t="shared" si="44"/>
        <v>"product reviews Lagos",</v>
      </c>
      <c r="AI44" s="7" t="str">
        <f t="shared" si="44"/>
        <v>"beauty reviews  Lagos",</v>
      </c>
      <c r="AJ44" s="7" t="str">
        <f t="shared" si="44"/>
        <v>"make-up artist Lagos",</v>
      </c>
      <c r="AK44" s="7" t="str">
        <f t="shared" si="44"/>
        <v>"skincare journey Lagos",</v>
      </c>
      <c r="AL44" s="7" t="str">
        <f t="shared" si="44"/>
        <v>"hair tutorial Lagos",</v>
      </c>
      <c r="AM44" s="7" t="str">
        <f t="shared" si="44"/>
        <v>"barbershop Lagos",</v>
      </c>
      <c r="AN44" s="7"/>
      <c r="AO44" s="7"/>
    </row>
    <row r="45">
      <c r="A45" s="4" t="s">
        <v>4857</v>
      </c>
      <c r="B45" s="7" t="str">
        <f t="shared" si="5"/>
        <v>"ootd Accra",</v>
      </c>
      <c r="C45" s="7" t="str">
        <f t="shared" ref="C45:AM45" si="45">CONCATENATE(C$1," ",$A45)</f>
        <v>"street style Accra",</v>
      </c>
      <c r="D45" s="7" t="str">
        <f t="shared" si="45"/>
        <v>"skincare Accra",</v>
      </c>
      <c r="E45" s="7" t="str">
        <f t="shared" si="45"/>
        <v>"makeup Accra",</v>
      </c>
      <c r="F45" s="7" t="str">
        <f t="shared" si="45"/>
        <v>"nails Accra",</v>
      </c>
      <c r="G45" s="7" t="str">
        <f t="shared" si="45"/>
        <v>"curly hair Accra",</v>
      </c>
      <c r="H45" s="7" t="str">
        <f t="shared" si="45"/>
        <v>"thrift Accra",</v>
      </c>
      <c r="I45" s="7" t="str">
        <f t="shared" si="45"/>
        <v>"streetwear Accra",</v>
      </c>
      <c r="J45" s="7" t="str">
        <f t="shared" si="45"/>
        <v>"luxury Accra",</v>
      </c>
      <c r="K45" s="7" t="str">
        <f t="shared" si="45"/>
        <v>"handbags Accra",</v>
      </c>
      <c r="L45" s="7" t="str">
        <f t="shared" si="45"/>
        <v>"sneakers Accra",</v>
      </c>
      <c r="M45" s="7" t="str">
        <f t="shared" si="45"/>
        <v>"high heels Accra",</v>
      </c>
      <c r="N45" s="7" t="str">
        <f t="shared" si="45"/>
        <v>"haute-couture Accra",</v>
      </c>
      <c r="O45" s="7" t="str">
        <f t="shared" si="45"/>
        <v>"diyfashion Accra",</v>
      </c>
      <c r="P45" s="7" t="str">
        <f t="shared" si="45"/>
        <v>"accessories Accra",</v>
      </c>
      <c r="Q45" s="7" t="str">
        <f t="shared" si="45"/>
        <v>"menswear Accra",</v>
      </c>
      <c r="R45" s="7" t="str">
        <f t="shared" si="45"/>
        <v>"womenswear Accra",</v>
      </c>
      <c r="S45" s="7" t="str">
        <f t="shared" si="45"/>
        <v>"moda Accra",</v>
      </c>
      <c r="T45" s="7" t="str">
        <f t="shared" si="45"/>
        <v>"hairstyle Accra",</v>
      </c>
      <c r="U45" s="7" t="str">
        <f t="shared" si="45"/>
        <v>"perfume Accra",</v>
      </c>
      <c r="V45" s="7" t="str">
        <f t="shared" si="45"/>
        <v>"cosmetiques Accra",</v>
      </c>
      <c r="W45" s="7" t="str">
        <f t="shared" si="45"/>
        <v>"beauty routine Accra",</v>
      </c>
      <c r="X45" s="7" t="str">
        <f t="shared" si="45"/>
        <v>"natural beauty Accra",</v>
      </c>
      <c r="Y45" s="7" t="str">
        <f t="shared" si="45"/>
        <v>"organic beauty Accra",</v>
      </c>
      <c r="Z45" s="7" t="str">
        <f t="shared" si="45"/>
        <v>"sustainable fashion Accra",</v>
      </c>
      <c r="AA45" s="7" t="str">
        <f t="shared" si="45"/>
        <v>"fashion hacks Accra",</v>
      </c>
      <c r="AB45" s="7" t="str">
        <f t="shared" si="45"/>
        <v>"capsule wardrobe Accra",</v>
      </c>
      <c r="AC45" s="7" t="str">
        <f t="shared" si="45"/>
        <v>"fashion trends Accra",</v>
      </c>
      <c r="AD45" s="7" t="str">
        <f t="shared" si="45"/>
        <v>"minimalist fashion Accra",</v>
      </c>
      <c r="AE45" s="7" t="str">
        <f t="shared" si="45"/>
        <v>"beauty hacks Accra",</v>
      </c>
      <c r="AF45" s="7" t="str">
        <f t="shared" si="45"/>
        <v>"hair routines Accra",</v>
      </c>
      <c r="AG45" s="7" t="str">
        <f t="shared" si="45"/>
        <v>"empties Accra",</v>
      </c>
      <c r="AH45" s="7" t="str">
        <f t="shared" si="45"/>
        <v>"product reviews Accra",</v>
      </c>
      <c r="AI45" s="7" t="str">
        <f t="shared" si="45"/>
        <v>"beauty reviews  Accra",</v>
      </c>
      <c r="AJ45" s="7" t="str">
        <f t="shared" si="45"/>
        <v>"make-up artist Accra",</v>
      </c>
      <c r="AK45" s="7" t="str">
        <f t="shared" si="45"/>
        <v>"skincare journey Accra",</v>
      </c>
      <c r="AL45" s="7" t="str">
        <f t="shared" si="45"/>
        <v>"hair tutorial Accra",</v>
      </c>
      <c r="AM45" s="7" t="str">
        <f t="shared" si="45"/>
        <v>"barbershop Accra",</v>
      </c>
      <c r="AN45" s="7"/>
      <c r="AO45" s="7"/>
    </row>
    <row r="46">
      <c r="A46" s="4" t="s">
        <v>4858</v>
      </c>
      <c r="B46" s="7" t="str">
        <f t="shared" si="5"/>
        <v>"ootd Nairobi",</v>
      </c>
      <c r="C46" s="7" t="str">
        <f t="shared" ref="C46:AM46" si="46">CONCATENATE(C$1," ",$A46)</f>
        <v>"street style Nairobi",</v>
      </c>
      <c r="D46" s="7" t="str">
        <f t="shared" si="46"/>
        <v>"skincare Nairobi",</v>
      </c>
      <c r="E46" s="7" t="str">
        <f t="shared" si="46"/>
        <v>"makeup Nairobi",</v>
      </c>
      <c r="F46" s="7" t="str">
        <f t="shared" si="46"/>
        <v>"nails Nairobi",</v>
      </c>
      <c r="G46" s="7" t="str">
        <f t="shared" si="46"/>
        <v>"curly hair Nairobi",</v>
      </c>
      <c r="H46" s="7" t="str">
        <f t="shared" si="46"/>
        <v>"thrift Nairobi",</v>
      </c>
      <c r="I46" s="7" t="str">
        <f t="shared" si="46"/>
        <v>"streetwear Nairobi",</v>
      </c>
      <c r="J46" s="7" t="str">
        <f t="shared" si="46"/>
        <v>"luxury Nairobi",</v>
      </c>
      <c r="K46" s="7" t="str">
        <f t="shared" si="46"/>
        <v>"handbags Nairobi",</v>
      </c>
      <c r="L46" s="7" t="str">
        <f t="shared" si="46"/>
        <v>"sneakers Nairobi",</v>
      </c>
      <c r="M46" s="7" t="str">
        <f t="shared" si="46"/>
        <v>"high heels Nairobi",</v>
      </c>
      <c r="N46" s="7" t="str">
        <f t="shared" si="46"/>
        <v>"haute-couture Nairobi",</v>
      </c>
      <c r="O46" s="7" t="str">
        <f t="shared" si="46"/>
        <v>"diyfashion Nairobi",</v>
      </c>
      <c r="P46" s="7" t="str">
        <f t="shared" si="46"/>
        <v>"accessories Nairobi",</v>
      </c>
      <c r="Q46" s="7" t="str">
        <f t="shared" si="46"/>
        <v>"menswear Nairobi",</v>
      </c>
      <c r="R46" s="7" t="str">
        <f t="shared" si="46"/>
        <v>"womenswear Nairobi",</v>
      </c>
      <c r="S46" s="7" t="str">
        <f t="shared" si="46"/>
        <v>"moda Nairobi",</v>
      </c>
      <c r="T46" s="7" t="str">
        <f t="shared" si="46"/>
        <v>"hairstyle Nairobi",</v>
      </c>
      <c r="U46" s="7" t="str">
        <f t="shared" si="46"/>
        <v>"perfume Nairobi",</v>
      </c>
      <c r="V46" s="7" t="str">
        <f t="shared" si="46"/>
        <v>"cosmetiques Nairobi",</v>
      </c>
      <c r="W46" s="7" t="str">
        <f t="shared" si="46"/>
        <v>"beauty routine Nairobi",</v>
      </c>
      <c r="X46" s="7" t="str">
        <f t="shared" si="46"/>
        <v>"natural beauty Nairobi",</v>
      </c>
      <c r="Y46" s="7" t="str">
        <f t="shared" si="46"/>
        <v>"organic beauty Nairobi",</v>
      </c>
      <c r="Z46" s="7" t="str">
        <f t="shared" si="46"/>
        <v>"sustainable fashion Nairobi",</v>
      </c>
      <c r="AA46" s="7" t="str">
        <f t="shared" si="46"/>
        <v>"fashion hacks Nairobi",</v>
      </c>
      <c r="AB46" s="7" t="str">
        <f t="shared" si="46"/>
        <v>"capsule wardrobe Nairobi",</v>
      </c>
      <c r="AC46" s="7" t="str">
        <f t="shared" si="46"/>
        <v>"fashion trends Nairobi",</v>
      </c>
      <c r="AD46" s="7" t="str">
        <f t="shared" si="46"/>
        <v>"minimalist fashion Nairobi",</v>
      </c>
      <c r="AE46" s="7" t="str">
        <f t="shared" si="46"/>
        <v>"beauty hacks Nairobi",</v>
      </c>
      <c r="AF46" s="7" t="str">
        <f t="shared" si="46"/>
        <v>"hair routines Nairobi",</v>
      </c>
      <c r="AG46" s="7" t="str">
        <f t="shared" si="46"/>
        <v>"empties Nairobi",</v>
      </c>
      <c r="AH46" s="7" t="str">
        <f t="shared" si="46"/>
        <v>"product reviews Nairobi",</v>
      </c>
      <c r="AI46" s="7" t="str">
        <f t="shared" si="46"/>
        <v>"beauty reviews  Nairobi",</v>
      </c>
      <c r="AJ46" s="7" t="str">
        <f t="shared" si="46"/>
        <v>"make-up artist Nairobi",</v>
      </c>
      <c r="AK46" s="7" t="str">
        <f t="shared" si="46"/>
        <v>"skincare journey Nairobi",</v>
      </c>
      <c r="AL46" s="7" t="str">
        <f t="shared" si="46"/>
        <v>"hair tutorial Nairobi",</v>
      </c>
      <c r="AM46" s="7" t="str">
        <f t="shared" si="46"/>
        <v>"barbershop Nairobi",</v>
      </c>
      <c r="AN46" s="7"/>
      <c r="AO46" s="7"/>
    </row>
    <row r="47">
      <c r="A47" s="4" t="s">
        <v>4859</v>
      </c>
      <c r="B47" s="7" t="str">
        <f t="shared" si="5"/>
        <v>"ootd Tokyo",</v>
      </c>
      <c r="C47" s="7" t="str">
        <f t="shared" ref="C47:AM47" si="47">CONCATENATE(C$1," ",$A47)</f>
        <v>"street style Tokyo",</v>
      </c>
      <c r="D47" s="7" t="str">
        <f t="shared" si="47"/>
        <v>"skincare Tokyo",</v>
      </c>
      <c r="E47" s="7" t="str">
        <f t="shared" si="47"/>
        <v>"makeup Tokyo",</v>
      </c>
      <c r="F47" s="7" t="str">
        <f t="shared" si="47"/>
        <v>"nails Tokyo",</v>
      </c>
      <c r="G47" s="7" t="str">
        <f t="shared" si="47"/>
        <v>"curly hair Tokyo",</v>
      </c>
      <c r="H47" s="7" t="str">
        <f t="shared" si="47"/>
        <v>"thrift Tokyo",</v>
      </c>
      <c r="I47" s="7" t="str">
        <f t="shared" si="47"/>
        <v>"streetwear Tokyo",</v>
      </c>
      <c r="J47" s="7" t="str">
        <f t="shared" si="47"/>
        <v>"luxury Tokyo",</v>
      </c>
      <c r="K47" s="7" t="str">
        <f t="shared" si="47"/>
        <v>"handbags Tokyo",</v>
      </c>
      <c r="L47" s="7" t="str">
        <f t="shared" si="47"/>
        <v>"sneakers Tokyo",</v>
      </c>
      <c r="M47" s="7" t="str">
        <f t="shared" si="47"/>
        <v>"high heels Tokyo",</v>
      </c>
      <c r="N47" s="7" t="str">
        <f t="shared" si="47"/>
        <v>"haute-couture Tokyo",</v>
      </c>
      <c r="O47" s="7" t="str">
        <f t="shared" si="47"/>
        <v>"diyfashion Tokyo",</v>
      </c>
      <c r="P47" s="7" t="str">
        <f t="shared" si="47"/>
        <v>"accessories Tokyo",</v>
      </c>
      <c r="Q47" s="7" t="str">
        <f t="shared" si="47"/>
        <v>"menswear Tokyo",</v>
      </c>
      <c r="R47" s="7" t="str">
        <f t="shared" si="47"/>
        <v>"womenswear Tokyo",</v>
      </c>
      <c r="S47" s="7" t="str">
        <f t="shared" si="47"/>
        <v>"moda Tokyo",</v>
      </c>
      <c r="T47" s="7" t="str">
        <f t="shared" si="47"/>
        <v>"hairstyle Tokyo",</v>
      </c>
      <c r="U47" s="7" t="str">
        <f t="shared" si="47"/>
        <v>"perfume Tokyo",</v>
      </c>
      <c r="V47" s="7" t="str">
        <f t="shared" si="47"/>
        <v>"cosmetiques Tokyo",</v>
      </c>
      <c r="W47" s="7" t="str">
        <f t="shared" si="47"/>
        <v>"beauty routine Tokyo",</v>
      </c>
      <c r="X47" s="7" t="str">
        <f t="shared" si="47"/>
        <v>"natural beauty Tokyo",</v>
      </c>
      <c r="Y47" s="7" t="str">
        <f t="shared" si="47"/>
        <v>"organic beauty Tokyo",</v>
      </c>
      <c r="Z47" s="7" t="str">
        <f t="shared" si="47"/>
        <v>"sustainable fashion Tokyo",</v>
      </c>
      <c r="AA47" s="7" t="str">
        <f t="shared" si="47"/>
        <v>"fashion hacks Tokyo",</v>
      </c>
      <c r="AB47" s="7" t="str">
        <f t="shared" si="47"/>
        <v>"capsule wardrobe Tokyo",</v>
      </c>
      <c r="AC47" s="7" t="str">
        <f t="shared" si="47"/>
        <v>"fashion trends Tokyo",</v>
      </c>
      <c r="AD47" s="7" t="str">
        <f t="shared" si="47"/>
        <v>"minimalist fashion Tokyo",</v>
      </c>
      <c r="AE47" s="7" t="str">
        <f t="shared" si="47"/>
        <v>"beauty hacks Tokyo",</v>
      </c>
      <c r="AF47" s="7" t="str">
        <f t="shared" si="47"/>
        <v>"hair routines Tokyo",</v>
      </c>
      <c r="AG47" s="7" t="str">
        <f t="shared" si="47"/>
        <v>"empties Tokyo",</v>
      </c>
      <c r="AH47" s="7" t="str">
        <f t="shared" si="47"/>
        <v>"product reviews Tokyo",</v>
      </c>
      <c r="AI47" s="7" t="str">
        <f t="shared" si="47"/>
        <v>"beauty reviews  Tokyo",</v>
      </c>
      <c r="AJ47" s="7" t="str">
        <f t="shared" si="47"/>
        <v>"make-up artist Tokyo",</v>
      </c>
      <c r="AK47" s="7" t="str">
        <f t="shared" si="47"/>
        <v>"skincare journey Tokyo",</v>
      </c>
      <c r="AL47" s="7" t="str">
        <f t="shared" si="47"/>
        <v>"hair tutorial Tokyo",</v>
      </c>
      <c r="AM47" s="7" t="str">
        <f t="shared" si="47"/>
        <v>"barbershop Tokyo",</v>
      </c>
      <c r="AN47" s="7"/>
      <c r="AO47" s="7"/>
    </row>
    <row r="48">
      <c r="A48" s="4" t="s">
        <v>4860</v>
      </c>
      <c r="B48" s="7" t="str">
        <f t="shared" si="5"/>
        <v>"ootd Osaka",</v>
      </c>
      <c r="C48" s="7" t="str">
        <f t="shared" ref="C48:AM48" si="48">CONCATENATE(C$1," ",$A48)</f>
        <v>"street style Osaka",</v>
      </c>
      <c r="D48" s="7" t="str">
        <f t="shared" si="48"/>
        <v>"skincare Osaka",</v>
      </c>
      <c r="E48" s="7" t="str">
        <f t="shared" si="48"/>
        <v>"makeup Osaka",</v>
      </c>
      <c r="F48" s="7" t="str">
        <f t="shared" si="48"/>
        <v>"nails Osaka",</v>
      </c>
      <c r="G48" s="7" t="str">
        <f t="shared" si="48"/>
        <v>"curly hair Osaka",</v>
      </c>
      <c r="H48" s="7" t="str">
        <f t="shared" si="48"/>
        <v>"thrift Osaka",</v>
      </c>
      <c r="I48" s="7" t="str">
        <f t="shared" si="48"/>
        <v>"streetwear Osaka",</v>
      </c>
      <c r="J48" s="7" t="str">
        <f t="shared" si="48"/>
        <v>"luxury Osaka",</v>
      </c>
      <c r="K48" s="7" t="str">
        <f t="shared" si="48"/>
        <v>"handbags Osaka",</v>
      </c>
      <c r="L48" s="7" t="str">
        <f t="shared" si="48"/>
        <v>"sneakers Osaka",</v>
      </c>
      <c r="M48" s="7" t="str">
        <f t="shared" si="48"/>
        <v>"high heels Osaka",</v>
      </c>
      <c r="N48" s="7" t="str">
        <f t="shared" si="48"/>
        <v>"haute-couture Osaka",</v>
      </c>
      <c r="O48" s="7" t="str">
        <f t="shared" si="48"/>
        <v>"diyfashion Osaka",</v>
      </c>
      <c r="P48" s="7" t="str">
        <f t="shared" si="48"/>
        <v>"accessories Osaka",</v>
      </c>
      <c r="Q48" s="7" t="str">
        <f t="shared" si="48"/>
        <v>"menswear Osaka",</v>
      </c>
      <c r="R48" s="7" t="str">
        <f t="shared" si="48"/>
        <v>"womenswear Osaka",</v>
      </c>
      <c r="S48" s="7" t="str">
        <f t="shared" si="48"/>
        <v>"moda Osaka",</v>
      </c>
      <c r="T48" s="7" t="str">
        <f t="shared" si="48"/>
        <v>"hairstyle Osaka",</v>
      </c>
      <c r="U48" s="7" t="str">
        <f t="shared" si="48"/>
        <v>"perfume Osaka",</v>
      </c>
      <c r="V48" s="7" t="str">
        <f t="shared" si="48"/>
        <v>"cosmetiques Osaka",</v>
      </c>
      <c r="W48" s="7" t="str">
        <f t="shared" si="48"/>
        <v>"beauty routine Osaka",</v>
      </c>
      <c r="X48" s="7" t="str">
        <f t="shared" si="48"/>
        <v>"natural beauty Osaka",</v>
      </c>
      <c r="Y48" s="7" t="str">
        <f t="shared" si="48"/>
        <v>"organic beauty Osaka",</v>
      </c>
      <c r="Z48" s="7" t="str">
        <f t="shared" si="48"/>
        <v>"sustainable fashion Osaka",</v>
      </c>
      <c r="AA48" s="7" t="str">
        <f t="shared" si="48"/>
        <v>"fashion hacks Osaka",</v>
      </c>
      <c r="AB48" s="7" t="str">
        <f t="shared" si="48"/>
        <v>"capsule wardrobe Osaka",</v>
      </c>
      <c r="AC48" s="7" t="str">
        <f t="shared" si="48"/>
        <v>"fashion trends Osaka",</v>
      </c>
      <c r="AD48" s="7" t="str">
        <f t="shared" si="48"/>
        <v>"minimalist fashion Osaka",</v>
      </c>
      <c r="AE48" s="7" t="str">
        <f t="shared" si="48"/>
        <v>"beauty hacks Osaka",</v>
      </c>
      <c r="AF48" s="7" t="str">
        <f t="shared" si="48"/>
        <v>"hair routines Osaka",</v>
      </c>
      <c r="AG48" s="7" t="str">
        <f t="shared" si="48"/>
        <v>"empties Osaka",</v>
      </c>
      <c r="AH48" s="7" t="str">
        <f t="shared" si="48"/>
        <v>"product reviews Osaka",</v>
      </c>
      <c r="AI48" s="7" t="str">
        <f t="shared" si="48"/>
        <v>"beauty reviews  Osaka",</v>
      </c>
      <c r="AJ48" s="7" t="str">
        <f t="shared" si="48"/>
        <v>"make-up artist Osaka",</v>
      </c>
      <c r="AK48" s="7" t="str">
        <f t="shared" si="48"/>
        <v>"skincare journey Osaka",</v>
      </c>
      <c r="AL48" s="7" t="str">
        <f t="shared" si="48"/>
        <v>"hair tutorial Osaka",</v>
      </c>
      <c r="AM48" s="7" t="str">
        <f t="shared" si="48"/>
        <v>"barbershop Osaka",</v>
      </c>
      <c r="AN48" s="7"/>
      <c r="AO48" s="7"/>
    </row>
    <row r="49">
      <c r="A49" s="4" t="s">
        <v>4861</v>
      </c>
      <c r="B49" s="7" t="str">
        <f t="shared" si="5"/>
        <v>"ootd Seoul",</v>
      </c>
      <c r="C49" s="7" t="str">
        <f t="shared" ref="C49:AM49" si="49">CONCATENATE(C$1," ",$A49)</f>
        <v>"street style Seoul",</v>
      </c>
      <c r="D49" s="7" t="str">
        <f t="shared" si="49"/>
        <v>"skincare Seoul",</v>
      </c>
      <c r="E49" s="7" t="str">
        <f t="shared" si="49"/>
        <v>"makeup Seoul",</v>
      </c>
      <c r="F49" s="7" t="str">
        <f t="shared" si="49"/>
        <v>"nails Seoul",</v>
      </c>
      <c r="G49" s="7" t="str">
        <f t="shared" si="49"/>
        <v>"curly hair Seoul",</v>
      </c>
      <c r="H49" s="7" t="str">
        <f t="shared" si="49"/>
        <v>"thrift Seoul",</v>
      </c>
      <c r="I49" s="7" t="str">
        <f t="shared" si="49"/>
        <v>"streetwear Seoul",</v>
      </c>
      <c r="J49" s="7" t="str">
        <f t="shared" si="49"/>
        <v>"luxury Seoul",</v>
      </c>
      <c r="K49" s="7" t="str">
        <f t="shared" si="49"/>
        <v>"handbags Seoul",</v>
      </c>
      <c r="L49" s="7" t="str">
        <f t="shared" si="49"/>
        <v>"sneakers Seoul",</v>
      </c>
      <c r="M49" s="7" t="str">
        <f t="shared" si="49"/>
        <v>"high heels Seoul",</v>
      </c>
      <c r="N49" s="7" t="str">
        <f t="shared" si="49"/>
        <v>"haute-couture Seoul",</v>
      </c>
      <c r="O49" s="7" t="str">
        <f t="shared" si="49"/>
        <v>"diyfashion Seoul",</v>
      </c>
      <c r="P49" s="7" t="str">
        <f t="shared" si="49"/>
        <v>"accessories Seoul",</v>
      </c>
      <c r="Q49" s="7" t="str">
        <f t="shared" si="49"/>
        <v>"menswear Seoul",</v>
      </c>
      <c r="R49" s="7" t="str">
        <f t="shared" si="49"/>
        <v>"womenswear Seoul",</v>
      </c>
      <c r="S49" s="7" t="str">
        <f t="shared" si="49"/>
        <v>"moda Seoul",</v>
      </c>
      <c r="T49" s="7" t="str">
        <f t="shared" si="49"/>
        <v>"hairstyle Seoul",</v>
      </c>
      <c r="U49" s="7" t="str">
        <f t="shared" si="49"/>
        <v>"perfume Seoul",</v>
      </c>
      <c r="V49" s="7" t="str">
        <f t="shared" si="49"/>
        <v>"cosmetiques Seoul",</v>
      </c>
      <c r="W49" s="7" t="str">
        <f t="shared" si="49"/>
        <v>"beauty routine Seoul",</v>
      </c>
      <c r="X49" s="7" t="str">
        <f t="shared" si="49"/>
        <v>"natural beauty Seoul",</v>
      </c>
      <c r="Y49" s="7" t="str">
        <f t="shared" si="49"/>
        <v>"organic beauty Seoul",</v>
      </c>
      <c r="Z49" s="7" t="str">
        <f t="shared" si="49"/>
        <v>"sustainable fashion Seoul",</v>
      </c>
      <c r="AA49" s="7" t="str">
        <f t="shared" si="49"/>
        <v>"fashion hacks Seoul",</v>
      </c>
      <c r="AB49" s="7" t="str">
        <f t="shared" si="49"/>
        <v>"capsule wardrobe Seoul",</v>
      </c>
      <c r="AC49" s="7" t="str">
        <f t="shared" si="49"/>
        <v>"fashion trends Seoul",</v>
      </c>
      <c r="AD49" s="7" t="str">
        <f t="shared" si="49"/>
        <v>"minimalist fashion Seoul",</v>
      </c>
      <c r="AE49" s="7" t="str">
        <f t="shared" si="49"/>
        <v>"beauty hacks Seoul",</v>
      </c>
      <c r="AF49" s="7" t="str">
        <f t="shared" si="49"/>
        <v>"hair routines Seoul",</v>
      </c>
      <c r="AG49" s="7" t="str">
        <f t="shared" si="49"/>
        <v>"empties Seoul",</v>
      </c>
      <c r="AH49" s="7" t="str">
        <f t="shared" si="49"/>
        <v>"product reviews Seoul",</v>
      </c>
      <c r="AI49" s="7" t="str">
        <f t="shared" si="49"/>
        <v>"beauty reviews  Seoul",</v>
      </c>
      <c r="AJ49" s="7" t="str">
        <f t="shared" si="49"/>
        <v>"make-up artist Seoul",</v>
      </c>
      <c r="AK49" s="7" t="str">
        <f t="shared" si="49"/>
        <v>"skincare journey Seoul",</v>
      </c>
      <c r="AL49" s="7" t="str">
        <f t="shared" si="49"/>
        <v>"hair tutorial Seoul",</v>
      </c>
      <c r="AM49" s="7" t="str">
        <f t="shared" si="49"/>
        <v>"barbershop Seoul",</v>
      </c>
      <c r="AN49" s="7"/>
      <c r="AO49" s="7"/>
    </row>
    <row r="50">
      <c r="A50" s="4" t="s">
        <v>4862</v>
      </c>
      <c r="B50" s="7" t="str">
        <f t="shared" si="5"/>
        <v>"ootd Shanghai",</v>
      </c>
      <c r="C50" s="7" t="str">
        <f t="shared" ref="C50:AM50" si="50">CONCATENATE(C$1," ",$A50)</f>
        <v>"street style Shanghai",</v>
      </c>
      <c r="D50" s="7" t="str">
        <f t="shared" si="50"/>
        <v>"skincare Shanghai",</v>
      </c>
      <c r="E50" s="7" t="str">
        <f t="shared" si="50"/>
        <v>"makeup Shanghai",</v>
      </c>
      <c r="F50" s="7" t="str">
        <f t="shared" si="50"/>
        <v>"nails Shanghai",</v>
      </c>
      <c r="G50" s="7" t="str">
        <f t="shared" si="50"/>
        <v>"curly hair Shanghai",</v>
      </c>
      <c r="H50" s="7" t="str">
        <f t="shared" si="50"/>
        <v>"thrift Shanghai",</v>
      </c>
      <c r="I50" s="7" t="str">
        <f t="shared" si="50"/>
        <v>"streetwear Shanghai",</v>
      </c>
      <c r="J50" s="7" t="str">
        <f t="shared" si="50"/>
        <v>"luxury Shanghai",</v>
      </c>
      <c r="K50" s="7" t="str">
        <f t="shared" si="50"/>
        <v>"handbags Shanghai",</v>
      </c>
      <c r="L50" s="7" t="str">
        <f t="shared" si="50"/>
        <v>"sneakers Shanghai",</v>
      </c>
      <c r="M50" s="7" t="str">
        <f t="shared" si="50"/>
        <v>"high heels Shanghai",</v>
      </c>
      <c r="N50" s="7" t="str">
        <f t="shared" si="50"/>
        <v>"haute-couture Shanghai",</v>
      </c>
      <c r="O50" s="7" t="str">
        <f t="shared" si="50"/>
        <v>"diyfashion Shanghai",</v>
      </c>
      <c r="P50" s="7" t="str">
        <f t="shared" si="50"/>
        <v>"accessories Shanghai",</v>
      </c>
      <c r="Q50" s="7" t="str">
        <f t="shared" si="50"/>
        <v>"menswear Shanghai",</v>
      </c>
      <c r="R50" s="7" t="str">
        <f t="shared" si="50"/>
        <v>"womenswear Shanghai",</v>
      </c>
      <c r="S50" s="7" t="str">
        <f t="shared" si="50"/>
        <v>"moda Shanghai",</v>
      </c>
      <c r="T50" s="7" t="str">
        <f t="shared" si="50"/>
        <v>"hairstyle Shanghai",</v>
      </c>
      <c r="U50" s="7" t="str">
        <f t="shared" si="50"/>
        <v>"perfume Shanghai",</v>
      </c>
      <c r="V50" s="7" t="str">
        <f t="shared" si="50"/>
        <v>"cosmetiques Shanghai",</v>
      </c>
      <c r="W50" s="7" t="str">
        <f t="shared" si="50"/>
        <v>"beauty routine Shanghai",</v>
      </c>
      <c r="X50" s="7" t="str">
        <f t="shared" si="50"/>
        <v>"natural beauty Shanghai",</v>
      </c>
      <c r="Y50" s="7" t="str">
        <f t="shared" si="50"/>
        <v>"organic beauty Shanghai",</v>
      </c>
      <c r="Z50" s="7" t="str">
        <f t="shared" si="50"/>
        <v>"sustainable fashion Shanghai",</v>
      </c>
      <c r="AA50" s="7" t="str">
        <f t="shared" si="50"/>
        <v>"fashion hacks Shanghai",</v>
      </c>
      <c r="AB50" s="7" t="str">
        <f t="shared" si="50"/>
        <v>"capsule wardrobe Shanghai",</v>
      </c>
      <c r="AC50" s="7" t="str">
        <f t="shared" si="50"/>
        <v>"fashion trends Shanghai",</v>
      </c>
      <c r="AD50" s="7" t="str">
        <f t="shared" si="50"/>
        <v>"minimalist fashion Shanghai",</v>
      </c>
      <c r="AE50" s="7" t="str">
        <f t="shared" si="50"/>
        <v>"beauty hacks Shanghai",</v>
      </c>
      <c r="AF50" s="7" t="str">
        <f t="shared" si="50"/>
        <v>"hair routines Shanghai",</v>
      </c>
      <c r="AG50" s="7" t="str">
        <f t="shared" si="50"/>
        <v>"empties Shanghai",</v>
      </c>
      <c r="AH50" s="7" t="str">
        <f t="shared" si="50"/>
        <v>"product reviews Shanghai",</v>
      </c>
      <c r="AI50" s="7" t="str">
        <f t="shared" si="50"/>
        <v>"beauty reviews  Shanghai",</v>
      </c>
      <c r="AJ50" s="7" t="str">
        <f t="shared" si="50"/>
        <v>"make-up artist Shanghai",</v>
      </c>
      <c r="AK50" s="7" t="str">
        <f t="shared" si="50"/>
        <v>"skincare journey Shanghai",</v>
      </c>
      <c r="AL50" s="7" t="str">
        <f t="shared" si="50"/>
        <v>"hair tutorial Shanghai",</v>
      </c>
      <c r="AM50" s="7" t="str">
        <f t="shared" si="50"/>
        <v>"barbershop Shanghai",</v>
      </c>
      <c r="AN50" s="7"/>
      <c r="AO50" s="7"/>
    </row>
    <row r="51">
      <c r="A51" s="4" t="s">
        <v>4863</v>
      </c>
      <c r="B51" s="7" t="str">
        <f t="shared" si="5"/>
        <v>"ootd Beijing",</v>
      </c>
      <c r="C51" s="7" t="str">
        <f t="shared" ref="C51:AM51" si="51">CONCATENATE(C$1," ",$A51)</f>
        <v>"street style Beijing",</v>
      </c>
      <c r="D51" s="7" t="str">
        <f t="shared" si="51"/>
        <v>"skincare Beijing",</v>
      </c>
      <c r="E51" s="7" t="str">
        <f t="shared" si="51"/>
        <v>"makeup Beijing",</v>
      </c>
      <c r="F51" s="7" t="str">
        <f t="shared" si="51"/>
        <v>"nails Beijing",</v>
      </c>
      <c r="G51" s="7" t="str">
        <f t="shared" si="51"/>
        <v>"curly hair Beijing",</v>
      </c>
      <c r="H51" s="7" t="str">
        <f t="shared" si="51"/>
        <v>"thrift Beijing",</v>
      </c>
      <c r="I51" s="7" t="str">
        <f t="shared" si="51"/>
        <v>"streetwear Beijing",</v>
      </c>
      <c r="J51" s="7" t="str">
        <f t="shared" si="51"/>
        <v>"luxury Beijing",</v>
      </c>
      <c r="K51" s="7" t="str">
        <f t="shared" si="51"/>
        <v>"handbags Beijing",</v>
      </c>
      <c r="L51" s="7" t="str">
        <f t="shared" si="51"/>
        <v>"sneakers Beijing",</v>
      </c>
      <c r="M51" s="7" t="str">
        <f t="shared" si="51"/>
        <v>"high heels Beijing",</v>
      </c>
      <c r="N51" s="7" t="str">
        <f t="shared" si="51"/>
        <v>"haute-couture Beijing",</v>
      </c>
      <c r="O51" s="7" t="str">
        <f t="shared" si="51"/>
        <v>"diyfashion Beijing",</v>
      </c>
      <c r="P51" s="7" t="str">
        <f t="shared" si="51"/>
        <v>"accessories Beijing",</v>
      </c>
      <c r="Q51" s="7" t="str">
        <f t="shared" si="51"/>
        <v>"menswear Beijing",</v>
      </c>
      <c r="R51" s="7" t="str">
        <f t="shared" si="51"/>
        <v>"womenswear Beijing",</v>
      </c>
      <c r="S51" s="7" t="str">
        <f t="shared" si="51"/>
        <v>"moda Beijing",</v>
      </c>
      <c r="T51" s="7" t="str">
        <f t="shared" si="51"/>
        <v>"hairstyle Beijing",</v>
      </c>
      <c r="U51" s="7" t="str">
        <f t="shared" si="51"/>
        <v>"perfume Beijing",</v>
      </c>
      <c r="V51" s="7" t="str">
        <f t="shared" si="51"/>
        <v>"cosmetiques Beijing",</v>
      </c>
      <c r="W51" s="7" t="str">
        <f t="shared" si="51"/>
        <v>"beauty routine Beijing",</v>
      </c>
      <c r="X51" s="7" t="str">
        <f t="shared" si="51"/>
        <v>"natural beauty Beijing",</v>
      </c>
      <c r="Y51" s="7" t="str">
        <f t="shared" si="51"/>
        <v>"organic beauty Beijing",</v>
      </c>
      <c r="Z51" s="7" t="str">
        <f t="shared" si="51"/>
        <v>"sustainable fashion Beijing",</v>
      </c>
      <c r="AA51" s="7" t="str">
        <f t="shared" si="51"/>
        <v>"fashion hacks Beijing",</v>
      </c>
      <c r="AB51" s="7" t="str">
        <f t="shared" si="51"/>
        <v>"capsule wardrobe Beijing",</v>
      </c>
      <c r="AC51" s="7" t="str">
        <f t="shared" si="51"/>
        <v>"fashion trends Beijing",</v>
      </c>
      <c r="AD51" s="7" t="str">
        <f t="shared" si="51"/>
        <v>"minimalist fashion Beijing",</v>
      </c>
      <c r="AE51" s="7" t="str">
        <f t="shared" si="51"/>
        <v>"beauty hacks Beijing",</v>
      </c>
      <c r="AF51" s="7" t="str">
        <f t="shared" si="51"/>
        <v>"hair routines Beijing",</v>
      </c>
      <c r="AG51" s="7" t="str">
        <f t="shared" si="51"/>
        <v>"empties Beijing",</v>
      </c>
      <c r="AH51" s="7" t="str">
        <f t="shared" si="51"/>
        <v>"product reviews Beijing",</v>
      </c>
      <c r="AI51" s="7" t="str">
        <f t="shared" si="51"/>
        <v>"beauty reviews  Beijing",</v>
      </c>
      <c r="AJ51" s="7" t="str">
        <f t="shared" si="51"/>
        <v>"make-up artist Beijing",</v>
      </c>
      <c r="AK51" s="7" t="str">
        <f t="shared" si="51"/>
        <v>"skincare journey Beijing",</v>
      </c>
      <c r="AL51" s="7" t="str">
        <f t="shared" si="51"/>
        <v>"hair tutorial Beijing",</v>
      </c>
      <c r="AM51" s="7" t="str">
        <f t="shared" si="51"/>
        <v>"barbershop Beijing",</v>
      </c>
      <c r="AN51" s="7"/>
      <c r="AO51" s="7"/>
    </row>
    <row r="52">
      <c r="A52" s="4" t="s">
        <v>4864</v>
      </c>
      <c r="B52" s="7" t="str">
        <f t="shared" si="5"/>
        <v>"ootd Hong Kong",</v>
      </c>
      <c r="C52" s="7" t="str">
        <f t="shared" ref="C52:AM52" si="52">CONCATENATE(C$1," ",$A52)</f>
        <v>"street style Hong Kong",</v>
      </c>
      <c r="D52" s="7" t="str">
        <f t="shared" si="52"/>
        <v>"skincare Hong Kong",</v>
      </c>
      <c r="E52" s="7" t="str">
        <f t="shared" si="52"/>
        <v>"makeup Hong Kong",</v>
      </c>
      <c r="F52" s="7" t="str">
        <f t="shared" si="52"/>
        <v>"nails Hong Kong",</v>
      </c>
      <c r="G52" s="7" t="str">
        <f t="shared" si="52"/>
        <v>"curly hair Hong Kong",</v>
      </c>
      <c r="H52" s="7" t="str">
        <f t="shared" si="52"/>
        <v>"thrift Hong Kong",</v>
      </c>
      <c r="I52" s="7" t="str">
        <f t="shared" si="52"/>
        <v>"streetwear Hong Kong",</v>
      </c>
      <c r="J52" s="7" t="str">
        <f t="shared" si="52"/>
        <v>"luxury Hong Kong",</v>
      </c>
      <c r="K52" s="7" t="str">
        <f t="shared" si="52"/>
        <v>"handbags Hong Kong",</v>
      </c>
      <c r="L52" s="7" t="str">
        <f t="shared" si="52"/>
        <v>"sneakers Hong Kong",</v>
      </c>
      <c r="M52" s="7" t="str">
        <f t="shared" si="52"/>
        <v>"high heels Hong Kong",</v>
      </c>
      <c r="N52" s="7" t="str">
        <f t="shared" si="52"/>
        <v>"haute-couture Hong Kong",</v>
      </c>
      <c r="O52" s="7" t="str">
        <f t="shared" si="52"/>
        <v>"diyfashion Hong Kong",</v>
      </c>
      <c r="P52" s="7" t="str">
        <f t="shared" si="52"/>
        <v>"accessories Hong Kong",</v>
      </c>
      <c r="Q52" s="7" t="str">
        <f t="shared" si="52"/>
        <v>"menswear Hong Kong",</v>
      </c>
      <c r="R52" s="7" t="str">
        <f t="shared" si="52"/>
        <v>"womenswear Hong Kong",</v>
      </c>
      <c r="S52" s="7" t="str">
        <f t="shared" si="52"/>
        <v>"moda Hong Kong",</v>
      </c>
      <c r="T52" s="7" t="str">
        <f t="shared" si="52"/>
        <v>"hairstyle Hong Kong",</v>
      </c>
      <c r="U52" s="7" t="str">
        <f t="shared" si="52"/>
        <v>"perfume Hong Kong",</v>
      </c>
      <c r="V52" s="7" t="str">
        <f t="shared" si="52"/>
        <v>"cosmetiques Hong Kong",</v>
      </c>
      <c r="W52" s="7" t="str">
        <f t="shared" si="52"/>
        <v>"beauty routine Hong Kong",</v>
      </c>
      <c r="X52" s="7" t="str">
        <f t="shared" si="52"/>
        <v>"natural beauty Hong Kong",</v>
      </c>
      <c r="Y52" s="7" t="str">
        <f t="shared" si="52"/>
        <v>"organic beauty Hong Kong",</v>
      </c>
      <c r="Z52" s="7" t="str">
        <f t="shared" si="52"/>
        <v>"sustainable fashion Hong Kong",</v>
      </c>
      <c r="AA52" s="7" t="str">
        <f t="shared" si="52"/>
        <v>"fashion hacks Hong Kong",</v>
      </c>
      <c r="AB52" s="7" t="str">
        <f t="shared" si="52"/>
        <v>"capsule wardrobe Hong Kong",</v>
      </c>
      <c r="AC52" s="7" t="str">
        <f t="shared" si="52"/>
        <v>"fashion trends Hong Kong",</v>
      </c>
      <c r="AD52" s="7" t="str">
        <f t="shared" si="52"/>
        <v>"minimalist fashion Hong Kong",</v>
      </c>
      <c r="AE52" s="7" t="str">
        <f t="shared" si="52"/>
        <v>"beauty hacks Hong Kong",</v>
      </c>
      <c r="AF52" s="7" t="str">
        <f t="shared" si="52"/>
        <v>"hair routines Hong Kong",</v>
      </c>
      <c r="AG52" s="7" t="str">
        <f t="shared" si="52"/>
        <v>"empties Hong Kong",</v>
      </c>
      <c r="AH52" s="7" t="str">
        <f t="shared" si="52"/>
        <v>"product reviews Hong Kong",</v>
      </c>
      <c r="AI52" s="7" t="str">
        <f t="shared" si="52"/>
        <v>"beauty reviews  Hong Kong",</v>
      </c>
      <c r="AJ52" s="7" t="str">
        <f t="shared" si="52"/>
        <v>"make-up artist Hong Kong",</v>
      </c>
      <c r="AK52" s="7" t="str">
        <f t="shared" si="52"/>
        <v>"skincare journey Hong Kong",</v>
      </c>
      <c r="AL52" s="7" t="str">
        <f t="shared" si="52"/>
        <v>"hair tutorial Hong Kong",</v>
      </c>
      <c r="AM52" s="7" t="str">
        <f t="shared" si="52"/>
        <v>"barbershop Hong Kong",</v>
      </c>
      <c r="AN52" s="7"/>
      <c r="AO52" s="7"/>
    </row>
    <row r="53">
      <c r="A53" s="4" t="s">
        <v>4865</v>
      </c>
      <c r="B53" s="7" t="str">
        <f t="shared" si="5"/>
        <v>"ootd Singapore",</v>
      </c>
      <c r="C53" s="7" t="str">
        <f t="shared" ref="C53:AM53" si="53">CONCATENATE(C$1," ",$A53)</f>
        <v>"street style Singapore",</v>
      </c>
      <c r="D53" s="7" t="str">
        <f t="shared" si="53"/>
        <v>"skincare Singapore",</v>
      </c>
      <c r="E53" s="7" t="str">
        <f t="shared" si="53"/>
        <v>"makeup Singapore",</v>
      </c>
      <c r="F53" s="7" t="str">
        <f t="shared" si="53"/>
        <v>"nails Singapore",</v>
      </c>
      <c r="G53" s="7" t="str">
        <f t="shared" si="53"/>
        <v>"curly hair Singapore",</v>
      </c>
      <c r="H53" s="7" t="str">
        <f t="shared" si="53"/>
        <v>"thrift Singapore",</v>
      </c>
      <c r="I53" s="7" t="str">
        <f t="shared" si="53"/>
        <v>"streetwear Singapore",</v>
      </c>
      <c r="J53" s="7" t="str">
        <f t="shared" si="53"/>
        <v>"luxury Singapore",</v>
      </c>
      <c r="K53" s="7" t="str">
        <f t="shared" si="53"/>
        <v>"handbags Singapore",</v>
      </c>
      <c r="L53" s="7" t="str">
        <f t="shared" si="53"/>
        <v>"sneakers Singapore",</v>
      </c>
      <c r="M53" s="7" t="str">
        <f t="shared" si="53"/>
        <v>"high heels Singapore",</v>
      </c>
      <c r="N53" s="7" t="str">
        <f t="shared" si="53"/>
        <v>"haute-couture Singapore",</v>
      </c>
      <c r="O53" s="7" t="str">
        <f t="shared" si="53"/>
        <v>"diyfashion Singapore",</v>
      </c>
      <c r="P53" s="7" t="str">
        <f t="shared" si="53"/>
        <v>"accessories Singapore",</v>
      </c>
      <c r="Q53" s="7" t="str">
        <f t="shared" si="53"/>
        <v>"menswear Singapore",</v>
      </c>
      <c r="R53" s="7" t="str">
        <f t="shared" si="53"/>
        <v>"womenswear Singapore",</v>
      </c>
      <c r="S53" s="7" t="str">
        <f t="shared" si="53"/>
        <v>"moda Singapore",</v>
      </c>
      <c r="T53" s="7" t="str">
        <f t="shared" si="53"/>
        <v>"hairstyle Singapore",</v>
      </c>
      <c r="U53" s="7" t="str">
        <f t="shared" si="53"/>
        <v>"perfume Singapore",</v>
      </c>
      <c r="V53" s="7" t="str">
        <f t="shared" si="53"/>
        <v>"cosmetiques Singapore",</v>
      </c>
      <c r="W53" s="7" t="str">
        <f t="shared" si="53"/>
        <v>"beauty routine Singapore",</v>
      </c>
      <c r="X53" s="7" t="str">
        <f t="shared" si="53"/>
        <v>"natural beauty Singapore",</v>
      </c>
      <c r="Y53" s="7" t="str">
        <f t="shared" si="53"/>
        <v>"organic beauty Singapore",</v>
      </c>
      <c r="Z53" s="7" t="str">
        <f t="shared" si="53"/>
        <v>"sustainable fashion Singapore",</v>
      </c>
      <c r="AA53" s="7" t="str">
        <f t="shared" si="53"/>
        <v>"fashion hacks Singapore",</v>
      </c>
      <c r="AB53" s="7" t="str">
        <f t="shared" si="53"/>
        <v>"capsule wardrobe Singapore",</v>
      </c>
      <c r="AC53" s="7" t="str">
        <f t="shared" si="53"/>
        <v>"fashion trends Singapore",</v>
      </c>
      <c r="AD53" s="7" t="str">
        <f t="shared" si="53"/>
        <v>"minimalist fashion Singapore",</v>
      </c>
      <c r="AE53" s="7" t="str">
        <f t="shared" si="53"/>
        <v>"beauty hacks Singapore",</v>
      </c>
      <c r="AF53" s="7" t="str">
        <f t="shared" si="53"/>
        <v>"hair routines Singapore",</v>
      </c>
      <c r="AG53" s="7" t="str">
        <f t="shared" si="53"/>
        <v>"empties Singapore",</v>
      </c>
      <c r="AH53" s="7" t="str">
        <f t="shared" si="53"/>
        <v>"product reviews Singapore",</v>
      </c>
      <c r="AI53" s="7" t="str">
        <f t="shared" si="53"/>
        <v>"beauty reviews  Singapore",</v>
      </c>
      <c r="AJ53" s="7" t="str">
        <f t="shared" si="53"/>
        <v>"make-up artist Singapore",</v>
      </c>
      <c r="AK53" s="7" t="str">
        <f t="shared" si="53"/>
        <v>"skincare journey Singapore",</v>
      </c>
      <c r="AL53" s="7" t="str">
        <f t="shared" si="53"/>
        <v>"hair tutorial Singapore",</v>
      </c>
      <c r="AM53" s="7" t="str">
        <f t="shared" si="53"/>
        <v>"barbershop Singapore",</v>
      </c>
      <c r="AN53" s="7"/>
      <c r="AO53" s="7"/>
    </row>
    <row r="54">
      <c r="A54" s="4" t="s">
        <v>4866</v>
      </c>
      <c r="B54" s="7" t="str">
        <f t="shared" si="5"/>
        <v>"ootd Bangkok",</v>
      </c>
      <c r="C54" s="7" t="str">
        <f t="shared" ref="C54:AM54" si="54">CONCATENATE(C$1," ",$A54)</f>
        <v>"street style Bangkok",</v>
      </c>
      <c r="D54" s="7" t="str">
        <f t="shared" si="54"/>
        <v>"skincare Bangkok",</v>
      </c>
      <c r="E54" s="7" t="str">
        <f t="shared" si="54"/>
        <v>"makeup Bangkok",</v>
      </c>
      <c r="F54" s="7" t="str">
        <f t="shared" si="54"/>
        <v>"nails Bangkok",</v>
      </c>
      <c r="G54" s="7" t="str">
        <f t="shared" si="54"/>
        <v>"curly hair Bangkok",</v>
      </c>
      <c r="H54" s="7" t="str">
        <f t="shared" si="54"/>
        <v>"thrift Bangkok",</v>
      </c>
      <c r="I54" s="7" t="str">
        <f t="shared" si="54"/>
        <v>"streetwear Bangkok",</v>
      </c>
      <c r="J54" s="7" t="str">
        <f t="shared" si="54"/>
        <v>"luxury Bangkok",</v>
      </c>
      <c r="K54" s="7" t="str">
        <f t="shared" si="54"/>
        <v>"handbags Bangkok",</v>
      </c>
      <c r="L54" s="7" t="str">
        <f t="shared" si="54"/>
        <v>"sneakers Bangkok",</v>
      </c>
      <c r="M54" s="7" t="str">
        <f t="shared" si="54"/>
        <v>"high heels Bangkok",</v>
      </c>
      <c r="N54" s="7" t="str">
        <f t="shared" si="54"/>
        <v>"haute-couture Bangkok",</v>
      </c>
      <c r="O54" s="7" t="str">
        <f t="shared" si="54"/>
        <v>"diyfashion Bangkok",</v>
      </c>
      <c r="P54" s="7" t="str">
        <f t="shared" si="54"/>
        <v>"accessories Bangkok",</v>
      </c>
      <c r="Q54" s="7" t="str">
        <f t="shared" si="54"/>
        <v>"menswear Bangkok",</v>
      </c>
      <c r="R54" s="7" t="str">
        <f t="shared" si="54"/>
        <v>"womenswear Bangkok",</v>
      </c>
      <c r="S54" s="7" t="str">
        <f t="shared" si="54"/>
        <v>"moda Bangkok",</v>
      </c>
      <c r="T54" s="7" t="str">
        <f t="shared" si="54"/>
        <v>"hairstyle Bangkok",</v>
      </c>
      <c r="U54" s="7" t="str">
        <f t="shared" si="54"/>
        <v>"perfume Bangkok",</v>
      </c>
      <c r="V54" s="7" t="str">
        <f t="shared" si="54"/>
        <v>"cosmetiques Bangkok",</v>
      </c>
      <c r="W54" s="7" t="str">
        <f t="shared" si="54"/>
        <v>"beauty routine Bangkok",</v>
      </c>
      <c r="X54" s="7" t="str">
        <f t="shared" si="54"/>
        <v>"natural beauty Bangkok",</v>
      </c>
      <c r="Y54" s="7" t="str">
        <f t="shared" si="54"/>
        <v>"organic beauty Bangkok",</v>
      </c>
      <c r="Z54" s="7" t="str">
        <f t="shared" si="54"/>
        <v>"sustainable fashion Bangkok",</v>
      </c>
      <c r="AA54" s="7" t="str">
        <f t="shared" si="54"/>
        <v>"fashion hacks Bangkok",</v>
      </c>
      <c r="AB54" s="7" t="str">
        <f t="shared" si="54"/>
        <v>"capsule wardrobe Bangkok",</v>
      </c>
      <c r="AC54" s="7" t="str">
        <f t="shared" si="54"/>
        <v>"fashion trends Bangkok",</v>
      </c>
      <c r="AD54" s="7" t="str">
        <f t="shared" si="54"/>
        <v>"minimalist fashion Bangkok",</v>
      </c>
      <c r="AE54" s="7" t="str">
        <f t="shared" si="54"/>
        <v>"beauty hacks Bangkok",</v>
      </c>
      <c r="AF54" s="7" t="str">
        <f t="shared" si="54"/>
        <v>"hair routines Bangkok",</v>
      </c>
      <c r="AG54" s="7" t="str">
        <f t="shared" si="54"/>
        <v>"empties Bangkok",</v>
      </c>
      <c r="AH54" s="7" t="str">
        <f t="shared" si="54"/>
        <v>"product reviews Bangkok",</v>
      </c>
      <c r="AI54" s="7" t="str">
        <f t="shared" si="54"/>
        <v>"beauty reviews  Bangkok",</v>
      </c>
      <c r="AJ54" s="7" t="str">
        <f t="shared" si="54"/>
        <v>"make-up artist Bangkok",</v>
      </c>
      <c r="AK54" s="7" t="str">
        <f t="shared" si="54"/>
        <v>"skincare journey Bangkok",</v>
      </c>
      <c r="AL54" s="7" t="str">
        <f t="shared" si="54"/>
        <v>"hair tutorial Bangkok",</v>
      </c>
      <c r="AM54" s="7" t="str">
        <f t="shared" si="54"/>
        <v>"barbershop Bangkok",</v>
      </c>
      <c r="AN54" s="7"/>
      <c r="AO54" s="7"/>
    </row>
    <row r="55">
      <c r="A55" s="4" t="s">
        <v>4867</v>
      </c>
      <c r="B55" s="7" t="str">
        <f t="shared" si="5"/>
        <v>"ootd Jakarta",</v>
      </c>
      <c r="C55" s="7" t="str">
        <f t="shared" ref="C55:AM55" si="55">CONCATENATE(C$1," ",$A55)</f>
        <v>"street style Jakarta",</v>
      </c>
      <c r="D55" s="7" t="str">
        <f t="shared" si="55"/>
        <v>"skincare Jakarta",</v>
      </c>
      <c r="E55" s="7" t="str">
        <f t="shared" si="55"/>
        <v>"makeup Jakarta",</v>
      </c>
      <c r="F55" s="7" t="str">
        <f t="shared" si="55"/>
        <v>"nails Jakarta",</v>
      </c>
      <c r="G55" s="7" t="str">
        <f t="shared" si="55"/>
        <v>"curly hair Jakarta",</v>
      </c>
      <c r="H55" s="7" t="str">
        <f t="shared" si="55"/>
        <v>"thrift Jakarta",</v>
      </c>
      <c r="I55" s="7" t="str">
        <f t="shared" si="55"/>
        <v>"streetwear Jakarta",</v>
      </c>
      <c r="J55" s="7" t="str">
        <f t="shared" si="55"/>
        <v>"luxury Jakarta",</v>
      </c>
      <c r="K55" s="7" t="str">
        <f t="shared" si="55"/>
        <v>"handbags Jakarta",</v>
      </c>
      <c r="L55" s="7" t="str">
        <f t="shared" si="55"/>
        <v>"sneakers Jakarta",</v>
      </c>
      <c r="M55" s="7" t="str">
        <f t="shared" si="55"/>
        <v>"high heels Jakarta",</v>
      </c>
      <c r="N55" s="7" t="str">
        <f t="shared" si="55"/>
        <v>"haute-couture Jakarta",</v>
      </c>
      <c r="O55" s="7" t="str">
        <f t="shared" si="55"/>
        <v>"diyfashion Jakarta",</v>
      </c>
      <c r="P55" s="7" t="str">
        <f t="shared" si="55"/>
        <v>"accessories Jakarta",</v>
      </c>
      <c r="Q55" s="7" t="str">
        <f t="shared" si="55"/>
        <v>"menswear Jakarta",</v>
      </c>
      <c r="R55" s="7" t="str">
        <f t="shared" si="55"/>
        <v>"womenswear Jakarta",</v>
      </c>
      <c r="S55" s="7" t="str">
        <f t="shared" si="55"/>
        <v>"moda Jakarta",</v>
      </c>
      <c r="T55" s="7" t="str">
        <f t="shared" si="55"/>
        <v>"hairstyle Jakarta",</v>
      </c>
      <c r="U55" s="7" t="str">
        <f t="shared" si="55"/>
        <v>"perfume Jakarta",</v>
      </c>
      <c r="V55" s="7" t="str">
        <f t="shared" si="55"/>
        <v>"cosmetiques Jakarta",</v>
      </c>
      <c r="W55" s="7" t="str">
        <f t="shared" si="55"/>
        <v>"beauty routine Jakarta",</v>
      </c>
      <c r="X55" s="7" t="str">
        <f t="shared" si="55"/>
        <v>"natural beauty Jakarta",</v>
      </c>
      <c r="Y55" s="7" t="str">
        <f t="shared" si="55"/>
        <v>"organic beauty Jakarta",</v>
      </c>
      <c r="Z55" s="7" t="str">
        <f t="shared" si="55"/>
        <v>"sustainable fashion Jakarta",</v>
      </c>
      <c r="AA55" s="7" t="str">
        <f t="shared" si="55"/>
        <v>"fashion hacks Jakarta",</v>
      </c>
      <c r="AB55" s="7" t="str">
        <f t="shared" si="55"/>
        <v>"capsule wardrobe Jakarta",</v>
      </c>
      <c r="AC55" s="7" t="str">
        <f t="shared" si="55"/>
        <v>"fashion trends Jakarta",</v>
      </c>
      <c r="AD55" s="7" t="str">
        <f t="shared" si="55"/>
        <v>"minimalist fashion Jakarta",</v>
      </c>
      <c r="AE55" s="7" t="str">
        <f t="shared" si="55"/>
        <v>"beauty hacks Jakarta",</v>
      </c>
      <c r="AF55" s="7" t="str">
        <f t="shared" si="55"/>
        <v>"hair routines Jakarta",</v>
      </c>
      <c r="AG55" s="7" t="str">
        <f t="shared" si="55"/>
        <v>"empties Jakarta",</v>
      </c>
      <c r="AH55" s="7" t="str">
        <f t="shared" si="55"/>
        <v>"product reviews Jakarta",</v>
      </c>
      <c r="AI55" s="7" t="str">
        <f t="shared" si="55"/>
        <v>"beauty reviews  Jakarta",</v>
      </c>
      <c r="AJ55" s="7" t="str">
        <f t="shared" si="55"/>
        <v>"make-up artist Jakarta",</v>
      </c>
      <c r="AK55" s="7" t="str">
        <f t="shared" si="55"/>
        <v>"skincare journey Jakarta",</v>
      </c>
      <c r="AL55" s="7" t="str">
        <f t="shared" si="55"/>
        <v>"hair tutorial Jakarta",</v>
      </c>
      <c r="AM55" s="7" t="str">
        <f t="shared" si="55"/>
        <v>"barbershop Jakarta",</v>
      </c>
      <c r="AN55" s="7"/>
      <c r="AO55" s="7"/>
    </row>
    <row r="56">
      <c r="A56" s="4" t="s">
        <v>4868</v>
      </c>
      <c r="B56" s="7" t="str">
        <f t="shared" si="5"/>
        <v>"ootd Manila",</v>
      </c>
      <c r="C56" s="7" t="str">
        <f t="shared" ref="C56:AM56" si="56">CONCATENATE(C$1," ",$A56)</f>
        <v>"street style Manila",</v>
      </c>
      <c r="D56" s="7" t="str">
        <f t="shared" si="56"/>
        <v>"skincare Manila",</v>
      </c>
      <c r="E56" s="7" t="str">
        <f t="shared" si="56"/>
        <v>"makeup Manila",</v>
      </c>
      <c r="F56" s="7" t="str">
        <f t="shared" si="56"/>
        <v>"nails Manila",</v>
      </c>
      <c r="G56" s="7" t="str">
        <f t="shared" si="56"/>
        <v>"curly hair Manila",</v>
      </c>
      <c r="H56" s="7" t="str">
        <f t="shared" si="56"/>
        <v>"thrift Manila",</v>
      </c>
      <c r="I56" s="7" t="str">
        <f t="shared" si="56"/>
        <v>"streetwear Manila",</v>
      </c>
      <c r="J56" s="7" t="str">
        <f t="shared" si="56"/>
        <v>"luxury Manila",</v>
      </c>
      <c r="K56" s="7" t="str">
        <f t="shared" si="56"/>
        <v>"handbags Manila",</v>
      </c>
      <c r="L56" s="7" t="str">
        <f t="shared" si="56"/>
        <v>"sneakers Manila",</v>
      </c>
      <c r="M56" s="7" t="str">
        <f t="shared" si="56"/>
        <v>"high heels Manila",</v>
      </c>
      <c r="N56" s="7" t="str">
        <f t="shared" si="56"/>
        <v>"haute-couture Manila",</v>
      </c>
      <c r="O56" s="7" t="str">
        <f t="shared" si="56"/>
        <v>"diyfashion Manila",</v>
      </c>
      <c r="P56" s="7" t="str">
        <f t="shared" si="56"/>
        <v>"accessories Manila",</v>
      </c>
      <c r="Q56" s="7" t="str">
        <f t="shared" si="56"/>
        <v>"menswear Manila",</v>
      </c>
      <c r="R56" s="7" t="str">
        <f t="shared" si="56"/>
        <v>"womenswear Manila",</v>
      </c>
      <c r="S56" s="7" t="str">
        <f t="shared" si="56"/>
        <v>"moda Manila",</v>
      </c>
      <c r="T56" s="7" t="str">
        <f t="shared" si="56"/>
        <v>"hairstyle Manila",</v>
      </c>
      <c r="U56" s="7" t="str">
        <f t="shared" si="56"/>
        <v>"perfume Manila",</v>
      </c>
      <c r="V56" s="7" t="str">
        <f t="shared" si="56"/>
        <v>"cosmetiques Manila",</v>
      </c>
      <c r="W56" s="7" t="str">
        <f t="shared" si="56"/>
        <v>"beauty routine Manila",</v>
      </c>
      <c r="X56" s="7" t="str">
        <f t="shared" si="56"/>
        <v>"natural beauty Manila",</v>
      </c>
      <c r="Y56" s="7" t="str">
        <f t="shared" si="56"/>
        <v>"organic beauty Manila",</v>
      </c>
      <c r="Z56" s="7" t="str">
        <f t="shared" si="56"/>
        <v>"sustainable fashion Manila",</v>
      </c>
      <c r="AA56" s="7" t="str">
        <f t="shared" si="56"/>
        <v>"fashion hacks Manila",</v>
      </c>
      <c r="AB56" s="7" t="str">
        <f t="shared" si="56"/>
        <v>"capsule wardrobe Manila",</v>
      </c>
      <c r="AC56" s="7" t="str">
        <f t="shared" si="56"/>
        <v>"fashion trends Manila",</v>
      </c>
      <c r="AD56" s="7" t="str">
        <f t="shared" si="56"/>
        <v>"minimalist fashion Manila",</v>
      </c>
      <c r="AE56" s="7" t="str">
        <f t="shared" si="56"/>
        <v>"beauty hacks Manila",</v>
      </c>
      <c r="AF56" s="7" t="str">
        <f t="shared" si="56"/>
        <v>"hair routines Manila",</v>
      </c>
      <c r="AG56" s="7" t="str">
        <f t="shared" si="56"/>
        <v>"empties Manila",</v>
      </c>
      <c r="AH56" s="7" t="str">
        <f t="shared" si="56"/>
        <v>"product reviews Manila",</v>
      </c>
      <c r="AI56" s="7" t="str">
        <f t="shared" si="56"/>
        <v>"beauty reviews  Manila",</v>
      </c>
      <c r="AJ56" s="7" t="str">
        <f t="shared" si="56"/>
        <v>"make-up artist Manila",</v>
      </c>
      <c r="AK56" s="7" t="str">
        <f t="shared" si="56"/>
        <v>"skincare journey Manila",</v>
      </c>
      <c r="AL56" s="7" t="str">
        <f t="shared" si="56"/>
        <v>"hair tutorial Manila",</v>
      </c>
      <c r="AM56" s="7" t="str">
        <f t="shared" si="56"/>
        <v>"barbershop Manila",</v>
      </c>
      <c r="AN56" s="7"/>
      <c r="AO56" s="7"/>
    </row>
    <row r="57">
      <c r="A57" s="4" t="s">
        <v>4869</v>
      </c>
      <c r="B57" s="7" t="str">
        <f t="shared" si="5"/>
        <v>"ootd Mumbai",</v>
      </c>
      <c r="C57" s="7" t="str">
        <f t="shared" ref="C57:AM57" si="57">CONCATENATE(C$1," ",$A57)</f>
        <v>"street style Mumbai",</v>
      </c>
      <c r="D57" s="7" t="str">
        <f t="shared" si="57"/>
        <v>"skincare Mumbai",</v>
      </c>
      <c r="E57" s="7" t="str">
        <f t="shared" si="57"/>
        <v>"makeup Mumbai",</v>
      </c>
      <c r="F57" s="7" t="str">
        <f t="shared" si="57"/>
        <v>"nails Mumbai",</v>
      </c>
      <c r="G57" s="7" t="str">
        <f t="shared" si="57"/>
        <v>"curly hair Mumbai",</v>
      </c>
      <c r="H57" s="7" t="str">
        <f t="shared" si="57"/>
        <v>"thrift Mumbai",</v>
      </c>
      <c r="I57" s="7" t="str">
        <f t="shared" si="57"/>
        <v>"streetwear Mumbai",</v>
      </c>
      <c r="J57" s="7" t="str">
        <f t="shared" si="57"/>
        <v>"luxury Mumbai",</v>
      </c>
      <c r="K57" s="7" t="str">
        <f t="shared" si="57"/>
        <v>"handbags Mumbai",</v>
      </c>
      <c r="L57" s="7" t="str">
        <f t="shared" si="57"/>
        <v>"sneakers Mumbai",</v>
      </c>
      <c r="M57" s="7" t="str">
        <f t="shared" si="57"/>
        <v>"high heels Mumbai",</v>
      </c>
      <c r="N57" s="7" t="str">
        <f t="shared" si="57"/>
        <v>"haute-couture Mumbai",</v>
      </c>
      <c r="O57" s="7" t="str">
        <f t="shared" si="57"/>
        <v>"diyfashion Mumbai",</v>
      </c>
      <c r="P57" s="7" t="str">
        <f t="shared" si="57"/>
        <v>"accessories Mumbai",</v>
      </c>
      <c r="Q57" s="7" t="str">
        <f t="shared" si="57"/>
        <v>"menswear Mumbai",</v>
      </c>
      <c r="R57" s="7" t="str">
        <f t="shared" si="57"/>
        <v>"womenswear Mumbai",</v>
      </c>
      <c r="S57" s="7" t="str">
        <f t="shared" si="57"/>
        <v>"moda Mumbai",</v>
      </c>
      <c r="T57" s="7" t="str">
        <f t="shared" si="57"/>
        <v>"hairstyle Mumbai",</v>
      </c>
      <c r="U57" s="7" t="str">
        <f t="shared" si="57"/>
        <v>"perfume Mumbai",</v>
      </c>
      <c r="V57" s="7" t="str">
        <f t="shared" si="57"/>
        <v>"cosmetiques Mumbai",</v>
      </c>
      <c r="W57" s="7" t="str">
        <f t="shared" si="57"/>
        <v>"beauty routine Mumbai",</v>
      </c>
      <c r="X57" s="7" t="str">
        <f t="shared" si="57"/>
        <v>"natural beauty Mumbai",</v>
      </c>
      <c r="Y57" s="7" t="str">
        <f t="shared" si="57"/>
        <v>"organic beauty Mumbai",</v>
      </c>
      <c r="Z57" s="7" t="str">
        <f t="shared" si="57"/>
        <v>"sustainable fashion Mumbai",</v>
      </c>
      <c r="AA57" s="7" t="str">
        <f t="shared" si="57"/>
        <v>"fashion hacks Mumbai",</v>
      </c>
      <c r="AB57" s="7" t="str">
        <f t="shared" si="57"/>
        <v>"capsule wardrobe Mumbai",</v>
      </c>
      <c r="AC57" s="7" t="str">
        <f t="shared" si="57"/>
        <v>"fashion trends Mumbai",</v>
      </c>
      <c r="AD57" s="7" t="str">
        <f t="shared" si="57"/>
        <v>"minimalist fashion Mumbai",</v>
      </c>
      <c r="AE57" s="7" t="str">
        <f t="shared" si="57"/>
        <v>"beauty hacks Mumbai",</v>
      </c>
      <c r="AF57" s="7" t="str">
        <f t="shared" si="57"/>
        <v>"hair routines Mumbai",</v>
      </c>
      <c r="AG57" s="7" t="str">
        <f t="shared" si="57"/>
        <v>"empties Mumbai",</v>
      </c>
      <c r="AH57" s="7" t="str">
        <f t="shared" si="57"/>
        <v>"product reviews Mumbai",</v>
      </c>
      <c r="AI57" s="7" t="str">
        <f t="shared" si="57"/>
        <v>"beauty reviews  Mumbai",</v>
      </c>
      <c r="AJ57" s="7" t="str">
        <f t="shared" si="57"/>
        <v>"make-up artist Mumbai",</v>
      </c>
      <c r="AK57" s="7" t="str">
        <f t="shared" si="57"/>
        <v>"skincare journey Mumbai",</v>
      </c>
      <c r="AL57" s="7" t="str">
        <f t="shared" si="57"/>
        <v>"hair tutorial Mumbai",</v>
      </c>
      <c r="AM57" s="7" t="str">
        <f t="shared" si="57"/>
        <v>"barbershop Mumbai",</v>
      </c>
      <c r="AN57" s="7"/>
      <c r="AO57" s="7"/>
    </row>
    <row r="58">
      <c r="A58" s="4" t="s">
        <v>4870</v>
      </c>
      <c r="B58" s="7" t="str">
        <f t="shared" si="5"/>
        <v>"ootd Delhi",</v>
      </c>
      <c r="C58" s="7" t="str">
        <f t="shared" ref="C58:AM58" si="58">CONCATENATE(C$1," ",$A58)</f>
        <v>"street style Delhi",</v>
      </c>
      <c r="D58" s="7" t="str">
        <f t="shared" si="58"/>
        <v>"skincare Delhi",</v>
      </c>
      <c r="E58" s="7" t="str">
        <f t="shared" si="58"/>
        <v>"makeup Delhi",</v>
      </c>
      <c r="F58" s="7" t="str">
        <f t="shared" si="58"/>
        <v>"nails Delhi",</v>
      </c>
      <c r="G58" s="7" t="str">
        <f t="shared" si="58"/>
        <v>"curly hair Delhi",</v>
      </c>
      <c r="H58" s="7" t="str">
        <f t="shared" si="58"/>
        <v>"thrift Delhi",</v>
      </c>
      <c r="I58" s="7" t="str">
        <f t="shared" si="58"/>
        <v>"streetwear Delhi",</v>
      </c>
      <c r="J58" s="7" t="str">
        <f t="shared" si="58"/>
        <v>"luxury Delhi",</v>
      </c>
      <c r="K58" s="7" t="str">
        <f t="shared" si="58"/>
        <v>"handbags Delhi",</v>
      </c>
      <c r="L58" s="7" t="str">
        <f t="shared" si="58"/>
        <v>"sneakers Delhi",</v>
      </c>
      <c r="M58" s="7" t="str">
        <f t="shared" si="58"/>
        <v>"high heels Delhi",</v>
      </c>
      <c r="N58" s="7" t="str">
        <f t="shared" si="58"/>
        <v>"haute-couture Delhi",</v>
      </c>
      <c r="O58" s="7" t="str">
        <f t="shared" si="58"/>
        <v>"diyfashion Delhi",</v>
      </c>
      <c r="P58" s="7" t="str">
        <f t="shared" si="58"/>
        <v>"accessories Delhi",</v>
      </c>
      <c r="Q58" s="7" t="str">
        <f t="shared" si="58"/>
        <v>"menswear Delhi",</v>
      </c>
      <c r="R58" s="7" t="str">
        <f t="shared" si="58"/>
        <v>"womenswear Delhi",</v>
      </c>
      <c r="S58" s="7" t="str">
        <f t="shared" si="58"/>
        <v>"moda Delhi",</v>
      </c>
      <c r="T58" s="7" t="str">
        <f t="shared" si="58"/>
        <v>"hairstyle Delhi",</v>
      </c>
      <c r="U58" s="7" t="str">
        <f t="shared" si="58"/>
        <v>"perfume Delhi",</v>
      </c>
      <c r="V58" s="7" t="str">
        <f t="shared" si="58"/>
        <v>"cosmetiques Delhi",</v>
      </c>
      <c r="W58" s="7" t="str">
        <f t="shared" si="58"/>
        <v>"beauty routine Delhi",</v>
      </c>
      <c r="X58" s="7" t="str">
        <f t="shared" si="58"/>
        <v>"natural beauty Delhi",</v>
      </c>
      <c r="Y58" s="7" t="str">
        <f t="shared" si="58"/>
        <v>"organic beauty Delhi",</v>
      </c>
      <c r="Z58" s="7" t="str">
        <f t="shared" si="58"/>
        <v>"sustainable fashion Delhi",</v>
      </c>
      <c r="AA58" s="7" t="str">
        <f t="shared" si="58"/>
        <v>"fashion hacks Delhi",</v>
      </c>
      <c r="AB58" s="7" t="str">
        <f t="shared" si="58"/>
        <v>"capsule wardrobe Delhi",</v>
      </c>
      <c r="AC58" s="7" t="str">
        <f t="shared" si="58"/>
        <v>"fashion trends Delhi",</v>
      </c>
      <c r="AD58" s="7" t="str">
        <f t="shared" si="58"/>
        <v>"minimalist fashion Delhi",</v>
      </c>
      <c r="AE58" s="7" t="str">
        <f t="shared" si="58"/>
        <v>"beauty hacks Delhi",</v>
      </c>
      <c r="AF58" s="7" t="str">
        <f t="shared" si="58"/>
        <v>"hair routines Delhi",</v>
      </c>
      <c r="AG58" s="7" t="str">
        <f t="shared" si="58"/>
        <v>"empties Delhi",</v>
      </c>
      <c r="AH58" s="7" t="str">
        <f t="shared" si="58"/>
        <v>"product reviews Delhi",</v>
      </c>
      <c r="AI58" s="7" t="str">
        <f t="shared" si="58"/>
        <v>"beauty reviews  Delhi",</v>
      </c>
      <c r="AJ58" s="7" t="str">
        <f t="shared" si="58"/>
        <v>"make-up artist Delhi",</v>
      </c>
      <c r="AK58" s="7" t="str">
        <f t="shared" si="58"/>
        <v>"skincare journey Delhi",</v>
      </c>
      <c r="AL58" s="7" t="str">
        <f t="shared" si="58"/>
        <v>"hair tutorial Delhi",</v>
      </c>
      <c r="AM58" s="7" t="str">
        <f t="shared" si="58"/>
        <v>"barbershop Delhi",</v>
      </c>
      <c r="AN58" s="7"/>
      <c r="AO58" s="7"/>
    </row>
    <row r="59">
      <c r="A59" s="4" t="s">
        <v>4871</v>
      </c>
      <c r="B59" s="7" t="str">
        <f t="shared" si="5"/>
        <v>"ootd Bangalore",</v>
      </c>
      <c r="C59" s="7" t="str">
        <f t="shared" ref="C59:AM59" si="59">CONCATENATE(C$1," ",$A59)</f>
        <v>"street style Bangalore",</v>
      </c>
      <c r="D59" s="7" t="str">
        <f t="shared" si="59"/>
        <v>"skincare Bangalore",</v>
      </c>
      <c r="E59" s="7" t="str">
        <f t="shared" si="59"/>
        <v>"makeup Bangalore",</v>
      </c>
      <c r="F59" s="7" t="str">
        <f t="shared" si="59"/>
        <v>"nails Bangalore",</v>
      </c>
      <c r="G59" s="7" t="str">
        <f t="shared" si="59"/>
        <v>"curly hair Bangalore",</v>
      </c>
      <c r="H59" s="7" t="str">
        <f t="shared" si="59"/>
        <v>"thrift Bangalore",</v>
      </c>
      <c r="I59" s="7" t="str">
        <f t="shared" si="59"/>
        <v>"streetwear Bangalore",</v>
      </c>
      <c r="J59" s="7" t="str">
        <f t="shared" si="59"/>
        <v>"luxury Bangalore",</v>
      </c>
      <c r="K59" s="7" t="str">
        <f t="shared" si="59"/>
        <v>"handbags Bangalore",</v>
      </c>
      <c r="L59" s="7" t="str">
        <f t="shared" si="59"/>
        <v>"sneakers Bangalore",</v>
      </c>
      <c r="M59" s="7" t="str">
        <f t="shared" si="59"/>
        <v>"high heels Bangalore",</v>
      </c>
      <c r="N59" s="7" t="str">
        <f t="shared" si="59"/>
        <v>"haute-couture Bangalore",</v>
      </c>
      <c r="O59" s="7" t="str">
        <f t="shared" si="59"/>
        <v>"diyfashion Bangalore",</v>
      </c>
      <c r="P59" s="7" t="str">
        <f t="shared" si="59"/>
        <v>"accessories Bangalore",</v>
      </c>
      <c r="Q59" s="7" t="str">
        <f t="shared" si="59"/>
        <v>"menswear Bangalore",</v>
      </c>
      <c r="R59" s="7" t="str">
        <f t="shared" si="59"/>
        <v>"womenswear Bangalore",</v>
      </c>
      <c r="S59" s="7" t="str">
        <f t="shared" si="59"/>
        <v>"moda Bangalore",</v>
      </c>
      <c r="T59" s="7" t="str">
        <f t="shared" si="59"/>
        <v>"hairstyle Bangalore",</v>
      </c>
      <c r="U59" s="7" t="str">
        <f t="shared" si="59"/>
        <v>"perfume Bangalore",</v>
      </c>
      <c r="V59" s="7" t="str">
        <f t="shared" si="59"/>
        <v>"cosmetiques Bangalore",</v>
      </c>
      <c r="W59" s="7" t="str">
        <f t="shared" si="59"/>
        <v>"beauty routine Bangalore",</v>
      </c>
      <c r="X59" s="7" t="str">
        <f t="shared" si="59"/>
        <v>"natural beauty Bangalore",</v>
      </c>
      <c r="Y59" s="7" t="str">
        <f t="shared" si="59"/>
        <v>"organic beauty Bangalore",</v>
      </c>
      <c r="Z59" s="7" t="str">
        <f t="shared" si="59"/>
        <v>"sustainable fashion Bangalore",</v>
      </c>
      <c r="AA59" s="7" t="str">
        <f t="shared" si="59"/>
        <v>"fashion hacks Bangalore",</v>
      </c>
      <c r="AB59" s="7" t="str">
        <f t="shared" si="59"/>
        <v>"capsule wardrobe Bangalore",</v>
      </c>
      <c r="AC59" s="7" t="str">
        <f t="shared" si="59"/>
        <v>"fashion trends Bangalore",</v>
      </c>
      <c r="AD59" s="7" t="str">
        <f t="shared" si="59"/>
        <v>"minimalist fashion Bangalore",</v>
      </c>
      <c r="AE59" s="7" t="str">
        <f t="shared" si="59"/>
        <v>"beauty hacks Bangalore",</v>
      </c>
      <c r="AF59" s="7" t="str">
        <f t="shared" si="59"/>
        <v>"hair routines Bangalore",</v>
      </c>
      <c r="AG59" s="7" t="str">
        <f t="shared" si="59"/>
        <v>"empties Bangalore",</v>
      </c>
      <c r="AH59" s="7" t="str">
        <f t="shared" si="59"/>
        <v>"product reviews Bangalore",</v>
      </c>
      <c r="AI59" s="7" t="str">
        <f t="shared" si="59"/>
        <v>"beauty reviews  Bangalore",</v>
      </c>
      <c r="AJ59" s="7" t="str">
        <f t="shared" si="59"/>
        <v>"make-up artist Bangalore",</v>
      </c>
      <c r="AK59" s="7" t="str">
        <f t="shared" si="59"/>
        <v>"skincare journey Bangalore",</v>
      </c>
      <c r="AL59" s="7" t="str">
        <f t="shared" si="59"/>
        <v>"hair tutorial Bangalore",</v>
      </c>
      <c r="AM59" s="7" t="str">
        <f t="shared" si="59"/>
        <v>"barbershop Bangalore",</v>
      </c>
      <c r="AN59" s="7"/>
      <c r="AO59" s="7"/>
    </row>
    <row r="60">
      <c r="A60" s="4" t="s">
        <v>4872</v>
      </c>
      <c r="B60" s="7" t="str">
        <f t="shared" si="5"/>
        <v>"ootd Sydney",</v>
      </c>
      <c r="C60" s="7" t="str">
        <f t="shared" ref="C60:AM60" si="60">CONCATENATE(C$1," ",$A60)</f>
        <v>"street style Sydney",</v>
      </c>
      <c r="D60" s="7" t="str">
        <f t="shared" si="60"/>
        <v>"skincare Sydney",</v>
      </c>
      <c r="E60" s="7" t="str">
        <f t="shared" si="60"/>
        <v>"makeup Sydney",</v>
      </c>
      <c r="F60" s="7" t="str">
        <f t="shared" si="60"/>
        <v>"nails Sydney",</v>
      </c>
      <c r="G60" s="7" t="str">
        <f t="shared" si="60"/>
        <v>"curly hair Sydney",</v>
      </c>
      <c r="H60" s="7" t="str">
        <f t="shared" si="60"/>
        <v>"thrift Sydney",</v>
      </c>
      <c r="I60" s="7" t="str">
        <f t="shared" si="60"/>
        <v>"streetwear Sydney",</v>
      </c>
      <c r="J60" s="7" t="str">
        <f t="shared" si="60"/>
        <v>"luxury Sydney",</v>
      </c>
      <c r="K60" s="7" t="str">
        <f t="shared" si="60"/>
        <v>"handbags Sydney",</v>
      </c>
      <c r="L60" s="7" t="str">
        <f t="shared" si="60"/>
        <v>"sneakers Sydney",</v>
      </c>
      <c r="M60" s="7" t="str">
        <f t="shared" si="60"/>
        <v>"high heels Sydney",</v>
      </c>
      <c r="N60" s="7" t="str">
        <f t="shared" si="60"/>
        <v>"haute-couture Sydney",</v>
      </c>
      <c r="O60" s="7" t="str">
        <f t="shared" si="60"/>
        <v>"diyfashion Sydney",</v>
      </c>
      <c r="P60" s="7" t="str">
        <f t="shared" si="60"/>
        <v>"accessories Sydney",</v>
      </c>
      <c r="Q60" s="7" t="str">
        <f t="shared" si="60"/>
        <v>"menswear Sydney",</v>
      </c>
      <c r="R60" s="7" t="str">
        <f t="shared" si="60"/>
        <v>"womenswear Sydney",</v>
      </c>
      <c r="S60" s="7" t="str">
        <f t="shared" si="60"/>
        <v>"moda Sydney",</v>
      </c>
      <c r="T60" s="7" t="str">
        <f t="shared" si="60"/>
        <v>"hairstyle Sydney",</v>
      </c>
      <c r="U60" s="7" t="str">
        <f t="shared" si="60"/>
        <v>"perfume Sydney",</v>
      </c>
      <c r="V60" s="7" t="str">
        <f t="shared" si="60"/>
        <v>"cosmetiques Sydney",</v>
      </c>
      <c r="W60" s="7" t="str">
        <f t="shared" si="60"/>
        <v>"beauty routine Sydney",</v>
      </c>
      <c r="X60" s="7" t="str">
        <f t="shared" si="60"/>
        <v>"natural beauty Sydney",</v>
      </c>
      <c r="Y60" s="7" t="str">
        <f t="shared" si="60"/>
        <v>"organic beauty Sydney",</v>
      </c>
      <c r="Z60" s="7" t="str">
        <f t="shared" si="60"/>
        <v>"sustainable fashion Sydney",</v>
      </c>
      <c r="AA60" s="7" t="str">
        <f t="shared" si="60"/>
        <v>"fashion hacks Sydney",</v>
      </c>
      <c r="AB60" s="7" t="str">
        <f t="shared" si="60"/>
        <v>"capsule wardrobe Sydney",</v>
      </c>
      <c r="AC60" s="7" t="str">
        <f t="shared" si="60"/>
        <v>"fashion trends Sydney",</v>
      </c>
      <c r="AD60" s="7" t="str">
        <f t="shared" si="60"/>
        <v>"minimalist fashion Sydney",</v>
      </c>
      <c r="AE60" s="7" t="str">
        <f t="shared" si="60"/>
        <v>"beauty hacks Sydney",</v>
      </c>
      <c r="AF60" s="7" t="str">
        <f t="shared" si="60"/>
        <v>"hair routines Sydney",</v>
      </c>
      <c r="AG60" s="7" t="str">
        <f t="shared" si="60"/>
        <v>"empties Sydney",</v>
      </c>
      <c r="AH60" s="7" t="str">
        <f t="shared" si="60"/>
        <v>"product reviews Sydney",</v>
      </c>
      <c r="AI60" s="7" t="str">
        <f t="shared" si="60"/>
        <v>"beauty reviews  Sydney",</v>
      </c>
      <c r="AJ60" s="7" t="str">
        <f t="shared" si="60"/>
        <v>"make-up artist Sydney",</v>
      </c>
      <c r="AK60" s="7" t="str">
        <f t="shared" si="60"/>
        <v>"skincare journey Sydney",</v>
      </c>
      <c r="AL60" s="7" t="str">
        <f t="shared" si="60"/>
        <v>"hair tutorial Sydney",</v>
      </c>
      <c r="AM60" s="7" t="str">
        <f t="shared" si="60"/>
        <v>"barbershop Sydney",</v>
      </c>
      <c r="AN60" s="7"/>
      <c r="AO60" s="7"/>
    </row>
    <row r="61">
      <c r="A61" s="4" t="s">
        <v>4873</v>
      </c>
      <c r="B61" s="7" t="str">
        <f t="shared" si="5"/>
        <v>"ootd Melbourne",</v>
      </c>
      <c r="C61" s="7" t="str">
        <f t="shared" ref="C61:AM61" si="61">CONCATENATE(C$1," ",$A61)</f>
        <v>"street style Melbourne",</v>
      </c>
      <c r="D61" s="7" t="str">
        <f t="shared" si="61"/>
        <v>"skincare Melbourne",</v>
      </c>
      <c r="E61" s="7" t="str">
        <f t="shared" si="61"/>
        <v>"makeup Melbourne",</v>
      </c>
      <c r="F61" s="7" t="str">
        <f t="shared" si="61"/>
        <v>"nails Melbourne",</v>
      </c>
      <c r="G61" s="7" t="str">
        <f t="shared" si="61"/>
        <v>"curly hair Melbourne",</v>
      </c>
      <c r="H61" s="7" t="str">
        <f t="shared" si="61"/>
        <v>"thrift Melbourne",</v>
      </c>
      <c r="I61" s="7" t="str">
        <f t="shared" si="61"/>
        <v>"streetwear Melbourne",</v>
      </c>
      <c r="J61" s="7" t="str">
        <f t="shared" si="61"/>
        <v>"luxury Melbourne",</v>
      </c>
      <c r="K61" s="7" t="str">
        <f t="shared" si="61"/>
        <v>"handbags Melbourne",</v>
      </c>
      <c r="L61" s="7" t="str">
        <f t="shared" si="61"/>
        <v>"sneakers Melbourne",</v>
      </c>
      <c r="M61" s="7" t="str">
        <f t="shared" si="61"/>
        <v>"high heels Melbourne",</v>
      </c>
      <c r="N61" s="7" t="str">
        <f t="shared" si="61"/>
        <v>"haute-couture Melbourne",</v>
      </c>
      <c r="O61" s="7" t="str">
        <f t="shared" si="61"/>
        <v>"diyfashion Melbourne",</v>
      </c>
      <c r="P61" s="7" t="str">
        <f t="shared" si="61"/>
        <v>"accessories Melbourne",</v>
      </c>
      <c r="Q61" s="7" t="str">
        <f t="shared" si="61"/>
        <v>"menswear Melbourne",</v>
      </c>
      <c r="R61" s="7" t="str">
        <f t="shared" si="61"/>
        <v>"womenswear Melbourne",</v>
      </c>
      <c r="S61" s="7" t="str">
        <f t="shared" si="61"/>
        <v>"moda Melbourne",</v>
      </c>
      <c r="T61" s="7" t="str">
        <f t="shared" si="61"/>
        <v>"hairstyle Melbourne",</v>
      </c>
      <c r="U61" s="7" t="str">
        <f t="shared" si="61"/>
        <v>"perfume Melbourne",</v>
      </c>
      <c r="V61" s="7" t="str">
        <f t="shared" si="61"/>
        <v>"cosmetiques Melbourne",</v>
      </c>
      <c r="W61" s="7" t="str">
        <f t="shared" si="61"/>
        <v>"beauty routine Melbourne",</v>
      </c>
      <c r="X61" s="7" t="str">
        <f t="shared" si="61"/>
        <v>"natural beauty Melbourne",</v>
      </c>
      <c r="Y61" s="7" t="str">
        <f t="shared" si="61"/>
        <v>"organic beauty Melbourne",</v>
      </c>
      <c r="Z61" s="7" t="str">
        <f t="shared" si="61"/>
        <v>"sustainable fashion Melbourne",</v>
      </c>
      <c r="AA61" s="7" t="str">
        <f t="shared" si="61"/>
        <v>"fashion hacks Melbourne",</v>
      </c>
      <c r="AB61" s="7" t="str">
        <f t="shared" si="61"/>
        <v>"capsule wardrobe Melbourne",</v>
      </c>
      <c r="AC61" s="7" t="str">
        <f t="shared" si="61"/>
        <v>"fashion trends Melbourne",</v>
      </c>
      <c r="AD61" s="7" t="str">
        <f t="shared" si="61"/>
        <v>"minimalist fashion Melbourne",</v>
      </c>
      <c r="AE61" s="7" t="str">
        <f t="shared" si="61"/>
        <v>"beauty hacks Melbourne",</v>
      </c>
      <c r="AF61" s="7" t="str">
        <f t="shared" si="61"/>
        <v>"hair routines Melbourne",</v>
      </c>
      <c r="AG61" s="7" t="str">
        <f t="shared" si="61"/>
        <v>"empties Melbourne",</v>
      </c>
      <c r="AH61" s="7" t="str">
        <f t="shared" si="61"/>
        <v>"product reviews Melbourne",</v>
      </c>
      <c r="AI61" s="7" t="str">
        <f t="shared" si="61"/>
        <v>"beauty reviews  Melbourne",</v>
      </c>
      <c r="AJ61" s="7" t="str">
        <f t="shared" si="61"/>
        <v>"make-up artist Melbourne",</v>
      </c>
      <c r="AK61" s="7" t="str">
        <f t="shared" si="61"/>
        <v>"skincare journey Melbourne",</v>
      </c>
      <c r="AL61" s="7" t="str">
        <f t="shared" si="61"/>
        <v>"hair tutorial Melbourne",</v>
      </c>
      <c r="AM61" s="7" t="str">
        <f t="shared" si="61"/>
        <v>"barbershop Melbourne",</v>
      </c>
      <c r="AN61" s="7"/>
      <c r="AO61" s="7"/>
    </row>
    <row r="62">
      <c r="A62" s="4" t="s">
        <v>4874</v>
      </c>
      <c r="B62" s="7" t="str">
        <f t="shared" si="5"/>
        <v>"ootd Bali",</v>
      </c>
      <c r="C62" s="7" t="str">
        <f t="shared" ref="C62:AM62" si="62">CONCATENATE(C$1," ",$A62)</f>
        <v>"street style Bali",</v>
      </c>
      <c r="D62" s="7" t="str">
        <f t="shared" si="62"/>
        <v>"skincare Bali",</v>
      </c>
      <c r="E62" s="7" t="str">
        <f t="shared" si="62"/>
        <v>"makeup Bali",</v>
      </c>
      <c r="F62" s="7" t="str">
        <f t="shared" si="62"/>
        <v>"nails Bali",</v>
      </c>
      <c r="G62" s="7" t="str">
        <f t="shared" si="62"/>
        <v>"curly hair Bali",</v>
      </c>
      <c r="H62" s="7" t="str">
        <f t="shared" si="62"/>
        <v>"thrift Bali",</v>
      </c>
      <c r="I62" s="7" t="str">
        <f t="shared" si="62"/>
        <v>"streetwear Bali",</v>
      </c>
      <c r="J62" s="7" t="str">
        <f t="shared" si="62"/>
        <v>"luxury Bali",</v>
      </c>
      <c r="K62" s="7" t="str">
        <f t="shared" si="62"/>
        <v>"handbags Bali",</v>
      </c>
      <c r="L62" s="7" t="str">
        <f t="shared" si="62"/>
        <v>"sneakers Bali",</v>
      </c>
      <c r="M62" s="7" t="str">
        <f t="shared" si="62"/>
        <v>"high heels Bali",</v>
      </c>
      <c r="N62" s="7" t="str">
        <f t="shared" si="62"/>
        <v>"haute-couture Bali",</v>
      </c>
      <c r="O62" s="7" t="str">
        <f t="shared" si="62"/>
        <v>"diyfashion Bali",</v>
      </c>
      <c r="P62" s="7" t="str">
        <f t="shared" si="62"/>
        <v>"accessories Bali",</v>
      </c>
      <c r="Q62" s="7" t="str">
        <f t="shared" si="62"/>
        <v>"menswear Bali",</v>
      </c>
      <c r="R62" s="7" t="str">
        <f t="shared" si="62"/>
        <v>"womenswear Bali",</v>
      </c>
      <c r="S62" s="7" t="str">
        <f t="shared" si="62"/>
        <v>"moda Bali",</v>
      </c>
      <c r="T62" s="7" t="str">
        <f t="shared" si="62"/>
        <v>"hairstyle Bali",</v>
      </c>
      <c r="U62" s="7" t="str">
        <f t="shared" si="62"/>
        <v>"perfume Bali",</v>
      </c>
      <c r="V62" s="7" t="str">
        <f t="shared" si="62"/>
        <v>"cosmetiques Bali",</v>
      </c>
      <c r="W62" s="7" t="str">
        <f t="shared" si="62"/>
        <v>"beauty routine Bali",</v>
      </c>
      <c r="X62" s="7" t="str">
        <f t="shared" si="62"/>
        <v>"natural beauty Bali",</v>
      </c>
      <c r="Y62" s="7" t="str">
        <f t="shared" si="62"/>
        <v>"organic beauty Bali",</v>
      </c>
      <c r="Z62" s="7" t="str">
        <f t="shared" si="62"/>
        <v>"sustainable fashion Bali",</v>
      </c>
      <c r="AA62" s="7" t="str">
        <f t="shared" si="62"/>
        <v>"fashion hacks Bali",</v>
      </c>
      <c r="AB62" s="7" t="str">
        <f t="shared" si="62"/>
        <v>"capsule wardrobe Bali",</v>
      </c>
      <c r="AC62" s="7" t="str">
        <f t="shared" si="62"/>
        <v>"fashion trends Bali",</v>
      </c>
      <c r="AD62" s="7" t="str">
        <f t="shared" si="62"/>
        <v>"minimalist fashion Bali",</v>
      </c>
      <c r="AE62" s="7" t="str">
        <f t="shared" si="62"/>
        <v>"beauty hacks Bali",</v>
      </c>
      <c r="AF62" s="7" t="str">
        <f t="shared" si="62"/>
        <v>"hair routines Bali",</v>
      </c>
      <c r="AG62" s="7" t="str">
        <f t="shared" si="62"/>
        <v>"empties Bali",</v>
      </c>
      <c r="AH62" s="7" t="str">
        <f t="shared" si="62"/>
        <v>"product reviews Bali",</v>
      </c>
      <c r="AI62" s="7" t="str">
        <f t="shared" si="62"/>
        <v>"beauty reviews  Bali",</v>
      </c>
      <c r="AJ62" s="7" t="str">
        <f t="shared" si="62"/>
        <v>"make-up artist Bali",</v>
      </c>
      <c r="AK62" s="7" t="str">
        <f t="shared" si="62"/>
        <v>"skincare journey Bali",</v>
      </c>
      <c r="AL62" s="7" t="str">
        <f t="shared" si="62"/>
        <v>"hair tutorial Bali",</v>
      </c>
      <c r="AM62" s="7" t="str">
        <f t="shared" si="62"/>
        <v>"barbershop Bali",</v>
      </c>
      <c r="AN62" s="7"/>
      <c r="AO62" s="7"/>
    </row>
    <row r="63">
      <c r="A63" s="4" t="s">
        <v>4875</v>
      </c>
      <c r="B63" s="7" t="str">
        <f t="shared" si="5"/>
        <v>"ootd Ibiza",</v>
      </c>
      <c r="C63" s="7" t="str">
        <f t="shared" ref="C63:AM63" si="63">CONCATENATE(C$1," ",$A63)</f>
        <v>"street style Ibiza",</v>
      </c>
      <c r="D63" s="7" t="str">
        <f t="shared" si="63"/>
        <v>"skincare Ibiza",</v>
      </c>
      <c r="E63" s="7" t="str">
        <f t="shared" si="63"/>
        <v>"makeup Ibiza",</v>
      </c>
      <c r="F63" s="7" t="str">
        <f t="shared" si="63"/>
        <v>"nails Ibiza",</v>
      </c>
      <c r="G63" s="7" t="str">
        <f t="shared" si="63"/>
        <v>"curly hair Ibiza",</v>
      </c>
      <c r="H63" s="7" t="str">
        <f t="shared" si="63"/>
        <v>"thrift Ibiza",</v>
      </c>
      <c r="I63" s="7" t="str">
        <f t="shared" si="63"/>
        <v>"streetwear Ibiza",</v>
      </c>
      <c r="J63" s="7" t="str">
        <f t="shared" si="63"/>
        <v>"luxury Ibiza",</v>
      </c>
      <c r="K63" s="7" t="str">
        <f t="shared" si="63"/>
        <v>"handbags Ibiza",</v>
      </c>
      <c r="L63" s="7" t="str">
        <f t="shared" si="63"/>
        <v>"sneakers Ibiza",</v>
      </c>
      <c r="M63" s="7" t="str">
        <f t="shared" si="63"/>
        <v>"high heels Ibiza",</v>
      </c>
      <c r="N63" s="7" t="str">
        <f t="shared" si="63"/>
        <v>"haute-couture Ibiza",</v>
      </c>
      <c r="O63" s="7" t="str">
        <f t="shared" si="63"/>
        <v>"diyfashion Ibiza",</v>
      </c>
      <c r="P63" s="7" t="str">
        <f t="shared" si="63"/>
        <v>"accessories Ibiza",</v>
      </c>
      <c r="Q63" s="7" t="str">
        <f t="shared" si="63"/>
        <v>"menswear Ibiza",</v>
      </c>
      <c r="R63" s="7" t="str">
        <f t="shared" si="63"/>
        <v>"womenswear Ibiza",</v>
      </c>
      <c r="S63" s="7" t="str">
        <f t="shared" si="63"/>
        <v>"moda Ibiza",</v>
      </c>
      <c r="T63" s="7" t="str">
        <f t="shared" si="63"/>
        <v>"hairstyle Ibiza",</v>
      </c>
      <c r="U63" s="7" t="str">
        <f t="shared" si="63"/>
        <v>"perfume Ibiza",</v>
      </c>
      <c r="V63" s="7" t="str">
        <f t="shared" si="63"/>
        <v>"cosmetiques Ibiza",</v>
      </c>
      <c r="W63" s="7" t="str">
        <f t="shared" si="63"/>
        <v>"beauty routine Ibiza",</v>
      </c>
      <c r="X63" s="7" t="str">
        <f t="shared" si="63"/>
        <v>"natural beauty Ibiza",</v>
      </c>
      <c r="Y63" s="7" t="str">
        <f t="shared" si="63"/>
        <v>"organic beauty Ibiza",</v>
      </c>
      <c r="Z63" s="7" t="str">
        <f t="shared" si="63"/>
        <v>"sustainable fashion Ibiza",</v>
      </c>
      <c r="AA63" s="7" t="str">
        <f t="shared" si="63"/>
        <v>"fashion hacks Ibiza",</v>
      </c>
      <c r="AB63" s="7" t="str">
        <f t="shared" si="63"/>
        <v>"capsule wardrobe Ibiza",</v>
      </c>
      <c r="AC63" s="7" t="str">
        <f t="shared" si="63"/>
        <v>"fashion trends Ibiza",</v>
      </c>
      <c r="AD63" s="7" t="str">
        <f t="shared" si="63"/>
        <v>"minimalist fashion Ibiza",</v>
      </c>
      <c r="AE63" s="7" t="str">
        <f t="shared" si="63"/>
        <v>"beauty hacks Ibiza",</v>
      </c>
      <c r="AF63" s="7" t="str">
        <f t="shared" si="63"/>
        <v>"hair routines Ibiza",</v>
      </c>
      <c r="AG63" s="7" t="str">
        <f t="shared" si="63"/>
        <v>"empties Ibiza",</v>
      </c>
      <c r="AH63" s="7" t="str">
        <f t="shared" si="63"/>
        <v>"product reviews Ibiza",</v>
      </c>
      <c r="AI63" s="7" t="str">
        <f t="shared" si="63"/>
        <v>"beauty reviews  Ibiza",</v>
      </c>
      <c r="AJ63" s="7" t="str">
        <f t="shared" si="63"/>
        <v>"make-up artist Ibiza",</v>
      </c>
      <c r="AK63" s="7" t="str">
        <f t="shared" si="63"/>
        <v>"skincare journey Ibiza",</v>
      </c>
      <c r="AL63" s="7" t="str">
        <f t="shared" si="63"/>
        <v>"hair tutorial Ibiza",</v>
      </c>
      <c r="AM63" s="7" t="str">
        <f t="shared" si="63"/>
        <v>"barbershop Ibiza",</v>
      </c>
      <c r="AN63" s="7"/>
      <c r="AO63" s="7"/>
    </row>
    <row r="64">
      <c r="A64" s="4" t="s">
        <v>4876</v>
      </c>
      <c r="B64" s="7" t="str">
        <f t="shared" si="5"/>
        <v>"ootd Mallorca",</v>
      </c>
      <c r="C64" s="7" t="str">
        <f t="shared" ref="C64:AM64" si="64">CONCATENATE(C$1," ",$A64)</f>
        <v>"street style Mallorca",</v>
      </c>
      <c r="D64" s="7" t="str">
        <f t="shared" si="64"/>
        <v>"skincare Mallorca",</v>
      </c>
      <c r="E64" s="7" t="str">
        <f t="shared" si="64"/>
        <v>"makeup Mallorca",</v>
      </c>
      <c r="F64" s="7" t="str">
        <f t="shared" si="64"/>
        <v>"nails Mallorca",</v>
      </c>
      <c r="G64" s="7" t="str">
        <f t="shared" si="64"/>
        <v>"curly hair Mallorca",</v>
      </c>
      <c r="H64" s="7" t="str">
        <f t="shared" si="64"/>
        <v>"thrift Mallorca",</v>
      </c>
      <c r="I64" s="7" t="str">
        <f t="shared" si="64"/>
        <v>"streetwear Mallorca",</v>
      </c>
      <c r="J64" s="7" t="str">
        <f t="shared" si="64"/>
        <v>"luxury Mallorca",</v>
      </c>
      <c r="K64" s="7" t="str">
        <f t="shared" si="64"/>
        <v>"handbags Mallorca",</v>
      </c>
      <c r="L64" s="7" t="str">
        <f t="shared" si="64"/>
        <v>"sneakers Mallorca",</v>
      </c>
      <c r="M64" s="7" t="str">
        <f t="shared" si="64"/>
        <v>"high heels Mallorca",</v>
      </c>
      <c r="N64" s="7" t="str">
        <f t="shared" si="64"/>
        <v>"haute-couture Mallorca",</v>
      </c>
      <c r="O64" s="7" t="str">
        <f t="shared" si="64"/>
        <v>"diyfashion Mallorca",</v>
      </c>
      <c r="P64" s="7" t="str">
        <f t="shared" si="64"/>
        <v>"accessories Mallorca",</v>
      </c>
      <c r="Q64" s="7" t="str">
        <f t="shared" si="64"/>
        <v>"menswear Mallorca",</v>
      </c>
      <c r="R64" s="7" t="str">
        <f t="shared" si="64"/>
        <v>"womenswear Mallorca",</v>
      </c>
      <c r="S64" s="7" t="str">
        <f t="shared" si="64"/>
        <v>"moda Mallorca",</v>
      </c>
      <c r="T64" s="7" t="str">
        <f t="shared" si="64"/>
        <v>"hairstyle Mallorca",</v>
      </c>
      <c r="U64" s="7" t="str">
        <f t="shared" si="64"/>
        <v>"perfume Mallorca",</v>
      </c>
      <c r="V64" s="7" t="str">
        <f t="shared" si="64"/>
        <v>"cosmetiques Mallorca",</v>
      </c>
      <c r="W64" s="7" t="str">
        <f t="shared" si="64"/>
        <v>"beauty routine Mallorca",</v>
      </c>
      <c r="X64" s="7" t="str">
        <f t="shared" si="64"/>
        <v>"natural beauty Mallorca",</v>
      </c>
      <c r="Y64" s="7" t="str">
        <f t="shared" si="64"/>
        <v>"organic beauty Mallorca",</v>
      </c>
      <c r="Z64" s="7" t="str">
        <f t="shared" si="64"/>
        <v>"sustainable fashion Mallorca",</v>
      </c>
      <c r="AA64" s="7" t="str">
        <f t="shared" si="64"/>
        <v>"fashion hacks Mallorca",</v>
      </c>
      <c r="AB64" s="7" t="str">
        <f t="shared" si="64"/>
        <v>"capsule wardrobe Mallorca",</v>
      </c>
      <c r="AC64" s="7" t="str">
        <f t="shared" si="64"/>
        <v>"fashion trends Mallorca",</v>
      </c>
      <c r="AD64" s="7" t="str">
        <f t="shared" si="64"/>
        <v>"minimalist fashion Mallorca",</v>
      </c>
      <c r="AE64" s="7" t="str">
        <f t="shared" si="64"/>
        <v>"beauty hacks Mallorca",</v>
      </c>
      <c r="AF64" s="7" t="str">
        <f t="shared" si="64"/>
        <v>"hair routines Mallorca",</v>
      </c>
      <c r="AG64" s="7" t="str">
        <f t="shared" si="64"/>
        <v>"empties Mallorca",</v>
      </c>
      <c r="AH64" s="7" t="str">
        <f t="shared" si="64"/>
        <v>"product reviews Mallorca",</v>
      </c>
      <c r="AI64" s="7" t="str">
        <f t="shared" si="64"/>
        <v>"beauty reviews  Mallorca",</v>
      </c>
      <c r="AJ64" s="7" t="str">
        <f t="shared" si="64"/>
        <v>"make-up artist Mallorca",</v>
      </c>
      <c r="AK64" s="7" t="str">
        <f t="shared" si="64"/>
        <v>"skincare journey Mallorca",</v>
      </c>
      <c r="AL64" s="7" t="str">
        <f t="shared" si="64"/>
        <v>"hair tutorial Mallorca",</v>
      </c>
      <c r="AM64" s="7" t="str">
        <f t="shared" si="64"/>
        <v>"barbershop Mallorca",</v>
      </c>
      <c r="AN64" s="7"/>
      <c r="AO64" s="7"/>
    </row>
    <row r="65">
      <c r="A65" s="4" t="s">
        <v>4877</v>
      </c>
      <c r="B65" s="7" t="str">
        <f t="shared" si="5"/>
        <v>"ootd Mykonos",</v>
      </c>
      <c r="C65" s="7" t="str">
        <f t="shared" ref="C65:AM65" si="65">CONCATENATE(C$1," ",$A65)</f>
        <v>"street style Mykonos",</v>
      </c>
      <c r="D65" s="7" t="str">
        <f t="shared" si="65"/>
        <v>"skincare Mykonos",</v>
      </c>
      <c r="E65" s="7" t="str">
        <f t="shared" si="65"/>
        <v>"makeup Mykonos",</v>
      </c>
      <c r="F65" s="7" t="str">
        <f t="shared" si="65"/>
        <v>"nails Mykonos",</v>
      </c>
      <c r="G65" s="7" t="str">
        <f t="shared" si="65"/>
        <v>"curly hair Mykonos",</v>
      </c>
      <c r="H65" s="7" t="str">
        <f t="shared" si="65"/>
        <v>"thrift Mykonos",</v>
      </c>
      <c r="I65" s="7" t="str">
        <f t="shared" si="65"/>
        <v>"streetwear Mykonos",</v>
      </c>
      <c r="J65" s="7" t="str">
        <f t="shared" si="65"/>
        <v>"luxury Mykonos",</v>
      </c>
      <c r="K65" s="7" t="str">
        <f t="shared" si="65"/>
        <v>"handbags Mykonos",</v>
      </c>
      <c r="L65" s="7" t="str">
        <f t="shared" si="65"/>
        <v>"sneakers Mykonos",</v>
      </c>
      <c r="M65" s="7" t="str">
        <f t="shared" si="65"/>
        <v>"high heels Mykonos",</v>
      </c>
      <c r="N65" s="7" t="str">
        <f t="shared" si="65"/>
        <v>"haute-couture Mykonos",</v>
      </c>
      <c r="O65" s="7" t="str">
        <f t="shared" si="65"/>
        <v>"diyfashion Mykonos",</v>
      </c>
      <c r="P65" s="7" t="str">
        <f t="shared" si="65"/>
        <v>"accessories Mykonos",</v>
      </c>
      <c r="Q65" s="7" t="str">
        <f t="shared" si="65"/>
        <v>"menswear Mykonos",</v>
      </c>
      <c r="R65" s="7" t="str">
        <f t="shared" si="65"/>
        <v>"womenswear Mykonos",</v>
      </c>
      <c r="S65" s="7" t="str">
        <f t="shared" si="65"/>
        <v>"moda Mykonos",</v>
      </c>
      <c r="T65" s="7" t="str">
        <f t="shared" si="65"/>
        <v>"hairstyle Mykonos",</v>
      </c>
      <c r="U65" s="7" t="str">
        <f t="shared" si="65"/>
        <v>"perfume Mykonos",</v>
      </c>
      <c r="V65" s="7" t="str">
        <f t="shared" si="65"/>
        <v>"cosmetiques Mykonos",</v>
      </c>
      <c r="W65" s="7" t="str">
        <f t="shared" si="65"/>
        <v>"beauty routine Mykonos",</v>
      </c>
      <c r="X65" s="7" t="str">
        <f t="shared" si="65"/>
        <v>"natural beauty Mykonos",</v>
      </c>
      <c r="Y65" s="7" t="str">
        <f t="shared" si="65"/>
        <v>"organic beauty Mykonos",</v>
      </c>
      <c r="Z65" s="7" t="str">
        <f t="shared" si="65"/>
        <v>"sustainable fashion Mykonos",</v>
      </c>
      <c r="AA65" s="7" t="str">
        <f t="shared" si="65"/>
        <v>"fashion hacks Mykonos",</v>
      </c>
      <c r="AB65" s="7" t="str">
        <f t="shared" si="65"/>
        <v>"capsule wardrobe Mykonos",</v>
      </c>
      <c r="AC65" s="7" t="str">
        <f t="shared" si="65"/>
        <v>"fashion trends Mykonos",</v>
      </c>
      <c r="AD65" s="7" t="str">
        <f t="shared" si="65"/>
        <v>"minimalist fashion Mykonos",</v>
      </c>
      <c r="AE65" s="7" t="str">
        <f t="shared" si="65"/>
        <v>"beauty hacks Mykonos",</v>
      </c>
      <c r="AF65" s="7" t="str">
        <f t="shared" si="65"/>
        <v>"hair routines Mykonos",</v>
      </c>
      <c r="AG65" s="7" t="str">
        <f t="shared" si="65"/>
        <v>"empties Mykonos",</v>
      </c>
      <c r="AH65" s="7" t="str">
        <f t="shared" si="65"/>
        <v>"product reviews Mykonos",</v>
      </c>
      <c r="AI65" s="7" t="str">
        <f t="shared" si="65"/>
        <v>"beauty reviews  Mykonos",</v>
      </c>
      <c r="AJ65" s="7" t="str">
        <f t="shared" si="65"/>
        <v>"make-up artist Mykonos",</v>
      </c>
      <c r="AK65" s="7" t="str">
        <f t="shared" si="65"/>
        <v>"skincare journey Mykonos",</v>
      </c>
      <c r="AL65" s="7" t="str">
        <f t="shared" si="65"/>
        <v>"hair tutorial Mykonos",</v>
      </c>
      <c r="AM65" s="7" t="str">
        <f t="shared" si="65"/>
        <v>"barbershop Mykonos",</v>
      </c>
      <c r="AN65" s="7"/>
      <c r="AO65" s="7"/>
    </row>
    <row r="66">
      <c r="A66" s="4" t="s">
        <v>4878</v>
      </c>
      <c r="B66" s="7" t="str">
        <f t="shared" si="5"/>
        <v>"ootd Santorini",</v>
      </c>
      <c r="C66" s="7" t="str">
        <f t="shared" ref="C66:AM66" si="66">CONCATENATE(C$1," ",$A66)</f>
        <v>"street style Santorini",</v>
      </c>
      <c r="D66" s="7" t="str">
        <f t="shared" si="66"/>
        <v>"skincare Santorini",</v>
      </c>
      <c r="E66" s="7" t="str">
        <f t="shared" si="66"/>
        <v>"makeup Santorini",</v>
      </c>
      <c r="F66" s="7" t="str">
        <f t="shared" si="66"/>
        <v>"nails Santorini",</v>
      </c>
      <c r="G66" s="7" t="str">
        <f t="shared" si="66"/>
        <v>"curly hair Santorini",</v>
      </c>
      <c r="H66" s="7" t="str">
        <f t="shared" si="66"/>
        <v>"thrift Santorini",</v>
      </c>
      <c r="I66" s="7" t="str">
        <f t="shared" si="66"/>
        <v>"streetwear Santorini",</v>
      </c>
      <c r="J66" s="7" t="str">
        <f t="shared" si="66"/>
        <v>"luxury Santorini",</v>
      </c>
      <c r="K66" s="7" t="str">
        <f t="shared" si="66"/>
        <v>"handbags Santorini",</v>
      </c>
      <c r="L66" s="7" t="str">
        <f t="shared" si="66"/>
        <v>"sneakers Santorini",</v>
      </c>
      <c r="M66" s="7" t="str">
        <f t="shared" si="66"/>
        <v>"high heels Santorini",</v>
      </c>
      <c r="N66" s="7" t="str">
        <f t="shared" si="66"/>
        <v>"haute-couture Santorini",</v>
      </c>
      <c r="O66" s="7" t="str">
        <f t="shared" si="66"/>
        <v>"diyfashion Santorini",</v>
      </c>
      <c r="P66" s="7" t="str">
        <f t="shared" si="66"/>
        <v>"accessories Santorini",</v>
      </c>
      <c r="Q66" s="7" t="str">
        <f t="shared" si="66"/>
        <v>"menswear Santorini",</v>
      </c>
      <c r="R66" s="7" t="str">
        <f t="shared" si="66"/>
        <v>"womenswear Santorini",</v>
      </c>
      <c r="S66" s="7" t="str">
        <f t="shared" si="66"/>
        <v>"moda Santorini",</v>
      </c>
      <c r="T66" s="7" t="str">
        <f t="shared" si="66"/>
        <v>"hairstyle Santorini",</v>
      </c>
      <c r="U66" s="7" t="str">
        <f t="shared" si="66"/>
        <v>"perfume Santorini",</v>
      </c>
      <c r="V66" s="7" t="str">
        <f t="shared" si="66"/>
        <v>"cosmetiques Santorini",</v>
      </c>
      <c r="W66" s="7" t="str">
        <f t="shared" si="66"/>
        <v>"beauty routine Santorini",</v>
      </c>
      <c r="X66" s="7" t="str">
        <f t="shared" si="66"/>
        <v>"natural beauty Santorini",</v>
      </c>
      <c r="Y66" s="7" t="str">
        <f t="shared" si="66"/>
        <v>"organic beauty Santorini",</v>
      </c>
      <c r="Z66" s="7" t="str">
        <f t="shared" si="66"/>
        <v>"sustainable fashion Santorini",</v>
      </c>
      <c r="AA66" s="7" t="str">
        <f t="shared" si="66"/>
        <v>"fashion hacks Santorini",</v>
      </c>
      <c r="AB66" s="7" t="str">
        <f t="shared" si="66"/>
        <v>"capsule wardrobe Santorini",</v>
      </c>
      <c r="AC66" s="7" t="str">
        <f t="shared" si="66"/>
        <v>"fashion trends Santorini",</v>
      </c>
      <c r="AD66" s="7" t="str">
        <f t="shared" si="66"/>
        <v>"minimalist fashion Santorini",</v>
      </c>
      <c r="AE66" s="7" t="str">
        <f t="shared" si="66"/>
        <v>"beauty hacks Santorini",</v>
      </c>
      <c r="AF66" s="7" t="str">
        <f t="shared" si="66"/>
        <v>"hair routines Santorini",</v>
      </c>
      <c r="AG66" s="7" t="str">
        <f t="shared" si="66"/>
        <v>"empties Santorini",</v>
      </c>
      <c r="AH66" s="7" t="str">
        <f t="shared" si="66"/>
        <v>"product reviews Santorini",</v>
      </c>
      <c r="AI66" s="7" t="str">
        <f t="shared" si="66"/>
        <v>"beauty reviews  Santorini",</v>
      </c>
      <c r="AJ66" s="7" t="str">
        <f t="shared" si="66"/>
        <v>"make-up artist Santorini",</v>
      </c>
      <c r="AK66" s="7" t="str">
        <f t="shared" si="66"/>
        <v>"skincare journey Santorini",</v>
      </c>
      <c r="AL66" s="7" t="str">
        <f t="shared" si="66"/>
        <v>"hair tutorial Santorini",</v>
      </c>
      <c r="AM66" s="7" t="str">
        <f t="shared" si="66"/>
        <v>"barbershop Santorini",</v>
      </c>
      <c r="AN66" s="7"/>
      <c r="AO66" s="7"/>
    </row>
    <row r="67">
      <c r="A67" s="4" t="s">
        <v>4879</v>
      </c>
      <c r="B67" s="7" t="str">
        <f t="shared" si="5"/>
        <v>"ootd Capri",</v>
      </c>
      <c r="C67" s="7" t="str">
        <f t="shared" ref="C67:AM67" si="67">CONCATENATE(C$1," ",$A67)</f>
        <v>"street style Capri",</v>
      </c>
      <c r="D67" s="7" t="str">
        <f t="shared" si="67"/>
        <v>"skincare Capri",</v>
      </c>
      <c r="E67" s="7" t="str">
        <f t="shared" si="67"/>
        <v>"makeup Capri",</v>
      </c>
      <c r="F67" s="7" t="str">
        <f t="shared" si="67"/>
        <v>"nails Capri",</v>
      </c>
      <c r="G67" s="7" t="str">
        <f t="shared" si="67"/>
        <v>"curly hair Capri",</v>
      </c>
      <c r="H67" s="7" t="str">
        <f t="shared" si="67"/>
        <v>"thrift Capri",</v>
      </c>
      <c r="I67" s="7" t="str">
        <f t="shared" si="67"/>
        <v>"streetwear Capri",</v>
      </c>
      <c r="J67" s="7" t="str">
        <f t="shared" si="67"/>
        <v>"luxury Capri",</v>
      </c>
      <c r="K67" s="7" t="str">
        <f t="shared" si="67"/>
        <v>"handbags Capri",</v>
      </c>
      <c r="L67" s="7" t="str">
        <f t="shared" si="67"/>
        <v>"sneakers Capri",</v>
      </c>
      <c r="M67" s="7" t="str">
        <f t="shared" si="67"/>
        <v>"high heels Capri",</v>
      </c>
      <c r="N67" s="7" t="str">
        <f t="shared" si="67"/>
        <v>"haute-couture Capri",</v>
      </c>
      <c r="O67" s="7" t="str">
        <f t="shared" si="67"/>
        <v>"diyfashion Capri",</v>
      </c>
      <c r="P67" s="7" t="str">
        <f t="shared" si="67"/>
        <v>"accessories Capri",</v>
      </c>
      <c r="Q67" s="7" t="str">
        <f t="shared" si="67"/>
        <v>"menswear Capri",</v>
      </c>
      <c r="R67" s="7" t="str">
        <f t="shared" si="67"/>
        <v>"womenswear Capri",</v>
      </c>
      <c r="S67" s="7" t="str">
        <f t="shared" si="67"/>
        <v>"moda Capri",</v>
      </c>
      <c r="T67" s="7" t="str">
        <f t="shared" si="67"/>
        <v>"hairstyle Capri",</v>
      </c>
      <c r="U67" s="7" t="str">
        <f t="shared" si="67"/>
        <v>"perfume Capri",</v>
      </c>
      <c r="V67" s="7" t="str">
        <f t="shared" si="67"/>
        <v>"cosmetiques Capri",</v>
      </c>
      <c r="W67" s="7" t="str">
        <f t="shared" si="67"/>
        <v>"beauty routine Capri",</v>
      </c>
      <c r="X67" s="7" t="str">
        <f t="shared" si="67"/>
        <v>"natural beauty Capri",</v>
      </c>
      <c r="Y67" s="7" t="str">
        <f t="shared" si="67"/>
        <v>"organic beauty Capri",</v>
      </c>
      <c r="Z67" s="7" t="str">
        <f t="shared" si="67"/>
        <v>"sustainable fashion Capri",</v>
      </c>
      <c r="AA67" s="7" t="str">
        <f t="shared" si="67"/>
        <v>"fashion hacks Capri",</v>
      </c>
      <c r="AB67" s="7" t="str">
        <f t="shared" si="67"/>
        <v>"capsule wardrobe Capri",</v>
      </c>
      <c r="AC67" s="7" t="str">
        <f t="shared" si="67"/>
        <v>"fashion trends Capri",</v>
      </c>
      <c r="AD67" s="7" t="str">
        <f t="shared" si="67"/>
        <v>"minimalist fashion Capri",</v>
      </c>
      <c r="AE67" s="7" t="str">
        <f t="shared" si="67"/>
        <v>"beauty hacks Capri",</v>
      </c>
      <c r="AF67" s="7" t="str">
        <f t="shared" si="67"/>
        <v>"hair routines Capri",</v>
      </c>
      <c r="AG67" s="7" t="str">
        <f t="shared" si="67"/>
        <v>"empties Capri",</v>
      </c>
      <c r="AH67" s="7" t="str">
        <f t="shared" si="67"/>
        <v>"product reviews Capri",</v>
      </c>
      <c r="AI67" s="7" t="str">
        <f t="shared" si="67"/>
        <v>"beauty reviews  Capri",</v>
      </c>
      <c r="AJ67" s="7" t="str">
        <f t="shared" si="67"/>
        <v>"make-up artist Capri",</v>
      </c>
      <c r="AK67" s="7" t="str">
        <f t="shared" si="67"/>
        <v>"skincare journey Capri",</v>
      </c>
      <c r="AL67" s="7" t="str">
        <f t="shared" si="67"/>
        <v>"hair tutorial Capri",</v>
      </c>
      <c r="AM67" s="7" t="str">
        <f t="shared" si="67"/>
        <v>"barbershop Capri",</v>
      </c>
      <c r="AN67" s="7"/>
      <c r="AO67" s="7"/>
    </row>
    <row r="68">
      <c r="A68" s="4" t="s">
        <v>4880</v>
      </c>
      <c r="B68" s="7" t="str">
        <f t="shared" si="5"/>
        <v>"ootd Sicily",</v>
      </c>
      <c r="C68" s="7" t="str">
        <f t="shared" ref="C68:AM68" si="68">CONCATENATE(C$1," ",$A68)</f>
        <v>"street style Sicily",</v>
      </c>
      <c r="D68" s="7" t="str">
        <f t="shared" si="68"/>
        <v>"skincare Sicily",</v>
      </c>
      <c r="E68" s="7" t="str">
        <f t="shared" si="68"/>
        <v>"makeup Sicily",</v>
      </c>
      <c r="F68" s="7" t="str">
        <f t="shared" si="68"/>
        <v>"nails Sicily",</v>
      </c>
      <c r="G68" s="7" t="str">
        <f t="shared" si="68"/>
        <v>"curly hair Sicily",</v>
      </c>
      <c r="H68" s="7" t="str">
        <f t="shared" si="68"/>
        <v>"thrift Sicily",</v>
      </c>
      <c r="I68" s="7" t="str">
        <f t="shared" si="68"/>
        <v>"streetwear Sicily",</v>
      </c>
      <c r="J68" s="7" t="str">
        <f t="shared" si="68"/>
        <v>"luxury Sicily",</v>
      </c>
      <c r="K68" s="7" t="str">
        <f t="shared" si="68"/>
        <v>"handbags Sicily",</v>
      </c>
      <c r="L68" s="7" t="str">
        <f t="shared" si="68"/>
        <v>"sneakers Sicily",</v>
      </c>
      <c r="M68" s="7" t="str">
        <f t="shared" si="68"/>
        <v>"high heels Sicily",</v>
      </c>
      <c r="N68" s="7" t="str">
        <f t="shared" si="68"/>
        <v>"haute-couture Sicily",</v>
      </c>
      <c r="O68" s="7" t="str">
        <f t="shared" si="68"/>
        <v>"diyfashion Sicily",</v>
      </c>
      <c r="P68" s="7" t="str">
        <f t="shared" si="68"/>
        <v>"accessories Sicily",</v>
      </c>
      <c r="Q68" s="7" t="str">
        <f t="shared" si="68"/>
        <v>"menswear Sicily",</v>
      </c>
      <c r="R68" s="7" t="str">
        <f t="shared" si="68"/>
        <v>"womenswear Sicily",</v>
      </c>
      <c r="S68" s="7" t="str">
        <f t="shared" si="68"/>
        <v>"moda Sicily",</v>
      </c>
      <c r="T68" s="7" t="str">
        <f t="shared" si="68"/>
        <v>"hairstyle Sicily",</v>
      </c>
      <c r="U68" s="7" t="str">
        <f t="shared" si="68"/>
        <v>"perfume Sicily",</v>
      </c>
      <c r="V68" s="7" t="str">
        <f t="shared" si="68"/>
        <v>"cosmetiques Sicily",</v>
      </c>
      <c r="W68" s="7" t="str">
        <f t="shared" si="68"/>
        <v>"beauty routine Sicily",</v>
      </c>
      <c r="X68" s="7" t="str">
        <f t="shared" si="68"/>
        <v>"natural beauty Sicily",</v>
      </c>
      <c r="Y68" s="7" t="str">
        <f t="shared" si="68"/>
        <v>"organic beauty Sicily",</v>
      </c>
      <c r="Z68" s="7" t="str">
        <f t="shared" si="68"/>
        <v>"sustainable fashion Sicily",</v>
      </c>
      <c r="AA68" s="7" t="str">
        <f t="shared" si="68"/>
        <v>"fashion hacks Sicily",</v>
      </c>
      <c r="AB68" s="7" t="str">
        <f t="shared" si="68"/>
        <v>"capsule wardrobe Sicily",</v>
      </c>
      <c r="AC68" s="7" t="str">
        <f t="shared" si="68"/>
        <v>"fashion trends Sicily",</v>
      </c>
      <c r="AD68" s="7" t="str">
        <f t="shared" si="68"/>
        <v>"minimalist fashion Sicily",</v>
      </c>
      <c r="AE68" s="7" t="str">
        <f t="shared" si="68"/>
        <v>"beauty hacks Sicily",</v>
      </c>
      <c r="AF68" s="7" t="str">
        <f t="shared" si="68"/>
        <v>"hair routines Sicily",</v>
      </c>
      <c r="AG68" s="7" t="str">
        <f t="shared" si="68"/>
        <v>"empties Sicily",</v>
      </c>
      <c r="AH68" s="7" t="str">
        <f t="shared" si="68"/>
        <v>"product reviews Sicily",</v>
      </c>
      <c r="AI68" s="7" t="str">
        <f t="shared" si="68"/>
        <v>"beauty reviews  Sicily",</v>
      </c>
      <c r="AJ68" s="7" t="str">
        <f t="shared" si="68"/>
        <v>"make-up artist Sicily",</v>
      </c>
      <c r="AK68" s="7" t="str">
        <f t="shared" si="68"/>
        <v>"skincare journey Sicily",</v>
      </c>
      <c r="AL68" s="7" t="str">
        <f t="shared" si="68"/>
        <v>"hair tutorial Sicily",</v>
      </c>
      <c r="AM68" s="7" t="str">
        <f t="shared" si="68"/>
        <v>"barbershop Sicily",</v>
      </c>
      <c r="AN68" s="7"/>
      <c r="AO68" s="7"/>
    </row>
    <row r="69">
      <c r="A69" s="4" t="s">
        <v>4881</v>
      </c>
      <c r="B69" s="7" t="str">
        <f t="shared" si="5"/>
        <v>"ootd Sardinia",</v>
      </c>
      <c r="C69" s="7" t="str">
        <f t="shared" ref="C69:AM69" si="69">CONCATENATE(C$1," ",$A69)</f>
        <v>"street style Sardinia",</v>
      </c>
      <c r="D69" s="7" t="str">
        <f t="shared" si="69"/>
        <v>"skincare Sardinia",</v>
      </c>
      <c r="E69" s="7" t="str">
        <f t="shared" si="69"/>
        <v>"makeup Sardinia",</v>
      </c>
      <c r="F69" s="7" t="str">
        <f t="shared" si="69"/>
        <v>"nails Sardinia",</v>
      </c>
      <c r="G69" s="7" t="str">
        <f t="shared" si="69"/>
        <v>"curly hair Sardinia",</v>
      </c>
      <c r="H69" s="7" t="str">
        <f t="shared" si="69"/>
        <v>"thrift Sardinia",</v>
      </c>
      <c r="I69" s="7" t="str">
        <f t="shared" si="69"/>
        <v>"streetwear Sardinia",</v>
      </c>
      <c r="J69" s="7" t="str">
        <f t="shared" si="69"/>
        <v>"luxury Sardinia",</v>
      </c>
      <c r="K69" s="7" t="str">
        <f t="shared" si="69"/>
        <v>"handbags Sardinia",</v>
      </c>
      <c r="L69" s="7" t="str">
        <f t="shared" si="69"/>
        <v>"sneakers Sardinia",</v>
      </c>
      <c r="M69" s="7" t="str">
        <f t="shared" si="69"/>
        <v>"high heels Sardinia",</v>
      </c>
      <c r="N69" s="7" t="str">
        <f t="shared" si="69"/>
        <v>"haute-couture Sardinia",</v>
      </c>
      <c r="O69" s="7" t="str">
        <f t="shared" si="69"/>
        <v>"diyfashion Sardinia",</v>
      </c>
      <c r="P69" s="7" t="str">
        <f t="shared" si="69"/>
        <v>"accessories Sardinia",</v>
      </c>
      <c r="Q69" s="7" t="str">
        <f t="shared" si="69"/>
        <v>"menswear Sardinia",</v>
      </c>
      <c r="R69" s="7" t="str">
        <f t="shared" si="69"/>
        <v>"womenswear Sardinia",</v>
      </c>
      <c r="S69" s="7" t="str">
        <f t="shared" si="69"/>
        <v>"moda Sardinia",</v>
      </c>
      <c r="T69" s="7" t="str">
        <f t="shared" si="69"/>
        <v>"hairstyle Sardinia",</v>
      </c>
      <c r="U69" s="7" t="str">
        <f t="shared" si="69"/>
        <v>"perfume Sardinia",</v>
      </c>
      <c r="V69" s="7" t="str">
        <f t="shared" si="69"/>
        <v>"cosmetiques Sardinia",</v>
      </c>
      <c r="W69" s="7" t="str">
        <f t="shared" si="69"/>
        <v>"beauty routine Sardinia",</v>
      </c>
      <c r="X69" s="7" t="str">
        <f t="shared" si="69"/>
        <v>"natural beauty Sardinia",</v>
      </c>
      <c r="Y69" s="7" t="str">
        <f t="shared" si="69"/>
        <v>"organic beauty Sardinia",</v>
      </c>
      <c r="Z69" s="7" t="str">
        <f t="shared" si="69"/>
        <v>"sustainable fashion Sardinia",</v>
      </c>
      <c r="AA69" s="7" t="str">
        <f t="shared" si="69"/>
        <v>"fashion hacks Sardinia",</v>
      </c>
      <c r="AB69" s="7" t="str">
        <f t="shared" si="69"/>
        <v>"capsule wardrobe Sardinia",</v>
      </c>
      <c r="AC69" s="7" t="str">
        <f t="shared" si="69"/>
        <v>"fashion trends Sardinia",</v>
      </c>
      <c r="AD69" s="7" t="str">
        <f t="shared" si="69"/>
        <v>"minimalist fashion Sardinia",</v>
      </c>
      <c r="AE69" s="7" t="str">
        <f t="shared" si="69"/>
        <v>"beauty hacks Sardinia",</v>
      </c>
      <c r="AF69" s="7" t="str">
        <f t="shared" si="69"/>
        <v>"hair routines Sardinia",</v>
      </c>
      <c r="AG69" s="7" t="str">
        <f t="shared" si="69"/>
        <v>"empties Sardinia",</v>
      </c>
      <c r="AH69" s="7" t="str">
        <f t="shared" si="69"/>
        <v>"product reviews Sardinia",</v>
      </c>
      <c r="AI69" s="7" t="str">
        <f t="shared" si="69"/>
        <v>"beauty reviews  Sardinia",</v>
      </c>
      <c r="AJ69" s="7" t="str">
        <f t="shared" si="69"/>
        <v>"make-up artist Sardinia",</v>
      </c>
      <c r="AK69" s="7" t="str">
        <f t="shared" si="69"/>
        <v>"skincare journey Sardinia",</v>
      </c>
      <c r="AL69" s="7" t="str">
        <f t="shared" si="69"/>
        <v>"hair tutorial Sardinia",</v>
      </c>
      <c r="AM69" s="7" t="str">
        <f t="shared" si="69"/>
        <v>"barbershop Sardinia",</v>
      </c>
      <c r="AN69" s="7"/>
      <c r="AO69" s="7"/>
    </row>
    <row r="70">
      <c r="A70" s="4" t="s">
        <v>4882</v>
      </c>
      <c r="B70" s="7" t="str">
        <f t="shared" si="5"/>
        <v>"ootd Hvar",</v>
      </c>
      <c r="C70" s="7" t="str">
        <f t="shared" ref="C70:AM70" si="70">CONCATENATE(C$1," ",$A70)</f>
        <v>"street style Hvar",</v>
      </c>
      <c r="D70" s="7" t="str">
        <f t="shared" si="70"/>
        <v>"skincare Hvar",</v>
      </c>
      <c r="E70" s="7" t="str">
        <f t="shared" si="70"/>
        <v>"makeup Hvar",</v>
      </c>
      <c r="F70" s="7" t="str">
        <f t="shared" si="70"/>
        <v>"nails Hvar",</v>
      </c>
      <c r="G70" s="7" t="str">
        <f t="shared" si="70"/>
        <v>"curly hair Hvar",</v>
      </c>
      <c r="H70" s="7" t="str">
        <f t="shared" si="70"/>
        <v>"thrift Hvar",</v>
      </c>
      <c r="I70" s="7" t="str">
        <f t="shared" si="70"/>
        <v>"streetwear Hvar",</v>
      </c>
      <c r="J70" s="7" t="str">
        <f t="shared" si="70"/>
        <v>"luxury Hvar",</v>
      </c>
      <c r="K70" s="7" t="str">
        <f t="shared" si="70"/>
        <v>"handbags Hvar",</v>
      </c>
      <c r="L70" s="7" t="str">
        <f t="shared" si="70"/>
        <v>"sneakers Hvar",</v>
      </c>
      <c r="M70" s="7" t="str">
        <f t="shared" si="70"/>
        <v>"high heels Hvar",</v>
      </c>
      <c r="N70" s="7" t="str">
        <f t="shared" si="70"/>
        <v>"haute-couture Hvar",</v>
      </c>
      <c r="O70" s="7" t="str">
        <f t="shared" si="70"/>
        <v>"diyfashion Hvar",</v>
      </c>
      <c r="P70" s="7" t="str">
        <f t="shared" si="70"/>
        <v>"accessories Hvar",</v>
      </c>
      <c r="Q70" s="7" t="str">
        <f t="shared" si="70"/>
        <v>"menswear Hvar",</v>
      </c>
      <c r="R70" s="7" t="str">
        <f t="shared" si="70"/>
        <v>"womenswear Hvar",</v>
      </c>
      <c r="S70" s="7" t="str">
        <f t="shared" si="70"/>
        <v>"moda Hvar",</v>
      </c>
      <c r="T70" s="7" t="str">
        <f t="shared" si="70"/>
        <v>"hairstyle Hvar",</v>
      </c>
      <c r="U70" s="7" t="str">
        <f t="shared" si="70"/>
        <v>"perfume Hvar",</v>
      </c>
      <c r="V70" s="7" t="str">
        <f t="shared" si="70"/>
        <v>"cosmetiques Hvar",</v>
      </c>
      <c r="W70" s="7" t="str">
        <f t="shared" si="70"/>
        <v>"beauty routine Hvar",</v>
      </c>
      <c r="X70" s="7" t="str">
        <f t="shared" si="70"/>
        <v>"natural beauty Hvar",</v>
      </c>
      <c r="Y70" s="7" t="str">
        <f t="shared" si="70"/>
        <v>"organic beauty Hvar",</v>
      </c>
      <c r="Z70" s="7" t="str">
        <f t="shared" si="70"/>
        <v>"sustainable fashion Hvar",</v>
      </c>
      <c r="AA70" s="7" t="str">
        <f t="shared" si="70"/>
        <v>"fashion hacks Hvar",</v>
      </c>
      <c r="AB70" s="7" t="str">
        <f t="shared" si="70"/>
        <v>"capsule wardrobe Hvar",</v>
      </c>
      <c r="AC70" s="7" t="str">
        <f t="shared" si="70"/>
        <v>"fashion trends Hvar",</v>
      </c>
      <c r="AD70" s="7" t="str">
        <f t="shared" si="70"/>
        <v>"minimalist fashion Hvar",</v>
      </c>
      <c r="AE70" s="7" t="str">
        <f t="shared" si="70"/>
        <v>"beauty hacks Hvar",</v>
      </c>
      <c r="AF70" s="7" t="str">
        <f t="shared" si="70"/>
        <v>"hair routines Hvar",</v>
      </c>
      <c r="AG70" s="7" t="str">
        <f t="shared" si="70"/>
        <v>"empties Hvar",</v>
      </c>
      <c r="AH70" s="7" t="str">
        <f t="shared" si="70"/>
        <v>"product reviews Hvar",</v>
      </c>
      <c r="AI70" s="7" t="str">
        <f t="shared" si="70"/>
        <v>"beauty reviews  Hvar",</v>
      </c>
      <c r="AJ70" s="7" t="str">
        <f t="shared" si="70"/>
        <v>"make-up artist Hvar",</v>
      </c>
      <c r="AK70" s="7" t="str">
        <f t="shared" si="70"/>
        <v>"skincare journey Hvar",</v>
      </c>
      <c r="AL70" s="7" t="str">
        <f t="shared" si="70"/>
        <v>"hair tutorial Hvar",</v>
      </c>
      <c r="AM70" s="7" t="str">
        <f t="shared" si="70"/>
        <v>"barbershop Hvar",</v>
      </c>
      <c r="AN70" s="7"/>
      <c r="AO70" s="7"/>
    </row>
    <row r="71">
      <c r="A71" s="4" t="s">
        <v>4883</v>
      </c>
      <c r="B71" s="7" t="str">
        <f t="shared" si="5"/>
        <v>"ootd Corsica",</v>
      </c>
      <c r="C71" s="7" t="str">
        <f t="shared" ref="C71:AM71" si="71">CONCATENATE(C$1," ",$A71)</f>
        <v>"street style Corsica",</v>
      </c>
      <c r="D71" s="7" t="str">
        <f t="shared" si="71"/>
        <v>"skincare Corsica",</v>
      </c>
      <c r="E71" s="7" t="str">
        <f t="shared" si="71"/>
        <v>"makeup Corsica",</v>
      </c>
      <c r="F71" s="7" t="str">
        <f t="shared" si="71"/>
        <v>"nails Corsica",</v>
      </c>
      <c r="G71" s="7" t="str">
        <f t="shared" si="71"/>
        <v>"curly hair Corsica",</v>
      </c>
      <c r="H71" s="7" t="str">
        <f t="shared" si="71"/>
        <v>"thrift Corsica",</v>
      </c>
      <c r="I71" s="7" t="str">
        <f t="shared" si="71"/>
        <v>"streetwear Corsica",</v>
      </c>
      <c r="J71" s="7" t="str">
        <f t="shared" si="71"/>
        <v>"luxury Corsica",</v>
      </c>
      <c r="K71" s="7" t="str">
        <f t="shared" si="71"/>
        <v>"handbags Corsica",</v>
      </c>
      <c r="L71" s="7" t="str">
        <f t="shared" si="71"/>
        <v>"sneakers Corsica",</v>
      </c>
      <c r="M71" s="7" t="str">
        <f t="shared" si="71"/>
        <v>"high heels Corsica",</v>
      </c>
      <c r="N71" s="7" t="str">
        <f t="shared" si="71"/>
        <v>"haute-couture Corsica",</v>
      </c>
      <c r="O71" s="7" t="str">
        <f t="shared" si="71"/>
        <v>"diyfashion Corsica",</v>
      </c>
      <c r="P71" s="7" t="str">
        <f t="shared" si="71"/>
        <v>"accessories Corsica",</v>
      </c>
      <c r="Q71" s="7" t="str">
        <f t="shared" si="71"/>
        <v>"menswear Corsica",</v>
      </c>
      <c r="R71" s="7" t="str">
        <f t="shared" si="71"/>
        <v>"womenswear Corsica",</v>
      </c>
      <c r="S71" s="7" t="str">
        <f t="shared" si="71"/>
        <v>"moda Corsica",</v>
      </c>
      <c r="T71" s="7" t="str">
        <f t="shared" si="71"/>
        <v>"hairstyle Corsica",</v>
      </c>
      <c r="U71" s="7" t="str">
        <f t="shared" si="71"/>
        <v>"perfume Corsica",</v>
      </c>
      <c r="V71" s="7" t="str">
        <f t="shared" si="71"/>
        <v>"cosmetiques Corsica",</v>
      </c>
      <c r="W71" s="7" t="str">
        <f t="shared" si="71"/>
        <v>"beauty routine Corsica",</v>
      </c>
      <c r="X71" s="7" t="str">
        <f t="shared" si="71"/>
        <v>"natural beauty Corsica",</v>
      </c>
      <c r="Y71" s="7" t="str">
        <f t="shared" si="71"/>
        <v>"organic beauty Corsica",</v>
      </c>
      <c r="Z71" s="7" t="str">
        <f t="shared" si="71"/>
        <v>"sustainable fashion Corsica",</v>
      </c>
      <c r="AA71" s="7" t="str">
        <f t="shared" si="71"/>
        <v>"fashion hacks Corsica",</v>
      </c>
      <c r="AB71" s="7" t="str">
        <f t="shared" si="71"/>
        <v>"capsule wardrobe Corsica",</v>
      </c>
      <c r="AC71" s="7" t="str">
        <f t="shared" si="71"/>
        <v>"fashion trends Corsica",</v>
      </c>
      <c r="AD71" s="7" t="str">
        <f t="shared" si="71"/>
        <v>"minimalist fashion Corsica",</v>
      </c>
      <c r="AE71" s="7" t="str">
        <f t="shared" si="71"/>
        <v>"beauty hacks Corsica",</v>
      </c>
      <c r="AF71" s="7" t="str">
        <f t="shared" si="71"/>
        <v>"hair routines Corsica",</v>
      </c>
      <c r="AG71" s="7" t="str">
        <f t="shared" si="71"/>
        <v>"empties Corsica",</v>
      </c>
      <c r="AH71" s="7" t="str">
        <f t="shared" si="71"/>
        <v>"product reviews Corsica",</v>
      </c>
      <c r="AI71" s="7" t="str">
        <f t="shared" si="71"/>
        <v>"beauty reviews  Corsica",</v>
      </c>
      <c r="AJ71" s="7" t="str">
        <f t="shared" si="71"/>
        <v>"make-up artist Corsica",</v>
      </c>
      <c r="AK71" s="7" t="str">
        <f t="shared" si="71"/>
        <v>"skincare journey Corsica",</v>
      </c>
      <c r="AL71" s="7" t="str">
        <f t="shared" si="71"/>
        <v>"hair tutorial Corsica",</v>
      </c>
      <c r="AM71" s="7" t="str">
        <f t="shared" si="71"/>
        <v>"barbershop Corsica",</v>
      </c>
      <c r="AN71" s="7"/>
      <c r="AO71" s="7"/>
    </row>
    <row r="72">
      <c r="A72" s="4" t="s">
        <v>4884</v>
      </c>
      <c r="B72" s="7" t="str">
        <f t="shared" si="5"/>
        <v>"ootd Reunion",</v>
      </c>
      <c r="C72" s="7" t="str">
        <f t="shared" ref="C72:AM72" si="72">CONCATENATE(C$1," ",$A72)</f>
        <v>"street style Reunion",</v>
      </c>
      <c r="D72" s="7" t="str">
        <f t="shared" si="72"/>
        <v>"skincare Reunion",</v>
      </c>
      <c r="E72" s="7" t="str">
        <f t="shared" si="72"/>
        <v>"makeup Reunion",</v>
      </c>
      <c r="F72" s="7" t="str">
        <f t="shared" si="72"/>
        <v>"nails Reunion",</v>
      </c>
      <c r="G72" s="7" t="str">
        <f t="shared" si="72"/>
        <v>"curly hair Reunion",</v>
      </c>
      <c r="H72" s="7" t="str">
        <f t="shared" si="72"/>
        <v>"thrift Reunion",</v>
      </c>
      <c r="I72" s="7" t="str">
        <f t="shared" si="72"/>
        <v>"streetwear Reunion",</v>
      </c>
      <c r="J72" s="7" t="str">
        <f t="shared" si="72"/>
        <v>"luxury Reunion",</v>
      </c>
      <c r="K72" s="7" t="str">
        <f t="shared" si="72"/>
        <v>"handbags Reunion",</v>
      </c>
      <c r="L72" s="7" t="str">
        <f t="shared" si="72"/>
        <v>"sneakers Reunion",</v>
      </c>
      <c r="M72" s="7" t="str">
        <f t="shared" si="72"/>
        <v>"high heels Reunion",</v>
      </c>
      <c r="N72" s="7" t="str">
        <f t="shared" si="72"/>
        <v>"haute-couture Reunion",</v>
      </c>
      <c r="O72" s="7" t="str">
        <f t="shared" si="72"/>
        <v>"diyfashion Reunion",</v>
      </c>
      <c r="P72" s="7" t="str">
        <f t="shared" si="72"/>
        <v>"accessories Reunion",</v>
      </c>
      <c r="Q72" s="7" t="str">
        <f t="shared" si="72"/>
        <v>"menswear Reunion",</v>
      </c>
      <c r="R72" s="7" t="str">
        <f t="shared" si="72"/>
        <v>"womenswear Reunion",</v>
      </c>
      <c r="S72" s="7" t="str">
        <f t="shared" si="72"/>
        <v>"moda Reunion",</v>
      </c>
      <c r="T72" s="7" t="str">
        <f t="shared" si="72"/>
        <v>"hairstyle Reunion",</v>
      </c>
      <c r="U72" s="7" t="str">
        <f t="shared" si="72"/>
        <v>"perfume Reunion",</v>
      </c>
      <c r="V72" s="7" t="str">
        <f t="shared" si="72"/>
        <v>"cosmetiques Reunion",</v>
      </c>
      <c r="W72" s="7" t="str">
        <f t="shared" si="72"/>
        <v>"beauty routine Reunion",</v>
      </c>
      <c r="X72" s="7" t="str">
        <f t="shared" si="72"/>
        <v>"natural beauty Reunion",</v>
      </c>
      <c r="Y72" s="7" t="str">
        <f t="shared" si="72"/>
        <v>"organic beauty Reunion",</v>
      </c>
      <c r="Z72" s="7" t="str">
        <f t="shared" si="72"/>
        <v>"sustainable fashion Reunion",</v>
      </c>
      <c r="AA72" s="7" t="str">
        <f t="shared" si="72"/>
        <v>"fashion hacks Reunion",</v>
      </c>
      <c r="AB72" s="7" t="str">
        <f t="shared" si="72"/>
        <v>"capsule wardrobe Reunion",</v>
      </c>
      <c r="AC72" s="7" t="str">
        <f t="shared" si="72"/>
        <v>"fashion trends Reunion",</v>
      </c>
      <c r="AD72" s="7" t="str">
        <f t="shared" si="72"/>
        <v>"minimalist fashion Reunion",</v>
      </c>
      <c r="AE72" s="7" t="str">
        <f t="shared" si="72"/>
        <v>"beauty hacks Reunion",</v>
      </c>
      <c r="AF72" s="7" t="str">
        <f t="shared" si="72"/>
        <v>"hair routines Reunion",</v>
      </c>
      <c r="AG72" s="7" t="str">
        <f t="shared" si="72"/>
        <v>"empties Reunion",</v>
      </c>
      <c r="AH72" s="7" t="str">
        <f t="shared" si="72"/>
        <v>"product reviews Reunion",</v>
      </c>
      <c r="AI72" s="7" t="str">
        <f t="shared" si="72"/>
        <v>"beauty reviews  Reunion",</v>
      </c>
      <c r="AJ72" s="7" t="str">
        <f t="shared" si="72"/>
        <v>"make-up artist Reunion",</v>
      </c>
      <c r="AK72" s="7" t="str">
        <f t="shared" si="72"/>
        <v>"skincare journey Reunion",</v>
      </c>
      <c r="AL72" s="7" t="str">
        <f t="shared" si="72"/>
        <v>"hair tutorial Reunion",</v>
      </c>
      <c r="AM72" s="7" t="str">
        <f t="shared" si="72"/>
        <v>"barbershop Reunion",</v>
      </c>
      <c r="AN72" s="7"/>
      <c r="AO72" s="7"/>
    </row>
    <row r="73">
      <c r="A73" s="4" t="s">
        <v>4885</v>
      </c>
      <c r="B73" s="7" t="str">
        <f t="shared" si="5"/>
        <v>"ootd Mauritius",</v>
      </c>
      <c r="C73" s="7" t="str">
        <f t="shared" ref="C73:AM73" si="73">CONCATENATE(C$1," ",$A73)</f>
        <v>"street style Mauritius",</v>
      </c>
      <c r="D73" s="7" t="str">
        <f t="shared" si="73"/>
        <v>"skincare Mauritius",</v>
      </c>
      <c r="E73" s="7" t="str">
        <f t="shared" si="73"/>
        <v>"makeup Mauritius",</v>
      </c>
      <c r="F73" s="7" t="str">
        <f t="shared" si="73"/>
        <v>"nails Mauritius",</v>
      </c>
      <c r="G73" s="7" t="str">
        <f t="shared" si="73"/>
        <v>"curly hair Mauritius",</v>
      </c>
      <c r="H73" s="7" t="str">
        <f t="shared" si="73"/>
        <v>"thrift Mauritius",</v>
      </c>
      <c r="I73" s="7" t="str">
        <f t="shared" si="73"/>
        <v>"streetwear Mauritius",</v>
      </c>
      <c r="J73" s="7" t="str">
        <f t="shared" si="73"/>
        <v>"luxury Mauritius",</v>
      </c>
      <c r="K73" s="7" t="str">
        <f t="shared" si="73"/>
        <v>"handbags Mauritius",</v>
      </c>
      <c r="L73" s="7" t="str">
        <f t="shared" si="73"/>
        <v>"sneakers Mauritius",</v>
      </c>
      <c r="M73" s="7" t="str">
        <f t="shared" si="73"/>
        <v>"high heels Mauritius",</v>
      </c>
      <c r="N73" s="7" t="str">
        <f t="shared" si="73"/>
        <v>"haute-couture Mauritius",</v>
      </c>
      <c r="O73" s="7" t="str">
        <f t="shared" si="73"/>
        <v>"diyfashion Mauritius",</v>
      </c>
      <c r="P73" s="7" t="str">
        <f t="shared" si="73"/>
        <v>"accessories Mauritius",</v>
      </c>
      <c r="Q73" s="7" t="str">
        <f t="shared" si="73"/>
        <v>"menswear Mauritius",</v>
      </c>
      <c r="R73" s="7" t="str">
        <f t="shared" si="73"/>
        <v>"womenswear Mauritius",</v>
      </c>
      <c r="S73" s="7" t="str">
        <f t="shared" si="73"/>
        <v>"moda Mauritius",</v>
      </c>
      <c r="T73" s="7" t="str">
        <f t="shared" si="73"/>
        <v>"hairstyle Mauritius",</v>
      </c>
      <c r="U73" s="7" t="str">
        <f t="shared" si="73"/>
        <v>"perfume Mauritius",</v>
      </c>
      <c r="V73" s="7" t="str">
        <f t="shared" si="73"/>
        <v>"cosmetiques Mauritius",</v>
      </c>
      <c r="W73" s="7" t="str">
        <f t="shared" si="73"/>
        <v>"beauty routine Mauritius",</v>
      </c>
      <c r="X73" s="7" t="str">
        <f t="shared" si="73"/>
        <v>"natural beauty Mauritius",</v>
      </c>
      <c r="Y73" s="7" t="str">
        <f t="shared" si="73"/>
        <v>"organic beauty Mauritius",</v>
      </c>
      <c r="Z73" s="7" t="str">
        <f t="shared" si="73"/>
        <v>"sustainable fashion Mauritius",</v>
      </c>
      <c r="AA73" s="7" t="str">
        <f t="shared" si="73"/>
        <v>"fashion hacks Mauritius",</v>
      </c>
      <c r="AB73" s="7" t="str">
        <f t="shared" si="73"/>
        <v>"capsule wardrobe Mauritius",</v>
      </c>
      <c r="AC73" s="7" t="str">
        <f t="shared" si="73"/>
        <v>"fashion trends Mauritius",</v>
      </c>
      <c r="AD73" s="7" t="str">
        <f t="shared" si="73"/>
        <v>"minimalist fashion Mauritius",</v>
      </c>
      <c r="AE73" s="7" t="str">
        <f t="shared" si="73"/>
        <v>"beauty hacks Mauritius",</v>
      </c>
      <c r="AF73" s="7" t="str">
        <f t="shared" si="73"/>
        <v>"hair routines Mauritius",</v>
      </c>
      <c r="AG73" s="7" t="str">
        <f t="shared" si="73"/>
        <v>"empties Mauritius",</v>
      </c>
      <c r="AH73" s="7" t="str">
        <f t="shared" si="73"/>
        <v>"product reviews Mauritius",</v>
      </c>
      <c r="AI73" s="7" t="str">
        <f t="shared" si="73"/>
        <v>"beauty reviews  Mauritius",</v>
      </c>
      <c r="AJ73" s="7" t="str">
        <f t="shared" si="73"/>
        <v>"make-up artist Mauritius",</v>
      </c>
      <c r="AK73" s="7" t="str">
        <f t="shared" si="73"/>
        <v>"skincare journey Mauritius",</v>
      </c>
      <c r="AL73" s="7" t="str">
        <f t="shared" si="73"/>
        <v>"hair tutorial Mauritius",</v>
      </c>
      <c r="AM73" s="7" t="str">
        <f t="shared" si="73"/>
        <v>"barbershop Mauritius",</v>
      </c>
      <c r="AN73" s="7"/>
      <c r="AO73" s="7"/>
    </row>
    <row r="74">
      <c r="A74" s="4" t="s">
        <v>4886</v>
      </c>
      <c r="B74" s="7" t="str">
        <f t="shared" si="5"/>
        <v>"ootd Maldives",</v>
      </c>
      <c r="C74" s="7" t="str">
        <f t="shared" ref="C74:AM74" si="74">CONCATENATE(C$1," ",$A74)</f>
        <v>"street style Maldives",</v>
      </c>
      <c r="D74" s="7" t="str">
        <f t="shared" si="74"/>
        <v>"skincare Maldives",</v>
      </c>
      <c r="E74" s="7" t="str">
        <f t="shared" si="74"/>
        <v>"makeup Maldives",</v>
      </c>
      <c r="F74" s="7" t="str">
        <f t="shared" si="74"/>
        <v>"nails Maldives",</v>
      </c>
      <c r="G74" s="7" t="str">
        <f t="shared" si="74"/>
        <v>"curly hair Maldives",</v>
      </c>
      <c r="H74" s="7" t="str">
        <f t="shared" si="74"/>
        <v>"thrift Maldives",</v>
      </c>
      <c r="I74" s="7" t="str">
        <f t="shared" si="74"/>
        <v>"streetwear Maldives",</v>
      </c>
      <c r="J74" s="7" t="str">
        <f t="shared" si="74"/>
        <v>"luxury Maldives",</v>
      </c>
      <c r="K74" s="7" t="str">
        <f t="shared" si="74"/>
        <v>"handbags Maldives",</v>
      </c>
      <c r="L74" s="7" t="str">
        <f t="shared" si="74"/>
        <v>"sneakers Maldives",</v>
      </c>
      <c r="M74" s="7" t="str">
        <f t="shared" si="74"/>
        <v>"high heels Maldives",</v>
      </c>
      <c r="N74" s="7" t="str">
        <f t="shared" si="74"/>
        <v>"haute-couture Maldives",</v>
      </c>
      <c r="O74" s="7" t="str">
        <f t="shared" si="74"/>
        <v>"diyfashion Maldives",</v>
      </c>
      <c r="P74" s="7" t="str">
        <f t="shared" si="74"/>
        <v>"accessories Maldives",</v>
      </c>
      <c r="Q74" s="7" t="str">
        <f t="shared" si="74"/>
        <v>"menswear Maldives",</v>
      </c>
      <c r="R74" s="7" t="str">
        <f t="shared" si="74"/>
        <v>"womenswear Maldives",</v>
      </c>
      <c r="S74" s="7" t="str">
        <f t="shared" si="74"/>
        <v>"moda Maldives",</v>
      </c>
      <c r="T74" s="7" t="str">
        <f t="shared" si="74"/>
        <v>"hairstyle Maldives",</v>
      </c>
      <c r="U74" s="7" t="str">
        <f t="shared" si="74"/>
        <v>"perfume Maldives",</v>
      </c>
      <c r="V74" s="7" t="str">
        <f t="shared" si="74"/>
        <v>"cosmetiques Maldives",</v>
      </c>
      <c r="W74" s="7" t="str">
        <f t="shared" si="74"/>
        <v>"beauty routine Maldives",</v>
      </c>
      <c r="X74" s="7" t="str">
        <f t="shared" si="74"/>
        <v>"natural beauty Maldives",</v>
      </c>
      <c r="Y74" s="7" t="str">
        <f t="shared" si="74"/>
        <v>"organic beauty Maldives",</v>
      </c>
      <c r="Z74" s="7" t="str">
        <f t="shared" si="74"/>
        <v>"sustainable fashion Maldives",</v>
      </c>
      <c r="AA74" s="7" t="str">
        <f t="shared" si="74"/>
        <v>"fashion hacks Maldives",</v>
      </c>
      <c r="AB74" s="7" t="str">
        <f t="shared" si="74"/>
        <v>"capsule wardrobe Maldives",</v>
      </c>
      <c r="AC74" s="7" t="str">
        <f t="shared" si="74"/>
        <v>"fashion trends Maldives",</v>
      </c>
      <c r="AD74" s="7" t="str">
        <f t="shared" si="74"/>
        <v>"minimalist fashion Maldives",</v>
      </c>
      <c r="AE74" s="7" t="str">
        <f t="shared" si="74"/>
        <v>"beauty hacks Maldives",</v>
      </c>
      <c r="AF74" s="7" t="str">
        <f t="shared" si="74"/>
        <v>"hair routines Maldives",</v>
      </c>
      <c r="AG74" s="7" t="str">
        <f t="shared" si="74"/>
        <v>"empties Maldives",</v>
      </c>
      <c r="AH74" s="7" t="str">
        <f t="shared" si="74"/>
        <v>"product reviews Maldives",</v>
      </c>
      <c r="AI74" s="7" t="str">
        <f t="shared" si="74"/>
        <v>"beauty reviews  Maldives",</v>
      </c>
      <c r="AJ74" s="7" t="str">
        <f t="shared" si="74"/>
        <v>"make-up artist Maldives",</v>
      </c>
      <c r="AK74" s="7" t="str">
        <f t="shared" si="74"/>
        <v>"skincare journey Maldives",</v>
      </c>
      <c r="AL74" s="7" t="str">
        <f t="shared" si="74"/>
        <v>"hair tutorial Maldives",</v>
      </c>
      <c r="AM74" s="7" t="str">
        <f t="shared" si="74"/>
        <v>"barbershop Maldives",</v>
      </c>
      <c r="AN74" s="7"/>
      <c r="AO74" s="7"/>
    </row>
    <row r="75">
      <c r="A75" s="4" t="s">
        <v>4887</v>
      </c>
      <c r="B75" s="7" t="str">
        <f t="shared" si="5"/>
        <v>"ootd Seychelles",</v>
      </c>
      <c r="C75" s="7" t="str">
        <f t="shared" ref="C75:AM75" si="75">CONCATENATE(C$1," ",$A75)</f>
        <v>"street style Seychelles",</v>
      </c>
      <c r="D75" s="7" t="str">
        <f t="shared" si="75"/>
        <v>"skincare Seychelles",</v>
      </c>
      <c r="E75" s="7" t="str">
        <f t="shared" si="75"/>
        <v>"makeup Seychelles",</v>
      </c>
      <c r="F75" s="7" t="str">
        <f t="shared" si="75"/>
        <v>"nails Seychelles",</v>
      </c>
      <c r="G75" s="7" t="str">
        <f t="shared" si="75"/>
        <v>"curly hair Seychelles",</v>
      </c>
      <c r="H75" s="7" t="str">
        <f t="shared" si="75"/>
        <v>"thrift Seychelles",</v>
      </c>
      <c r="I75" s="7" t="str">
        <f t="shared" si="75"/>
        <v>"streetwear Seychelles",</v>
      </c>
      <c r="J75" s="7" t="str">
        <f t="shared" si="75"/>
        <v>"luxury Seychelles",</v>
      </c>
      <c r="K75" s="7" t="str">
        <f t="shared" si="75"/>
        <v>"handbags Seychelles",</v>
      </c>
      <c r="L75" s="7" t="str">
        <f t="shared" si="75"/>
        <v>"sneakers Seychelles",</v>
      </c>
      <c r="M75" s="7" t="str">
        <f t="shared" si="75"/>
        <v>"high heels Seychelles",</v>
      </c>
      <c r="N75" s="7" t="str">
        <f t="shared" si="75"/>
        <v>"haute-couture Seychelles",</v>
      </c>
      <c r="O75" s="7" t="str">
        <f t="shared" si="75"/>
        <v>"diyfashion Seychelles",</v>
      </c>
      <c r="P75" s="7" t="str">
        <f t="shared" si="75"/>
        <v>"accessories Seychelles",</v>
      </c>
      <c r="Q75" s="7" t="str">
        <f t="shared" si="75"/>
        <v>"menswear Seychelles",</v>
      </c>
      <c r="R75" s="7" t="str">
        <f t="shared" si="75"/>
        <v>"womenswear Seychelles",</v>
      </c>
      <c r="S75" s="7" t="str">
        <f t="shared" si="75"/>
        <v>"moda Seychelles",</v>
      </c>
      <c r="T75" s="7" t="str">
        <f t="shared" si="75"/>
        <v>"hairstyle Seychelles",</v>
      </c>
      <c r="U75" s="7" t="str">
        <f t="shared" si="75"/>
        <v>"perfume Seychelles",</v>
      </c>
      <c r="V75" s="7" t="str">
        <f t="shared" si="75"/>
        <v>"cosmetiques Seychelles",</v>
      </c>
      <c r="W75" s="7" t="str">
        <f t="shared" si="75"/>
        <v>"beauty routine Seychelles",</v>
      </c>
      <c r="X75" s="7" t="str">
        <f t="shared" si="75"/>
        <v>"natural beauty Seychelles",</v>
      </c>
      <c r="Y75" s="7" t="str">
        <f t="shared" si="75"/>
        <v>"organic beauty Seychelles",</v>
      </c>
      <c r="Z75" s="7" t="str">
        <f t="shared" si="75"/>
        <v>"sustainable fashion Seychelles",</v>
      </c>
      <c r="AA75" s="7" t="str">
        <f t="shared" si="75"/>
        <v>"fashion hacks Seychelles",</v>
      </c>
      <c r="AB75" s="7" t="str">
        <f t="shared" si="75"/>
        <v>"capsule wardrobe Seychelles",</v>
      </c>
      <c r="AC75" s="7" t="str">
        <f t="shared" si="75"/>
        <v>"fashion trends Seychelles",</v>
      </c>
      <c r="AD75" s="7" t="str">
        <f t="shared" si="75"/>
        <v>"minimalist fashion Seychelles",</v>
      </c>
      <c r="AE75" s="7" t="str">
        <f t="shared" si="75"/>
        <v>"beauty hacks Seychelles",</v>
      </c>
      <c r="AF75" s="7" t="str">
        <f t="shared" si="75"/>
        <v>"hair routines Seychelles",</v>
      </c>
      <c r="AG75" s="7" t="str">
        <f t="shared" si="75"/>
        <v>"empties Seychelles",</v>
      </c>
      <c r="AH75" s="7" t="str">
        <f t="shared" si="75"/>
        <v>"product reviews Seychelles",</v>
      </c>
      <c r="AI75" s="7" t="str">
        <f t="shared" si="75"/>
        <v>"beauty reviews  Seychelles",</v>
      </c>
      <c r="AJ75" s="7" t="str">
        <f t="shared" si="75"/>
        <v>"make-up artist Seychelles",</v>
      </c>
      <c r="AK75" s="7" t="str">
        <f t="shared" si="75"/>
        <v>"skincare journey Seychelles",</v>
      </c>
      <c r="AL75" s="7" t="str">
        <f t="shared" si="75"/>
        <v>"hair tutorial Seychelles",</v>
      </c>
      <c r="AM75" s="7" t="str">
        <f t="shared" si="75"/>
        <v>"barbershop Seychelles",</v>
      </c>
      <c r="AN75" s="7"/>
      <c r="AO75" s="7"/>
    </row>
    <row r="76">
      <c r="A76" s="4" t="s">
        <v>4888</v>
      </c>
      <c r="B76" s="7" t="str">
        <f t="shared" si="5"/>
        <v>"ootd Zanzibar",</v>
      </c>
      <c r="C76" s="7" t="str">
        <f t="shared" ref="C76:AM76" si="76">CONCATENATE(C$1," ",$A76)</f>
        <v>"street style Zanzibar",</v>
      </c>
      <c r="D76" s="7" t="str">
        <f t="shared" si="76"/>
        <v>"skincare Zanzibar",</v>
      </c>
      <c r="E76" s="7" t="str">
        <f t="shared" si="76"/>
        <v>"makeup Zanzibar",</v>
      </c>
      <c r="F76" s="7" t="str">
        <f t="shared" si="76"/>
        <v>"nails Zanzibar",</v>
      </c>
      <c r="G76" s="7" t="str">
        <f t="shared" si="76"/>
        <v>"curly hair Zanzibar",</v>
      </c>
      <c r="H76" s="7" t="str">
        <f t="shared" si="76"/>
        <v>"thrift Zanzibar",</v>
      </c>
      <c r="I76" s="7" t="str">
        <f t="shared" si="76"/>
        <v>"streetwear Zanzibar",</v>
      </c>
      <c r="J76" s="7" t="str">
        <f t="shared" si="76"/>
        <v>"luxury Zanzibar",</v>
      </c>
      <c r="K76" s="7" t="str">
        <f t="shared" si="76"/>
        <v>"handbags Zanzibar",</v>
      </c>
      <c r="L76" s="7" t="str">
        <f t="shared" si="76"/>
        <v>"sneakers Zanzibar",</v>
      </c>
      <c r="M76" s="7" t="str">
        <f t="shared" si="76"/>
        <v>"high heels Zanzibar",</v>
      </c>
      <c r="N76" s="7" t="str">
        <f t="shared" si="76"/>
        <v>"haute-couture Zanzibar",</v>
      </c>
      <c r="O76" s="7" t="str">
        <f t="shared" si="76"/>
        <v>"diyfashion Zanzibar",</v>
      </c>
      <c r="P76" s="7" t="str">
        <f t="shared" si="76"/>
        <v>"accessories Zanzibar",</v>
      </c>
      <c r="Q76" s="7" t="str">
        <f t="shared" si="76"/>
        <v>"menswear Zanzibar",</v>
      </c>
      <c r="R76" s="7" t="str">
        <f t="shared" si="76"/>
        <v>"womenswear Zanzibar",</v>
      </c>
      <c r="S76" s="7" t="str">
        <f t="shared" si="76"/>
        <v>"moda Zanzibar",</v>
      </c>
      <c r="T76" s="7" t="str">
        <f t="shared" si="76"/>
        <v>"hairstyle Zanzibar",</v>
      </c>
      <c r="U76" s="7" t="str">
        <f t="shared" si="76"/>
        <v>"perfume Zanzibar",</v>
      </c>
      <c r="V76" s="7" t="str">
        <f t="shared" si="76"/>
        <v>"cosmetiques Zanzibar",</v>
      </c>
      <c r="W76" s="7" t="str">
        <f t="shared" si="76"/>
        <v>"beauty routine Zanzibar",</v>
      </c>
      <c r="X76" s="7" t="str">
        <f t="shared" si="76"/>
        <v>"natural beauty Zanzibar",</v>
      </c>
      <c r="Y76" s="7" t="str">
        <f t="shared" si="76"/>
        <v>"organic beauty Zanzibar",</v>
      </c>
      <c r="Z76" s="7" t="str">
        <f t="shared" si="76"/>
        <v>"sustainable fashion Zanzibar",</v>
      </c>
      <c r="AA76" s="7" t="str">
        <f t="shared" si="76"/>
        <v>"fashion hacks Zanzibar",</v>
      </c>
      <c r="AB76" s="7" t="str">
        <f t="shared" si="76"/>
        <v>"capsule wardrobe Zanzibar",</v>
      </c>
      <c r="AC76" s="7" t="str">
        <f t="shared" si="76"/>
        <v>"fashion trends Zanzibar",</v>
      </c>
      <c r="AD76" s="7" t="str">
        <f t="shared" si="76"/>
        <v>"minimalist fashion Zanzibar",</v>
      </c>
      <c r="AE76" s="7" t="str">
        <f t="shared" si="76"/>
        <v>"beauty hacks Zanzibar",</v>
      </c>
      <c r="AF76" s="7" t="str">
        <f t="shared" si="76"/>
        <v>"hair routines Zanzibar",</v>
      </c>
      <c r="AG76" s="7" t="str">
        <f t="shared" si="76"/>
        <v>"empties Zanzibar",</v>
      </c>
      <c r="AH76" s="7" t="str">
        <f t="shared" si="76"/>
        <v>"product reviews Zanzibar",</v>
      </c>
      <c r="AI76" s="7" t="str">
        <f t="shared" si="76"/>
        <v>"beauty reviews  Zanzibar",</v>
      </c>
      <c r="AJ76" s="7" t="str">
        <f t="shared" si="76"/>
        <v>"make-up artist Zanzibar",</v>
      </c>
      <c r="AK76" s="7" t="str">
        <f t="shared" si="76"/>
        <v>"skincare journey Zanzibar",</v>
      </c>
      <c r="AL76" s="7" t="str">
        <f t="shared" si="76"/>
        <v>"hair tutorial Zanzibar",</v>
      </c>
      <c r="AM76" s="7" t="str">
        <f t="shared" si="76"/>
        <v>"barbershop Zanzibar",</v>
      </c>
      <c r="AN76" s="7"/>
      <c r="AO76" s="7"/>
    </row>
    <row r="77">
      <c r="A77" s="4" t="s">
        <v>4889</v>
      </c>
      <c r="B77" s="7" t="str">
        <f t="shared" si="5"/>
        <v>"ootd Oahu",</v>
      </c>
      <c r="C77" s="7" t="str">
        <f t="shared" ref="C77:AM77" si="77">CONCATENATE(C$1," ",$A77)</f>
        <v>"street style Oahu",</v>
      </c>
      <c r="D77" s="7" t="str">
        <f t="shared" si="77"/>
        <v>"skincare Oahu",</v>
      </c>
      <c r="E77" s="7" t="str">
        <f t="shared" si="77"/>
        <v>"makeup Oahu",</v>
      </c>
      <c r="F77" s="7" t="str">
        <f t="shared" si="77"/>
        <v>"nails Oahu",</v>
      </c>
      <c r="G77" s="7" t="str">
        <f t="shared" si="77"/>
        <v>"curly hair Oahu",</v>
      </c>
      <c r="H77" s="7" t="str">
        <f t="shared" si="77"/>
        <v>"thrift Oahu",</v>
      </c>
      <c r="I77" s="7" t="str">
        <f t="shared" si="77"/>
        <v>"streetwear Oahu",</v>
      </c>
      <c r="J77" s="7" t="str">
        <f t="shared" si="77"/>
        <v>"luxury Oahu",</v>
      </c>
      <c r="K77" s="7" t="str">
        <f t="shared" si="77"/>
        <v>"handbags Oahu",</v>
      </c>
      <c r="L77" s="7" t="str">
        <f t="shared" si="77"/>
        <v>"sneakers Oahu",</v>
      </c>
      <c r="M77" s="7" t="str">
        <f t="shared" si="77"/>
        <v>"high heels Oahu",</v>
      </c>
      <c r="N77" s="7" t="str">
        <f t="shared" si="77"/>
        <v>"haute-couture Oahu",</v>
      </c>
      <c r="O77" s="7" t="str">
        <f t="shared" si="77"/>
        <v>"diyfashion Oahu",</v>
      </c>
      <c r="P77" s="7" t="str">
        <f t="shared" si="77"/>
        <v>"accessories Oahu",</v>
      </c>
      <c r="Q77" s="7" t="str">
        <f t="shared" si="77"/>
        <v>"menswear Oahu",</v>
      </c>
      <c r="R77" s="7" t="str">
        <f t="shared" si="77"/>
        <v>"womenswear Oahu",</v>
      </c>
      <c r="S77" s="7" t="str">
        <f t="shared" si="77"/>
        <v>"moda Oahu",</v>
      </c>
      <c r="T77" s="7" t="str">
        <f t="shared" si="77"/>
        <v>"hairstyle Oahu",</v>
      </c>
      <c r="U77" s="7" t="str">
        <f t="shared" si="77"/>
        <v>"perfume Oahu",</v>
      </c>
      <c r="V77" s="7" t="str">
        <f t="shared" si="77"/>
        <v>"cosmetiques Oahu",</v>
      </c>
      <c r="W77" s="7" t="str">
        <f t="shared" si="77"/>
        <v>"beauty routine Oahu",</v>
      </c>
      <c r="X77" s="7" t="str">
        <f t="shared" si="77"/>
        <v>"natural beauty Oahu",</v>
      </c>
      <c r="Y77" s="7" t="str">
        <f t="shared" si="77"/>
        <v>"organic beauty Oahu",</v>
      </c>
      <c r="Z77" s="7" t="str">
        <f t="shared" si="77"/>
        <v>"sustainable fashion Oahu",</v>
      </c>
      <c r="AA77" s="7" t="str">
        <f t="shared" si="77"/>
        <v>"fashion hacks Oahu",</v>
      </c>
      <c r="AB77" s="7" t="str">
        <f t="shared" si="77"/>
        <v>"capsule wardrobe Oahu",</v>
      </c>
      <c r="AC77" s="7" t="str">
        <f t="shared" si="77"/>
        <v>"fashion trends Oahu",</v>
      </c>
      <c r="AD77" s="7" t="str">
        <f t="shared" si="77"/>
        <v>"minimalist fashion Oahu",</v>
      </c>
      <c r="AE77" s="7" t="str">
        <f t="shared" si="77"/>
        <v>"beauty hacks Oahu",</v>
      </c>
      <c r="AF77" s="7" t="str">
        <f t="shared" si="77"/>
        <v>"hair routines Oahu",</v>
      </c>
      <c r="AG77" s="7" t="str">
        <f t="shared" si="77"/>
        <v>"empties Oahu",</v>
      </c>
      <c r="AH77" s="7" t="str">
        <f t="shared" si="77"/>
        <v>"product reviews Oahu",</v>
      </c>
      <c r="AI77" s="7" t="str">
        <f t="shared" si="77"/>
        <v>"beauty reviews  Oahu",</v>
      </c>
      <c r="AJ77" s="7" t="str">
        <f t="shared" si="77"/>
        <v>"make-up artist Oahu",</v>
      </c>
      <c r="AK77" s="7" t="str">
        <f t="shared" si="77"/>
        <v>"skincare journey Oahu",</v>
      </c>
      <c r="AL77" s="7" t="str">
        <f t="shared" si="77"/>
        <v>"hair tutorial Oahu",</v>
      </c>
      <c r="AM77" s="7" t="str">
        <f t="shared" si="77"/>
        <v>"barbershop Oahu",</v>
      </c>
      <c r="AN77" s="7"/>
      <c r="AO77" s="7"/>
    </row>
    <row r="78">
      <c r="A78" s="4" t="s">
        <v>4890</v>
      </c>
      <c r="B78" s="7" t="str">
        <f t="shared" si="5"/>
        <v>"ootd Washington",</v>
      </c>
      <c r="C78" s="7" t="str">
        <f t="shared" ref="C78:AM78" si="78">CONCATENATE(C$1," ",$A78)</f>
        <v>"street style Washington",</v>
      </c>
      <c r="D78" s="7" t="str">
        <f t="shared" si="78"/>
        <v>"skincare Washington",</v>
      </c>
      <c r="E78" s="7" t="str">
        <f t="shared" si="78"/>
        <v>"makeup Washington",</v>
      </c>
      <c r="F78" s="7" t="str">
        <f t="shared" si="78"/>
        <v>"nails Washington",</v>
      </c>
      <c r="G78" s="7" t="str">
        <f t="shared" si="78"/>
        <v>"curly hair Washington",</v>
      </c>
      <c r="H78" s="7" t="str">
        <f t="shared" si="78"/>
        <v>"thrift Washington",</v>
      </c>
      <c r="I78" s="7" t="str">
        <f t="shared" si="78"/>
        <v>"streetwear Washington",</v>
      </c>
      <c r="J78" s="7" t="str">
        <f t="shared" si="78"/>
        <v>"luxury Washington",</v>
      </c>
      <c r="K78" s="7" t="str">
        <f t="shared" si="78"/>
        <v>"handbags Washington",</v>
      </c>
      <c r="L78" s="7" t="str">
        <f t="shared" si="78"/>
        <v>"sneakers Washington",</v>
      </c>
      <c r="M78" s="7" t="str">
        <f t="shared" si="78"/>
        <v>"high heels Washington",</v>
      </c>
      <c r="N78" s="7" t="str">
        <f t="shared" si="78"/>
        <v>"haute-couture Washington",</v>
      </c>
      <c r="O78" s="7" t="str">
        <f t="shared" si="78"/>
        <v>"diyfashion Washington",</v>
      </c>
      <c r="P78" s="7" t="str">
        <f t="shared" si="78"/>
        <v>"accessories Washington",</v>
      </c>
      <c r="Q78" s="7" t="str">
        <f t="shared" si="78"/>
        <v>"menswear Washington",</v>
      </c>
      <c r="R78" s="7" t="str">
        <f t="shared" si="78"/>
        <v>"womenswear Washington",</v>
      </c>
      <c r="S78" s="7" t="str">
        <f t="shared" si="78"/>
        <v>"moda Washington",</v>
      </c>
      <c r="T78" s="7" t="str">
        <f t="shared" si="78"/>
        <v>"hairstyle Washington",</v>
      </c>
      <c r="U78" s="7" t="str">
        <f t="shared" si="78"/>
        <v>"perfume Washington",</v>
      </c>
      <c r="V78" s="7" t="str">
        <f t="shared" si="78"/>
        <v>"cosmetiques Washington",</v>
      </c>
      <c r="W78" s="7" t="str">
        <f t="shared" si="78"/>
        <v>"beauty routine Washington",</v>
      </c>
      <c r="X78" s="7" t="str">
        <f t="shared" si="78"/>
        <v>"natural beauty Washington",</v>
      </c>
      <c r="Y78" s="7" t="str">
        <f t="shared" si="78"/>
        <v>"organic beauty Washington",</v>
      </c>
      <c r="Z78" s="7" t="str">
        <f t="shared" si="78"/>
        <v>"sustainable fashion Washington",</v>
      </c>
      <c r="AA78" s="7" t="str">
        <f t="shared" si="78"/>
        <v>"fashion hacks Washington",</v>
      </c>
      <c r="AB78" s="7" t="str">
        <f t="shared" si="78"/>
        <v>"capsule wardrobe Washington",</v>
      </c>
      <c r="AC78" s="7" t="str">
        <f t="shared" si="78"/>
        <v>"fashion trends Washington",</v>
      </c>
      <c r="AD78" s="7" t="str">
        <f t="shared" si="78"/>
        <v>"minimalist fashion Washington",</v>
      </c>
      <c r="AE78" s="7" t="str">
        <f t="shared" si="78"/>
        <v>"beauty hacks Washington",</v>
      </c>
      <c r="AF78" s="7" t="str">
        <f t="shared" si="78"/>
        <v>"hair routines Washington",</v>
      </c>
      <c r="AG78" s="7" t="str">
        <f t="shared" si="78"/>
        <v>"empties Washington",</v>
      </c>
      <c r="AH78" s="7" t="str">
        <f t="shared" si="78"/>
        <v>"product reviews Washington",</v>
      </c>
      <c r="AI78" s="7" t="str">
        <f t="shared" si="78"/>
        <v>"beauty reviews  Washington",</v>
      </c>
      <c r="AJ78" s="7" t="str">
        <f t="shared" si="78"/>
        <v>"make-up artist Washington",</v>
      </c>
      <c r="AK78" s="7" t="str">
        <f t="shared" si="78"/>
        <v>"skincare journey Washington",</v>
      </c>
      <c r="AL78" s="7" t="str">
        <f t="shared" si="78"/>
        <v>"hair tutorial Washington",</v>
      </c>
      <c r="AM78" s="7" t="str">
        <f t="shared" si="78"/>
        <v>"barbershop Washington",</v>
      </c>
      <c r="AN78" s="7"/>
      <c r="AO78" s="7"/>
    </row>
    <row r="79">
      <c r="A79" s="4" t="s">
        <v>4891</v>
      </c>
      <c r="B79" s="7" t="str">
        <f t="shared" si="5"/>
        <v>"ootd Boston",</v>
      </c>
      <c r="C79" s="7" t="str">
        <f t="shared" ref="C79:AM79" si="79">CONCATENATE(C$1," ",$A79)</f>
        <v>"street style Boston",</v>
      </c>
      <c r="D79" s="7" t="str">
        <f t="shared" si="79"/>
        <v>"skincare Boston",</v>
      </c>
      <c r="E79" s="7" t="str">
        <f t="shared" si="79"/>
        <v>"makeup Boston",</v>
      </c>
      <c r="F79" s="7" t="str">
        <f t="shared" si="79"/>
        <v>"nails Boston",</v>
      </c>
      <c r="G79" s="7" t="str">
        <f t="shared" si="79"/>
        <v>"curly hair Boston",</v>
      </c>
      <c r="H79" s="7" t="str">
        <f t="shared" si="79"/>
        <v>"thrift Boston",</v>
      </c>
      <c r="I79" s="7" t="str">
        <f t="shared" si="79"/>
        <v>"streetwear Boston",</v>
      </c>
      <c r="J79" s="7" t="str">
        <f t="shared" si="79"/>
        <v>"luxury Boston",</v>
      </c>
      <c r="K79" s="7" t="str">
        <f t="shared" si="79"/>
        <v>"handbags Boston",</v>
      </c>
      <c r="L79" s="7" t="str">
        <f t="shared" si="79"/>
        <v>"sneakers Boston",</v>
      </c>
      <c r="M79" s="7" t="str">
        <f t="shared" si="79"/>
        <v>"high heels Boston",</v>
      </c>
      <c r="N79" s="7" t="str">
        <f t="shared" si="79"/>
        <v>"haute-couture Boston",</v>
      </c>
      <c r="O79" s="7" t="str">
        <f t="shared" si="79"/>
        <v>"diyfashion Boston",</v>
      </c>
      <c r="P79" s="7" t="str">
        <f t="shared" si="79"/>
        <v>"accessories Boston",</v>
      </c>
      <c r="Q79" s="7" t="str">
        <f t="shared" si="79"/>
        <v>"menswear Boston",</v>
      </c>
      <c r="R79" s="7" t="str">
        <f t="shared" si="79"/>
        <v>"womenswear Boston",</v>
      </c>
      <c r="S79" s="7" t="str">
        <f t="shared" si="79"/>
        <v>"moda Boston",</v>
      </c>
      <c r="T79" s="7" t="str">
        <f t="shared" si="79"/>
        <v>"hairstyle Boston",</v>
      </c>
      <c r="U79" s="7" t="str">
        <f t="shared" si="79"/>
        <v>"perfume Boston",</v>
      </c>
      <c r="V79" s="7" t="str">
        <f t="shared" si="79"/>
        <v>"cosmetiques Boston",</v>
      </c>
      <c r="W79" s="7" t="str">
        <f t="shared" si="79"/>
        <v>"beauty routine Boston",</v>
      </c>
      <c r="X79" s="7" t="str">
        <f t="shared" si="79"/>
        <v>"natural beauty Boston",</v>
      </c>
      <c r="Y79" s="7" t="str">
        <f t="shared" si="79"/>
        <v>"organic beauty Boston",</v>
      </c>
      <c r="Z79" s="7" t="str">
        <f t="shared" si="79"/>
        <v>"sustainable fashion Boston",</v>
      </c>
      <c r="AA79" s="7" t="str">
        <f t="shared" si="79"/>
        <v>"fashion hacks Boston",</v>
      </c>
      <c r="AB79" s="7" t="str">
        <f t="shared" si="79"/>
        <v>"capsule wardrobe Boston",</v>
      </c>
      <c r="AC79" s="7" t="str">
        <f t="shared" si="79"/>
        <v>"fashion trends Boston",</v>
      </c>
      <c r="AD79" s="7" t="str">
        <f t="shared" si="79"/>
        <v>"minimalist fashion Boston",</v>
      </c>
      <c r="AE79" s="7" t="str">
        <f t="shared" si="79"/>
        <v>"beauty hacks Boston",</v>
      </c>
      <c r="AF79" s="7" t="str">
        <f t="shared" si="79"/>
        <v>"hair routines Boston",</v>
      </c>
      <c r="AG79" s="7" t="str">
        <f t="shared" si="79"/>
        <v>"empties Boston",</v>
      </c>
      <c r="AH79" s="7" t="str">
        <f t="shared" si="79"/>
        <v>"product reviews Boston",</v>
      </c>
      <c r="AI79" s="7" t="str">
        <f t="shared" si="79"/>
        <v>"beauty reviews  Boston",</v>
      </c>
      <c r="AJ79" s="7" t="str">
        <f t="shared" si="79"/>
        <v>"make-up artist Boston",</v>
      </c>
      <c r="AK79" s="7" t="str">
        <f t="shared" si="79"/>
        <v>"skincare journey Boston",</v>
      </c>
      <c r="AL79" s="7" t="str">
        <f t="shared" si="79"/>
        <v>"hair tutorial Boston",</v>
      </c>
      <c r="AM79" s="7" t="str">
        <f t="shared" si="79"/>
        <v>"barbershop Boston",</v>
      </c>
      <c r="AN79" s="7"/>
      <c r="AO79" s="7"/>
    </row>
    <row r="80">
      <c r="A80" s="4" t="s">
        <v>4892</v>
      </c>
      <c r="B80" s="7" t="str">
        <f t="shared" si="5"/>
        <v>"ootd Philadelphia",</v>
      </c>
      <c r="C80" s="7" t="str">
        <f t="shared" ref="C80:AM80" si="80">CONCATENATE(C$1," ",$A80)</f>
        <v>"street style Philadelphia",</v>
      </c>
      <c r="D80" s="7" t="str">
        <f t="shared" si="80"/>
        <v>"skincare Philadelphia",</v>
      </c>
      <c r="E80" s="7" t="str">
        <f t="shared" si="80"/>
        <v>"makeup Philadelphia",</v>
      </c>
      <c r="F80" s="7" t="str">
        <f t="shared" si="80"/>
        <v>"nails Philadelphia",</v>
      </c>
      <c r="G80" s="7" t="str">
        <f t="shared" si="80"/>
        <v>"curly hair Philadelphia",</v>
      </c>
      <c r="H80" s="7" t="str">
        <f t="shared" si="80"/>
        <v>"thrift Philadelphia",</v>
      </c>
      <c r="I80" s="7" t="str">
        <f t="shared" si="80"/>
        <v>"streetwear Philadelphia",</v>
      </c>
      <c r="J80" s="7" t="str">
        <f t="shared" si="80"/>
        <v>"luxury Philadelphia",</v>
      </c>
      <c r="K80" s="7" t="str">
        <f t="shared" si="80"/>
        <v>"handbags Philadelphia",</v>
      </c>
      <c r="L80" s="7" t="str">
        <f t="shared" si="80"/>
        <v>"sneakers Philadelphia",</v>
      </c>
      <c r="M80" s="7" t="str">
        <f t="shared" si="80"/>
        <v>"high heels Philadelphia",</v>
      </c>
      <c r="N80" s="7" t="str">
        <f t="shared" si="80"/>
        <v>"haute-couture Philadelphia",</v>
      </c>
      <c r="O80" s="7" t="str">
        <f t="shared" si="80"/>
        <v>"diyfashion Philadelphia",</v>
      </c>
      <c r="P80" s="7" t="str">
        <f t="shared" si="80"/>
        <v>"accessories Philadelphia",</v>
      </c>
      <c r="Q80" s="7" t="str">
        <f t="shared" si="80"/>
        <v>"menswear Philadelphia",</v>
      </c>
      <c r="R80" s="7" t="str">
        <f t="shared" si="80"/>
        <v>"womenswear Philadelphia",</v>
      </c>
      <c r="S80" s="7" t="str">
        <f t="shared" si="80"/>
        <v>"moda Philadelphia",</v>
      </c>
      <c r="T80" s="7" t="str">
        <f t="shared" si="80"/>
        <v>"hairstyle Philadelphia",</v>
      </c>
      <c r="U80" s="7" t="str">
        <f t="shared" si="80"/>
        <v>"perfume Philadelphia",</v>
      </c>
      <c r="V80" s="7" t="str">
        <f t="shared" si="80"/>
        <v>"cosmetiques Philadelphia",</v>
      </c>
      <c r="W80" s="7" t="str">
        <f t="shared" si="80"/>
        <v>"beauty routine Philadelphia",</v>
      </c>
      <c r="X80" s="7" t="str">
        <f t="shared" si="80"/>
        <v>"natural beauty Philadelphia",</v>
      </c>
      <c r="Y80" s="7" t="str">
        <f t="shared" si="80"/>
        <v>"organic beauty Philadelphia",</v>
      </c>
      <c r="Z80" s="7" t="str">
        <f t="shared" si="80"/>
        <v>"sustainable fashion Philadelphia",</v>
      </c>
      <c r="AA80" s="7" t="str">
        <f t="shared" si="80"/>
        <v>"fashion hacks Philadelphia",</v>
      </c>
      <c r="AB80" s="7" t="str">
        <f t="shared" si="80"/>
        <v>"capsule wardrobe Philadelphia",</v>
      </c>
      <c r="AC80" s="7" t="str">
        <f t="shared" si="80"/>
        <v>"fashion trends Philadelphia",</v>
      </c>
      <c r="AD80" s="7" t="str">
        <f t="shared" si="80"/>
        <v>"minimalist fashion Philadelphia",</v>
      </c>
      <c r="AE80" s="7" t="str">
        <f t="shared" si="80"/>
        <v>"beauty hacks Philadelphia",</v>
      </c>
      <c r="AF80" s="7" t="str">
        <f t="shared" si="80"/>
        <v>"hair routines Philadelphia",</v>
      </c>
      <c r="AG80" s="7" t="str">
        <f t="shared" si="80"/>
        <v>"empties Philadelphia",</v>
      </c>
      <c r="AH80" s="7" t="str">
        <f t="shared" si="80"/>
        <v>"product reviews Philadelphia",</v>
      </c>
      <c r="AI80" s="7" t="str">
        <f t="shared" si="80"/>
        <v>"beauty reviews  Philadelphia",</v>
      </c>
      <c r="AJ80" s="7" t="str">
        <f t="shared" si="80"/>
        <v>"make-up artist Philadelphia",</v>
      </c>
      <c r="AK80" s="7" t="str">
        <f t="shared" si="80"/>
        <v>"skincare journey Philadelphia",</v>
      </c>
      <c r="AL80" s="7" t="str">
        <f t="shared" si="80"/>
        <v>"hair tutorial Philadelphia",</v>
      </c>
      <c r="AM80" s="7" t="str">
        <f t="shared" si="80"/>
        <v>"barbershop Philadelphia",</v>
      </c>
      <c r="AN80" s="7"/>
      <c r="AO80" s="7"/>
    </row>
    <row r="81">
      <c r="A81" s="4" t="s">
        <v>4893</v>
      </c>
      <c r="B81" s="7" t="str">
        <f t="shared" si="5"/>
        <v>"ootd Atlanta",</v>
      </c>
      <c r="C81" s="7" t="str">
        <f t="shared" ref="C81:AM81" si="81">CONCATENATE(C$1," ",$A81)</f>
        <v>"street style Atlanta",</v>
      </c>
      <c r="D81" s="7" t="str">
        <f t="shared" si="81"/>
        <v>"skincare Atlanta",</v>
      </c>
      <c r="E81" s="7" t="str">
        <f t="shared" si="81"/>
        <v>"makeup Atlanta",</v>
      </c>
      <c r="F81" s="7" t="str">
        <f t="shared" si="81"/>
        <v>"nails Atlanta",</v>
      </c>
      <c r="G81" s="7" t="str">
        <f t="shared" si="81"/>
        <v>"curly hair Atlanta",</v>
      </c>
      <c r="H81" s="7" t="str">
        <f t="shared" si="81"/>
        <v>"thrift Atlanta",</v>
      </c>
      <c r="I81" s="7" t="str">
        <f t="shared" si="81"/>
        <v>"streetwear Atlanta",</v>
      </c>
      <c r="J81" s="7" t="str">
        <f t="shared" si="81"/>
        <v>"luxury Atlanta",</v>
      </c>
      <c r="K81" s="7" t="str">
        <f t="shared" si="81"/>
        <v>"handbags Atlanta",</v>
      </c>
      <c r="L81" s="7" t="str">
        <f t="shared" si="81"/>
        <v>"sneakers Atlanta",</v>
      </c>
      <c r="M81" s="7" t="str">
        <f t="shared" si="81"/>
        <v>"high heels Atlanta",</v>
      </c>
      <c r="N81" s="7" t="str">
        <f t="shared" si="81"/>
        <v>"haute-couture Atlanta",</v>
      </c>
      <c r="O81" s="7" t="str">
        <f t="shared" si="81"/>
        <v>"diyfashion Atlanta",</v>
      </c>
      <c r="P81" s="7" t="str">
        <f t="shared" si="81"/>
        <v>"accessories Atlanta",</v>
      </c>
      <c r="Q81" s="7" t="str">
        <f t="shared" si="81"/>
        <v>"menswear Atlanta",</v>
      </c>
      <c r="R81" s="7" t="str">
        <f t="shared" si="81"/>
        <v>"womenswear Atlanta",</v>
      </c>
      <c r="S81" s="7" t="str">
        <f t="shared" si="81"/>
        <v>"moda Atlanta",</v>
      </c>
      <c r="T81" s="7" t="str">
        <f t="shared" si="81"/>
        <v>"hairstyle Atlanta",</v>
      </c>
      <c r="U81" s="7" t="str">
        <f t="shared" si="81"/>
        <v>"perfume Atlanta",</v>
      </c>
      <c r="V81" s="7" t="str">
        <f t="shared" si="81"/>
        <v>"cosmetiques Atlanta",</v>
      </c>
      <c r="W81" s="7" t="str">
        <f t="shared" si="81"/>
        <v>"beauty routine Atlanta",</v>
      </c>
      <c r="X81" s="7" t="str">
        <f t="shared" si="81"/>
        <v>"natural beauty Atlanta",</v>
      </c>
      <c r="Y81" s="7" t="str">
        <f t="shared" si="81"/>
        <v>"organic beauty Atlanta",</v>
      </c>
      <c r="Z81" s="7" t="str">
        <f t="shared" si="81"/>
        <v>"sustainable fashion Atlanta",</v>
      </c>
      <c r="AA81" s="7" t="str">
        <f t="shared" si="81"/>
        <v>"fashion hacks Atlanta",</v>
      </c>
      <c r="AB81" s="7" t="str">
        <f t="shared" si="81"/>
        <v>"capsule wardrobe Atlanta",</v>
      </c>
      <c r="AC81" s="7" t="str">
        <f t="shared" si="81"/>
        <v>"fashion trends Atlanta",</v>
      </c>
      <c r="AD81" s="7" t="str">
        <f t="shared" si="81"/>
        <v>"minimalist fashion Atlanta",</v>
      </c>
      <c r="AE81" s="7" t="str">
        <f t="shared" si="81"/>
        <v>"beauty hacks Atlanta",</v>
      </c>
      <c r="AF81" s="7" t="str">
        <f t="shared" si="81"/>
        <v>"hair routines Atlanta",</v>
      </c>
      <c r="AG81" s="7" t="str">
        <f t="shared" si="81"/>
        <v>"empties Atlanta",</v>
      </c>
      <c r="AH81" s="7" t="str">
        <f t="shared" si="81"/>
        <v>"product reviews Atlanta",</v>
      </c>
      <c r="AI81" s="7" t="str">
        <f t="shared" si="81"/>
        <v>"beauty reviews  Atlanta",</v>
      </c>
      <c r="AJ81" s="7" t="str">
        <f t="shared" si="81"/>
        <v>"make-up artist Atlanta",</v>
      </c>
      <c r="AK81" s="7" t="str">
        <f t="shared" si="81"/>
        <v>"skincare journey Atlanta",</v>
      </c>
      <c r="AL81" s="7" t="str">
        <f t="shared" si="81"/>
        <v>"hair tutorial Atlanta",</v>
      </c>
      <c r="AM81" s="7" t="str">
        <f t="shared" si="81"/>
        <v>"barbershop Atlanta",</v>
      </c>
      <c r="AN81" s="7"/>
      <c r="AO81" s="7"/>
    </row>
    <row r="82">
      <c r="A82" s="4" t="s">
        <v>4894</v>
      </c>
      <c r="B82" s="7" t="str">
        <f t="shared" si="5"/>
        <v>"ootd Houston",</v>
      </c>
      <c r="C82" s="7" t="str">
        <f t="shared" ref="C82:AM82" si="82">CONCATENATE(C$1," ",$A82)</f>
        <v>"street style Houston",</v>
      </c>
      <c r="D82" s="7" t="str">
        <f t="shared" si="82"/>
        <v>"skincare Houston",</v>
      </c>
      <c r="E82" s="7" t="str">
        <f t="shared" si="82"/>
        <v>"makeup Houston",</v>
      </c>
      <c r="F82" s="7" t="str">
        <f t="shared" si="82"/>
        <v>"nails Houston",</v>
      </c>
      <c r="G82" s="7" t="str">
        <f t="shared" si="82"/>
        <v>"curly hair Houston",</v>
      </c>
      <c r="H82" s="7" t="str">
        <f t="shared" si="82"/>
        <v>"thrift Houston",</v>
      </c>
      <c r="I82" s="7" t="str">
        <f t="shared" si="82"/>
        <v>"streetwear Houston",</v>
      </c>
      <c r="J82" s="7" t="str">
        <f t="shared" si="82"/>
        <v>"luxury Houston",</v>
      </c>
      <c r="K82" s="7" t="str">
        <f t="shared" si="82"/>
        <v>"handbags Houston",</v>
      </c>
      <c r="L82" s="7" t="str">
        <f t="shared" si="82"/>
        <v>"sneakers Houston",</v>
      </c>
      <c r="M82" s="7" t="str">
        <f t="shared" si="82"/>
        <v>"high heels Houston",</v>
      </c>
      <c r="N82" s="7" t="str">
        <f t="shared" si="82"/>
        <v>"haute-couture Houston",</v>
      </c>
      <c r="O82" s="7" t="str">
        <f t="shared" si="82"/>
        <v>"diyfashion Houston",</v>
      </c>
      <c r="P82" s="7" t="str">
        <f t="shared" si="82"/>
        <v>"accessories Houston",</v>
      </c>
      <c r="Q82" s="7" t="str">
        <f t="shared" si="82"/>
        <v>"menswear Houston",</v>
      </c>
      <c r="R82" s="7" t="str">
        <f t="shared" si="82"/>
        <v>"womenswear Houston",</v>
      </c>
      <c r="S82" s="7" t="str">
        <f t="shared" si="82"/>
        <v>"moda Houston",</v>
      </c>
      <c r="T82" s="7" t="str">
        <f t="shared" si="82"/>
        <v>"hairstyle Houston",</v>
      </c>
      <c r="U82" s="7" t="str">
        <f t="shared" si="82"/>
        <v>"perfume Houston",</v>
      </c>
      <c r="V82" s="7" t="str">
        <f t="shared" si="82"/>
        <v>"cosmetiques Houston",</v>
      </c>
      <c r="W82" s="7" t="str">
        <f t="shared" si="82"/>
        <v>"beauty routine Houston",</v>
      </c>
      <c r="X82" s="7" t="str">
        <f t="shared" si="82"/>
        <v>"natural beauty Houston",</v>
      </c>
      <c r="Y82" s="7" t="str">
        <f t="shared" si="82"/>
        <v>"organic beauty Houston",</v>
      </c>
      <c r="Z82" s="7" t="str">
        <f t="shared" si="82"/>
        <v>"sustainable fashion Houston",</v>
      </c>
      <c r="AA82" s="7" t="str">
        <f t="shared" si="82"/>
        <v>"fashion hacks Houston",</v>
      </c>
      <c r="AB82" s="7" t="str">
        <f t="shared" si="82"/>
        <v>"capsule wardrobe Houston",</v>
      </c>
      <c r="AC82" s="7" t="str">
        <f t="shared" si="82"/>
        <v>"fashion trends Houston",</v>
      </c>
      <c r="AD82" s="7" t="str">
        <f t="shared" si="82"/>
        <v>"minimalist fashion Houston",</v>
      </c>
      <c r="AE82" s="7" t="str">
        <f t="shared" si="82"/>
        <v>"beauty hacks Houston",</v>
      </c>
      <c r="AF82" s="7" t="str">
        <f t="shared" si="82"/>
        <v>"hair routines Houston",</v>
      </c>
      <c r="AG82" s="7" t="str">
        <f t="shared" si="82"/>
        <v>"empties Houston",</v>
      </c>
      <c r="AH82" s="7" t="str">
        <f t="shared" si="82"/>
        <v>"product reviews Houston",</v>
      </c>
      <c r="AI82" s="7" t="str">
        <f t="shared" si="82"/>
        <v>"beauty reviews  Houston",</v>
      </c>
      <c r="AJ82" s="7" t="str">
        <f t="shared" si="82"/>
        <v>"make-up artist Houston",</v>
      </c>
      <c r="AK82" s="7" t="str">
        <f t="shared" si="82"/>
        <v>"skincare journey Houston",</v>
      </c>
      <c r="AL82" s="7" t="str">
        <f t="shared" si="82"/>
        <v>"hair tutorial Houston",</v>
      </c>
      <c r="AM82" s="7" t="str">
        <f t="shared" si="82"/>
        <v>"barbershop Houston",</v>
      </c>
      <c r="AN82" s="7"/>
      <c r="AO82" s="7"/>
    </row>
    <row r="83">
      <c r="A83" s="4" t="s">
        <v>4895</v>
      </c>
      <c r="B83" s="7" t="str">
        <f t="shared" si="5"/>
        <v>"ootd Dallas",</v>
      </c>
      <c r="C83" s="7" t="str">
        <f t="shared" ref="C83:AM83" si="83">CONCATENATE(C$1," ",$A83)</f>
        <v>"street style Dallas",</v>
      </c>
      <c r="D83" s="7" t="str">
        <f t="shared" si="83"/>
        <v>"skincare Dallas",</v>
      </c>
      <c r="E83" s="7" t="str">
        <f t="shared" si="83"/>
        <v>"makeup Dallas",</v>
      </c>
      <c r="F83" s="7" t="str">
        <f t="shared" si="83"/>
        <v>"nails Dallas",</v>
      </c>
      <c r="G83" s="7" t="str">
        <f t="shared" si="83"/>
        <v>"curly hair Dallas",</v>
      </c>
      <c r="H83" s="7" t="str">
        <f t="shared" si="83"/>
        <v>"thrift Dallas",</v>
      </c>
      <c r="I83" s="7" t="str">
        <f t="shared" si="83"/>
        <v>"streetwear Dallas",</v>
      </c>
      <c r="J83" s="7" t="str">
        <f t="shared" si="83"/>
        <v>"luxury Dallas",</v>
      </c>
      <c r="K83" s="7" t="str">
        <f t="shared" si="83"/>
        <v>"handbags Dallas",</v>
      </c>
      <c r="L83" s="7" t="str">
        <f t="shared" si="83"/>
        <v>"sneakers Dallas",</v>
      </c>
      <c r="M83" s="7" t="str">
        <f t="shared" si="83"/>
        <v>"high heels Dallas",</v>
      </c>
      <c r="N83" s="7" t="str">
        <f t="shared" si="83"/>
        <v>"haute-couture Dallas",</v>
      </c>
      <c r="O83" s="7" t="str">
        <f t="shared" si="83"/>
        <v>"diyfashion Dallas",</v>
      </c>
      <c r="P83" s="7" t="str">
        <f t="shared" si="83"/>
        <v>"accessories Dallas",</v>
      </c>
      <c r="Q83" s="7" t="str">
        <f t="shared" si="83"/>
        <v>"menswear Dallas",</v>
      </c>
      <c r="R83" s="7" t="str">
        <f t="shared" si="83"/>
        <v>"womenswear Dallas",</v>
      </c>
      <c r="S83" s="7" t="str">
        <f t="shared" si="83"/>
        <v>"moda Dallas",</v>
      </c>
      <c r="T83" s="7" t="str">
        <f t="shared" si="83"/>
        <v>"hairstyle Dallas",</v>
      </c>
      <c r="U83" s="7" t="str">
        <f t="shared" si="83"/>
        <v>"perfume Dallas",</v>
      </c>
      <c r="V83" s="7" t="str">
        <f t="shared" si="83"/>
        <v>"cosmetiques Dallas",</v>
      </c>
      <c r="W83" s="7" t="str">
        <f t="shared" si="83"/>
        <v>"beauty routine Dallas",</v>
      </c>
      <c r="X83" s="7" t="str">
        <f t="shared" si="83"/>
        <v>"natural beauty Dallas",</v>
      </c>
      <c r="Y83" s="7" t="str">
        <f t="shared" si="83"/>
        <v>"organic beauty Dallas",</v>
      </c>
      <c r="Z83" s="7" t="str">
        <f t="shared" si="83"/>
        <v>"sustainable fashion Dallas",</v>
      </c>
      <c r="AA83" s="7" t="str">
        <f t="shared" si="83"/>
        <v>"fashion hacks Dallas",</v>
      </c>
      <c r="AB83" s="7" t="str">
        <f t="shared" si="83"/>
        <v>"capsule wardrobe Dallas",</v>
      </c>
      <c r="AC83" s="7" t="str">
        <f t="shared" si="83"/>
        <v>"fashion trends Dallas",</v>
      </c>
      <c r="AD83" s="7" t="str">
        <f t="shared" si="83"/>
        <v>"minimalist fashion Dallas",</v>
      </c>
      <c r="AE83" s="7" t="str">
        <f t="shared" si="83"/>
        <v>"beauty hacks Dallas",</v>
      </c>
      <c r="AF83" s="7" t="str">
        <f t="shared" si="83"/>
        <v>"hair routines Dallas",</v>
      </c>
      <c r="AG83" s="7" t="str">
        <f t="shared" si="83"/>
        <v>"empties Dallas",</v>
      </c>
      <c r="AH83" s="7" t="str">
        <f t="shared" si="83"/>
        <v>"product reviews Dallas",</v>
      </c>
      <c r="AI83" s="7" t="str">
        <f t="shared" si="83"/>
        <v>"beauty reviews  Dallas",</v>
      </c>
      <c r="AJ83" s="7" t="str">
        <f t="shared" si="83"/>
        <v>"make-up artist Dallas",</v>
      </c>
      <c r="AK83" s="7" t="str">
        <f t="shared" si="83"/>
        <v>"skincare journey Dallas",</v>
      </c>
      <c r="AL83" s="7" t="str">
        <f t="shared" si="83"/>
        <v>"hair tutorial Dallas",</v>
      </c>
      <c r="AM83" s="7" t="str">
        <f t="shared" si="83"/>
        <v>"barbershop Dallas",</v>
      </c>
      <c r="AN83" s="7"/>
      <c r="AO83" s="7"/>
    </row>
    <row r="84">
      <c r="A84" s="4" t="s">
        <v>4896</v>
      </c>
      <c r="B84" s="7" t="str">
        <f t="shared" si="5"/>
        <v>"ootd Seattle",</v>
      </c>
      <c r="C84" s="7" t="str">
        <f t="shared" ref="C84:AM84" si="84">CONCATENATE(C$1," ",$A84)</f>
        <v>"street style Seattle",</v>
      </c>
      <c r="D84" s="7" t="str">
        <f t="shared" si="84"/>
        <v>"skincare Seattle",</v>
      </c>
      <c r="E84" s="7" t="str">
        <f t="shared" si="84"/>
        <v>"makeup Seattle",</v>
      </c>
      <c r="F84" s="7" t="str">
        <f t="shared" si="84"/>
        <v>"nails Seattle",</v>
      </c>
      <c r="G84" s="7" t="str">
        <f t="shared" si="84"/>
        <v>"curly hair Seattle",</v>
      </c>
      <c r="H84" s="7" t="str">
        <f t="shared" si="84"/>
        <v>"thrift Seattle",</v>
      </c>
      <c r="I84" s="7" t="str">
        <f t="shared" si="84"/>
        <v>"streetwear Seattle",</v>
      </c>
      <c r="J84" s="7" t="str">
        <f t="shared" si="84"/>
        <v>"luxury Seattle",</v>
      </c>
      <c r="K84" s="7" t="str">
        <f t="shared" si="84"/>
        <v>"handbags Seattle",</v>
      </c>
      <c r="L84" s="7" t="str">
        <f t="shared" si="84"/>
        <v>"sneakers Seattle",</v>
      </c>
      <c r="M84" s="7" t="str">
        <f t="shared" si="84"/>
        <v>"high heels Seattle",</v>
      </c>
      <c r="N84" s="7" t="str">
        <f t="shared" si="84"/>
        <v>"haute-couture Seattle",</v>
      </c>
      <c r="O84" s="7" t="str">
        <f t="shared" si="84"/>
        <v>"diyfashion Seattle",</v>
      </c>
      <c r="P84" s="7" t="str">
        <f t="shared" si="84"/>
        <v>"accessories Seattle",</v>
      </c>
      <c r="Q84" s="7" t="str">
        <f t="shared" si="84"/>
        <v>"menswear Seattle",</v>
      </c>
      <c r="R84" s="7" t="str">
        <f t="shared" si="84"/>
        <v>"womenswear Seattle",</v>
      </c>
      <c r="S84" s="7" t="str">
        <f t="shared" si="84"/>
        <v>"moda Seattle",</v>
      </c>
      <c r="T84" s="7" t="str">
        <f t="shared" si="84"/>
        <v>"hairstyle Seattle",</v>
      </c>
      <c r="U84" s="7" t="str">
        <f t="shared" si="84"/>
        <v>"perfume Seattle",</v>
      </c>
      <c r="V84" s="7" t="str">
        <f t="shared" si="84"/>
        <v>"cosmetiques Seattle",</v>
      </c>
      <c r="W84" s="7" t="str">
        <f t="shared" si="84"/>
        <v>"beauty routine Seattle",</v>
      </c>
      <c r="X84" s="7" t="str">
        <f t="shared" si="84"/>
        <v>"natural beauty Seattle",</v>
      </c>
      <c r="Y84" s="7" t="str">
        <f t="shared" si="84"/>
        <v>"organic beauty Seattle",</v>
      </c>
      <c r="Z84" s="7" t="str">
        <f t="shared" si="84"/>
        <v>"sustainable fashion Seattle",</v>
      </c>
      <c r="AA84" s="7" t="str">
        <f t="shared" si="84"/>
        <v>"fashion hacks Seattle",</v>
      </c>
      <c r="AB84" s="7" t="str">
        <f t="shared" si="84"/>
        <v>"capsule wardrobe Seattle",</v>
      </c>
      <c r="AC84" s="7" t="str">
        <f t="shared" si="84"/>
        <v>"fashion trends Seattle",</v>
      </c>
      <c r="AD84" s="7" t="str">
        <f t="shared" si="84"/>
        <v>"minimalist fashion Seattle",</v>
      </c>
      <c r="AE84" s="7" t="str">
        <f t="shared" si="84"/>
        <v>"beauty hacks Seattle",</v>
      </c>
      <c r="AF84" s="7" t="str">
        <f t="shared" si="84"/>
        <v>"hair routines Seattle",</v>
      </c>
      <c r="AG84" s="7" t="str">
        <f t="shared" si="84"/>
        <v>"empties Seattle",</v>
      </c>
      <c r="AH84" s="7" t="str">
        <f t="shared" si="84"/>
        <v>"product reviews Seattle",</v>
      </c>
      <c r="AI84" s="7" t="str">
        <f t="shared" si="84"/>
        <v>"beauty reviews  Seattle",</v>
      </c>
      <c r="AJ84" s="7" t="str">
        <f t="shared" si="84"/>
        <v>"make-up artist Seattle",</v>
      </c>
      <c r="AK84" s="7" t="str">
        <f t="shared" si="84"/>
        <v>"skincare journey Seattle",</v>
      </c>
      <c r="AL84" s="7" t="str">
        <f t="shared" si="84"/>
        <v>"hair tutorial Seattle",</v>
      </c>
      <c r="AM84" s="7" t="str">
        <f t="shared" si="84"/>
        <v>"barbershop Seattle",</v>
      </c>
      <c r="AN84" s="7"/>
      <c r="AO84" s="7"/>
    </row>
    <row r="85">
      <c r="A85" s="4" t="s">
        <v>4897</v>
      </c>
      <c r="B85" s="7" t="str">
        <f t="shared" si="5"/>
        <v>"ootd Las Vegas",</v>
      </c>
      <c r="C85" s="7" t="str">
        <f t="shared" ref="C85:AM85" si="85">CONCATENATE(C$1," ",$A85)</f>
        <v>"street style Las Vegas",</v>
      </c>
      <c r="D85" s="7" t="str">
        <f t="shared" si="85"/>
        <v>"skincare Las Vegas",</v>
      </c>
      <c r="E85" s="7" t="str">
        <f t="shared" si="85"/>
        <v>"makeup Las Vegas",</v>
      </c>
      <c r="F85" s="7" t="str">
        <f t="shared" si="85"/>
        <v>"nails Las Vegas",</v>
      </c>
      <c r="G85" s="7" t="str">
        <f t="shared" si="85"/>
        <v>"curly hair Las Vegas",</v>
      </c>
      <c r="H85" s="7" t="str">
        <f t="shared" si="85"/>
        <v>"thrift Las Vegas",</v>
      </c>
      <c r="I85" s="7" t="str">
        <f t="shared" si="85"/>
        <v>"streetwear Las Vegas",</v>
      </c>
      <c r="J85" s="7" t="str">
        <f t="shared" si="85"/>
        <v>"luxury Las Vegas",</v>
      </c>
      <c r="K85" s="7" t="str">
        <f t="shared" si="85"/>
        <v>"handbags Las Vegas",</v>
      </c>
      <c r="L85" s="7" t="str">
        <f t="shared" si="85"/>
        <v>"sneakers Las Vegas",</v>
      </c>
      <c r="M85" s="7" t="str">
        <f t="shared" si="85"/>
        <v>"high heels Las Vegas",</v>
      </c>
      <c r="N85" s="7" t="str">
        <f t="shared" si="85"/>
        <v>"haute-couture Las Vegas",</v>
      </c>
      <c r="O85" s="7" t="str">
        <f t="shared" si="85"/>
        <v>"diyfashion Las Vegas",</v>
      </c>
      <c r="P85" s="7" t="str">
        <f t="shared" si="85"/>
        <v>"accessories Las Vegas",</v>
      </c>
      <c r="Q85" s="7" t="str">
        <f t="shared" si="85"/>
        <v>"menswear Las Vegas",</v>
      </c>
      <c r="R85" s="7" t="str">
        <f t="shared" si="85"/>
        <v>"womenswear Las Vegas",</v>
      </c>
      <c r="S85" s="7" t="str">
        <f t="shared" si="85"/>
        <v>"moda Las Vegas",</v>
      </c>
      <c r="T85" s="7" t="str">
        <f t="shared" si="85"/>
        <v>"hairstyle Las Vegas",</v>
      </c>
      <c r="U85" s="7" t="str">
        <f t="shared" si="85"/>
        <v>"perfume Las Vegas",</v>
      </c>
      <c r="V85" s="7" t="str">
        <f t="shared" si="85"/>
        <v>"cosmetiques Las Vegas",</v>
      </c>
      <c r="W85" s="7" t="str">
        <f t="shared" si="85"/>
        <v>"beauty routine Las Vegas",</v>
      </c>
      <c r="X85" s="7" t="str">
        <f t="shared" si="85"/>
        <v>"natural beauty Las Vegas",</v>
      </c>
      <c r="Y85" s="7" t="str">
        <f t="shared" si="85"/>
        <v>"organic beauty Las Vegas",</v>
      </c>
      <c r="Z85" s="7" t="str">
        <f t="shared" si="85"/>
        <v>"sustainable fashion Las Vegas",</v>
      </c>
      <c r="AA85" s="7" t="str">
        <f t="shared" si="85"/>
        <v>"fashion hacks Las Vegas",</v>
      </c>
      <c r="AB85" s="7" t="str">
        <f t="shared" si="85"/>
        <v>"capsule wardrobe Las Vegas",</v>
      </c>
      <c r="AC85" s="7" t="str">
        <f t="shared" si="85"/>
        <v>"fashion trends Las Vegas",</v>
      </c>
      <c r="AD85" s="7" t="str">
        <f t="shared" si="85"/>
        <v>"minimalist fashion Las Vegas",</v>
      </c>
      <c r="AE85" s="7" t="str">
        <f t="shared" si="85"/>
        <v>"beauty hacks Las Vegas",</v>
      </c>
      <c r="AF85" s="7" t="str">
        <f t="shared" si="85"/>
        <v>"hair routines Las Vegas",</v>
      </c>
      <c r="AG85" s="7" t="str">
        <f t="shared" si="85"/>
        <v>"empties Las Vegas",</v>
      </c>
      <c r="AH85" s="7" t="str">
        <f t="shared" si="85"/>
        <v>"product reviews Las Vegas",</v>
      </c>
      <c r="AI85" s="7" t="str">
        <f t="shared" si="85"/>
        <v>"beauty reviews  Las Vegas",</v>
      </c>
      <c r="AJ85" s="7" t="str">
        <f t="shared" si="85"/>
        <v>"make-up artist Las Vegas",</v>
      </c>
      <c r="AK85" s="7" t="str">
        <f t="shared" si="85"/>
        <v>"skincare journey Las Vegas",</v>
      </c>
      <c r="AL85" s="7" t="str">
        <f t="shared" si="85"/>
        <v>"hair tutorial Las Vegas",</v>
      </c>
      <c r="AM85" s="7" t="str">
        <f t="shared" si="85"/>
        <v>"barbershop Las Vegas",</v>
      </c>
      <c r="AN85" s="7"/>
      <c r="AO85" s="7"/>
    </row>
    <row r="86">
      <c r="A86" s="4" t="s">
        <v>4898</v>
      </c>
      <c r="B86" s="7" t="str">
        <f t="shared" si="5"/>
        <v>"ootd San Diego",</v>
      </c>
      <c r="C86" s="7" t="str">
        <f t="shared" ref="C86:AM86" si="86">CONCATENATE(C$1," ",$A86)</f>
        <v>"street style San Diego",</v>
      </c>
      <c r="D86" s="7" t="str">
        <f t="shared" si="86"/>
        <v>"skincare San Diego",</v>
      </c>
      <c r="E86" s="7" t="str">
        <f t="shared" si="86"/>
        <v>"makeup San Diego",</v>
      </c>
      <c r="F86" s="7" t="str">
        <f t="shared" si="86"/>
        <v>"nails San Diego",</v>
      </c>
      <c r="G86" s="7" t="str">
        <f t="shared" si="86"/>
        <v>"curly hair San Diego",</v>
      </c>
      <c r="H86" s="7" t="str">
        <f t="shared" si="86"/>
        <v>"thrift San Diego",</v>
      </c>
      <c r="I86" s="7" t="str">
        <f t="shared" si="86"/>
        <v>"streetwear San Diego",</v>
      </c>
      <c r="J86" s="7" t="str">
        <f t="shared" si="86"/>
        <v>"luxury San Diego",</v>
      </c>
      <c r="K86" s="7" t="str">
        <f t="shared" si="86"/>
        <v>"handbags San Diego",</v>
      </c>
      <c r="L86" s="7" t="str">
        <f t="shared" si="86"/>
        <v>"sneakers San Diego",</v>
      </c>
      <c r="M86" s="7" t="str">
        <f t="shared" si="86"/>
        <v>"high heels San Diego",</v>
      </c>
      <c r="N86" s="7" t="str">
        <f t="shared" si="86"/>
        <v>"haute-couture San Diego",</v>
      </c>
      <c r="O86" s="7" t="str">
        <f t="shared" si="86"/>
        <v>"diyfashion San Diego",</v>
      </c>
      <c r="P86" s="7" t="str">
        <f t="shared" si="86"/>
        <v>"accessories San Diego",</v>
      </c>
      <c r="Q86" s="7" t="str">
        <f t="shared" si="86"/>
        <v>"menswear San Diego",</v>
      </c>
      <c r="R86" s="7" t="str">
        <f t="shared" si="86"/>
        <v>"womenswear San Diego",</v>
      </c>
      <c r="S86" s="7" t="str">
        <f t="shared" si="86"/>
        <v>"moda San Diego",</v>
      </c>
      <c r="T86" s="7" t="str">
        <f t="shared" si="86"/>
        <v>"hairstyle San Diego",</v>
      </c>
      <c r="U86" s="7" t="str">
        <f t="shared" si="86"/>
        <v>"perfume San Diego",</v>
      </c>
      <c r="V86" s="7" t="str">
        <f t="shared" si="86"/>
        <v>"cosmetiques San Diego",</v>
      </c>
      <c r="W86" s="7" t="str">
        <f t="shared" si="86"/>
        <v>"beauty routine San Diego",</v>
      </c>
      <c r="X86" s="7" t="str">
        <f t="shared" si="86"/>
        <v>"natural beauty San Diego",</v>
      </c>
      <c r="Y86" s="7" t="str">
        <f t="shared" si="86"/>
        <v>"organic beauty San Diego",</v>
      </c>
      <c r="Z86" s="7" t="str">
        <f t="shared" si="86"/>
        <v>"sustainable fashion San Diego",</v>
      </c>
      <c r="AA86" s="7" t="str">
        <f t="shared" si="86"/>
        <v>"fashion hacks San Diego",</v>
      </c>
      <c r="AB86" s="7" t="str">
        <f t="shared" si="86"/>
        <v>"capsule wardrobe San Diego",</v>
      </c>
      <c r="AC86" s="7" t="str">
        <f t="shared" si="86"/>
        <v>"fashion trends San Diego",</v>
      </c>
      <c r="AD86" s="7" t="str">
        <f t="shared" si="86"/>
        <v>"minimalist fashion San Diego",</v>
      </c>
      <c r="AE86" s="7" t="str">
        <f t="shared" si="86"/>
        <v>"beauty hacks San Diego",</v>
      </c>
      <c r="AF86" s="7" t="str">
        <f t="shared" si="86"/>
        <v>"hair routines San Diego",</v>
      </c>
      <c r="AG86" s="7" t="str">
        <f t="shared" si="86"/>
        <v>"empties San Diego",</v>
      </c>
      <c r="AH86" s="7" t="str">
        <f t="shared" si="86"/>
        <v>"product reviews San Diego",</v>
      </c>
      <c r="AI86" s="7" t="str">
        <f t="shared" si="86"/>
        <v>"beauty reviews  San Diego",</v>
      </c>
      <c r="AJ86" s="7" t="str">
        <f t="shared" si="86"/>
        <v>"make-up artist San Diego",</v>
      </c>
      <c r="AK86" s="7" t="str">
        <f t="shared" si="86"/>
        <v>"skincare journey San Diego",</v>
      </c>
      <c r="AL86" s="7" t="str">
        <f t="shared" si="86"/>
        <v>"hair tutorial San Diego",</v>
      </c>
      <c r="AM86" s="7" t="str">
        <f t="shared" si="86"/>
        <v>"barbershop San Diego",</v>
      </c>
      <c r="AN86" s="7"/>
      <c r="AO86" s="7"/>
    </row>
    <row r="87">
      <c r="A87" s="4" t="s">
        <v>4899</v>
      </c>
      <c r="B87" s="7" t="str">
        <f t="shared" si="5"/>
        <v>"ootd Montreal",</v>
      </c>
      <c r="C87" s="7" t="str">
        <f t="shared" ref="C87:AM87" si="87">CONCATENATE(C$1," ",$A87)</f>
        <v>"street style Montreal",</v>
      </c>
      <c r="D87" s="7" t="str">
        <f t="shared" si="87"/>
        <v>"skincare Montreal",</v>
      </c>
      <c r="E87" s="7" t="str">
        <f t="shared" si="87"/>
        <v>"makeup Montreal",</v>
      </c>
      <c r="F87" s="7" t="str">
        <f t="shared" si="87"/>
        <v>"nails Montreal",</v>
      </c>
      <c r="G87" s="7" t="str">
        <f t="shared" si="87"/>
        <v>"curly hair Montreal",</v>
      </c>
      <c r="H87" s="7" t="str">
        <f t="shared" si="87"/>
        <v>"thrift Montreal",</v>
      </c>
      <c r="I87" s="7" t="str">
        <f t="shared" si="87"/>
        <v>"streetwear Montreal",</v>
      </c>
      <c r="J87" s="7" t="str">
        <f t="shared" si="87"/>
        <v>"luxury Montreal",</v>
      </c>
      <c r="K87" s="7" t="str">
        <f t="shared" si="87"/>
        <v>"handbags Montreal",</v>
      </c>
      <c r="L87" s="7" t="str">
        <f t="shared" si="87"/>
        <v>"sneakers Montreal",</v>
      </c>
      <c r="M87" s="7" t="str">
        <f t="shared" si="87"/>
        <v>"high heels Montreal",</v>
      </c>
      <c r="N87" s="7" t="str">
        <f t="shared" si="87"/>
        <v>"haute-couture Montreal",</v>
      </c>
      <c r="O87" s="7" t="str">
        <f t="shared" si="87"/>
        <v>"diyfashion Montreal",</v>
      </c>
      <c r="P87" s="7" t="str">
        <f t="shared" si="87"/>
        <v>"accessories Montreal",</v>
      </c>
      <c r="Q87" s="7" t="str">
        <f t="shared" si="87"/>
        <v>"menswear Montreal",</v>
      </c>
      <c r="R87" s="7" t="str">
        <f t="shared" si="87"/>
        <v>"womenswear Montreal",</v>
      </c>
      <c r="S87" s="7" t="str">
        <f t="shared" si="87"/>
        <v>"moda Montreal",</v>
      </c>
      <c r="T87" s="7" t="str">
        <f t="shared" si="87"/>
        <v>"hairstyle Montreal",</v>
      </c>
      <c r="U87" s="7" t="str">
        <f t="shared" si="87"/>
        <v>"perfume Montreal",</v>
      </c>
      <c r="V87" s="7" t="str">
        <f t="shared" si="87"/>
        <v>"cosmetiques Montreal",</v>
      </c>
      <c r="W87" s="7" t="str">
        <f t="shared" si="87"/>
        <v>"beauty routine Montreal",</v>
      </c>
      <c r="X87" s="7" t="str">
        <f t="shared" si="87"/>
        <v>"natural beauty Montreal",</v>
      </c>
      <c r="Y87" s="7" t="str">
        <f t="shared" si="87"/>
        <v>"organic beauty Montreal",</v>
      </c>
      <c r="Z87" s="7" t="str">
        <f t="shared" si="87"/>
        <v>"sustainable fashion Montreal",</v>
      </c>
      <c r="AA87" s="7" t="str">
        <f t="shared" si="87"/>
        <v>"fashion hacks Montreal",</v>
      </c>
      <c r="AB87" s="7" t="str">
        <f t="shared" si="87"/>
        <v>"capsule wardrobe Montreal",</v>
      </c>
      <c r="AC87" s="7" t="str">
        <f t="shared" si="87"/>
        <v>"fashion trends Montreal",</v>
      </c>
      <c r="AD87" s="7" t="str">
        <f t="shared" si="87"/>
        <v>"minimalist fashion Montreal",</v>
      </c>
      <c r="AE87" s="7" t="str">
        <f t="shared" si="87"/>
        <v>"beauty hacks Montreal",</v>
      </c>
      <c r="AF87" s="7" t="str">
        <f t="shared" si="87"/>
        <v>"hair routines Montreal",</v>
      </c>
      <c r="AG87" s="7" t="str">
        <f t="shared" si="87"/>
        <v>"empties Montreal",</v>
      </c>
      <c r="AH87" s="7" t="str">
        <f t="shared" si="87"/>
        <v>"product reviews Montreal",</v>
      </c>
      <c r="AI87" s="7" t="str">
        <f t="shared" si="87"/>
        <v>"beauty reviews  Montreal",</v>
      </c>
      <c r="AJ87" s="7" t="str">
        <f t="shared" si="87"/>
        <v>"make-up artist Montreal",</v>
      </c>
      <c r="AK87" s="7" t="str">
        <f t="shared" si="87"/>
        <v>"skincare journey Montreal",</v>
      </c>
      <c r="AL87" s="7" t="str">
        <f t="shared" si="87"/>
        <v>"hair tutorial Montreal",</v>
      </c>
      <c r="AM87" s="7" t="str">
        <f t="shared" si="87"/>
        <v>"barbershop Montreal",</v>
      </c>
      <c r="AN87" s="7"/>
      <c r="AO87" s="7"/>
    </row>
    <row r="88">
      <c r="A88" s="4" t="s">
        <v>4900</v>
      </c>
      <c r="B88" s="7" t="str">
        <f t="shared" si="5"/>
        <v>"ootd Vancouver",</v>
      </c>
      <c r="C88" s="7" t="str">
        <f t="shared" ref="C88:AM88" si="88">CONCATENATE(C$1," ",$A88)</f>
        <v>"street style Vancouver",</v>
      </c>
      <c r="D88" s="7" t="str">
        <f t="shared" si="88"/>
        <v>"skincare Vancouver",</v>
      </c>
      <c r="E88" s="7" t="str">
        <f t="shared" si="88"/>
        <v>"makeup Vancouver",</v>
      </c>
      <c r="F88" s="7" t="str">
        <f t="shared" si="88"/>
        <v>"nails Vancouver",</v>
      </c>
      <c r="G88" s="7" t="str">
        <f t="shared" si="88"/>
        <v>"curly hair Vancouver",</v>
      </c>
      <c r="H88" s="7" t="str">
        <f t="shared" si="88"/>
        <v>"thrift Vancouver",</v>
      </c>
      <c r="I88" s="7" t="str">
        <f t="shared" si="88"/>
        <v>"streetwear Vancouver",</v>
      </c>
      <c r="J88" s="7" t="str">
        <f t="shared" si="88"/>
        <v>"luxury Vancouver",</v>
      </c>
      <c r="K88" s="7" t="str">
        <f t="shared" si="88"/>
        <v>"handbags Vancouver",</v>
      </c>
      <c r="L88" s="7" t="str">
        <f t="shared" si="88"/>
        <v>"sneakers Vancouver",</v>
      </c>
      <c r="M88" s="7" t="str">
        <f t="shared" si="88"/>
        <v>"high heels Vancouver",</v>
      </c>
      <c r="N88" s="7" t="str">
        <f t="shared" si="88"/>
        <v>"haute-couture Vancouver",</v>
      </c>
      <c r="O88" s="7" t="str">
        <f t="shared" si="88"/>
        <v>"diyfashion Vancouver",</v>
      </c>
      <c r="P88" s="7" t="str">
        <f t="shared" si="88"/>
        <v>"accessories Vancouver",</v>
      </c>
      <c r="Q88" s="7" t="str">
        <f t="shared" si="88"/>
        <v>"menswear Vancouver",</v>
      </c>
      <c r="R88" s="7" t="str">
        <f t="shared" si="88"/>
        <v>"womenswear Vancouver",</v>
      </c>
      <c r="S88" s="7" t="str">
        <f t="shared" si="88"/>
        <v>"moda Vancouver",</v>
      </c>
      <c r="T88" s="7" t="str">
        <f t="shared" si="88"/>
        <v>"hairstyle Vancouver",</v>
      </c>
      <c r="U88" s="7" t="str">
        <f t="shared" si="88"/>
        <v>"perfume Vancouver",</v>
      </c>
      <c r="V88" s="7" t="str">
        <f t="shared" si="88"/>
        <v>"cosmetiques Vancouver",</v>
      </c>
      <c r="W88" s="7" t="str">
        <f t="shared" si="88"/>
        <v>"beauty routine Vancouver",</v>
      </c>
      <c r="X88" s="7" t="str">
        <f t="shared" si="88"/>
        <v>"natural beauty Vancouver",</v>
      </c>
      <c r="Y88" s="7" t="str">
        <f t="shared" si="88"/>
        <v>"organic beauty Vancouver",</v>
      </c>
      <c r="Z88" s="7" t="str">
        <f t="shared" si="88"/>
        <v>"sustainable fashion Vancouver",</v>
      </c>
      <c r="AA88" s="7" t="str">
        <f t="shared" si="88"/>
        <v>"fashion hacks Vancouver",</v>
      </c>
      <c r="AB88" s="7" t="str">
        <f t="shared" si="88"/>
        <v>"capsule wardrobe Vancouver",</v>
      </c>
      <c r="AC88" s="7" t="str">
        <f t="shared" si="88"/>
        <v>"fashion trends Vancouver",</v>
      </c>
      <c r="AD88" s="7" t="str">
        <f t="shared" si="88"/>
        <v>"minimalist fashion Vancouver",</v>
      </c>
      <c r="AE88" s="7" t="str">
        <f t="shared" si="88"/>
        <v>"beauty hacks Vancouver",</v>
      </c>
      <c r="AF88" s="7" t="str">
        <f t="shared" si="88"/>
        <v>"hair routines Vancouver",</v>
      </c>
      <c r="AG88" s="7" t="str">
        <f t="shared" si="88"/>
        <v>"empties Vancouver",</v>
      </c>
      <c r="AH88" s="7" t="str">
        <f t="shared" si="88"/>
        <v>"product reviews Vancouver",</v>
      </c>
      <c r="AI88" s="7" t="str">
        <f t="shared" si="88"/>
        <v>"beauty reviews  Vancouver",</v>
      </c>
      <c r="AJ88" s="7" t="str">
        <f t="shared" si="88"/>
        <v>"make-up artist Vancouver",</v>
      </c>
      <c r="AK88" s="7" t="str">
        <f t="shared" si="88"/>
        <v>"skincare journey Vancouver",</v>
      </c>
      <c r="AL88" s="7" t="str">
        <f t="shared" si="88"/>
        <v>"hair tutorial Vancouver",</v>
      </c>
      <c r="AM88" s="7" t="str">
        <f t="shared" si="88"/>
        <v>"barbershop Vancouver",</v>
      </c>
      <c r="AN88" s="7"/>
      <c r="AO88" s="7"/>
    </row>
    <row r="89">
      <c r="A89" s="4" t="s">
        <v>4901</v>
      </c>
      <c r="B89" s="7" t="str">
        <f t="shared" si="5"/>
        <v>"ootd Brussels",</v>
      </c>
      <c r="C89" s="7" t="str">
        <f t="shared" ref="C89:AM89" si="89">CONCATENATE(C$1," ",$A89)</f>
        <v>"street style Brussels",</v>
      </c>
      <c r="D89" s="7" t="str">
        <f t="shared" si="89"/>
        <v>"skincare Brussels",</v>
      </c>
      <c r="E89" s="7" t="str">
        <f t="shared" si="89"/>
        <v>"makeup Brussels",</v>
      </c>
      <c r="F89" s="7" t="str">
        <f t="shared" si="89"/>
        <v>"nails Brussels",</v>
      </c>
      <c r="G89" s="7" t="str">
        <f t="shared" si="89"/>
        <v>"curly hair Brussels",</v>
      </c>
      <c r="H89" s="7" t="str">
        <f t="shared" si="89"/>
        <v>"thrift Brussels",</v>
      </c>
      <c r="I89" s="7" t="str">
        <f t="shared" si="89"/>
        <v>"streetwear Brussels",</v>
      </c>
      <c r="J89" s="7" t="str">
        <f t="shared" si="89"/>
        <v>"luxury Brussels",</v>
      </c>
      <c r="K89" s="7" t="str">
        <f t="shared" si="89"/>
        <v>"handbags Brussels",</v>
      </c>
      <c r="L89" s="7" t="str">
        <f t="shared" si="89"/>
        <v>"sneakers Brussels",</v>
      </c>
      <c r="M89" s="7" t="str">
        <f t="shared" si="89"/>
        <v>"high heels Brussels",</v>
      </c>
      <c r="N89" s="7" t="str">
        <f t="shared" si="89"/>
        <v>"haute-couture Brussels",</v>
      </c>
      <c r="O89" s="7" t="str">
        <f t="shared" si="89"/>
        <v>"diyfashion Brussels",</v>
      </c>
      <c r="P89" s="7" t="str">
        <f t="shared" si="89"/>
        <v>"accessories Brussels",</v>
      </c>
      <c r="Q89" s="7" t="str">
        <f t="shared" si="89"/>
        <v>"menswear Brussels",</v>
      </c>
      <c r="R89" s="7" t="str">
        <f t="shared" si="89"/>
        <v>"womenswear Brussels",</v>
      </c>
      <c r="S89" s="7" t="str">
        <f t="shared" si="89"/>
        <v>"moda Brussels",</v>
      </c>
      <c r="T89" s="7" t="str">
        <f t="shared" si="89"/>
        <v>"hairstyle Brussels",</v>
      </c>
      <c r="U89" s="7" t="str">
        <f t="shared" si="89"/>
        <v>"perfume Brussels",</v>
      </c>
      <c r="V89" s="7" t="str">
        <f t="shared" si="89"/>
        <v>"cosmetiques Brussels",</v>
      </c>
      <c r="W89" s="7" t="str">
        <f t="shared" si="89"/>
        <v>"beauty routine Brussels",</v>
      </c>
      <c r="X89" s="7" t="str">
        <f t="shared" si="89"/>
        <v>"natural beauty Brussels",</v>
      </c>
      <c r="Y89" s="7" t="str">
        <f t="shared" si="89"/>
        <v>"organic beauty Brussels",</v>
      </c>
      <c r="Z89" s="7" t="str">
        <f t="shared" si="89"/>
        <v>"sustainable fashion Brussels",</v>
      </c>
      <c r="AA89" s="7" t="str">
        <f t="shared" si="89"/>
        <v>"fashion hacks Brussels",</v>
      </c>
      <c r="AB89" s="7" t="str">
        <f t="shared" si="89"/>
        <v>"capsule wardrobe Brussels",</v>
      </c>
      <c r="AC89" s="7" t="str">
        <f t="shared" si="89"/>
        <v>"fashion trends Brussels",</v>
      </c>
      <c r="AD89" s="7" t="str">
        <f t="shared" si="89"/>
        <v>"minimalist fashion Brussels",</v>
      </c>
      <c r="AE89" s="7" t="str">
        <f t="shared" si="89"/>
        <v>"beauty hacks Brussels",</v>
      </c>
      <c r="AF89" s="7" t="str">
        <f t="shared" si="89"/>
        <v>"hair routines Brussels",</v>
      </c>
      <c r="AG89" s="7" t="str">
        <f t="shared" si="89"/>
        <v>"empties Brussels",</v>
      </c>
      <c r="AH89" s="7" t="str">
        <f t="shared" si="89"/>
        <v>"product reviews Brussels",</v>
      </c>
      <c r="AI89" s="7" t="str">
        <f t="shared" si="89"/>
        <v>"beauty reviews  Brussels",</v>
      </c>
      <c r="AJ89" s="7" t="str">
        <f t="shared" si="89"/>
        <v>"make-up artist Brussels",</v>
      </c>
      <c r="AK89" s="7" t="str">
        <f t="shared" si="89"/>
        <v>"skincare journey Brussels",</v>
      </c>
      <c r="AL89" s="7" t="str">
        <f t="shared" si="89"/>
        <v>"hair tutorial Brussels",</v>
      </c>
      <c r="AM89" s="7" t="str">
        <f t="shared" si="89"/>
        <v>"barbershop Brussels",</v>
      </c>
      <c r="AN89" s="7"/>
      <c r="AO89" s="7"/>
    </row>
    <row r="90">
      <c r="A90" s="4" t="s">
        <v>4902</v>
      </c>
      <c r="B90" s="7" t="str">
        <f t="shared" si="5"/>
        <v>"ootd Geneva",</v>
      </c>
      <c r="C90" s="7" t="str">
        <f t="shared" ref="C90:AM90" si="90">CONCATENATE(C$1," ",$A90)</f>
        <v>"street style Geneva",</v>
      </c>
      <c r="D90" s="7" t="str">
        <f t="shared" si="90"/>
        <v>"skincare Geneva",</v>
      </c>
      <c r="E90" s="7" t="str">
        <f t="shared" si="90"/>
        <v>"makeup Geneva",</v>
      </c>
      <c r="F90" s="7" t="str">
        <f t="shared" si="90"/>
        <v>"nails Geneva",</v>
      </c>
      <c r="G90" s="7" t="str">
        <f t="shared" si="90"/>
        <v>"curly hair Geneva",</v>
      </c>
      <c r="H90" s="7" t="str">
        <f t="shared" si="90"/>
        <v>"thrift Geneva",</v>
      </c>
      <c r="I90" s="7" t="str">
        <f t="shared" si="90"/>
        <v>"streetwear Geneva",</v>
      </c>
      <c r="J90" s="7" t="str">
        <f t="shared" si="90"/>
        <v>"luxury Geneva",</v>
      </c>
      <c r="K90" s="7" t="str">
        <f t="shared" si="90"/>
        <v>"handbags Geneva",</v>
      </c>
      <c r="L90" s="7" t="str">
        <f t="shared" si="90"/>
        <v>"sneakers Geneva",</v>
      </c>
      <c r="M90" s="7" t="str">
        <f t="shared" si="90"/>
        <v>"high heels Geneva",</v>
      </c>
      <c r="N90" s="7" t="str">
        <f t="shared" si="90"/>
        <v>"haute-couture Geneva",</v>
      </c>
      <c r="O90" s="7" t="str">
        <f t="shared" si="90"/>
        <v>"diyfashion Geneva",</v>
      </c>
      <c r="P90" s="7" t="str">
        <f t="shared" si="90"/>
        <v>"accessories Geneva",</v>
      </c>
      <c r="Q90" s="7" t="str">
        <f t="shared" si="90"/>
        <v>"menswear Geneva",</v>
      </c>
      <c r="R90" s="7" t="str">
        <f t="shared" si="90"/>
        <v>"womenswear Geneva",</v>
      </c>
      <c r="S90" s="7" t="str">
        <f t="shared" si="90"/>
        <v>"moda Geneva",</v>
      </c>
      <c r="T90" s="7" t="str">
        <f t="shared" si="90"/>
        <v>"hairstyle Geneva",</v>
      </c>
      <c r="U90" s="7" t="str">
        <f t="shared" si="90"/>
        <v>"perfume Geneva",</v>
      </c>
      <c r="V90" s="7" t="str">
        <f t="shared" si="90"/>
        <v>"cosmetiques Geneva",</v>
      </c>
      <c r="W90" s="7" t="str">
        <f t="shared" si="90"/>
        <v>"beauty routine Geneva",</v>
      </c>
      <c r="X90" s="7" t="str">
        <f t="shared" si="90"/>
        <v>"natural beauty Geneva",</v>
      </c>
      <c r="Y90" s="7" t="str">
        <f t="shared" si="90"/>
        <v>"organic beauty Geneva",</v>
      </c>
      <c r="Z90" s="7" t="str">
        <f t="shared" si="90"/>
        <v>"sustainable fashion Geneva",</v>
      </c>
      <c r="AA90" s="7" t="str">
        <f t="shared" si="90"/>
        <v>"fashion hacks Geneva",</v>
      </c>
      <c r="AB90" s="7" t="str">
        <f t="shared" si="90"/>
        <v>"capsule wardrobe Geneva",</v>
      </c>
      <c r="AC90" s="7" t="str">
        <f t="shared" si="90"/>
        <v>"fashion trends Geneva",</v>
      </c>
      <c r="AD90" s="7" t="str">
        <f t="shared" si="90"/>
        <v>"minimalist fashion Geneva",</v>
      </c>
      <c r="AE90" s="7" t="str">
        <f t="shared" si="90"/>
        <v>"beauty hacks Geneva",</v>
      </c>
      <c r="AF90" s="7" t="str">
        <f t="shared" si="90"/>
        <v>"hair routines Geneva",</v>
      </c>
      <c r="AG90" s="7" t="str">
        <f t="shared" si="90"/>
        <v>"empties Geneva",</v>
      </c>
      <c r="AH90" s="7" t="str">
        <f t="shared" si="90"/>
        <v>"product reviews Geneva",</v>
      </c>
      <c r="AI90" s="7" t="str">
        <f t="shared" si="90"/>
        <v>"beauty reviews  Geneva",</v>
      </c>
      <c r="AJ90" s="7" t="str">
        <f t="shared" si="90"/>
        <v>"make-up artist Geneva",</v>
      </c>
      <c r="AK90" s="7" t="str">
        <f t="shared" si="90"/>
        <v>"skincare journey Geneva",</v>
      </c>
      <c r="AL90" s="7" t="str">
        <f t="shared" si="90"/>
        <v>"hair tutorial Geneva",</v>
      </c>
      <c r="AM90" s="7" t="str">
        <f t="shared" si="90"/>
        <v>"barbershop Geneva",</v>
      </c>
      <c r="AN90" s="7"/>
      <c r="AO90" s="7"/>
    </row>
    <row r="91">
      <c r="A91" s="4" t="s">
        <v>4903</v>
      </c>
      <c r="B91" s="7" t="str">
        <f t="shared" si="5"/>
        <v>"ootd Warsaw",</v>
      </c>
      <c r="C91" s="7" t="str">
        <f t="shared" ref="C91:AM91" si="91">CONCATENATE(C$1," ",$A91)</f>
        <v>"street style Warsaw",</v>
      </c>
      <c r="D91" s="7" t="str">
        <f t="shared" si="91"/>
        <v>"skincare Warsaw",</v>
      </c>
      <c r="E91" s="7" t="str">
        <f t="shared" si="91"/>
        <v>"makeup Warsaw",</v>
      </c>
      <c r="F91" s="7" t="str">
        <f t="shared" si="91"/>
        <v>"nails Warsaw",</v>
      </c>
      <c r="G91" s="7" t="str">
        <f t="shared" si="91"/>
        <v>"curly hair Warsaw",</v>
      </c>
      <c r="H91" s="7" t="str">
        <f t="shared" si="91"/>
        <v>"thrift Warsaw",</v>
      </c>
      <c r="I91" s="7" t="str">
        <f t="shared" si="91"/>
        <v>"streetwear Warsaw",</v>
      </c>
      <c r="J91" s="7" t="str">
        <f t="shared" si="91"/>
        <v>"luxury Warsaw",</v>
      </c>
      <c r="K91" s="7" t="str">
        <f t="shared" si="91"/>
        <v>"handbags Warsaw",</v>
      </c>
      <c r="L91" s="7" t="str">
        <f t="shared" si="91"/>
        <v>"sneakers Warsaw",</v>
      </c>
      <c r="M91" s="7" t="str">
        <f t="shared" si="91"/>
        <v>"high heels Warsaw",</v>
      </c>
      <c r="N91" s="7" t="str">
        <f t="shared" si="91"/>
        <v>"haute-couture Warsaw",</v>
      </c>
      <c r="O91" s="7" t="str">
        <f t="shared" si="91"/>
        <v>"diyfashion Warsaw",</v>
      </c>
      <c r="P91" s="7" t="str">
        <f t="shared" si="91"/>
        <v>"accessories Warsaw",</v>
      </c>
      <c r="Q91" s="7" t="str">
        <f t="shared" si="91"/>
        <v>"menswear Warsaw",</v>
      </c>
      <c r="R91" s="7" t="str">
        <f t="shared" si="91"/>
        <v>"womenswear Warsaw",</v>
      </c>
      <c r="S91" s="7" t="str">
        <f t="shared" si="91"/>
        <v>"moda Warsaw",</v>
      </c>
      <c r="T91" s="7" t="str">
        <f t="shared" si="91"/>
        <v>"hairstyle Warsaw",</v>
      </c>
      <c r="U91" s="7" t="str">
        <f t="shared" si="91"/>
        <v>"perfume Warsaw",</v>
      </c>
      <c r="V91" s="7" t="str">
        <f t="shared" si="91"/>
        <v>"cosmetiques Warsaw",</v>
      </c>
      <c r="W91" s="7" t="str">
        <f t="shared" si="91"/>
        <v>"beauty routine Warsaw",</v>
      </c>
      <c r="X91" s="7" t="str">
        <f t="shared" si="91"/>
        <v>"natural beauty Warsaw",</v>
      </c>
      <c r="Y91" s="7" t="str">
        <f t="shared" si="91"/>
        <v>"organic beauty Warsaw",</v>
      </c>
      <c r="Z91" s="7" t="str">
        <f t="shared" si="91"/>
        <v>"sustainable fashion Warsaw",</v>
      </c>
      <c r="AA91" s="7" t="str">
        <f t="shared" si="91"/>
        <v>"fashion hacks Warsaw",</v>
      </c>
      <c r="AB91" s="7" t="str">
        <f t="shared" si="91"/>
        <v>"capsule wardrobe Warsaw",</v>
      </c>
      <c r="AC91" s="7" t="str">
        <f t="shared" si="91"/>
        <v>"fashion trends Warsaw",</v>
      </c>
      <c r="AD91" s="7" t="str">
        <f t="shared" si="91"/>
        <v>"minimalist fashion Warsaw",</v>
      </c>
      <c r="AE91" s="7" t="str">
        <f t="shared" si="91"/>
        <v>"beauty hacks Warsaw",</v>
      </c>
      <c r="AF91" s="7" t="str">
        <f t="shared" si="91"/>
        <v>"hair routines Warsaw",</v>
      </c>
      <c r="AG91" s="7" t="str">
        <f t="shared" si="91"/>
        <v>"empties Warsaw",</v>
      </c>
      <c r="AH91" s="7" t="str">
        <f t="shared" si="91"/>
        <v>"product reviews Warsaw",</v>
      </c>
      <c r="AI91" s="7" t="str">
        <f t="shared" si="91"/>
        <v>"beauty reviews  Warsaw",</v>
      </c>
      <c r="AJ91" s="7" t="str">
        <f t="shared" si="91"/>
        <v>"make-up artist Warsaw",</v>
      </c>
      <c r="AK91" s="7" t="str">
        <f t="shared" si="91"/>
        <v>"skincare journey Warsaw",</v>
      </c>
      <c r="AL91" s="7" t="str">
        <f t="shared" si="91"/>
        <v>"hair tutorial Warsaw",</v>
      </c>
      <c r="AM91" s="7" t="str">
        <f t="shared" si="91"/>
        <v>"barbershop Warsaw",</v>
      </c>
      <c r="AN91" s="7"/>
      <c r="AO91" s="7"/>
    </row>
    <row r="92">
      <c r="A92" s="4" t="s">
        <v>4904</v>
      </c>
      <c r="B92" s="7" t="str">
        <f t="shared" si="5"/>
        <v>"ootd Moscow",</v>
      </c>
      <c r="C92" s="7" t="str">
        <f t="shared" ref="C92:AM92" si="92">CONCATENATE(C$1," ",$A92)</f>
        <v>"street style Moscow",</v>
      </c>
      <c r="D92" s="7" t="str">
        <f t="shared" si="92"/>
        <v>"skincare Moscow",</v>
      </c>
      <c r="E92" s="7" t="str">
        <f t="shared" si="92"/>
        <v>"makeup Moscow",</v>
      </c>
      <c r="F92" s="7" t="str">
        <f t="shared" si="92"/>
        <v>"nails Moscow",</v>
      </c>
      <c r="G92" s="7" t="str">
        <f t="shared" si="92"/>
        <v>"curly hair Moscow",</v>
      </c>
      <c r="H92" s="7" t="str">
        <f t="shared" si="92"/>
        <v>"thrift Moscow",</v>
      </c>
      <c r="I92" s="7" t="str">
        <f t="shared" si="92"/>
        <v>"streetwear Moscow",</v>
      </c>
      <c r="J92" s="7" t="str">
        <f t="shared" si="92"/>
        <v>"luxury Moscow",</v>
      </c>
      <c r="K92" s="7" t="str">
        <f t="shared" si="92"/>
        <v>"handbags Moscow",</v>
      </c>
      <c r="L92" s="7" t="str">
        <f t="shared" si="92"/>
        <v>"sneakers Moscow",</v>
      </c>
      <c r="M92" s="7" t="str">
        <f t="shared" si="92"/>
        <v>"high heels Moscow",</v>
      </c>
      <c r="N92" s="7" t="str">
        <f t="shared" si="92"/>
        <v>"haute-couture Moscow",</v>
      </c>
      <c r="O92" s="7" t="str">
        <f t="shared" si="92"/>
        <v>"diyfashion Moscow",</v>
      </c>
      <c r="P92" s="7" t="str">
        <f t="shared" si="92"/>
        <v>"accessories Moscow",</v>
      </c>
      <c r="Q92" s="7" t="str">
        <f t="shared" si="92"/>
        <v>"menswear Moscow",</v>
      </c>
      <c r="R92" s="7" t="str">
        <f t="shared" si="92"/>
        <v>"womenswear Moscow",</v>
      </c>
      <c r="S92" s="7" t="str">
        <f t="shared" si="92"/>
        <v>"moda Moscow",</v>
      </c>
      <c r="T92" s="7" t="str">
        <f t="shared" si="92"/>
        <v>"hairstyle Moscow",</v>
      </c>
      <c r="U92" s="7" t="str">
        <f t="shared" si="92"/>
        <v>"perfume Moscow",</v>
      </c>
      <c r="V92" s="7" t="str">
        <f t="shared" si="92"/>
        <v>"cosmetiques Moscow",</v>
      </c>
      <c r="W92" s="7" t="str">
        <f t="shared" si="92"/>
        <v>"beauty routine Moscow",</v>
      </c>
      <c r="X92" s="7" t="str">
        <f t="shared" si="92"/>
        <v>"natural beauty Moscow",</v>
      </c>
      <c r="Y92" s="7" t="str">
        <f t="shared" si="92"/>
        <v>"organic beauty Moscow",</v>
      </c>
      <c r="Z92" s="7" t="str">
        <f t="shared" si="92"/>
        <v>"sustainable fashion Moscow",</v>
      </c>
      <c r="AA92" s="7" t="str">
        <f t="shared" si="92"/>
        <v>"fashion hacks Moscow",</v>
      </c>
      <c r="AB92" s="7" t="str">
        <f t="shared" si="92"/>
        <v>"capsule wardrobe Moscow",</v>
      </c>
      <c r="AC92" s="7" t="str">
        <f t="shared" si="92"/>
        <v>"fashion trends Moscow",</v>
      </c>
      <c r="AD92" s="7" t="str">
        <f t="shared" si="92"/>
        <v>"minimalist fashion Moscow",</v>
      </c>
      <c r="AE92" s="7" t="str">
        <f t="shared" si="92"/>
        <v>"beauty hacks Moscow",</v>
      </c>
      <c r="AF92" s="7" t="str">
        <f t="shared" si="92"/>
        <v>"hair routines Moscow",</v>
      </c>
      <c r="AG92" s="7" t="str">
        <f t="shared" si="92"/>
        <v>"empties Moscow",</v>
      </c>
      <c r="AH92" s="7" t="str">
        <f t="shared" si="92"/>
        <v>"product reviews Moscow",</v>
      </c>
      <c r="AI92" s="7" t="str">
        <f t="shared" si="92"/>
        <v>"beauty reviews  Moscow",</v>
      </c>
      <c r="AJ92" s="7" t="str">
        <f t="shared" si="92"/>
        <v>"make-up artist Moscow",</v>
      </c>
      <c r="AK92" s="7" t="str">
        <f t="shared" si="92"/>
        <v>"skincare journey Moscow",</v>
      </c>
      <c r="AL92" s="7" t="str">
        <f t="shared" si="92"/>
        <v>"hair tutorial Moscow",</v>
      </c>
      <c r="AM92" s="7" t="str">
        <f t="shared" si="92"/>
        <v>"barbershop Moscow",</v>
      </c>
      <c r="AN92" s="7"/>
      <c r="AO92" s="7"/>
    </row>
    <row r="93">
      <c r="A93" s="4" t="s">
        <v>4905</v>
      </c>
      <c r="B93" s="7" t="str">
        <f t="shared" si="5"/>
        <v>"ootd St. Petersburg",</v>
      </c>
      <c r="C93" s="7" t="str">
        <f t="shared" ref="C93:AM93" si="93">CONCATENATE(C$1," ",$A93)</f>
        <v>"street style St. Petersburg",</v>
      </c>
      <c r="D93" s="7" t="str">
        <f t="shared" si="93"/>
        <v>"skincare St. Petersburg",</v>
      </c>
      <c r="E93" s="7" t="str">
        <f t="shared" si="93"/>
        <v>"makeup St. Petersburg",</v>
      </c>
      <c r="F93" s="7" t="str">
        <f t="shared" si="93"/>
        <v>"nails St. Petersburg",</v>
      </c>
      <c r="G93" s="7" t="str">
        <f t="shared" si="93"/>
        <v>"curly hair St. Petersburg",</v>
      </c>
      <c r="H93" s="7" t="str">
        <f t="shared" si="93"/>
        <v>"thrift St. Petersburg",</v>
      </c>
      <c r="I93" s="7" t="str">
        <f t="shared" si="93"/>
        <v>"streetwear St. Petersburg",</v>
      </c>
      <c r="J93" s="7" t="str">
        <f t="shared" si="93"/>
        <v>"luxury St. Petersburg",</v>
      </c>
      <c r="K93" s="7" t="str">
        <f t="shared" si="93"/>
        <v>"handbags St. Petersburg",</v>
      </c>
      <c r="L93" s="7" t="str">
        <f t="shared" si="93"/>
        <v>"sneakers St. Petersburg",</v>
      </c>
      <c r="M93" s="7" t="str">
        <f t="shared" si="93"/>
        <v>"high heels St. Petersburg",</v>
      </c>
      <c r="N93" s="7" t="str">
        <f t="shared" si="93"/>
        <v>"haute-couture St. Petersburg",</v>
      </c>
      <c r="O93" s="7" t="str">
        <f t="shared" si="93"/>
        <v>"diyfashion St. Petersburg",</v>
      </c>
      <c r="P93" s="7" t="str">
        <f t="shared" si="93"/>
        <v>"accessories St. Petersburg",</v>
      </c>
      <c r="Q93" s="7" t="str">
        <f t="shared" si="93"/>
        <v>"menswear St. Petersburg",</v>
      </c>
      <c r="R93" s="7" t="str">
        <f t="shared" si="93"/>
        <v>"womenswear St. Petersburg",</v>
      </c>
      <c r="S93" s="7" t="str">
        <f t="shared" si="93"/>
        <v>"moda St. Petersburg",</v>
      </c>
      <c r="T93" s="7" t="str">
        <f t="shared" si="93"/>
        <v>"hairstyle St. Petersburg",</v>
      </c>
      <c r="U93" s="7" t="str">
        <f t="shared" si="93"/>
        <v>"perfume St. Petersburg",</v>
      </c>
      <c r="V93" s="7" t="str">
        <f t="shared" si="93"/>
        <v>"cosmetiques St. Petersburg",</v>
      </c>
      <c r="W93" s="7" t="str">
        <f t="shared" si="93"/>
        <v>"beauty routine St. Petersburg",</v>
      </c>
      <c r="X93" s="7" t="str">
        <f t="shared" si="93"/>
        <v>"natural beauty St. Petersburg",</v>
      </c>
      <c r="Y93" s="7" t="str">
        <f t="shared" si="93"/>
        <v>"organic beauty St. Petersburg",</v>
      </c>
      <c r="Z93" s="7" t="str">
        <f t="shared" si="93"/>
        <v>"sustainable fashion St. Petersburg",</v>
      </c>
      <c r="AA93" s="7" t="str">
        <f t="shared" si="93"/>
        <v>"fashion hacks St. Petersburg",</v>
      </c>
      <c r="AB93" s="7" t="str">
        <f t="shared" si="93"/>
        <v>"capsule wardrobe St. Petersburg",</v>
      </c>
      <c r="AC93" s="7" t="str">
        <f t="shared" si="93"/>
        <v>"fashion trends St. Petersburg",</v>
      </c>
      <c r="AD93" s="7" t="str">
        <f t="shared" si="93"/>
        <v>"minimalist fashion St. Petersburg",</v>
      </c>
      <c r="AE93" s="7" t="str">
        <f t="shared" si="93"/>
        <v>"beauty hacks St. Petersburg",</v>
      </c>
      <c r="AF93" s="7" t="str">
        <f t="shared" si="93"/>
        <v>"hair routines St. Petersburg",</v>
      </c>
      <c r="AG93" s="7" t="str">
        <f t="shared" si="93"/>
        <v>"empties St. Petersburg",</v>
      </c>
      <c r="AH93" s="7" t="str">
        <f t="shared" si="93"/>
        <v>"product reviews St. Petersburg",</v>
      </c>
      <c r="AI93" s="7" t="str">
        <f t="shared" si="93"/>
        <v>"beauty reviews  St. Petersburg",</v>
      </c>
      <c r="AJ93" s="7" t="str">
        <f t="shared" si="93"/>
        <v>"make-up artist St. Petersburg",</v>
      </c>
      <c r="AK93" s="7" t="str">
        <f t="shared" si="93"/>
        <v>"skincare journey St. Petersburg",</v>
      </c>
      <c r="AL93" s="7" t="str">
        <f t="shared" si="93"/>
        <v>"hair tutorial St. Petersburg",</v>
      </c>
      <c r="AM93" s="7" t="str">
        <f t="shared" si="93"/>
        <v>"barbershop St. Petersburg",</v>
      </c>
      <c r="AN93" s="7"/>
      <c r="AO93" s="7"/>
    </row>
    <row r="94">
      <c r="A94" s="4" t="s">
        <v>4906</v>
      </c>
      <c r="B94" s="7" t="str">
        <f t="shared" si="5"/>
        <v>"ootd Dublin",</v>
      </c>
      <c r="C94" s="7" t="str">
        <f t="shared" ref="C94:AM94" si="94">CONCATENATE(C$1," ",$A94)</f>
        <v>"street style Dublin",</v>
      </c>
      <c r="D94" s="7" t="str">
        <f t="shared" si="94"/>
        <v>"skincare Dublin",</v>
      </c>
      <c r="E94" s="7" t="str">
        <f t="shared" si="94"/>
        <v>"makeup Dublin",</v>
      </c>
      <c r="F94" s="7" t="str">
        <f t="shared" si="94"/>
        <v>"nails Dublin",</v>
      </c>
      <c r="G94" s="7" t="str">
        <f t="shared" si="94"/>
        <v>"curly hair Dublin",</v>
      </c>
      <c r="H94" s="7" t="str">
        <f t="shared" si="94"/>
        <v>"thrift Dublin",</v>
      </c>
      <c r="I94" s="7" t="str">
        <f t="shared" si="94"/>
        <v>"streetwear Dublin",</v>
      </c>
      <c r="J94" s="7" t="str">
        <f t="shared" si="94"/>
        <v>"luxury Dublin",</v>
      </c>
      <c r="K94" s="7" t="str">
        <f t="shared" si="94"/>
        <v>"handbags Dublin",</v>
      </c>
      <c r="L94" s="7" t="str">
        <f t="shared" si="94"/>
        <v>"sneakers Dublin",</v>
      </c>
      <c r="M94" s="7" t="str">
        <f t="shared" si="94"/>
        <v>"high heels Dublin",</v>
      </c>
      <c r="N94" s="7" t="str">
        <f t="shared" si="94"/>
        <v>"haute-couture Dublin",</v>
      </c>
      <c r="O94" s="7" t="str">
        <f t="shared" si="94"/>
        <v>"diyfashion Dublin",</v>
      </c>
      <c r="P94" s="7" t="str">
        <f t="shared" si="94"/>
        <v>"accessories Dublin",</v>
      </c>
      <c r="Q94" s="7" t="str">
        <f t="shared" si="94"/>
        <v>"menswear Dublin",</v>
      </c>
      <c r="R94" s="7" t="str">
        <f t="shared" si="94"/>
        <v>"womenswear Dublin",</v>
      </c>
      <c r="S94" s="7" t="str">
        <f t="shared" si="94"/>
        <v>"moda Dublin",</v>
      </c>
      <c r="T94" s="7" t="str">
        <f t="shared" si="94"/>
        <v>"hairstyle Dublin",</v>
      </c>
      <c r="U94" s="7" t="str">
        <f t="shared" si="94"/>
        <v>"perfume Dublin",</v>
      </c>
      <c r="V94" s="7" t="str">
        <f t="shared" si="94"/>
        <v>"cosmetiques Dublin",</v>
      </c>
      <c r="W94" s="7" t="str">
        <f t="shared" si="94"/>
        <v>"beauty routine Dublin",</v>
      </c>
      <c r="X94" s="7" t="str">
        <f t="shared" si="94"/>
        <v>"natural beauty Dublin",</v>
      </c>
      <c r="Y94" s="7" t="str">
        <f t="shared" si="94"/>
        <v>"organic beauty Dublin",</v>
      </c>
      <c r="Z94" s="7" t="str">
        <f t="shared" si="94"/>
        <v>"sustainable fashion Dublin",</v>
      </c>
      <c r="AA94" s="7" t="str">
        <f t="shared" si="94"/>
        <v>"fashion hacks Dublin",</v>
      </c>
      <c r="AB94" s="7" t="str">
        <f t="shared" si="94"/>
        <v>"capsule wardrobe Dublin",</v>
      </c>
      <c r="AC94" s="7" t="str">
        <f t="shared" si="94"/>
        <v>"fashion trends Dublin",</v>
      </c>
      <c r="AD94" s="7" t="str">
        <f t="shared" si="94"/>
        <v>"minimalist fashion Dublin",</v>
      </c>
      <c r="AE94" s="7" t="str">
        <f t="shared" si="94"/>
        <v>"beauty hacks Dublin",</v>
      </c>
      <c r="AF94" s="7" t="str">
        <f t="shared" si="94"/>
        <v>"hair routines Dublin",</v>
      </c>
      <c r="AG94" s="7" t="str">
        <f t="shared" si="94"/>
        <v>"empties Dublin",</v>
      </c>
      <c r="AH94" s="7" t="str">
        <f t="shared" si="94"/>
        <v>"product reviews Dublin",</v>
      </c>
      <c r="AI94" s="7" t="str">
        <f t="shared" si="94"/>
        <v>"beauty reviews  Dublin",</v>
      </c>
      <c r="AJ94" s="7" t="str">
        <f t="shared" si="94"/>
        <v>"make-up artist Dublin",</v>
      </c>
      <c r="AK94" s="7" t="str">
        <f t="shared" si="94"/>
        <v>"skincare journey Dublin",</v>
      </c>
      <c r="AL94" s="7" t="str">
        <f t="shared" si="94"/>
        <v>"hair tutorial Dublin",</v>
      </c>
      <c r="AM94" s="7" t="str">
        <f t="shared" si="94"/>
        <v>"barbershop Dublin",</v>
      </c>
      <c r="AN94" s="7"/>
      <c r="AO94" s="7"/>
    </row>
    <row r="95">
      <c r="A95" s="4" t="s">
        <v>4907</v>
      </c>
      <c r="B95" s="7" t="str">
        <f t="shared" si="5"/>
        <v>"ootd Edinburgh",</v>
      </c>
      <c r="C95" s="7" t="str">
        <f t="shared" ref="C95:AM95" si="95">CONCATENATE(C$1," ",$A95)</f>
        <v>"street style Edinburgh",</v>
      </c>
      <c r="D95" s="7" t="str">
        <f t="shared" si="95"/>
        <v>"skincare Edinburgh",</v>
      </c>
      <c r="E95" s="7" t="str">
        <f t="shared" si="95"/>
        <v>"makeup Edinburgh",</v>
      </c>
      <c r="F95" s="7" t="str">
        <f t="shared" si="95"/>
        <v>"nails Edinburgh",</v>
      </c>
      <c r="G95" s="7" t="str">
        <f t="shared" si="95"/>
        <v>"curly hair Edinburgh",</v>
      </c>
      <c r="H95" s="7" t="str">
        <f t="shared" si="95"/>
        <v>"thrift Edinburgh",</v>
      </c>
      <c r="I95" s="7" t="str">
        <f t="shared" si="95"/>
        <v>"streetwear Edinburgh",</v>
      </c>
      <c r="J95" s="7" t="str">
        <f t="shared" si="95"/>
        <v>"luxury Edinburgh",</v>
      </c>
      <c r="K95" s="7" t="str">
        <f t="shared" si="95"/>
        <v>"handbags Edinburgh",</v>
      </c>
      <c r="L95" s="7" t="str">
        <f t="shared" si="95"/>
        <v>"sneakers Edinburgh",</v>
      </c>
      <c r="M95" s="7" t="str">
        <f t="shared" si="95"/>
        <v>"high heels Edinburgh",</v>
      </c>
      <c r="N95" s="7" t="str">
        <f t="shared" si="95"/>
        <v>"haute-couture Edinburgh",</v>
      </c>
      <c r="O95" s="7" t="str">
        <f t="shared" si="95"/>
        <v>"diyfashion Edinburgh",</v>
      </c>
      <c r="P95" s="7" t="str">
        <f t="shared" si="95"/>
        <v>"accessories Edinburgh",</v>
      </c>
      <c r="Q95" s="7" t="str">
        <f t="shared" si="95"/>
        <v>"menswear Edinburgh",</v>
      </c>
      <c r="R95" s="7" t="str">
        <f t="shared" si="95"/>
        <v>"womenswear Edinburgh",</v>
      </c>
      <c r="S95" s="7" t="str">
        <f t="shared" si="95"/>
        <v>"moda Edinburgh",</v>
      </c>
      <c r="T95" s="7" t="str">
        <f t="shared" si="95"/>
        <v>"hairstyle Edinburgh",</v>
      </c>
      <c r="U95" s="7" t="str">
        <f t="shared" si="95"/>
        <v>"perfume Edinburgh",</v>
      </c>
      <c r="V95" s="7" t="str">
        <f t="shared" si="95"/>
        <v>"cosmetiques Edinburgh",</v>
      </c>
      <c r="W95" s="7" t="str">
        <f t="shared" si="95"/>
        <v>"beauty routine Edinburgh",</v>
      </c>
      <c r="X95" s="7" t="str">
        <f t="shared" si="95"/>
        <v>"natural beauty Edinburgh",</v>
      </c>
      <c r="Y95" s="7" t="str">
        <f t="shared" si="95"/>
        <v>"organic beauty Edinburgh",</v>
      </c>
      <c r="Z95" s="7" t="str">
        <f t="shared" si="95"/>
        <v>"sustainable fashion Edinburgh",</v>
      </c>
      <c r="AA95" s="7" t="str">
        <f t="shared" si="95"/>
        <v>"fashion hacks Edinburgh",</v>
      </c>
      <c r="AB95" s="7" t="str">
        <f t="shared" si="95"/>
        <v>"capsule wardrobe Edinburgh",</v>
      </c>
      <c r="AC95" s="7" t="str">
        <f t="shared" si="95"/>
        <v>"fashion trends Edinburgh",</v>
      </c>
      <c r="AD95" s="7" t="str">
        <f t="shared" si="95"/>
        <v>"minimalist fashion Edinburgh",</v>
      </c>
      <c r="AE95" s="7" t="str">
        <f t="shared" si="95"/>
        <v>"beauty hacks Edinburgh",</v>
      </c>
      <c r="AF95" s="7" t="str">
        <f t="shared" si="95"/>
        <v>"hair routines Edinburgh",</v>
      </c>
      <c r="AG95" s="7" t="str">
        <f t="shared" si="95"/>
        <v>"empties Edinburgh",</v>
      </c>
      <c r="AH95" s="7" t="str">
        <f t="shared" si="95"/>
        <v>"product reviews Edinburgh",</v>
      </c>
      <c r="AI95" s="7" t="str">
        <f t="shared" si="95"/>
        <v>"beauty reviews  Edinburgh",</v>
      </c>
      <c r="AJ95" s="7" t="str">
        <f t="shared" si="95"/>
        <v>"make-up artist Edinburgh",</v>
      </c>
      <c r="AK95" s="7" t="str">
        <f t="shared" si="95"/>
        <v>"skincare journey Edinburgh",</v>
      </c>
      <c r="AL95" s="7" t="str">
        <f t="shared" si="95"/>
        <v>"hair tutorial Edinburgh",</v>
      </c>
      <c r="AM95" s="7" t="str">
        <f t="shared" si="95"/>
        <v>"barbershop Edinburgh",</v>
      </c>
      <c r="AN95" s="7"/>
      <c r="AO95" s="7"/>
    </row>
    <row r="96">
      <c r="A96" s="4" t="s">
        <v>4908</v>
      </c>
      <c r="B96" s="7" t="str">
        <f t="shared" si="5"/>
        <v>"ootd Oslo",</v>
      </c>
      <c r="C96" s="7" t="str">
        <f t="shared" ref="C96:AM96" si="96">CONCATENATE(C$1," ",$A96)</f>
        <v>"street style Oslo",</v>
      </c>
      <c r="D96" s="7" t="str">
        <f t="shared" si="96"/>
        <v>"skincare Oslo",</v>
      </c>
      <c r="E96" s="7" t="str">
        <f t="shared" si="96"/>
        <v>"makeup Oslo",</v>
      </c>
      <c r="F96" s="7" t="str">
        <f t="shared" si="96"/>
        <v>"nails Oslo",</v>
      </c>
      <c r="G96" s="7" t="str">
        <f t="shared" si="96"/>
        <v>"curly hair Oslo",</v>
      </c>
      <c r="H96" s="7" t="str">
        <f t="shared" si="96"/>
        <v>"thrift Oslo",</v>
      </c>
      <c r="I96" s="7" t="str">
        <f t="shared" si="96"/>
        <v>"streetwear Oslo",</v>
      </c>
      <c r="J96" s="7" t="str">
        <f t="shared" si="96"/>
        <v>"luxury Oslo",</v>
      </c>
      <c r="K96" s="7" t="str">
        <f t="shared" si="96"/>
        <v>"handbags Oslo",</v>
      </c>
      <c r="L96" s="7" t="str">
        <f t="shared" si="96"/>
        <v>"sneakers Oslo",</v>
      </c>
      <c r="M96" s="7" t="str">
        <f t="shared" si="96"/>
        <v>"high heels Oslo",</v>
      </c>
      <c r="N96" s="7" t="str">
        <f t="shared" si="96"/>
        <v>"haute-couture Oslo",</v>
      </c>
      <c r="O96" s="7" t="str">
        <f t="shared" si="96"/>
        <v>"diyfashion Oslo",</v>
      </c>
      <c r="P96" s="7" t="str">
        <f t="shared" si="96"/>
        <v>"accessories Oslo",</v>
      </c>
      <c r="Q96" s="7" t="str">
        <f t="shared" si="96"/>
        <v>"menswear Oslo",</v>
      </c>
      <c r="R96" s="7" t="str">
        <f t="shared" si="96"/>
        <v>"womenswear Oslo",</v>
      </c>
      <c r="S96" s="7" t="str">
        <f t="shared" si="96"/>
        <v>"moda Oslo",</v>
      </c>
      <c r="T96" s="7" t="str">
        <f t="shared" si="96"/>
        <v>"hairstyle Oslo",</v>
      </c>
      <c r="U96" s="7" t="str">
        <f t="shared" si="96"/>
        <v>"perfume Oslo",</v>
      </c>
      <c r="V96" s="7" t="str">
        <f t="shared" si="96"/>
        <v>"cosmetiques Oslo",</v>
      </c>
      <c r="W96" s="7" t="str">
        <f t="shared" si="96"/>
        <v>"beauty routine Oslo",</v>
      </c>
      <c r="X96" s="7" t="str">
        <f t="shared" si="96"/>
        <v>"natural beauty Oslo",</v>
      </c>
      <c r="Y96" s="7" t="str">
        <f t="shared" si="96"/>
        <v>"organic beauty Oslo",</v>
      </c>
      <c r="Z96" s="7" t="str">
        <f t="shared" si="96"/>
        <v>"sustainable fashion Oslo",</v>
      </c>
      <c r="AA96" s="7" t="str">
        <f t="shared" si="96"/>
        <v>"fashion hacks Oslo",</v>
      </c>
      <c r="AB96" s="7" t="str">
        <f t="shared" si="96"/>
        <v>"capsule wardrobe Oslo",</v>
      </c>
      <c r="AC96" s="7" t="str">
        <f t="shared" si="96"/>
        <v>"fashion trends Oslo",</v>
      </c>
      <c r="AD96" s="7" t="str">
        <f t="shared" si="96"/>
        <v>"minimalist fashion Oslo",</v>
      </c>
      <c r="AE96" s="7" t="str">
        <f t="shared" si="96"/>
        <v>"beauty hacks Oslo",</v>
      </c>
      <c r="AF96" s="7" t="str">
        <f t="shared" si="96"/>
        <v>"hair routines Oslo",</v>
      </c>
      <c r="AG96" s="7" t="str">
        <f t="shared" si="96"/>
        <v>"empties Oslo",</v>
      </c>
      <c r="AH96" s="7" t="str">
        <f t="shared" si="96"/>
        <v>"product reviews Oslo",</v>
      </c>
      <c r="AI96" s="7" t="str">
        <f t="shared" si="96"/>
        <v>"beauty reviews  Oslo",</v>
      </c>
      <c r="AJ96" s="7" t="str">
        <f t="shared" si="96"/>
        <v>"make-up artist Oslo",</v>
      </c>
      <c r="AK96" s="7" t="str">
        <f t="shared" si="96"/>
        <v>"skincare journey Oslo",</v>
      </c>
      <c r="AL96" s="7" t="str">
        <f t="shared" si="96"/>
        <v>"hair tutorial Oslo",</v>
      </c>
      <c r="AM96" s="7" t="str">
        <f t="shared" si="96"/>
        <v>"barbershop Oslo",</v>
      </c>
      <c r="AN96" s="7"/>
      <c r="AO96" s="7"/>
    </row>
    <row r="97">
      <c r="A97" s="4" t="s">
        <v>4909</v>
      </c>
      <c r="B97" s="7" t="str">
        <f t="shared" si="5"/>
        <v>"ootd Helsinki",</v>
      </c>
      <c r="C97" s="7" t="str">
        <f t="shared" ref="C97:AM97" si="97">CONCATENATE(C$1," ",$A97)</f>
        <v>"street style Helsinki",</v>
      </c>
      <c r="D97" s="7" t="str">
        <f t="shared" si="97"/>
        <v>"skincare Helsinki",</v>
      </c>
      <c r="E97" s="7" t="str">
        <f t="shared" si="97"/>
        <v>"makeup Helsinki",</v>
      </c>
      <c r="F97" s="7" t="str">
        <f t="shared" si="97"/>
        <v>"nails Helsinki",</v>
      </c>
      <c r="G97" s="7" t="str">
        <f t="shared" si="97"/>
        <v>"curly hair Helsinki",</v>
      </c>
      <c r="H97" s="7" t="str">
        <f t="shared" si="97"/>
        <v>"thrift Helsinki",</v>
      </c>
      <c r="I97" s="7" t="str">
        <f t="shared" si="97"/>
        <v>"streetwear Helsinki",</v>
      </c>
      <c r="J97" s="7" t="str">
        <f t="shared" si="97"/>
        <v>"luxury Helsinki",</v>
      </c>
      <c r="K97" s="7" t="str">
        <f t="shared" si="97"/>
        <v>"handbags Helsinki",</v>
      </c>
      <c r="L97" s="7" t="str">
        <f t="shared" si="97"/>
        <v>"sneakers Helsinki",</v>
      </c>
      <c r="M97" s="7" t="str">
        <f t="shared" si="97"/>
        <v>"high heels Helsinki",</v>
      </c>
      <c r="N97" s="7" t="str">
        <f t="shared" si="97"/>
        <v>"haute-couture Helsinki",</v>
      </c>
      <c r="O97" s="7" t="str">
        <f t="shared" si="97"/>
        <v>"diyfashion Helsinki",</v>
      </c>
      <c r="P97" s="7" t="str">
        <f t="shared" si="97"/>
        <v>"accessories Helsinki",</v>
      </c>
      <c r="Q97" s="7" t="str">
        <f t="shared" si="97"/>
        <v>"menswear Helsinki",</v>
      </c>
      <c r="R97" s="7" t="str">
        <f t="shared" si="97"/>
        <v>"womenswear Helsinki",</v>
      </c>
      <c r="S97" s="7" t="str">
        <f t="shared" si="97"/>
        <v>"moda Helsinki",</v>
      </c>
      <c r="T97" s="7" t="str">
        <f t="shared" si="97"/>
        <v>"hairstyle Helsinki",</v>
      </c>
      <c r="U97" s="7" t="str">
        <f t="shared" si="97"/>
        <v>"perfume Helsinki",</v>
      </c>
      <c r="V97" s="7" t="str">
        <f t="shared" si="97"/>
        <v>"cosmetiques Helsinki",</v>
      </c>
      <c r="W97" s="7" t="str">
        <f t="shared" si="97"/>
        <v>"beauty routine Helsinki",</v>
      </c>
      <c r="X97" s="7" t="str">
        <f t="shared" si="97"/>
        <v>"natural beauty Helsinki",</v>
      </c>
      <c r="Y97" s="7" t="str">
        <f t="shared" si="97"/>
        <v>"organic beauty Helsinki",</v>
      </c>
      <c r="Z97" s="7" t="str">
        <f t="shared" si="97"/>
        <v>"sustainable fashion Helsinki",</v>
      </c>
      <c r="AA97" s="7" t="str">
        <f t="shared" si="97"/>
        <v>"fashion hacks Helsinki",</v>
      </c>
      <c r="AB97" s="7" t="str">
        <f t="shared" si="97"/>
        <v>"capsule wardrobe Helsinki",</v>
      </c>
      <c r="AC97" s="7" t="str">
        <f t="shared" si="97"/>
        <v>"fashion trends Helsinki",</v>
      </c>
      <c r="AD97" s="7" t="str">
        <f t="shared" si="97"/>
        <v>"minimalist fashion Helsinki",</v>
      </c>
      <c r="AE97" s="7" t="str">
        <f t="shared" si="97"/>
        <v>"beauty hacks Helsinki",</v>
      </c>
      <c r="AF97" s="7" t="str">
        <f t="shared" si="97"/>
        <v>"hair routines Helsinki",</v>
      </c>
      <c r="AG97" s="7" t="str">
        <f t="shared" si="97"/>
        <v>"empties Helsinki",</v>
      </c>
      <c r="AH97" s="7" t="str">
        <f t="shared" si="97"/>
        <v>"product reviews Helsinki",</v>
      </c>
      <c r="AI97" s="7" t="str">
        <f t="shared" si="97"/>
        <v>"beauty reviews  Helsinki",</v>
      </c>
      <c r="AJ97" s="7" t="str">
        <f t="shared" si="97"/>
        <v>"make-up artist Helsinki",</v>
      </c>
      <c r="AK97" s="7" t="str">
        <f t="shared" si="97"/>
        <v>"skincare journey Helsinki",</v>
      </c>
      <c r="AL97" s="7" t="str">
        <f t="shared" si="97"/>
        <v>"hair tutorial Helsinki",</v>
      </c>
      <c r="AM97" s="7" t="str">
        <f t="shared" si="97"/>
        <v>"barbershop Helsinki",</v>
      </c>
      <c r="AN97" s="7"/>
      <c r="AO97" s="7"/>
    </row>
    <row r="98">
      <c r="A98" s="4" t="s">
        <v>4910</v>
      </c>
      <c r="B98" s="7" t="str">
        <f t="shared" si="5"/>
        <v>"ootd Valencia",</v>
      </c>
      <c r="C98" s="7" t="str">
        <f t="shared" ref="C98:AM98" si="98">CONCATENATE(C$1," ",$A98)</f>
        <v>"street style Valencia",</v>
      </c>
      <c r="D98" s="7" t="str">
        <f t="shared" si="98"/>
        <v>"skincare Valencia",</v>
      </c>
      <c r="E98" s="7" t="str">
        <f t="shared" si="98"/>
        <v>"makeup Valencia",</v>
      </c>
      <c r="F98" s="7" t="str">
        <f t="shared" si="98"/>
        <v>"nails Valencia",</v>
      </c>
      <c r="G98" s="7" t="str">
        <f t="shared" si="98"/>
        <v>"curly hair Valencia",</v>
      </c>
      <c r="H98" s="7" t="str">
        <f t="shared" si="98"/>
        <v>"thrift Valencia",</v>
      </c>
      <c r="I98" s="7" t="str">
        <f t="shared" si="98"/>
        <v>"streetwear Valencia",</v>
      </c>
      <c r="J98" s="7" t="str">
        <f t="shared" si="98"/>
        <v>"luxury Valencia",</v>
      </c>
      <c r="K98" s="7" t="str">
        <f t="shared" si="98"/>
        <v>"handbags Valencia",</v>
      </c>
      <c r="L98" s="7" t="str">
        <f t="shared" si="98"/>
        <v>"sneakers Valencia",</v>
      </c>
      <c r="M98" s="7" t="str">
        <f t="shared" si="98"/>
        <v>"high heels Valencia",</v>
      </c>
      <c r="N98" s="7" t="str">
        <f t="shared" si="98"/>
        <v>"haute-couture Valencia",</v>
      </c>
      <c r="O98" s="7" t="str">
        <f t="shared" si="98"/>
        <v>"diyfashion Valencia",</v>
      </c>
      <c r="P98" s="7" t="str">
        <f t="shared" si="98"/>
        <v>"accessories Valencia",</v>
      </c>
      <c r="Q98" s="7" t="str">
        <f t="shared" si="98"/>
        <v>"menswear Valencia",</v>
      </c>
      <c r="R98" s="7" t="str">
        <f t="shared" si="98"/>
        <v>"womenswear Valencia",</v>
      </c>
      <c r="S98" s="7" t="str">
        <f t="shared" si="98"/>
        <v>"moda Valencia",</v>
      </c>
      <c r="T98" s="7" t="str">
        <f t="shared" si="98"/>
        <v>"hairstyle Valencia",</v>
      </c>
      <c r="U98" s="7" t="str">
        <f t="shared" si="98"/>
        <v>"perfume Valencia",</v>
      </c>
      <c r="V98" s="7" t="str">
        <f t="shared" si="98"/>
        <v>"cosmetiques Valencia",</v>
      </c>
      <c r="W98" s="7" t="str">
        <f t="shared" si="98"/>
        <v>"beauty routine Valencia",</v>
      </c>
      <c r="X98" s="7" t="str">
        <f t="shared" si="98"/>
        <v>"natural beauty Valencia",</v>
      </c>
      <c r="Y98" s="7" t="str">
        <f t="shared" si="98"/>
        <v>"organic beauty Valencia",</v>
      </c>
      <c r="Z98" s="7" t="str">
        <f t="shared" si="98"/>
        <v>"sustainable fashion Valencia",</v>
      </c>
      <c r="AA98" s="7" t="str">
        <f t="shared" si="98"/>
        <v>"fashion hacks Valencia",</v>
      </c>
      <c r="AB98" s="7" t="str">
        <f t="shared" si="98"/>
        <v>"capsule wardrobe Valencia",</v>
      </c>
      <c r="AC98" s="7" t="str">
        <f t="shared" si="98"/>
        <v>"fashion trends Valencia",</v>
      </c>
      <c r="AD98" s="7" t="str">
        <f t="shared" si="98"/>
        <v>"minimalist fashion Valencia",</v>
      </c>
      <c r="AE98" s="7" t="str">
        <f t="shared" si="98"/>
        <v>"beauty hacks Valencia",</v>
      </c>
      <c r="AF98" s="7" t="str">
        <f t="shared" si="98"/>
        <v>"hair routines Valencia",</v>
      </c>
      <c r="AG98" s="7" t="str">
        <f t="shared" si="98"/>
        <v>"empties Valencia",</v>
      </c>
      <c r="AH98" s="7" t="str">
        <f t="shared" si="98"/>
        <v>"product reviews Valencia",</v>
      </c>
      <c r="AI98" s="7" t="str">
        <f t="shared" si="98"/>
        <v>"beauty reviews  Valencia",</v>
      </c>
      <c r="AJ98" s="7" t="str">
        <f t="shared" si="98"/>
        <v>"make-up artist Valencia",</v>
      </c>
      <c r="AK98" s="7" t="str">
        <f t="shared" si="98"/>
        <v>"skincare journey Valencia",</v>
      </c>
      <c r="AL98" s="7" t="str">
        <f t="shared" si="98"/>
        <v>"hair tutorial Valencia",</v>
      </c>
      <c r="AM98" s="7" t="str">
        <f t="shared" si="98"/>
        <v>"barbershop Valencia",</v>
      </c>
      <c r="AN98" s="7"/>
      <c r="AO98" s="7"/>
    </row>
    <row r="99">
      <c r="A99" s="4" t="s">
        <v>4911</v>
      </c>
      <c r="B99" s="7" t="str">
        <f t="shared" si="5"/>
        <v>"ootd Marseille",</v>
      </c>
      <c r="C99" s="7" t="str">
        <f t="shared" ref="C99:AM99" si="99">CONCATENATE(C$1," ",$A99)</f>
        <v>"street style Marseille",</v>
      </c>
      <c r="D99" s="7" t="str">
        <f t="shared" si="99"/>
        <v>"skincare Marseille",</v>
      </c>
      <c r="E99" s="7" t="str">
        <f t="shared" si="99"/>
        <v>"makeup Marseille",</v>
      </c>
      <c r="F99" s="7" t="str">
        <f t="shared" si="99"/>
        <v>"nails Marseille",</v>
      </c>
      <c r="G99" s="7" t="str">
        <f t="shared" si="99"/>
        <v>"curly hair Marseille",</v>
      </c>
      <c r="H99" s="7" t="str">
        <f t="shared" si="99"/>
        <v>"thrift Marseille",</v>
      </c>
      <c r="I99" s="7" t="str">
        <f t="shared" si="99"/>
        <v>"streetwear Marseille",</v>
      </c>
      <c r="J99" s="7" t="str">
        <f t="shared" si="99"/>
        <v>"luxury Marseille",</v>
      </c>
      <c r="K99" s="7" t="str">
        <f t="shared" si="99"/>
        <v>"handbags Marseille",</v>
      </c>
      <c r="L99" s="7" t="str">
        <f t="shared" si="99"/>
        <v>"sneakers Marseille",</v>
      </c>
      <c r="M99" s="7" t="str">
        <f t="shared" si="99"/>
        <v>"high heels Marseille",</v>
      </c>
      <c r="N99" s="7" t="str">
        <f t="shared" si="99"/>
        <v>"haute-couture Marseille",</v>
      </c>
      <c r="O99" s="7" t="str">
        <f t="shared" si="99"/>
        <v>"diyfashion Marseille",</v>
      </c>
      <c r="P99" s="7" t="str">
        <f t="shared" si="99"/>
        <v>"accessories Marseille",</v>
      </c>
      <c r="Q99" s="7" t="str">
        <f t="shared" si="99"/>
        <v>"menswear Marseille",</v>
      </c>
      <c r="R99" s="7" t="str">
        <f t="shared" si="99"/>
        <v>"womenswear Marseille",</v>
      </c>
      <c r="S99" s="7" t="str">
        <f t="shared" si="99"/>
        <v>"moda Marseille",</v>
      </c>
      <c r="T99" s="7" t="str">
        <f t="shared" si="99"/>
        <v>"hairstyle Marseille",</v>
      </c>
      <c r="U99" s="7" t="str">
        <f t="shared" si="99"/>
        <v>"perfume Marseille",</v>
      </c>
      <c r="V99" s="7" t="str">
        <f t="shared" si="99"/>
        <v>"cosmetiques Marseille",</v>
      </c>
      <c r="W99" s="7" t="str">
        <f t="shared" si="99"/>
        <v>"beauty routine Marseille",</v>
      </c>
      <c r="X99" s="7" t="str">
        <f t="shared" si="99"/>
        <v>"natural beauty Marseille",</v>
      </c>
      <c r="Y99" s="7" t="str">
        <f t="shared" si="99"/>
        <v>"organic beauty Marseille",</v>
      </c>
      <c r="Z99" s="7" t="str">
        <f t="shared" si="99"/>
        <v>"sustainable fashion Marseille",</v>
      </c>
      <c r="AA99" s="7" t="str">
        <f t="shared" si="99"/>
        <v>"fashion hacks Marseille",</v>
      </c>
      <c r="AB99" s="7" t="str">
        <f t="shared" si="99"/>
        <v>"capsule wardrobe Marseille",</v>
      </c>
      <c r="AC99" s="7" t="str">
        <f t="shared" si="99"/>
        <v>"fashion trends Marseille",</v>
      </c>
      <c r="AD99" s="7" t="str">
        <f t="shared" si="99"/>
        <v>"minimalist fashion Marseille",</v>
      </c>
      <c r="AE99" s="7" t="str">
        <f t="shared" si="99"/>
        <v>"beauty hacks Marseille",</v>
      </c>
      <c r="AF99" s="7" t="str">
        <f t="shared" si="99"/>
        <v>"hair routines Marseille",</v>
      </c>
      <c r="AG99" s="7" t="str">
        <f t="shared" si="99"/>
        <v>"empties Marseille",</v>
      </c>
      <c r="AH99" s="7" t="str">
        <f t="shared" si="99"/>
        <v>"product reviews Marseille",</v>
      </c>
      <c r="AI99" s="7" t="str">
        <f t="shared" si="99"/>
        <v>"beauty reviews  Marseille",</v>
      </c>
      <c r="AJ99" s="7" t="str">
        <f t="shared" si="99"/>
        <v>"make-up artist Marseille",</v>
      </c>
      <c r="AK99" s="7" t="str">
        <f t="shared" si="99"/>
        <v>"skincare journey Marseille",</v>
      </c>
      <c r="AL99" s="7" t="str">
        <f t="shared" si="99"/>
        <v>"hair tutorial Marseille",</v>
      </c>
      <c r="AM99" s="7" t="str">
        <f t="shared" si="99"/>
        <v>"barbershop Marseille",</v>
      </c>
      <c r="AN99" s="7"/>
      <c r="AO99" s="7"/>
    </row>
    <row r="100">
      <c r="A100" s="4" t="s">
        <v>4912</v>
      </c>
      <c r="B100" s="7" t="str">
        <f t="shared" si="5"/>
        <v>"ootd Lyon",</v>
      </c>
      <c r="C100" s="7" t="str">
        <f t="shared" ref="C100:AM100" si="100">CONCATENATE(C$1," ",$A100)</f>
        <v>"street style Lyon",</v>
      </c>
      <c r="D100" s="7" t="str">
        <f t="shared" si="100"/>
        <v>"skincare Lyon",</v>
      </c>
      <c r="E100" s="7" t="str">
        <f t="shared" si="100"/>
        <v>"makeup Lyon",</v>
      </c>
      <c r="F100" s="7" t="str">
        <f t="shared" si="100"/>
        <v>"nails Lyon",</v>
      </c>
      <c r="G100" s="7" t="str">
        <f t="shared" si="100"/>
        <v>"curly hair Lyon",</v>
      </c>
      <c r="H100" s="7" t="str">
        <f t="shared" si="100"/>
        <v>"thrift Lyon",</v>
      </c>
      <c r="I100" s="7" t="str">
        <f t="shared" si="100"/>
        <v>"streetwear Lyon",</v>
      </c>
      <c r="J100" s="7" t="str">
        <f t="shared" si="100"/>
        <v>"luxury Lyon",</v>
      </c>
      <c r="K100" s="7" t="str">
        <f t="shared" si="100"/>
        <v>"handbags Lyon",</v>
      </c>
      <c r="L100" s="7" t="str">
        <f t="shared" si="100"/>
        <v>"sneakers Lyon",</v>
      </c>
      <c r="M100" s="7" t="str">
        <f t="shared" si="100"/>
        <v>"high heels Lyon",</v>
      </c>
      <c r="N100" s="7" t="str">
        <f t="shared" si="100"/>
        <v>"haute-couture Lyon",</v>
      </c>
      <c r="O100" s="7" t="str">
        <f t="shared" si="100"/>
        <v>"diyfashion Lyon",</v>
      </c>
      <c r="P100" s="7" t="str">
        <f t="shared" si="100"/>
        <v>"accessories Lyon",</v>
      </c>
      <c r="Q100" s="7" t="str">
        <f t="shared" si="100"/>
        <v>"menswear Lyon",</v>
      </c>
      <c r="R100" s="7" t="str">
        <f t="shared" si="100"/>
        <v>"womenswear Lyon",</v>
      </c>
      <c r="S100" s="7" t="str">
        <f t="shared" si="100"/>
        <v>"moda Lyon",</v>
      </c>
      <c r="T100" s="7" t="str">
        <f t="shared" si="100"/>
        <v>"hairstyle Lyon",</v>
      </c>
      <c r="U100" s="7" t="str">
        <f t="shared" si="100"/>
        <v>"perfume Lyon",</v>
      </c>
      <c r="V100" s="7" t="str">
        <f t="shared" si="100"/>
        <v>"cosmetiques Lyon",</v>
      </c>
      <c r="W100" s="7" t="str">
        <f t="shared" si="100"/>
        <v>"beauty routine Lyon",</v>
      </c>
      <c r="X100" s="7" t="str">
        <f t="shared" si="100"/>
        <v>"natural beauty Lyon",</v>
      </c>
      <c r="Y100" s="7" t="str">
        <f t="shared" si="100"/>
        <v>"organic beauty Lyon",</v>
      </c>
      <c r="Z100" s="7" t="str">
        <f t="shared" si="100"/>
        <v>"sustainable fashion Lyon",</v>
      </c>
      <c r="AA100" s="7" t="str">
        <f t="shared" si="100"/>
        <v>"fashion hacks Lyon",</v>
      </c>
      <c r="AB100" s="7" t="str">
        <f t="shared" si="100"/>
        <v>"capsule wardrobe Lyon",</v>
      </c>
      <c r="AC100" s="7" t="str">
        <f t="shared" si="100"/>
        <v>"fashion trends Lyon",</v>
      </c>
      <c r="AD100" s="7" t="str">
        <f t="shared" si="100"/>
        <v>"minimalist fashion Lyon",</v>
      </c>
      <c r="AE100" s="7" t="str">
        <f t="shared" si="100"/>
        <v>"beauty hacks Lyon",</v>
      </c>
      <c r="AF100" s="7" t="str">
        <f t="shared" si="100"/>
        <v>"hair routines Lyon",</v>
      </c>
      <c r="AG100" s="7" t="str">
        <f t="shared" si="100"/>
        <v>"empties Lyon",</v>
      </c>
      <c r="AH100" s="7" t="str">
        <f t="shared" si="100"/>
        <v>"product reviews Lyon",</v>
      </c>
      <c r="AI100" s="7" t="str">
        <f t="shared" si="100"/>
        <v>"beauty reviews  Lyon",</v>
      </c>
      <c r="AJ100" s="7" t="str">
        <f t="shared" si="100"/>
        <v>"make-up artist Lyon",</v>
      </c>
      <c r="AK100" s="7" t="str">
        <f t="shared" si="100"/>
        <v>"skincare journey Lyon",</v>
      </c>
      <c r="AL100" s="7" t="str">
        <f t="shared" si="100"/>
        <v>"hair tutorial Lyon",</v>
      </c>
      <c r="AM100" s="7" t="str">
        <f t="shared" si="100"/>
        <v>"barbershop Lyon",</v>
      </c>
      <c r="AN100" s="7"/>
      <c r="AO100" s="7"/>
    </row>
    <row r="101">
      <c r="A101" s="4" t="s">
        <v>4913</v>
      </c>
      <c r="B101" s="7" t="str">
        <f t="shared" si="5"/>
        <v>"ootd Niseko",</v>
      </c>
      <c r="C101" s="7" t="str">
        <f t="shared" ref="C101:AM101" si="101">CONCATENATE(C$1," ",$A101)</f>
        <v>"street style Niseko",</v>
      </c>
      <c r="D101" s="7" t="str">
        <f t="shared" si="101"/>
        <v>"skincare Niseko",</v>
      </c>
      <c r="E101" s="7" t="str">
        <f t="shared" si="101"/>
        <v>"makeup Niseko",</v>
      </c>
      <c r="F101" s="7" t="str">
        <f t="shared" si="101"/>
        <v>"nails Niseko",</v>
      </c>
      <c r="G101" s="7" t="str">
        <f t="shared" si="101"/>
        <v>"curly hair Niseko",</v>
      </c>
      <c r="H101" s="7" t="str">
        <f t="shared" si="101"/>
        <v>"thrift Niseko",</v>
      </c>
      <c r="I101" s="7" t="str">
        <f t="shared" si="101"/>
        <v>"streetwear Niseko",</v>
      </c>
      <c r="J101" s="7" t="str">
        <f t="shared" si="101"/>
        <v>"luxury Niseko",</v>
      </c>
      <c r="K101" s="7" t="str">
        <f t="shared" si="101"/>
        <v>"handbags Niseko",</v>
      </c>
      <c r="L101" s="7" t="str">
        <f t="shared" si="101"/>
        <v>"sneakers Niseko",</v>
      </c>
      <c r="M101" s="7" t="str">
        <f t="shared" si="101"/>
        <v>"high heels Niseko",</v>
      </c>
      <c r="N101" s="7" t="str">
        <f t="shared" si="101"/>
        <v>"haute-couture Niseko",</v>
      </c>
      <c r="O101" s="7" t="str">
        <f t="shared" si="101"/>
        <v>"diyfashion Niseko",</v>
      </c>
      <c r="P101" s="7" t="str">
        <f t="shared" si="101"/>
        <v>"accessories Niseko",</v>
      </c>
      <c r="Q101" s="7" t="str">
        <f t="shared" si="101"/>
        <v>"menswear Niseko",</v>
      </c>
      <c r="R101" s="7" t="str">
        <f t="shared" si="101"/>
        <v>"womenswear Niseko",</v>
      </c>
      <c r="S101" s="7" t="str">
        <f t="shared" si="101"/>
        <v>"moda Niseko",</v>
      </c>
      <c r="T101" s="7" t="str">
        <f t="shared" si="101"/>
        <v>"hairstyle Niseko",</v>
      </c>
      <c r="U101" s="7" t="str">
        <f t="shared" si="101"/>
        <v>"perfume Niseko",</v>
      </c>
      <c r="V101" s="7" t="str">
        <f t="shared" si="101"/>
        <v>"cosmetiques Niseko",</v>
      </c>
      <c r="W101" s="7" t="str">
        <f t="shared" si="101"/>
        <v>"beauty routine Niseko",</v>
      </c>
      <c r="X101" s="7" t="str">
        <f t="shared" si="101"/>
        <v>"natural beauty Niseko",</v>
      </c>
      <c r="Y101" s="7" t="str">
        <f t="shared" si="101"/>
        <v>"organic beauty Niseko",</v>
      </c>
      <c r="Z101" s="7" t="str">
        <f t="shared" si="101"/>
        <v>"sustainable fashion Niseko",</v>
      </c>
      <c r="AA101" s="7" t="str">
        <f t="shared" si="101"/>
        <v>"fashion hacks Niseko",</v>
      </c>
      <c r="AB101" s="7" t="str">
        <f t="shared" si="101"/>
        <v>"capsule wardrobe Niseko",</v>
      </c>
      <c r="AC101" s="7" t="str">
        <f t="shared" si="101"/>
        <v>"fashion trends Niseko",</v>
      </c>
      <c r="AD101" s="7" t="str">
        <f t="shared" si="101"/>
        <v>"minimalist fashion Niseko",</v>
      </c>
      <c r="AE101" s="7" t="str">
        <f t="shared" si="101"/>
        <v>"beauty hacks Niseko",</v>
      </c>
      <c r="AF101" s="7" t="str">
        <f t="shared" si="101"/>
        <v>"hair routines Niseko",</v>
      </c>
      <c r="AG101" s="7" t="str">
        <f t="shared" si="101"/>
        <v>"empties Niseko",</v>
      </c>
      <c r="AH101" s="7" t="str">
        <f t="shared" si="101"/>
        <v>"product reviews Niseko",</v>
      </c>
      <c r="AI101" s="7" t="str">
        <f t="shared" si="101"/>
        <v>"beauty reviews  Niseko",</v>
      </c>
      <c r="AJ101" s="7" t="str">
        <f t="shared" si="101"/>
        <v>"make-up artist Niseko",</v>
      </c>
      <c r="AK101" s="7" t="str">
        <f t="shared" si="101"/>
        <v>"skincare journey Niseko",</v>
      </c>
      <c r="AL101" s="7" t="str">
        <f t="shared" si="101"/>
        <v>"hair tutorial Niseko",</v>
      </c>
      <c r="AM101" s="7" t="str">
        <f t="shared" si="101"/>
        <v>"barbershop Niseko",</v>
      </c>
      <c r="AN101" s="7"/>
      <c r="AO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tr">
        <f>IFERROR(__xludf.DUMMYFUNCTION("FLATTEN('Thing + places keywords'!B12:AM101)"),"""ootd Bogota"",")</f>
        <v>"ootd Bogota",</v>
      </c>
    </row>
    <row r="2">
      <c r="A2" s="8" t="str">
        <f>IFERROR(__xludf.DUMMYFUNCTION("""COMPUTED_VALUE"""),"""street style Bogota"",")</f>
        <v>"street style Bogota",</v>
      </c>
    </row>
    <row r="3">
      <c r="A3" s="8" t="str">
        <f>IFERROR(__xludf.DUMMYFUNCTION("""COMPUTED_VALUE"""),"""skincare Bogota"",")</f>
        <v>"skincare Bogota",</v>
      </c>
    </row>
    <row r="4">
      <c r="A4" s="8" t="str">
        <f>IFERROR(__xludf.DUMMYFUNCTION("""COMPUTED_VALUE"""),"""makeup Bogota"",")</f>
        <v>"makeup Bogota",</v>
      </c>
    </row>
    <row r="5">
      <c r="A5" s="8" t="str">
        <f>IFERROR(__xludf.DUMMYFUNCTION("""COMPUTED_VALUE"""),"""nails Bogota"",")</f>
        <v>"nails Bogota",</v>
      </c>
    </row>
    <row r="6">
      <c r="A6" s="8" t="str">
        <f>IFERROR(__xludf.DUMMYFUNCTION("""COMPUTED_VALUE"""),"""curly hair Bogota"",")</f>
        <v>"curly hair Bogota",</v>
      </c>
    </row>
    <row r="7">
      <c r="A7" s="8" t="str">
        <f>IFERROR(__xludf.DUMMYFUNCTION("""COMPUTED_VALUE"""),"""thrift Bogota"",")</f>
        <v>"thrift Bogota",</v>
      </c>
    </row>
    <row r="8">
      <c r="A8" s="8" t="str">
        <f>IFERROR(__xludf.DUMMYFUNCTION("""COMPUTED_VALUE"""),"""streetwear Bogota"",")</f>
        <v>"streetwear Bogota",</v>
      </c>
    </row>
    <row r="9">
      <c r="A9" s="8" t="str">
        <f>IFERROR(__xludf.DUMMYFUNCTION("""COMPUTED_VALUE"""),"""luxury Bogota"",")</f>
        <v>"luxury Bogota",</v>
      </c>
    </row>
    <row r="10">
      <c r="A10" s="8" t="str">
        <f>IFERROR(__xludf.DUMMYFUNCTION("""COMPUTED_VALUE"""),"""handbags Bogota"",")</f>
        <v>"handbags Bogota",</v>
      </c>
    </row>
    <row r="11">
      <c r="A11" s="8" t="str">
        <f>IFERROR(__xludf.DUMMYFUNCTION("""COMPUTED_VALUE"""),"""sneakers Bogota"",")</f>
        <v>"sneakers Bogota",</v>
      </c>
    </row>
    <row r="12">
      <c r="A12" s="8" t="str">
        <f>IFERROR(__xludf.DUMMYFUNCTION("""COMPUTED_VALUE"""),"""high heels Bogota"",")</f>
        <v>"high heels Bogota",</v>
      </c>
    </row>
    <row r="13">
      <c r="A13" s="8" t="str">
        <f>IFERROR(__xludf.DUMMYFUNCTION("""COMPUTED_VALUE"""),"""haute-couture Bogota"",")</f>
        <v>"haute-couture Bogota",</v>
      </c>
    </row>
    <row r="14">
      <c r="A14" s="8" t="str">
        <f>IFERROR(__xludf.DUMMYFUNCTION("""COMPUTED_VALUE"""),"""diyfashion Bogota"",")</f>
        <v>"diyfashion Bogota",</v>
      </c>
    </row>
    <row r="15">
      <c r="A15" s="8" t="str">
        <f>IFERROR(__xludf.DUMMYFUNCTION("""COMPUTED_VALUE"""),"""accessories Bogota"",")</f>
        <v>"accessories Bogota",</v>
      </c>
    </row>
    <row r="16">
      <c r="A16" s="8" t="str">
        <f>IFERROR(__xludf.DUMMYFUNCTION("""COMPUTED_VALUE"""),"""menswear Bogota"",")</f>
        <v>"menswear Bogota",</v>
      </c>
    </row>
    <row r="17">
      <c r="A17" s="8" t="str">
        <f>IFERROR(__xludf.DUMMYFUNCTION("""COMPUTED_VALUE"""),"""womenswear Bogota"",")</f>
        <v>"womenswear Bogota",</v>
      </c>
    </row>
    <row r="18">
      <c r="A18" s="8" t="str">
        <f>IFERROR(__xludf.DUMMYFUNCTION("""COMPUTED_VALUE"""),"""moda Bogota"",")</f>
        <v>"moda Bogota",</v>
      </c>
    </row>
    <row r="19">
      <c r="A19" s="8" t="str">
        <f>IFERROR(__xludf.DUMMYFUNCTION("""COMPUTED_VALUE"""),"""hairstyle Bogota"",")</f>
        <v>"hairstyle Bogota",</v>
      </c>
    </row>
    <row r="20">
      <c r="A20" s="8" t="str">
        <f>IFERROR(__xludf.DUMMYFUNCTION("""COMPUTED_VALUE"""),"""perfume Bogota"",")</f>
        <v>"perfume Bogota",</v>
      </c>
    </row>
    <row r="21">
      <c r="A21" s="8" t="str">
        <f>IFERROR(__xludf.DUMMYFUNCTION("""COMPUTED_VALUE"""),"""cosmetiques Bogota"",")</f>
        <v>"cosmetiques Bogota",</v>
      </c>
    </row>
    <row r="22">
      <c r="A22" s="8" t="str">
        <f>IFERROR(__xludf.DUMMYFUNCTION("""COMPUTED_VALUE"""),"""beauty routine Bogota"",")</f>
        <v>"beauty routine Bogota",</v>
      </c>
    </row>
    <row r="23">
      <c r="A23" s="8" t="str">
        <f>IFERROR(__xludf.DUMMYFUNCTION("""COMPUTED_VALUE"""),"""natural beauty Bogota"",")</f>
        <v>"natural beauty Bogota",</v>
      </c>
    </row>
    <row r="24">
      <c r="A24" s="8" t="str">
        <f>IFERROR(__xludf.DUMMYFUNCTION("""COMPUTED_VALUE"""),"""organic beauty Bogota"",")</f>
        <v>"organic beauty Bogota",</v>
      </c>
    </row>
    <row r="25">
      <c r="A25" s="8" t="str">
        <f>IFERROR(__xludf.DUMMYFUNCTION("""COMPUTED_VALUE"""),"""sustainable fashion Bogota"",")</f>
        <v>"sustainable fashion Bogota",</v>
      </c>
    </row>
    <row r="26">
      <c r="A26" s="8" t="str">
        <f>IFERROR(__xludf.DUMMYFUNCTION("""COMPUTED_VALUE"""),"""fashion hacks Bogota"",")</f>
        <v>"fashion hacks Bogota",</v>
      </c>
    </row>
    <row r="27">
      <c r="A27" s="8" t="str">
        <f>IFERROR(__xludf.DUMMYFUNCTION("""COMPUTED_VALUE"""),"""capsule wardrobe Bogota"",")</f>
        <v>"capsule wardrobe Bogota",</v>
      </c>
    </row>
    <row r="28">
      <c r="A28" s="8" t="str">
        <f>IFERROR(__xludf.DUMMYFUNCTION("""COMPUTED_VALUE"""),"""fashion trends Bogota"",")</f>
        <v>"fashion trends Bogota",</v>
      </c>
    </row>
    <row r="29">
      <c r="A29" s="8" t="str">
        <f>IFERROR(__xludf.DUMMYFUNCTION("""COMPUTED_VALUE"""),"""minimalist fashion Bogota"",")</f>
        <v>"minimalist fashion Bogota",</v>
      </c>
    </row>
    <row r="30">
      <c r="A30" s="8" t="str">
        <f>IFERROR(__xludf.DUMMYFUNCTION("""COMPUTED_VALUE"""),"""beauty hacks Bogota"",")</f>
        <v>"beauty hacks Bogota",</v>
      </c>
    </row>
    <row r="31">
      <c r="A31" s="8" t="str">
        <f>IFERROR(__xludf.DUMMYFUNCTION("""COMPUTED_VALUE"""),"""hair routines Bogota"",")</f>
        <v>"hair routines Bogota",</v>
      </c>
    </row>
    <row r="32">
      <c r="A32" s="8" t="str">
        <f>IFERROR(__xludf.DUMMYFUNCTION("""COMPUTED_VALUE"""),"""empties Bogota"",")</f>
        <v>"empties Bogota",</v>
      </c>
    </row>
    <row r="33">
      <c r="A33" s="8" t="str">
        <f>IFERROR(__xludf.DUMMYFUNCTION("""COMPUTED_VALUE"""),"""product reviews Bogota"",")</f>
        <v>"product reviews Bogota",</v>
      </c>
    </row>
    <row r="34">
      <c r="A34" s="8" t="str">
        <f>IFERROR(__xludf.DUMMYFUNCTION("""COMPUTED_VALUE"""),"""beauty reviews  Bogota"",")</f>
        <v>"beauty reviews  Bogota",</v>
      </c>
    </row>
    <row r="35">
      <c r="A35" s="8" t="str">
        <f>IFERROR(__xludf.DUMMYFUNCTION("""COMPUTED_VALUE"""),"""make-up artist Bogota"",")</f>
        <v>"make-up artist Bogota",</v>
      </c>
    </row>
    <row r="36">
      <c r="A36" s="8" t="str">
        <f>IFERROR(__xludf.DUMMYFUNCTION("""COMPUTED_VALUE"""),"""skincare journey Bogota"",")</f>
        <v>"skincare journey Bogota",</v>
      </c>
    </row>
    <row r="37">
      <c r="A37" s="8" t="str">
        <f>IFERROR(__xludf.DUMMYFUNCTION("""COMPUTED_VALUE"""),"""hair tutorial Bogota"",")</f>
        <v>"hair tutorial Bogota",</v>
      </c>
    </row>
    <row r="38">
      <c r="A38" s="9" t="str">
        <f>IFERROR(__xludf.DUMMYFUNCTION("""COMPUTED_VALUE"""),"""barbershop Bogota"",")</f>
        <v>"barbershop Bogota",</v>
      </c>
    </row>
    <row r="39">
      <c r="A39" s="8" t="str">
        <f>IFERROR(__xludf.DUMMYFUNCTION("""COMPUTED_VALUE"""),"""ootd Santiago"",")</f>
        <v>"ootd Santiago",</v>
      </c>
    </row>
    <row r="40">
      <c r="A40" s="8" t="str">
        <f>IFERROR(__xludf.DUMMYFUNCTION("""COMPUTED_VALUE"""),"""street style Santiago"",")</f>
        <v>"street style Santiago",</v>
      </c>
    </row>
    <row r="41">
      <c r="A41" s="8" t="str">
        <f>IFERROR(__xludf.DUMMYFUNCTION("""COMPUTED_VALUE"""),"""skincare Santiago"",")</f>
        <v>"skincare Santiago",</v>
      </c>
    </row>
    <row r="42">
      <c r="A42" s="8" t="str">
        <f>IFERROR(__xludf.DUMMYFUNCTION("""COMPUTED_VALUE"""),"""makeup Santiago"",")</f>
        <v>"makeup Santiago",</v>
      </c>
    </row>
    <row r="43">
      <c r="A43" s="8" t="str">
        <f>IFERROR(__xludf.DUMMYFUNCTION("""COMPUTED_VALUE"""),"""nails Santiago"",")</f>
        <v>"nails Santiago",</v>
      </c>
    </row>
    <row r="44">
      <c r="A44" s="8" t="str">
        <f>IFERROR(__xludf.DUMMYFUNCTION("""COMPUTED_VALUE"""),"""curly hair Santiago"",")</f>
        <v>"curly hair Santiago",</v>
      </c>
    </row>
    <row r="45">
      <c r="A45" s="8" t="str">
        <f>IFERROR(__xludf.DUMMYFUNCTION("""COMPUTED_VALUE"""),"""thrift Santiago"",")</f>
        <v>"thrift Santiago",</v>
      </c>
    </row>
    <row r="46">
      <c r="A46" s="8" t="str">
        <f>IFERROR(__xludf.DUMMYFUNCTION("""COMPUTED_VALUE"""),"""streetwear Santiago"",")</f>
        <v>"streetwear Santiago",</v>
      </c>
    </row>
    <row r="47">
      <c r="A47" s="8" t="str">
        <f>IFERROR(__xludf.DUMMYFUNCTION("""COMPUTED_VALUE"""),"""luxury Santiago"",")</f>
        <v>"luxury Santiago",</v>
      </c>
    </row>
    <row r="48">
      <c r="A48" s="8" t="str">
        <f>IFERROR(__xludf.DUMMYFUNCTION("""COMPUTED_VALUE"""),"""handbags Santiago"",")</f>
        <v>"handbags Santiago",</v>
      </c>
    </row>
    <row r="49">
      <c r="A49" s="8" t="str">
        <f>IFERROR(__xludf.DUMMYFUNCTION("""COMPUTED_VALUE"""),"""sneakers Santiago"",")</f>
        <v>"sneakers Santiago",</v>
      </c>
    </row>
    <row r="50">
      <c r="A50" s="8" t="str">
        <f>IFERROR(__xludf.DUMMYFUNCTION("""COMPUTED_VALUE"""),"""high heels Santiago"",")</f>
        <v>"high heels Santiago",</v>
      </c>
    </row>
    <row r="51">
      <c r="A51" s="8" t="str">
        <f>IFERROR(__xludf.DUMMYFUNCTION("""COMPUTED_VALUE"""),"""haute-couture Santiago"",")</f>
        <v>"haute-couture Santiago",</v>
      </c>
    </row>
    <row r="52">
      <c r="A52" s="8" t="str">
        <f>IFERROR(__xludf.DUMMYFUNCTION("""COMPUTED_VALUE"""),"""diyfashion Santiago"",")</f>
        <v>"diyfashion Santiago",</v>
      </c>
    </row>
    <row r="53">
      <c r="A53" s="8" t="str">
        <f>IFERROR(__xludf.DUMMYFUNCTION("""COMPUTED_VALUE"""),"""accessories Santiago"",")</f>
        <v>"accessories Santiago",</v>
      </c>
    </row>
    <row r="54">
      <c r="A54" s="8" t="str">
        <f>IFERROR(__xludf.DUMMYFUNCTION("""COMPUTED_VALUE"""),"""menswear Santiago"",")</f>
        <v>"menswear Santiago",</v>
      </c>
    </row>
    <row r="55">
      <c r="A55" s="8" t="str">
        <f>IFERROR(__xludf.DUMMYFUNCTION("""COMPUTED_VALUE"""),"""womenswear Santiago"",")</f>
        <v>"womenswear Santiago",</v>
      </c>
    </row>
    <row r="56">
      <c r="A56" s="8" t="str">
        <f>IFERROR(__xludf.DUMMYFUNCTION("""COMPUTED_VALUE"""),"""moda Santiago"",")</f>
        <v>"moda Santiago",</v>
      </c>
    </row>
    <row r="57">
      <c r="A57" s="8" t="str">
        <f>IFERROR(__xludf.DUMMYFUNCTION("""COMPUTED_VALUE"""),"""hairstyle Santiago"",")</f>
        <v>"hairstyle Santiago",</v>
      </c>
    </row>
    <row r="58">
      <c r="A58" s="8" t="str">
        <f>IFERROR(__xludf.DUMMYFUNCTION("""COMPUTED_VALUE"""),"""perfume Santiago"",")</f>
        <v>"perfume Santiago",</v>
      </c>
    </row>
    <row r="59">
      <c r="A59" s="8" t="str">
        <f>IFERROR(__xludf.DUMMYFUNCTION("""COMPUTED_VALUE"""),"""cosmetiques Santiago"",")</f>
        <v>"cosmetiques Santiago",</v>
      </c>
    </row>
    <row r="60">
      <c r="A60" s="8" t="str">
        <f>IFERROR(__xludf.DUMMYFUNCTION("""COMPUTED_VALUE"""),"""beauty routine Santiago"",")</f>
        <v>"beauty routine Santiago",</v>
      </c>
    </row>
    <row r="61">
      <c r="A61" s="8" t="str">
        <f>IFERROR(__xludf.DUMMYFUNCTION("""COMPUTED_VALUE"""),"""natural beauty Santiago"",")</f>
        <v>"natural beauty Santiago",</v>
      </c>
    </row>
    <row r="62">
      <c r="A62" s="8" t="str">
        <f>IFERROR(__xludf.DUMMYFUNCTION("""COMPUTED_VALUE"""),"""organic beauty Santiago"",")</f>
        <v>"organic beauty Santiago",</v>
      </c>
    </row>
    <row r="63">
      <c r="A63" s="8" t="str">
        <f>IFERROR(__xludf.DUMMYFUNCTION("""COMPUTED_VALUE"""),"""sustainable fashion Santiago"",")</f>
        <v>"sustainable fashion Santiago",</v>
      </c>
    </row>
    <row r="64">
      <c r="A64" s="8" t="str">
        <f>IFERROR(__xludf.DUMMYFUNCTION("""COMPUTED_VALUE"""),"""fashion hacks Santiago"",")</f>
        <v>"fashion hacks Santiago",</v>
      </c>
    </row>
    <row r="65">
      <c r="A65" s="8" t="str">
        <f>IFERROR(__xludf.DUMMYFUNCTION("""COMPUTED_VALUE"""),"""capsule wardrobe Santiago"",")</f>
        <v>"capsule wardrobe Santiago",</v>
      </c>
    </row>
    <row r="66">
      <c r="A66" s="8" t="str">
        <f>IFERROR(__xludf.DUMMYFUNCTION("""COMPUTED_VALUE"""),"""fashion trends Santiago"",")</f>
        <v>"fashion trends Santiago",</v>
      </c>
    </row>
    <row r="67">
      <c r="A67" s="8" t="str">
        <f>IFERROR(__xludf.DUMMYFUNCTION("""COMPUTED_VALUE"""),"""minimalist fashion Santiago"",")</f>
        <v>"minimalist fashion Santiago",</v>
      </c>
    </row>
    <row r="68">
      <c r="A68" s="8" t="str">
        <f>IFERROR(__xludf.DUMMYFUNCTION("""COMPUTED_VALUE"""),"""beauty hacks Santiago"",")</f>
        <v>"beauty hacks Santiago",</v>
      </c>
    </row>
    <row r="69">
      <c r="A69" s="8" t="str">
        <f>IFERROR(__xludf.DUMMYFUNCTION("""COMPUTED_VALUE"""),"""hair routines Santiago"",")</f>
        <v>"hair routines Santiago",</v>
      </c>
    </row>
    <row r="70">
      <c r="A70" s="8" t="str">
        <f>IFERROR(__xludf.DUMMYFUNCTION("""COMPUTED_VALUE"""),"""empties Santiago"",")</f>
        <v>"empties Santiago",</v>
      </c>
    </row>
    <row r="71">
      <c r="A71" s="8" t="str">
        <f>IFERROR(__xludf.DUMMYFUNCTION("""COMPUTED_VALUE"""),"""product reviews Santiago"",")</f>
        <v>"product reviews Santiago",</v>
      </c>
    </row>
    <row r="72">
      <c r="A72" s="8" t="str">
        <f>IFERROR(__xludf.DUMMYFUNCTION("""COMPUTED_VALUE"""),"""beauty reviews  Santiago"",")</f>
        <v>"beauty reviews  Santiago",</v>
      </c>
    </row>
    <row r="73">
      <c r="A73" s="8" t="str">
        <f>IFERROR(__xludf.DUMMYFUNCTION("""COMPUTED_VALUE"""),"""make-up artist Santiago"",")</f>
        <v>"make-up artist Santiago",</v>
      </c>
    </row>
    <row r="74">
      <c r="A74" s="8" t="str">
        <f>IFERROR(__xludf.DUMMYFUNCTION("""COMPUTED_VALUE"""),"""skincare journey Santiago"",")</f>
        <v>"skincare journey Santiago",</v>
      </c>
    </row>
    <row r="75">
      <c r="A75" s="8" t="str">
        <f>IFERROR(__xludf.DUMMYFUNCTION("""COMPUTED_VALUE"""),"""hair tutorial Santiago"",")</f>
        <v>"hair tutorial Santiago",</v>
      </c>
    </row>
    <row r="76">
      <c r="A76" s="8" t="str">
        <f>IFERROR(__xludf.DUMMYFUNCTION("""COMPUTED_VALUE"""),"""barbershop Santiago"",")</f>
        <v>"barbershop Santiago",</v>
      </c>
    </row>
    <row r="77">
      <c r="A77" s="8" t="str">
        <f>IFERROR(__xludf.DUMMYFUNCTION("""COMPUTED_VALUE"""),"""ootd London"",")</f>
        <v>"ootd London",</v>
      </c>
    </row>
    <row r="78">
      <c r="A78" s="8" t="str">
        <f>IFERROR(__xludf.DUMMYFUNCTION("""COMPUTED_VALUE"""),"""street style London"",")</f>
        <v>"street style London",</v>
      </c>
    </row>
    <row r="79">
      <c r="A79" s="8" t="str">
        <f>IFERROR(__xludf.DUMMYFUNCTION("""COMPUTED_VALUE"""),"""skincare London"",")</f>
        <v>"skincare London",</v>
      </c>
    </row>
    <row r="80">
      <c r="A80" s="8" t="str">
        <f>IFERROR(__xludf.DUMMYFUNCTION("""COMPUTED_VALUE"""),"""makeup London"",")</f>
        <v>"makeup London",</v>
      </c>
    </row>
    <row r="81">
      <c r="A81" s="8" t="str">
        <f>IFERROR(__xludf.DUMMYFUNCTION("""COMPUTED_VALUE"""),"""nails London"",")</f>
        <v>"nails London",</v>
      </c>
    </row>
    <row r="82">
      <c r="A82" s="8" t="str">
        <f>IFERROR(__xludf.DUMMYFUNCTION("""COMPUTED_VALUE"""),"""curly hair London"",")</f>
        <v>"curly hair London",</v>
      </c>
    </row>
    <row r="83">
      <c r="A83" s="8" t="str">
        <f>IFERROR(__xludf.DUMMYFUNCTION("""COMPUTED_VALUE"""),"""thrift London"",")</f>
        <v>"thrift London",</v>
      </c>
    </row>
    <row r="84">
      <c r="A84" s="8" t="str">
        <f>IFERROR(__xludf.DUMMYFUNCTION("""COMPUTED_VALUE"""),"""streetwear London"",")</f>
        <v>"streetwear London",</v>
      </c>
    </row>
    <row r="85">
      <c r="A85" s="8" t="str">
        <f>IFERROR(__xludf.DUMMYFUNCTION("""COMPUTED_VALUE"""),"""luxury London"",")</f>
        <v>"luxury London",</v>
      </c>
    </row>
    <row r="86">
      <c r="A86" s="8" t="str">
        <f>IFERROR(__xludf.DUMMYFUNCTION("""COMPUTED_VALUE"""),"""handbags London"",")</f>
        <v>"handbags London",</v>
      </c>
    </row>
    <row r="87">
      <c r="A87" s="8" t="str">
        <f>IFERROR(__xludf.DUMMYFUNCTION("""COMPUTED_VALUE"""),"""sneakers London"",")</f>
        <v>"sneakers London",</v>
      </c>
    </row>
    <row r="88">
      <c r="A88" s="8" t="str">
        <f>IFERROR(__xludf.DUMMYFUNCTION("""COMPUTED_VALUE"""),"""high heels London"",")</f>
        <v>"high heels London",</v>
      </c>
    </row>
    <row r="89">
      <c r="A89" s="8" t="str">
        <f>IFERROR(__xludf.DUMMYFUNCTION("""COMPUTED_VALUE"""),"""haute-couture London"",")</f>
        <v>"haute-couture London",</v>
      </c>
    </row>
    <row r="90">
      <c r="A90" s="8" t="str">
        <f>IFERROR(__xludf.DUMMYFUNCTION("""COMPUTED_VALUE"""),"""diyfashion London"",")</f>
        <v>"diyfashion London",</v>
      </c>
    </row>
    <row r="91">
      <c r="A91" s="8" t="str">
        <f>IFERROR(__xludf.DUMMYFUNCTION("""COMPUTED_VALUE"""),"""accessories London"",")</f>
        <v>"accessories London",</v>
      </c>
    </row>
    <row r="92">
      <c r="A92" s="8" t="str">
        <f>IFERROR(__xludf.DUMMYFUNCTION("""COMPUTED_VALUE"""),"""menswear London"",")</f>
        <v>"menswear London",</v>
      </c>
    </row>
    <row r="93">
      <c r="A93" s="8" t="str">
        <f>IFERROR(__xludf.DUMMYFUNCTION("""COMPUTED_VALUE"""),"""womenswear London"",")</f>
        <v>"womenswear London",</v>
      </c>
    </row>
    <row r="94">
      <c r="A94" s="8" t="str">
        <f>IFERROR(__xludf.DUMMYFUNCTION("""COMPUTED_VALUE"""),"""moda London"",")</f>
        <v>"moda London",</v>
      </c>
    </row>
    <row r="95">
      <c r="A95" s="8" t="str">
        <f>IFERROR(__xludf.DUMMYFUNCTION("""COMPUTED_VALUE"""),"""hairstyle London"",")</f>
        <v>"hairstyle London",</v>
      </c>
    </row>
    <row r="96">
      <c r="A96" s="8" t="str">
        <f>IFERROR(__xludf.DUMMYFUNCTION("""COMPUTED_VALUE"""),"""perfume London"",")</f>
        <v>"perfume London",</v>
      </c>
    </row>
    <row r="97">
      <c r="A97" s="8" t="str">
        <f>IFERROR(__xludf.DUMMYFUNCTION("""COMPUTED_VALUE"""),"""cosmetiques London"",")</f>
        <v>"cosmetiques London",</v>
      </c>
    </row>
    <row r="98">
      <c r="A98" s="8" t="str">
        <f>IFERROR(__xludf.DUMMYFUNCTION("""COMPUTED_VALUE"""),"""beauty routine London"",")</f>
        <v>"beauty routine London",</v>
      </c>
    </row>
    <row r="99">
      <c r="A99" s="8" t="str">
        <f>IFERROR(__xludf.DUMMYFUNCTION("""COMPUTED_VALUE"""),"""natural beauty London"",")</f>
        <v>"natural beauty London",</v>
      </c>
    </row>
    <row r="100">
      <c r="A100" s="8" t="str">
        <f>IFERROR(__xludf.DUMMYFUNCTION("""COMPUTED_VALUE"""),"""organic beauty London"",")</f>
        <v>"organic beauty London",</v>
      </c>
    </row>
    <row r="101">
      <c r="A101" s="8" t="str">
        <f>IFERROR(__xludf.DUMMYFUNCTION("""COMPUTED_VALUE"""),"""sustainable fashion London"",")</f>
        <v>"sustainable fashion London",</v>
      </c>
    </row>
    <row r="102">
      <c r="A102" s="8" t="str">
        <f>IFERROR(__xludf.DUMMYFUNCTION("""COMPUTED_VALUE"""),"""fashion hacks London"",")</f>
        <v>"fashion hacks London",</v>
      </c>
    </row>
    <row r="103">
      <c r="A103" s="8" t="str">
        <f>IFERROR(__xludf.DUMMYFUNCTION("""COMPUTED_VALUE"""),"""capsule wardrobe London"",")</f>
        <v>"capsule wardrobe London",</v>
      </c>
    </row>
    <row r="104">
      <c r="A104" s="8" t="str">
        <f>IFERROR(__xludf.DUMMYFUNCTION("""COMPUTED_VALUE"""),"""fashion trends London"",")</f>
        <v>"fashion trends London",</v>
      </c>
    </row>
    <row r="105">
      <c r="A105" s="8" t="str">
        <f>IFERROR(__xludf.DUMMYFUNCTION("""COMPUTED_VALUE"""),"""minimalist fashion London"",")</f>
        <v>"minimalist fashion London",</v>
      </c>
    </row>
    <row r="106">
      <c r="A106" s="8" t="str">
        <f>IFERROR(__xludf.DUMMYFUNCTION("""COMPUTED_VALUE"""),"""beauty hacks London"",")</f>
        <v>"beauty hacks London",</v>
      </c>
    </row>
    <row r="107">
      <c r="A107" s="8" t="str">
        <f>IFERROR(__xludf.DUMMYFUNCTION("""COMPUTED_VALUE"""),"""hair routines London"",")</f>
        <v>"hair routines London",</v>
      </c>
    </row>
    <row r="108">
      <c r="A108" s="8" t="str">
        <f>IFERROR(__xludf.DUMMYFUNCTION("""COMPUTED_VALUE"""),"""empties London"",")</f>
        <v>"empties London",</v>
      </c>
    </row>
    <row r="109">
      <c r="A109" s="8" t="str">
        <f>IFERROR(__xludf.DUMMYFUNCTION("""COMPUTED_VALUE"""),"""product reviews London"",")</f>
        <v>"product reviews London",</v>
      </c>
    </row>
    <row r="110">
      <c r="A110" s="8" t="str">
        <f>IFERROR(__xludf.DUMMYFUNCTION("""COMPUTED_VALUE"""),"""beauty reviews  London"",")</f>
        <v>"beauty reviews  London",</v>
      </c>
    </row>
    <row r="111">
      <c r="A111" s="8" t="str">
        <f>IFERROR(__xludf.DUMMYFUNCTION("""COMPUTED_VALUE"""),"""make-up artist London"",")</f>
        <v>"make-up artist London",</v>
      </c>
    </row>
    <row r="112">
      <c r="A112" s="8" t="str">
        <f>IFERROR(__xludf.DUMMYFUNCTION("""COMPUTED_VALUE"""),"""skincare journey London"",")</f>
        <v>"skincare journey London",</v>
      </c>
    </row>
    <row r="113">
      <c r="A113" s="8" t="str">
        <f>IFERROR(__xludf.DUMMYFUNCTION("""COMPUTED_VALUE"""),"""hair tutorial London"",")</f>
        <v>"hair tutorial London",</v>
      </c>
    </row>
    <row r="114">
      <c r="A114" s="8" t="str">
        <f>IFERROR(__xludf.DUMMYFUNCTION("""COMPUTED_VALUE"""),"""barbershop London"",")</f>
        <v>"barbershop London",</v>
      </c>
    </row>
    <row r="115">
      <c r="A115" s="8" t="str">
        <f>IFERROR(__xludf.DUMMYFUNCTION("""COMPUTED_VALUE"""),"""ootd Paris"",")</f>
        <v>"ootd Paris",</v>
      </c>
    </row>
    <row r="116">
      <c r="A116" s="8" t="str">
        <f>IFERROR(__xludf.DUMMYFUNCTION("""COMPUTED_VALUE"""),"""street style Paris"",")</f>
        <v>"street style Paris",</v>
      </c>
    </row>
    <row r="117">
      <c r="A117" s="8" t="str">
        <f>IFERROR(__xludf.DUMMYFUNCTION("""COMPUTED_VALUE"""),"""skincare Paris"",")</f>
        <v>"skincare Paris",</v>
      </c>
    </row>
    <row r="118">
      <c r="A118" s="8" t="str">
        <f>IFERROR(__xludf.DUMMYFUNCTION("""COMPUTED_VALUE"""),"""makeup Paris"",")</f>
        <v>"makeup Paris",</v>
      </c>
    </row>
    <row r="119">
      <c r="A119" s="8" t="str">
        <f>IFERROR(__xludf.DUMMYFUNCTION("""COMPUTED_VALUE"""),"""nails Paris"",")</f>
        <v>"nails Paris",</v>
      </c>
    </row>
    <row r="120">
      <c r="A120" s="8" t="str">
        <f>IFERROR(__xludf.DUMMYFUNCTION("""COMPUTED_VALUE"""),"""curly hair Paris"",")</f>
        <v>"curly hair Paris",</v>
      </c>
    </row>
    <row r="121">
      <c r="A121" s="8" t="str">
        <f>IFERROR(__xludf.DUMMYFUNCTION("""COMPUTED_VALUE"""),"""thrift Paris"",")</f>
        <v>"thrift Paris",</v>
      </c>
    </row>
    <row r="122">
      <c r="A122" s="8" t="str">
        <f>IFERROR(__xludf.DUMMYFUNCTION("""COMPUTED_VALUE"""),"""streetwear Paris"",")</f>
        <v>"streetwear Paris",</v>
      </c>
    </row>
    <row r="123">
      <c r="A123" s="8" t="str">
        <f>IFERROR(__xludf.DUMMYFUNCTION("""COMPUTED_VALUE"""),"""luxury Paris"",")</f>
        <v>"luxury Paris",</v>
      </c>
    </row>
    <row r="124">
      <c r="A124" s="8" t="str">
        <f>IFERROR(__xludf.DUMMYFUNCTION("""COMPUTED_VALUE"""),"""handbags Paris"",")</f>
        <v>"handbags Paris",</v>
      </c>
    </row>
    <row r="125">
      <c r="A125" s="8" t="str">
        <f>IFERROR(__xludf.DUMMYFUNCTION("""COMPUTED_VALUE"""),"""sneakers Paris"",")</f>
        <v>"sneakers Paris",</v>
      </c>
    </row>
    <row r="126">
      <c r="A126" s="8" t="str">
        <f>IFERROR(__xludf.DUMMYFUNCTION("""COMPUTED_VALUE"""),"""high heels Paris"",")</f>
        <v>"high heels Paris",</v>
      </c>
    </row>
    <row r="127">
      <c r="A127" s="8" t="str">
        <f>IFERROR(__xludf.DUMMYFUNCTION("""COMPUTED_VALUE"""),"""haute-couture Paris"",")</f>
        <v>"haute-couture Paris",</v>
      </c>
    </row>
    <row r="128">
      <c r="A128" s="8" t="str">
        <f>IFERROR(__xludf.DUMMYFUNCTION("""COMPUTED_VALUE"""),"""diyfashion Paris"",")</f>
        <v>"diyfashion Paris",</v>
      </c>
    </row>
    <row r="129">
      <c r="A129" s="8" t="str">
        <f>IFERROR(__xludf.DUMMYFUNCTION("""COMPUTED_VALUE"""),"""accessories Paris"",")</f>
        <v>"accessories Paris",</v>
      </c>
    </row>
    <row r="130">
      <c r="A130" s="8" t="str">
        <f>IFERROR(__xludf.DUMMYFUNCTION("""COMPUTED_VALUE"""),"""menswear Paris"",")</f>
        <v>"menswear Paris",</v>
      </c>
    </row>
    <row r="131">
      <c r="A131" s="8" t="str">
        <f>IFERROR(__xludf.DUMMYFUNCTION("""COMPUTED_VALUE"""),"""womenswear Paris"",")</f>
        <v>"womenswear Paris",</v>
      </c>
    </row>
    <row r="132">
      <c r="A132" s="8" t="str">
        <f>IFERROR(__xludf.DUMMYFUNCTION("""COMPUTED_VALUE"""),"""moda Paris"",")</f>
        <v>"moda Paris",</v>
      </c>
    </row>
    <row r="133">
      <c r="A133" s="8" t="str">
        <f>IFERROR(__xludf.DUMMYFUNCTION("""COMPUTED_VALUE"""),"""hairstyle Paris"",")</f>
        <v>"hairstyle Paris",</v>
      </c>
    </row>
    <row r="134">
      <c r="A134" s="8" t="str">
        <f>IFERROR(__xludf.DUMMYFUNCTION("""COMPUTED_VALUE"""),"""perfume Paris"",")</f>
        <v>"perfume Paris",</v>
      </c>
    </row>
    <row r="135">
      <c r="A135" s="8" t="str">
        <f>IFERROR(__xludf.DUMMYFUNCTION("""COMPUTED_VALUE"""),"""cosmetiques Paris"",")</f>
        <v>"cosmetiques Paris",</v>
      </c>
    </row>
    <row r="136">
      <c r="A136" s="8" t="str">
        <f>IFERROR(__xludf.DUMMYFUNCTION("""COMPUTED_VALUE"""),"""beauty routine Paris"",")</f>
        <v>"beauty routine Paris",</v>
      </c>
    </row>
    <row r="137">
      <c r="A137" s="8" t="str">
        <f>IFERROR(__xludf.DUMMYFUNCTION("""COMPUTED_VALUE"""),"""natural beauty Paris"",")</f>
        <v>"natural beauty Paris",</v>
      </c>
    </row>
    <row r="138">
      <c r="A138" s="8" t="str">
        <f>IFERROR(__xludf.DUMMYFUNCTION("""COMPUTED_VALUE"""),"""organic beauty Paris"",")</f>
        <v>"organic beauty Paris",</v>
      </c>
    </row>
    <row r="139">
      <c r="A139" s="8" t="str">
        <f>IFERROR(__xludf.DUMMYFUNCTION("""COMPUTED_VALUE"""),"""sustainable fashion Paris"",")</f>
        <v>"sustainable fashion Paris",</v>
      </c>
    </row>
    <row r="140">
      <c r="A140" s="8" t="str">
        <f>IFERROR(__xludf.DUMMYFUNCTION("""COMPUTED_VALUE"""),"""fashion hacks Paris"",")</f>
        <v>"fashion hacks Paris",</v>
      </c>
    </row>
    <row r="141">
      <c r="A141" s="8" t="str">
        <f>IFERROR(__xludf.DUMMYFUNCTION("""COMPUTED_VALUE"""),"""capsule wardrobe Paris"",")</f>
        <v>"capsule wardrobe Paris",</v>
      </c>
    </row>
    <row r="142">
      <c r="A142" s="8" t="str">
        <f>IFERROR(__xludf.DUMMYFUNCTION("""COMPUTED_VALUE"""),"""fashion trends Paris"",")</f>
        <v>"fashion trends Paris",</v>
      </c>
    </row>
    <row r="143">
      <c r="A143" s="8" t="str">
        <f>IFERROR(__xludf.DUMMYFUNCTION("""COMPUTED_VALUE"""),"""minimalist fashion Paris"",")</f>
        <v>"minimalist fashion Paris",</v>
      </c>
    </row>
    <row r="144">
      <c r="A144" s="8" t="str">
        <f>IFERROR(__xludf.DUMMYFUNCTION("""COMPUTED_VALUE"""),"""beauty hacks Paris"",")</f>
        <v>"beauty hacks Paris",</v>
      </c>
    </row>
    <row r="145">
      <c r="A145" s="8" t="str">
        <f>IFERROR(__xludf.DUMMYFUNCTION("""COMPUTED_VALUE"""),"""hair routines Paris"",")</f>
        <v>"hair routines Paris",</v>
      </c>
    </row>
    <row r="146">
      <c r="A146" s="8" t="str">
        <f>IFERROR(__xludf.DUMMYFUNCTION("""COMPUTED_VALUE"""),"""empties Paris"",")</f>
        <v>"empties Paris",</v>
      </c>
    </row>
    <row r="147">
      <c r="A147" s="8" t="str">
        <f>IFERROR(__xludf.DUMMYFUNCTION("""COMPUTED_VALUE"""),"""product reviews Paris"",")</f>
        <v>"product reviews Paris",</v>
      </c>
    </row>
    <row r="148">
      <c r="A148" s="8" t="str">
        <f>IFERROR(__xludf.DUMMYFUNCTION("""COMPUTED_VALUE"""),"""beauty reviews  Paris"",")</f>
        <v>"beauty reviews  Paris",</v>
      </c>
    </row>
    <row r="149">
      <c r="A149" s="8" t="str">
        <f>IFERROR(__xludf.DUMMYFUNCTION("""COMPUTED_VALUE"""),"""make-up artist Paris"",")</f>
        <v>"make-up artist Paris",</v>
      </c>
    </row>
    <row r="150">
      <c r="A150" s="8" t="str">
        <f>IFERROR(__xludf.DUMMYFUNCTION("""COMPUTED_VALUE"""),"""skincare journey Paris"",")</f>
        <v>"skincare journey Paris",</v>
      </c>
    </row>
    <row r="151">
      <c r="A151" s="8" t="str">
        <f>IFERROR(__xludf.DUMMYFUNCTION("""COMPUTED_VALUE"""),"""hair tutorial Paris"",")</f>
        <v>"hair tutorial Paris",</v>
      </c>
    </row>
    <row r="152">
      <c r="A152" s="8" t="str">
        <f>IFERROR(__xludf.DUMMYFUNCTION("""COMPUTED_VALUE"""),"""barbershop Paris"",")</f>
        <v>"barbershop Paris",</v>
      </c>
    </row>
    <row r="153">
      <c r="A153" s="8" t="str">
        <f>IFERROR(__xludf.DUMMYFUNCTION("""COMPUTED_VALUE"""),"""ootd Berlin"",")</f>
        <v>"ootd Berlin",</v>
      </c>
    </row>
    <row r="154">
      <c r="A154" s="8" t="str">
        <f>IFERROR(__xludf.DUMMYFUNCTION("""COMPUTED_VALUE"""),"""street style Berlin"",")</f>
        <v>"street style Berlin",</v>
      </c>
    </row>
    <row r="155">
      <c r="A155" s="8" t="str">
        <f>IFERROR(__xludf.DUMMYFUNCTION("""COMPUTED_VALUE"""),"""skincare Berlin"",")</f>
        <v>"skincare Berlin",</v>
      </c>
    </row>
    <row r="156">
      <c r="A156" s="8" t="str">
        <f>IFERROR(__xludf.DUMMYFUNCTION("""COMPUTED_VALUE"""),"""makeup Berlin"",")</f>
        <v>"makeup Berlin",</v>
      </c>
    </row>
    <row r="157">
      <c r="A157" s="8" t="str">
        <f>IFERROR(__xludf.DUMMYFUNCTION("""COMPUTED_VALUE"""),"""nails Berlin"",")</f>
        <v>"nails Berlin",</v>
      </c>
    </row>
    <row r="158">
      <c r="A158" s="8" t="str">
        <f>IFERROR(__xludf.DUMMYFUNCTION("""COMPUTED_VALUE"""),"""curly hair Berlin"",")</f>
        <v>"curly hair Berlin",</v>
      </c>
    </row>
    <row r="159">
      <c r="A159" s="8" t="str">
        <f>IFERROR(__xludf.DUMMYFUNCTION("""COMPUTED_VALUE"""),"""thrift Berlin"",")</f>
        <v>"thrift Berlin",</v>
      </c>
    </row>
    <row r="160">
      <c r="A160" s="8" t="str">
        <f>IFERROR(__xludf.DUMMYFUNCTION("""COMPUTED_VALUE"""),"""streetwear Berlin"",")</f>
        <v>"streetwear Berlin",</v>
      </c>
    </row>
    <row r="161">
      <c r="A161" s="8" t="str">
        <f>IFERROR(__xludf.DUMMYFUNCTION("""COMPUTED_VALUE"""),"""luxury Berlin"",")</f>
        <v>"luxury Berlin",</v>
      </c>
    </row>
    <row r="162">
      <c r="A162" s="8" t="str">
        <f>IFERROR(__xludf.DUMMYFUNCTION("""COMPUTED_VALUE"""),"""handbags Berlin"",")</f>
        <v>"handbags Berlin",</v>
      </c>
    </row>
    <row r="163">
      <c r="A163" s="8" t="str">
        <f>IFERROR(__xludf.DUMMYFUNCTION("""COMPUTED_VALUE"""),"""sneakers Berlin"",")</f>
        <v>"sneakers Berlin",</v>
      </c>
    </row>
    <row r="164">
      <c r="A164" s="8" t="str">
        <f>IFERROR(__xludf.DUMMYFUNCTION("""COMPUTED_VALUE"""),"""high heels Berlin"",")</f>
        <v>"high heels Berlin",</v>
      </c>
    </row>
    <row r="165">
      <c r="A165" s="8" t="str">
        <f>IFERROR(__xludf.DUMMYFUNCTION("""COMPUTED_VALUE"""),"""haute-couture Berlin"",")</f>
        <v>"haute-couture Berlin",</v>
      </c>
    </row>
    <row r="166">
      <c r="A166" s="8" t="str">
        <f>IFERROR(__xludf.DUMMYFUNCTION("""COMPUTED_VALUE"""),"""diyfashion Berlin"",")</f>
        <v>"diyfashion Berlin",</v>
      </c>
    </row>
    <row r="167">
      <c r="A167" s="8" t="str">
        <f>IFERROR(__xludf.DUMMYFUNCTION("""COMPUTED_VALUE"""),"""accessories Berlin"",")</f>
        <v>"accessories Berlin",</v>
      </c>
    </row>
    <row r="168">
      <c r="A168" s="8" t="str">
        <f>IFERROR(__xludf.DUMMYFUNCTION("""COMPUTED_VALUE"""),"""menswear Berlin"",")</f>
        <v>"menswear Berlin",</v>
      </c>
    </row>
    <row r="169">
      <c r="A169" s="8" t="str">
        <f>IFERROR(__xludf.DUMMYFUNCTION("""COMPUTED_VALUE"""),"""womenswear Berlin"",")</f>
        <v>"womenswear Berlin",</v>
      </c>
    </row>
    <row r="170">
      <c r="A170" s="8" t="str">
        <f>IFERROR(__xludf.DUMMYFUNCTION("""COMPUTED_VALUE"""),"""moda Berlin"",")</f>
        <v>"moda Berlin",</v>
      </c>
    </row>
    <row r="171">
      <c r="A171" s="8" t="str">
        <f>IFERROR(__xludf.DUMMYFUNCTION("""COMPUTED_VALUE"""),"""hairstyle Berlin"",")</f>
        <v>"hairstyle Berlin",</v>
      </c>
    </row>
    <row r="172">
      <c r="A172" s="8" t="str">
        <f>IFERROR(__xludf.DUMMYFUNCTION("""COMPUTED_VALUE"""),"""perfume Berlin"",")</f>
        <v>"perfume Berlin",</v>
      </c>
    </row>
    <row r="173">
      <c r="A173" s="8" t="str">
        <f>IFERROR(__xludf.DUMMYFUNCTION("""COMPUTED_VALUE"""),"""cosmetiques Berlin"",")</f>
        <v>"cosmetiques Berlin",</v>
      </c>
    </row>
    <row r="174">
      <c r="A174" s="8" t="str">
        <f>IFERROR(__xludf.DUMMYFUNCTION("""COMPUTED_VALUE"""),"""beauty routine Berlin"",")</f>
        <v>"beauty routine Berlin",</v>
      </c>
    </row>
    <row r="175">
      <c r="A175" s="8" t="str">
        <f>IFERROR(__xludf.DUMMYFUNCTION("""COMPUTED_VALUE"""),"""natural beauty Berlin"",")</f>
        <v>"natural beauty Berlin",</v>
      </c>
    </row>
    <row r="176">
      <c r="A176" s="8" t="str">
        <f>IFERROR(__xludf.DUMMYFUNCTION("""COMPUTED_VALUE"""),"""organic beauty Berlin"",")</f>
        <v>"organic beauty Berlin",</v>
      </c>
    </row>
    <row r="177">
      <c r="A177" s="8" t="str">
        <f>IFERROR(__xludf.DUMMYFUNCTION("""COMPUTED_VALUE"""),"""sustainable fashion Berlin"",")</f>
        <v>"sustainable fashion Berlin",</v>
      </c>
    </row>
    <row r="178">
      <c r="A178" s="8" t="str">
        <f>IFERROR(__xludf.DUMMYFUNCTION("""COMPUTED_VALUE"""),"""fashion hacks Berlin"",")</f>
        <v>"fashion hacks Berlin",</v>
      </c>
    </row>
    <row r="179">
      <c r="A179" s="8" t="str">
        <f>IFERROR(__xludf.DUMMYFUNCTION("""COMPUTED_VALUE"""),"""capsule wardrobe Berlin"",")</f>
        <v>"capsule wardrobe Berlin",</v>
      </c>
    </row>
    <row r="180">
      <c r="A180" s="8" t="str">
        <f>IFERROR(__xludf.DUMMYFUNCTION("""COMPUTED_VALUE"""),"""fashion trends Berlin"",")</f>
        <v>"fashion trends Berlin",</v>
      </c>
    </row>
    <row r="181">
      <c r="A181" s="8" t="str">
        <f>IFERROR(__xludf.DUMMYFUNCTION("""COMPUTED_VALUE"""),"""minimalist fashion Berlin"",")</f>
        <v>"minimalist fashion Berlin",</v>
      </c>
    </row>
    <row r="182">
      <c r="A182" s="8" t="str">
        <f>IFERROR(__xludf.DUMMYFUNCTION("""COMPUTED_VALUE"""),"""beauty hacks Berlin"",")</f>
        <v>"beauty hacks Berlin",</v>
      </c>
    </row>
    <row r="183">
      <c r="A183" s="8" t="str">
        <f>IFERROR(__xludf.DUMMYFUNCTION("""COMPUTED_VALUE"""),"""hair routines Berlin"",")</f>
        <v>"hair routines Berlin",</v>
      </c>
    </row>
    <row r="184">
      <c r="A184" s="8" t="str">
        <f>IFERROR(__xludf.DUMMYFUNCTION("""COMPUTED_VALUE"""),"""empties Berlin"",")</f>
        <v>"empties Berlin",</v>
      </c>
    </row>
    <row r="185">
      <c r="A185" s="8" t="str">
        <f>IFERROR(__xludf.DUMMYFUNCTION("""COMPUTED_VALUE"""),"""product reviews Berlin"",")</f>
        <v>"product reviews Berlin",</v>
      </c>
    </row>
    <row r="186">
      <c r="A186" s="8" t="str">
        <f>IFERROR(__xludf.DUMMYFUNCTION("""COMPUTED_VALUE"""),"""beauty reviews  Berlin"",")</f>
        <v>"beauty reviews  Berlin",</v>
      </c>
    </row>
    <row r="187">
      <c r="A187" s="8" t="str">
        <f>IFERROR(__xludf.DUMMYFUNCTION("""COMPUTED_VALUE"""),"""make-up artist Berlin"",")</f>
        <v>"make-up artist Berlin",</v>
      </c>
    </row>
    <row r="188">
      <c r="A188" s="8" t="str">
        <f>IFERROR(__xludf.DUMMYFUNCTION("""COMPUTED_VALUE"""),"""skincare journey Berlin"",")</f>
        <v>"skincare journey Berlin",</v>
      </c>
    </row>
    <row r="189">
      <c r="A189" s="8" t="str">
        <f>IFERROR(__xludf.DUMMYFUNCTION("""COMPUTED_VALUE"""),"""hair tutorial Berlin"",")</f>
        <v>"hair tutorial Berlin",</v>
      </c>
    </row>
    <row r="190">
      <c r="A190" s="8" t="str">
        <f>IFERROR(__xludf.DUMMYFUNCTION("""COMPUTED_VALUE"""),"""barbershop Berlin"",")</f>
        <v>"barbershop Berlin",</v>
      </c>
    </row>
    <row r="191">
      <c r="A191" s="8" t="str">
        <f>IFERROR(__xludf.DUMMYFUNCTION("""COMPUTED_VALUE"""),"""ootd Munich"",")</f>
        <v>"ootd Munich",</v>
      </c>
    </row>
    <row r="192">
      <c r="A192" s="8" t="str">
        <f>IFERROR(__xludf.DUMMYFUNCTION("""COMPUTED_VALUE"""),"""street style Munich"",")</f>
        <v>"street style Munich",</v>
      </c>
    </row>
    <row r="193">
      <c r="A193" s="8" t="str">
        <f>IFERROR(__xludf.DUMMYFUNCTION("""COMPUTED_VALUE"""),"""skincare Munich"",")</f>
        <v>"skincare Munich",</v>
      </c>
    </row>
    <row r="194">
      <c r="A194" s="8" t="str">
        <f>IFERROR(__xludf.DUMMYFUNCTION("""COMPUTED_VALUE"""),"""makeup Munich"",")</f>
        <v>"makeup Munich",</v>
      </c>
    </row>
    <row r="195">
      <c r="A195" s="8" t="str">
        <f>IFERROR(__xludf.DUMMYFUNCTION("""COMPUTED_VALUE"""),"""nails Munich"",")</f>
        <v>"nails Munich",</v>
      </c>
    </row>
    <row r="196">
      <c r="A196" s="8" t="str">
        <f>IFERROR(__xludf.DUMMYFUNCTION("""COMPUTED_VALUE"""),"""curly hair Munich"",")</f>
        <v>"curly hair Munich",</v>
      </c>
    </row>
    <row r="197">
      <c r="A197" s="8" t="str">
        <f>IFERROR(__xludf.DUMMYFUNCTION("""COMPUTED_VALUE"""),"""thrift Munich"",")</f>
        <v>"thrift Munich",</v>
      </c>
    </row>
    <row r="198">
      <c r="A198" s="8" t="str">
        <f>IFERROR(__xludf.DUMMYFUNCTION("""COMPUTED_VALUE"""),"""streetwear Munich"",")</f>
        <v>"streetwear Munich",</v>
      </c>
    </row>
    <row r="199">
      <c r="A199" s="8" t="str">
        <f>IFERROR(__xludf.DUMMYFUNCTION("""COMPUTED_VALUE"""),"""luxury Munich"",")</f>
        <v>"luxury Munich",</v>
      </c>
    </row>
    <row r="200">
      <c r="A200" s="8" t="str">
        <f>IFERROR(__xludf.DUMMYFUNCTION("""COMPUTED_VALUE"""),"""handbags Munich"",")</f>
        <v>"handbags Munich",</v>
      </c>
    </row>
    <row r="201">
      <c r="A201" s="8" t="str">
        <f>IFERROR(__xludf.DUMMYFUNCTION("""COMPUTED_VALUE"""),"""sneakers Munich"",")</f>
        <v>"sneakers Munich",</v>
      </c>
    </row>
    <row r="202">
      <c r="A202" s="8" t="str">
        <f>IFERROR(__xludf.DUMMYFUNCTION("""COMPUTED_VALUE"""),"""high heels Munich"",")</f>
        <v>"high heels Munich",</v>
      </c>
    </row>
    <row r="203">
      <c r="A203" s="8" t="str">
        <f>IFERROR(__xludf.DUMMYFUNCTION("""COMPUTED_VALUE"""),"""haute-couture Munich"",")</f>
        <v>"haute-couture Munich",</v>
      </c>
    </row>
    <row r="204">
      <c r="A204" s="8" t="str">
        <f>IFERROR(__xludf.DUMMYFUNCTION("""COMPUTED_VALUE"""),"""diyfashion Munich"",")</f>
        <v>"diyfashion Munich",</v>
      </c>
    </row>
    <row r="205">
      <c r="A205" s="8" t="str">
        <f>IFERROR(__xludf.DUMMYFUNCTION("""COMPUTED_VALUE"""),"""accessories Munich"",")</f>
        <v>"accessories Munich",</v>
      </c>
    </row>
    <row r="206">
      <c r="A206" s="8" t="str">
        <f>IFERROR(__xludf.DUMMYFUNCTION("""COMPUTED_VALUE"""),"""menswear Munich"",")</f>
        <v>"menswear Munich",</v>
      </c>
    </row>
    <row r="207">
      <c r="A207" s="8" t="str">
        <f>IFERROR(__xludf.DUMMYFUNCTION("""COMPUTED_VALUE"""),"""womenswear Munich"",")</f>
        <v>"womenswear Munich",</v>
      </c>
    </row>
    <row r="208">
      <c r="A208" s="8" t="str">
        <f>IFERROR(__xludf.DUMMYFUNCTION("""COMPUTED_VALUE"""),"""moda Munich"",")</f>
        <v>"moda Munich",</v>
      </c>
    </row>
    <row r="209">
      <c r="A209" s="8" t="str">
        <f>IFERROR(__xludf.DUMMYFUNCTION("""COMPUTED_VALUE"""),"""hairstyle Munich"",")</f>
        <v>"hairstyle Munich",</v>
      </c>
    </row>
    <row r="210">
      <c r="A210" s="8" t="str">
        <f>IFERROR(__xludf.DUMMYFUNCTION("""COMPUTED_VALUE"""),"""perfume Munich"",")</f>
        <v>"perfume Munich",</v>
      </c>
    </row>
    <row r="211">
      <c r="A211" s="8" t="str">
        <f>IFERROR(__xludf.DUMMYFUNCTION("""COMPUTED_VALUE"""),"""cosmetiques Munich"",")</f>
        <v>"cosmetiques Munich",</v>
      </c>
    </row>
    <row r="212">
      <c r="A212" s="8" t="str">
        <f>IFERROR(__xludf.DUMMYFUNCTION("""COMPUTED_VALUE"""),"""beauty routine Munich"",")</f>
        <v>"beauty routine Munich",</v>
      </c>
    </row>
    <row r="213">
      <c r="A213" s="8" t="str">
        <f>IFERROR(__xludf.DUMMYFUNCTION("""COMPUTED_VALUE"""),"""natural beauty Munich"",")</f>
        <v>"natural beauty Munich",</v>
      </c>
    </row>
    <row r="214">
      <c r="A214" s="8" t="str">
        <f>IFERROR(__xludf.DUMMYFUNCTION("""COMPUTED_VALUE"""),"""organic beauty Munich"",")</f>
        <v>"organic beauty Munich",</v>
      </c>
    </row>
    <row r="215">
      <c r="A215" s="8" t="str">
        <f>IFERROR(__xludf.DUMMYFUNCTION("""COMPUTED_VALUE"""),"""sustainable fashion Munich"",")</f>
        <v>"sustainable fashion Munich",</v>
      </c>
    </row>
    <row r="216">
      <c r="A216" s="8" t="str">
        <f>IFERROR(__xludf.DUMMYFUNCTION("""COMPUTED_VALUE"""),"""fashion hacks Munich"",")</f>
        <v>"fashion hacks Munich",</v>
      </c>
    </row>
    <row r="217">
      <c r="A217" s="8" t="str">
        <f>IFERROR(__xludf.DUMMYFUNCTION("""COMPUTED_VALUE"""),"""capsule wardrobe Munich"",")</f>
        <v>"capsule wardrobe Munich",</v>
      </c>
    </row>
    <row r="218">
      <c r="A218" s="8" t="str">
        <f>IFERROR(__xludf.DUMMYFUNCTION("""COMPUTED_VALUE"""),"""fashion trends Munich"",")</f>
        <v>"fashion trends Munich",</v>
      </c>
    </row>
    <row r="219">
      <c r="A219" s="8" t="str">
        <f>IFERROR(__xludf.DUMMYFUNCTION("""COMPUTED_VALUE"""),"""minimalist fashion Munich"",")</f>
        <v>"minimalist fashion Munich",</v>
      </c>
    </row>
    <row r="220">
      <c r="A220" s="8" t="str">
        <f>IFERROR(__xludf.DUMMYFUNCTION("""COMPUTED_VALUE"""),"""beauty hacks Munich"",")</f>
        <v>"beauty hacks Munich",</v>
      </c>
    </row>
    <row r="221">
      <c r="A221" s="8" t="str">
        <f>IFERROR(__xludf.DUMMYFUNCTION("""COMPUTED_VALUE"""),"""hair routines Munich"",")</f>
        <v>"hair routines Munich",</v>
      </c>
    </row>
    <row r="222">
      <c r="A222" s="8" t="str">
        <f>IFERROR(__xludf.DUMMYFUNCTION("""COMPUTED_VALUE"""),"""empties Munich"",")</f>
        <v>"empties Munich",</v>
      </c>
    </row>
    <row r="223">
      <c r="A223" s="8" t="str">
        <f>IFERROR(__xludf.DUMMYFUNCTION("""COMPUTED_VALUE"""),"""product reviews Munich"",")</f>
        <v>"product reviews Munich",</v>
      </c>
    </row>
    <row r="224">
      <c r="A224" s="8" t="str">
        <f>IFERROR(__xludf.DUMMYFUNCTION("""COMPUTED_VALUE"""),"""beauty reviews  Munich"",")</f>
        <v>"beauty reviews  Munich",</v>
      </c>
    </row>
    <row r="225">
      <c r="A225" s="8" t="str">
        <f>IFERROR(__xludf.DUMMYFUNCTION("""COMPUTED_VALUE"""),"""make-up artist Munich"",")</f>
        <v>"make-up artist Munich",</v>
      </c>
    </row>
    <row r="226">
      <c r="A226" s="8" t="str">
        <f>IFERROR(__xludf.DUMMYFUNCTION("""COMPUTED_VALUE"""),"""skincare journey Munich"",")</f>
        <v>"skincare journey Munich",</v>
      </c>
    </row>
    <row r="227">
      <c r="A227" s="8" t="str">
        <f>IFERROR(__xludf.DUMMYFUNCTION("""COMPUTED_VALUE"""),"""hair tutorial Munich"",")</f>
        <v>"hair tutorial Munich",</v>
      </c>
    </row>
    <row r="228">
      <c r="A228" s="8" t="str">
        <f>IFERROR(__xludf.DUMMYFUNCTION("""COMPUTED_VALUE"""),"""barbershop Munich"",")</f>
        <v>"barbershop Munich",</v>
      </c>
    </row>
    <row r="229">
      <c r="A229" s="8" t="str">
        <f>IFERROR(__xludf.DUMMYFUNCTION("""COMPUTED_VALUE"""),"""ootd Amsterdam"",")</f>
        <v>"ootd Amsterdam",</v>
      </c>
    </row>
    <row r="230">
      <c r="A230" s="8" t="str">
        <f>IFERROR(__xludf.DUMMYFUNCTION("""COMPUTED_VALUE"""),"""street style Amsterdam"",")</f>
        <v>"street style Amsterdam",</v>
      </c>
    </row>
    <row r="231">
      <c r="A231" s="8" t="str">
        <f>IFERROR(__xludf.DUMMYFUNCTION("""COMPUTED_VALUE"""),"""skincare Amsterdam"",")</f>
        <v>"skincare Amsterdam",</v>
      </c>
    </row>
    <row r="232">
      <c r="A232" s="8" t="str">
        <f>IFERROR(__xludf.DUMMYFUNCTION("""COMPUTED_VALUE"""),"""makeup Amsterdam"",")</f>
        <v>"makeup Amsterdam",</v>
      </c>
    </row>
    <row r="233">
      <c r="A233" s="8" t="str">
        <f>IFERROR(__xludf.DUMMYFUNCTION("""COMPUTED_VALUE"""),"""nails Amsterdam"",")</f>
        <v>"nails Amsterdam",</v>
      </c>
    </row>
    <row r="234">
      <c r="A234" s="8" t="str">
        <f>IFERROR(__xludf.DUMMYFUNCTION("""COMPUTED_VALUE"""),"""curly hair Amsterdam"",")</f>
        <v>"curly hair Amsterdam",</v>
      </c>
    </row>
    <row r="235">
      <c r="A235" s="8" t="str">
        <f>IFERROR(__xludf.DUMMYFUNCTION("""COMPUTED_VALUE"""),"""thrift Amsterdam"",")</f>
        <v>"thrift Amsterdam",</v>
      </c>
    </row>
    <row r="236">
      <c r="A236" s="8" t="str">
        <f>IFERROR(__xludf.DUMMYFUNCTION("""COMPUTED_VALUE"""),"""streetwear Amsterdam"",")</f>
        <v>"streetwear Amsterdam",</v>
      </c>
    </row>
    <row r="237">
      <c r="A237" s="8" t="str">
        <f>IFERROR(__xludf.DUMMYFUNCTION("""COMPUTED_VALUE"""),"""luxury Amsterdam"",")</f>
        <v>"luxury Amsterdam",</v>
      </c>
    </row>
    <row r="238">
      <c r="A238" s="9" t="str">
        <f>IFERROR(__xludf.DUMMYFUNCTION("""COMPUTED_VALUE"""),"""handbags Amsterdam"",")</f>
        <v>"handbags Amsterdam",</v>
      </c>
    </row>
    <row r="239">
      <c r="A239" s="8" t="str">
        <f>IFERROR(__xludf.DUMMYFUNCTION("""COMPUTED_VALUE"""),"""sneakers Amsterdam"",")</f>
        <v>"sneakers Amsterdam",</v>
      </c>
    </row>
    <row r="240">
      <c r="A240" s="8" t="str">
        <f>IFERROR(__xludf.DUMMYFUNCTION("""COMPUTED_VALUE"""),"""high heels Amsterdam"",")</f>
        <v>"high heels Amsterdam",</v>
      </c>
    </row>
    <row r="241">
      <c r="A241" s="8" t="str">
        <f>IFERROR(__xludf.DUMMYFUNCTION("""COMPUTED_VALUE"""),"""haute-couture Amsterdam"",")</f>
        <v>"haute-couture Amsterdam",</v>
      </c>
    </row>
    <row r="242">
      <c r="A242" s="8" t="str">
        <f>IFERROR(__xludf.DUMMYFUNCTION("""COMPUTED_VALUE"""),"""diyfashion Amsterdam"",")</f>
        <v>"diyfashion Amsterdam",</v>
      </c>
    </row>
    <row r="243">
      <c r="A243" s="8" t="str">
        <f>IFERROR(__xludf.DUMMYFUNCTION("""COMPUTED_VALUE"""),"""accessories Amsterdam"",")</f>
        <v>"accessories Amsterdam",</v>
      </c>
    </row>
    <row r="244">
      <c r="A244" s="8" t="str">
        <f>IFERROR(__xludf.DUMMYFUNCTION("""COMPUTED_VALUE"""),"""menswear Amsterdam"",")</f>
        <v>"menswear Amsterdam",</v>
      </c>
    </row>
    <row r="245">
      <c r="A245" s="8" t="str">
        <f>IFERROR(__xludf.DUMMYFUNCTION("""COMPUTED_VALUE"""),"""womenswear Amsterdam"",")</f>
        <v>"womenswear Amsterdam",</v>
      </c>
    </row>
    <row r="246">
      <c r="A246" s="8" t="str">
        <f>IFERROR(__xludf.DUMMYFUNCTION("""COMPUTED_VALUE"""),"""moda Amsterdam"",")</f>
        <v>"moda Amsterdam",</v>
      </c>
    </row>
    <row r="247">
      <c r="A247" s="8" t="str">
        <f>IFERROR(__xludf.DUMMYFUNCTION("""COMPUTED_VALUE"""),"""hairstyle Amsterdam"",")</f>
        <v>"hairstyle Amsterdam",</v>
      </c>
    </row>
    <row r="248">
      <c r="A248" s="8" t="str">
        <f>IFERROR(__xludf.DUMMYFUNCTION("""COMPUTED_VALUE"""),"""perfume Amsterdam"",")</f>
        <v>"perfume Amsterdam",</v>
      </c>
    </row>
    <row r="249">
      <c r="A249" s="8" t="str">
        <f>IFERROR(__xludf.DUMMYFUNCTION("""COMPUTED_VALUE"""),"""cosmetiques Amsterdam"",")</f>
        <v>"cosmetiques Amsterdam",</v>
      </c>
    </row>
    <row r="250">
      <c r="A250" s="8" t="str">
        <f>IFERROR(__xludf.DUMMYFUNCTION("""COMPUTED_VALUE"""),"""beauty routine Amsterdam"",")</f>
        <v>"beauty routine Amsterdam",</v>
      </c>
    </row>
    <row r="251">
      <c r="A251" s="8" t="str">
        <f>IFERROR(__xludf.DUMMYFUNCTION("""COMPUTED_VALUE"""),"""natural beauty Amsterdam"",")</f>
        <v>"natural beauty Amsterdam",</v>
      </c>
    </row>
    <row r="252">
      <c r="A252" s="8" t="str">
        <f>IFERROR(__xludf.DUMMYFUNCTION("""COMPUTED_VALUE"""),"""organic beauty Amsterdam"",")</f>
        <v>"organic beauty Amsterdam",</v>
      </c>
    </row>
    <row r="253">
      <c r="A253" s="8" t="str">
        <f>IFERROR(__xludf.DUMMYFUNCTION("""COMPUTED_VALUE"""),"""sustainable fashion Amsterdam"",")</f>
        <v>"sustainable fashion Amsterdam",</v>
      </c>
    </row>
    <row r="254">
      <c r="A254" s="8" t="str">
        <f>IFERROR(__xludf.DUMMYFUNCTION("""COMPUTED_VALUE"""),"""fashion hacks Amsterdam"",")</f>
        <v>"fashion hacks Amsterdam",</v>
      </c>
    </row>
    <row r="255">
      <c r="A255" s="8" t="str">
        <f>IFERROR(__xludf.DUMMYFUNCTION("""COMPUTED_VALUE"""),"""capsule wardrobe Amsterdam"",")</f>
        <v>"capsule wardrobe Amsterdam",</v>
      </c>
    </row>
    <row r="256">
      <c r="A256" s="8" t="str">
        <f>IFERROR(__xludf.DUMMYFUNCTION("""COMPUTED_VALUE"""),"""fashion trends Amsterdam"",")</f>
        <v>"fashion trends Amsterdam",</v>
      </c>
    </row>
    <row r="257">
      <c r="A257" s="8" t="str">
        <f>IFERROR(__xludf.DUMMYFUNCTION("""COMPUTED_VALUE"""),"""minimalist fashion Amsterdam"",")</f>
        <v>"minimalist fashion Amsterdam",</v>
      </c>
    </row>
    <row r="258">
      <c r="A258" s="8" t="str">
        <f>IFERROR(__xludf.DUMMYFUNCTION("""COMPUTED_VALUE"""),"""beauty hacks Amsterdam"",")</f>
        <v>"beauty hacks Amsterdam",</v>
      </c>
    </row>
    <row r="259">
      <c r="A259" s="8" t="str">
        <f>IFERROR(__xludf.DUMMYFUNCTION("""COMPUTED_VALUE"""),"""hair routines Amsterdam"",")</f>
        <v>"hair routines Amsterdam",</v>
      </c>
    </row>
    <row r="260">
      <c r="A260" s="8" t="str">
        <f>IFERROR(__xludf.DUMMYFUNCTION("""COMPUTED_VALUE"""),"""empties Amsterdam"",")</f>
        <v>"empties Amsterdam",</v>
      </c>
    </row>
    <row r="261">
      <c r="A261" s="8" t="str">
        <f>IFERROR(__xludf.DUMMYFUNCTION("""COMPUTED_VALUE"""),"""product reviews Amsterdam"",")</f>
        <v>"product reviews Amsterdam",</v>
      </c>
    </row>
    <row r="262">
      <c r="A262" s="8" t="str">
        <f>IFERROR(__xludf.DUMMYFUNCTION("""COMPUTED_VALUE"""),"""beauty reviews  Amsterdam"",")</f>
        <v>"beauty reviews  Amsterdam",</v>
      </c>
    </row>
    <row r="263">
      <c r="A263" s="8" t="str">
        <f>IFERROR(__xludf.DUMMYFUNCTION("""COMPUTED_VALUE"""),"""make-up artist Amsterdam"",")</f>
        <v>"make-up artist Amsterdam",</v>
      </c>
    </row>
    <row r="264">
      <c r="A264" s="8" t="str">
        <f>IFERROR(__xludf.DUMMYFUNCTION("""COMPUTED_VALUE"""),"""skincare journey Amsterdam"",")</f>
        <v>"skincare journey Amsterdam",</v>
      </c>
    </row>
    <row r="265">
      <c r="A265" s="8" t="str">
        <f>IFERROR(__xludf.DUMMYFUNCTION("""COMPUTED_VALUE"""),"""hair tutorial Amsterdam"",")</f>
        <v>"hair tutorial Amsterdam",</v>
      </c>
    </row>
    <row r="266">
      <c r="A266" s="8" t="str">
        <f>IFERROR(__xludf.DUMMYFUNCTION("""COMPUTED_VALUE"""),"""barbershop Amsterdam"",")</f>
        <v>"barbershop Amsterdam",</v>
      </c>
    </row>
    <row r="267">
      <c r="A267" s="8" t="str">
        <f>IFERROR(__xludf.DUMMYFUNCTION("""COMPUTED_VALUE"""),"""ootd Copenhagen"",")</f>
        <v>"ootd Copenhagen",</v>
      </c>
    </row>
    <row r="268">
      <c r="A268" s="8" t="str">
        <f>IFERROR(__xludf.DUMMYFUNCTION("""COMPUTED_VALUE"""),"""street style Copenhagen"",")</f>
        <v>"street style Copenhagen",</v>
      </c>
    </row>
    <row r="269">
      <c r="A269" s="8" t="str">
        <f>IFERROR(__xludf.DUMMYFUNCTION("""COMPUTED_VALUE"""),"""skincare Copenhagen"",")</f>
        <v>"skincare Copenhagen",</v>
      </c>
    </row>
    <row r="270">
      <c r="A270" s="8" t="str">
        <f>IFERROR(__xludf.DUMMYFUNCTION("""COMPUTED_VALUE"""),"""makeup Copenhagen"",")</f>
        <v>"makeup Copenhagen",</v>
      </c>
    </row>
    <row r="271">
      <c r="A271" s="8" t="str">
        <f>IFERROR(__xludf.DUMMYFUNCTION("""COMPUTED_VALUE"""),"""nails Copenhagen"",")</f>
        <v>"nails Copenhagen",</v>
      </c>
    </row>
    <row r="272">
      <c r="A272" s="8" t="str">
        <f>IFERROR(__xludf.DUMMYFUNCTION("""COMPUTED_VALUE"""),"""curly hair Copenhagen"",")</f>
        <v>"curly hair Copenhagen",</v>
      </c>
    </row>
    <row r="273">
      <c r="A273" s="8" t="str">
        <f>IFERROR(__xludf.DUMMYFUNCTION("""COMPUTED_VALUE"""),"""thrift Copenhagen"",")</f>
        <v>"thrift Copenhagen",</v>
      </c>
    </row>
    <row r="274">
      <c r="A274" s="8" t="str">
        <f>IFERROR(__xludf.DUMMYFUNCTION("""COMPUTED_VALUE"""),"""streetwear Copenhagen"",")</f>
        <v>"streetwear Copenhagen",</v>
      </c>
    </row>
    <row r="275">
      <c r="A275" s="8" t="str">
        <f>IFERROR(__xludf.DUMMYFUNCTION("""COMPUTED_VALUE"""),"""luxury Copenhagen"",")</f>
        <v>"luxury Copenhagen",</v>
      </c>
    </row>
    <row r="276">
      <c r="A276" s="8" t="str">
        <f>IFERROR(__xludf.DUMMYFUNCTION("""COMPUTED_VALUE"""),"""handbags Copenhagen"",")</f>
        <v>"handbags Copenhagen",</v>
      </c>
    </row>
    <row r="277">
      <c r="A277" s="8" t="str">
        <f>IFERROR(__xludf.DUMMYFUNCTION("""COMPUTED_VALUE"""),"""sneakers Copenhagen"",")</f>
        <v>"sneakers Copenhagen",</v>
      </c>
    </row>
    <row r="278">
      <c r="A278" s="8" t="str">
        <f>IFERROR(__xludf.DUMMYFUNCTION("""COMPUTED_VALUE"""),"""high heels Copenhagen"",")</f>
        <v>"high heels Copenhagen",</v>
      </c>
    </row>
    <row r="279">
      <c r="A279" s="8" t="str">
        <f>IFERROR(__xludf.DUMMYFUNCTION("""COMPUTED_VALUE"""),"""haute-couture Copenhagen"",")</f>
        <v>"haute-couture Copenhagen",</v>
      </c>
    </row>
    <row r="280">
      <c r="A280" s="8" t="str">
        <f>IFERROR(__xludf.DUMMYFUNCTION("""COMPUTED_VALUE"""),"""diyfashion Copenhagen"",")</f>
        <v>"diyfashion Copenhagen",</v>
      </c>
    </row>
    <row r="281">
      <c r="A281" s="8" t="str">
        <f>IFERROR(__xludf.DUMMYFUNCTION("""COMPUTED_VALUE"""),"""accessories Copenhagen"",")</f>
        <v>"accessories Copenhagen",</v>
      </c>
    </row>
    <row r="282">
      <c r="A282" s="8" t="str">
        <f>IFERROR(__xludf.DUMMYFUNCTION("""COMPUTED_VALUE"""),"""menswear Copenhagen"",")</f>
        <v>"menswear Copenhagen",</v>
      </c>
    </row>
    <row r="283">
      <c r="A283" s="8" t="str">
        <f>IFERROR(__xludf.DUMMYFUNCTION("""COMPUTED_VALUE"""),"""womenswear Copenhagen"",")</f>
        <v>"womenswear Copenhagen",</v>
      </c>
    </row>
    <row r="284">
      <c r="A284" s="8" t="str">
        <f>IFERROR(__xludf.DUMMYFUNCTION("""COMPUTED_VALUE"""),"""moda Copenhagen"",")</f>
        <v>"moda Copenhagen",</v>
      </c>
    </row>
    <row r="285">
      <c r="A285" s="8" t="str">
        <f>IFERROR(__xludf.DUMMYFUNCTION("""COMPUTED_VALUE"""),"""hairstyle Copenhagen"",")</f>
        <v>"hairstyle Copenhagen",</v>
      </c>
    </row>
    <row r="286">
      <c r="A286" s="8" t="str">
        <f>IFERROR(__xludf.DUMMYFUNCTION("""COMPUTED_VALUE"""),"""perfume Copenhagen"",")</f>
        <v>"perfume Copenhagen",</v>
      </c>
    </row>
    <row r="287">
      <c r="A287" s="8" t="str">
        <f>IFERROR(__xludf.DUMMYFUNCTION("""COMPUTED_VALUE"""),"""cosmetiques Copenhagen"",")</f>
        <v>"cosmetiques Copenhagen",</v>
      </c>
    </row>
    <row r="288">
      <c r="A288" s="8" t="str">
        <f>IFERROR(__xludf.DUMMYFUNCTION("""COMPUTED_VALUE"""),"""beauty routine Copenhagen"",")</f>
        <v>"beauty routine Copenhagen",</v>
      </c>
    </row>
    <row r="289">
      <c r="A289" s="8" t="str">
        <f>IFERROR(__xludf.DUMMYFUNCTION("""COMPUTED_VALUE"""),"""natural beauty Copenhagen"",")</f>
        <v>"natural beauty Copenhagen",</v>
      </c>
    </row>
    <row r="290">
      <c r="A290" s="8" t="str">
        <f>IFERROR(__xludf.DUMMYFUNCTION("""COMPUTED_VALUE"""),"""organic beauty Copenhagen"",")</f>
        <v>"organic beauty Copenhagen",</v>
      </c>
    </row>
    <row r="291">
      <c r="A291" s="8" t="str">
        <f>IFERROR(__xludf.DUMMYFUNCTION("""COMPUTED_VALUE"""),"""sustainable fashion Copenhagen"",")</f>
        <v>"sustainable fashion Copenhagen",</v>
      </c>
    </row>
    <row r="292">
      <c r="A292" s="8" t="str">
        <f>IFERROR(__xludf.DUMMYFUNCTION("""COMPUTED_VALUE"""),"""fashion hacks Copenhagen"",")</f>
        <v>"fashion hacks Copenhagen",</v>
      </c>
    </row>
    <row r="293">
      <c r="A293" s="8" t="str">
        <f>IFERROR(__xludf.DUMMYFUNCTION("""COMPUTED_VALUE"""),"""capsule wardrobe Copenhagen"",")</f>
        <v>"capsule wardrobe Copenhagen",</v>
      </c>
    </row>
    <row r="294">
      <c r="A294" s="8" t="str">
        <f>IFERROR(__xludf.DUMMYFUNCTION("""COMPUTED_VALUE"""),"""fashion trends Copenhagen"",")</f>
        <v>"fashion trends Copenhagen",</v>
      </c>
    </row>
    <row r="295">
      <c r="A295" s="8" t="str">
        <f>IFERROR(__xludf.DUMMYFUNCTION("""COMPUTED_VALUE"""),"""minimalist fashion Copenhagen"",")</f>
        <v>"minimalist fashion Copenhagen",</v>
      </c>
    </row>
    <row r="296">
      <c r="A296" s="8" t="str">
        <f>IFERROR(__xludf.DUMMYFUNCTION("""COMPUTED_VALUE"""),"""beauty hacks Copenhagen"",")</f>
        <v>"beauty hacks Copenhagen",</v>
      </c>
    </row>
    <row r="297">
      <c r="A297" s="8" t="str">
        <f>IFERROR(__xludf.DUMMYFUNCTION("""COMPUTED_VALUE"""),"""hair routines Copenhagen"",")</f>
        <v>"hair routines Copenhagen",</v>
      </c>
    </row>
    <row r="298">
      <c r="A298" s="8" t="str">
        <f>IFERROR(__xludf.DUMMYFUNCTION("""COMPUTED_VALUE"""),"""empties Copenhagen"",")</f>
        <v>"empties Copenhagen",</v>
      </c>
    </row>
    <row r="299">
      <c r="A299" s="8" t="str">
        <f>IFERROR(__xludf.DUMMYFUNCTION("""COMPUTED_VALUE"""),"""product reviews Copenhagen"",")</f>
        <v>"product reviews Copenhagen",</v>
      </c>
    </row>
    <row r="300">
      <c r="A300" s="8" t="str">
        <f>IFERROR(__xludf.DUMMYFUNCTION("""COMPUTED_VALUE"""),"""beauty reviews  Copenhagen"",")</f>
        <v>"beauty reviews  Copenhagen",</v>
      </c>
    </row>
    <row r="301">
      <c r="A301" s="8" t="str">
        <f>IFERROR(__xludf.DUMMYFUNCTION("""COMPUTED_VALUE"""),"""make-up artist Copenhagen"",")</f>
        <v>"make-up artist Copenhagen",</v>
      </c>
    </row>
    <row r="302">
      <c r="A302" s="8" t="str">
        <f>IFERROR(__xludf.DUMMYFUNCTION("""COMPUTED_VALUE"""),"""skincare journey Copenhagen"",")</f>
        <v>"skincare journey Copenhagen",</v>
      </c>
    </row>
    <row r="303">
      <c r="A303" s="8" t="str">
        <f>IFERROR(__xludf.DUMMYFUNCTION("""COMPUTED_VALUE"""),"""hair tutorial Copenhagen"",")</f>
        <v>"hair tutorial Copenhagen",</v>
      </c>
    </row>
    <row r="304">
      <c r="A304" s="8" t="str">
        <f>IFERROR(__xludf.DUMMYFUNCTION("""COMPUTED_VALUE"""),"""barbershop Copenhagen"",")</f>
        <v>"barbershop Copenhagen",</v>
      </c>
    </row>
    <row r="305">
      <c r="A305" s="8" t="str">
        <f>IFERROR(__xludf.DUMMYFUNCTION("""COMPUTED_VALUE"""),"""ootd Stockholm"",")</f>
        <v>"ootd Stockholm",</v>
      </c>
    </row>
    <row r="306">
      <c r="A306" s="8" t="str">
        <f>IFERROR(__xludf.DUMMYFUNCTION("""COMPUTED_VALUE"""),"""street style Stockholm"",")</f>
        <v>"street style Stockholm",</v>
      </c>
    </row>
    <row r="307">
      <c r="A307" s="8" t="str">
        <f>IFERROR(__xludf.DUMMYFUNCTION("""COMPUTED_VALUE"""),"""skincare Stockholm"",")</f>
        <v>"skincare Stockholm",</v>
      </c>
    </row>
    <row r="308">
      <c r="A308" s="8" t="str">
        <f>IFERROR(__xludf.DUMMYFUNCTION("""COMPUTED_VALUE"""),"""makeup Stockholm"",")</f>
        <v>"makeup Stockholm",</v>
      </c>
    </row>
    <row r="309">
      <c r="A309" s="8" t="str">
        <f>IFERROR(__xludf.DUMMYFUNCTION("""COMPUTED_VALUE"""),"""nails Stockholm"",")</f>
        <v>"nails Stockholm",</v>
      </c>
    </row>
    <row r="310">
      <c r="A310" s="8" t="str">
        <f>IFERROR(__xludf.DUMMYFUNCTION("""COMPUTED_VALUE"""),"""curly hair Stockholm"",")</f>
        <v>"curly hair Stockholm",</v>
      </c>
    </row>
    <row r="311">
      <c r="A311" s="8" t="str">
        <f>IFERROR(__xludf.DUMMYFUNCTION("""COMPUTED_VALUE"""),"""thrift Stockholm"",")</f>
        <v>"thrift Stockholm",</v>
      </c>
    </row>
    <row r="312">
      <c r="A312" s="8" t="str">
        <f>IFERROR(__xludf.DUMMYFUNCTION("""COMPUTED_VALUE"""),"""streetwear Stockholm"",")</f>
        <v>"streetwear Stockholm",</v>
      </c>
    </row>
    <row r="313">
      <c r="A313" s="8" t="str">
        <f>IFERROR(__xludf.DUMMYFUNCTION("""COMPUTED_VALUE"""),"""luxury Stockholm"",")</f>
        <v>"luxury Stockholm",</v>
      </c>
    </row>
    <row r="314">
      <c r="A314" s="8" t="str">
        <f>IFERROR(__xludf.DUMMYFUNCTION("""COMPUTED_VALUE"""),"""handbags Stockholm"",")</f>
        <v>"handbags Stockholm",</v>
      </c>
    </row>
    <row r="315">
      <c r="A315" s="8" t="str">
        <f>IFERROR(__xludf.DUMMYFUNCTION("""COMPUTED_VALUE"""),"""sneakers Stockholm"",")</f>
        <v>"sneakers Stockholm",</v>
      </c>
    </row>
    <row r="316">
      <c r="A316" s="8" t="str">
        <f>IFERROR(__xludf.DUMMYFUNCTION("""COMPUTED_VALUE"""),"""high heels Stockholm"",")</f>
        <v>"high heels Stockholm",</v>
      </c>
    </row>
    <row r="317">
      <c r="A317" s="8" t="str">
        <f>IFERROR(__xludf.DUMMYFUNCTION("""COMPUTED_VALUE"""),"""haute-couture Stockholm"",")</f>
        <v>"haute-couture Stockholm",</v>
      </c>
    </row>
    <row r="318">
      <c r="A318" s="8" t="str">
        <f>IFERROR(__xludf.DUMMYFUNCTION("""COMPUTED_VALUE"""),"""diyfashion Stockholm"",")</f>
        <v>"diyfashion Stockholm",</v>
      </c>
    </row>
    <row r="319">
      <c r="A319" s="8" t="str">
        <f>IFERROR(__xludf.DUMMYFUNCTION("""COMPUTED_VALUE"""),"""accessories Stockholm"",")</f>
        <v>"accessories Stockholm",</v>
      </c>
    </row>
    <row r="320">
      <c r="A320" s="8" t="str">
        <f>IFERROR(__xludf.DUMMYFUNCTION("""COMPUTED_VALUE"""),"""menswear Stockholm"",")</f>
        <v>"menswear Stockholm",</v>
      </c>
    </row>
    <row r="321">
      <c r="A321" s="8" t="str">
        <f>IFERROR(__xludf.DUMMYFUNCTION("""COMPUTED_VALUE"""),"""womenswear Stockholm"",")</f>
        <v>"womenswear Stockholm",</v>
      </c>
    </row>
    <row r="322">
      <c r="A322" s="8" t="str">
        <f>IFERROR(__xludf.DUMMYFUNCTION("""COMPUTED_VALUE"""),"""moda Stockholm"",")</f>
        <v>"moda Stockholm",</v>
      </c>
    </row>
    <row r="323">
      <c r="A323" s="8" t="str">
        <f>IFERROR(__xludf.DUMMYFUNCTION("""COMPUTED_VALUE"""),"""hairstyle Stockholm"",")</f>
        <v>"hairstyle Stockholm",</v>
      </c>
    </row>
    <row r="324">
      <c r="A324" s="8" t="str">
        <f>IFERROR(__xludf.DUMMYFUNCTION("""COMPUTED_VALUE"""),"""perfume Stockholm"",")</f>
        <v>"perfume Stockholm",</v>
      </c>
    </row>
    <row r="325">
      <c r="A325" s="8" t="str">
        <f>IFERROR(__xludf.DUMMYFUNCTION("""COMPUTED_VALUE"""),"""cosmetiques Stockholm"",")</f>
        <v>"cosmetiques Stockholm",</v>
      </c>
    </row>
    <row r="326">
      <c r="A326" s="8" t="str">
        <f>IFERROR(__xludf.DUMMYFUNCTION("""COMPUTED_VALUE"""),"""beauty routine Stockholm"",")</f>
        <v>"beauty routine Stockholm",</v>
      </c>
    </row>
    <row r="327">
      <c r="A327" s="8" t="str">
        <f>IFERROR(__xludf.DUMMYFUNCTION("""COMPUTED_VALUE"""),"""natural beauty Stockholm"",")</f>
        <v>"natural beauty Stockholm",</v>
      </c>
    </row>
    <row r="328">
      <c r="A328" s="8" t="str">
        <f>IFERROR(__xludf.DUMMYFUNCTION("""COMPUTED_VALUE"""),"""organic beauty Stockholm"",")</f>
        <v>"organic beauty Stockholm",</v>
      </c>
    </row>
    <row r="329">
      <c r="A329" s="8" t="str">
        <f>IFERROR(__xludf.DUMMYFUNCTION("""COMPUTED_VALUE"""),"""sustainable fashion Stockholm"",")</f>
        <v>"sustainable fashion Stockholm",</v>
      </c>
    </row>
    <row r="330">
      <c r="A330" s="8" t="str">
        <f>IFERROR(__xludf.DUMMYFUNCTION("""COMPUTED_VALUE"""),"""fashion hacks Stockholm"",")</f>
        <v>"fashion hacks Stockholm",</v>
      </c>
    </row>
    <row r="331">
      <c r="A331" s="8" t="str">
        <f>IFERROR(__xludf.DUMMYFUNCTION("""COMPUTED_VALUE"""),"""capsule wardrobe Stockholm"",")</f>
        <v>"capsule wardrobe Stockholm",</v>
      </c>
    </row>
    <row r="332">
      <c r="A332" s="8" t="str">
        <f>IFERROR(__xludf.DUMMYFUNCTION("""COMPUTED_VALUE"""),"""fashion trends Stockholm"",")</f>
        <v>"fashion trends Stockholm",</v>
      </c>
    </row>
    <row r="333">
      <c r="A333" s="8" t="str">
        <f>IFERROR(__xludf.DUMMYFUNCTION("""COMPUTED_VALUE"""),"""minimalist fashion Stockholm"",")</f>
        <v>"minimalist fashion Stockholm",</v>
      </c>
    </row>
    <row r="334">
      <c r="A334" s="8" t="str">
        <f>IFERROR(__xludf.DUMMYFUNCTION("""COMPUTED_VALUE"""),"""beauty hacks Stockholm"",")</f>
        <v>"beauty hacks Stockholm",</v>
      </c>
    </row>
    <row r="335">
      <c r="A335" s="8" t="str">
        <f>IFERROR(__xludf.DUMMYFUNCTION("""COMPUTED_VALUE"""),"""hair routines Stockholm"",")</f>
        <v>"hair routines Stockholm",</v>
      </c>
    </row>
    <row r="336">
      <c r="A336" s="8" t="str">
        <f>IFERROR(__xludf.DUMMYFUNCTION("""COMPUTED_VALUE"""),"""empties Stockholm"",")</f>
        <v>"empties Stockholm",</v>
      </c>
    </row>
    <row r="337">
      <c r="A337" s="8" t="str">
        <f>IFERROR(__xludf.DUMMYFUNCTION("""COMPUTED_VALUE"""),"""product reviews Stockholm"",")</f>
        <v>"product reviews Stockholm",</v>
      </c>
    </row>
    <row r="338">
      <c r="A338" s="8" t="str">
        <f>IFERROR(__xludf.DUMMYFUNCTION("""COMPUTED_VALUE"""),"""beauty reviews  Stockholm"",")</f>
        <v>"beauty reviews  Stockholm",</v>
      </c>
    </row>
    <row r="339">
      <c r="A339" s="8" t="str">
        <f>IFERROR(__xludf.DUMMYFUNCTION("""COMPUTED_VALUE"""),"""make-up artist Stockholm"",")</f>
        <v>"make-up artist Stockholm",</v>
      </c>
    </row>
    <row r="340">
      <c r="A340" s="8" t="str">
        <f>IFERROR(__xludf.DUMMYFUNCTION("""COMPUTED_VALUE"""),"""skincare journey Stockholm"",")</f>
        <v>"skincare journey Stockholm",</v>
      </c>
    </row>
    <row r="341">
      <c r="A341" s="8" t="str">
        <f>IFERROR(__xludf.DUMMYFUNCTION("""COMPUTED_VALUE"""),"""hair tutorial Stockholm"",")</f>
        <v>"hair tutorial Stockholm",</v>
      </c>
    </row>
    <row r="342">
      <c r="A342" s="8" t="str">
        <f>IFERROR(__xludf.DUMMYFUNCTION("""COMPUTED_VALUE"""),"""barbershop Stockholm"",")</f>
        <v>"barbershop Stockholm",</v>
      </c>
    </row>
    <row r="343">
      <c r="A343" s="8" t="str">
        <f>IFERROR(__xludf.DUMMYFUNCTION("""COMPUTED_VALUE"""),"""ootd Barcelona"",")</f>
        <v>"ootd Barcelona",</v>
      </c>
    </row>
    <row r="344">
      <c r="A344" s="8" t="str">
        <f>IFERROR(__xludf.DUMMYFUNCTION("""COMPUTED_VALUE"""),"""street style Barcelona"",")</f>
        <v>"street style Barcelona",</v>
      </c>
    </row>
    <row r="345">
      <c r="A345" s="8" t="str">
        <f>IFERROR(__xludf.DUMMYFUNCTION("""COMPUTED_VALUE"""),"""skincare Barcelona"",")</f>
        <v>"skincare Barcelona",</v>
      </c>
    </row>
    <row r="346">
      <c r="A346" s="8" t="str">
        <f>IFERROR(__xludf.DUMMYFUNCTION("""COMPUTED_VALUE"""),"""makeup Barcelona"",")</f>
        <v>"makeup Barcelona",</v>
      </c>
    </row>
    <row r="347">
      <c r="A347" s="8" t="str">
        <f>IFERROR(__xludf.DUMMYFUNCTION("""COMPUTED_VALUE"""),"""nails Barcelona"",")</f>
        <v>"nails Barcelona",</v>
      </c>
    </row>
    <row r="348">
      <c r="A348" s="8" t="str">
        <f>IFERROR(__xludf.DUMMYFUNCTION("""COMPUTED_VALUE"""),"""curly hair Barcelona"",")</f>
        <v>"curly hair Barcelona",</v>
      </c>
    </row>
    <row r="349">
      <c r="A349" s="8" t="str">
        <f>IFERROR(__xludf.DUMMYFUNCTION("""COMPUTED_VALUE"""),"""thrift Barcelona"",")</f>
        <v>"thrift Barcelona",</v>
      </c>
    </row>
    <row r="350">
      <c r="A350" s="8" t="str">
        <f>IFERROR(__xludf.DUMMYFUNCTION("""COMPUTED_VALUE"""),"""streetwear Barcelona"",")</f>
        <v>"streetwear Barcelona",</v>
      </c>
    </row>
    <row r="351">
      <c r="A351" s="8" t="str">
        <f>IFERROR(__xludf.DUMMYFUNCTION("""COMPUTED_VALUE"""),"""luxury Barcelona"",")</f>
        <v>"luxury Barcelona",</v>
      </c>
    </row>
    <row r="352">
      <c r="A352" s="8" t="str">
        <f>IFERROR(__xludf.DUMMYFUNCTION("""COMPUTED_VALUE"""),"""handbags Barcelona"",")</f>
        <v>"handbags Barcelona",</v>
      </c>
    </row>
    <row r="353">
      <c r="A353" s="8" t="str">
        <f>IFERROR(__xludf.DUMMYFUNCTION("""COMPUTED_VALUE"""),"""sneakers Barcelona"",")</f>
        <v>"sneakers Barcelona",</v>
      </c>
    </row>
    <row r="354">
      <c r="A354" s="8" t="str">
        <f>IFERROR(__xludf.DUMMYFUNCTION("""COMPUTED_VALUE"""),"""high heels Barcelona"",")</f>
        <v>"high heels Barcelona",</v>
      </c>
    </row>
    <row r="355">
      <c r="A355" s="8" t="str">
        <f>IFERROR(__xludf.DUMMYFUNCTION("""COMPUTED_VALUE"""),"""haute-couture Barcelona"",")</f>
        <v>"haute-couture Barcelona",</v>
      </c>
    </row>
    <row r="356">
      <c r="A356" s="8" t="str">
        <f>IFERROR(__xludf.DUMMYFUNCTION("""COMPUTED_VALUE"""),"""diyfashion Barcelona"",")</f>
        <v>"diyfashion Barcelona",</v>
      </c>
    </row>
    <row r="357">
      <c r="A357" s="8" t="str">
        <f>IFERROR(__xludf.DUMMYFUNCTION("""COMPUTED_VALUE"""),"""accessories Barcelona"",")</f>
        <v>"accessories Barcelona",</v>
      </c>
    </row>
    <row r="358">
      <c r="A358" s="8" t="str">
        <f>IFERROR(__xludf.DUMMYFUNCTION("""COMPUTED_VALUE"""),"""menswear Barcelona"",")</f>
        <v>"menswear Barcelona",</v>
      </c>
    </row>
    <row r="359">
      <c r="A359" s="8" t="str">
        <f>IFERROR(__xludf.DUMMYFUNCTION("""COMPUTED_VALUE"""),"""womenswear Barcelona"",")</f>
        <v>"womenswear Barcelona",</v>
      </c>
    </row>
    <row r="360">
      <c r="A360" s="8" t="str">
        <f>IFERROR(__xludf.DUMMYFUNCTION("""COMPUTED_VALUE"""),"""moda Barcelona"",")</f>
        <v>"moda Barcelona",</v>
      </c>
    </row>
    <row r="361">
      <c r="A361" s="8" t="str">
        <f>IFERROR(__xludf.DUMMYFUNCTION("""COMPUTED_VALUE"""),"""hairstyle Barcelona"",")</f>
        <v>"hairstyle Barcelona",</v>
      </c>
    </row>
    <row r="362">
      <c r="A362" s="8" t="str">
        <f>IFERROR(__xludf.DUMMYFUNCTION("""COMPUTED_VALUE"""),"""perfume Barcelona"",")</f>
        <v>"perfume Barcelona",</v>
      </c>
    </row>
    <row r="363">
      <c r="A363" s="8" t="str">
        <f>IFERROR(__xludf.DUMMYFUNCTION("""COMPUTED_VALUE"""),"""cosmetiques Barcelona"",")</f>
        <v>"cosmetiques Barcelona",</v>
      </c>
    </row>
    <row r="364">
      <c r="A364" s="8" t="str">
        <f>IFERROR(__xludf.DUMMYFUNCTION("""COMPUTED_VALUE"""),"""beauty routine Barcelona"",")</f>
        <v>"beauty routine Barcelona",</v>
      </c>
    </row>
    <row r="365">
      <c r="A365" s="8" t="str">
        <f>IFERROR(__xludf.DUMMYFUNCTION("""COMPUTED_VALUE"""),"""natural beauty Barcelona"",")</f>
        <v>"natural beauty Barcelona",</v>
      </c>
    </row>
    <row r="366">
      <c r="A366" s="8" t="str">
        <f>IFERROR(__xludf.DUMMYFUNCTION("""COMPUTED_VALUE"""),"""organic beauty Barcelona"",")</f>
        <v>"organic beauty Barcelona",</v>
      </c>
    </row>
    <row r="367">
      <c r="A367" s="8" t="str">
        <f>IFERROR(__xludf.DUMMYFUNCTION("""COMPUTED_VALUE"""),"""sustainable fashion Barcelona"",")</f>
        <v>"sustainable fashion Barcelona",</v>
      </c>
    </row>
    <row r="368">
      <c r="A368" s="8" t="str">
        <f>IFERROR(__xludf.DUMMYFUNCTION("""COMPUTED_VALUE"""),"""fashion hacks Barcelona"",")</f>
        <v>"fashion hacks Barcelona",</v>
      </c>
    </row>
    <row r="369">
      <c r="A369" s="8" t="str">
        <f>IFERROR(__xludf.DUMMYFUNCTION("""COMPUTED_VALUE"""),"""capsule wardrobe Barcelona"",")</f>
        <v>"capsule wardrobe Barcelona",</v>
      </c>
    </row>
    <row r="370">
      <c r="A370" s="8" t="str">
        <f>IFERROR(__xludf.DUMMYFUNCTION("""COMPUTED_VALUE"""),"""fashion trends Barcelona"",")</f>
        <v>"fashion trends Barcelona",</v>
      </c>
    </row>
    <row r="371">
      <c r="A371" s="8" t="str">
        <f>IFERROR(__xludf.DUMMYFUNCTION("""COMPUTED_VALUE"""),"""minimalist fashion Barcelona"",")</f>
        <v>"minimalist fashion Barcelona",</v>
      </c>
    </row>
    <row r="372">
      <c r="A372" s="8" t="str">
        <f>IFERROR(__xludf.DUMMYFUNCTION("""COMPUTED_VALUE"""),"""beauty hacks Barcelona"",")</f>
        <v>"beauty hacks Barcelona",</v>
      </c>
    </row>
    <row r="373">
      <c r="A373" s="8" t="str">
        <f>IFERROR(__xludf.DUMMYFUNCTION("""COMPUTED_VALUE"""),"""hair routines Barcelona"",")</f>
        <v>"hair routines Barcelona",</v>
      </c>
    </row>
    <row r="374">
      <c r="A374" s="8" t="str">
        <f>IFERROR(__xludf.DUMMYFUNCTION("""COMPUTED_VALUE"""),"""empties Barcelona"",")</f>
        <v>"empties Barcelona",</v>
      </c>
    </row>
    <row r="375">
      <c r="A375" s="8" t="str">
        <f>IFERROR(__xludf.DUMMYFUNCTION("""COMPUTED_VALUE"""),"""product reviews Barcelona"",")</f>
        <v>"product reviews Barcelona",</v>
      </c>
    </row>
    <row r="376">
      <c r="A376" s="8" t="str">
        <f>IFERROR(__xludf.DUMMYFUNCTION("""COMPUTED_VALUE"""),"""beauty reviews  Barcelona"",")</f>
        <v>"beauty reviews  Barcelona",</v>
      </c>
    </row>
    <row r="377">
      <c r="A377" s="8" t="str">
        <f>IFERROR(__xludf.DUMMYFUNCTION("""COMPUTED_VALUE"""),"""make-up artist Barcelona"",")</f>
        <v>"make-up artist Barcelona",</v>
      </c>
    </row>
    <row r="378">
      <c r="A378" s="8" t="str">
        <f>IFERROR(__xludf.DUMMYFUNCTION("""COMPUTED_VALUE"""),"""skincare journey Barcelona"",")</f>
        <v>"skincare journey Barcelona",</v>
      </c>
    </row>
    <row r="379">
      <c r="A379" s="8" t="str">
        <f>IFERROR(__xludf.DUMMYFUNCTION("""COMPUTED_VALUE"""),"""hair tutorial Barcelona"",")</f>
        <v>"hair tutorial Barcelona",</v>
      </c>
    </row>
    <row r="380">
      <c r="A380" s="8" t="str">
        <f>IFERROR(__xludf.DUMMYFUNCTION("""COMPUTED_VALUE"""),"""barbershop Barcelona"",")</f>
        <v>"barbershop Barcelona",</v>
      </c>
    </row>
    <row r="381">
      <c r="A381" s="8" t="str">
        <f>IFERROR(__xludf.DUMMYFUNCTION("""COMPUTED_VALUE"""),"""ootd Madrid"",")</f>
        <v>"ootd Madrid",</v>
      </c>
    </row>
    <row r="382">
      <c r="A382" s="8" t="str">
        <f>IFERROR(__xludf.DUMMYFUNCTION("""COMPUTED_VALUE"""),"""street style Madrid"",")</f>
        <v>"street style Madrid",</v>
      </c>
    </row>
    <row r="383">
      <c r="A383" s="8" t="str">
        <f>IFERROR(__xludf.DUMMYFUNCTION("""COMPUTED_VALUE"""),"""skincare Madrid"",")</f>
        <v>"skincare Madrid",</v>
      </c>
    </row>
    <row r="384">
      <c r="A384" s="8" t="str">
        <f>IFERROR(__xludf.DUMMYFUNCTION("""COMPUTED_VALUE"""),"""makeup Madrid"",")</f>
        <v>"makeup Madrid",</v>
      </c>
    </row>
    <row r="385">
      <c r="A385" s="8" t="str">
        <f>IFERROR(__xludf.DUMMYFUNCTION("""COMPUTED_VALUE"""),"""nails Madrid"",")</f>
        <v>"nails Madrid",</v>
      </c>
    </row>
    <row r="386">
      <c r="A386" s="8" t="str">
        <f>IFERROR(__xludf.DUMMYFUNCTION("""COMPUTED_VALUE"""),"""curly hair Madrid"",")</f>
        <v>"curly hair Madrid",</v>
      </c>
    </row>
    <row r="387">
      <c r="A387" s="8" t="str">
        <f>IFERROR(__xludf.DUMMYFUNCTION("""COMPUTED_VALUE"""),"""thrift Madrid"",")</f>
        <v>"thrift Madrid",</v>
      </c>
    </row>
    <row r="388">
      <c r="A388" s="8" t="str">
        <f>IFERROR(__xludf.DUMMYFUNCTION("""COMPUTED_VALUE"""),"""streetwear Madrid"",")</f>
        <v>"streetwear Madrid",</v>
      </c>
    </row>
    <row r="389">
      <c r="A389" s="8" t="str">
        <f>IFERROR(__xludf.DUMMYFUNCTION("""COMPUTED_VALUE"""),"""luxury Madrid"",")</f>
        <v>"luxury Madrid",</v>
      </c>
    </row>
    <row r="390">
      <c r="A390" s="8" t="str">
        <f>IFERROR(__xludf.DUMMYFUNCTION("""COMPUTED_VALUE"""),"""handbags Madrid"",")</f>
        <v>"handbags Madrid",</v>
      </c>
    </row>
    <row r="391">
      <c r="A391" s="8" t="str">
        <f>IFERROR(__xludf.DUMMYFUNCTION("""COMPUTED_VALUE"""),"""sneakers Madrid"",")</f>
        <v>"sneakers Madrid",</v>
      </c>
    </row>
    <row r="392">
      <c r="A392" s="8" t="str">
        <f>IFERROR(__xludf.DUMMYFUNCTION("""COMPUTED_VALUE"""),"""high heels Madrid"",")</f>
        <v>"high heels Madrid",</v>
      </c>
    </row>
    <row r="393">
      <c r="A393" s="8" t="str">
        <f>IFERROR(__xludf.DUMMYFUNCTION("""COMPUTED_VALUE"""),"""haute-couture Madrid"",")</f>
        <v>"haute-couture Madrid",</v>
      </c>
    </row>
    <row r="394">
      <c r="A394" s="8" t="str">
        <f>IFERROR(__xludf.DUMMYFUNCTION("""COMPUTED_VALUE"""),"""diyfashion Madrid"",")</f>
        <v>"diyfashion Madrid",</v>
      </c>
    </row>
    <row r="395">
      <c r="A395" s="8" t="str">
        <f>IFERROR(__xludf.DUMMYFUNCTION("""COMPUTED_VALUE"""),"""accessories Madrid"",")</f>
        <v>"accessories Madrid",</v>
      </c>
    </row>
    <row r="396">
      <c r="A396" s="8" t="str">
        <f>IFERROR(__xludf.DUMMYFUNCTION("""COMPUTED_VALUE"""),"""menswear Madrid"",")</f>
        <v>"menswear Madrid",</v>
      </c>
    </row>
    <row r="397">
      <c r="A397" s="8" t="str">
        <f>IFERROR(__xludf.DUMMYFUNCTION("""COMPUTED_VALUE"""),"""womenswear Madrid"",")</f>
        <v>"womenswear Madrid",</v>
      </c>
    </row>
    <row r="398">
      <c r="A398" s="8" t="str">
        <f>IFERROR(__xludf.DUMMYFUNCTION("""COMPUTED_VALUE"""),"""moda Madrid"",")</f>
        <v>"moda Madrid",</v>
      </c>
    </row>
    <row r="399">
      <c r="A399" s="8" t="str">
        <f>IFERROR(__xludf.DUMMYFUNCTION("""COMPUTED_VALUE"""),"""hairstyle Madrid"",")</f>
        <v>"hairstyle Madrid",</v>
      </c>
    </row>
    <row r="400">
      <c r="A400" s="8" t="str">
        <f>IFERROR(__xludf.DUMMYFUNCTION("""COMPUTED_VALUE"""),"""perfume Madrid"",")</f>
        <v>"perfume Madrid",</v>
      </c>
    </row>
    <row r="401">
      <c r="A401" s="8" t="str">
        <f>IFERROR(__xludf.DUMMYFUNCTION("""COMPUTED_VALUE"""),"""cosmetiques Madrid"",")</f>
        <v>"cosmetiques Madrid",</v>
      </c>
    </row>
    <row r="402">
      <c r="A402" s="8" t="str">
        <f>IFERROR(__xludf.DUMMYFUNCTION("""COMPUTED_VALUE"""),"""beauty routine Madrid"",")</f>
        <v>"beauty routine Madrid",</v>
      </c>
    </row>
    <row r="403">
      <c r="A403" s="8" t="str">
        <f>IFERROR(__xludf.DUMMYFUNCTION("""COMPUTED_VALUE"""),"""natural beauty Madrid"",")</f>
        <v>"natural beauty Madrid",</v>
      </c>
    </row>
    <row r="404">
      <c r="A404" s="8" t="str">
        <f>IFERROR(__xludf.DUMMYFUNCTION("""COMPUTED_VALUE"""),"""organic beauty Madrid"",")</f>
        <v>"organic beauty Madrid",</v>
      </c>
    </row>
    <row r="405">
      <c r="A405" s="8" t="str">
        <f>IFERROR(__xludf.DUMMYFUNCTION("""COMPUTED_VALUE"""),"""sustainable fashion Madrid"",")</f>
        <v>"sustainable fashion Madrid",</v>
      </c>
    </row>
    <row r="406">
      <c r="A406" s="8" t="str">
        <f>IFERROR(__xludf.DUMMYFUNCTION("""COMPUTED_VALUE"""),"""fashion hacks Madrid"",")</f>
        <v>"fashion hacks Madrid",</v>
      </c>
    </row>
    <row r="407">
      <c r="A407" s="8" t="str">
        <f>IFERROR(__xludf.DUMMYFUNCTION("""COMPUTED_VALUE"""),"""capsule wardrobe Madrid"",")</f>
        <v>"capsule wardrobe Madrid",</v>
      </c>
    </row>
    <row r="408">
      <c r="A408" s="8" t="str">
        <f>IFERROR(__xludf.DUMMYFUNCTION("""COMPUTED_VALUE"""),"""fashion trends Madrid"",")</f>
        <v>"fashion trends Madrid",</v>
      </c>
    </row>
    <row r="409">
      <c r="A409" s="8" t="str">
        <f>IFERROR(__xludf.DUMMYFUNCTION("""COMPUTED_VALUE"""),"""minimalist fashion Madrid"",")</f>
        <v>"minimalist fashion Madrid",</v>
      </c>
    </row>
    <row r="410">
      <c r="A410" s="8" t="str">
        <f>IFERROR(__xludf.DUMMYFUNCTION("""COMPUTED_VALUE"""),"""beauty hacks Madrid"",")</f>
        <v>"beauty hacks Madrid",</v>
      </c>
    </row>
    <row r="411">
      <c r="A411" s="8" t="str">
        <f>IFERROR(__xludf.DUMMYFUNCTION("""COMPUTED_VALUE"""),"""hair routines Madrid"",")</f>
        <v>"hair routines Madrid",</v>
      </c>
    </row>
    <row r="412">
      <c r="A412" s="8" t="str">
        <f>IFERROR(__xludf.DUMMYFUNCTION("""COMPUTED_VALUE"""),"""empties Madrid"",")</f>
        <v>"empties Madrid",</v>
      </c>
    </row>
    <row r="413">
      <c r="A413" s="8" t="str">
        <f>IFERROR(__xludf.DUMMYFUNCTION("""COMPUTED_VALUE"""),"""product reviews Madrid"",")</f>
        <v>"product reviews Madrid",</v>
      </c>
    </row>
    <row r="414">
      <c r="A414" s="8" t="str">
        <f>IFERROR(__xludf.DUMMYFUNCTION("""COMPUTED_VALUE"""),"""beauty reviews  Madrid"",")</f>
        <v>"beauty reviews  Madrid",</v>
      </c>
    </row>
    <row r="415">
      <c r="A415" s="8" t="str">
        <f>IFERROR(__xludf.DUMMYFUNCTION("""COMPUTED_VALUE"""),"""make-up artist Madrid"",")</f>
        <v>"make-up artist Madrid",</v>
      </c>
    </row>
    <row r="416">
      <c r="A416" s="8" t="str">
        <f>IFERROR(__xludf.DUMMYFUNCTION("""COMPUTED_VALUE"""),"""skincare journey Madrid"",")</f>
        <v>"skincare journey Madrid",</v>
      </c>
    </row>
    <row r="417">
      <c r="A417" s="8" t="str">
        <f>IFERROR(__xludf.DUMMYFUNCTION("""COMPUTED_VALUE"""),"""hair tutorial Madrid"",")</f>
        <v>"hair tutorial Madrid",</v>
      </c>
    </row>
    <row r="418">
      <c r="A418" s="8" t="str">
        <f>IFERROR(__xludf.DUMMYFUNCTION("""COMPUTED_VALUE"""),"""barbershop Madrid"",")</f>
        <v>"barbershop Madrid",</v>
      </c>
    </row>
    <row r="419">
      <c r="A419" s="8" t="str">
        <f>IFERROR(__xludf.DUMMYFUNCTION("""COMPUTED_VALUE"""),"""ootd Lisbon"",")</f>
        <v>"ootd Lisbon",</v>
      </c>
    </row>
    <row r="420">
      <c r="A420" s="8" t="str">
        <f>IFERROR(__xludf.DUMMYFUNCTION("""COMPUTED_VALUE"""),"""street style Lisbon"",")</f>
        <v>"street style Lisbon",</v>
      </c>
    </row>
    <row r="421">
      <c r="A421" s="8" t="str">
        <f>IFERROR(__xludf.DUMMYFUNCTION("""COMPUTED_VALUE"""),"""skincare Lisbon"",")</f>
        <v>"skincare Lisbon",</v>
      </c>
    </row>
    <row r="422">
      <c r="A422" s="8" t="str">
        <f>IFERROR(__xludf.DUMMYFUNCTION("""COMPUTED_VALUE"""),"""makeup Lisbon"",")</f>
        <v>"makeup Lisbon",</v>
      </c>
    </row>
    <row r="423">
      <c r="A423" s="8" t="str">
        <f>IFERROR(__xludf.DUMMYFUNCTION("""COMPUTED_VALUE"""),"""nails Lisbon"",")</f>
        <v>"nails Lisbon",</v>
      </c>
    </row>
    <row r="424">
      <c r="A424" s="8" t="str">
        <f>IFERROR(__xludf.DUMMYFUNCTION("""COMPUTED_VALUE"""),"""curly hair Lisbon"",")</f>
        <v>"curly hair Lisbon",</v>
      </c>
    </row>
    <row r="425">
      <c r="A425" s="8" t="str">
        <f>IFERROR(__xludf.DUMMYFUNCTION("""COMPUTED_VALUE"""),"""thrift Lisbon"",")</f>
        <v>"thrift Lisbon",</v>
      </c>
    </row>
    <row r="426">
      <c r="A426" s="8" t="str">
        <f>IFERROR(__xludf.DUMMYFUNCTION("""COMPUTED_VALUE"""),"""streetwear Lisbon"",")</f>
        <v>"streetwear Lisbon",</v>
      </c>
    </row>
    <row r="427">
      <c r="A427" s="8" t="str">
        <f>IFERROR(__xludf.DUMMYFUNCTION("""COMPUTED_VALUE"""),"""luxury Lisbon"",")</f>
        <v>"luxury Lisbon",</v>
      </c>
    </row>
    <row r="428">
      <c r="A428" s="8" t="str">
        <f>IFERROR(__xludf.DUMMYFUNCTION("""COMPUTED_VALUE"""),"""handbags Lisbon"",")</f>
        <v>"handbags Lisbon",</v>
      </c>
    </row>
    <row r="429">
      <c r="A429" s="8" t="str">
        <f>IFERROR(__xludf.DUMMYFUNCTION("""COMPUTED_VALUE"""),"""sneakers Lisbon"",")</f>
        <v>"sneakers Lisbon",</v>
      </c>
    </row>
    <row r="430">
      <c r="A430" s="8" t="str">
        <f>IFERROR(__xludf.DUMMYFUNCTION("""COMPUTED_VALUE"""),"""high heels Lisbon"",")</f>
        <v>"high heels Lisbon",</v>
      </c>
    </row>
    <row r="431">
      <c r="A431" s="8" t="str">
        <f>IFERROR(__xludf.DUMMYFUNCTION("""COMPUTED_VALUE"""),"""haute-couture Lisbon"",")</f>
        <v>"haute-couture Lisbon",</v>
      </c>
    </row>
    <row r="432">
      <c r="A432" s="8" t="str">
        <f>IFERROR(__xludf.DUMMYFUNCTION("""COMPUTED_VALUE"""),"""diyfashion Lisbon"",")</f>
        <v>"diyfashion Lisbon",</v>
      </c>
    </row>
    <row r="433">
      <c r="A433" s="8" t="str">
        <f>IFERROR(__xludf.DUMMYFUNCTION("""COMPUTED_VALUE"""),"""accessories Lisbon"",")</f>
        <v>"accessories Lisbon",</v>
      </c>
    </row>
    <row r="434">
      <c r="A434" s="8" t="str">
        <f>IFERROR(__xludf.DUMMYFUNCTION("""COMPUTED_VALUE"""),"""menswear Lisbon"",")</f>
        <v>"menswear Lisbon",</v>
      </c>
    </row>
    <row r="435">
      <c r="A435" s="8" t="str">
        <f>IFERROR(__xludf.DUMMYFUNCTION("""COMPUTED_VALUE"""),"""womenswear Lisbon"",")</f>
        <v>"womenswear Lisbon",</v>
      </c>
    </row>
    <row r="436">
      <c r="A436" s="8" t="str">
        <f>IFERROR(__xludf.DUMMYFUNCTION("""COMPUTED_VALUE"""),"""moda Lisbon"",")</f>
        <v>"moda Lisbon",</v>
      </c>
    </row>
    <row r="437">
      <c r="A437" s="8" t="str">
        <f>IFERROR(__xludf.DUMMYFUNCTION("""COMPUTED_VALUE"""),"""hairstyle Lisbon"",")</f>
        <v>"hairstyle Lisbon",</v>
      </c>
    </row>
    <row r="438">
      <c r="A438" s="8" t="str">
        <f>IFERROR(__xludf.DUMMYFUNCTION("""COMPUTED_VALUE"""),"""perfume Lisbon"",")</f>
        <v>"perfume Lisbon",</v>
      </c>
    </row>
    <row r="439">
      <c r="A439" s="9" t="str">
        <f>IFERROR(__xludf.DUMMYFUNCTION("""COMPUTED_VALUE"""),"""cosmetiques Lisbon"",")</f>
        <v>"cosmetiques Lisbon",</v>
      </c>
    </row>
    <row r="440">
      <c r="A440" s="8" t="str">
        <f>IFERROR(__xludf.DUMMYFUNCTION("""COMPUTED_VALUE"""),"""beauty routine Lisbon"",")</f>
        <v>"beauty routine Lisbon",</v>
      </c>
    </row>
    <row r="441">
      <c r="A441" s="8" t="str">
        <f>IFERROR(__xludf.DUMMYFUNCTION("""COMPUTED_VALUE"""),"""natural beauty Lisbon"",")</f>
        <v>"natural beauty Lisbon",</v>
      </c>
    </row>
    <row r="442">
      <c r="A442" s="8" t="str">
        <f>IFERROR(__xludf.DUMMYFUNCTION("""COMPUTED_VALUE"""),"""organic beauty Lisbon"",")</f>
        <v>"organic beauty Lisbon",</v>
      </c>
    </row>
    <row r="443">
      <c r="A443" s="8" t="str">
        <f>IFERROR(__xludf.DUMMYFUNCTION("""COMPUTED_VALUE"""),"""sustainable fashion Lisbon"",")</f>
        <v>"sustainable fashion Lisbon",</v>
      </c>
    </row>
    <row r="444">
      <c r="A444" s="8" t="str">
        <f>IFERROR(__xludf.DUMMYFUNCTION("""COMPUTED_VALUE"""),"""fashion hacks Lisbon"",")</f>
        <v>"fashion hacks Lisbon",</v>
      </c>
    </row>
    <row r="445">
      <c r="A445" s="8" t="str">
        <f>IFERROR(__xludf.DUMMYFUNCTION("""COMPUTED_VALUE"""),"""capsule wardrobe Lisbon"",")</f>
        <v>"capsule wardrobe Lisbon",</v>
      </c>
    </row>
    <row r="446">
      <c r="A446" s="8" t="str">
        <f>IFERROR(__xludf.DUMMYFUNCTION("""COMPUTED_VALUE"""),"""fashion trends Lisbon"",")</f>
        <v>"fashion trends Lisbon",</v>
      </c>
    </row>
    <row r="447">
      <c r="A447" s="8" t="str">
        <f>IFERROR(__xludf.DUMMYFUNCTION("""COMPUTED_VALUE"""),"""minimalist fashion Lisbon"",")</f>
        <v>"minimalist fashion Lisbon",</v>
      </c>
    </row>
    <row r="448">
      <c r="A448" s="8" t="str">
        <f>IFERROR(__xludf.DUMMYFUNCTION("""COMPUTED_VALUE"""),"""beauty hacks Lisbon"",")</f>
        <v>"beauty hacks Lisbon",</v>
      </c>
    </row>
    <row r="449">
      <c r="A449" s="8" t="str">
        <f>IFERROR(__xludf.DUMMYFUNCTION("""COMPUTED_VALUE"""),"""hair routines Lisbon"",")</f>
        <v>"hair routines Lisbon",</v>
      </c>
    </row>
    <row r="450">
      <c r="A450" s="8" t="str">
        <f>IFERROR(__xludf.DUMMYFUNCTION("""COMPUTED_VALUE"""),"""empties Lisbon"",")</f>
        <v>"empties Lisbon",</v>
      </c>
    </row>
    <row r="451">
      <c r="A451" s="8" t="str">
        <f>IFERROR(__xludf.DUMMYFUNCTION("""COMPUTED_VALUE"""),"""product reviews Lisbon"",")</f>
        <v>"product reviews Lisbon",</v>
      </c>
    </row>
    <row r="452">
      <c r="A452" s="8" t="str">
        <f>IFERROR(__xludf.DUMMYFUNCTION("""COMPUTED_VALUE"""),"""beauty reviews  Lisbon"",")</f>
        <v>"beauty reviews  Lisbon",</v>
      </c>
    </row>
    <row r="453">
      <c r="A453" s="8" t="str">
        <f>IFERROR(__xludf.DUMMYFUNCTION("""COMPUTED_VALUE"""),"""make-up artist Lisbon"",")</f>
        <v>"make-up artist Lisbon",</v>
      </c>
    </row>
    <row r="454">
      <c r="A454" s="8" t="str">
        <f>IFERROR(__xludf.DUMMYFUNCTION("""COMPUTED_VALUE"""),"""skincare journey Lisbon"",")</f>
        <v>"skincare journey Lisbon",</v>
      </c>
    </row>
    <row r="455">
      <c r="A455" s="8" t="str">
        <f>IFERROR(__xludf.DUMMYFUNCTION("""COMPUTED_VALUE"""),"""hair tutorial Lisbon"",")</f>
        <v>"hair tutorial Lisbon",</v>
      </c>
    </row>
    <row r="456">
      <c r="A456" s="8" t="str">
        <f>IFERROR(__xludf.DUMMYFUNCTION("""COMPUTED_VALUE"""),"""barbershop Lisbon"",")</f>
        <v>"barbershop Lisbon",</v>
      </c>
    </row>
    <row r="457">
      <c r="A457" s="8" t="str">
        <f>IFERROR(__xludf.DUMMYFUNCTION("""COMPUTED_VALUE"""),"""ootd Milan"",")</f>
        <v>"ootd Milan",</v>
      </c>
    </row>
    <row r="458">
      <c r="A458" s="8" t="str">
        <f>IFERROR(__xludf.DUMMYFUNCTION("""COMPUTED_VALUE"""),"""street style Milan"",")</f>
        <v>"street style Milan",</v>
      </c>
    </row>
    <row r="459">
      <c r="A459" s="8" t="str">
        <f>IFERROR(__xludf.DUMMYFUNCTION("""COMPUTED_VALUE"""),"""skincare Milan"",")</f>
        <v>"skincare Milan",</v>
      </c>
    </row>
    <row r="460">
      <c r="A460" s="8" t="str">
        <f>IFERROR(__xludf.DUMMYFUNCTION("""COMPUTED_VALUE"""),"""makeup Milan"",")</f>
        <v>"makeup Milan",</v>
      </c>
    </row>
    <row r="461">
      <c r="A461" s="8" t="str">
        <f>IFERROR(__xludf.DUMMYFUNCTION("""COMPUTED_VALUE"""),"""nails Milan"",")</f>
        <v>"nails Milan",</v>
      </c>
    </row>
    <row r="462">
      <c r="A462" s="8" t="str">
        <f>IFERROR(__xludf.DUMMYFUNCTION("""COMPUTED_VALUE"""),"""curly hair Milan"",")</f>
        <v>"curly hair Milan",</v>
      </c>
    </row>
    <row r="463">
      <c r="A463" s="8" t="str">
        <f>IFERROR(__xludf.DUMMYFUNCTION("""COMPUTED_VALUE"""),"""thrift Milan"",")</f>
        <v>"thrift Milan",</v>
      </c>
    </row>
    <row r="464">
      <c r="A464" s="8" t="str">
        <f>IFERROR(__xludf.DUMMYFUNCTION("""COMPUTED_VALUE"""),"""streetwear Milan"",")</f>
        <v>"streetwear Milan",</v>
      </c>
    </row>
    <row r="465">
      <c r="A465" s="8" t="str">
        <f>IFERROR(__xludf.DUMMYFUNCTION("""COMPUTED_VALUE"""),"""luxury Milan"",")</f>
        <v>"luxury Milan",</v>
      </c>
    </row>
    <row r="466">
      <c r="A466" s="8" t="str">
        <f>IFERROR(__xludf.DUMMYFUNCTION("""COMPUTED_VALUE"""),"""handbags Milan"",")</f>
        <v>"handbags Milan",</v>
      </c>
    </row>
    <row r="467">
      <c r="A467" s="8" t="str">
        <f>IFERROR(__xludf.DUMMYFUNCTION("""COMPUTED_VALUE"""),"""sneakers Milan"",")</f>
        <v>"sneakers Milan",</v>
      </c>
    </row>
    <row r="468">
      <c r="A468" s="8" t="str">
        <f>IFERROR(__xludf.DUMMYFUNCTION("""COMPUTED_VALUE"""),"""high heels Milan"",")</f>
        <v>"high heels Milan",</v>
      </c>
    </row>
    <row r="469">
      <c r="A469" s="8" t="str">
        <f>IFERROR(__xludf.DUMMYFUNCTION("""COMPUTED_VALUE"""),"""haute-couture Milan"",")</f>
        <v>"haute-couture Milan",</v>
      </c>
    </row>
    <row r="470">
      <c r="A470" s="8" t="str">
        <f>IFERROR(__xludf.DUMMYFUNCTION("""COMPUTED_VALUE"""),"""diyfashion Milan"",")</f>
        <v>"diyfashion Milan",</v>
      </c>
    </row>
    <row r="471">
      <c r="A471" s="8" t="str">
        <f>IFERROR(__xludf.DUMMYFUNCTION("""COMPUTED_VALUE"""),"""accessories Milan"",")</f>
        <v>"accessories Milan",</v>
      </c>
    </row>
    <row r="472">
      <c r="A472" s="8" t="str">
        <f>IFERROR(__xludf.DUMMYFUNCTION("""COMPUTED_VALUE"""),"""menswear Milan"",")</f>
        <v>"menswear Milan",</v>
      </c>
    </row>
    <row r="473">
      <c r="A473" s="8" t="str">
        <f>IFERROR(__xludf.DUMMYFUNCTION("""COMPUTED_VALUE"""),"""womenswear Milan"",")</f>
        <v>"womenswear Milan",</v>
      </c>
    </row>
    <row r="474">
      <c r="A474" s="8" t="str">
        <f>IFERROR(__xludf.DUMMYFUNCTION("""COMPUTED_VALUE"""),"""moda Milan"",")</f>
        <v>"moda Milan",</v>
      </c>
    </row>
    <row r="475">
      <c r="A475" s="8" t="str">
        <f>IFERROR(__xludf.DUMMYFUNCTION("""COMPUTED_VALUE"""),"""hairstyle Milan"",")</f>
        <v>"hairstyle Milan",</v>
      </c>
    </row>
    <row r="476">
      <c r="A476" s="8" t="str">
        <f>IFERROR(__xludf.DUMMYFUNCTION("""COMPUTED_VALUE"""),"""perfume Milan"",")</f>
        <v>"perfume Milan",</v>
      </c>
    </row>
    <row r="477">
      <c r="A477" s="8" t="str">
        <f>IFERROR(__xludf.DUMMYFUNCTION("""COMPUTED_VALUE"""),"""cosmetiques Milan"",")</f>
        <v>"cosmetiques Milan",</v>
      </c>
    </row>
    <row r="478">
      <c r="A478" s="8" t="str">
        <f>IFERROR(__xludf.DUMMYFUNCTION("""COMPUTED_VALUE"""),"""beauty routine Milan"",")</f>
        <v>"beauty routine Milan",</v>
      </c>
    </row>
    <row r="479">
      <c r="A479" s="8" t="str">
        <f>IFERROR(__xludf.DUMMYFUNCTION("""COMPUTED_VALUE"""),"""natural beauty Milan"",")</f>
        <v>"natural beauty Milan",</v>
      </c>
    </row>
    <row r="480">
      <c r="A480" s="8" t="str">
        <f>IFERROR(__xludf.DUMMYFUNCTION("""COMPUTED_VALUE"""),"""organic beauty Milan"",")</f>
        <v>"organic beauty Milan",</v>
      </c>
    </row>
    <row r="481">
      <c r="A481" s="8" t="str">
        <f>IFERROR(__xludf.DUMMYFUNCTION("""COMPUTED_VALUE"""),"""sustainable fashion Milan"",")</f>
        <v>"sustainable fashion Milan",</v>
      </c>
    </row>
    <row r="482">
      <c r="A482" s="8" t="str">
        <f>IFERROR(__xludf.DUMMYFUNCTION("""COMPUTED_VALUE"""),"""fashion hacks Milan"",")</f>
        <v>"fashion hacks Milan",</v>
      </c>
    </row>
    <row r="483">
      <c r="A483" s="8" t="str">
        <f>IFERROR(__xludf.DUMMYFUNCTION("""COMPUTED_VALUE"""),"""capsule wardrobe Milan"",")</f>
        <v>"capsule wardrobe Milan",</v>
      </c>
    </row>
    <row r="484">
      <c r="A484" s="8" t="str">
        <f>IFERROR(__xludf.DUMMYFUNCTION("""COMPUTED_VALUE"""),"""fashion trends Milan"",")</f>
        <v>"fashion trends Milan",</v>
      </c>
    </row>
    <row r="485">
      <c r="A485" s="8" t="str">
        <f>IFERROR(__xludf.DUMMYFUNCTION("""COMPUTED_VALUE"""),"""minimalist fashion Milan"",")</f>
        <v>"minimalist fashion Milan",</v>
      </c>
    </row>
    <row r="486">
      <c r="A486" s="8" t="str">
        <f>IFERROR(__xludf.DUMMYFUNCTION("""COMPUTED_VALUE"""),"""beauty hacks Milan"",")</f>
        <v>"beauty hacks Milan",</v>
      </c>
    </row>
    <row r="487">
      <c r="A487" s="8" t="str">
        <f>IFERROR(__xludf.DUMMYFUNCTION("""COMPUTED_VALUE"""),"""hair routines Milan"",")</f>
        <v>"hair routines Milan",</v>
      </c>
    </row>
    <row r="488">
      <c r="A488" s="8" t="str">
        <f>IFERROR(__xludf.DUMMYFUNCTION("""COMPUTED_VALUE"""),"""empties Milan"",")</f>
        <v>"empties Milan",</v>
      </c>
    </row>
    <row r="489">
      <c r="A489" s="8" t="str">
        <f>IFERROR(__xludf.DUMMYFUNCTION("""COMPUTED_VALUE"""),"""product reviews Milan"",")</f>
        <v>"product reviews Milan",</v>
      </c>
    </row>
    <row r="490">
      <c r="A490" s="8" t="str">
        <f>IFERROR(__xludf.DUMMYFUNCTION("""COMPUTED_VALUE"""),"""beauty reviews  Milan"",")</f>
        <v>"beauty reviews  Milan",</v>
      </c>
    </row>
    <row r="491">
      <c r="A491" s="8" t="str">
        <f>IFERROR(__xludf.DUMMYFUNCTION("""COMPUTED_VALUE"""),"""make-up artist Milan"",")</f>
        <v>"make-up artist Milan",</v>
      </c>
    </row>
    <row r="492">
      <c r="A492" s="8" t="str">
        <f>IFERROR(__xludf.DUMMYFUNCTION("""COMPUTED_VALUE"""),"""skincare journey Milan"",")</f>
        <v>"skincare journey Milan",</v>
      </c>
    </row>
    <row r="493">
      <c r="A493" s="8" t="str">
        <f>IFERROR(__xludf.DUMMYFUNCTION("""COMPUTED_VALUE"""),"""hair tutorial Milan"",")</f>
        <v>"hair tutorial Milan",</v>
      </c>
    </row>
    <row r="494">
      <c r="A494" s="8" t="str">
        <f>IFERROR(__xludf.DUMMYFUNCTION("""COMPUTED_VALUE"""),"""barbershop Milan"",")</f>
        <v>"barbershop Milan",</v>
      </c>
    </row>
    <row r="495">
      <c r="A495" s="8" t="str">
        <f>IFERROR(__xludf.DUMMYFUNCTION("""COMPUTED_VALUE"""),"""ootd Rome"",")</f>
        <v>"ootd Rome",</v>
      </c>
    </row>
    <row r="496">
      <c r="A496" s="8" t="str">
        <f>IFERROR(__xludf.DUMMYFUNCTION("""COMPUTED_VALUE"""),"""street style Rome"",")</f>
        <v>"street style Rome",</v>
      </c>
    </row>
    <row r="497">
      <c r="A497" s="8" t="str">
        <f>IFERROR(__xludf.DUMMYFUNCTION("""COMPUTED_VALUE"""),"""skincare Rome"",")</f>
        <v>"skincare Rome",</v>
      </c>
    </row>
    <row r="498">
      <c r="A498" s="8" t="str">
        <f>IFERROR(__xludf.DUMMYFUNCTION("""COMPUTED_VALUE"""),"""makeup Rome"",")</f>
        <v>"makeup Rome",</v>
      </c>
    </row>
    <row r="499">
      <c r="A499" s="8" t="str">
        <f>IFERROR(__xludf.DUMMYFUNCTION("""COMPUTED_VALUE"""),"""nails Rome"",")</f>
        <v>"nails Rome",</v>
      </c>
    </row>
    <row r="500">
      <c r="A500" s="8" t="str">
        <f>IFERROR(__xludf.DUMMYFUNCTION("""COMPUTED_VALUE"""),"""curly hair Rome"",")</f>
        <v>"curly hair Rome",</v>
      </c>
    </row>
    <row r="501">
      <c r="A501" s="8" t="str">
        <f>IFERROR(__xludf.DUMMYFUNCTION("""COMPUTED_VALUE"""),"""thrift Rome"",")</f>
        <v>"thrift Rome",</v>
      </c>
    </row>
    <row r="502">
      <c r="A502" s="8" t="str">
        <f>IFERROR(__xludf.DUMMYFUNCTION("""COMPUTED_VALUE"""),"""streetwear Rome"",")</f>
        <v>"streetwear Rome",</v>
      </c>
    </row>
    <row r="503">
      <c r="A503" s="8" t="str">
        <f>IFERROR(__xludf.DUMMYFUNCTION("""COMPUTED_VALUE"""),"""luxury Rome"",")</f>
        <v>"luxury Rome",</v>
      </c>
    </row>
    <row r="504">
      <c r="A504" s="8" t="str">
        <f>IFERROR(__xludf.DUMMYFUNCTION("""COMPUTED_VALUE"""),"""handbags Rome"",")</f>
        <v>"handbags Rome",</v>
      </c>
    </row>
    <row r="505">
      <c r="A505" s="8" t="str">
        <f>IFERROR(__xludf.DUMMYFUNCTION("""COMPUTED_VALUE"""),"""sneakers Rome"",")</f>
        <v>"sneakers Rome",</v>
      </c>
    </row>
    <row r="506">
      <c r="A506" s="8" t="str">
        <f>IFERROR(__xludf.DUMMYFUNCTION("""COMPUTED_VALUE"""),"""high heels Rome"",")</f>
        <v>"high heels Rome",</v>
      </c>
    </row>
    <row r="507">
      <c r="A507" s="8" t="str">
        <f>IFERROR(__xludf.DUMMYFUNCTION("""COMPUTED_VALUE"""),"""haute-couture Rome"",")</f>
        <v>"haute-couture Rome",</v>
      </c>
    </row>
    <row r="508">
      <c r="A508" s="8" t="str">
        <f>IFERROR(__xludf.DUMMYFUNCTION("""COMPUTED_VALUE"""),"""diyfashion Rome"",")</f>
        <v>"diyfashion Rome",</v>
      </c>
    </row>
    <row r="509">
      <c r="A509" s="8" t="str">
        <f>IFERROR(__xludf.DUMMYFUNCTION("""COMPUTED_VALUE"""),"""accessories Rome"",")</f>
        <v>"accessories Rome",</v>
      </c>
    </row>
    <row r="510">
      <c r="A510" s="8" t="str">
        <f>IFERROR(__xludf.DUMMYFUNCTION("""COMPUTED_VALUE"""),"""menswear Rome"",")</f>
        <v>"menswear Rome",</v>
      </c>
    </row>
    <row r="511">
      <c r="A511" s="8" t="str">
        <f>IFERROR(__xludf.DUMMYFUNCTION("""COMPUTED_VALUE"""),"""womenswear Rome"",")</f>
        <v>"womenswear Rome",</v>
      </c>
    </row>
    <row r="512">
      <c r="A512" s="8" t="str">
        <f>IFERROR(__xludf.DUMMYFUNCTION("""COMPUTED_VALUE"""),"""moda Rome"",")</f>
        <v>"moda Rome",</v>
      </c>
    </row>
    <row r="513">
      <c r="A513" s="8" t="str">
        <f>IFERROR(__xludf.DUMMYFUNCTION("""COMPUTED_VALUE"""),"""hairstyle Rome"",")</f>
        <v>"hairstyle Rome",</v>
      </c>
    </row>
    <row r="514">
      <c r="A514" s="8" t="str">
        <f>IFERROR(__xludf.DUMMYFUNCTION("""COMPUTED_VALUE"""),"""perfume Rome"",")</f>
        <v>"perfume Rome",</v>
      </c>
    </row>
    <row r="515">
      <c r="A515" s="8" t="str">
        <f>IFERROR(__xludf.DUMMYFUNCTION("""COMPUTED_VALUE"""),"""cosmetiques Rome"",")</f>
        <v>"cosmetiques Rome",</v>
      </c>
    </row>
    <row r="516">
      <c r="A516" s="8" t="str">
        <f>IFERROR(__xludf.DUMMYFUNCTION("""COMPUTED_VALUE"""),"""beauty routine Rome"",")</f>
        <v>"beauty routine Rome",</v>
      </c>
    </row>
    <row r="517">
      <c r="A517" s="8" t="str">
        <f>IFERROR(__xludf.DUMMYFUNCTION("""COMPUTED_VALUE"""),"""natural beauty Rome"",")</f>
        <v>"natural beauty Rome",</v>
      </c>
    </row>
    <row r="518">
      <c r="A518" s="8" t="str">
        <f>IFERROR(__xludf.DUMMYFUNCTION("""COMPUTED_VALUE"""),"""organic beauty Rome"",")</f>
        <v>"organic beauty Rome",</v>
      </c>
    </row>
    <row r="519">
      <c r="A519" s="8" t="str">
        <f>IFERROR(__xludf.DUMMYFUNCTION("""COMPUTED_VALUE"""),"""sustainable fashion Rome"",")</f>
        <v>"sustainable fashion Rome",</v>
      </c>
    </row>
    <row r="520">
      <c r="A520" s="8" t="str">
        <f>IFERROR(__xludf.DUMMYFUNCTION("""COMPUTED_VALUE"""),"""fashion hacks Rome"",")</f>
        <v>"fashion hacks Rome",</v>
      </c>
    </row>
    <row r="521">
      <c r="A521" s="8" t="str">
        <f>IFERROR(__xludf.DUMMYFUNCTION("""COMPUTED_VALUE"""),"""capsule wardrobe Rome"",")</f>
        <v>"capsule wardrobe Rome",</v>
      </c>
    </row>
    <row r="522">
      <c r="A522" s="8" t="str">
        <f>IFERROR(__xludf.DUMMYFUNCTION("""COMPUTED_VALUE"""),"""fashion trends Rome"",")</f>
        <v>"fashion trends Rome",</v>
      </c>
    </row>
    <row r="523">
      <c r="A523" s="8" t="str">
        <f>IFERROR(__xludf.DUMMYFUNCTION("""COMPUTED_VALUE"""),"""minimalist fashion Rome"",")</f>
        <v>"minimalist fashion Rome",</v>
      </c>
    </row>
    <row r="524">
      <c r="A524" s="8" t="str">
        <f>IFERROR(__xludf.DUMMYFUNCTION("""COMPUTED_VALUE"""),"""beauty hacks Rome"",")</f>
        <v>"beauty hacks Rome",</v>
      </c>
    </row>
    <row r="525">
      <c r="A525" s="8" t="str">
        <f>IFERROR(__xludf.DUMMYFUNCTION("""COMPUTED_VALUE"""),"""hair routines Rome"",")</f>
        <v>"hair routines Rome",</v>
      </c>
    </row>
    <row r="526">
      <c r="A526" s="8" t="str">
        <f>IFERROR(__xludf.DUMMYFUNCTION("""COMPUTED_VALUE"""),"""empties Rome"",")</f>
        <v>"empties Rome",</v>
      </c>
    </row>
    <row r="527">
      <c r="A527" s="8" t="str">
        <f>IFERROR(__xludf.DUMMYFUNCTION("""COMPUTED_VALUE"""),"""product reviews Rome"",")</f>
        <v>"product reviews Rome",</v>
      </c>
    </row>
    <row r="528">
      <c r="A528" s="8" t="str">
        <f>IFERROR(__xludf.DUMMYFUNCTION("""COMPUTED_VALUE"""),"""beauty reviews  Rome"",")</f>
        <v>"beauty reviews  Rome",</v>
      </c>
    </row>
    <row r="529">
      <c r="A529" s="8" t="str">
        <f>IFERROR(__xludf.DUMMYFUNCTION("""COMPUTED_VALUE"""),"""make-up artist Rome"",")</f>
        <v>"make-up artist Rome",</v>
      </c>
    </row>
    <row r="530">
      <c r="A530" s="8" t="str">
        <f>IFERROR(__xludf.DUMMYFUNCTION("""COMPUTED_VALUE"""),"""skincare journey Rome"",")</f>
        <v>"skincare journey Rome",</v>
      </c>
    </row>
    <row r="531">
      <c r="A531" s="8" t="str">
        <f>IFERROR(__xludf.DUMMYFUNCTION("""COMPUTED_VALUE"""),"""hair tutorial Rome"",")</f>
        <v>"hair tutorial Rome",</v>
      </c>
    </row>
    <row r="532">
      <c r="A532" s="8" t="str">
        <f>IFERROR(__xludf.DUMMYFUNCTION("""COMPUTED_VALUE"""),"""barbershop Rome"",")</f>
        <v>"barbershop Rome",</v>
      </c>
    </row>
    <row r="533">
      <c r="A533" s="8" t="str">
        <f>IFERROR(__xludf.DUMMYFUNCTION("""COMPUTED_VALUE"""),"""ootd Florence"",")</f>
        <v>"ootd Florence",</v>
      </c>
    </row>
    <row r="534">
      <c r="A534" s="8" t="str">
        <f>IFERROR(__xludf.DUMMYFUNCTION("""COMPUTED_VALUE"""),"""street style Florence"",")</f>
        <v>"street style Florence",</v>
      </c>
    </row>
    <row r="535">
      <c r="A535" s="8" t="str">
        <f>IFERROR(__xludf.DUMMYFUNCTION("""COMPUTED_VALUE"""),"""skincare Florence"",")</f>
        <v>"skincare Florence",</v>
      </c>
    </row>
    <row r="536">
      <c r="A536" s="8" t="str">
        <f>IFERROR(__xludf.DUMMYFUNCTION("""COMPUTED_VALUE"""),"""makeup Florence"",")</f>
        <v>"makeup Florence",</v>
      </c>
    </row>
    <row r="537">
      <c r="A537" s="8" t="str">
        <f>IFERROR(__xludf.DUMMYFUNCTION("""COMPUTED_VALUE"""),"""nails Florence"",")</f>
        <v>"nails Florence",</v>
      </c>
    </row>
    <row r="538">
      <c r="A538" s="8" t="str">
        <f>IFERROR(__xludf.DUMMYFUNCTION("""COMPUTED_VALUE"""),"""curly hair Florence"",")</f>
        <v>"curly hair Florence",</v>
      </c>
    </row>
    <row r="539">
      <c r="A539" s="8" t="str">
        <f>IFERROR(__xludf.DUMMYFUNCTION("""COMPUTED_VALUE"""),"""thrift Florence"",")</f>
        <v>"thrift Florence",</v>
      </c>
    </row>
    <row r="540">
      <c r="A540" s="8" t="str">
        <f>IFERROR(__xludf.DUMMYFUNCTION("""COMPUTED_VALUE"""),"""streetwear Florence"",")</f>
        <v>"streetwear Florence",</v>
      </c>
    </row>
    <row r="541">
      <c r="A541" s="8" t="str">
        <f>IFERROR(__xludf.DUMMYFUNCTION("""COMPUTED_VALUE"""),"""luxury Florence"",")</f>
        <v>"luxury Florence",</v>
      </c>
    </row>
    <row r="542">
      <c r="A542" s="8" t="str">
        <f>IFERROR(__xludf.DUMMYFUNCTION("""COMPUTED_VALUE"""),"""handbags Florence"",")</f>
        <v>"handbags Florence",</v>
      </c>
    </row>
    <row r="543">
      <c r="A543" s="8" t="str">
        <f>IFERROR(__xludf.DUMMYFUNCTION("""COMPUTED_VALUE"""),"""sneakers Florence"",")</f>
        <v>"sneakers Florence",</v>
      </c>
    </row>
    <row r="544">
      <c r="A544" s="8" t="str">
        <f>IFERROR(__xludf.DUMMYFUNCTION("""COMPUTED_VALUE"""),"""high heels Florence"",")</f>
        <v>"high heels Florence",</v>
      </c>
    </row>
    <row r="545">
      <c r="A545" s="8" t="str">
        <f>IFERROR(__xludf.DUMMYFUNCTION("""COMPUTED_VALUE"""),"""haute-couture Florence"",")</f>
        <v>"haute-couture Florence",</v>
      </c>
    </row>
    <row r="546">
      <c r="A546" s="8" t="str">
        <f>IFERROR(__xludf.DUMMYFUNCTION("""COMPUTED_VALUE"""),"""diyfashion Florence"",")</f>
        <v>"diyfashion Florence",</v>
      </c>
    </row>
    <row r="547">
      <c r="A547" s="8" t="str">
        <f>IFERROR(__xludf.DUMMYFUNCTION("""COMPUTED_VALUE"""),"""accessories Florence"",")</f>
        <v>"accessories Florence",</v>
      </c>
    </row>
    <row r="548">
      <c r="A548" s="8" t="str">
        <f>IFERROR(__xludf.DUMMYFUNCTION("""COMPUTED_VALUE"""),"""menswear Florence"",")</f>
        <v>"menswear Florence",</v>
      </c>
    </row>
    <row r="549">
      <c r="A549" s="8" t="str">
        <f>IFERROR(__xludf.DUMMYFUNCTION("""COMPUTED_VALUE"""),"""womenswear Florence"",")</f>
        <v>"womenswear Florence",</v>
      </c>
    </row>
    <row r="550">
      <c r="A550" s="8" t="str">
        <f>IFERROR(__xludf.DUMMYFUNCTION("""COMPUTED_VALUE"""),"""moda Florence"",")</f>
        <v>"moda Florence",</v>
      </c>
    </row>
    <row r="551">
      <c r="A551" s="8" t="str">
        <f>IFERROR(__xludf.DUMMYFUNCTION("""COMPUTED_VALUE"""),"""hairstyle Florence"",")</f>
        <v>"hairstyle Florence",</v>
      </c>
    </row>
    <row r="552">
      <c r="A552" s="8" t="str">
        <f>IFERROR(__xludf.DUMMYFUNCTION("""COMPUTED_VALUE"""),"""perfume Florence"",")</f>
        <v>"perfume Florence",</v>
      </c>
    </row>
    <row r="553">
      <c r="A553" s="8" t="str">
        <f>IFERROR(__xludf.DUMMYFUNCTION("""COMPUTED_VALUE"""),"""cosmetiques Florence"",")</f>
        <v>"cosmetiques Florence",</v>
      </c>
    </row>
    <row r="554">
      <c r="A554" s="8" t="str">
        <f>IFERROR(__xludf.DUMMYFUNCTION("""COMPUTED_VALUE"""),"""beauty routine Florence"",")</f>
        <v>"beauty routine Florence",</v>
      </c>
    </row>
    <row r="555">
      <c r="A555" s="8" t="str">
        <f>IFERROR(__xludf.DUMMYFUNCTION("""COMPUTED_VALUE"""),"""natural beauty Florence"",")</f>
        <v>"natural beauty Florence",</v>
      </c>
    </row>
    <row r="556">
      <c r="A556" s="8" t="str">
        <f>IFERROR(__xludf.DUMMYFUNCTION("""COMPUTED_VALUE"""),"""organic beauty Florence"",")</f>
        <v>"organic beauty Florence",</v>
      </c>
    </row>
    <row r="557">
      <c r="A557" s="8" t="str">
        <f>IFERROR(__xludf.DUMMYFUNCTION("""COMPUTED_VALUE"""),"""sustainable fashion Florence"",")</f>
        <v>"sustainable fashion Florence",</v>
      </c>
    </row>
    <row r="558">
      <c r="A558" s="8" t="str">
        <f>IFERROR(__xludf.DUMMYFUNCTION("""COMPUTED_VALUE"""),"""fashion hacks Florence"",")</f>
        <v>"fashion hacks Florence",</v>
      </c>
    </row>
    <row r="559">
      <c r="A559" s="8" t="str">
        <f>IFERROR(__xludf.DUMMYFUNCTION("""COMPUTED_VALUE"""),"""capsule wardrobe Florence"",")</f>
        <v>"capsule wardrobe Florence",</v>
      </c>
    </row>
    <row r="560">
      <c r="A560" s="8" t="str">
        <f>IFERROR(__xludf.DUMMYFUNCTION("""COMPUTED_VALUE"""),"""fashion trends Florence"",")</f>
        <v>"fashion trends Florence",</v>
      </c>
    </row>
    <row r="561">
      <c r="A561" s="8" t="str">
        <f>IFERROR(__xludf.DUMMYFUNCTION("""COMPUTED_VALUE"""),"""minimalist fashion Florence"",")</f>
        <v>"minimalist fashion Florence",</v>
      </c>
    </row>
    <row r="562">
      <c r="A562" s="8" t="str">
        <f>IFERROR(__xludf.DUMMYFUNCTION("""COMPUTED_VALUE"""),"""beauty hacks Florence"",")</f>
        <v>"beauty hacks Florence",</v>
      </c>
    </row>
    <row r="563">
      <c r="A563" s="8" t="str">
        <f>IFERROR(__xludf.DUMMYFUNCTION("""COMPUTED_VALUE"""),"""hair routines Florence"",")</f>
        <v>"hair routines Florence",</v>
      </c>
    </row>
    <row r="564">
      <c r="A564" s="8" t="str">
        <f>IFERROR(__xludf.DUMMYFUNCTION("""COMPUTED_VALUE"""),"""empties Florence"",")</f>
        <v>"empties Florence",</v>
      </c>
    </row>
    <row r="565">
      <c r="A565" s="8" t="str">
        <f>IFERROR(__xludf.DUMMYFUNCTION("""COMPUTED_VALUE"""),"""product reviews Florence"",")</f>
        <v>"product reviews Florence",</v>
      </c>
    </row>
    <row r="566">
      <c r="A566" s="8" t="str">
        <f>IFERROR(__xludf.DUMMYFUNCTION("""COMPUTED_VALUE"""),"""beauty reviews  Florence"",")</f>
        <v>"beauty reviews  Florence",</v>
      </c>
    </row>
    <row r="567">
      <c r="A567" s="8" t="str">
        <f>IFERROR(__xludf.DUMMYFUNCTION("""COMPUTED_VALUE"""),"""make-up artist Florence"",")</f>
        <v>"make-up artist Florence",</v>
      </c>
    </row>
    <row r="568">
      <c r="A568" s="8" t="str">
        <f>IFERROR(__xludf.DUMMYFUNCTION("""COMPUTED_VALUE"""),"""skincare journey Florence"",")</f>
        <v>"skincare journey Florence",</v>
      </c>
    </row>
    <row r="569">
      <c r="A569" s="8" t="str">
        <f>IFERROR(__xludf.DUMMYFUNCTION("""COMPUTED_VALUE"""),"""hair tutorial Florence"",")</f>
        <v>"hair tutorial Florence",</v>
      </c>
    </row>
    <row r="570">
      <c r="A570" s="8" t="str">
        <f>IFERROR(__xludf.DUMMYFUNCTION("""COMPUTED_VALUE"""),"""barbershop Florence"",")</f>
        <v>"barbershop Florence",</v>
      </c>
    </row>
    <row r="571">
      <c r="A571" s="8" t="str">
        <f>IFERROR(__xludf.DUMMYFUNCTION("""COMPUTED_VALUE"""),"""ootd Venice"",")</f>
        <v>"ootd Venice",</v>
      </c>
    </row>
    <row r="572">
      <c r="A572" s="8" t="str">
        <f>IFERROR(__xludf.DUMMYFUNCTION("""COMPUTED_VALUE"""),"""street style Venice"",")</f>
        <v>"street style Venice",</v>
      </c>
    </row>
    <row r="573">
      <c r="A573" s="8" t="str">
        <f>IFERROR(__xludf.DUMMYFUNCTION("""COMPUTED_VALUE"""),"""skincare Venice"",")</f>
        <v>"skincare Venice",</v>
      </c>
    </row>
    <row r="574">
      <c r="A574" s="8" t="str">
        <f>IFERROR(__xludf.DUMMYFUNCTION("""COMPUTED_VALUE"""),"""makeup Venice"",")</f>
        <v>"makeup Venice",</v>
      </c>
    </row>
    <row r="575">
      <c r="A575" s="8" t="str">
        <f>IFERROR(__xludf.DUMMYFUNCTION("""COMPUTED_VALUE"""),"""nails Venice"",")</f>
        <v>"nails Venice",</v>
      </c>
    </row>
    <row r="576">
      <c r="A576" s="8" t="str">
        <f>IFERROR(__xludf.DUMMYFUNCTION("""COMPUTED_VALUE"""),"""curly hair Venice"",")</f>
        <v>"curly hair Venice",</v>
      </c>
    </row>
    <row r="577">
      <c r="A577" s="8" t="str">
        <f>IFERROR(__xludf.DUMMYFUNCTION("""COMPUTED_VALUE"""),"""thrift Venice"",")</f>
        <v>"thrift Venice",</v>
      </c>
    </row>
    <row r="578">
      <c r="A578" s="8" t="str">
        <f>IFERROR(__xludf.DUMMYFUNCTION("""COMPUTED_VALUE"""),"""streetwear Venice"",")</f>
        <v>"streetwear Venice",</v>
      </c>
    </row>
    <row r="579">
      <c r="A579" s="8" t="str">
        <f>IFERROR(__xludf.DUMMYFUNCTION("""COMPUTED_VALUE"""),"""luxury Venice"",")</f>
        <v>"luxury Venice",</v>
      </c>
    </row>
    <row r="580">
      <c r="A580" s="8" t="str">
        <f>IFERROR(__xludf.DUMMYFUNCTION("""COMPUTED_VALUE"""),"""handbags Venice"",")</f>
        <v>"handbags Venice",</v>
      </c>
    </row>
    <row r="581">
      <c r="A581" s="8" t="str">
        <f>IFERROR(__xludf.DUMMYFUNCTION("""COMPUTED_VALUE"""),"""sneakers Venice"",")</f>
        <v>"sneakers Venice",</v>
      </c>
    </row>
    <row r="582">
      <c r="A582" s="8" t="str">
        <f>IFERROR(__xludf.DUMMYFUNCTION("""COMPUTED_VALUE"""),"""high heels Venice"",")</f>
        <v>"high heels Venice",</v>
      </c>
    </row>
    <row r="583">
      <c r="A583" s="8" t="str">
        <f>IFERROR(__xludf.DUMMYFUNCTION("""COMPUTED_VALUE"""),"""haute-couture Venice"",")</f>
        <v>"haute-couture Venice",</v>
      </c>
    </row>
    <row r="584">
      <c r="A584" s="8" t="str">
        <f>IFERROR(__xludf.DUMMYFUNCTION("""COMPUTED_VALUE"""),"""diyfashion Venice"",")</f>
        <v>"diyfashion Venice",</v>
      </c>
    </row>
    <row r="585">
      <c r="A585" s="8" t="str">
        <f>IFERROR(__xludf.DUMMYFUNCTION("""COMPUTED_VALUE"""),"""accessories Venice"",")</f>
        <v>"accessories Venice",</v>
      </c>
    </row>
    <row r="586">
      <c r="A586" s="8" t="str">
        <f>IFERROR(__xludf.DUMMYFUNCTION("""COMPUTED_VALUE"""),"""menswear Venice"",")</f>
        <v>"menswear Venice",</v>
      </c>
    </row>
    <row r="587">
      <c r="A587" s="8" t="str">
        <f>IFERROR(__xludf.DUMMYFUNCTION("""COMPUTED_VALUE"""),"""womenswear Venice"",")</f>
        <v>"womenswear Venice",</v>
      </c>
    </row>
    <row r="588">
      <c r="A588" s="8" t="str">
        <f>IFERROR(__xludf.DUMMYFUNCTION("""COMPUTED_VALUE"""),"""moda Venice"",")</f>
        <v>"moda Venice",</v>
      </c>
    </row>
    <row r="589">
      <c r="A589" s="8" t="str">
        <f>IFERROR(__xludf.DUMMYFUNCTION("""COMPUTED_VALUE"""),"""hairstyle Venice"",")</f>
        <v>"hairstyle Venice",</v>
      </c>
    </row>
    <row r="590">
      <c r="A590" s="8" t="str">
        <f>IFERROR(__xludf.DUMMYFUNCTION("""COMPUTED_VALUE"""),"""perfume Venice"",")</f>
        <v>"perfume Venice",</v>
      </c>
    </row>
    <row r="591">
      <c r="A591" s="8" t="str">
        <f>IFERROR(__xludf.DUMMYFUNCTION("""COMPUTED_VALUE"""),"""cosmetiques Venice"",")</f>
        <v>"cosmetiques Venice",</v>
      </c>
    </row>
    <row r="592">
      <c r="A592" s="8" t="str">
        <f>IFERROR(__xludf.DUMMYFUNCTION("""COMPUTED_VALUE"""),"""beauty routine Venice"",")</f>
        <v>"beauty routine Venice",</v>
      </c>
    </row>
    <row r="593">
      <c r="A593" s="8" t="str">
        <f>IFERROR(__xludf.DUMMYFUNCTION("""COMPUTED_VALUE"""),"""natural beauty Venice"",")</f>
        <v>"natural beauty Venice",</v>
      </c>
    </row>
    <row r="594">
      <c r="A594" s="8" t="str">
        <f>IFERROR(__xludf.DUMMYFUNCTION("""COMPUTED_VALUE"""),"""organic beauty Venice"",")</f>
        <v>"organic beauty Venice",</v>
      </c>
    </row>
    <row r="595">
      <c r="A595" s="8" t="str">
        <f>IFERROR(__xludf.DUMMYFUNCTION("""COMPUTED_VALUE"""),"""sustainable fashion Venice"",")</f>
        <v>"sustainable fashion Venice",</v>
      </c>
    </row>
    <row r="596">
      <c r="A596" s="8" t="str">
        <f>IFERROR(__xludf.DUMMYFUNCTION("""COMPUTED_VALUE"""),"""fashion hacks Venice"",")</f>
        <v>"fashion hacks Venice",</v>
      </c>
    </row>
    <row r="597">
      <c r="A597" s="8" t="str">
        <f>IFERROR(__xludf.DUMMYFUNCTION("""COMPUTED_VALUE"""),"""capsule wardrobe Venice"",")</f>
        <v>"capsule wardrobe Venice",</v>
      </c>
    </row>
    <row r="598">
      <c r="A598" s="8" t="str">
        <f>IFERROR(__xludf.DUMMYFUNCTION("""COMPUTED_VALUE"""),"""fashion trends Venice"",")</f>
        <v>"fashion trends Venice",</v>
      </c>
    </row>
    <row r="599">
      <c r="A599" s="8" t="str">
        <f>IFERROR(__xludf.DUMMYFUNCTION("""COMPUTED_VALUE"""),"""minimalist fashion Venice"",")</f>
        <v>"minimalist fashion Venice",</v>
      </c>
    </row>
    <row r="600">
      <c r="A600" s="8" t="str">
        <f>IFERROR(__xludf.DUMMYFUNCTION("""COMPUTED_VALUE"""),"""beauty hacks Venice"",")</f>
        <v>"beauty hacks Venice",</v>
      </c>
    </row>
    <row r="601">
      <c r="A601" s="8" t="str">
        <f>IFERROR(__xludf.DUMMYFUNCTION("""COMPUTED_VALUE"""),"""hair routines Venice"",")</f>
        <v>"hair routines Venice",</v>
      </c>
    </row>
    <row r="602">
      <c r="A602" s="8" t="str">
        <f>IFERROR(__xludf.DUMMYFUNCTION("""COMPUTED_VALUE"""),"""empties Venice"",")</f>
        <v>"empties Venice",</v>
      </c>
    </row>
    <row r="603">
      <c r="A603" s="8" t="str">
        <f>IFERROR(__xludf.DUMMYFUNCTION("""COMPUTED_VALUE"""),"""product reviews Venice"",")</f>
        <v>"product reviews Venice",</v>
      </c>
    </row>
    <row r="604">
      <c r="A604" s="8" t="str">
        <f>IFERROR(__xludf.DUMMYFUNCTION("""COMPUTED_VALUE"""),"""beauty reviews  Venice"",")</f>
        <v>"beauty reviews  Venice",</v>
      </c>
    </row>
    <row r="605">
      <c r="A605" s="8" t="str">
        <f>IFERROR(__xludf.DUMMYFUNCTION("""COMPUTED_VALUE"""),"""make-up artist Venice"",")</f>
        <v>"make-up artist Venice",</v>
      </c>
    </row>
    <row r="606">
      <c r="A606" s="8" t="str">
        <f>IFERROR(__xludf.DUMMYFUNCTION("""COMPUTED_VALUE"""),"""skincare journey Venice"",")</f>
        <v>"skincare journey Venice",</v>
      </c>
    </row>
    <row r="607">
      <c r="A607" s="8" t="str">
        <f>IFERROR(__xludf.DUMMYFUNCTION("""COMPUTED_VALUE"""),"""hair tutorial Venice"",")</f>
        <v>"hair tutorial Venice",</v>
      </c>
    </row>
    <row r="608">
      <c r="A608" s="8" t="str">
        <f>IFERROR(__xludf.DUMMYFUNCTION("""COMPUTED_VALUE"""),"""barbershop Venice"",")</f>
        <v>"barbershop Venice",</v>
      </c>
    </row>
    <row r="609">
      <c r="A609" s="8" t="str">
        <f>IFERROR(__xludf.DUMMYFUNCTION("""COMPUTED_VALUE"""),"""ootd Vienna"",")</f>
        <v>"ootd Vienna",</v>
      </c>
    </row>
    <row r="610">
      <c r="A610" s="8" t="str">
        <f>IFERROR(__xludf.DUMMYFUNCTION("""COMPUTED_VALUE"""),"""street style Vienna"",")</f>
        <v>"street style Vienna",</v>
      </c>
    </row>
    <row r="611">
      <c r="A611" s="8" t="str">
        <f>IFERROR(__xludf.DUMMYFUNCTION("""COMPUTED_VALUE"""),"""skincare Vienna"",")</f>
        <v>"skincare Vienna",</v>
      </c>
    </row>
    <row r="612">
      <c r="A612" s="8" t="str">
        <f>IFERROR(__xludf.DUMMYFUNCTION("""COMPUTED_VALUE"""),"""makeup Vienna"",")</f>
        <v>"makeup Vienna",</v>
      </c>
    </row>
    <row r="613">
      <c r="A613" s="8" t="str">
        <f>IFERROR(__xludf.DUMMYFUNCTION("""COMPUTED_VALUE"""),"""nails Vienna"",")</f>
        <v>"nails Vienna",</v>
      </c>
    </row>
    <row r="614">
      <c r="A614" s="8" t="str">
        <f>IFERROR(__xludf.DUMMYFUNCTION("""COMPUTED_VALUE"""),"""curly hair Vienna"",")</f>
        <v>"curly hair Vienna",</v>
      </c>
    </row>
    <row r="615">
      <c r="A615" s="8" t="str">
        <f>IFERROR(__xludf.DUMMYFUNCTION("""COMPUTED_VALUE"""),"""thrift Vienna"",")</f>
        <v>"thrift Vienna",</v>
      </c>
    </row>
    <row r="616">
      <c r="A616" s="8" t="str">
        <f>IFERROR(__xludf.DUMMYFUNCTION("""COMPUTED_VALUE"""),"""streetwear Vienna"",")</f>
        <v>"streetwear Vienna",</v>
      </c>
    </row>
    <row r="617">
      <c r="A617" s="8" t="str">
        <f>IFERROR(__xludf.DUMMYFUNCTION("""COMPUTED_VALUE"""),"""luxury Vienna"",")</f>
        <v>"luxury Vienna",</v>
      </c>
    </row>
    <row r="618">
      <c r="A618" s="8" t="str">
        <f>IFERROR(__xludf.DUMMYFUNCTION("""COMPUTED_VALUE"""),"""handbags Vienna"",")</f>
        <v>"handbags Vienna",</v>
      </c>
    </row>
    <row r="619">
      <c r="A619" s="8" t="str">
        <f>IFERROR(__xludf.DUMMYFUNCTION("""COMPUTED_VALUE"""),"""sneakers Vienna"",")</f>
        <v>"sneakers Vienna",</v>
      </c>
    </row>
    <row r="620">
      <c r="A620" s="8" t="str">
        <f>IFERROR(__xludf.DUMMYFUNCTION("""COMPUTED_VALUE"""),"""high heels Vienna"",")</f>
        <v>"high heels Vienna",</v>
      </c>
    </row>
    <row r="621">
      <c r="A621" s="8" t="str">
        <f>IFERROR(__xludf.DUMMYFUNCTION("""COMPUTED_VALUE"""),"""haute-couture Vienna"",")</f>
        <v>"haute-couture Vienna",</v>
      </c>
    </row>
    <row r="622">
      <c r="A622" s="8" t="str">
        <f>IFERROR(__xludf.DUMMYFUNCTION("""COMPUTED_VALUE"""),"""diyfashion Vienna"",")</f>
        <v>"diyfashion Vienna",</v>
      </c>
    </row>
    <row r="623">
      <c r="A623" s="8" t="str">
        <f>IFERROR(__xludf.DUMMYFUNCTION("""COMPUTED_VALUE"""),"""accessories Vienna"",")</f>
        <v>"accessories Vienna",</v>
      </c>
    </row>
    <row r="624">
      <c r="A624" s="8" t="str">
        <f>IFERROR(__xludf.DUMMYFUNCTION("""COMPUTED_VALUE"""),"""menswear Vienna"",")</f>
        <v>"menswear Vienna",</v>
      </c>
    </row>
    <row r="625">
      <c r="A625" s="8" t="str">
        <f>IFERROR(__xludf.DUMMYFUNCTION("""COMPUTED_VALUE"""),"""womenswear Vienna"",")</f>
        <v>"womenswear Vienna",</v>
      </c>
    </row>
    <row r="626">
      <c r="A626" s="8" t="str">
        <f>IFERROR(__xludf.DUMMYFUNCTION("""COMPUTED_VALUE"""),"""moda Vienna"",")</f>
        <v>"moda Vienna",</v>
      </c>
    </row>
    <row r="627">
      <c r="A627" s="8" t="str">
        <f>IFERROR(__xludf.DUMMYFUNCTION("""COMPUTED_VALUE"""),"""hairstyle Vienna"",")</f>
        <v>"hairstyle Vienna",</v>
      </c>
    </row>
    <row r="628">
      <c r="A628" s="8" t="str">
        <f>IFERROR(__xludf.DUMMYFUNCTION("""COMPUTED_VALUE"""),"""perfume Vienna"",")</f>
        <v>"perfume Vienna",</v>
      </c>
    </row>
    <row r="629">
      <c r="A629" s="8" t="str">
        <f>IFERROR(__xludf.DUMMYFUNCTION("""COMPUTED_VALUE"""),"""cosmetiques Vienna"",")</f>
        <v>"cosmetiques Vienna",</v>
      </c>
    </row>
    <row r="630">
      <c r="A630" s="8" t="str">
        <f>IFERROR(__xludf.DUMMYFUNCTION("""COMPUTED_VALUE"""),"""beauty routine Vienna"",")</f>
        <v>"beauty routine Vienna",</v>
      </c>
    </row>
    <row r="631">
      <c r="A631" s="8" t="str">
        <f>IFERROR(__xludf.DUMMYFUNCTION("""COMPUTED_VALUE"""),"""natural beauty Vienna"",")</f>
        <v>"natural beauty Vienna",</v>
      </c>
    </row>
    <row r="632">
      <c r="A632" s="8" t="str">
        <f>IFERROR(__xludf.DUMMYFUNCTION("""COMPUTED_VALUE"""),"""organic beauty Vienna"",")</f>
        <v>"organic beauty Vienna",</v>
      </c>
    </row>
    <row r="633">
      <c r="A633" s="8" t="str">
        <f>IFERROR(__xludf.DUMMYFUNCTION("""COMPUTED_VALUE"""),"""sustainable fashion Vienna"",")</f>
        <v>"sustainable fashion Vienna",</v>
      </c>
    </row>
    <row r="634">
      <c r="A634" s="8" t="str">
        <f>IFERROR(__xludf.DUMMYFUNCTION("""COMPUTED_VALUE"""),"""fashion hacks Vienna"",")</f>
        <v>"fashion hacks Vienna",</v>
      </c>
    </row>
    <row r="635">
      <c r="A635" s="8" t="str">
        <f>IFERROR(__xludf.DUMMYFUNCTION("""COMPUTED_VALUE"""),"""capsule wardrobe Vienna"",")</f>
        <v>"capsule wardrobe Vienna",</v>
      </c>
    </row>
    <row r="636">
      <c r="A636" s="8" t="str">
        <f>IFERROR(__xludf.DUMMYFUNCTION("""COMPUTED_VALUE"""),"""fashion trends Vienna"",")</f>
        <v>"fashion trends Vienna",</v>
      </c>
    </row>
    <row r="637">
      <c r="A637" s="8" t="str">
        <f>IFERROR(__xludf.DUMMYFUNCTION("""COMPUTED_VALUE"""),"""minimalist fashion Vienna"",")</f>
        <v>"minimalist fashion Vienna",</v>
      </c>
    </row>
    <row r="638">
      <c r="A638" s="8" t="str">
        <f>IFERROR(__xludf.DUMMYFUNCTION("""COMPUTED_VALUE"""),"""beauty hacks Vienna"",")</f>
        <v>"beauty hacks Vienna",</v>
      </c>
    </row>
    <row r="639">
      <c r="A639" s="9" t="str">
        <f>IFERROR(__xludf.DUMMYFUNCTION("""COMPUTED_VALUE"""),"""hair routines Vienna"",")</f>
        <v>"hair routines Vienna",</v>
      </c>
    </row>
    <row r="640">
      <c r="A640" s="8" t="str">
        <f>IFERROR(__xludf.DUMMYFUNCTION("""COMPUTED_VALUE"""),"""empties Vienna"",")</f>
        <v>"empties Vienna",</v>
      </c>
    </row>
    <row r="641">
      <c r="A641" s="8" t="str">
        <f>IFERROR(__xludf.DUMMYFUNCTION("""COMPUTED_VALUE"""),"""product reviews Vienna"",")</f>
        <v>"product reviews Vienna",</v>
      </c>
    </row>
    <row r="642">
      <c r="A642" s="8" t="str">
        <f>IFERROR(__xludf.DUMMYFUNCTION("""COMPUTED_VALUE"""),"""beauty reviews  Vienna"",")</f>
        <v>"beauty reviews  Vienna",</v>
      </c>
    </row>
    <row r="643">
      <c r="A643" s="8" t="str">
        <f>IFERROR(__xludf.DUMMYFUNCTION("""COMPUTED_VALUE"""),"""make-up artist Vienna"",")</f>
        <v>"make-up artist Vienna",</v>
      </c>
    </row>
    <row r="644">
      <c r="A644" s="8" t="str">
        <f>IFERROR(__xludf.DUMMYFUNCTION("""COMPUTED_VALUE"""),"""skincare journey Vienna"",")</f>
        <v>"skincare journey Vienna",</v>
      </c>
    </row>
    <row r="645">
      <c r="A645" s="8" t="str">
        <f>IFERROR(__xludf.DUMMYFUNCTION("""COMPUTED_VALUE"""),"""hair tutorial Vienna"",")</f>
        <v>"hair tutorial Vienna",</v>
      </c>
    </row>
    <row r="646">
      <c r="A646" s="8" t="str">
        <f>IFERROR(__xludf.DUMMYFUNCTION("""COMPUTED_VALUE"""),"""barbershop Vienna"",")</f>
        <v>"barbershop Vienna",</v>
      </c>
    </row>
    <row r="647">
      <c r="A647" s="8" t="str">
        <f>IFERROR(__xludf.DUMMYFUNCTION("""COMPUTED_VALUE"""),"""ootd Prague"",")</f>
        <v>"ootd Prague",</v>
      </c>
    </row>
    <row r="648">
      <c r="A648" s="8" t="str">
        <f>IFERROR(__xludf.DUMMYFUNCTION("""COMPUTED_VALUE"""),"""street style Prague"",")</f>
        <v>"street style Prague",</v>
      </c>
    </row>
    <row r="649">
      <c r="A649" s="8" t="str">
        <f>IFERROR(__xludf.DUMMYFUNCTION("""COMPUTED_VALUE"""),"""skincare Prague"",")</f>
        <v>"skincare Prague",</v>
      </c>
    </row>
    <row r="650">
      <c r="A650" s="8" t="str">
        <f>IFERROR(__xludf.DUMMYFUNCTION("""COMPUTED_VALUE"""),"""makeup Prague"",")</f>
        <v>"makeup Prague",</v>
      </c>
    </row>
    <row r="651">
      <c r="A651" s="8" t="str">
        <f>IFERROR(__xludf.DUMMYFUNCTION("""COMPUTED_VALUE"""),"""nails Prague"",")</f>
        <v>"nails Prague",</v>
      </c>
    </row>
    <row r="652">
      <c r="A652" s="8" t="str">
        <f>IFERROR(__xludf.DUMMYFUNCTION("""COMPUTED_VALUE"""),"""curly hair Prague"",")</f>
        <v>"curly hair Prague",</v>
      </c>
    </row>
    <row r="653">
      <c r="A653" s="8" t="str">
        <f>IFERROR(__xludf.DUMMYFUNCTION("""COMPUTED_VALUE"""),"""thrift Prague"",")</f>
        <v>"thrift Prague",</v>
      </c>
    </row>
    <row r="654">
      <c r="A654" s="8" t="str">
        <f>IFERROR(__xludf.DUMMYFUNCTION("""COMPUTED_VALUE"""),"""streetwear Prague"",")</f>
        <v>"streetwear Prague",</v>
      </c>
    </row>
    <row r="655">
      <c r="A655" s="8" t="str">
        <f>IFERROR(__xludf.DUMMYFUNCTION("""COMPUTED_VALUE"""),"""luxury Prague"",")</f>
        <v>"luxury Prague",</v>
      </c>
    </row>
    <row r="656">
      <c r="A656" s="8" t="str">
        <f>IFERROR(__xludf.DUMMYFUNCTION("""COMPUTED_VALUE"""),"""handbags Prague"",")</f>
        <v>"handbags Prague",</v>
      </c>
    </row>
    <row r="657">
      <c r="A657" s="8" t="str">
        <f>IFERROR(__xludf.DUMMYFUNCTION("""COMPUTED_VALUE"""),"""sneakers Prague"",")</f>
        <v>"sneakers Prague",</v>
      </c>
    </row>
    <row r="658">
      <c r="A658" s="8" t="str">
        <f>IFERROR(__xludf.DUMMYFUNCTION("""COMPUTED_VALUE"""),"""high heels Prague"",")</f>
        <v>"high heels Prague",</v>
      </c>
    </row>
    <row r="659">
      <c r="A659" s="8" t="str">
        <f>IFERROR(__xludf.DUMMYFUNCTION("""COMPUTED_VALUE"""),"""haute-couture Prague"",")</f>
        <v>"haute-couture Prague",</v>
      </c>
    </row>
    <row r="660">
      <c r="A660" s="8" t="str">
        <f>IFERROR(__xludf.DUMMYFUNCTION("""COMPUTED_VALUE"""),"""diyfashion Prague"",")</f>
        <v>"diyfashion Prague",</v>
      </c>
    </row>
    <row r="661">
      <c r="A661" s="8" t="str">
        <f>IFERROR(__xludf.DUMMYFUNCTION("""COMPUTED_VALUE"""),"""accessories Prague"",")</f>
        <v>"accessories Prague",</v>
      </c>
    </row>
    <row r="662">
      <c r="A662" s="8" t="str">
        <f>IFERROR(__xludf.DUMMYFUNCTION("""COMPUTED_VALUE"""),"""menswear Prague"",")</f>
        <v>"menswear Prague",</v>
      </c>
    </row>
    <row r="663">
      <c r="A663" s="8" t="str">
        <f>IFERROR(__xludf.DUMMYFUNCTION("""COMPUTED_VALUE"""),"""womenswear Prague"",")</f>
        <v>"womenswear Prague",</v>
      </c>
    </row>
    <row r="664">
      <c r="A664" s="8" t="str">
        <f>IFERROR(__xludf.DUMMYFUNCTION("""COMPUTED_VALUE"""),"""moda Prague"",")</f>
        <v>"moda Prague",</v>
      </c>
    </row>
    <row r="665">
      <c r="A665" s="8" t="str">
        <f>IFERROR(__xludf.DUMMYFUNCTION("""COMPUTED_VALUE"""),"""hairstyle Prague"",")</f>
        <v>"hairstyle Prague",</v>
      </c>
    </row>
    <row r="666">
      <c r="A666" s="8" t="str">
        <f>IFERROR(__xludf.DUMMYFUNCTION("""COMPUTED_VALUE"""),"""perfume Prague"",")</f>
        <v>"perfume Prague",</v>
      </c>
    </row>
    <row r="667">
      <c r="A667" s="8" t="str">
        <f>IFERROR(__xludf.DUMMYFUNCTION("""COMPUTED_VALUE"""),"""cosmetiques Prague"",")</f>
        <v>"cosmetiques Prague",</v>
      </c>
    </row>
    <row r="668">
      <c r="A668" s="8" t="str">
        <f>IFERROR(__xludf.DUMMYFUNCTION("""COMPUTED_VALUE"""),"""beauty routine Prague"",")</f>
        <v>"beauty routine Prague",</v>
      </c>
    </row>
    <row r="669">
      <c r="A669" s="8" t="str">
        <f>IFERROR(__xludf.DUMMYFUNCTION("""COMPUTED_VALUE"""),"""natural beauty Prague"",")</f>
        <v>"natural beauty Prague",</v>
      </c>
    </row>
    <row r="670">
      <c r="A670" s="8" t="str">
        <f>IFERROR(__xludf.DUMMYFUNCTION("""COMPUTED_VALUE"""),"""organic beauty Prague"",")</f>
        <v>"organic beauty Prague",</v>
      </c>
    </row>
    <row r="671">
      <c r="A671" s="8" t="str">
        <f>IFERROR(__xludf.DUMMYFUNCTION("""COMPUTED_VALUE"""),"""sustainable fashion Prague"",")</f>
        <v>"sustainable fashion Prague",</v>
      </c>
    </row>
    <row r="672">
      <c r="A672" s="8" t="str">
        <f>IFERROR(__xludf.DUMMYFUNCTION("""COMPUTED_VALUE"""),"""fashion hacks Prague"",")</f>
        <v>"fashion hacks Prague",</v>
      </c>
    </row>
    <row r="673">
      <c r="A673" s="8" t="str">
        <f>IFERROR(__xludf.DUMMYFUNCTION("""COMPUTED_VALUE"""),"""capsule wardrobe Prague"",")</f>
        <v>"capsule wardrobe Prague",</v>
      </c>
    </row>
    <row r="674">
      <c r="A674" s="8" t="str">
        <f>IFERROR(__xludf.DUMMYFUNCTION("""COMPUTED_VALUE"""),"""fashion trends Prague"",")</f>
        <v>"fashion trends Prague",</v>
      </c>
    </row>
    <row r="675">
      <c r="A675" s="8" t="str">
        <f>IFERROR(__xludf.DUMMYFUNCTION("""COMPUTED_VALUE"""),"""minimalist fashion Prague"",")</f>
        <v>"minimalist fashion Prague",</v>
      </c>
    </row>
    <row r="676">
      <c r="A676" s="8" t="str">
        <f>IFERROR(__xludf.DUMMYFUNCTION("""COMPUTED_VALUE"""),"""beauty hacks Prague"",")</f>
        <v>"beauty hacks Prague",</v>
      </c>
    </row>
    <row r="677">
      <c r="A677" s="8" t="str">
        <f>IFERROR(__xludf.DUMMYFUNCTION("""COMPUTED_VALUE"""),"""hair routines Prague"",")</f>
        <v>"hair routines Prague",</v>
      </c>
    </row>
    <row r="678">
      <c r="A678" s="8" t="str">
        <f>IFERROR(__xludf.DUMMYFUNCTION("""COMPUTED_VALUE"""),"""empties Prague"",")</f>
        <v>"empties Prague",</v>
      </c>
    </row>
    <row r="679">
      <c r="A679" s="8" t="str">
        <f>IFERROR(__xludf.DUMMYFUNCTION("""COMPUTED_VALUE"""),"""product reviews Prague"",")</f>
        <v>"product reviews Prague",</v>
      </c>
    </row>
    <row r="680">
      <c r="A680" s="8" t="str">
        <f>IFERROR(__xludf.DUMMYFUNCTION("""COMPUTED_VALUE"""),"""beauty reviews  Prague"",")</f>
        <v>"beauty reviews  Prague",</v>
      </c>
    </row>
    <row r="681">
      <c r="A681" s="8" t="str">
        <f>IFERROR(__xludf.DUMMYFUNCTION("""COMPUTED_VALUE"""),"""make-up artist Prague"",")</f>
        <v>"make-up artist Prague",</v>
      </c>
    </row>
    <row r="682">
      <c r="A682" s="8" t="str">
        <f>IFERROR(__xludf.DUMMYFUNCTION("""COMPUTED_VALUE"""),"""skincare journey Prague"",")</f>
        <v>"skincare journey Prague",</v>
      </c>
    </row>
    <row r="683">
      <c r="A683" s="8" t="str">
        <f>IFERROR(__xludf.DUMMYFUNCTION("""COMPUTED_VALUE"""),"""hair tutorial Prague"",")</f>
        <v>"hair tutorial Prague",</v>
      </c>
    </row>
    <row r="684">
      <c r="A684" s="8" t="str">
        <f>IFERROR(__xludf.DUMMYFUNCTION("""COMPUTED_VALUE"""),"""barbershop Prague"",")</f>
        <v>"barbershop Prague",</v>
      </c>
    </row>
    <row r="685">
      <c r="A685" s="8" t="str">
        <f>IFERROR(__xludf.DUMMYFUNCTION("""COMPUTED_VALUE"""),"""ootd Budapest"",")</f>
        <v>"ootd Budapest",</v>
      </c>
    </row>
    <row r="686">
      <c r="A686" s="8" t="str">
        <f>IFERROR(__xludf.DUMMYFUNCTION("""COMPUTED_VALUE"""),"""street style Budapest"",")</f>
        <v>"street style Budapest",</v>
      </c>
    </row>
    <row r="687">
      <c r="A687" s="8" t="str">
        <f>IFERROR(__xludf.DUMMYFUNCTION("""COMPUTED_VALUE"""),"""skincare Budapest"",")</f>
        <v>"skincare Budapest",</v>
      </c>
    </row>
    <row r="688">
      <c r="A688" s="8" t="str">
        <f>IFERROR(__xludf.DUMMYFUNCTION("""COMPUTED_VALUE"""),"""makeup Budapest"",")</f>
        <v>"makeup Budapest",</v>
      </c>
    </row>
    <row r="689">
      <c r="A689" s="8" t="str">
        <f>IFERROR(__xludf.DUMMYFUNCTION("""COMPUTED_VALUE"""),"""nails Budapest"",")</f>
        <v>"nails Budapest",</v>
      </c>
    </row>
    <row r="690">
      <c r="A690" s="8" t="str">
        <f>IFERROR(__xludf.DUMMYFUNCTION("""COMPUTED_VALUE"""),"""curly hair Budapest"",")</f>
        <v>"curly hair Budapest",</v>
      </c>
    </row>
    <row r="691">
      <c r="A691" s="8" t="str">
        <f>IFERROR(__xludf.DUMMYFUNCTION("""COMPUTED_VALUE"""),"""thrift Budapest"",")</f>
        <v>"thrift Budapest",</v>
      </c>
    </row>
    <row r="692">
      <c r="A692" s="8" t="str">
        <f>IFERROR(__xludf.DUMMYFUNCTION("""COMPUTED_VALUE"""),"""streetwear Budapest"",")</f>
        <v>"streetwear Budapest",</v>
      </c>
    </row>
    <row r="693">
      <c r="A693" s="8" t="str">
        <f>IFERROR(__xludf.DUMMYFUNCTION("""COMPUTED_VALUE"""),"""luxury Budapest"",")</f>
        <v>"luxury Budapest",</v>
      </c>
    </row>
    <row r="694">
      <c r="A694" s="8" t="str">
        <f>IFERROR(__xludf.DUMMYFUNCTION("""COMPUTED_VALUE"""),"""handbags Budapest"",")</f>
        <v>"handbags Budapest",</v>
      </c>
    </row>
    <row r="695">
      <c r="A695" s="8" t="str">
        <f>IFERROR(__xludf.DUMMYFUNCTION("""COMPUTED_VALUE"""),"""sneakers Budapest"",")</f>
        <v>"sneakers Budapest",</v>
      </c>
    </row>
    <row r="696">
      <c r="A696" s="8" t="str">
        <f>IFERROR(__xludf.DUMMYFUNCTION("""COMPUTED_VALUE"""),"""high heels Budapest"",")</f>
        <v>"high heels Budapest",</v>
      </c>
    </row>
    <row r="697">
      <c r="A697" s="8" t="str">
        <f>IFERROR(__xludf.DUMMYFUNCTION("""COMPUTED_VALUE"""),"""haute-couture Budapest"",")</f>
        <v>"haute-couture Budapest",</v>
      </c>
    </row>
    <row r="698">
      <c r="A698" s="8" t="str">
        <f>IFERROR(__xludf.DUMMYFUNCTION("""COMPUTED_VALUE"""),"""diyfashion Budapest"",")</f>
        <v>"diyfashion Budapest",</v>
      </c>
    </row>
    <row r="699">
      <c r="A699" s="8" t="str">
        <f>IFERROR(__xludf.DUMMYFUNCTION("""COMPUTED_VALUE"""),"""accessories Budapest"",")</f>
        <v>"accessories Budapest",</v>
      </c>
    </row>
    <row r="700">
      <c r="A700" s="8" t="str">
        <f>IFERROR(__xludf.DUMMYFUNCTION("""COMPUTED_VALUE"""),"""menswear Budapest"",")</f>
        <v>"menswear Budapest",</v>
      </c>
    </row>
    <row r="701">
      <c r="A701" s="8" t="str">
        <f>IFERROR(__xludf.DUMMYFUNCTION("""COMPUTED_VALUE"""),"""womenswear Budapest"",")</f>
        <v>"womenswear Budapest",</v>
      </c>
    </row>
    <row r="702">
      <c r="A702" s="8" t="str">
        <f>IFERROR(__xludf.DUMMYFUNCTION("""COMPUTED_VALUE"""),"""moda Budapest"",")</f>
        <v>"moda Budapest",</v>
      </c>
    </row>
    <row r="703">
      <c r="A703" s="8" t="str">
        <f>IFERROR(__xludf.DUMMYFUNCTION("""COMPUTED_VALUE"""),"""hairstyle Budapest"",")</f>
        <v>"hairstyle Budapest",</v>
      </c>
    </row>
    <row r="704">
      <c r="A704" s="8" t="str">
        <f>IFERROR(__xludf.DUMMYFUNCTION("""COMPUTED_VALUE"""),"""perfume Budapest"",")</f>
        <v>"perfume Budapest",</v>
      </c>
    </row>
    <row r="705">
      <c r="A705" s="8" t="str">
        <f>IFERROR(__xludf.DUMMYFUNCTION("""COMPUTED_VALUE"""),"""cosmetiques Budapest"",")</f>
        <v>"cosmetiques Budapest",</v>
      </c>
    </row>
    <row r="706">
      <c r="A706" s="8" t="str">
        <f>IFERROR(__xludf.DUMMYFUNCTION("""COMPUTED_VALUE"""),"""beauty routine Budapest"",")</f>
        <v>"beauty routine Budapest",</v>
      </c>
    </row>
    <row r="707">
      <c r="A707" s="8" t="str">
        <f>IFERROR(__xludf.DUMMYFUNCTION("""COMPUTED_VALUE"""),"""natural beauty Budapest"",")</f>
        <v>"natural beauty Budapest",</v>
      </c>
    </row>
    <row r="708">
      <c r="A708" s="8" t="str">
        <f>IFERROR(__xludf.DUMMYFUNCTION("""COMPUTED_VALUE"""),"""organic beauty Budapest"",")</f>
        <v>"organic beauty Budapest",</v>
      </c>
    </row>
    <row r="709">
      <c r="A709" s="8" t="str">
        <f>IFERROR(__xludf.DUMMYFUNCTION("""COMPUTED_VALUE"""),"""sustainable fashion Budapest"",")</f>
        <v>"sustainable fashion Budapest",</v>
      </c>
    </row>
    <row r="710">
      <c r="A710" s="8" t="str">
        <f>IFERROR(__xludf.DUMMYFUNCTION("""COMPUTED_VALUE"""),"""fashion hacks Budapest"",")</f>
        <v>"fashion hacks Budapest",</v>
      </c>
    </row>
    <row r="711">
      <c r="A711" s="8" t="str">
        <f>IFERROR(__xludf.DUMMYFUNCTION("""COMPUTED_VALUE"""),"""capsule wardrobe Budapest"",")</f>
        <v>"capsule wardrobe Budapest",</v>
      </c>
    </row>
    <row r="712">
      <c r="A712" s="8" t="str">
        <f>IFERROR(__xludf.DUMMYFUNCTION("""COMPUTED_VALUE"""),"""fashion trends Budapest"",")</f>
        <v>"fashion trends Budapest",</v>
      </c>
    </row>
    <row r="713">
      <c r="A713" s="8" t="str">
        <f>IFERROR(__xludf.DUMMYFUNCTION("""COMPUTED_VALUE"""),"""minimalist fashion Budapest"",")</f>
        <v>"minimalist fashion Budapest",</v>
      </c>
    </row>
    <row r="714">
      <c r="A714" s="8" t="str">
        <f>IFERROR(__xludf.DUMMYFUNCTION("""COMPUTED_VALUE"""),"""beauty hacks Budapest"",")</f>
        <v>"beauty hacks Budapest",</v>
      </c>
    </row>
    <row r="715">
      <c r="A715" s="8" t="str">
        <f>IFERROR(__xludf.DUMMYFUNCTION("""COMPUTED_VALUE"""),"""hair routines Budapest"",")</f>
        <v>"hair routines Budapest",</v>
      </c>
    </row>
    <row r="716">
      <c r="A716" s="8" t="str">
        <f>IFERROR(__xludf.DUMMYFUNCTION("""COMPUTED_VALUE"""),"""empties Budapest"",")</f>
        <v>"empties Budapest",</v>
      </c>
    </row>
    <row r="717">
      <c r="A717" s="8" t="str">
        <f>IFERROR(__xludf.DUMMYFUNCTION("""COMPUTED_VALUE"""),"""product reviews Budapest"",")</f>
        <v>"product reviews Budapest",</v>
      </c>
    </row>
    <row r="718">
      <c r="A718" s="8" t="str">
        <f>IFERROR(__xludf.DUMMYFUNCTION("""COMPUTED_VALUE"""),"""beauty reviews  Budapest"",")</f>
        <v>"beauty reviews  Budapest",</v>
      </c>
    </row>
    <row r="719">
      <c r="A719" s="8" t="str">
        <f>IFERROR(__xludf.DUMMYFUNCTION("""COMPUTED_VALUE"""),"""make-up artist Budapest"",")</f>
        <v>"make-up artist Budapest",</v>
      </c>
    </row>
    <row r="720">
      <c r="A720" s="8" t="str">
        <f>IFERROR(__xludf.DUMMYFUNCTION("""COMPUTED_VALUE"""),"""skincare journey Budapest"",")</f>
        <v>"skincare journey Budapest",</v>
      </c>
    </row>
    <row r="721">
      <c r="A721" s="8" t="str">
        <f>IFERROR(__xludf.DUMMYFUNCTION("""COMPUTED_VALUE"""),"""hair tutorial Budapest"",")</f>
        <v>"hair tutorial Budapest",</v>
      </c>
    </row>
    <row r="722">
      <c r="A722" s="8" t="str">
        <f>IFERROR(__xludf.DUMMYFUNCTION("""COMPUTED_VALUE"""),"""barbershop Budapest"",")</f>
        <v>"barbershop Budapest",</v>
      </c>
    </row>
    <row r="723">
      <c r="A723" s="8" t="str">
        <f>IFERROR(__xludf.DUMMYFUNCTION("""COMPUTED_VALUE"""),"""ootd Zurich"",")</f>
        <v>"ootd Zurich",</v>
      </c>
    </row>
    <row r="724">
      <c r="A724" s="8" t="str">
        <f>IFERROR(__xludf.DUMMYFUNCTION("""COMPUTED_VALUE"""),"""street style Zurich"",")</f>
        <v>"street style Zurich",</v>
      </c>
    </row>
    <row r="725">
      <c r="A725" s="8" t="str">
        <f>IFERROR(__xludf.DUMMYFUNCTION("""COMPUTED_VALUE"""),"""skincare Zurich"",")</f>
        <v>"skincare Zurich",</v>
      </c>
    </row>
    <row r="726">
      <c r="A726" s="8" t="str">
        <f>IFERROR(__xludf.DUMMYFUNCTION("""COMPUTED_VALUE"""),"""makeup Zurich"",")</f>
        <v>"makeup Zurich",</v>
      </c>
    </row>
    <row r="727">
      <c r="A727" s="8" t="str">
        <f>IFERROR(__xludf.DUMMYFUNCTION("""COMPUTED_VALUE"""),"""nails Zurich"",")</f>
        <v>"nails Zurich",</v>
      </c>
    </row>
    <row r="728">
      <c r="A728" s="8" t="str">
        <f>IFERROR(__xludf.DUMMYFUNCTION("""COMPUTED_VALUE"""),"""curly hair Zurich"",")</f>
        <v>"curly hair Zurich",</v>
      </c>
    </row>
    <row r="729">
      <c r="A729" s="8" t="str">
        <f>IFERROR(__xludf.DUMMYFUNCTION("""COMPUTED_VALUE"""),"""thrift Zurich"",")</f>
        <v>"thrift Zurich",</v>
      </c>
    </row>
    <row r="730">
      <c r="A730" s="8" t="str">
        <f>IFERROR(__xludf.DUMMYFUNCTION("""COMPUTED_VALUE"""),"""streetwear Zurich"",")</f>
        <v>"streetwear Zurich",</v>
      </c>
    </row>
    <row r="731">
      <c r="A731" s="8" t="str">
        <f>IFERROR(__xludf.DUMMYFUNCTION("""COMPUTED_VALUE"""),"""luxury Zurich"",")</f>
        <v>"luxury Zurich",</v>
      </c>
    </row>
    <row r="732">
      <c r="A732" s="8" t="str">
        <f>IFERROR(__xludf.DUMMYFUNCTION("""COMPUTED_VALUE"""),"""handbags Zurich"",")</f>
        <v>"handbags Zurich",</v>
      </c>
    </row>
    <row r="733">
      <c r="A733" s="8" t="str">
        <f>IFERROR(__xludf.DUMMYFUNCTION("""COMPUTED_VALUE"""),"""sneakers Zurich"",")</f>
        <v>"sneakers Zurich",</v>
      </c>
    </row>
    <row r="734">
      <c r="A734" s="8" t="str">
        <f>IFERROR(__xludf.DUMMYFUNCTION("""COMPUTED_VALUE"""),"""high heels Zurich"",")</f>
        <v>"high heels Zurich",</v>
      </c>
    </row>
    <row r="735">
      <c r="A735" s="8" t="str">
        <f>IFERROR(__xludf.DUMMYFUNCTION("""COMPUTED_VALUE"""),"""haute-couture Zurich"",")</f>
        <v>"haute-couture Zurich",</v>
      </c>
    </row>
    <row r="736">
      <c r="A736" s="8" t="str">
        <f>IFERROR(__xludf.DUMMYFUNCTION("""COMPUTED_VALUE"""),"""diyfashion Zurich"",")</f>
        <v>"diyfashion Zurich",</v>
      </c>
    </row>
    <row r="737">
      <c r="A737" s="8" t="str">
        <f>IFERROR(__xludf.DUMMYFUNCTION("""COMPUTED_VALUE"""),"""accessories Zurich"",")</f>
        <v>"accessories Zurich",</v>
      </c>
    </row>
    <row r="738">
      <c r="A738" s="8" t="str">
        <f>IFERROR(__xludf.DUMMYFUNCTION("""COMPUTED_VALUE"""),"""menswear Zurich"",")</f>
        <v>"menswear Zurich",</v>
      </c>
    </row>
    <row r="739">
      <c r="A739" s="8" t="str">
        <f>IFERROR(__xludf.DUMMYFUNCTION("""COMPUTED_VALUE"""),"""womenswear Zurich"",")</f>
        <v>"womenswear Zurich",</v>
      </c>
    </row>
    <row r="740">
      <c r="A740" s="8" t="str">
        <f>IFERROR(__xludf.DUMMYFUNCTION("""COMPUTED_VALUE"""),"""moda Zurich"",")</f>
        <v>"moda Zurich",</v>
      </c>
    </row>
    <row r="741">
      <c r="A741" s="8" t="str">
        <f>IFERROR(__xludf.DUMMYFUNCTION("""COMPUTED_VALUE"""),"""hairstyle Zurich"",")</f>
        <v>"hairstyle Zurich",</v>
      </c>
    </row>
    <row r="742">
      <c r="A742" s="8" t="str">
        <f>IFERROR(__xludf.DUMMYFUNCTION("""COMPUTED_VALUE"""),"""perfume Zurich"",")</f>
        <v>"perfume Zurich",</v>
      </c>
    </row>
    <row r="743">
      <c r="A743" s="8" t="str">
        <f>IFERROR(__xludf.DUMMYFUNCTION("""COMPUTED_VALUE"""),"""cosmetiques Zurich"",")</f>
        <v>"cosmetiques Zurich",</v>
      </c>
    </row>
    <row r="744">
      <c r="A744" s="8" t="str">
        <f>IFERROR(__xludf.DUMMYFUNCTION("""COMPUTED_VALUE"""),"""beauty routine Zurich"",")</f>
        <v>"beauty routine Zurich",</v>
      </c>
    </row>
    <row r="745">
      <c r="A745" s="8" t="str">
        <f>IFERROR(__xludf.DUMMYFUNCTION("""COMPUTED_VALUE"""),"""natural beauty Zurich"",")</f>
        <v>"natural beauty Zurich",</v>
      </c>
    </row>
    <row r="746">
      <c r="A746" s="8" t="str">
        <f>IFERROR(__xludf.DUMMYFUNCTION("""COMPUTED_VALUE"""),"""organic beauty Zurich"",")</f>
        <v>"organic beauty Zurich",</v>
      </c>
    </row>
    <row r="747">
      <c r="A747" s="8" t="str">
        <f>IFERROR(__xludf.DUMMYFUNCTION("""COMPUTED_VALUE"""),"""sustainable fashion Zurich"",")</f>
        <v>"sustainable fashion Zurich",</v>
      </c>
    </row>
    <row r="748">
      <c r="A748" s="8" t="str">
        <f>IFERROR(__xludf.DUMMYFUNCTION("""COMPUTED_VALUE"""),"""fashion hacks Zurich"",")</f>
        <v>"fashion hacks Zurich",</v>
      </c>
    </row>
    <row r="749">
      <c r="A749" s="8" t="str">
        <f>IFERROR(__xludf.DUMMYFUNCTION("""COMPUTED_VALUE"""),"""capsule wardrobe Zurich"",")</f>
        <v>"capsule wardrobe Zurich",</v>
      </c>
    </row>
    <row r="750">
      <c r="A750" s="8" t="str">
        <f>IFERROR(__xludf.DUMMYFUNCTION("""COMPUTED_VALUE"""),"""fashion trends Zurich"",")</f>
        <v>"fashion trends Zurich",</v>
      </c>
    </row>
    <row r="751">
      <c r="A751" s="8" t="str">
        <f>IFERROR(__xludf.DUMMYFUNCTION("""COMPUTED_VALUE"""),"""minimalist fashion Zurich"",")</f>
        <v>"minimalist fashion Zurich",</v>
      </c>
    </row>
    <row r="752">
      <c r="A752" s="8" t="str">
        <f>IFERROR(__xludf.DUMMYFUNCTION("""COMPUTED_VALUE"""),"""beauty hacks Zurich"",")</f>
        <v>"beauty hacks Zurich",</v>
      </c>
    </row>
    <row r="753">
      <c r="A753" s="8" t="str">
        <f>IFERROR(__xludf.DUMMYFUNCTION("""COMPUTED_VALUE"""),"""hair routines Zurich"",")</f>
        <v>"hair routines Zurich",</v>
      </c>
    </row>
    <row r="754">
      <c r="A754" s="8" t="str">
        <f>IFERROR(__xludf.DUMMYFUNCTION("""COMPUTED_VALUE"""),"""empties Zurich"",")</f>
        <v>"empties Zurich",</v>
      </c>
    </row>
    <row r="755">
      <c r="A755" s="8" t="str">
        <f>IFERROR(__xludf.DUMMYFUNCTION("""COMPUTED_VALUE"""),"""product reviews Zurich"",")</f>
        <v>"product reviews Zurich",</v>
      </c>
    </row>
    <row r="756">
      <c r="A756" s="8" t="str">
        <f>IFERROR(__xludf.DUMMYFUNCTION("""COMPUTED_VALUE"""),"""beauty reviews  Zurich"",")</f>
        <v>"beauty reviews  Zurich",</v>
      </c>
    </row>
    <row r="757">
      <c r="A757" s="8" t="str">
        <f>IFERROR(__xludf.DUMMYFUNCTION("""COMPUTED_VALUE"""),"""make-up artist Zurich"",")</f>
        <v>"make-up artist Zurich",</v>
      </c>
    </row>
    <row r="758">
      <c r="A758" s="8" t="str">
        <f>IFERROR(__xludf.DUMMYFUNCTION("""COMPUTED_VALUE"""),"""skincare journey Zurich"",")</f>
        <v>"skincare journey Zurich",</v>
      </c>
    </row>
    <row r="759">
      <c r="A759" s="8" t="str">
        <f>IFERROR(__xludf.DUMMYFUNCTION("""COMPUTED_VALUE"""),"""hair tutorial Zurich"",")</f>
        <v>"hair tutorial Zurich",</v>
      </c>
    </row>
    <row r="760">
      <c r="A760" s="8" t="str">
        <f>IFERROR(__xludf.DUMMYFUNCTION("""COMPUTED_VALUE"""),"""barbershop Zurich"",")</f>
        <v>"barbershop Zurich",</v>
      </c>
    </row>
    <row r="761">
      <c r="A761" s="8" t="str">
        <f>IFERROR(__xludf.DUMMYFUNCTION("""COMPUTED_VALUE"""),"""ootd Athens"",")</f>
        <v>"ootd Athens",</v>
      </c>
    </row>
    <row r="762">
      <c r="A762" s="8" t="str">
        <f>IFERROR(__xludf.DUMMYFUNCTION("""COMPUTED_VALUE"""),"""street style Athens"",")</f>
        <v>"street style Athens",</v>
      </c>
    </row>
    <row r="763">
      <c r="A763" s="8" t="str">
        <f>IFERROR(__xludf.DUMMYFUNCTION("""COMPUTED_VALUE"""),"""skincare Athens"",")</f>
        <v>"skincare Athens",</v>
      </c>
    </row>
    <row r="764">
      <c r="A764" s="8" t="str">
        <f>IFERROR(__xludf.DUMMYFUNCTION("""COMPUTED_VALUE"""),"""makeup Athens"",")</f>
        <v>"makeup Athens",</v>
      </c>
    </row>
    <row r="765">
      <c r="A765" s="8" t="str">
        <f>IFERROR(__xludf.DUMMYFUNCTION("""COMPUTED_VALUE"""),"""nails Athens"",")</f>
        <v>"nails Athens",</v>
      </c>
    </row>
    <row r="766">
      <c r="A766" s="8" t="str">
        <f>IFERROR(__xludf.DUMMYFUNCTION("""COMPUTED_VALUE"""),"""curly hair Athens"",")</f>
        <v>"curly hair Athens",</v>
      </c>
    </row>
    <row r="767">
      <c r="A767" s="8" t="str">
        <f>IFERROR(__xludf.DUMMYFUNCTION("""COMPUTED_VALUE"""),"""thrift Athens"",")</f>
        <v>"thrift Athens",</v>
      </c>
    </row>
    <row r="768">
      <c r="A768" s="8" t="str">
        <f>IFERROR(__xludf.DUMMYFUNCTION("""COMPUTED_VALUE"""),"""streetwear Athens"",")</f>
        <v>"streetwear Athens",</v>
      </c>
    </row>
    <row r="769">
      <c r="A769" s="8" t="str">
        <f>IFERROR(__xludf.DUMMYFUNCTION("""COMPUTED_VALUE"""),"""luxury Athens"",")</f>
        <v>"luxury Athens",</v>
      </c>
    </row>
    <row r="770">
      <c r="A770" s="8" t="str">
        <f>IFERROR(__xludf.DUMMYFUNCTION("""COMPUTED_VALUE"""),"""handbags Athens"",")</f>
        <v>"handbags Athens",</v>
      </c>
    </row>
    <row r="771">
      <c r="A771" s="8" t="str">
        <f>IFERROR(__xludf.DUMMYFUNCTION("""COMPUTED_VALUE"""),"""sneakers Athens"",")</f>
        <v>"sneakers Athens",</v>
      </c>
    </row>
    <row r="772">
      <c r="A772" s="8" t="str">
        <f>IFERROR(__xludf.DUMMYFUNCTION("""COMPUTED_VALUE"""),"""high heels Athens"",")</f>
        <v>"high heels Athens",</v>
      </c>
    </row>
    <row r="773">
      <c r="A773" s="8" t="str">
        <f>IFERROR(__xludf.DUMMYFUNCTION("""COMPUTED_VALUE"""),"""haute-couture Athens"",")</f>
        <v>"haute-couture Athens",</v>
      </c>
    </row>
    <row r="774">
      <c r="A774" s="8" t="str">
        <f>IFERROR(__xludf.DUMMYFUNCTION("""COMPUTED_VALUE"""),"""diyfashion Athens"",")</f>
        <v>"diyfashion Athens",</v>
      </c>
    </row>
    <row r="775">
      <c r="A775" s="8" t="str">
        <f>IFERROR(__xludf.DUMMYFUNCTION("""COMPUTED_VALUE"""),"""accessories Athens"",")</f>
        <v>"accessories Athens",</v>
      </c>
    </row>
    <row r="776">
      <c r="A776" s="8" t="str">
        <f>IFERROR(__xludf.DUMMYFUNCTION("""COMPUTED_VALUE"""),"""menswear Athens"",")</f>
        <v>"menswear Athens",</v>
      </c>
    </row>
    <row r="777">
      <c r="A777" s="8" t="str">
        <f>IFERROR(__xludf.DUMMYFUNCTION("""COMPUTED_VALUE"""),"""womenswear Athens"",")</f>
        <v>"womenswear Athens",</v>
      </c>
    </row>
    <row r="778">
      <c r="A778" s="8" t="str">
        <f>IFERROR(__xludf.DUMMYFUNCTION("""COMPUTED_VALUE"""),"""moda Athens"",")</f>
        <v>"moda Athens",</v>
      </c>
    </row>
    <row r="779">
      <c r="A779" s="8" t="str">
        <f>IFERROR(__xludf.DUMMYFUNCTION("""COMPUTED_VALUE"""),"""hairstyle Athens"",")</f>
        <v>"hairstyle Athens",</v>
      </c>
    </row>
    <row r="780">
      <c r="A780" s="8" t="str">
        <f>IFERROR(__xludf.DUMMYFUNCTION("""COMPUTED_VALUE"""),"""perfume Athens"",")</f>
        <v>"perfume Athens",</v>
      </c>
    </row>
    <row r="781">
      <c r="A781" s="8" t="str">
        <f>IFERROR(__xludf.DUMMYFUNCTION("""COMPUTED_VALUE"""),"""cosmetiques Athens"",")</f>
        <v>"cosmetiques Athens",</v>
      </c>
    </row>
    <row r="782">
      <c r="A782" s="8" t="str">
        <f>IFERROR(__xludf.DUMMYFUNCTION("""COMPUTED_VALUE"""),"""beauty routine Athens"",")</f>
        <v>"beauty routine Athens",</v>
      </c>
    </row>
    <row r="783">
      <c r="A783" s="8" t="str">
        <f>IFERROR(__xludf.DUMMYFUNCTION("""COMPUTED_VALUE"""),"""natural beauty Athens"",")</f>
        <v>"natural beauty Athens",</v>
      </c>
    </row>
    <row r="784">
      <c r="A784" s="8" t="str">
        <f>IFERROR(__xludf.DUMMYFUNCTION("""COMPUTED_VALUE"""),"""organic beauty Athens"",")</f>
        <v>"organic beauty Athens",</v>
      </c>
    </row>
    <row r="785">
      <c r="A785" s="8" t="str">
        <f>IFERROR(__xludf.DUMMYFUNCTION("""COMPUTED_VALUE"""),"""sustainable fashion Athens"",")</f>
        <v>"sustainable fashion Athens",</v>
      </c>
    </row>
    <row r="786">
      <c r="A786" s="8" t="str">
        <f>IFERROR(__xludf.DUMMYFUNCTION("""COMPUTED_VALUE"""),"""fashion hacks Athens"",")</f>
        <v>"fashion hacks Athens",</v>
      </c>
    </row>
    <row r="787">
      <c r="A787" s="8" t="str">
        <f>IFERROR(__xludf.DUMMYFUNCTION("""COMPUTED_VALUE"""),"""capsule wardrobe Athens"",")</f>
        <v>"capsule wardrobe Athens",</v>
      </c>
    </row>
    <row r="788">
      <c r="A788" s="8" t="str">
        <f>IFERROR(__xludf.DUMMYFUNCTION("""COMPUTED_VALUE"""),"""fashion trends Athens"",")</f>
        <v>"fashion trends Athens",</v>
      </c>
    </row>
    <row r="789">
      <c r="A789" s="8" t="str">
        <f>IFERROR(__xludf.DUMMYFUNCTION("""COMPUTED_VALUE"""),"""minimalist fashion Athens"",")</f>
        <v>"minimalist fashion Athens",</v>
      </c>
    </row>
    <row r="790">
      <c r="A790" s="8" t="str">
        <f>IFERROR(__xludf.DUMMYFUNCTION("""COMPUTED_VALUE"""),"""beauty hacks Athens"",")</f>
        <v>"beauty hacks Athens",</v>
      </c>
    </row>
    <row r="791">
      <c r="A791" s="8" t="str">
        <f>IFERROR(__xludf.DUMMYFUNCTION("""COMPUTED_VALUE"""),"""hair routines Athens"",")</f>
        <v>"hair routines Athens",</v>
      </c>
    </row>
    <row r="792">
      <c r="A792" s="8" t="str">
        <f>IFERROR(__xludf.DUMMYFUNCTION("""COMPUTED_VALUE"""),"""empties Athens"",")</f>
        <v>"empties Athens",</v>
      </c>
    </row>
    <row r="793">
      <c r="A793" s="8" t="str">
        <f>IFERROR(__xludf.DUMMYFUNCTION("""COMPUTED_VALUE"""),"""product reviews Athens"",")</f>
        <v>"product reviews Athens",</v>
      </c>
    </row>
    <row r="794">
      <c r="A794" s="8" t="str">
        <f>IFERROR(__xludf.DUMMYFUNCTION("""COMPUTED_VALUE"""),"""beauty reviews  Athens"",")</f>
        <v>"beauty reviews  Athens",</v>
      </c>
    </row>
    <row r="795">
      <c r="A795" s="8" t="str">
        <f>IFERROR(__xludf.DUMMYFUNCTION("""COMPUTED_VALUE"""),"""make-up artist Athens"",")</f>
        <v>"make-up artist Athens",</v>
      </c>
    </row>
    <row r="796">
      <c r="A796" s="8" t="str">
        <f>IFERROR(__xludf.DUMMYFUNCTION("""COMPUTED_VALUE"""),"""skincare journey Athens"",")</f>
        <v>"skincare journey Athens",</v>
      </c>
    </row>
    <row r="797">
      <c r="A797" s="8" t="str">
        <f>IFERROR(__xludf.DUMMYFUNCTION("""COMPUTED_VALUE"""),"""hair tutorial Athens"",")</f>
        <v>"hair tutorial Athens",</v>
      </c>
    </row>
    <row r="798">
      <c r="A798" s="8" t="str">
        <f>IFERROR(__xludf.DUMMYFUNCTION("""COMPUTED_VALUE"""),"""barbershop Athens"",")</f>
        <v>"barbershop Athens",</v>
      </c>
    </row>
    <row r="799">
      <c r="A799" s="8" t="str">
        <f>IFERROR(__xludf.DUMMYFUNCTION("""COMPUTED_VALUE"""),"""ootd Monaco"",")</f>
        <v>"ootd Monaco",</v>
      </c>
    </row>
    <row r="800">
      <c r="A800" s="8" t="str">
        <f>IFERROR(__xludf.DUMMYFUNCTION("""COMPUTED_VALUE"""),"""street style Monaco"",")</f>
        <v>"street style Monaco",</v>
      </c>
    </row>
    <row r="801">
      <c r="A801" s="8" t="str">
        <f>IFERROR(__xludf.DUMMYFUNCTION("""COMPUTED_VALUE"""),"""skincare Monaco"",")</f>
        <v>"skincare Monaco",</v>
      </c>
    </row>
    <row r="802">
      <c r="A802" s="8" t="str">
        <f>IFERROR(__xludf.DUMMYFUNCTION("""COMPUTED_VALUE"""),"""makeup Monaco"",")</f>
        <v>"makeup Monaco",</v>
      </c>
    </row>
    <row r="803">
      <c r="A803" s="8" t="str">
        <f>IFERROR(__xludf.DUMMYFUNCTION("""COMPUTED_VALUE"""),"""nails Monaco"",")</f>
        <v>"nails Monaco",</v>
      </c>
    </row>
    <row r="804">
      <c r="A804" s="8" t="str">
        <f>IFERROR(__xludf.DUMMYFUNCTION("""COMPUTED_VALUE"""),"""curly hair Monaco"",")</f>
        <v>"curly hair Monaco",</v>
      </c>
    </row>
    <row r="805">
      <c r="A805" s="8" t="str">
        <f>IFERROR(__xludf.DUMMYFUNCTION("""COMPUTED_VALUE"""),"""thrift Monaco"",")</f>
        <v>"thrift Monaco",</v>
      </c>
    </row>
    <row r="806">
      <c r="A806" s="8" t="str">
        <f>IFERROR(__xludf.DUMMYFUNCTION("""COMPUTED_VALUE"""),"""streetwear Monaco"",")</f>
        <v>"streetwear Monaco",</v>
      </c>
    </row>
    <row r="807">
      <c r="A807" s="8" t="str">
        <f>IFERROR(__xludf.DUMMYFUNCTION("""COMPUTED_VALUE"""),"""luxury Monaco"",")</f>
        <v>"luxury Monaco",</v>
      </c>
    </row>
    <row r="808">
      <c r="A808" s="8" t="str">
        <f>IFERROR(__xludf.DUMMYFUNCTION("""COMPUTED_VALUE"""),"""handbags Monaco"",")</f>
        <v>"handbags Monaco",</v>
      </c>
    </row>
    <row r="809">
      <c r="A809" s="8" t="str">
        <f>IFERROR(__xludf.DUMMYFUNCTION("""COMPUTED_VALUE"""),"""sneakers Monaco"",")</f>
        <v>"sneakers Monaco",</v>
      </c>
    </row>
    <row r="810">
      <c r="A810" s="8" t="str">
        <f>IFERROR(__xludf.DUMMYFUNCTION("""COMPUTED_VALUE"""),"""high heels Monaco"",")</f>
        <v>"high heels Monaco",</v>
      </c>
    </row>
    <row r="811">
      <c r="A811" s="8" t="str">
        <f>IFERROR(__xludf.DUMMYFUNCTION("""COMPUTED_VALUE"""),"""haute-couture Monaco"",")</f>
        <v>"haute-couture Monaco",</v>
      </c>
    </row>
    <row r="812">
      <c r="A812" s="8" t="str">
        <f>IFERROR(__xludf.DUMMYFUNCTION("""COMPUTED_VALUE"""),"""diyfashion Monaco"",")</f>
        <v>"diyfashion Monaco",</v>
      </c>
    </row>
    <row r="813">
      <c r="A813" s="8" t="str">
        <f>IFERROR(__xludf.DUMMYFUNCTION("""COMPUTED_VALUE"""),"""accessories Monaco"",")</f>
        <v>"accessories Monaco",</v>
      </c>
    </row>
    <row r="814">
      <c r="A814" s="8" t="str">
        <f>IFERROR(__xludf.DUMMYFUNCTION("""COMPUTED_VALUE"""),"""menswear Monaco"",")</f>
        <v>"menswear Monaco",</v>
      </c>
    </row>
    <row r="815">
      <c r="A815" s="8" t="str">
        <f>IFERROR(__xludf.DUMMYFUNCTION("""COMPUTED_VALUE"""),"""womenswear Monaco"",")</f>
        <v>"womenswear Monaco",</v>
      </c>
    </row>
    <row r="816">
      <c r="A816" s="8" t="str">
        <f>IFERROR(__xludf.DUMMYFUNCTION("""COMPUTED_VALUE"""),"""moda Monaco"",")</f>
        <v>"moda Monaco",</v>
      </c>
    </row>
    <row r="817">
      <c r="A817" s="8" t="str">
        <f>IFERROR(__xludf.DUMMYFUNCTION("""COMPUTED_VALUE"""),"""hairstyle Monaco"",")</f>
        <v>"hairstyle Monaco",</v>
      </c>
    </row>
    <row r="818">
      <c r="A818" s="8" t="str">
        <f>IFERROR(__xludf.DUMMYFUNCTION("""COMPUTED_VALUE"""),"""perfume Monaco"",")</f>
        <v>"perfume Monaco",</v>
      </c>
    </row>
    <row r="819">
      <c r="A819" s="8" t="str">
        <f>IFERROR(__xludf.DUMMYFUNCTION("""COMPUTED_VALUE"""),"""cosmetiques Monaco"",")</f>
        <v>"cosmetiques Monaco",</v>
      </c>
    </row>
    <row r="820">
      <c r="A820" s="8" t="str">
        <f>IFERROR(__xludf.DUMMYFUNCTION("""COMPUTED_VALUE"""),"""beauty routine Monaco"",")</f>
        <v>"beauty routine Monaco",</v>
      </c>
    </row>
    <row r="821">
      <c r="A821" s="8" t="str">
        <f>IFERROR(__xludf.DUMMYFUNCTION("""COMPUTED_VALUE"""),"""natural beauty Monaco"",")</f>
        <v>"natural beauty Monaco",</v>
      </c>
    </row>
    <row r="822">
      <c r="A822" s="8" t="str">
        <f>IFERROR(__xludf.DUMMYFUNCTION("""COMPUTED_VALUE"""),"""organic beauty Monaco"",")</f>
        <v>"organic beauty Monaco",</v>
      </c>
    </row>
    <row r="823">
      <c r="A823" s="8" t="str">
        <f>IFERROR(__xludf.DUMMYFUNCTION("""COMPUTED_VALUE"""),"""sustainable fashion Monaco"",")</f>
        <v>"sustainable fashion Monaco",</v>
      </c>
    </row>
    <row r="824">
      <c r="A824" s="8" t="str">
        <f>IFERROR(__xludf.DUMMYFUNCTION("""COMPUTED_VALUE"""),"""fashion hacks Monaco"",")</f>
        <v>"fashion hacks Monaco",</v>
      </c>
    </row>
    <row r="825">
      <c r="A825" s="8" t="str">
        <f>IFERROR(__xludf.DUMMYFUNCTION("""COMPUTED_VALUE"""),"""capsule wardrobe Monaco"",")</f>
        <v>"capsule wardrobe Monaco",</v>
      </c>
    </row>
    <row r="826">
      <c r="A826" s="8" t="str">
        <f>IFERROR(__xludf.DUMMYFUNCTION("""COMPUTED_VALUE"""),"""fashion trends Monaco"",")</f>
        <v>"fashion trends Monaco",</v>
      </c>
    </row>
    <row r="827">
      <c r="A827" s="8" t="str">
        <f>IFERROR(__xludf.DUMMYFUNCTION("""COMPUTED_VALUE"""),"""minimalist fashion Monaco"",")</f>
        <v>"minimalist fashion Monaco",</v>
      </c>
    </row>
    <row r="828">
      <c r="A828" s="8" t="str">
        <f>IFERROR(__xludf.DUMMYFUNCTION("""COMPUTED_VALUE"""),"""beauty hacks Monaco"",")</f>
        <v>"beauty hacks Monaco",</v>
      </c>
    </row>
    <row r="829">
      <c r="A829" s="8" t="str">
        <f>IFERROR(__xludf.DUMMYFUNCTION("""COMPUTED_VALUE"""),"""hair routines Monaco"",")</f>
        <v>"hair routines Monaco",</v>
      </c>
    </row>
    <row r="830">
      <c r="A830" s="8" t="str">
        <f>IFERROR(__xludf.DUMMYFUNCTION("""COMPUTED_VALUE"""),"""empties Monaco"",")</f>
        <v>"empties Monaco",</v>
      </c>
    </row>
    <row r="831">
      <c r="A831" s="8" t="str">
        <f>IFERROR(__xludf.DUMMYFUNCTION("""COMPUTED_VALUE"""),"""product reviews Monaco"",")</f>
        <v>"product reviews Monaco",</v>
      </c>
    </row>
    <row r="832">
      <c r="A832" s="8" t="str">
        <f>IFERROR(__xludf.DUMMYFUNCTION("""COMPUTED_VALUE"""),"""beauty reviews  Monaco"",")</f>
        <v>"beauty reviews  Monaco",</v>
      </c>
    </row>
    <row r="833">
      <c r="A833" s="8" t="str">
        <f>IFERROR(__xludf.DUMMYFUNCTION("""COMPUTED_VALUE"""),"""make-up artist Monaco"",")</f>
        <v>"make-up artist Monaco",</v>
      </c>
    </row>
    <row r="834">
      <c r="A834" s="8" t="str">
        <f>IFERROR(__xludf.DUMMYFUNCTION("""COMPUTED_VALUE"""),"""skincare journey Monaco"",")</f>
        <v>"skincare journey Monaco",</v>
      </c>
    </row>
    <row r="835">
      <c r="A835" s="8" t="str">
        <f>IFERROR(__xludf.DUMMYFUNCTION("""COMPUTED_VALUE"""),"""hair tutorial Monaco"",")</f>
        <v>"hair tutorial Monaco",</v>
      </c>
    </row>
    <row r="836">
      <c r="A836" s="8" t="str">
        <f>IFERROR(__xludf.DUMMYFUNCTION("""COMPUTED_VALUE"""),"""barbershop Monaco"",")</f>
        <v>"barbershop Monaco",</v>
      </c>
    </row>
    <row r="837">
      <c r="A837" s="8" t="str">
        <f>IFERROR(__xludf.DUMMYFUNCTION("""COMPUTED_VALUE"""),"""ootd Cannes"",")</f>
        <v>"ootd Cannes",</v>
      </c>
    </row>
    <row r="838">
      <c r="A838" s="8" t="str">
        <f>IFERROR(__xludf.DUMMYFUNCTION("""COMPUTED_VALUE"""),"""street style Cannes"",")</f>
        <v>"street style Cannes",</v>
      </c>
    </row>
    <row r="839">
      <c r="A839" s="9" t="str">
        <f>IFERROR(__xludf.DUMMYFUNCTION("""COMPUTED_VALUE"""),"""skincare Cannes"",")</f>
        <v>"skincare Cannes",</v>
      </c>
    </row>
    <row r="840">
      <c r="A840" s="8" t="str">
        <f>IFERROR(__xludf.DUMMYFUNCTION("""COMPUTED_VALUE"""),"""makeup Cannes"",")</f>
        <v>"makeup Cannes",</v>
      </c>
    </row>
    <row r="841">
      <c r="A841" s="8" t="str">
        <f>IFERROR(__xludf.DUMMYFUNCTION("""COMPUTED_VALUE"""),"""nails Cannes"",")</f>
        <v>"nails Cannes",</v>
      </c>
    </row>
    <row r="842">
      <c r="A842" s="8" t="str">
        <f>IFERROR(__xludf.DUMMYFUNCTION("""COMPUTED_VALUE"""),"""curly hair Cannes"",")</f>
        <v>"curly hair Cannes",</v>
      </c>
    </row>
    <row r="843">
      <c r="A843" s="8" t="str">
        <f>IFERROR(__xludf.DUMMYFUNCTION("""COMPUTED_VALUE"""),"""thrift Cannes"",")</f>
        <v>"thrift Cannes",</v>
      </c>
    </row>
    <row r="844">
      <c r="A844" s="8" t="str">
        <f>IFERROR(__xludf.DUMMYFUNCTION("""COMPUTED_VALUE"""),"""streetwear Cannes"",")</f>
        <v>"streetwear Cannes",</v>
      </c>
    </row>
    <row r="845">
      <c r="A845" s="8" t="str">
        <f>IFERROR(__xludf.DUMMYFUNCTION("""COMPUTED_VALUE"""),"""luxury Cannes"",")</f>
        <v>"luxury Cannes",</v>
      </c>
    </row>
    <row r="846">
      <c r="A846" s="8" t="str">
        <f>IFERROR(__xludf.DUMMYFUNCTION("""COMPUTED_VALUE"""),"""handbags Cannes"",")</f>
        <v>"handbags Cannes",</v>
      </c>
    </row>
    <row r="847">
      <c r="A847" s="8" t="str">
        <f>IFERROR(__xludf.DUMMYFUNCTION("""COMPUTED_VALUE"""),"""sneakers Cannes"",")</f>
        <v>"sneakers Cannes",</v>
      </c>
    </row>
    <row r="848">
      <c r="A848" s="8" t="str">
        <f>IFERROR(__xludf.DUMMYFUNCTION("""COMPUTED_VALUE"""),"""high heels Cannes"",")</f>
        <v>"high heels Cannes",</v>
      </c>
    </row>
    <row r="849">
      <c r="A849" s="8" t="str">
        <f>IFERROR(__xludf.DUMMYFUNCTION("""COMPUTED_VALUE"""),"""haute-couture Cannes"",")</f>
        <v>"haute-couture Cannes",</v>
      </c>
    </row>
    <row r="850">
      <c r="A850" s="8" t="str">
        <f>IFERROR(__xludf.DUMMYFUNCTION("""COMPUTED_VALUE"""),"""diyfashion Cannes"",")</f>
        <v>"diyfashion Cannes",</v>
      </c>
    </row>
    <row r="851">
      <c r="A851" s="8" t="str">
        <f>IFERROR(__xludf.DUMMYFUNCTION("""COMPUTED_VALUE"""),"""accessories Cannes"",")</f>
        <v>"accessories Cannes",</v>
      </c>
    </row>
    <row r="852">
      <c r="A852" s="8" t="str">
        <f>IFERROR(__xludf.DUMMYFUNCTION("""COMPUTED_VALUE"""),"""menswear Cannes"",")</f>
        <v>"menswear Cannes",</v>
      </c>
    </row>
    <row r="853">
      <c r="A853" s="8" t="str">
        <f>IFERROR(__xludf.DUMMYFUNCTION("""COMPUTED_VALUE"""),"""womenswear Cannes"",")</f>
        <v>"womenswear Cannes",</v>
      </c>
    </row>
    <row r="854">
      <c r="A854" s="8" t="str">
        <f>IFERROR(__xludf.DUMMYFUNCTION("""COMPUTED_VALUE"""),"""moda Cannes"",")</f>
        <v>"moda Cannes",</v>
      </c>
    </row>
    <row r="855">
      <c r="A855" s="8" t="str">
        <f>IFERROR(__xludf.DUMMYFUNCTION("""COMPUTED_VALUE"""),"""hairstyle Cannes"",")</f>
        <v>"hairstyle Cannes",</v>
      </c>
    </row>
    <row r="856">
      <c r="A856" s="8" t="str">
        <f>IFERROR(__xludf.DUMMYFUNCTION("""COMPUTED_VALUE"""),"""perfume Cannes"",")</f>
        <v>"perfume Cannes",</v>
      </c>
    </row>
    <row r="857">
      <c r="A857" s="8" t="str">
        <f>IFERROR(__xludf.DUMMYFUNCTION("""COMPUTED_VALUE"""),"""cosmetiques Cannes"",")</f>
        <v>"cosmetiques Cannes",</v>
      </c>
    </row>
    <row r="858">
      <c r="A858" s="8" t="str">
        <f>IFERROR(__xludf.DUMMYFUNCTION("""COMPUTED_VALUE"""),"""beauty routine Cannes"",")</f>
        <v>"beauty routine Cannes",</v>
      </c>
    </row>
    <row r="859">
      <c r="A859" s="8" t="str">
        <f>IFERROR(__xludf.DUMMYFUNCTION("""COMPUTED_VALUE"""),"""natural beauty Cannes"",")</f>
        <v>"natural beauty Cannes",</v>
      </c>
    </row>
    <row r="860">
      <c r="A860" s="8" t="str">
        <f>IFERROR(__xludf.DUMMYFUNCTION("""COMPUTED_VALUE"""),"""organic beauty Cannes"",")</f>
        <v>"organic beauty Cannes",</v>
      </c>
    </row>
    <row r="861">
      <c r="A861" s="8" t="str">
        <f>IFERROR(__xludf.DUMMYFUNCTION("""COMPUTED_VALUE"""),"""sustainable fashion Cannes"",")</f>
        <v>"sustainable fashion Cannes",</v>
      </c>
    </row>
    <row r="862">
      <c r="A862" s="8" t="str">
        <f>IFERROR(__xludf.DUMMYFUNCTION("""COMPUTED_VALUE"""),"""fashion hacks Cannes"",")</f>
        <v>"fashion hacks Cannes",</v>
      </c>
    </row>
    <row r="863">
      <c r="A863" s="8" t="str">
        <f>IFERROR(__xludf.DUMMYFUNCTION("""COMPUTED_VALUE"""),"""capsule wardrobe Cannes"",")</f>
        <v>"capsule wardrobe Cannes",</v>
      </c>
    </row>
    <row r="864">
      <c r="A864" s="8" t="str">
        <f>IFERROR(__xludf.DUMMYFUNCTION("""COMPUTED_VALUE"""),"""fashion trends Cannes"",")</f>
        <v>"fashion trends Cannes",</v>
      </c>
    </row>
    <row r="865">
      <c r="A865" s="8" t="str">
        <f>IFERROR(__xludf.DUMMYFUNCTION("""COMPUTED_VALUE"""),"""minimalist fashion Cannes"",")</f>
        <v>"minimalist fashion Cannes",</v>
      </c>
    </row>
    <row r="866">
      <c r="A866" s="8" t="str">
        <f>IFERROR(__xludf.DUMMYFUNCTION("""COMPUTED_VALUE"""),"""beauty hacks Cannes"",")</f>
        <v>"beauty hacks Cannes",</v>
      </c>
    </row>
    <row r="867">
      <c r="A867" s="8" t="str">
        <f>IFERROR(__xludf.DUMMYFUNCTION("""COMPUTED_VALUE"""),"""hair routines Cannes"",")</f>
        <v>"hair routines Cannes",</v>
      </c>
    </row>
    <row r="868">
      <c r="A868" s="8" t="str">
        <f>IFERROR(__xludf.DUMMYFUNCTION("""COMPUTED_VALUE"""),"""empties Cannes"",")</f>
        <v>"empties Cannes",</v>
      </c>
    </row>
    <row r="869">
      <c r="A869" s="8" t="str">
        <f>IFERROR(__xludf.DUMMYFUNCTION("""COMPUTED_VALUE"""),"""product reviews Cannes"",")</f>
        <v>"product reviews Cannes",</v>
      </c>
    </row>
    <row r="870">
      <c r="A870" s="8" t="str">
        <f>IFERROR(__xludf.DUMMYFUNCTION("""COMPUTED_VALUE"""),"""beauty reviews  Cannes"",")</f>
        <v>"beauty reviews  Cannes",</v>
      </c>
    </row>
    <row r="871">
      <c r="A871" s="8" t="str">
        <f>IFERROR(__xludf.DUMMYFUNCTION("""COMPUTED_VALUE"""),"""make-up artist Cannes"",")</f>
        <v>"make-up artist Cannes",</v>
      </c>
    </row>
    <row r="872">
      <c r="A872" s="8" t="str">
        <f>IFERROR(__xludf.DUMMYFUNCTION("""COMPUTED_VALUE"""),"""skincare journey Cannes"",")</f>
        <v>"skincare journey Cannes",</v>
      </c>
    </row>
    <row r="873">
      <c r="A873" s="8" t="str">
        <f>IFERROR(__xludf.DUMMYFUNCTION("""COMPUTED_VALUE"""),"""hair tutorial Cannes"",")</f>
        <v>"hair tutorial Cannes",</v>
      </c>
    </row>
    <row r="874">
      <c r="A874" s="8" t="str">
        <f>IFERROR(__xludf.DUMMYFUNCTION("""COMPUTED_VALUE"""),"""barbershop Cannes"",")</f>
        <v>"barbershop Cannes",</v>
      </c>
    </row>
    <row r="875">
      <c r="A875" s="8" t="str">
        <f>IFERROR(__xludf.DUMMYFUNCTION("""COMPUTED_VALUE"""),"""ootd Saint-Tropez"",")</f>
        <v>"ootd Saint-Tropez",</v>
      </c>
    </row>
    <row r="876">
      <c r="A876" s="8" t="str">
        <f>IFERROR(__xludf.DUMMYFUNCTION("""COMPUTED_VALUE"""),"""street style Saint-Tropez"",")</f>
        <v>"street style Saint-Tropez",</v>
      </c>
    </row>
    <row r="877">
      <c r="A877" s="8" t="str">
        <f>IFERROR(__xludf.DUMMYFUNCTION("""COMPUTED_VALUE"""),"""skincare Saint-Tropez"",")</f>
        <v>"skincare Saint-Tropez",</v>
      </c>
    </row>
    <row r="878">
      <c r="A878" s="8" t="str">
        <f>IFERROR(__xludf.DUMMYFUNCTION("""COMPUTED_VALUE"""),"""makeup Saint-Tropez"",")</f>
        <v>"makeup Saint-Tropez",</v>
      </c>
    </row>
    <row r="879">
      <c r="A879" s="8" t="str">
        <f>IFERROR(__xludf.DUMMYFUNCTION("""COMPUTED_VALUE"""),"""nails Saint-Tropez"",")</f>
        <v>"nails Saint-Tropez",</v>
      </c>
    </row>
    <row r="880">
      <c r="A880" s="8" t="str">
        <f>IFERROR(__xludf.DUMMYFUNCTION("""COMPUTED_VALUE"""),"""curly hair Saint-Tropez"",")</f>
        <v>"curly hair Saint-Tropez",</v>
      </c>
    </row>
    <row r="881">
      <c r="A881" s="8" t="str">
        <f>IFERROR(__xludf.DUMMYFUNCTION("""COMPUTED_VALUE"""),"""thrift Saint-Tropez"",")</f>
        <v>"thrift Saint-Tropez",</v>
      </c>
    </row>
    <row r="882">
      <c r="A882" s="8" t="str">
        <f>IFERROR(__xludf.DUMMYFUNCTION("""COMPUTED_VALUE"""),"""streetwear Saint-Tropez"",")</f>
        <v>"streetwear Saint-Tropez",</v>
      </c>
    </row>
    <row r="883">
      <c r="A883" s="8" t="str">
        <f>IFERROR(__xludf.DUMMYFUNCTION("""COMPUTED_VALUE"""),"""luxury Saint-Tropez"",")</f>
        <v>"luxury Saint-Tropez",</v>
      </c>
    </row>
    <row r="884">
      <c r="A884" s="8" t="str">
        <f>IFERROR(__xludf.DUMMYFUNCTION("""COMPUTED_VALUE"""),"""handbags Saint-Tropez"",")</f>
        <v>"handbags Saint-Tropez",</v>
      </c>
    </row>
    <row r="885">
      <c r="A885" s="8" t="str">
        <f>IFERROR(__xludf.DUMMYFUNCTION("""COMPUTED_VALUE"""),"""sneakers Saint-Tropez"",")</f>
        <v>"sneakers Saint-Tropez",</v>
      </c>
    </row>
    <row r="886">
      <c r="A886" s="8" t="str">
        <f>IFERROR(__xludf.DUMMYFUNCTION("""COMPUTED_VALUE"""),"""high heels Saint-Tropez"",")</f>
        <v>"high heels Saint-Tropez",</v>
      </c>
    </row>
    <row r="887">
      <c r="A887" s="8" t="str">
        <f>IFERROR(__xludf.DUMMYFUNCTION("""COMPUTED_VALUE"""),"""haute-couture Saint-Tropez"",")</f>
        <v>"haute-couture Saint-Tropez",</v>
      </c>
    </row>
    <row r="888">
      <c r="A888" s="8" t="str">
        <f>IFERROR(__xludf.DUMMYFUNCTION("""COMPUTED_VALUE"""),"""diyfashion Saint-Tropez"",")</f>
        <v>"diyfashion Saint-Tropez",</v>
      </c>
    </row>
    <row r="889">
      <c r="A889" s="8" t="str">
        <f>IFERROR(__xludf.DUMMYFUNCTION("""COMPUTED_VALUE"""),"""accessories Saint-Tropez"",")</f>
        <v>"accessories Saint-Tropez",</v>
      </c>
    </row>
    <row r="890">
      <c r="A890" s="8" t="str">
        <f>IFERROR(__xludf.DUMMYFUNCTION("""COMPUTED_VALUE"""),"""menswear Saint-Tropez"",")</f>
        <v>"menswear Saint-Tropez",</v>
      </c>
    </row>
    <row r="891">
      <c r="A891" s="8" t="str">
        <f>IFERROR(__xludf.DUMMYFUNCTION("""COMPUTED_VALUE"""),"""womenswear Saint-Tropez"",")</f>
        <v>"womenswear Saint-Tropez",</v>
      </c>
    </row>
    <row r="892">
      <c r="A892" s="8" t="str">
        <f>IFERROR(__xludf.DUMMYFUNCTION("""COMPUTED_VALUE"""),"""moda Saint-Tropez"",")</f>
        <v>"moda Saint-Tropez",</v>
      </c>
    </row>
    <row r="893">
      <c r="A893" s="8" t="str">
        <f>IFERROR(__xludf.DUMMYFUNCTION("""COMPUTED_VALUE"""),"""hairstyle Saint-Tropez"",")</f>
        <v>"hairstyle Saint-Tropez",</v>
      </c>
    </row>
    <row r="894">
      <c r="A894" s="8" t="str">
        <f>IFERROR(__xludf.DUMMYFUNCTION("""COMPUTED_VALUE"""),"""perfume Saint-Tropez"",")</f>
        <v>"perfume Saint-Tropez",</v>
      </c>
    </row>
    <row r="895">
      <c r="A895" s="8" t="str">
        <f>IFERROR(__xludf.DUMMYFUNCTION("""COMPUTED_VALUE"""),"""cosmetiques Saint-Tropez"",")</f>
        <v>"cosmetiques Saint-Tropez",</v>
      </c>
    </row>
    <row r="896">
      <c r="A896" s="8" t="str">
        <f>IFERROR(__xludf.DUMMYFUNCTION("""COMPUTED_VALUE"""),"""beauty routine Saint-Tropez"",")</f>
        <v>"beauty routine Saint-Tropez",</v>
      </c>
    </row>
    <row r="897">
      <c r="A897" s="8" t="str">
        <f>IFERROR(__xludf.DUMMYFUNCTION("""COMPUTED_VALUE"""),"""natural beauty Saint-Tropez"",")</f>
        <v>"natural beauty Saint-Tropez",</v>
      </c>
    </row>
    <row r="898">
      <c r="A898" s="8" t="str">
        <f>IFERROR(__xludf.DUMMYFUNCTION("""COMPUTED_VALUE"""),"""organic beauty Saint-Tropez"",")</f>
        <v>"organic beauty Saint-Tropez",</v>
      </c>
    </row>
    <row r="899">
      <c r="A899" s="8" t="str">
        <f>IFERROR(__xludf.DUMMYFUNCTION("""COMPUTED_VALUE"""),"""sustainable fashion Saint-Tropez"",")</f>
        <v>"sustainable fashion Saint-Tropez",</v>
      </c>
    </row>
    <row r="900">
      <c r="A900" s="8" t="str">
        <f>IFERROR(__xludf.DUMMYFUNCTION("""COMPUTED_VALUE"""),"""fashion hacks Saint-Tropez"",")</f>
        <v>"fashion hacks Saint-Tropez",</v>
      </c>
    </row>
    <row r="901">
      <c r="A901" s="8" t="str">
        <f>IFERROR(__xludf.DUMMYFUNCTION("""COMPUTED_VALUE"""),"""capsule wardrobe Saint-Tropez"",")</f>
        <v>"capsule wardrobe Saint-Tropez",</v>
      </c>
    </row>
    <row r="902">
      <c r="A902" s="8" t="str">
        <f>IFERROR(__xludf.DUMMYFUNCTION("""COMPUTED_VALUE"""),"""fashion trends Saint-Tropez"",")</f>
        <v>"fashion trends Saint-Tropez",</v>
      </c>
    </row>
    <row r="903">
      <c r="A903" s="8" t="str">
        <f>IFERROR(__xludf.DUMMYFUNCTION("""COMPUTED_VALUE"""),"""minimalist fashion Saint-Tropez"",")</f>
        <v>"minimalist fashion Saint-Tropez",</v>
      </c>
    </row>
    <row r="904">
      <c r="A904" s="8" t="str">
        <f>IFERROR(__xludf.DUMMYFUNCTION("""COMPUTED_VALUE"""),"""beauty hacks Saint-Tropez"",")</f>
        <v>"beauty hacks Saint-Tropez",</v>
      </c>
    </row>
    <row r="905">
      <c r="A905" s="8" t="str">
        <f>IFERROR(__xludf.DUMMYFUNCTION("""COMPUTED_VALUE"""),"""hair routines Saint-Tropez"",")</f>
        <v>"hair routines Saint-Tropez",</v>
      </c>
    </row>
    <row r="906">
      <c r="A906" s="8" t="str">
        <f>IFERROR(__xludf.DUMMYFUNCTION("""COMPUTED_VALUE"""),"""empties Saint-Tropez"",")</f>
        <v>"empties Saint-Tropez",</v>
      </c>
    </row>
    <row r="907">
      <c r="A907" s="8" t="str">
        <f>IFERROR(__xludf.DUMMYFUNCTION("""COMPUTED_VALUE"""),"""product reviews Saint-Tropez"",")</f>
        <v>"product reviews Saint-Tropez",</v>
      </c>
    </row>
    <row r="908">
      <c r="A908" s="8" t="str">
        <f>IFERROR(__xludf.DUMMYFUNCTION("""COMPUTED_VALUE"""),"""beauty reviews  Saint-Tropez"",")</f>
        <v>"beauty reviews  Saint-Tropez",</v>
      </c>
    </row>
    <row r="909">
      <c r="A909" s="8" t="str">
        <f>IFERROR(__xludf.DUMMYFUNCTION("""COMPUTED_VALUE"""),"""make-up artist Saint-Tropez"",")</f>
        <v>"make-up artist Saint-Tropez",</v>
      </c>
    </row>
    <row r="910">
      <c r="A910" s="8" t="str">
        <f>IFERROR(__xludf.DUMMYFUNCTION("""COMPUTED_VALUE"""),"""skincare journey Saint-Tropez"",")</f>
        <v>"skincare journey Saint-Tropez",</v>
      </c>
    </row>
    <row r="911">
      <c r="A911" s="8" t="str">
        <f>IFERROR(__xludf.DUMMYFUNCTION("""COMPUTED_VALUE"""),"""hair tutorial Saint-Tropez"",")</f>
        <v>"hair tutorial Saint-Tropez",</v>
      </c>
    </row>
    <row r="912">
      <c r="A912" s="8" t="str">
        <f>IFERROR(__xludf.DUMMYFUNCTION("""COMPUTED_VALUE"""),"""barbershop Saint-Tropez"",")</f>
        <v>"barbershop Saint-Tropez",</v>
      </c>
    </row>
    <row r="913">
      <c r="A913" s="8" t="str">
        <f>IFERROR(__xludf.DUMMYFUNCTION("""COMPUTED_VALUE"""),"""ootd Istanbul"",")</f>
        <v>"ootd Istanbul",</v>
      </c>
    </row>
    <row r="914">
      <c r="A914" s="8" t="str">
        <f>IFERROR(__xludf.DUMMYFUNCTION("""COMPUTED_VALUE"""),"""street style Istanbul"",")</f>
        <v>"street style Istanbul",</v>
      </c>
    </row>
    <row r="915">
      <c r="A915" s="8" t="str">
        <f>IFERROR(__xludf.DUMMYFUNCTION("""COMPUTED_VALUE"""),"""skincare Istanbul"",")</f>
        <v>"skincare Istanbul",</v>
      </c>
    </row>
    <row r="916">
      <c r="A916" s="8" t="str">
        <f>IFERROR(__xludf.DUMMYFUNCTION("""COMPUTED_VALUE"""),"""makeup Istanbul"",")</f>
        <v>"makeup Istanbul",</v>
      </c>
    </row>
    <row r="917">
      <c r="A917" s="8" t="str">
        <f>IFERROR(__xludf.DUMMYFUNCTION("""COMPUTED_VALUE"""),"""nails Istanbul"",")</f>
        <v>"nails Istanbul",</v>
      </c>
    </row>
    <row r="918">
      <c r="A918" s="8" t="str">
        <f>IFERROR(__xludf.DUMMYFUNCTION("""COMPUTED_VALUE"""),"""curly hair Istanbul"",")</f>
        <v>"curly hair Istanbul",</v>
      </c>
    </row>
    <row r="919">
      <c r="A919" s="8" t="str">
        <f>IFERROR(__xludf.DUMMYFUNCTION("""COMPUTED_VALUE"""),"""thrift Istanbul"",")</f>
        <v>"thrift Istanbul",</v>
      </c>
    </row>
    <row r="920">
      <c r="A920" s="8" t="str">
        <f>IFERROR(__xludf.DUMMYFUNCTION("""COMPUTED_VALUE"""),"""streetwear Istanbul"",")</f>
        <v>"streetwear Istanbul",</v>
      </c>
    </row>
    <row r="921">
      <c r="A921" s="8" t="str">
        <f>IFERROR(__xludf.DUMMYFUNCTION("""COMPUTED_VALUE"""),"""luxury Istanbul"",")</f>
        <v>"luxury Istanbul",</v>
      </c>
    </row>
    <row r="922">
      <c r="A922" s="8" t="str">
        <f>IFERROR(__xludf.DUMMYFUNCTION("""COMPUTED_VALUE"""),"""handbags Istanbul"",")</f>
        <v>"handbags Istanbul",</v>
      </c>
    </row>
    <row r="923">
      <c r="A923" s="8" t="str">
        <f>IFERROR(__xludf.DUMMYFUNCTION("""COMPUTED_VALUE"""),"""sneakers Istanbul"",")</f>
        <v>"sneakers Istanbul",</v>
      </c>
    </row>
    <row r="924">
      <c r="A924" s="8" t="str">
        <f>IFERROR(__xludf.DUMMYFUNCTION("""COMPUTED_VALUE"""),"""high heels Istanbul"",")</f>
        <v>"high heels Istanbul",</v>
      </c>
    </row>
    <row r="925">
      <c r="A925" s="8" t="str">
        <f>IFERROR(__xludf.DUMMYFUNCTION("""COMPUTED_VALUE"""),"""haute-couture Istanbul"",")</f>
        <v>"haute-couture Istanbul",</v>
      </c>
    </row>
    <row r="926">
      <c r="A926" s="8" t="str">
        <f>IFERROR(__xludf.DUMMYFUNCTION("""COMPUTED_VALUE"""),"""diyfashion Istanbul"",")</f>
        <v>"diyfashion Istanbul",</v>
      </c>
    </row>
    <row r="927">
      <c r="A927" s="8" t="str">
        <f>IFERROR(__xludf.DUMMYFUNCTION("""COMPUTED_VALUE"""),"""accessories Istanbul"",")</f>
        <v>"accessories Istanbul",</v>
      </c>
    </row>
    <row r="928">
      <c r="A928" s="8" t="str">
        <f>IFERROR(__xludf.DUMMYFUNCTION("""COMPUTED_VALUE"""),"""menswear Istanbul"",")</f>
        <v>"menswear Istanbul",</v>
      </c>
    </row>
    <row r="929">
      <c r="A929" s="8" t="str">
        <f>IFERROR(__xludf.DUMMYFUNCTION("""COMPUTED_VALUE"""),"""womenswear Istanbul"",")</f>
        <v>"womenswear Istanbul",</v>
      </c>
    </row>
    <row r="930">
      <c r="A930" s="8" t="str">
        <f>IFERROR(__xludf.DUMMYFUNCTION("""COMPUTED_VALUE"""),"""moda Istanbul"",")</f>
        <v>"moda Istanbul",</v>
      </c>
    </row>
    <row r="931">
      <c r="A931" s="8" t="str">
        <f>IFERROR(__xludf.DUMMYFUNCTION("""COMPUTED_VALUE"""),"""hairstyle Istanbul"",")</f>
        <v>"hairstyle Istanbul",</v>
      </c>
    </row>
    <row r="932">
      <c r="A932" s="8" t="str">
        <f>IFERROR(__xludf.DUMMYFUNCTION("""COMPUTED_VALUE"""),"""perfume Istanbul"",")</f>
        <v>"perfume Istanbul",</v>
      </c>
    </row>
    <row r="933">
      <c r="A933" s="8" t="str">
        <f>IFERROR(__xludf.DUMMYFUNCTION("""COMPUTED_VALUE"""),"""cosmetiques Istanbul"",")</f>
        <v>"cosmetiques Istanbul",</v>
      </c>
    </row>
    <row r="934">
      <c r="A934" s="8" t="str">
        <f>IFERROR(__xludf.DUMMYFUNCTION("""COMPUTED_VALUE"""),"""beauty routine Istanbul"",")</f>
        <v>"beauty routine Istanbul",</v>
      </c>
    </row>
    <row r="935">
      <c r="A935" s="8" t="str">
        <f>IFERROR(__xludf.DUMMYFUNCTION("""COMPUTED_VALUE"""),"""natural beauty Istanbul"",")</f>
        <v>"natural beauty Istanbul",</v>
      </c>
    </row>
    <row r="936">
      <c r="A936" s="8" t="str">
        <f>IFERROR(__xludf.DUMMYFUNCTION("""COMPUTED_VALUE"""),"""organic beauty Istanbul"",")</f>
        <v>"organic beauty Istanbul",</v>
      </c>
    </row>
    <row r="937">
      <c r="A937" s="8" t="str">
        <f>IFERROR(__xludf.DUMMYFUNCTION("""COMPUTED_VALUE"""),"""sustainable fashion Istanbul"",")</f>
        <v>"sustainable fashion Istanbul",</v>
      </c>
    </row>
    <row r="938">
      <c r="A938" s="8" t="str">
        <f>IFERROR(__xludf.DUMMYFUNCTION("""COMPUTED_VALUE"""),"""fashion hacks Istanbul"",")</f>
        <v>"fashion hacks Istanbul",</v>
      </c>
    </row>
    <row r="939">
      <c r="A939" s="8" t="str">
        <f>IFERROR(__xludf.DUMMYFUNCTION("""COMPUTED_VALUE"""),"""capsule wardrobe Istanbul"",")</f>
        <v>"capsule wardrobe Istanbul",</v>
      </c>
    </row>
    <row r="940">
      <c r="A940" s="8" t="str">
        <f>IFERROR(__xludf.DUMMYFUNCTION("""COMPUTED_VALUE"""),"""fashion trends Istanbul"",")</f>
        <v>"fashion trends Istanbul",</v>
      </c>
    </row>
    <row r="941">
      <c r="A941" s="8" t="str">
        <f>IFERROR(__xludf.DUMMYFUNCTION("""COMPUTED_VALUE"""),"""minimalist fashion Istanbul"",")</f>
        <v>"minimalist fashion Istanbul",</v>
      </c>
    </row>
    <row r="942">
      <c r="A942" s="8" t="str">
        <f>IFERROR(__xludf.DUMMYFUNCTION("""COMPUTED_VALUE"""),"""beauty hacks Istanbul"",")</f>
        <v>"beauty hacks Istanbul",</v>
      </c>
    </row>
    <row r="943">
      <c r="A943" s="8" t="str">
        <f>IFERROR(__xludf.DUMMYFUNCTION("""COMPUTED_VALUE"""),"""hair routines Istanbul"",")</f>
        <v>"hair routines Istanbul",</v>
      </c>
    </row>
    <row r="944">
      <c r="A944" s="8" t="str">
        <f>IFERROR(__xludf.DUMMYFUNCTION("""COMPUTED_VALUE"""),"""empties Istanbul"",")</f>
        <v>"empties Istanbul",</v>
      </c>
    </row>
    <row r="945">
      <c r="A945" s="8" t="str">
        <f>IFERROR(__xludf.DUMMYFUNCTION("""COMPUTED_VALUE"""),"""product reviews Istanbul"",")</f>
        <v>"product reviews Istanbul",</v>
      </c>
    </row>
    <row r="946">
      <c r="A946" s="8" t="str">
        <f>IFERROR(__xludf.DUMMYFUNCTION("""COMPUTED_VALUE"""),"""beauty reviews  Istanbul"",")</f>
        <v>"beauty reviews  Istanbul",</v>
      </c>
    </row>
    <row r="947">
      <c r="A947" s="8" t="str">
        <f>IFERROR(__xludf.DUMMYFUNCTION("""COMPUTED_VALUE"""),"""make-up artist Istanbul"",")</f>
        <v>"make-up artist Istanbul",</v>
      </c>
    </row>
    <row r="948">
      <c r="A948" s="8" t="str">
        <f>IFERROR(__xludf.DUMMYFUNCTION("""COMPUTED_VALUE"""),"""skincare journey Istanbul"",")</f>
        <v>"skincare journey Istanbul",</v>
      </c>
    </row>
    <row r="949">
      <c r="A949" s="8" t="str">
        <f>IFERROR(__xludf.DUMMYFUNCTION("""COMPUTED_VALUE"""),"""hair tutorial Istanbul"",")</f>
        <v>"hair tutorial Istanbul",</v>
      </c>
    </row>
    <row r="950">
      <c r="A950" s="8" t="str">
        <f>IFERROR(__xludf.DUMMYFUNCTION("""COMPUTED_VALUE"""),"""barbershop Istanbul"",")</f>
        <v>"barbershop Istanbul",</v>
      </c>
    </row>
    <row r="951">
      <c r="A951" s="8" t="str">
        <f>IFERROR(__xludf.DUMMYFUNCTION("""COMPUTED_VALUE"""),"""ootd Tel Aviv"",")</f>
        <v>"ootd Tel Aviv",</v>
      </c>
    </row>
    <row r="952">
      <c r="A952" s="8" t="str">
        <f>IFERROR(__xludf.DUMMYFUNCTION("""COMPUTED_VALUE"""),"""street style Tel Aviv"",")</f>
        <v>"street style Tel Aviv",</v>
      </c>
    </row>
    <row r="953">
      <c r="A953" s="8" t="str">
        <f>IFERROR(__xludf.DUMMYFUNCTION("""COMPUTED_VALUE"""),"""skincare Tel Aviv"",")</f>
        <v>"skincare Tel Aviv",</v>
      </c>
    </row>
    <row r="954">
      <c r="A954" s="8" t="str">
        <f>IFERROR(__xludf.DUMMYFUNCTION("""COMPUTED_VALUE"""),"""makeup Tel Aviv"",")</f>
        <v>"makeup Tel Aviv",</v>
      </c>
    </row>
    <row r="955">
      <c r="A955" s="8" t="str">
        <f>IFERROR(__xludf.DUMMYFUNCTION("""COMPUTED_VALUE"""),"""nails Tel Aviv"",")</f>
        <v>"nails Tel Aviv",</v>
      </c>
    </row>
    <row r="956">
      <c r="A956" s="8" t="str">
        <f>IFERROR(__xludf.DUMMYFUNCTION("""COMPUTED_VALUE"""),"""curly hair Tel Aviv"",")</f>
        <v>"curly hair Tel Aviv",</v>
      </c>
    </row>
    <row r="957">
      <c r="A957" s="8" t="str">
        <f>IFERROR(__xludf.DUMMYFUNCTION("""COMPUTED_VALUE"""),"""thrift Tel Aviv"",")</f>
        <v>"thrift Tel Aviv",</v>
      </c>
    </row>
    <row r="958">
      <c r="A958" s="8" t="str">
        <f>IFERROR(__xludf.DUMMYFUNCTION("""COMPUTED_VALUE"""),"""streetwear Tel Aviv"",")</f>
        <v>"streetwear Tel Aviv",</v>
      </c>
    </row>
    <row r="959">
      <c r="A959" s="8" t="str">
        <f>IFERROR(__xludf.DUMMYFUNCTION("""COMPUTED_VALUE"""),"""luxury Tel Aviv"",")</f>
        <v>"luxury Tel Aviv",</v>
      </c>
    </row>
    <row r="960">
      <c r="A960" s="8" t="str">
        <f>IFERROR(__xludf.DUMMYFUNCTION("""COMPUTED_VALUE"""),"""handbags Tel Aviv"",")</f>
        <v>"handbags Tel Aviv",</v>
      </c>
    </row>
    <row r="961">
      <c r="A961" s="8" t="str">
        <f>IFERROR(__xludf.DUMMYFUNCTION("""COMPUTED_VALUE"""),"""sneakers Tel Aviv"",")</f>
        <v>"sneakers Tel Aviv",</v>
      </c>
    </row>
    <row r="962">
      <c r="A962" s="8" t="str">
        <f>IFERROR(__xludf.DUMMYFUNCTION("""COMPUTED_VALUE"""),"""high heels Tel Aviv"",")</f>
        <v>"high heels Tel Aviv",</v>
      </c>
    </row>
    <row r="963">
      <c r="A963" s="8" t="str">
        <f>IFERROR(__xludf.DUMMYFUNCTION("""COMPUTED_VALUE"""),"""haute-couture Tel Aviv"",")</f>
        <v>"haute-couture Tel Aviv",</v>
      </c>
    </row>
    <row r="964">
      <c r="A964" s="8" t="str">
        <f>IFERROR(__xludf.DUMMYFUNCTION("""COMPUTED_VALUE"""),"""diyfashion Tel Aviv"",")</f>
        <v>"diyfashion Tel Aviv",</v>
      </c>
    </row>
    <row r="965">
      <c r="A965" s="8" t="str">
        <f>IFERROR(__xludf.DUMMYFUNCTION("""COMPUTED_VALUE"""),"""accessories Tel Aviv"",")</f>
        <v>"accessories Tel Aviv",</v>
      </c>
    </row>
    <row r="966">
      <c r="A966" s="8" t="str">
        <f>IFERROR(__xludf.DUMMYFUNCTION("""COMPUTED_VALUE"""),"""menswear Tel Aviv"",")</f>
        <v>"menswear Tel Aviv",</v>
      </c>
    </row>
    <row r="967">
      <c r="A967" s="8" t="str">
        <f>IFERROR(__xludf.DUMMYFUNCTION("""COMPUTED_VALUE"""),"""womenswear Tel Aviv"",")</f>
        <v>"womenswear Tel Aviv",</v>
      </c>
    </row>
    <row r="968">
      <c r="A968" s="8" t="str">
        <f>IFERROR(__xludf.DUMMYFUNCTION("""COMPUTED_VALUE"""),"""moda Tel Aviv"",")</f>
        <v>"moda Tel Aviv",</v>
      </c>
    </row>
    <row r="969">
      <c r="A969" s="8" t="str">
        <f>IFERROR(__xludf.DUMMYFUNCTION("""COMPUTED_VALUE"""),"""hairstyle Tel Aviv"",")</f>
        <v>"hairstyle Tel Aviv",</v>
      </c>
    </row>
    <row r="970">
      <c r="A970" s="8" t="str">
        <f>IFERROR(__xludf.DUMMYFUNCTION("""COMPUTED_VALUE"""),"""perfume Tel Aviv"",")</f>
        <v>"perfume Tel Aviv",</v>
      </c>
    </row>
    <row r="971">
      <c r="A971" s="8" t="str">
        <f>IFERROR(__xludf.DUMMYFUNCTION("""COMPUTED_VALUE"""),"""cosmetiques Tel Aviv"",")</f>
        <v>"cosmetiques Tel Aviv",</v>
      </c>
    </row>
    <row r="972">
      <c r="A972" s="8" t="str">
        <f>IFERROR(__xludf.DUMMYFUNCTION("""COMPUTED_VALUE"""),"""beauty routine Tel Aviv"",")</f>
        <v>"beauty routine Tel Aviv",</v>
      </c>
    </row>
    <row r="973">
      <c r="A973" s="8" t="str">
        <f>IFERROR(__xludf.DUMMYFUNCTION("""COMPUTED_VALUE"""),"""natural beauty Tel Aviv"",")</f>
        <v>"natural beauty Tel Aviv",</v>
      </c>
    </row>
    <row r="974">
      <c r="A974" s="8" t="str">
        <f>IFERROR(__xludf.DUMMYFUNCTION("""COMPUTED_VALUE"""),"""organic beauty Tel Aviv"",")</f>
        <v>"organic beauty Tel Aviv",</v>
      </c>
    </row>
    <row r="975">
      <c r="A975" s="8" t="str">
        <f>IFERROR(__xludf.DUMMYFUNCTION("""COMPUTED_VALUE"""),"""sustainable fashion Tel Aviv"",")</f>
        <v>"sustainable fashion Tel Aviv",</v>
      </c>
    </row>
    <row r="976">
      <c r="A976" s="8" t="str">
        <f>IFERROR(__xludf.DUMMYFUNCTION("""COMPUTED_VALUE"""),"""fashion hacks Tel Aviv"",")</f>
        <v>"fashion hacks Tel Aviv",</v>
      </c>
    </row>
    <row r="977">
      <c r="A977" s="8" t="str">
        <f>IFERROR(__xludf.DUMMYFUNCTION("""COMPUTED_VALUE"""),"""capsule wardrobe Tel Aviv"",")</f>
        <v>"capsule wardrobe Tel Aviv",</v>
      </c>
    </row>
    <row r="978">
      <c r="A978" s="8" t="str">
        <f>IFERROR(__xludf.DUMMYFUNCTION("""COMPUTED_VALUE"""),"""fashion trends Tel Aviv"",")</f>
        <v>"fashion trends Tel Aviv",</v>
      </c>
    </row>
    <row r="979">
      <c r="A979" s="8" t="str">
        <f>IFERROR(__xludf.DUMMYFUNCTION("""COMPUTED_VALUE"""),"""minimalist fashion Tel Aviv"",")</f>
        <v>"minimalist fashion Tel Aviv",</v>
      </c>
    </row>
    <row r="980">
      <c r="A980" s="8" t="str">
        <f>IFERROR(__xludf.DUMMYFUNCTION("""COMPUTED_VALUE"""),"""beauty hacks Tel Aviv"",")</f>
        <v>"beauty hacks Tel Aviv",</v>
      </c>
    </row>
    <row r="981">
      <c r="A981" s="8" t="str">
        <f>IFERROR(__xludf.DUMMYFUNCTION("""COMPUTED_VALUE"""),"""hair routines Tel Aviv"",")</f>
        <v>"hair routines Tel Aviv",</v>
      </c>
    </row>
    <row r="982">
      <c r="A982" s="8" t="str">
        <f>IFERROR(__xludf.DUMMYFUNCTION("""COMPUTED_VALUE"""),"""empties Tel Aviv"",")</f>
        <v>"empties Tel Aviv",</v>
      </c>
    </row>
    <row r="983">
      <c r="A983" s="8" t="str">
        <f>IFERROR(__xludf.DUMMYFUNCTION("""COMPUTED_VALUE"""),"""product reviews Tel Aviv"",")</f>
        <v>"product reviews Tel Aviv",</v>
      </c>
    </row>
    <row r="984">
      <c r="A984" s="8" t="str">
        <f>IFERROR(__xludf.DUMMYFUNCTION("""COMPUTED_VALUE"""),"""beauty reviews  Tel Aviv"",")</f>
        <v>"beauty reviews  Tel Aviv",</v>
      </c>
    </row>
    <row r="985">
      <c r="A985" s="8" t="str">
        <f>IFERROR(__xludf.DUMMYFUNCTION("""COMPUTED_VALUE"""),"""make-up artist Tel Aviv"",")</f>
        <v>"make-up artist Tel Aviv",</v>
      </c>
    </row>
    <row r="986">
      <c r="A986" s="8" t="str">
        <f>IFERROR(__xludf.DUMMYFUNCTION("""COMPUTED_VALUE"""),"""skincare journey Tel Aviv"",")</f>
        <v>"skincare journey Tel Aviv",</v>
      </c>
    </row>
    <row r="987">
      <c r="A987" s="8" t="str">
        <f>IFERROR(__xludf.DUMMYFUNCTION("""COMPUTED_VALUE"""),"""hair tutorial Tel Aviv"",")</f>
        <v>"hair tutorial Tel Aviv",</v>
      </c>
    </row>
    <row r="988">
      <c r="A988" s="8" t="str">
        <f>IFERROR(__xludf.DUMMYFUNCTION("""COMPUTED_VALUE"""),"""barbershop Tel Aviv"",")</f>
        <v>"barbershop Tel Aviv",</v>
      </c>
    </row>
    <row r="989">
      <c r="A989" s="8" t="str">
        <f>IFERROR(__xludf.DUMMYFUNCTION("""COMPUTED_VALUE"""),"""ootd Beirut"",")</f>
        <v>"ootd Beirut",</v>
      </c>
    </row>
    <row r="990">
      <c r="A990" s="8" t="str">
        <f>IFERROR(__xludf.DUMMYFUNCTION("""COMPUTED_VALUE"""),"""street style Beirut"",")</f>
        <v>"street style Beirut",</v>
      </c>
    </row>
    <row r="991">
      <c r="A991" s="8" t="str">
        <f>IFERROR(__xludf.DUMMYFUNCTION("""COMPUTED_VALUE"""),"""skincare Beirut"",")</f>
        <v>"skincare Beirut",</v>
      </c>
    </row>
    <row r="992">
      <c r="A992" s="8" t="str">
        <f>IFERROR(__xludf.DUMMYFUNCTION("""COMPUTED_VALUE"""),"""makeup Beirut"",")</f>
        <v>"makeup Beirut",</v>
      </c>
    </row>
    <row r="993">
      <c r="A993" s="8" t="str">
        <f>IFERROR(__xludf.DUMMYFUNCTION("""COMPUTED_VALUE"""),"""nails Beirut"",")</f>
        <v>"nails Beirut",</v>
      </c>
    </row>
    <row r="994">
      <c r="A994" s="8" t="str">
        <f>IFERROR(__xludf.DUMMYFUNCTION("""COMPUTED_VALUE"""),"""curly hair Beirut"",")</f>
        <v>"curly hair Beirut",</v>
      </c>
    </row>
    <row r="995">
      <c r="A995" s="8" t="str">
        <f>IFERROR(__xludf.DUMMYFUNCTION("""COMPUTED_VALUE"""),"""thrift Beirut"",")</f>
        <v>"thrift Beirut",</v>
      </c>
    </row>
    <row r="996">
      <c r="A996" s="8" t="str">
        <f>IFERROR(__xludf.DUMMYFUNCTION("""COMPUTED_VALUE"""),"""streetwear Beirut"",")</f>
        <v>"streetwear Beirut",</v>
      </c>
    </row>
    <row r="997">
      <c r="A997" s="8" t="str">
        <f>IFERROR(__xludf.DUMMYFUNCTION("""COMPUTED_VALUE"""),"""luxury Beirut"",")</f>
        <v>"luxury Beirut",</v>
      </c>
    </row>
    <row r="998">
      <c r="A998" s="8" t="str">
        <f>IFERROR(__xludf.DUMMYFUNCTION("""COMPUTED_VALUE"""),"""handbags Beirut"",")</f>
        <v>"handbags Beirut",</v>
      </c>
    </row>
    <row r="999">
      <c r="A999" s="8" t="str">
        <f>IFERROR(__xludf.DUMMYFUNCTION("""COMPUTED_VALUE"""),"""sneakers Beirut"",")</f>
        <v>"sneakers Beirut",</v>
      </c>
    </row>
    <row r="1000">
      <c r="A1000" s="8" t="str">
        <f>IFERROR(__xludf.DUMMYFUNCTION("""COMPUTED_VALUE"""),"""high heels Beirut"",")</f>
        <v>"high heels Beirut",</v>
      </c>
    </row>
    <row r="1001">
      <c r="A1001" s="8" t="str">
        <f>IFERROR(__xludf.DUMMYFUNCTION("""COMPUTED_VALUE"""),"""haute-couture Beirut"",")</f>
        <v>"haute-couture Beirut",</v>
      </c>
    </row>
    <row r="1002">
      <c r="A1002" s="8" t="str">
        <f>IFERROR(__xludf.DUMMYFUNCTION("""COMPUTED_VALUE"""),"""diyfashion Beirut"",")</f>
        <v>"diyfashion Beirut",</v>
      </c>
    </row>
    <row r="1003">
      <c r="A1003" s="8" t="str">
        <f>IFERROR(__xludf.DUMMYFUNCTION("""COMPUTED_VALUE"""),"""accessories Beirut"",")</f>
        <v>"accessories Beirut",</v>
      </c>
    </row>
    <row r="1004">
      <c r="A1004" s="8" t="str">
        <f>IFERROR(__xludf.DUMMYFUNCTION("""COMPUTED_VALUE"""),"""menswear Beirut"",")</f>
        <v>"menswear Beirut",</v>
      </c>
    </row>
    <row r="1005">
      <c r="A1005" s="8" t="str">
        <f>IFERROR(__xludf.DUMMYFUNCTION("""COMPUTED_VALUE"""),"""womenswear Beirut"",")</f>
        <v>"womenswear Beirut",</v>
      </c>
    </row>
    <row r="1006">
      <c r="A1006" s="8" t="str">
        <f>IFERROR(__xludf.DUMMYFUNCTION("""COMPUTED_VALUE"""),"""moda Beirut"",")</f>
        <v>"moda Beirut",</v>
      </c>
    </row>
    <row r="1007">
      <c r="A1007" s="8" t="str">
        <f>IFERROR(__xludf.DUMMYFUNCTION("""COMPUTED_VALUE"""),"""hairstyle Beirut"",")</f>
        <v>"hairstyle Beirut",</v>
      </c>
    </row>
    <row r="1008">
      <c r="A1008" s="8" t="str">
        <f>IFERROR(__xludf.DUMMYFUNCTION("""COMPUTED_VALUE"""),"""perfume Beirut"",")</f>
        <v>"perfume Beirut",</v>
      </c>
    </row>
    <row r="1009">
      <c r="A1009" s="8" t="str">
        <f>IFERROR(__xludf.DUMMYFUNCTION("""COMPUTED_VALUE"""),"""cosmetiques Beirut"",")</f>
        <v>"cosmetiques Beirut",</v>
      </c>
    </row>
    <row r="1010">
      <c r="A1010" s="8" t="str">
        <f>IFERROR(__xludf.DUMMYFUNCTION("""COMPUTED_VALUE"""),"""beauty routine Beirut"",")</f>
        <v>"beauty routine Beirut",</v>
      </c>
    </row>
    <row r="1011">
      <c r="A1011" s="8" t="str">
        <f>IFERROR(__xludf.DUMMYFUNCTION("""COMPUTED_VALUE"""),"""natural beauty Beirut"",")</f>
        <v>"natural beauty Beirut",</v>
      </c>
    </row>
    <row r="1012">
      <c r="A1012" s="8" t="str">
        <f>IFERROR(__xludf.DUMMYFUNCTION("""COMPUTED_VALUE"""),"""organic beauty Beirut"",")</f>
        <v>"organic beauty Beirut",</v>
      </c>
    </row>
    <row r="1013">
      <c r="A1013" s="8" t="str">
        <f>IFERROR(__xludf.DUMMYFUNCTION("""COMPUTED_VALUE"""),"""sustainable fashion Beirut"",")</f>
        <v>"sustainable fashion Beirut",</v>
      </c>
    </row>
    <row r="1014">
      <c r="A1014" s="8" t="str">
        <f>IFERROR(__xludf.DUMMYFUNCTION("""COMPUTED_VALUE"""),"""fashion hacks Beirut"",")</f>
        <v>"fashion hacks Beirut",</v>
      </c>
    </row>
    <row r="1015">
      <c r="A1015" s="8" t="str">
        <f>IFERROR(__xludf.DUMMYFUNCTION("""COMPUTED_VALUE"""),"""capsule wardrobe Beirut"",")</f>
        <v>"capsule wardrobe Beirut",</v>
      </c>
    </row>
    <row r="1016">
      <c r="A1016" s="8" t="str">
        <f>IFERROR(__xludf.DUMMYFUNCTION("""COMPUTED_VALUE"""),"""fashion trends Beirut"",")</f>
        <v>"fashion trends Beirut",</v>
      </c>
    </row>
    <row r="1017">
      <c r="A1017" s="8" t="str">
        <f>IFERROR(__xludf.DUMMYFUNCTION("""COMPUTED_VALUE"""),"""minimalist fashion Beirut"",")</f>
        <v>"minimalist fashion Beirut",</v>
      </c>
    </row>
    <row r="1018">
      <c r="A1018" s="8" t="str">
        <f>IFERROR(__xludf.DUMMYFUNCTION("""COMPUTED_VALUE"""),"""beauty hacks Beirut"",")</f>
        <v>"beauty hacks Beirut",</v>
      </c>
    </row>
    <row r="1019">
      <c r="A1019" s="8" t="str">
        <f>IFERROR(__xludf.DUMMYFUNCTION("""COMPUTED_VALUE"""),"""hair routines Beirut"",")</f>
        <v>"hair routines Beirut",</v>
      </c>
    </row>
    <row r="1020">
      <c r="A1020" s="8" t="str">
        <f>IFERROR(__xludf.DUMMYFUNCTION("""COMPUTED_VALUE"""),"""empties Beirut"",")</f>
        <v>"empties Beirut",</v>
      </c>
    </row>
    <row r="1021">
      <c r="A1021" s="8" t="str">
        <f>IFERROR(__xludf.DUMMYFUNCTION("""COMPUTED_VALUE"""),"""product reviews Beirut"",")</f>
        <v>"product reviews Beirut",</v>
      </c>
    </row>
    <row r="1022">
      <c r="A1022" s="8" t="str">
        <f>IFERROR(__xludf.DUMMYFUNCTION("""COMPUTED_VALUE"""),"""beauty reviews  Beirut"",")</f>
        <v>"beauty reviews  Beirut",</v>
      </c>
    </row>
    <row r="1023">
      <c r="A1023" s="8" t="str">
        <f>IFERROR(__xludf.DUMMYFUNCTION("""COMPUTED_VALUE"""),"""make-up artist Beirut"",")</f>
        <v>"make-up artist Beirut",</v>
      </c>
    </row>
    <row r="1024">
      <c r="A1024" s="8" t="str">
        <f>IFERROR(__xludf.DUMMYFUNCTION("""COMPUTED_VALUE"""),"""skincare journey Beirut"",")</f>
        <v>"skincare journey Beirut",</v>
      </c>
    </row>
    <row r="1025">
      <c r="A1025" s="8" t="str">
        <f>IFERROR(__xludf.DUMMYFUNCTION("""COMPUTED_VALUE"""),"""hair tutorial Beirut"",")</f>
        <v>"hair tutorial Beirut",</v>
      </c>
    </row>
    <row r="1026">
      <c r="A1026" s="8" t="str">
        <f>IFERROR(__xludf.DUMMYFUNCTION("""COMPUTED_VALUE"""),"""barbershop Beirut"",")</f>
        <v>"barbershop Beirut",</v>
      </c>
    </row>
    <row r="1027">
      <c r="A1027" s="8" t="str">
        <f>IFERROR(__xludf.DUMMYFUNCTION("""COMPUTED_VALUE"""),"""ootd Dubai"",")</f>
        <v>"ootd Dubai",</v>
      </c>
    </row>
    <row r="1028">
      <c r="A1028" s="8" t="str">
        <f>IFERROR(__xludf.DUMMYFUNCTION("""COMPUTED_VALUE"""),"""street style Dubai"",")</f>
        <v>"street style Dubai",</v>
      </c>
    </row>
    <row r="1029">
      <c r="A1029" s="8" t="str">
        <f>IFERROR(__xludf.DUMMYFUNCTION("""COMPUTED_VALUE"""),"""skincare Dubai"",")</f>
        <v>"skincare Dubai",</v>
      </c>
    </row>
    <row r="1030">
      <c r="A1030" s="8" t="str">
        <f>IFERROR(__xludf.DUMMYFUNCTION("""COMPUTED_VALUE"""),"""makeup Dubai"",")</f>
        <v>"makeup Dubai",</v>
      </c>
    </row>
    <row r="1031">
      <c r="A1031" s="8" t="str">
        <f>IFERROR(__xludf.DUMMYFUNCTION("""COMPUTED_VALUE"""),"""nails Dubai"",")</f>
        <v>"nails Dubai",</v>
      </c>
    </row>
    <row r="1032">
      <c r="A1032" s="8" t="str">
        <f>IFERROR(__xludf.DUMMYFUNCTION("""COMPUTED_VALUE"""),"""curly hair Dubai"",")</f>
        <v>"curly hair Dubai",</v>
      </c>
    </row>
    <row r="1033">
      <c r="A1033" s="8" t="str">
        <f>IFERROR(__xludf.DUMMYFUNCTION("""COMPUTED_VALUE"""),"""thrift Dubai"",")</f>
        <v>"thrift Dubai",</v>
      </c>
    </row>
    <row r="1034">
      <c r="A1034" s="8" t="str">
        <f>IFERROR(__xludf.DUMMYFUNCTION("""COMPUTED_VALUE"""),"""streetwear Dubai"",")</f>
        <v>"streetwear Dubai",</v>
      </c>
    </row>
    <row r="1035">
      <c r="A1035" s="8" t="str">
        <f>IFERROR(__xludf.DUMMYFUNCTION("""COMPUTED_VALUE"""),"""luxury Dubai"",")</f>
        <v>"luxury Dubai",</v>
      </c>
    </row>
    <row r="1036">
      <c r="A1036" s="8" t="str">
        <f>IFERROR(__xludf.DUMMYFUNCTION("""COMPUTED_VALUE"""),"""handbags Dubai"",")</f>
        <v>"handbags Dubai",</v>
      </c>
    </row>
    <row r="1037">
      <c r="A1037" s="8" t="str">
        <f>IFERROR(__xludf.DUMMYFUNCTION("""COMPUTED_VALUE"""),"""sneakers Dubai"",")</f>
        <v>"sneakers Dubai",</v>
      </c>
    </row>
    <row r="1038">
      <c r="A1038" s="8" t="str">
        <f>IFERROR(__xludf.DUMMYFUNCTION("""COMPUTED_VALUE"""),"""high heels Dubai"",")</f>
        <v>"high heels Dubai",</v>
      </c>
    </row>
    <row r="1039">
      <c r="A1039" s="9" t="str">
        <f>IFERROR(__xludf.DUMMYFUNCTION("""COMPUTED_VALUE"""),"""haute-couture Dubai"",")</f>
        <v>"haute-couture Dubai",</v>
      </c>
    </row>
    <row r="1040">
      <c r="A1040" s="8" t="str">
        <f>IFERROR(__xludf.DUMMYFUNCTION("""COMPUTED_VALUE"""),"""diyfashion Dubai"",")</f>
        <v>"diyfashion Dubai",</v>
      </c>
    </row>
    <row r="1041">
      <c r="A1041" s="8" t="str">
        <f>IFERROR(__xludf.DUMMYFUNCTION("""COMPUTED_VALUE"""),"""accessories Dubai"",")</f>
        <v>"accessories Dubai",</v>
      </c>
    </row>
    <row r="1042">
      <c r="A1042" s="8" t="str">
        <f>IFERROR(__xludf.DUMMYFUNCTION("""COMPUTED_VALUE"""),"""menswear Dubai"",")</f>
        <v>"menswear Dubai",</v>
      </c>
    </row>
    <row r="1043">
      <c r="A1043" s="8" t="str">
        <f>IFERROR(__xludf.DUMMYFUNCTION("""COMPUTED_VALUE"""),"""womenswear Dubai"",")</f>
        <v>"womenswear Dubai",</v>
      </c>
    </row>
    <row r="1044">
      <c r="A1044" s="8" t="str">
        <f>IFERROR(__xludf.DUMMYFUNCTION("""COMPUTED_VALUE"""),"""moda Dubai"",")</f>
        <v>"moda Dubai",</v>
      </c>
    </row>
    <row r="1045">
      <c r="A1045" s="8" t="str">
        <f>IFERROR(__xludf.DUMMYFUNCTION("""COMPUTED_VALUE"""),"""hairstyle Dubai"",")</f>
        <v>"hairstyle Dubai",</v>
      </c>
    </row>
    <row r="1046">
      <c r="A1046" s="8" t="str">
        <f>IFERROR(__xludf.DUMMYFUNCTION("""COMPUTED_VALUE"""),"""perfume Dubai"",")</f>
        <v>"perfume Dubai",</v>
      </c>
    </row>
    <row r="1047">
      <c r="A1047" s="8" t="str">
        <f>IFERROR(__xludf.DUMMYFUNCTION("""COMPUTED_VALUE"""),"""cosmetiques Dubai"",")</f>
        <v>"cosmetiques Dubai",</v>
      </c>
    </row>
    <row r="1048">
      <c r="A1048" s="8" t="str">
        <f>IFERROR(__xludf.DUMMYFUNCTION("""COMPUTED_VALUE"""),"""beauty routine Dubai"",")</f>
        <v>"beauty routine Dubai",</v>
      </c>
    </row>
    <row r="1049">
      <c r="A1049" s="8" t="str">
        <f>IFERROR(__xludf.DUMMYFUNCTION("""COMPUTED_VALUE"""),"""natural beauty Dubai"",")</f>
        <v>"natural beauty Dubai",</v>
      </c>
    </row>
    <row r="1050">
      <c r="A1050" s="8" t="str">
        <f>IFERROR(__xludf.DUMMYFUNCTION("""COMPUTED_VALUE"""),"""organic beauty Dubai"",")</f>
        <v>"organic beauty Dubai",</v>
      </c>
    </row>
    <row r="1051">
      <c r="A1051" s="8" t="str">
        <f>IFERROR(__xludf.DUMMYFUNCTION("""COMPUTED_VALUE"""),"""sustainable fashion Dubai"",")</f>
        <v>"sustainable fashion Dubai",</v>
      </c>
    </row>
    <row r="1052">
      <c r="A1052" s="8" t="str">
        <f>IFERROR(__xludf.DUMMYFUNCTION("""COMPUTED_VALUE"""),"""fashion hacks Dubai"",")</f>
        <v>"fashion hacks Dubai",</v>
      </c>
    </row>
    <row r="1053">
      <c r="A1053" s="8" t="str">
        <f>IFERROR(__xludf.DUMMYFUNCTION("""COMPUTED_VALUE"""),"""capsule wardrobe Dubai"",")</f>
        <v>"capsule wardrobe Dubai",</v>
      </c>
    </row>
    <row r="1054">
      <c r="A1054" s="8" t="str">
        <f>IFERROR(__xludf.DUMMYFUNCTION("""COMPUTED_VALUE"""),"""fashion trends Dubai"",")</f>
        <v>"fashion trends Dubai",</v>
      </c>
    </row>
    <row r="1055">
      <c r="A1055" s="8" t="str">
        <f>IFERROR(__xludf.DUMMYFUNCTION("""COMPUTED_VALUE"""),"""minimalist fashion Dubai"",")</f>
        <v>"minimalist fashion Dubai",</v>
      </c>
    </row>
    <row r="1056">
      <c r="A1056" s="8" t="str">
        <f>IFERROR(__xludf.DUMMYFUNCTION("""COMPUTED_VALUE"""),"""beauty hacks Dubai"",")</f>
        <v>"beauty hacks Dubai",</v>
      </c>
    </row>
    <row r="1057">
      <c r="A1057" s="8" t="str">
        <f>IFERROR(__xludf.DUMMYFUNCTION("""COMPUTED_VALUE"""),"""hair routines Dubai"",")</f>
        <v>"hair routines Dubai",</v>
      </c>
    </row>
    <row r="1058">
      <c r="A1058" s="8" t="str">
        <f>IFERROR(__xludf.DUMMYFUNCTION("""COMPUTED_VALUE"""),"""empties Dubai"",")</f>
        <v>"empties Dubai",</v>
      </c>
    </row>
    <row r="1059">
      <c r="A1059" s="8" t="str">
        <f>IFERROR(__xludf.DUMMYFUNCTION("""COMPUTED_VALUE"""),"""product reviews Dubai"",")</f>
        <v>"product reviews Dubai",</v>
      </c>
    </row>
    <row r="1060">
      <c r="A1060" s="8" t="str">
        <f>IFERROR(__xludf.DUMMYFUNCTION("""COMPUTED_VALUE"""),"""beauty reviews  Dubai"",")</f>
        <v>"beauty reviews  Dubai",</v>
      </c>
    </row>
    <row r="1061">
      <c r="A1061" s="8" t="str">
        <f>IFERROR(__xludf.DUMMYFUNCTION("""COMPUTED_VALUE"""),"""make-up artist Dubai"",")</f>
        <v>"make-up artist Dubai",</v>
      </c>
    </row>
    <row r="1062">
      <c r="A1062" s="8" t="str">
        <f>IFERROR(__xludf.DUMMYFUNCTION("""COMPUTED_VALUE"""),"""skincare journey Dubai"",")</f>
        <v>"skincare journey Dubai",</v>
      </c>
    </row>
    <row r="1063">
      <c r="A1063" s="8" t="str">
        <f>IFERROR(__xludf.DUMMYFUNCTION("""COMPUTED_VALUE"""),"""hair tutorial Dubai"",")</f>
        <v>"hair tutorial Dubai",</v>
      </c>
    </row>
    <row r="1064">
      <c r="A1064" s="8" t="str">
        <f>IFERROR(__xludf.DUMMYFUNCTION("""COMPUTED_VALUE"""),"""barbershop Dubai"",")</f>
        <v>"barbershop Dubai",</v>
      </c>
    </row>
    <row r="1065">
      <c r="A1065" s="8" t="str">
        <f>IFERROR(__xludf.DUMMYFUNCTION("""COMPUTED_VALUE"""),"""ootd Doha"",")</f>
        <v>"ootd Doha",</v>
      </c>
    </row>
    <row r="1066">
      <c r="A1066" s="8" t="str">
        <f>IFERROR(__xludf.DUMMYFUNCTION("""COMPUTED_VALUE"""),"""street style Doha"",")</f>
        <v>"street style Doha",</v>
      </c>
    </row>
    <row r="1067">
      <c r="A1067" s="8" t="str">
        <f>IFERROR(__xludf.DUMMYFUNCTION("""COMPUTED_VALUE"""),"""skincare Doha"",")</f>
        <v>"skincare Doha",</v>
      </c>
    </row>
    <row r="1068">
      <c r="A1068" s="8" t="str">
        <f>IFERROR(__xludf.DUMMYFUNCTION("""COMPUTED_VALUE"""),"""makeup Doha"",")</f>
        <v>"makeup Doha",</v>
      </c>
    </row>
    <row r="1069">
      <c r="A1069" s="8" t="str">
        <f>IFERROR(__xludf.DUMMYFUNCTION("""COMPUTED_VALUE"""),"""nails Doha"",")</f>
        <v>"nails Doha",</v>
      </c>
    </row>
    <row r="1070">
      <c r="A1070" s="8" t="str">
        <f>IFERROR(__xludf.DUMMYFUNCTION("""COMPUTED_VALUE"""),"""curly hair Doha"",")</f>
        <v>"curly hair Doha",</v>
      </c>
    </row>
    <row r="1071">
      <c r="A1071" s="8" t="str">
        <f>IFERROR(__xludf.DUMMYFUNCTION("""COMPUTED_VALUE"""),"""thrift Doha"",")</f>
        <v>"thrift Doha",</v>
      </c>
    </row>
    <row r="1072">
      <c r="A1072" s="8" t="str">
        <f>IFERROR(__xludf.DUMMYFUNCTION("""COMPUTED_VALUE"""),"""streetwear Doha"",")</f>
        <v>"streetwear Doha",</v>
      </c>
    </row>
    <row r="1073">
      <c r="A1073" s="8" t="str">
        <f>IFERROR(__xludf.DUMMYFUNCTION("""COMPUTED_VALUE"""),"""luxury Doha"",")</f>
        <v>"luxury Doha",</v>
      </c>
    </row>
    <row r="1074">
      <c r="A1074" s="8" t="str">
        <f>IFERROR(__xludf.DUMMYFUNCTION("""COMPUTED_VALUE"""),"""handbags Doha"",")</f>
        <v>"handbags Doha",</v>
      </c>
    </row>
    <row r="1075">
      <c r="A1075" s="8" t="str">
        <f>IFERROR(__xludf.DUMMYFUNCTION("""COMPUTED_VALUE"""),"""sneakers Doha"",")</f>
        <v>"sneakers Doha",</v>
      </c>
    </row>
    <row r="1076">
      <c r="A1076" s="8" t="str">
        <f>IFERROR(__xludf.DUMMYFUNCTION("""COMPUTED_VALUE"""),"""high heels Doha"",")</f>
        <v>"high heels Doha",</v>
      </c>
    </row>
    <row r="1077">
      <c r="A1077" s="8" t="str">
        <f>IFERROR(__xludf.DUMMYFUNCTION("""COMPUTED_VALUE"""),"""haute-couture Doha"",")</f>
        <v>"haute-couture Doha",</v>
      </c>
    </row>
    <row r="1078">
      <c r="A1078" s="8" t="str">
        <f>IFERROR(__xludf.DUMMYFUNCTION("""COMPUTED_VALUE"""),"""diyfashion Doha"",")</f>
        <v>"diyfashion Doha",</v>
      </c>
    </row>
    <row r="1079">
      <c r="A1079" s="8" t="str">
        <f>IFERROR(__xludf.DUMMYFUNCTION("""COMPUTED_VALUE"""),"""accessories Doha"",")</f>
        <v>"accessories Doha",</v>
      </c>
    </row>
    <row r="1080">
      <c r="A1080" s="8" t="str">
        <f>IFERROR(__xludf.DUMMYFUNCTION("""COMPUTED_VALUE"""),"""menswear Doha"",")</f>
        <v>"menswear Doha",</v>
      </c>
    </row>
    <row r="1081">
      <c r="A1081" s="8" t="str">
        <f>IFERROR(__xludf.DUMMYFUNCTION("""COMPUTED_VALUE"""),"""womenswear Doha"",")</f>
        <v>"womenswear Doha",</v>
      </c>
    </row>
    <row r="1082">
      <c r="A1082" s="8" t="str">
        <f>IFERROR(__xludf.DUMMYFUNCTION("""COMPUTED_VALUE"""),"""moda Doha"",")</f>
        <v>"moda Doha",</v>
      </c>
    </row>
    <row r="1083">
      <c r="A1083" s="8" t="str">
        <f>IFERROR(__xludf.DUMMYFUNCTION("""COMPUTED_VALUE"""),"""hairstyle Doha"",")</f>
        <v>"hairstyle Doha",</v>
      </c>
    </row>
    <row r="1084">
      <c r="A1084" s="8" t="str">
        <f>IFERROR(__xludf.DUMMYFUNCTION("""COMPUTED_VALUE"""),"""perfume Doha"",")</f>
        <v>"perfume Doha",</v>
      </c>
    </row>
    <row r="1085">
      <c r="A1085" s="8" t="str">
        <f>IFERROR(__xludf.DUMMYFUNCTION("""COMPUTED_VALUE"""),"""cosmetiques Doha"",")</f>
        <v>"cosmetiques Doha",</v>
      </c>
    </row>
    <row r="1086">
      <c r="A1086" s="8" t="str">
        <f>IFERROR(__xludf.DUMMYFUNCTION("""COMPUTED_VALUE"""),"""beauty routine Doha"",")</f>
        <v>"beauty routine Doha",</v>
      </c>
    </row>
    <row r="1087">
      <c r="A1087" s="8" t="str">
        <f>IFERROR(__xludf.DUMMYFUNCTION("""COMPUTED_VALUE"""),"""natural beauty Doha"",")</f>
        <v>"natural beauty Doha",</v>
      </c>
    </row>
    <row r="1088">
      <c r="A1088" s="8" t="str">
        <f>IFERROR(__xludf.DUMMYFUNCTION("""COMPUTED_VALUE"""),"""organic beauty Doha"",")</f>
        <v>"organic beauty Doha",</v>
      </c>
    </row>
    <row r="1089">
      <c r="A1089" s="8" t="str">
        <f>IFERROR(__xludf.DUMMYFUNCTION("""COMPUTED_VALUE"""),"""sustainable fashion Doha"",")</f>
        <v>"sustainable fashion Doha",</v>
      </c>
    </row>
    <row r="1090">
      <c r="A1090" s="8" t="str">
        <f>IFERROR(__xludf.DUMMYFUNCTION("""COMPUTED_VALUE"""),"""fashion hacks Doha"",")</f>
        <v>"fashion hacks Doha",</v>
      </c>
    </row>
    <row r="1091">
      <c r="A1091" s="8" t="str">
        <f>IFERROR(__xludf.DUMMYFUNCTION("""COMPUTED_VALUE"""),"""capsule wardrobe Doha"",")</f>
        <v>"capsule wardrobe Doha",</v>
      </c>
    </row>
    <row r="1092">
      <c r="A1092" s="8" t="str">
        <f>IFERROR(__xludf.DUMMYFUNCTION("""COMPUTED_VALUE"""),"""fashion trends Doha"",")</f>
        <v>"fashion trends Doha",</v>
      </c>
    </row>
    <row r="1093">
      <c r="A1093" s="8" t="str">
        <f>IFERROR(__xludf.DUMMYFUNCTION("""COMPUTED_VALUE"""),"""minimalist fashion Doha"",")</f>
        <v>"minimalist fashion Doha",</v>
      </c>
    </row>
    <row r="1094">
      <c r="A1094" s="8" t="str">
        <f>IFERROR(__xludf.DUMMYFUNCTION("""COMPUTED_VALUE"""),"""beauty hacks Doha"",")</f>
        <v>"beauty hacks Doha",</v>
      </c>
    </row>
    <row r="1095">
      <c r="A1095" s="8" t="str">
        <f>IFERROR(__xludf.DUMMYFUNCTION("""COMPUTED_VALUE"""),"""hair routines Doha"",")</f>
        <v>"hair routines Doha",</v>
      </c>
    </row>
    <row r="1096">
      <c r="A1096" s="8" t="str">
        <f>IFERROR(__xludf.DUMMYFUNCTION("""COMPUTED_VALUE"""),"""empties Doha"",")</f>
        <v>"empties Doha",</v>
      </c>
    </row>
    <row r="1097">
      <c r="A1097" s="8" t="str">
        <f>IFERROR(__xludf.DUMMYFUNCTION("""COMPUTED_VALUE"""),"""product reviews Doha"",")</f>
        <v>"product reviews Doha",</v>
      </c>
    </row>
    <row r="1098">
      <c r="A1098" s="8" t="str">
        <f>IFERROR(__xludf.DUMMYFUNCTION("""COMPUTED_VALUE"""),"""beauty reviews  Doha"",")</f>
        <v>"beauty reviews  Doha",</v>
      </c>
    </row>
    <row r="1099">
      <c r="A1099" s="8" t="str">
        <f>IFERROR(__xludf.DUMMYFUNCTION("""COMPUTED_VALUE"""),"""make-up artist Doha"",")</f>
        <v>"make-up artist Doha",</v>
      </c>
    </row>
    <row r="1100">
      <c r="A1100" s="8" t="str">
        <f>IFERROR(__xludf.DUMMYFUNCTION("""COMPUTED_VALUE"""),"""skincare journey Doha"",")</f>
        <v>"skincare journey Doha",</v>
      </c>
    </row>
    <row r="1101">
      <c r="A1101" s="8" t="str">
        <f>IFERROR(__xludf.DUMMYFUNCTION("""COMPUTED_VALUE"""),"""hair tutorial Doha"",")</f>
        <v>"hair tutorial Doha",</v>
      </c>
    </row>
    <row r="1102">
      <c r="A1102" s="8" t="str">
        <f>IFERROR(__xludf.DUMMYFUNCTION("""COMPUTED_VALUE"""),"""barbershop Doha"",")</f>
        <v>"barbershop Doha",</v>
      </c>
    </row>
    <row r="1103">
      <c r="A1103" s="8" t="str">
        <f>IFERROR(__xludf.DUMMYFUNCTION("""COMPUTED_VALUE"""),"""ootd Cairo"",")</f>
        <v>"ootd Cairo",</v>
      </c>
    </row>
    <row r="1104">
      <c r="A1104" s="8" t="str">
        <f>IFERROR(__xludf.DUMMYFUNCTION("""COMPUTED_VALUE"""),"""street style Cairo"",")</f>
        <v>"street style Cairo",</v>
      </c>
    </row>
    <row r="1105">
      <c r="A1105" s="8" t="str">
        <f>IFERROR(__xludf.DUMMYFUNCTION("""COMPUTED_VALUE"""),"""skincare Cairo"",")</f>
        <v>"skincare Cairo",</v>
      </c>
    </row>
    <row r="1106">
      <c r="A1106" s="8" t="str">
        <f>IFERROR(__xludf.DUMMYFUNCTION("""COMPUTED_VALUE"""),"""makeup Cairo"",")</f>
        <v>"makeup Cairo",</v>
      </c>
    </row>
    <row r="1107">
      <c r="A1107" s="8" t="str">
        <f>IFERROR(__xludf.DUMMYFUNCTION("""COMPUTED_VALUE"""),"""nails Cairo"",")</f>
        <v>"nails Cairo",</v>
      </c>
    </row>
    <row r="1108">
      <c r="A1108" s="8" t="str">
        <f>IFERROR(__xludf.DUMMYFUNCTION("""COMPUTED_VALUE"""),"""curly hair Cairo"",")</f>
        <v>"curly hair Cairo",</v>
      </c>
    </row>
    <row r="1109">
      <c r="A1109" s="8" t="str">
        <f>IFERROR(__xludf.DUMMYFUNCTION("""COMPUTED_VALUE"""),"""thrift Cairo"",")</f>
        <v>"thrift Cairo",</v>
      </c>
    </row>
    <row r="1110">
      <c r="A1110" s="8" t="str">
        <f>IFERROR(__xludf.DUMMYFUNCTION("""COMPUTED_VALUE"""),"""streetwear Cairo"",")</f>
        <v>"streetwear Cairo",</v>
      </c>
    </row>
    <row r="1111">
      <c r="A1111" s="8" t="str">
        <f>IFERROR(__xludf.DUMMYFUNCTION("""COMPUTED_VALUE"""),"""luxury Cairo"",")</f>
        <v>"luxury Cairo",</v>
      </c>
    </row>
    <row r="1112">
      <c r="A1112" s="8" t="str">
        <f>IFERROR(__xludf.DUMMYFUNCTION("""COMPUTED_VALUE"""),"""handbags Cairo"",")</f>
        <v>"handbags Cairo",</v>
      </c>
    </row>
    <row r="1113">
      <c r="A1113" s="8" t="str">
        <f>IFERROR(__xludf.DUMMYFUNCTION("""COMPUTED_VALUE"""),"""sneakers Cairo"",")</f>
        <v>"sneakers Cairo",</v>
      </c>
    </row>
    <row r="1114">
      <c r="A1114" s="8" t="str">
        <f>IFERROR(__xludf.DUMMYFUNCTION("""COMPUTED_VALUE"""),"""high heels Cairo"",")</f>
        <v>"high heels Cairo",</v>
      </c>
    </row>
    <row r="1115">
      <c r="A1115" s="8" t="str">
        <f>IFERROR(__xludf.DUMMYFUNCTION("""COMPUTED_VALUE"""),"""haute-couture Cairo"",")</f>
        <v>"haute-couture Cairo",</v>
      </c>
    </row>
    <row r="1116">
      <c r="A1116" s="8" t="str">
        <f>IFERROR(__xludf.DUMMYFUNCTION("""COMPUTED_VALUE"""),"""diyfashion Cairo"",")</f>
        <v>"diyfashion Cairo",</v>
      </c>
    </row>
    <row r="1117">
      <c r="A1117" s="8" t="str">
        <f>IFERROR(__xludf.DUMMYFUNCTION("""COMPUTED_VALUE"""),"""accessories Cairo"",")</f>
        <v>"accessories Cairo",</v>
      </c>
    </row>
    <row r="1118">
      <c r="A1118" s="8" t="str">
        <f>IFERROR(__xludf.DUMMYFUNCTION("""COMPUTED_VALUE"""),"""menswear Cairo"",")</f>
        <v>"menswear Cairo",</v>
      </c>
    </row>
    <row r="1119">
      <c r="A1119" s="8" t="str">
        <f>IFERROR(__xludf.DUMMYFUNCTION("""COMPUTED_VALUE"""),"""womenswear Cairo"",")</f>
        <v>"womenswear Cairo",</v>
      </c>
    </row>
    <row r="1120">
      <c r="A1120" s="8" t="str">
        <f>IFERROR(__xludf.DUMMYFUNCTION("""COMPUTED_VALUE"""),"""moda Cairo"",")</f>
        <v>"moda Cairo",</v>
      </c>
    </row>
    <row r="1121">
      <c r="A1121" s="8" t="str">
        <f>IFERROR(__xludf.DUMMYFUNCTION("""COMPUTED_VALUE"""),"""hairstyle Cairo"",")</f>
        <v>"hairstyle Cairo",</v>
      </c>
    </row>
    <row r="1122">
      <c r="A1122" s="8" t="str">
        <f>IFERROR(__xludf.DUMMYFUNCTION("""COMPUTED_VALUE"""),"""perfume Cairo"",")</f>
        <v>"perfume Cairo",</v>
      </c>
    </row>
    <row r="1123">
      <c r="A1123" s="8" t="str">
        <f>IFERROR(__xludf.DUMMYFUNCTION("""COMPUTED_VALUE"""),"""cosmetiques Cairo"",")</f>
        <v>"cosmetiques Cairo",</v>
      </c>
    </row>
    <row r="1124">
      <c r="A1124" s="8" t="str">
        <f>IFERROR(__xludf.DUMMYFUNCTION("""COMPUTED_VALUE"""),"""beauty routine Cairo"",")</f>
        <v>"beauty routine Cairo",</v>
      </c>
    </row>
    <row r="1125">
      <c r="A1125" s="8" t="str">
        <f>IFERROR(__xludf.DUMMYFUNCTION("""COMPUTED_VALUE"""),"""natural beauty Cairo"",")</f>
        <v>"natural beauty Cairo",</v>
      </c>
    </row>
    <row r="1126">
      <c r="A1126" s="8" t="str">
        <f>IFERROR(__xludf.DUMMYFUNCTION("""COMPUTED_VALUE"""),"""organic beauty Cairo"",")</f>
        <v>"organic beauty Cairo",</v>
      </c>
    </row>
    <row r="1127">
      <c r="A1127" s="8" t="str">
        <f>IFERROR(__xludf.DUMMYFUNCTION("""COMPUTED_VALUE"""),"""sustainable fashion Cairo"",")</f>
        <v>"sustainable fashion Cairo",</v>
      </c>
    </row>
    <row r="1128">
      <c r="A1128" s="8" t="str">
        <f>IFERROR(__xludf.DUMMYFUNCTION("""COMPUTED_VALUE"""),"""fashion hacks Cairo"",")</f>
        <v>"fashion hacks Cairo",</v>
      </c>
    </row>
    <row r="1129">
      <c r="A1129" s="8" t="str">
        <f>IFERROR(__xludf.DUMMYFUNCTION("""COMPUTED_VALUE"""),"""capsule wardrobe Cairo"",")</f>
        <v>"capsule wardrobe Cairo",</v>
      </c>
    </row>
    <row r="1130">
      <c r="A1130" s="8" t="str">
        <f>IFERROR(__xludf.DUMMYFUNCTION("""COMPUTED_VALUE"""),"""fashion trends Cairo"",")</f>
        <v>"fashion trends Cairo",</v>
      </c>
    </row>
    <row r="1131">
      <c r="A1131" s="8" t="str">
        <f>IFERROR(__xludf.DUMMYFUNCTION("""COMPUTED_VALUE"""),"""minimalist fashion Cairo"",")</f>
        <v>"minimalist fashion Cairo",</v>
      </c>
    </row>
    <row r="1132">
      <c r="A1132" s="8" t="str">
        <f>IFERROR(__xludf.DUMMYFUNCTION("""COMPUTED_VALUE"""),"""beauty hacks Cairo"",")</f>
        <v>"beauty hacks Cairo",</v>
      </c>
    </row>
    <row r="1133">
      <c r="A1133" s="8" t="str">
        <f>IFERROR(__xludf.DUMMYFUNCTION("""COMPUTED_VALUE"""),"""hair routines Cairo"",")</f>
        <v>"hair routines Cairo",</v>
      </c>
    </row>
    <row r="1134">
      <c r="A1134" s="8" t="str">
        <f>IFERROR(__xludf.DUMMYFUNCTION("""COMPUTED_VALUE"""),"""empties Cairo"",")</f>
        <v>"empties Cairo",</v>
      </c>
    </row>
    <row r="1135">
      <c r="A1135" s="8" t="str">
        <f>IFERROR(__xludf.DUMMYFUNCTION("""COMPUTED_VALUE"""),"""product reviews Cairo"",")</f>
        <v>"product reviews Cairo",</v>
      </c>
    </row>
    <row r="1136">
      <c r="A1136" s="8" t="str">
        <f>IFERROR(__xludf.DUMMYFUNCTION("""COMPUTED_VALUE"""),"""beauty reviews  Cairo"",")</f>
        <v>"beauty reviews  Cairo",</v>
      </c>
    </row>
    <row r="1137">
      <c r="A1137" s="8" t="str">
        <f>IFERROR(__xludf.DUMMYFUNCTION("""COMPUTED_VALUE"""),"""make-up artist Cairo"",")</f>
        <v>"make-up artist Cairo",</v>
      </c>
    </row>
    <row r="1138">
      <c r="A1138" s="8" t="str">
        <f>IFERROR(__xludf.DUMMYFUNCTION("""COMPUTED_VALUE"""),"""skincare journey Cairo"",")</f>
        <v>"skincare journey Cairo",</v>
      </c>
    </row>
    <row r="1139">
      <c r="A1139" s="8" t="str">
        <f>IFERROR(__xludf.DUMMYFUNCTION("""COMPUTED_VALUE"""),"""hair tutorial Cairo"",")</f>
        <v>"hair tutorial Cairo",</v>
      </c>
    </row>
    <row r="1140">
      <c r="A1140" s="8" t="str">
        <f>IFERROR(__xludf.DUMMYFUNCTION("""COMPUTED_VALUE"""),"""barbershop Cairo"",")</f>
        <v>"barbershop Cairo",</v>
      </c>
    </row>
    <row r="1141">
      <c r="A1141" s="8" t="str">
        <f>IFERROR(__xludf.DUMMYFUNCTION("""COMPUTED_VALUE"""),"""ootd Cape Town"",")</f>
        <v>"ootd Cape Town",</v>
      </c>
    </row>
    <row r="1142">
      <c r="A1142" s="8" t="str">
        <f>IFERROR(__xludf.DUMMYFUNCTION("""COMPUTED_VALUE"""),"""street style Cape Town"",")</f>
        <v>"street style Cape Town",</v>
      </c>
    </row>
    <row r="1143">
      <c r="A1143" s="8" t="str">
        <f>IFERROR(__xludf.DUMMYFUNCTION("""COMPUTED_VALUE"""),"""skincare Cape Town"",")</f>
        <v>"skincare Cape Town",</v>
      </c>
    </row>
    <row r="1144">
      <c r="A1144" s="8" t="str">
        <f>IFERROR(__xludf.DUMMYFUNCTION("""COMPUTED_VALUE"""),"""makeup Cape Town"",")</f>
        <v>"makeup Cape Town",</v>
      </c>
    </row>
    <row r="1145">
      <c r="A1145" s="8" t="str">
        <f>IFERROR(__xludf.DUMMYFUNCTION("""COMPUTED_VALUE"""),"""nails Cape Town"",")</f>
        <v>"nails Cape Town",</v>
      </c>
    </row>
    <row r="1146">
      <c r="A1146" s="8" t="str">
        <f>IFERROR(__xludf.DUMMYFUNCTION("""COMPUTED_VALUE"""),"""curly hair Cape Town"",")</f>
        <v>"curly hair Cape Town",</v>
      </c>
    </row>
    <row r="1147">
      <c r="A1147" s="8" t="str">
        <f>IFERROR(__xludf.DUMMYFUNCTION("""COMPUTED_VALUE"""),"""thrift Cape Town"",")</f>
        <v>"thrift Cape Town",</v>
      </c>
    </row>
    <row r="1148">
      <c r="A1148" s="8" t="str">
        <f>IFERROR(__xludf.DUMMYFUNCTION("""COMPUTED_VALUE"""),"""streetwear Cape Town"",")</f>
        <v>"streetwear Cape Town",</v>
      </c>
    </row>
    <row r="1149">
      <c r="A1149" s="8" t="str">
        <f>IFERROR(__xludf.DUMMYFUNCTION("""COMPUTED_VALUE"""),"""luxury Cape Town"",")</f>
        <v>"luxury Cape Town",</v>
      </c>
    </row>
    <row r="1150">
      <c r="A1150" s="8" t="str">
        <f>IFERROR(__xludf.DUMMYFUNCTION("""COMPUTED_VALUE"""),"""handbags Cape Town"",")</f>
        <v>"handbags Cape Town",</v>
      </c>
    </row>
    <row r="1151">
      <c r="A1151" s="8" t="str">
        <f>IFERROR(__xludf.DUMMYFUNCTION("""COMPUTED_VALUE"""),"""sneakers Cape Town"",")</f>
        <v>"sneakers Cape Town",</v>
      </c>
    </row>
    <row r="1152">
      <c r="A1152" s="8" t="str">
        <f>IFERROR(__xludf.DUMMYFUNCTION("""COMPUTED_VALUE"""),"""high heels Cape Town"",")</f>
        <v>"high heels Cape Town",</v>
      </c>
    </row>
    <row r="1153">
      <c r="A1153" s="8" t="str">
        <f>IFERROR(__xludf.DUMMYFUNCTION("""COMPUTED_VALUE"""),"""haute-couture Cape Town"",")</f>
        <v>"haute-couture Cape Town",</v>
      </c>
    </row>
    <row r="1154">
      <c r="A1154" s="8" t="str">
        <f>IFERROR(__xludf.DUMMYFUNCTION("""COMPUTED_VALUE"""),"""diyfashion Cape Town"",")</f>
        <v>"diyfashion Cape Town",</v>
      </c>
    </row>
    <row r="1155">
      <c r="A1155" s="8" t="str">
        <f>IFERROR(__xludf.DUMMYFUNCTION("""COMPUTED_VALUE"""),"""accessories Cape Town"",")</f>
        <v>"accessories Cape Town",</v>
      </c>
    </row>
    <row r="1156">
      <c r="A1156" s="8" t="str">
        <f>IFERROR(__xludf.DUMMYFUNCTION("""COMPUTED_VALUE"""),"""menswear Cape Town"",")</f>
        <v>"menswear Cape Town",</v>
      </c>
    </row>
    <row r="1157">
      <c r="A1157" s="8" t="str">
        <f>IFERROR(__xludf.DUMMYFUNCTION("""COMPUTED_VALUE"""),"""womenswear Cape Town"",")</f>
        <v>"womenswear Cape Town",</v>
      </c>
    </row>
    <row r="1158">
      <c r="A1158" s="8" t="str">
        <f>IFERROR(__xludf.DUMMYFUNCTION("""COMPUTED_VALUE"""),"""moda Cape Town"",")</f>
        <v>"moda Cape Town",</v>
      </c>
    </row>
    <row r="1159">
      <c r="A1159" s="8" t="str">
        <f>IFERROR(__xludf.DUMMYFUNCTION("""COMPUTED_VALUE"""),"""hairstyle Cape Town"",")</f>
        <v>"hairstyle Cape Town",</v>
      </c>
    </row>
    <row r="1160">
      <c r="A1160" s="8" t="str">
        <f>IFERROR(__xludf.DUMMYFUNCTION("""COMPUTED_VALUE"""),"""perfume Cape Town"",")</f>
        <v>"perfume Cape Town",</v>
      </c>
    </row>
    <row r="1161">
      <c r="A1161" s="8" t="str">
        <f>IFERROR(__xludf.DUMMYFUNCTION("""COMPUTED_VALUE"""),"""cosmetiques Cape Town"",")</f>
        <v>"cosmetiques Cape Town",</v>
      </c>
    </row>
    <row r="1162">
      <c r="A1162" s="8" t="str">
        <f>IFERROR(__xludf.DUMMYFUNCTION("""COMPUTED_VALUE"""),"""beauty routine Cape Town"",")</f>
        <v>"beauty routine Cape Town",</v>
      </c>
    </row>
    <row r="1163">
      <c r="A1163" s="8" t="str">
        <f>IFERROR(__xludf.DUMMYFUNCTION("""COMPUTED_VALUE"""),"""natural beauty Cape Town"",")</f>
        <v>"natural beauty Cape Town",</v>
      </c>
    </row>
    <row r="1164">
      <c r="A1164" s="8" t="str">
        <f>IFERROR(__xludf.DUMMYFUNCTION("""COMPUTED_VALUE"""),"""organic beauty Cape Town"",")</f>
        <v>"organic beauty Cape Town",</v>
      </c>
    </row>
    <row r="1165">
      <c r="A1165" s="8" t="str">
        <f>IFERROR(__xludf.DUMMYFUNCTION("""COMPUTED_VALUE"""),"""sustainable fashion Cape Town"",")</f>
        <v>"sustainable fashion Cape Town",</v>
      </c>
    </row>
    <row r="1166">
      <c r="A1166" s="8" t="str">
        <f>IFERROR(__xludf.DUMMYFUNCTION("""COMPUTED_VALUE"""),"""fashion hacks Cape Town"",")</f>
        <v>"fashion hacks Cape Town",</v>
      </c>
    </row>
    <row r="1167">
      <c r="A1167" s="8" t="str">
        <f>IFERROR(__xludf.DUMMYFUNCTION("""COMPUTED_VALUE"""),"""capsule wardrobe Cape Town"",")</f>
        <v>"capsule wardrobe Cape Town",</v>
      </c>
    </row>
    <row r="1168">
      <c r="A1168" s="8" t="str">
        <f>IFERROR(__xludf.DUMMYFUNCTION("""COMPUTED_VALUE"""),"""fashion trends Cape Town"",")</f>
        <v>"fashion trends Cape Town",</v>
      </c>
    </row>
    <row r="1169">
      <c r="A1169" s="8" t="str">
        <f>IFERROR(__xludf.DUMMYFUNCTION("""COMPUTED_VALUE"""),"""minimalist fashion Cape Town"",")</f>
        <v>"minimalist fashion Cape Town",</v>
      </c>
    </row>
    <row r="1170">
      <c r="A1170" s="8" t="str">
        <f>IFERROR(__xludf.DUMMYFUNCTION("""COMPUTED_VALUE"""),"""beauty hacks Cape Town"",")</f>
        <v>"beauty hacks Cape Town",</v>
      </c>
    </row>
    <row r="1171">
      <c r="A1171" s="8" t="str">
        <f>IFERROR(__xludf.DUMMYFUNCTION("""COMPUTED_VALUE"""),"""hair routines Cape Town"",")</f>
        <v>"hair routines Cape Town",</v>
      </c>
    </row>
    <row r="1172">
      <c r="A1172" s="8" t="str">
        <f>IFERROR(__xludf.DUMMYFUNCTION("""COMPUTED_VALUE"""),"""empties Cape Town"",")</f>
        <v>"empties Cape Town",</v>
      </c>
    </row>
    <row r="1173">
      <c r="A1173" s="8" t="str">
        <f>IFERROR(__xludf.DUMMYFUNCTION("""COMPUTED_VALUE"""),"""product reviews Cape Town"",")</f>
        <v>"product reviews Cape Town",</v>
      </c>
    </row>
    <row r="1174">
      <c r="A1174" s="8" t="str">
        <f>IFERROR(__xludf.DUMMYFUNCTION("""COMPUTED_VALUE"""),"""beauty reviews  Cape Town"",")</f>
        <v>"beauty reviews  Cape Town",</v>
      </c>
    </row>
    <row r="1175">
      <c r="A1175" s="8" t="str">
        <f>IFERROR(__xludf.DUMMYFUNCTION("""COMPUTED_VALUE"""),"""make-up artist Cape Town"",")</f>
        <v>"make-up artist Cape Town",</v>
      </c>
    </row>
    <row r="1176">
      <c r="A1176" s="8" t="str">
        <f>IFERROR(__xludf.DUMMYFUNCTION("""COMPUTED_VALUE"""),"""skincare journey Cape Town"",")</f>
        <v>"skincare journey Cape Town",</v>
      </c>
    </row>
    <row r="1177">
      <c r="A1177" s="8" t="str">
        <f>IFERROR(__xludf.DUMMYFUNCTION("""COMPUTED_VALUE"""),"""hair tutorial Cape Town"",")</f>
        <v>"hair tutorial Cape Town",</v>
      </c>
    </row>
    <row r="1178">
      <c r="A1178" s="8" t="str">
        <f>IFERROR(__xludf.DUMMYFUNCTION("""COMPUTED_VALUE"""),"""barbershop Cape Town"",")</f>
        <v>"barbershop Cape Town",</v>
      </c>
    </row>
    <row r="1179">
      <c r="A1179" s="8" t="str">
        <f>IFERROR(__xludf.DUMMYFUNCTION("""COMPUTED_VALUE"""),"""ootd Johannesburg"",")</f>
        <v>"ootd Johannesburg",</v>
      </c>
    </row>
    <row r="1180">
      <c r="A1180" s="8" t="str">
        <f>IFERROR(__xludf.DUMMYFUNCTION("""COMPUTED_VALUE"""),"""street style Johannesburg"",")</f>
        <v>"street style Johannesburg",</v>
      </c>
    </row>
    <row r="1181">
      <c r="A1181" s="8" t="str">
        <f>IFERROR(__xludf.DUMMYFUNCTION("""COMPUTED_VALUE"""),"""skincare Johannesburg"",")</f>
        <v>"skincare Johannesburg",</v>
      </c>
    </row>
    <row r="1182">
      <c r="A1182" s="8" t="str">
        <f>IFERROR(__xludf.DUMMYFUNCTION("""COMPUTED_VALUE"""),"""makeup Johannesburg"",")</f>
        <v>"makeup Johannesburg",</v>
      </c>
    </row>
    <row r="1183">
      <c r="A1183" s="8" t="str">
        <f>IFERROR(__xludf.DUMMYFUNCTION("""COMPUTED_VALUE"""),"""nails Johannesburg"",")</f>
        <v>"nails Johannesburg",</v>
      </c>
    </row>
    <row r="1184">
      <c r="A1184" s="8" t="str">
        <f>IFERROR(__xludf.DUMMYFUNCTION("""COMPUTED_VALUE"""),"""curly hair Johannesburg"",")</f>
        <v>"curly hair Johannesburg",</v>
      </c>
    </row>
    <row r="1185">
      <c r="A1185" s="8" t="str">
        <f>IFERROR(__xludf.DUMMYFUNCTION("""COMPUTED_VALUE"""),"""thrift Johannesburg"",")</f>
        <v>"thrift Johannesburg",</v>
      </c>
    </row>
    <row r="1186">
      <c r="A1186" s="8" t="str">
        <f>IFERROR(__xludf.DUMMYFUNCTION("""COMPUTED_VALUE"""),"""streetwear Johannesburg"",")</f>
        <v>"streetwear Johannesburg",</v>
      </c>
    </row>
    <row r="1187">
      <c r="A1187" s="8" t="str">
        <f>IFERROR(__xludf.DUMMYFUNCTION("""COMPUTED_VALUE"""),"""luxury Johannesburg"",")</f>
        <v>"luxury Johannesburg",</v>
      </c>
    </row>
    <row r="1188">
      <c r="A1188" s="8" t="str">
        <f>IFERROR(__xludf.DUMMYFUNCTION("""COMPUTED_VALUE"""),"""handbags Johannesburg"",")</f>
        <v>"handbags Johannesburg",</v>
      </c>
    </row>
    <row r="1189">
      <c r="A1189" s="8" t="str">
        <f>IFERROR(__xludf.DUMMYFUNCTION("""COMPUTED_VALUE"""),"""sneakers Johannesburg"",")</f>
        <v>"sneakers Johannesburg",</v>
      </c>
    </row>
    <row r="1190">
      <c r="A1190" s="8" t="str">
        <f>IFERROR(__xludf.DUMMYFUNCTION("""COMPUTED_VALUE"""),"""high heels Johannesburg"",")</f>
        <v>"high heels Johannesburg",</v>
      </c>
    </row>
    <row r="1191">
      <c r="A1191" s="8" t="str">
        <f>IFERROR(__xludf.DUMMYFUNCTION("""COMPUTED_VALUE"""),"""haute-couture Johannesburg"",")</f>
        <v>"haute-couture Johannesburg",</v>
      </c>
    </row>
    <row r="1192">
      <c r="A1192" s="8" t="str">
        <f>IFERROR(__xludf.DUMMYFUNCTION("""COMPUTED_VALUE"""),"""diyfashion Johannesburg"",")</f>
        <v>"diyfashion Johannesburg",</v>
      </c>
    </row>
    <row r="1193">
      <c r="A1193" s="8" t="str">
        <f>IFERROR(__xludf.DUMMYFUNCTION("""COMPUTED_VALUE"""),"""accessories Johannesburg"",")</f>
        <v>"accessories Johannesburg",</v>
      </c>
    </row>
    <row r="1194">
      <c r="A1194" s="8" t="str">
        <f>IFERROR(__xludf.DUMMYFUNCTION("""COMPUTED_VALUE"""),"""menswear Johannesburg"",")</f>
        <v>"menswear Johannesburg",</v>
      </c>
    </row>
    <row r="1195">
      <c r="A1195" s="8" t="str">
        <f>IFERROR(__xludf.DUMMYFUNCTION("""COMPUTED_VALUE"""),"""womenswear Johannesburg"",")</f>
        <v>"womenswear Johannesburg",</v>
      </c>
    </row>
    <row r="1196">
      <c r="A1196" s="8" t="str">
        <f>IFERROR(__xludf.DUMMYFUNCTION("""COMPUTED_VALUE"""),"""moda Johannesburg"",")</f>
        <v>"moda Johannesburg",</v>
      </c>
    </row>
    <row r="1197">
      <c r="A1197" s="8" t="str">
        <f>IFERROR(__xludf.DUMMYFUNCTION("""COMPUTED_VALUE"""),"""hairstyle Johannesburg"",")</f>
        <v>"hairstyle Johannesburg",</v>
      </c>
    </row>
    <row r="1198">
      <c r="A1198" s="8" t="str">
        <f>IFERROR(__xludf.DUMMYFUNCTION("""COMPUTED_VALUE"""),"""perfume Johannesburg"",")</f>
        <v>"perfume Johannesburg",</v>
      </c>
    </row>
    <row r="1199">
      <c r="A1199" s="8" t="str">
        <f>IFERROR(__xludf.DUMMYFUNCTION("""COMPUTED_VALUE"""),"""cosmetiques Johannesburg"",")</f>
        <v>"cosmetiques Johannesburg",</v>
      </c>
    </row>
    <row r="1200">
      <c r="A1200" s="8" t="str">
        <f>IFERROR(__xludf.DUMMYFUNCTION("""COMPUTED_VALUE"""),"""beauty routine Johannesburg"",")</f>
        <v>"beauty routine Johannesburg",</v>
      </c>
    </row>
    <row r="1201">
      <c r="A1201" s="8" t="str">
        <f>IFERROR(__xludf.DUMMYFUNCTION("""COMPUTED_VALUE"""),"""natural beauty Johannesburg"",")</f>
        <v>"natural beauty Johannesburg",</v>
      </c>
    </row>
    <row r="1202">
      <c r="A1202" s="8" t="str">
        <f>IFERROR(__xludf.DUMMYFUNCTION("""COMPUTED_VALUE"""),"""organic beauty Johannesburg"",")</f>
        <v>"organic beauty Johannesburg",</v>
      </c>
    </row>
    <row r="1203">
      <c r="A1203" s="8" t="str">
        <f>IFERROR(__xludf.DUMMYFUNCTION("""COMPUTED_VALUE"""),"""sustainable fashion Johannesburg"",")</f>
        <v>"sustainable fashion Johannesburg",</v>
      </c>
    </row>
    <row r="1204">
      <c r="A1204" s="8" t="str">
        <f>IFERROR(__xludf.DUMMYFUNCTION("""COMPUTED_VALUE"""),"""fashion hacks Johannesburg"",")</f>
        <v>"fashion hacks Johannesburg",</v>
      </c>
    </row>
    <row r="1205">
      <c r="A1205" s="8" t="str">
        <f>IFERROR(__xludf.DUMMYFUNCTION("""COMPUTED_VALUE"""),"""capsule wardrobe Johannesburg"",")</f>
        <v>"capsule wardrobe Johannesburg",</v>
      </c>
    </row>
    <row r="1206">
      <c r="A1206" s="8" t="str">
        <f>IFERROR(__xludf.DUMMYFUNCTION("""COMPUTED_VALUE"""),"""fashion trends Johannesburg"",")</f>
        <v>"fashion trends Johannesburg",</v>
      </c>
    </row>
    <row r="1207">
      <c r="A1207" s="8" t="str">
        <f>IFERROR(__xludf.DUMMYFUNCTION("""COMPUTED_VALUE"""),"""minimalist fashion Johannesburg"",")</f>
        <v>"minimalist fashion Johannesburg",</v>
      </c>
    </row>
    <row r="1208">
      <c r="A1208" s="8" t="str">
        <f>IFERROR(__xludf.DUMMYFUNCTION("""COMPUTED_VALUE"""),"""beauty hacks Johannesburg"",")</f>
        <v>"beauty hacks Johannesburg",</v>
      </c>
    </row>
    <row r="1209">
      <c r="A1209" s="8" t="str">
        <f>IFERROR(__xludf.DUMMYFUNCTION("""COMPUTED_VALUE"""),"""hair routines Johannesburg"",")</f>
        <v>"hair routines Johannesburg",</v>
      </c>
    </row>
    <row r="1210">
      <c r="A1210" s="8" t="str">
        <f>IFERROR(__xludf.DUMMYFUNCTION("""COMPUTED_VALUE"""),"""empties Johannesburg"",")</f>
        <v>"empties Johannesburg",</v>
      </c>
    </row>
    <row r="1211">
      <c r="A1211" s="8" t="str">
        <f>IFERROR(__xludf.DUMMYFUNCTION("""COMPUTED_VALUE"""),"""product reviews Johannesburg"",")</f>
        <v>"product reviews Johannesburg",</v>
      </c>
    </row>
    <row r="1212">
      <c r="A1212" s="8" t="str">
        <f>IFERROR(__xludf.DUMMYFUNCTION("""COMPUTED_VALUE"""),"""beauty reviews  Johannesburg"",")</f>
        <v>"beauty reviews  Johannesburg",</v>
      </c>
    </row>
    <row r="1213">
      <c r="A1213" s="8" t="str">
        <f>IFERROR(__xludf.DUMMYFUNCTION("""COMPUTED_VALUE"""),"""make-up artist Johannesburg"",")</f>
        <v>"make-up artist Johannesburg",</v>
      </c>
    </row>
    <row r="1214">
      <c r="A1214" s="8" t="str">
        <f>IFERROR(__xludf.DUMMYFUNCTION("""COMPUTED_VALUE"""),"""skincare journey Johannesburg"",")</f>
        <v>"skincare journey Johannesburg",</v>
      </c>
    </row>
    <row r="1215">
      <c r="A1215" s="8" t="str">
        <f>IFERROR(__xludf.DUMMYFUNCTION("""COMPUTED_VALUE"""),"""hair tutorial Johannesburg"",")</f>
        <v>"hair tutorial Johannesburg",</v>
      </c>
    </row>
    <row r="1216">
      <c r="A1216" s="8" t="str">
        <f>IFERROR(__xludf.DUMMYFUNCTION("""COMPUTED_VALUE"""),"""barbershop Johannesburg"",")</f>
        <v>"barbershop Johannesburg",</v>
      </c>
    </row>
    <row r="1217">
      <c r="A1217" s="8" t="str">
        <f>IFERROR(__xludf.DUMMYFUNCTION("""COMPUTED_VALUE"""),"""ootd Lagos"",")</f>
        <v>"ootd Lagos",</v>
      </c>
    </row>
    <row r="1218">
      <c r="A1218" s="8" t="str">
        <f>IFERROR(__xludf.DUMMYFUNCTION("""COMPUTED_VALUE"""),"""street style Lagos"",")</f>
        <v>"street style Lagos",</v>
      </c>
    </row>
    <row r="1219">
      <c r="A1219" s="8" t="str">
        <f>IFERROR(__xludf.DUMMYFUNCTION("""COMPUTED_VALUE"""),"""skincare Lagos"",")</f>
        <v>"skincare Lagos",</v>
      </c>
    </row>
    <row r="1220">
      <c r="A1220" s="8" t="str">
        <f>IFERROR(__xludf.DUMMYFUNCTION("""COMPUTED_VALUE"""),"""makeup Lagos"",")</f>
        <v>"makeup Lagos",</v>
      </c>
    </row>
    <row r="1221">
      <c r="A1221" s="8" t="str">
        <f>IFERROR(__xludf.DUMMYFUNCTION("""COMPUTED_VALUE"""),"""nails Lagos"",")</f>
        <v>"nails Lagos",</v>
      </c>
    </row>
    <row r="1222">
      <c r="A1222" s="8" t="str">
        <f>IFERROR(__xludf.DUMMYFUNCTION("""COMPUTED_VALUE"""),"""curly hair Lagos"",")</f>
        <v>"curly hair Lagos",</v>
      </c>
    </row>
    <row r="1223">
      <c r="A1223" s="8" t="str">
        <f>IFERROR(__xludf.DUMMYFUNCTION("""COMPUTED_VALUE"""),"""thrift Lagos"",")</f>
        <v>"thrift Lagos",</v>
      </c>
    </row>
    <row r="1224">
      <c r="A1224" s="8" t="str">
        <f>IFERROR(__xludf.DUMMYFUNCTION("""COMPUTED_VALUE"""),"""streetwear Lagos"",")</f>
        <v>"streetwear Lagos",</v>
      </c>
    </row>
    <row r="1225">
      <c r="A1225" s="8" t="str">
        <f>IFERROR(__xludf.DUMMYFUNCTION("""COMPUTED_VALUE"""),"""luxury Lagos"",")</f>
        <v>"luxury Lagos",</v>
      </c>
    </row>
    <row r="1226">
      <c r="A1226" s="8" t="str">
        <f>IFERROR(__xludf.DUMMYFUNCTION("""COMPUTED_VALUE"""),"""handbags Lagos"",")</f>
        <v>"handbags Lagos",</v>
      </c>
    </row>
    <row r="1227">
      <c r="A1227" s="8" t="str">
        <f>IFERROR(__xludf.DUMMYFUNCTION("""COMPUTED_VALUE"""),"""sneakers Lagos"",")</f>
        <v>"sneakers Lagos",</v>
      </c>
    </row>
    <row r="1228">
      <c r="A1228" s="8" t="str">
        <f>IFERROR(__xludf.DUMMYFUNCTION("""COMPUTED_VALUE"""),"""high heels Lagos"",")</f>
        <v>"high heels Lagos",</v>
      </c>
    </row>
    <row r="1229">
      <c r="A1229" s="8" t="str">
        <f>IFERROR(__xludf.DUMMYFUNCTION("""COMPUTED_VALUE"""),"""haute-couture Lagos"",")</f>
        <v>"haute-couture Lagos",</v>
      </c>
    </row>
    <row r="1230">
      <c r="A1230" s="8" t="str">
        <f>IFERROR(__xludf.DUMMYFUNCTION("""COMPUTED_VALUE"""),"""diyfashion Lagos"",")</f>
        <v>"diyfashion Lagos",</v>
      </c>
    </row>
    <row r="1231">
      <c r="A1231" s="8" t="str">
        <f>IFERROR(__xludf.DUMMYFUNCTION("""COMPUTED_VALUE"""),"""accessories Lagos"",")</f>
        <v>"accessories Lagos",</v>
      </c>
    </row>
    <row r="1232">
      <c r="A1232" s="8" t="str">
        <f>IFERROR(__xludf.DUMMYFUNCTION("""COMPUTED_VALUE"""),"""menswear Lagos"",")</f>
        <v>"menswear Lagos",</v>
      </c>
    </row>
    <row r="1233">
      <c r="A1233" s="8" t="str">
        <f>IFERROR(__xludf.DUMMYFUNCTION("""COMPUTED_VALUE"""),"""womenswear Lagos"",")</f>
        <v>"womenswear Lagos",</v>
      </c>
    </row>
    <row r="1234">
      <c r="A1234" s="8" t="str">
        <f>IFERROR(__xludf.DUMMYFUNCTION("""COMPUTED_VALUE"""),"""moda Lagos"",")</f>
        <v>"moda Lagos",</v>
      </c>
    </row>
    <row r="1235">
      <c r="A1235" s="8" t="str">
        <f>IFERROR(__xludf.DUMMYFUNCTION("""COMPUTED_VALUE"""),"""hairstyle Lagos"",")</f>
        <v>"hairstyle Lagos",</v>
      </c>
    </row>
    <row r="1236">
      <c r="A1236" s="8" t="str">
        <f>IFERROR(__xludf.DUMMYFUNCTION("""COMPUTED_VALUE"""),"""perfume Lagos"",")</f>
        <v>"perfume Lagos",</v>
      </c>
    </row>
    <row r="1237">
      <c r="A1237" s="8" t="str">
        <f>IFERROR(__xludf.DUMMYFUNCTION("""COMPUTED_VALUE"""),"""cosmetiques Lagos"",")</f>
        <v>"cosmetiques Lagos",</v>
      </c>
    </row>
    <row r="1238">
      <c r="A1238" s="8" t="str">
        <f>IFERROR(__xludf.DUMMYFUNCTION("""COMPUTED_VALUE"""),"""beauty routine Lagos"",")</f>
        <v>"beauty routine Lagos",</v>
      </c>
    </row>
    <row r="1239">
      <c r="A1239" s="8" t="str">
        <f>IFERROR(__xludf.DUMMYFUNCTION("""COMPUTED_VALUE"""),"""natural beauty Lagos"",")</f>
        <v>"natural beauty Lagos",</v>
      </c>
    </row>
    <row r="1240">
      <c r="A1240" s="9" t="str">
        <f>IFERROR(__xludf.DUMMYFUNCTION("""COMPUTED_VALUE"""),"""organic beauty Lagos"",")</f>
        <v>"organic beauty Lagos",</v>
      </c>
    </row>
    <row r="1241">
      <c r="A1241" s="8" t="str">
        <f>IFERROR(__xludf.DUMMYFUNCTION("""COMPUTED_VALUE"""),"""sustainable fashion Lagos"",")</f>
        <v>"sustainable fashion Lagos",</v>
      </c>
    </row>
    <row r="1242">
      <c r="A1242" s="8" t="str">
        <f>IFERROR(__xludf.DUMMYFUNCTION("""COMPUTED_VALUE"""),"""fashion hacks Lagos"",")</f>
        <v>"fashion hacks Lagos",</v>
      </c>
    </row>
    <row r="1243">
      <c r="A1243" s="8" t="str">
        <f>IFERROR(__xludf.DUMMYFUNCTION("""COMPUTED_VALUE"""),"""capsule wardrobe Lagos"",")</f>
        <v>"capsule wardrobe Lagos",</v>
      </c>
    </row>
    <row r="1244">
      <c r="A1244" s="8" t="str">
        <f>IFERROR(__xludf.DUMMYFUNCTION("""COMPUTED_VALUE"""),"""fashion trends Lagos"",")</f>
        <v>"fashion trends Lagos",</v>
      </c>
    </row>
    <row r="1245">
      <c r="A1245" s="8" t="str">
        <f>IFERROR(__xludf.DUMMYFUNCTION("""COMPUTED_VALUE"""),"""minimalist fashion Lagos"",")</f>
        <v>"minimalist fashion Lagos",</v>
      </c>
    </row>
    <row r="1246">
      <c r="A1246" s="8" t="str">
        <f>IFERROR(__xludf.DUMMYFUNCTION("""COMPUTED_VALUE"""),"""beauty hacks Lagos"",")</f>
        <v>"beauty hacks Lagos",</v>
      </c>
    </row>
    <row r="1247">
      <c r="A1247" s="8" t="str">
        <f>IFERROR(__xludf.DUMMYFUNCTION("""COMPUTED_VALUE"""),"""hair routines Lagos"",")</f>
        <v>"hair routines Lagos",</v>
      </c>
    </row>
    <row r="1248">
      <c r="A1248" s="8" t="str">
        <f>IFERROR(__xludf.DUMMYFUNCTION("""COMPUTED_VALUE"""),"""empties Lagos"",")</f>
        <v>"empties Lagos",</v>
      </c>
    </row>
    <row r="1249">
      <c r="A1249" s="8" t="str">
        <f>IFERROR(__xludf.DUMMYFUNCTION("""COMPUTED_VALUE"""),"""product reviews Lagos"",")</f>
        <v>"product reviews Lagos",</v>
      </c>
    </row>
    <row r="1250">
      <c r="A1250" s="8" t="str">
        <f>IFERROR(__xludf.DUMMYFUNCTION("""COMPUTED_VALUE"""),"""beauty reviews  Lagos"",")</f>
        <v>"beauty reviews  Lagos",</v>
      </c>
    </row>
    <row r="1251">
      <c r="A1251" s="8" t="str">
        <f>IFERROR(__xludf.DUMMYFUNCTION("""COMPUTED_VALUE"""),"""make-up artist Lagos"",")</f>
        <v>"make-up artist Lagos",</v>
      </c>
    </row>
    <row r="1252">
      <c r="A1252" s="8" t="str">
        <f>IFERROR(__xludf.DUMMYFUNCTION("""COMPUTED_VALUE"""),"""skincare journey Lagos"",")</f>
        <v>"skincare journey Lagos",</v>
      </c>
    </row>
    <row r="1253">
      <c r="A1253" s="8" t="str">
        <f>IFERROR(__xludf.DUMMYFUNCTION("""COMPUTED_VALUE"""),"""hair tutorial Lagos"",")</f>
        <v>"hair tutorial Lagos",</v>
      </c>
    </row>
    <row r="1254">
      <c r="A1254" s="8" t="str">
        <f>IFERROR(__xludf.DUMMYFUNCTION("""COMPUTED_VALUE"""),"""barbershop Lagos"",")</f>
        <v>"barbershop Lagos",</v>
      </c>
    </row>
    <row r="1255">
      <c r="A1255" s="8" t="str">
        <f>IFERROR(__xludf.DUMMYFUNCTION("""COMPUTED_VALUE"""),"""ootd Accra"",")</f>
        <v>"ootd Accra",</v>
      </c>
    </row>
    <row r="1256">
      <c r="A1256" s="8" t="str">
        <f>IFERROR(__xludf.DUMMYFUNCTION("""COMPUTED_VALUE"""),"""street style Accra"",")</f>
        <v>"street style Accra",</v>
      </c>
    </row>
    <row r="1257">
      <c r="A1257" s="8" t="str">
        <f>IFERROR(__xludf.DUMMYFUNCTION("""COMPUTED_VALUE"""),"""skincare Accra"",")</f>
        <v>"skincare Accra",</v>
      </c>
    </row>
    <row r="1258">
      <c r="A1258" s="8" t="str">
        <f>IFERROR(__xludf.DUMMYFUNCTION("""COMPUTED_VALUE"""),"""makeup Accra"",")</f>
        <v>"makeup Accra",</v>
      </c>
    </row>
    <row r="1259">
      <c r="A1259" s="8" t="str">
        <f>IFERROR(__xludf.DUMMYFUNCTION("""COMPUTED_VALUE"""),"""nails Accra"",")</f>
        <v>"nails Accra",</v>
      </c>
    </row>
    <row r="1260">
      <c r="A1260" s="8" t="str">
        <f>IFERROR(__xludf.DUMMYFUNCTION("""COMPUTED_VALUE"""),"""curly hair Accra"",")</f>
        <v>"curly hair Accra",</v>
      </c>
    </row>
    <row r="1261">
      <c r="A1261" s="8" t="str">
        <f>IFERROR(__xludf.DUMMYFUNCTION("""COMPUTED_VALUE"""),"""thrift Accra"",")</f>
        <v>"thrift Accra",</v>
      </c>
    </row>
    <row r="1262">
      <c r="A1262" s="8" t="str">
        <f>IFERROR(__xludf.DUMMYFUNCTION("""COMPUTED_VALUE"""),"""streetwear Accra"",")</f>
        <v>"streetwear Accra",</v>
      </c>
    </row>
    <row r="1263">
      <c r="A1263" s="8" t="str">
        <f>IFERROR(__xludf.DUMMYFUNCTION("""COMPUTED_VALUE"""),"""luxury Accra"",")</f>
        <v>"luxury Accra",</v>
      </c>
    </row>
    <row r="1264">
      <c r="A1264" s="8" t="str">
        <f>IFERROR(__xludf.DUMMYFUNCTION("""COMPUTED_VALUE"""),"""handbags Accra"",")</f>
        <v>"handbags Accra",</v>
      </c>
    </row>
    <row r="1265">
      <c r="A1265" s="8" t="str">
        <f>IFERROR(__xludf.DUMMYFUNCTION("""COMPUTED_VALUE"""),"""sneakers Accra"",")</f>
        <v>"sneakers Accra",</v>
      </c>
    </row>
    <row r="1266">
      <c r="A1266" s="8" t="str">
        <f>IFERROR(__xludf.DUMMYFUNCTION("""COMPUTED_VALUE"""),"""high heels Accra"",")</f>
        <v>"high heels Accra",</v>
      </c>
    </row>
    <row r="1267">
      <c r="A1267" s="8" t="str">
        <f>IFERROR(__xludf.DUMMYFUNCTION("""COMPUTED_VALUE"""),"""haute-couture Accra"",")</f>
        <v>"haute-couture Accra",</v>
      </c>
    </row>
    <row r="1268">
      <c r="A1268" s="8" t="str">
        <f>IFERROR(__xludf.DUMMYFUNCTION("""COMPUTED_VALUE"""),"""diyfashion Accra"",")</f>
        <v>"diyfashion Accra",</v>
      </c>
    </row>
    <row r="1269">
      <c r="A1269" s="8" t="str">
        <f>IFERROR(__xludf.DUMMYFUNCTION("""COMPUTED_VALUE"""),"""accessories Accra"",")</f>
        <v>"accessories Accra",</v>
      </c>
    </row>
    <row r="1270">
      <c r="A1270" s="8" t="str">
        <f>IFERROR(__xludf.DUMMYFUNCTION("""COMPUTED_VALUE"""),"""menswear Accra"",")</f>
        <v>"menswear Accra",</v>
      </c>
    </row>
    <row r="1271">
      <c r="A1271" s="8" t="str">
        <f>IFERROR(__xludf.DUMMYFUNCTION("""COMPUTED_VALUE"""),"""womenswear Accra"",")</f>
        <v>"womenswear Accra",</v>
      </c>
    </row>
    <row r="1272">
      <c r="A1272" s="8" t="str">
        <f>IFERROR(__xludf.DUMMYFUNCTION("""COMPUTED_VALUE"""),"""moda Accra"",")</f>
        <v>"moda Accra",</v>
      </c>
    </row>
    <row r="1273">
      <c r="A1273" s="8" t="str">
        <f>IFERROR(__xludf.DUMMYFUNCTION("""COMPUTED_VALUE"""),"""hairstyle Accra"",")</f>
        <v>"hairstyle Accra",</v>
      </c>
    </row>
    <row r="1274">
      <c r="A1274" s="8" t="str">
        <f>IFERROR(__xludf.DUMMYFUNCTION("""COMPUTED_VALUE"""),"""perfume Accra"",")</f>
        <v>"perfume Accra",</v>
      </c>
    </row>
    <row r="1275">
      <c r="A1275" s="8" t="str">
        <f>IFERROR(__xludf.DUMMYFUNCTION("""COMPUTED_VALUE"""),"""cosmetiques Accra"",")</f>
        <v>"cosmetiques Accra",</v>
      </c>
    </row>
    <row r="1276">
      <c r="A1276" s="8" t="str">
        <f>IFERROR(__xludf.DUMMYFUNCTION("""COMPUTED_VALUE"""),"""beauty routine Accra"",")</f>
        <v>"beauty routine Accra",</v>
      </c>
    </row>
    <row r="1277">
      <c r="A1277" s="8" t="str">
        <f>IFERROR(__xludf.DUMMYFUNCTION("""COMPUTED_VALUE"""),"""natural beauty Accra"",")</f>
        <v>"natural beauty Accra",</v>
      </c>
    </row>
    <row r="1278">
      <c r="A1278" s="8" t="str">
        <f>IFERROR(__xludf.DUMMYFUNCTION("""COMPUTED_VALUE"""),"""organic beauty Accra"",")</f>
        <v>"organic beauty Accra",</v>
      </c>
    </row>
    <row r="1279">
      <c r="A1279" s="8" t="str">
        <f>IFERROR(__xludf.DUMMYFUNCTION("""COMPUTED_VALUE"""),"""sustainable fashion Accra"",")</f>
        <v>"sustainable fashion Accra",</v>
      </c>
    </row>
    <row r="1280">
      <c r="A1280" s="8" t="str">
        <f>IFERROR(__xludf.DUMMYFUNCTION("""COMPUTED_VALUE"""),"""fashion hacks Accra"",")</f>
        <v>"fashion hacks Accra",</v>
      </c>
    </row>
    <row r="1281">
      <c r="A1281" s="8" t="str">
        <f>IFERROR(__xludf.DUMMYFUNCTION("""COMPUTED_VALUE"""),"""capsule wardrobe Accra"",")</f>
        <v>"capsule wardrobe Accra",</v>
      </c>
    </row>
    <row r="1282">
      <c r="A1282" s="8" t="str">
        <f>IFERROR(__xludf.DUMMYFUNCTION("""COMPUTED_VALUE"""),"""fashion trends Accra"",")</f>
        <v>"fashion trends Accra",</v>
      </c>
    </row>
    <row r="1283">
      <c r="A1283" s="8" t="str">
        <f>IFERROR(__xludf.DUMMYFUNCTION("""COMPUTED_VALUE"""),"""minimalist fashion Accra"",")</f>
        <v>"minimalist fashion Accra",</v>
      </c>
    </row>
    <row r="1284">
      <c r="A1284" s="8" t="str">
        <f>IFERROR(__xludf.DUMMYFUNCTION("""COMPUTED_VALUE"""),"""beauty hacks Accra"",")</f>
        <v>"beauty hacks Accra",</v>
      </c>
    </row>
    <row r="1285">
      <c r="A1285" s="8" t="str">
        <f>IFERROR(__xludf.DUMMYFUNCTION("""COMPUTED_VALUE"""),"""hair routines Accra"",")</f>
        <v>"hair routines Accra",</v>
      </c>
    </row>
    <row r="1286">
      <c r="A1286" s="8" t="str">
        <f>IFERROR(__xludf.DUMMYFUNCTION("""COMPUTED_VALUE"""),"""empties Accra"",")</f>
        <v>"empties Accra",</v>
      </c>
    </row>
    <row r="1287">
      <c r="A1287" s="8" t="str">
        <f>IFERROR(__xludf.DUMMYFUNCTION("""COMPUTED_VALUE"""),"""product reviews Accra"",")</f>
        <v>"product reviews Accra",</v>
      </c>
    </row>
    <row r="1288">
      <c r="A1288" s="8" t="str">
        <f>IFERROR(__xludf.DUMMYFUNCTION("""COMPUTED_VALUE"""),"""beauty reviews  Accra"",")</f>
        <v>"beauty reviews  Accra",</v>
      </c>
    </row>
    <row r="1289">
      <c r="A1289" s="8" t="str">
        <f>IFERROR(__xludf.DUMMYFUNCTION("""COMPUTED_VALUE"""),"""make-up artist Accra"",")</f>
        <v>"make-up artist Accra",</v>
      </c>
    </row>
    <row r="1290">
      <c r="A1290" s="8" t="str">
        <f>IFERROR(__xludf.DUMMYFUNCTION("""COMPUTED_VALUE"""),"""skincare journey Accra"",")</f>
        <v>"skincare journey Accra",</v>
      </c>
    </row>
    <row r="1291">
      <c r="A1291" s="8" t="str">
        <f>IFERROR(__xludf.DUMMYFUNCTION("""COMPUTED_VALUE"""),"""hair tutorial Accra"",")</f>
        <v>"hair tutorial Accra",</v>
      </c>
    </row>
    <row r="1292">
      <c r="A1292" s="8" t="str">
        <f>IFERROR(__xludf.DUMMYFUNCTION("""COMPUTED_VALUE"""),"""barbershop Accra"",")</f>
        <v>"barbershop Accra",</v>
      </c>
    </row>
    <row r="1293">
      <c r="A1293" s="8" t="str">
        <f>IFERROR(__xludf.DUMMYFUNCTION("""COMPUTED_VALUE"""),"""ootd Nairobi"",")</f>
        <v>"ootd Nairobi",</v>
      </c>
    </row>
    <row r="1294">
      <c r="A1294" s="8" t="str">
        <f>IFERROR(__xludf.DUMMYFUNCTION("""COMPUTED_VALUE"""),"""street style Nairobi"",")</f>
        <v>"street style Nairobi",</v>
      </c>
    </row>
    <row r="1295">
      <c r="A1295" s="8" t="str">
        <f>IFERROR(__xludf.DUMMYFUNCTION("""COMPUTED_VALUE"""),"""skincare Nairobi"",")</f>
        <v>"skincare Nairobi",</v>
      </c>
    </row>
    <row r="1296">
      <c r="A1296" s="8" t="str">
        <f>IFERROR(__xludf.DUMMYFUNCTION("""COMPUTED_VALUE"""),"""makeup Nairobi"",")</f>
        <v>"makeup Nairobi",</v>
      </c>
    </row>
    <row r="1297">
      <c r="A1297" s="8" t="str">
        <f>IFERROR(__xludf.DUMMYFUNCTION("""COMPUTED_VALUE"""),"""nails Nairobi"",")</f>
        <v>"nails Nairobi",</v>
      </c>
    </row>
    <row r="1298">
      <c r="A1298" s="8" t="str">
        <f>IFERROR(__xludf.DUMMYFUNCTION("""COMPUTED_VALUE"""),"""curly hair Nairobi"",")</f>
        <v>"curly hair Nairobi",</v>
      </c>
    </row>
    <row r="1299">
      <c r="A1299" s="8" t="str">
        <f>IFERROR(__xludf.DUMMYFUNCTION("""COMPUTED_VALUE"""),"""thrift Nairobi"",")</f>
        <v>"thrift Nairobi",</v>
      </c>
    </row>
    <row r="1300">
      <c r="A1300" s="8" t="str">
        <f>IFERROR(__xludf.DUMMYFUNCTION("""COMPUTED_VALUE"""),"""streetwear Nairobi"",")</f>
        <v>"streetwear Nairobi",</v>
      </c>
    </row>
    <row r="1301">
      <c r="A1301" s="8" t="str">
        <f>IFERROR(__xludf.DUMMYFUNCTION("""COMPUTED_VALUE"""),"""luxury Nairobi"",")</f>
        <v>"luxury Nairobi",</v>
      </c>
    </row>
    <row r="1302">
      <c r="A1302" s="8" t="str">
        <f>IFERROR(__xludf.DUMMYFUNCTION("""COMPUTED_VALUE"""),"""handbags Nairobi"",")</f>
        <v>"handbags Nairobi",</v>
      </c>
    </row>
    <row r="1303">
      <c r="A1303" s="8" t="str">
        <f>IFERROR(__xludf.DUMMYFUNCTION("""COMPUTED_VALUE"""),"""sneakers Nairobi"",")</f>
        <v>"sneakers Nairobi",</v>
      </c>
    </row>
    <row r="1304">
      <c r="A1304" s="8" t="str">
        <f>IFERROR(__xludf.DUMMYFUNCTION("""COMPUTED_VALUE"""),"""high heels Nairobi"",")</f>
        <v>"high heels Nairobi",</v>
      </c>
    </row>
    <row r="1305">
      <c r="A1305" s="8" t="str">
        <f>IFERROR(__xludf.DUMMYFUNCTION("""COMPUTED_VALUE"""),"""haute-couture Nairobi"",")</f>
        <v>"haute-couture Nairobi",</v>
      </c>
    </row>
    <row r="1306">
      <c r="A1306" s="8" t="str">
        <f>IFERROR(__xludf.DUMMYFUNCTION("""COMPUTED_VALUE"""),"""diyfashion Nairobi"",")</f>
        <v>"diyfashion Nairobi",</v>
      </c>
    </row>
    <row r="1307">
      <c r="A1307" s="8" t="str">
        <f>IFERROR(__xludf.DUMMYFUNCTION("""COMPUTED_VALUE"""),"""accessories Nairobi"",")</f>
        <v>"accessories Nairobi",</v>
      </c>
    </row>
    <row r="1308">
      <c r="A1308" s="8" t="str">
        <f>IFERROR(__xludf.DUMMYFUNCTION("""COMPUTED_VALUE"""),"""menswear Nairobi"",")</f>
        <v>"menswear Nairobi",</v>
      </c>
    </row>
    <row r="1309">
      <c r="A1309" s="8" t="str">
        <f>IFERROR(__xludf.DUMMYFUNCTION("""COMPUTED_VALUE"""),"""womenswear Nairobi"",")</f>
        <v>"womenswear Nairobi",</v>
      </c>
    </row>
    <row r="1310">
      <c r="A1310" s="8" t="str">
        <f>IFERROR(__xludf.DUMMYFUNCTION("""COMPUTED_VALUE"""),"""moda Nairobi"",")</f>
        <v>"moda Nairobi",</v>
      </c>
    </row>
    <row r="1311">
      <c r="A1311" s="8" t="str">
        <f>IFERROR(__xludf.DUMMYFUNCTION("""COMPUTED_VALUE"""),"""hairstyle Nairobi"",")</f>
        <v>"hairstyle Nairobi",</v>
      </c>
    </row>
    <row r="1312">
      <c r="A1312" s="8" t="str">
        <f>IFERROR(__xludf.DUMMYFUNCTION("""COMPUTED_VALUE"""),"""perfume Nairobi"",")</f>
        <v>"perfume Nairobi",</v>
      </c>
    </row>
    <row r="1313">
      <c r="A1313" s="8" t="str">
        <f>IFERROR(__xludf.DUMMYFUNCTION("""COMPUTED_VALUE"""),"""cosmetiques Nairobi"",")</f>
        <v>"cosmetiques Nairobi",</v>
      </c>
    </row>
    <row r="1314">
      <c r="A1314" s="8" t="str">
        <f>IFERROR(__xludf.DUMMYFUNCTION("""COMPUTED_VALUE"""),"""beauty routine Nairobi"",")</f>
        <v>"beauty routine Nairobi",</v>
      </c>
    </row>
    <row r="1315">
      <c r="A1315" s="8" t="str">
        <f>IFERROR(__xludf.DUMMYFUNCTION("""COMPUTED_VALUE"""),"""natural beauty Nairobi"",")</f>
        <v>"natural beauty Nairobi",</v>
      </c>
    </row>
    <row r="1316">
      <c r="A1316" s="8" t="str">
        <f>IFERROR(__xludf.DUMMYFUNCTION("""COMPUTED_VALUE"""),"""organic beauty Nairobi"",")</f>
        <v>"organic beauty Nairobi",</v>
      </c>
    </row>
    <row r="1317">
      <c r="A1317" s="8" t="str">
        <f>IFERROR(__xludf.DUMMYFUNCTION("""COMPUTED_VALUE"""),"""sustainable fashion Nairobi"",")</f>
        <v>"sustainable fashion Nairobi",</v>
      </c>
    </row>
    <row r="1318">
      <c r="A1318" s="8" t="str">
        <f>IFERROR(__xludf.DUMMYFUNCTION("""COMPUTED_VALUE"""),"""fashion hacks Nairobi"",")</f>
        <v>"fashion hacks Nairobi",</v>
      </c>
    </row>
    <row r="1319">
      <c r="A1319" s="8" t="str">
        <f>IFERROR(__xludf.DUMMYFUNCTION("""COMPUTED_VALUE"""),"""capsule wardrobe Nairobi"",")</f>
        <v>"capsule wardrobe Nairobi",</v>
      </c>
    </row>
    <row r="1320">
      <c r="A1320" s="8" t="str">
        <f>IFERROR(__xludf.DUMMYFUNCTION("""COMPUTED_VALUE"""),"""fashion trends Nairobi"",")</f>
        <v>"fashion trends Nairobi",</v>
      </c>
    </row>
    <row r="1321">
      <c r="A1321" s="8" t="str">
        <f>IFERROR(__xludf.DUMMYFUNCTION("""COMPUTED_VALUE"""),"""minimalist fashion Nairobi"",")</f>
        <v>"minimalist fashion Nairobi",</v>
      </c>
    </row>
    <row r="1322">
      <c r="A1322" s="8" t="str">
        <f>IFERROR(__xludf.DUMMYFUNCTION("""COMPUTED_VALUE"""),"""beauty hacks Nairobi"",")</f>
        <v>"beauty hacks Nairobi",</v>
      </c>
    </row>
    <row r="1323">
      <c r="A1323" s="8" t="str">
        <f>IFERROR(__xludf.DUMMYFUNCTION("""COMPUTED_VALUE"""),"""hair routines Nairobi"",")</f>
        <v>"hair routines Nairobi",</v>
      </c>
    </row>
    <row r="1324">
      <c r="A1324" s="8" t="str">
        <f>IFERROR(__xludf.DUMMYFUNCTION("""COMPUTED_VALUE"""),"""empties Nairobi"",")</f>
        <v>"empties Nairobi",</v>
      </c>
    </row>
    <row r="1325">
      <c r="A1325" s="8" t="str">
        <f>IFERROR(__xludf.DUMMYFUNCTION("""COMPUTED_VALUE"""),"""product reviews Nairobi"",")</f>
        <v>"product reviews Nairobi",</v>
      </c>
    </row>
    <row r="1326">
      <c r="A1326" s="8" t="str">
        <f>IFERROR(__xludf.DUMMYFUNCTION("""COMPUTED_VALUE"""),"""beauty reviews  Nairobi"",")</f>
        <v>"beauty reviews  Nairobi",</v>
      </c>
    </row>
    <row r="1327">
      <c r="A1327" s="8" t="str">
        <f>IFERROR(__xludf.DUMMYFUNCTION("""COMPUTED_VALUE"""),"""make-up artist Nairobi"",")</f>
        <v>"make-up artist Nairobi",</v>
      </c>
    </row>
    <row r="1328">
      <c r="A1328" s="8" t="str">
        <f>IFERROR(__xludf.DUMMYFUNCTION("""COMPUTED_VALUE"""),"""skincare journey Nairobi"",")</f>
        <v>"skincare journey Nairobi",</v>
      </c>
    </row>
    <row r="1329">
      <c r="A1329" s="8" t="str">
        <f>IFERROR(__xludf.DUMMYFUNCTION("""COMPUTED_VALUE"""),"""hair tutorial Nairobi"",")</f>
        <v>"hair tutorial Nairobi",</v>
      </c>
    </row>
    <row r="1330">
      <c r="A1330" s="8" t="str">
        <f>IFERROR(__xludf.DUMMYFUNCTION("""COMPUTED_VALUE"""),"""barbershop Nairobi"",")</f>
        <v>"barbershop Nairobi",</v>
      </c>
    </row>
    <row r="1331">
      <c r="A1331" s="8" t="str">
        <f>IFERROR(__xludf.DUMMYFUNCTION("""COMPUTED_VALUE"""),"""ootd Tokyo"",")</f>
        <v>"ootd Tokyo",</v>
      </c>
    </row>
    <row r="1332">
      <c r="A1332" s="8" t="str">
        <f>IFERROR(__xludf.DUMMYFUNCTION("""COMPUTED_VALUE"""),"""street style Tokyo"",")</f>
        <v>"street style Tokyo",</v>
      </c>
    </row>
    <row r="1333">
      <c r="A1333" s="8" t="str">
        <f>IFERROR(__xludf.DUMMYFUNCTION("""COMPUTED_VALUE"""),"""skincare Tokyo"",")</f>
        <v>"skincare Tokyo",</v>
      </c>
    </row>
    <row r="1334">
      <c r="A1334" s="8" t="str">
        <f>IFERROR(__xludf.DUMMYFUNCTION("""COMPUTED_VALUE"""),"""makeup Tokyo"",")</f>
        <v>"makeup Tokyo",</v>
      </c>
    </row>
    <row r="1335">
      <c r="A1335" s="8" t="str">
        <f>IFERROR(__xludf.DUMMYFUNCTION("""COMPUTED_VALUE"""),"""nails Tokyo"",")</f>
        <v>"nails Tokyo",</v>
      </c>
    </row>
    <row r="1336">
      <c r="A1336" s="8" t="str">
        <f>IFERROR(__xludf.DUMMYFUNCTION("""COMPUTED_VALUE"""),"""curly hair Tokyo"",")</f>
        <v>"curly hair Tokyo",</v>
      </c>
    </row>
    <row r="1337">
      <c r="A1337" s="8" t="str">
        <f>IFERROR(__xludf.DUMMYFUNCTION("""COMPUTED_VALUE"""),"""thrift Tokyo"",")</f>
        <v>"thrift Tokyo",</v>
      </c>
    </row>
    <row r="1338">
      <c r="A1338" s="8" t="str">
        <f>IFERROR(__xludf.DUMMYFUNCTION("""COMPUTED_VALUE"""),"""streetwear Tokyo"",")</f>
        <v>"streetwear Tokyo",</v>
      </c>
    </row>
    <row r="1339">
      <c r="A1339" s="8" t="str">
        <f>IFERROR(__xludf.DUMMYFUNCTION("""COMPUTED_VALUE"""),"""luxury Tokyo"",")</f>
        <v>"luxury Tokyo",</v>
      </c>
    </row>
    <row r="1340">
      <c r="A1340" s="9" t="str">
        <f>IFERROR(__xludf.DUMMYFUNCTION("""COMPUTED_VALUE"""),"""handbags Tokyo"",")</f>
        <v>"handbags Tokyo",</v>
      </c>
    </row>
    <row r="1341">
      <c r="A1341" s="8" t="str">
        <f>IFERROR(__xludf.DUMMYFUNCTION("""COMPUTED_VALUE"""),"""sneakers Tokyo"",")</f>
        <v>"sneakers Tokyo",</v>
      </c>
    </row>
    <row r="1342">
      <c r="A1342" s="8" t="str">
        <f>IFERROR(__xludf.DUMMYFUNCTION("""COMPUTED_VALUE"""),"""high heels Tokyo"",")</f>
        <v>"high heels Tokyo",</v>
      </c>
    </row>
    <row r="1343">
      <c r="A1343" s="8" t="str">
        <f>IFERROR(__xludf.DUMMYFUNCTION("""COMPUTED_VALUE"""),"""haute-couture Tokyo"",")</f>
        <v>"haute-couture Tokyo",</v>
      </c>
    </row>
    <row r="1344">
      <c r="A1344" s="8" t="str">
        <f>IFERROR(__xludf.DUMMYFUNCTION("""COMPUTED_VALUE"""),"""diyfashion Tokyo"",")</f>
        <v>"diyfashion Tokyo",</v>
      </c>
    </row>
    <row r="1345">
      <c r="A1345" s="8" t="str">
        <f>IFERROR(__xludf.DUMMYFUNCTION("""COMPUTED_VALUE"""),"""accessories Tokyo"",")</f>
        <v>"accessories Tokyo",</v>
      </c>
    </row>
    <row r="1346">
      <c r="A1346" s="8" t="str">
        <f>IFERROR(__xludf.DUMMYFUNCTION("""COMPUTED_VALUE"""),"""menswear Tokyo"",")</f>
        <v>"menswear Tokyo",</v>
      </c>
    </row>
    <row r="1347">
      <c r="A1347" s="8" t="str">
        <f>IFERROR(__xludf.DUMMYFUNCTION("""COMPUTED_VALUE"""),"""womenswear Tokyo"",")</f>
        <v>"womenswear Tokyo",</v>
      </c>
    </row>
    <row r="1348">
      <c r="A1348" s="8" t="str">
        <f>IFERROR(__xludf.DUMMYFUNCTION("""COMPUTED_VALUE"""),"""moda Tokyo"",")</f>
        <v>"moda Tokyo",</v>
      </c>
    </row>
    <row r="1349">
      <c r="A1349" s="8" t="str">
        <f>IFERROR(__xludf.DUMMYFUNCTION("""COMPUTED_VALUE"""),"""hairstyle Tokyo"",")</f>
        <v>"hairstyle Tokyo",</v>
      </c>
    </row>
    <row r="1350">
      <c r="A1350" s="8" t="str">
        <f>IFERROR(__xludf.DUMMYFUNCTION("""COMPUTED_VALUE"""),"""perfume Tokyo"",")</f>
        <v>"perfume Tokyo",</v>
      </c>
    </row>
    <row r="1351">
      <c r="A1351" s="8" t="str">
        <f>IFERROR(__xludf.DUMMYFUNCTION("""COMPUTED_VALUE"""),"""cosmetiques Tokyo"",")</f>
        <v>"cosmetiques Tokyo",</v>
      </c>
    </row>
    <row r="1352">
      <c r="A1352" s="8" t="str">
        <f>IFERROR(__xludf.DUMMYFUNCTION("""COMPUTED_VALUE"""),"""beauty routine Tokyo"",")</f>
        <v>"beauty routine Tokyo",</v>
      </c>
    </row>
    <row r="1353">
      <c r="A1353" s="8" t="str">
        <f>IFERROR(__xludf.DUMMYFUNCTION("""COMPUTED_VALUE"""),"""natural beauty Tokyo"",")</f>
        <v>"natural beauty Tokyo",</v>
      </c>
    </row>
    <row r="1354">
      <c r="A1354" s="8" t="str">
        <f>IFERROR(__xludf.DUMMYFUNCTION("""COMPUTED_VALUE"""),"""organic beauty Tokyo"",")</f>
        <v>"organic beauty Tokyo",</v>
      </c>
    </row>
    <row r="1355">
      <c r="A1355" s="8" t="str">
        <f>IFERROR(__xludf.DUMMYFUNCTION("""COMPUTED_VALUE"""),"""sustainable fashion Tokyo"",")</f>
        <v>"sustainable fashion Tokyo",</v>
      </c>
    </row>
    <row r="1356">
      <c r="A1356" s="8" t="str">
        <f>IFERROR(__xludf.DUMMYFUNCTION("""COMPUTED_VALUE"""),"""fashion hacks Tokyo"",")</f>
        <v>"fashion hacks Tokyo",</v>
      </c>
    </row>
    <row r="1357">
      <c r="A1357" s="8" t="str">
        <f>IFERROR(__xludf.DUMMYFUNCTION("""COMPUTED_VALUE"""),"""capsule wardrobe Tokyo"",")</f>
        <v>"capsule wardrobe Tokyo",</v>
      </c>
    </row>
    <row r="1358">
      <c r="A1358" s="8" t="str">
        <f>IFERROR(__xludf.DUMMYFUNCTION("""COMPUTED_VALUE"""),"""fashion trends Tokyo"",")</f>
        <v>"fashion trends Tokyo",</v>
      </c>
    </row>
    <row r="1359">
      <c r="A1359" s="8" t="str">
        <f>IFERROR(__xludf.DUMMYFUNCTION("""COMPUTED_VALUE"""),"""minimalist fashion Tokyo"",")</f>
        <v>"minimalist fashion Tokyo",</v>
      </c>
    </row>
    <row r="1360">
      <c r="A1360" s="8" t="str">
        <f>IFERROR(__xludf.DUMMYFUNCTION("""COMPUTED_VALUE"""),"""beauty hacks Tokyo"",")</f>
        <v>"beauty hacks Tokyo",</v>
      </c>
    </row>
    <row r="1361">
      <c r="A1361" s="8" t="str">
        <f>IFERROR(__xludf.DUMMYFUNCTION("""COMPUTED_VALUE"""),"""hair routines Tokyo"",")</f>
        <v>"hair routines Tokyo",</v>
      </c>
    </row>
    <row r="1362">
      <c r="A1362" s="8" t="str">
        <f>IFERROR(__xludf.DUMMYFUNCTION("""COMPUTED_VALUE"""),"""empties Tokyo"",")</f>
        <v>"empties Tokyo",</v>
      </c>
    </row>
    <row r="1363">
      <c r="A1363" s="8" t="str">
        <f>IFERROR(__xludf.DUMMYFUNCTION("""COMPUTED_VALUE"""),"""product reviews Tokyo"",")</f>
        <v>"product reviews Tokyo",</v>
      </c>
    </row>
    <row r="1364">
      <c r="A1364" s="8" t="str">
        <f>IFERROR(__xludf.DUMMYFUNCTION("""COMPUTED_VALUE"""),"""beauty reviews  Tokyo"",")</f>
        <v>"beauty reviews  Tokyo",</v>
      </c>
    </row>
    <row r="1365">
      <c r="A1365" s="8" t="str">
        <f>IFERROR(__xludf.DUMMYFUNCTION("""COMPUTED_VALUE"""),"""make-up artist Tokyo"",")</f>
        <v>"make-up artist Tokyo",</v>
      </c>
    </row>
    <row r="1366">
      <c r="A1366" s="8" t="str">
        <f>IFERROR(__xludf.DUMMYFUNCTION("""COMPUTED_VALUE"""),"""skincare journey Tokyo"",")</f>
        <v>"skincare journey Tokyo",</v>
      </c>
    </row>
    <row r="1367">
      <c r="A1367" s="8" t="str">
        <f>IFERROR(__xludf.DUMMYFUNCTION("""COMPUTED_VALUE"""),"""hair tutorial Tokyo"",")</f>
        <v>"hair tutorial Tokyo",</v>
      </c>
    </row>
    <row r="1368">
      <c r="A1368" s="8" t="str">
        <f>IFERROR(__xludf.DUMMYFUNCTION("""COMPUTED_VALUE"""),"""barbershop Tokyo"",")</f>
        <v>"barbershop Tokyo",</v>
      </c>
    </row>
    <row r="1369">
      <c r="A1369" s="8" t="str">
        <f>IFERROR(__xludf.DUMMYFUNCTION("""COMPUTED_VALUE"""),"""ootd Osaka"",")</f>
        <v>"ootd Osaka",</v>
      </c>
    </row>
    <row r="1370">
      <c r="A1370" s="8" t="str">
        <f>IFERROR(__xludf.DUMMYFUNCTION("""COMPUTED_VALUE"""),"""street style Osaka"",")</f>
        <v>"street style Osaka",</v>
      </c>
    </row>
    <row r="1371">
      <c r="A1371" s="8" t="str">
        <f>IFERROR(__xludf.DUMMYFUNCTION("""COMPUTED_VALUE"""),"""skincare Osaka"",")</f>
        <v>"skincare Osaka",</v>
      </c>
    </row>
    <row r="1372">
      <c r="A1372" s="8" t="str">
        <f>IFERROR(__xludf.DUMMYFUNCTION("""COMPUTED_VALUE"""),"""makeup Osaka"",")</f>
        <v>"makeup Osaka",</v>
      </c>
    </row>
    <row r="1373">
      <c r="A1373" s="8" t="str">
        <f>IFERROR(__xludf.DUMMYFUNCTION("""COMPUTED_VALUE"""),"""nails Osaka"",")</f>
        <v>"nails Osaka",</v>
      </c>
    </row>
    <row r="1374">
      <c r="A1374" s="8" t="str">
        <f>IFERROR(__xludf.DUMMYFUNCTION("""COMPUTED_VALUE"""),"""curly hair Osaka"",")</f>
        <v>"curly hair Osaka",</v>
      </c>
    </row>
    <row r="1375">
      <c r="A1375" s="8" t="str">
        <f>IFERROR(__xludf.DUMMYFUNCTION("""COMPUTED_VALUE"""),"""thrift Osaka"",")</f>
        <v>"thrift Osaka",</v>
      </c>
    </row>
    <row r="1376">
      <c r="A1376" s="8" t="str">
        <f>IFERROR(__xludf.DUMMYFUNCTION("""COMPUTED_VALUE"""),"""streetwear Osaka"",")</f>
        <v>"streetwear Osaka",</v>
      </c>
    </row>
    <row r="1377">
      <c r="A1377" s="8" t="str">
        <f>IFERROR(__xludf.DUMMYFUNCTION("""COMPUTED_VALUE"""),"""luxury Osaka"",")</f>
        <v>"luxury Osaka",</v>
      </c>
    </row>
    <row r="1378">
      <c r="A1378" s="8" t="str">
        <f>IFERROR(__xludf.DUMMYFUNCTION("""COMPUTED_VALUE"""),"""handbags Osaka"",")</f>
        <v>"handbags Osaka",</v>
      </c>
    </row>
    <row r="1379">
      <c r="A1379" s="8" t="str">
        <f>IFERROR(__xludf.DUMMYFUNCTION("""COMPUTED_VALUE"""),"""sneakers Osaka"",")</f>
        <v>"sneakers Osaka",</v>
      </c>
    </row>
    <row r="1380">
      <c r="A1380" s="8" t="str">
        <f>IFERROR(__xludf.DUMMYFUNCTION("""COMPUTED_VALUE"""),"""high heels Osaka"",")</f>
        <v>"high heels Osaka",</v>
      </c>
    </row>
    <row r="1381">
      <c r="A1381" s="8" t="str">
        <f>IFERROR(__xludf.DUMMYFUNCTION("""COMPUTED_VALUE"""),"""haute-couture Osaka"",")</f>
        <v>"haute-couture Osaka",</v>
      </c>
    </row>
    <row r="1382">
      <c r="A1382" s="8" t="str">
        <f>IFERROR(__xludf.DUMMYFUNCTION("""COMPUTED_VALUE"""),"""diyfashion Osaka"",")</f>
        <v>"diyfashion Osaka",</v>
      </c>
    </row>
    <row r="1383">
      <c r="A1383" s="8" t="str">
        <f>IFERROR(__xludf.DUMMYFUNCTION("""COMPUTED_VALUE"""),"""accessories Osaka"",")</f>
        <v>"accessories Osaka",</v>
      </c>
    </row>
    <row r="1384">
      <c r="A1384" s="8" t="str">
        <f>IFERROR(__xludf.DUMMYFUNCTION("""COMPUTED_VALUE"""),"""menswear Osaka"",")</f>
        <v>"menswear Osaka",</v>
      </c>
    </row>
    <row r="1385">
      <c r="A1385" s="8" t="str">
        <f>IFERROR(__xludf.DUMMYFUNCTION("""COMPUTED_VALUE"""),"""womenswear Osaka"",")</f>
        <v>"womenswear Osaka",</v>
      </c>
    </row>
    <row r="1386">
      <c r="A1386" s="8" t="str">
        <f>IFERROR(__xludf.DUMMYFUNCTION("""COMPUTED_VALUE"""),"""moda Osaka"",")</f>
        <v>"moda Osaka",</v>
      </c>
    </row>
    <row r="1387">
      <c r="A1387" s="8" t="str">
        <f>IFERROR(__xludf.DUMMYFUNCTION("""COMPUTED_VALUE"""),"""hairstyle Osaka"",")</f>
        <v>"hairstyle Osaka",</v>
      </c>
    </row>
    <row r="1388">
      <c r="A1388" s="8" t="str">
        <f>IFERROR(__xludf.DUMMYFUNCTION("""COMPUTED_VALUE"""),"""perfume Osaka"",")</f>
        <v>"perfume Osaka",</v>
      </c>
    </row>
    <row r="1389">
      <c r="A1389" s="8" t="str">
        <f>IFERROR(__xludf.DUMMYFUNCTION("""COMPUTED_VALUE"""),"""cosmetiques Osaka"",")</f>
        <v>"cosmetiques Osaka",</v>
      </c>
    </row>
    <row r="1390">
      <c r="A1390" s="8" t="str">
        <f>IFERROR(__xludf.DUMMYFUNCTION("""COMPUTED_VALUE"""),"""beauty routine Osaka"",")</f>
        <v>"beauty routine Osaka",</v>
      </c>
    </row>
    <row r="1391">
      <c r="A1391" s="8" t="str">
        <f>IFERROR(__xludf.DUMMYFUNCTION("""COMPUTED_VALUE"""),"""natural beauty Osaka"",")</f>
        <v>"natural beauty Osaka",</v>
      </c>
    </row>
    <row r="1392">
      <c r="A1392" s="8" t="str">
        <f>IFERROR(__xludf.DUMMYFUNCTION("""COMPUTED_VALUE"""),"""organic beauty Osaka"",")</f>
        <v>"organic beauty Osaka",</v>
      </c>
    </row>
    <row r="1393">
      <c r="A1393" s="8" t="str">
        <f>IFERROR(__xludf.DUMMYFUNCTION("""COMPUTED_VALUE"""),"""sustainable fashion Osaka"",")</f>
        <v>"sustainable fashion Osaka",</v>
      </c>
    </row>
    <row r="1394">
      <c r="A1394" s="8" t="str">
        <f>IFERROR(__xludf.DUMMYFUNCTION("""COMPUTED_VALUE"""),"""fashion hacks Osaka"",")</f>
        <v>"fashion hacks Osaka",</v>
      </c>
    </row>
    <row r="1395">
      <c r="A1395" s="8" t="str">
        <f>IFERROR(__xludf.DUMMYFUNCTION("""COMPUTED_VALUE"""),"""capsule wardrobe Osaka"",")</f>
        <v>"capsule wardrobe Osaka",</v>
      </c>
    </row>
    <row r="1396">
      <c r="A1396" s="8" t="str">
        <f>IFERROR(__xludf.DUMMYFUNCTION("""COMPUTED_VALUE"""),"""fashion trends Osaka"",")</f>
        <v>"fashion trends Osaka",</v>
      </c>
    </row>
    <row r="1397">
      <c r="A1397" s="8" t="str">
        <f>IFERROR(__xludf.DUMMYFUNCTION("""COMPUTED_VALUE"""),"""minimalist fashion Osaka"",")</f>
        <v>"minimalist fashion Osaka",</v>
      </c>
    </row>
    <row r="1398">
      <c r="A1398" s="8" t="str">
        <f>IFERROR(__xludf.DUMMYFUNCTION("""COMPUTED_VALUE"""),"""beauty hacks Osaka"",")</f>
        <v>"beauty hacks Osaka",</v>
      </c>
    </row>
    <row r="1399">
      <c r="A1399" s="8" t="str">
        <f>IFERROR(__xludf.DUMMYFUNCTION("""COMPUTED_VALUE"""),"""hair routines Osaka"",")</f>
        <v>"hair routines Osaka",</v>
      </c>
    </row>
    <row r="1400">
      <c r="A1400" s="8" t="str">
        <f>IFERROR(__xludf.DUMMYFUNCTION("""COMPUTED_VALUE"""),"""empties Osaka"",")</f>
        <v>"empties Osaka",</v>
      </c>
    </row>
    <row r="1401">
      <c r="A1401" s="8" t="str">
        <f>IFERROR(__xludf.DUMMYFUNCTION("""COMPUTED_VALUE"""),"""product reviews Osaka"",")</f>
        <v>"product reviews Osaka",</v>
      </c>
    </row>
    <row r="1402">
      <c r="A1402" s="8" t="str">
        <f>IFERROR(__xludf.DUMMYFUNCTION("""COMPUTED_VALUE"""),"""beauty reviews  Osaka"",")</f>
        <v>"beauty reviews  Osaka",</v>
      </c>
    </row>
    <row r="1403">
      <c r="A1403" s="8" t="str">
        <f>IFERROR(__xludf.DUMMYFUNCTION("""COMPUTED_VALUE"""),"""make-up artist Osaka"",")</f>
        <v>"make-up artist Osaka",</v>
      </c>
    </row>
    <row r="1404">
      <c r="A1404" s="8" t="str">
        <f>IFERROR(__xludf.DUMMYFUNCTION("""COMPUTED_VALUE"""),"""skincare journey Osaka"",")</f>
        <v>"skincare journey Osaka",</v>
      </c>
    </row>
    <row r="1405">
      <c r="A1405" s="8" t="str">
        <f>IFERROR(__xludf.DUMMYFUNCTION("""COMPUTED_VALUE"""),"""hair tutorial Osaka"",")</f>
        <v>"hair tutorial Osaka",</v>
      </c>
    </row>
    <row r="1406">
      <c r="A1406" s="8" t="str">
        <f>IFERROR(__xludf.DUMMYFUNCTION("""COMPUTED_VALUE"""),"""barbershop Osaka"",")</f>
        <v>"barbershop Osaka",</v>
      </c>
    </row>
    <row r="1407">
      <c r="A1407" s="8" t="str">
        <f>IFERROR(__xludf.DUMMYFUNCTION("""COMPUTED_VALUE"""),"""ootd Seoul"",")</f>
        <v>"ootd Seoul",</v>
      </c>
    </row>
    <row r="1408">
      <c r="A1408" s="8" t="str">
        <f>IFERROR(__xludf.DUMMYFUNCTION("""COMPUTED_VALUE"""),"""street style Seoul"",")</f>
        <v>"street style Seoul",</v>
      </c>
    </row>
    <row r="1409">
      <c r="A1409" s="8" t="str">
        <f>IFERROR(__xludf.DUMMYFUNCTION("""COMPUTED_VALUE"""),"""skincare Seoul"",")</f>
        <v>"skincare Seoul",</v>
      </c>
    </row>
    <row r="1410">
      <c r="A1410" s="8" t="str">
        <f>IFERROR(__xludf.DUMMYFUNCTION("""COMPUTED_VALUE"""),"""makeup Seoul"",")</f>
        <v>"makeup Seoul",</v>
      </c>
    </row>
    <row r="1411">
      <c r="A1411" s="8" t="str">
        <f>IFERROR(__xludf.DUMMYFUNCTION("""COMPUTED_VALUE"""),"""nails Seoul"",")</f>
        <v>"nails Seoul",</v>
      </c>
    </row>
    <row r="1412">
      <c r="A1412" s="8" t="str">
        <f>IFERROR(__xludf.DUMMYFUNCTION("""COMPUTED_VALUE"""),"""curly hair Seoul"",")</f>
        <v>"curly hair Seoul",</v>
      </c>
    </row>
    <row r="1413">
      <c r="A1413" s="8" t="str">
        <f>IFERROR(__xludf.DUMMYFUNCTION("""COMPUTED_VALUE"""),"""thrift Seoul"",")</f>
        <v>"thrift Seoul",</v>
      </c>
    </row>
    <row r="1414">
      <c r="A1414" s="8" t="str">
        <f>IFERROR(__xludf.DUMMYFUNCTION("""COMPUTED_VALUE"""),"""streetwear Seoul"",")</f>
        <v>"streetwear Seoul",</v>
      </c>
    </row>
    <row r="1415">
      <c r="A1415" s="8" t="str">
        <f>IFERROR(__xludf.DUMMYFUNCTION("""COMPUTED_VALUE"""),"""luxury Seoul"",")</f>
        <v>"luxury Seoul",</v>
      </c>
    </row>
    <row r="1416">
      <c r="A1416" s="8" t="str">
        <f>IFERROR(__xludf.DUMMYFUNCTION("""COMPUTED_VALUE"""),"""handbags Seoul"",")</f>
        <v>"handbags Seoul",</v>
      </c>
    </row>
    <row r="1417">
      <c r="A1417" s="8" t="str">
        <f>IFERROR(__xludf.DUMMYFUNCTION("""COMPUTED_VALUE"""),"""sneakers Seoul"",")</f>
        <v>"sneakers Seoul",</v>
      </c>
    </row>
    <row r="1418">
      <c r="A1418" s="8" t="str">
        <f>IFERROR(__xludf.DUMMYFUNCTION("""COMPUTED_VALUE"""),"""high heels Seoul"",")</f>
        <v>"high heels Seoul",</v>
      </c>
    </row>
    <row r="1419">
      <c r="A1419" s="8" t="str">
        <f>IFERROR(__xludf.DUMMYFUNCTION("""COMPUTED_VALUE"""),"""haute-couture Seoul"",")</f>
        <v>"haute-couture Seoul",</v>
      </c>
    </row>
    <row r="1420">
      <c r="A1420" s="8" t="str">
        <f>IFERROR(__xludf.DUMMYFUNCTION("""COMPUTED_VALUE"""),"""diyfashion Seoul"",")</f>
        <v>"diyfashion Seoul",</v>
      </c>
    </row>
    <row r="1421">
      <c r="A1421" s="8" t="str">
        <f>IFERROR(__xludf.DUMMYFUNCTION("""COMPUTED_VALUE"""),"""accessories Seoul"",")</f>
        <v>"accessories Seoul",</v>
      </c>
    </row>
    <row r="1422">
      <c r="A1422" s="8" t="str">
        <f>IFERROR(__xludf.DUMMYFUNCTION("""COMPUTED_VALUE"""),"""menswear Seoul"",")</f>
        <v>"menswear Seoul",</v>
      </c>
    </row>
    <row r="1423">
      <c r="A1423" s="8" t="str">
        <f>IFERROR(__xludf.DUMMYFUNCTION("""COMPUTED_VALUE"""),"""womenswear Seoul"",")</f>
        <v>"womenswear Seoul",</v>
      </c>
    </row>
    <row r="1424">
      <c r="A1424" s="8" t="str">
        <f>IFERROR(__xludf.DUMMYFUNCTION("""COMPUTED_VALUE"""),"""moda Seoul"",")</f>
        <v>"moda Seoul",</v>
      </c>
    </row>
    <row r="1425">
      <c r="A1425" s="8" t="str">
        <f>IFERROR(__xludf.DUMMYFUNCTION("""COMPUTED_VALUE"""),"""hairstyle Seoul"",")</f>
        <v>"hairstyle Seoul",</v>
      </c>
    </row>
    <row r="1426">
      <c r="A1426" s="8" t="str">
        <f>IFERROR(__xludf.DUMMYFUNCTION("""COMPUTED_VALUE"""),"""perfume Seoul"",")</f>
        <v>"perfume Seoul",</v>
      </c>
    </row>
    <row r="1427">
      <c r="A1427" s="8" t="str">
        <f>IFERROR(__xludf.DUMMYFUNCTION("""COMPUTED_VALUE"""),"""cosmetiques Seoul"",")</f>
        <v>"cosmetiques Seoul",</v>
      </c>
    </row>
    <row r="1428">
      <c r="A1428" s="8" t="str">
        <f>IFERROR(__xludf.DUMMYFUNCTION("""COMPUTED_VALUE"""),"""beauty routine Seoul"",")</f>
        <v>"beauty routine Seoul",</v>
      </c>
    </row>
    <row r="1429">
      <c r="A1429" s="8" t="str">
        <f>IFERROR(__xludf.DUMMYFUNCTION("""COMPUTED_VALUE"""),"""natural beauty Seoul"",")</f>
        <v>"natural beauty Seoul",</v>
      </c>
    </row>
    <row r="1430">
      <c r="A1430" s="8" t="str">
        <f>IFERROR(__xludf.DUMMYFUNCTION("""COMPUTED_VALUE"""),"""organic beauty Seoul"",")</f>
        <v>"organic beauty Seoul",</v>
      </c>
    </row>
    <row r="1431">
      <c r="A1431" s="8" t="str">
        <f>IFERROR(__xludf.DUMMYFUNCTION("""COMPUTED_VALUE"""),"""sustainable fashion Seoul"",")</f>
        <v>"sustainable fashion Seoul",</v>
      </c>
    </row>
    <row r="1432">
      <c r="A1432" s="8" t="str">
        <f>IFERROR(__xludf.DUMMYFUNCTION("""COMPUTED_VALUE"""),"""fashion hacks Seoul"",")</f>
        <v>"fashion hacks Seoul",</v>
      </c>
    </row>
    <row r="1433">
      <c r="A1433" s="8" t="str">
        <f>IFERROR(__xludf.DUMMYFUNCTION("""COMPUTED_VALUE"""),"""capsule wardrobe Seoul"",")</f>
        <v>"capsule wardrobe Seoul",</v>
      </c>
    </row>
    <row r="1434">
      <c r="A1434" s="8" t="str">
        <f>IFERROR(__xludf.DUMMYFUNCTION("""COMPUTED_VALUE"""),"""fashion trends Seoul"",")</f>
        <v>"fashion trends Seoul",</v>
      </c>
    </row>
    <row r="1435">
      <c r="A1435" s="8" t="str">
        <f>IFERROR(__xludf.DUMMYFUNCTION("""COMPUTED_VALUE"""),"""minimalist fashion Seoul"",")</f>
        <v>"minimalist fashion Seoul",</v>
      </c>
    </row>
    <row r="1436">
      <c r="A1436" s="8" t="str">
        <f>IFERROR(__xludf.DUMMYFUNCTION("""COMPUTED_VALUE"""),"""beauty hacks Seoul"",")</f>
        <v>"beauty hacks Seoul",</v>
      </c>
    </row>
    <row r="1437">
      <c r="A1437" s="8" t="str">
        <f>IFERROR(__xludf.DUMMYFUNCTION("""COMPUTED_VALUE"""),"""hair routines Seoul"",")</f>
        <v>"hair routines Seoul",</v>
      </c>
    </row>
    <row r="1438">
      <c r="A1438" s="8" t="str">
        <f>IFERROR(__xludf.DUMMYFUNCTION("""COMPUTED_VALUE"""),"""empties Seoul"",")</f>
        <v>"empties Seoul",</v>
      </c>
    </row>
    <row r="1439">
      <c r="A1439" s="8" t="str">
        <f>IFERROR(__xludf.DUMMYFUNCTION("""COMPUTED_VALUE"""),"""product reviews Seoul"",")</f>
        <v>"product reviews Seoul",</v>
      </c>
    </row>
    <row r="1440">
      <c r="A1440" s="8" t="str">
        <f>IFERROR(__xludf.DUMMYFUNCTION("""COMPUTED_VALUE"""),"""beauty reviews  Seoul"",")</f>
        <v>"beauty reviews  Seoul",</v>
      </c>
    </row>
    <row r="1441">
      <c r="A1441" s="8" t="str">
        <f>IFERROR(__xludf.DUMMYFUNCTION("""COMPUTED_VALUE"""),"""make-up artist Seoul"",")</f>
        <v>"make-up artist Seoul",</v>
      </c>
    </row>
    <row r="1442">
      <c r="A1442" s="8" t="str">
        <f>IFERROR(__xludf.DUMMYFUNCTION("""COMPUTED_VALUE"""),"""skincare journey Seoul"",")</f>
        <v>"skincare journey Seoul",</v>
      </c>
    </row>
    <row r="1443">
      <c r="A1443" s="8" t="str">
        <f>IFERROR(__xludf.DUMMYFUNCTION("""COMPUTED_VALUE"""),"""hair tutorial Seoul"",")</f>
        <v>"hair tutorial Seoul",</v>
      </c>
    </row>
    <row r="1444">
      <c r="A1444" s="8" t="str">
        <f>IFERROR(__xludf.DUMMYFUNCTION("""COMPUTED_VALUE"""),"""barbershop Seoul"",")</f>
        <v>"barbershop Seoul",</v>
      </c>
    </row>
    <row r="1445">
      <c r="A1445" s="8" t="str">
        <f>IFERROR(__xludf.DUMMYFUNCTION("""COMPUTED_VALUE"""),"""ootd Shanghai"",")</f>
        <v>"ootd Shanghai",</v>
      </c>
    </row>
    <row r="1446">
      <c r="A1446" s="8" t="str">
        <f>IFERROR(__xludf.DUMMYFUNCTION("""COMPUTED_VALUE"""),"""street style Shanghai"",")</f>
        <v>"street style Shanghai",</v>
      </c>
    </row>
    <row r="1447">
      <c r="A1447" s="8" t="str">
        <f>IFERROR(__xludf.DUMMYFUNCTION("""COMPUTED_VALUE"""),"""skincare Shanghai"",")</f>
        <v>"skincare Shanghai",</v>
      </c>
    </row>
    <row r="1448">
      <c r="A1448" s="8" t="str">
        <f>IFERROR(__xludf.DUMMYFUNCTION("""COMPUTED_VALUE"""),"""makeup Shanghai"",")</f>
        <v>"makeup Shanghai",</v>
      </c>
    </row>
    <row r="1449">
      <c r="A1449" s="8" t="str">
        <f>IFERROR(__xludf.DUMMYFUNCTION("""COMPUTED_VALUE"""),"""nails Shanghai"",")</f>
        <v>"nails Shanghai",</v>
      </c>
    </row>
    <row r="1450">
      <c r="A1450" s="8" t="str">
        <f>IFERROR(__xludf.DUMMYFUNCTION("""COMPUTED_VALUE"""),"""curly hair Shanghai"",")</f>
        <v>"curly hair Shanghai",</v>
      </c>
    </row>
    <row r="1451">
      <c r="A1451" s="8" t="str">
        <f>IFERROR(__xludf.DUMMYFUNCTION("""COMPUTED_VALUE"""),"""thrift Shanghai"",")</f>
        <v>"thrift Shanghai",</v>
      </c>
    </row>
    <row r="1452">
      <c r="A1452" s="8" t="str">
        <f>IFERROR(__xludf.DUMMYFUNCTION("""COMPUTED_VALUE"""),"""streetwear Shanghai"",")</f>
        <v>"streetwear Shanghai",</v>
      </c>
    </row>
    <row r="1453">
      <c r="A1453" s="8" t="str">
        <f>IFERROR(__xludf.DUMMYFUNCTION("""COMPUTED_VALUE"""),"""luxury Shanghai"",")</f>
        <v>"luxury Shanghai",</v>
      </c>
    </row>
    <row r="1454">
      <c r="A1454" s="8" t="str">
        <f>IFERROR(__xludf.DUMMYFUNCTION("""COMPUTED_VALUE"""),"""handbags Shanghai"",")</f>
        <v>"handbags Shanghai",</v>
      </c>
    </row>
    <row r="1455">
      <c r="A1455" s="8" t="str">
        <f>IFERROR(__xludf.DUMMYFUNCTION("""COMPUTED_VALUE"""),"""sneakers Shanghai"",")</f>
        <v>"sneakers Shanghai",</v>
      </c>
    </row>
    <row r="1456">
      <c r="A1456" s="8" t="str">
        <f>IFERROR(__xludf.DUMMYFUNCTION("""COMPUTED_VALUE"""),"""high heels Shanghai"",")</f>
        <v>"high heels Shanghai",</v>
      </c>
    </row>
    <row r="1457">
      <c r="A1457" s="8" t="str">
        <f>IFERROR(__xludf.DUMMYFUNCTION("""COMPUTED_VALUE"""),"""haute-couture Shanghai"",")</f>
        <v>"haute-couture Shanghai",</v>
      </c>
    </row>
    <row r="1458">
      <c r="A1458" s="8" t="str">
        <f>IFERROR(__xludf.DUMMYFUNCTION("""COMPUTED_VALUE"""),"""diyfashion Shanghai"",")</f>
        <v>"diyfashion Shanghai",</v>
      </c>
    </row>
    <row r="1459">
      <c r="A1459" s="8" t="str">
        <f>IFERROR(__xludf.DUMMYFUNCTION("""COMPUTED_VALUE"""),"""accessories Shanghai"",")</f>
        <v>"accessories Shanghai",</v>
      </c>
    </row>
    <row r="1460">
      <c r="A1460" s="8" t="str">
        <f>IFERROR(__xludf.DUMMYFUNCTION("""COMPUTED_VALUE"""),"""menswear Shanghai"",")</f>
        <v>"menswear Shanghai",</v>
      </c>
    </row>
    <row r="1461">
      <c r="A1461" s="8" t="str">
        <f>IFERROR(__xludf.DUMMYFUNCTION("""COMPUTED_VALUE"""),"""womenswear Shanghai"",")</f>
        <v>"womenswear Shanghai",</v>
      </c>
    </row>
    <row r="1462">
      <c r="A1462" s="8" t="str">
        <f>IFERROR(__xludf.DUMMYFUNCTION("""COMPUTED_VALUE"""),"""moda Shanghai"",")</f>
        <v>"moda Shanghai",</v>
      </c>
    </row>
    <row r="1463">
      <c r="A1463" s="8" t="str">
        <f>IFERROR(__xludf.DUMMYFUNCTION("""COMPUTED_VALUE"""),"""hairstyle Shanghai"",")</f>
        <v>"hairstyle Shanghai",</v>
      </c>
    </row>
    <row r="1464">
      <c r="A1464" s="8" t="str">
        <f>IFERROR(__xludf.DUMMYFUNCTION("""COMPUTED_VALUE"""),"""perfume Shanghai"",")</f>
        <v>"perfume Shanghai",</v>
      </c>
    </row>
    <row r="1465">
      <c r="A1465" s="8" t="str">
        <f>IFERROR(__xludf.DUMMYFUNCTION("""COMPUTED_VALUE"""),"""cosmetiques Shanghai"",")</f>
        <v>"cosmetiques Shanghai",</v>
      </c>
    </row>
    <row r="1466">
      <c r="A1466" s="8" t="str">
        <f>IFERROR(__xludf.DUMMYFUNCTION("""COMPUTED_VALUE"""),"""beauty routine Shanghai"",")</f>
        <v>"beauty routine Shanghai",</v>
      </c>
    </row>
    <row r="1467">
      <c r="A1467" s="8" t="str">
        <f>IFERROR(__xludf.DUMMYFUNCTION("""COMPUTED_VALUE"""),"""natural beauty Shanghai"",")</f>
        <v>"natural beauty Shanghai",</v>
      </c>
    </row>
    <row r="1468">
      <c r="A1468" s="8" t="str">
        <f>IFERROR(__xludf.DUMMYFUNCTION("""COMPUTED_VALUE"""),"""organic beauty Shanghai"",")</f>
        <v>"organic beauty Shanghai",</v>
      </c>
    </row>
    <row r="1469">
      <c r="A1469" s="8" t="str">
        <f>IFERROR(__xludf.DUMMYFUNCTION("""COMPUTED_VALUE"""),"""sustainable fashion Shanghai"",")</f>
        <v>"sustainable fashion Shanghai",</v>
      </c>
    </row>
    <row r="1470">
      <c r="A1470" s="8" t="str">
        <f>IFERROR(__xludf.DUMMYFUNCTION("""COMPUTED_VALUE"""),"""fashion hacks Shanghai"",")</f>
        <v>"fashion hacks Shanghai",</v>
      </c>
    </row>
    <row r="1471">
      <c r="A1471" s="8" t="str">
        <f>IFERROR(__xludf.DUMMYFUNCTION("""COMPUTED_VALUE"""),"""capsule wardrobe Shanghai"",")</f>
        <v>"capsule wardrobe Shanghai",</v>
      </c>
    </row>
    <row r="1472">
      <c r="A1472" s="8" t="str">
        <f>IFERROR(__xludf.DUMMYFUNCTION("""COMPUTED_VALUE"""),"""fashion trends Shanghai"",")</f>
        <v>"fashion trends Shanghai",</v>
      </c>
    </row>
    <row r="1473">
      <c r="A1473" s="8" t="str">
        <f>IFERROR(__xludf.DUMMYFUNCTION("""COMPUTED_VALUE"""),"""minimalist fashion Shanghai"",")</f>
        <v>"minimalist fashion Shanghai",</v>
      </c>
    </row>
    <row r="1474">
      <c r="A1474" s="8" t="str">
        <f>IFERROR(__xludf.DUMMYFUNCTION("""COMPUTED_VALUE"""),"""beauty hacks Shanghai"",")</f>
        <v>"beauty hacks Shanghai",</v>
      </c>
    </row>
    <row r="1475">
      <c r="A1475" s="8" t="str">
        <f>IFERROR(__xludf.DUMMYFUNCTION("""COMPUTED_VALUE"""),"""hair routines Shanghai"",")</f>
        <v>"hair routines Shanghai",</v>
      </c>
    </row>
    <row r="1476">
      <c r="A1476" s="8" t="str">
        <f>IFERROR(__xludf.DUMMYFUNCTION("""COMPUTED_VALUE"""),"""empties Shanghai"",")</f>
        <v>"empties Shanghai",</v>
      </c>
    </row>
    <row r="1477">
      <c r="A1477" s="8" t="str">
        <f>IFERROR(__xludf.DUMMYFUNCTION("""COMPUTED_VALUE"""),"""product reviews Shanghai"",")</f>
        <v>"product reviews Shanghai",</v>
      </c>
    </row>
    <row r="1478">
      <c r="A1478" s="8" t="str">
        <f>IFERROR(__xludf.DUMMYFUNCTION("""COMPUTED_VALUE"""),"""beauty reviews  Shanghai"",")</f>
        <v>"beauty reviews  Shanghai",</v>
      </c>
    </row>
    <row r="1479">
      <c r="A1479" s="8" t="str">
        <f>IFERROR(__xludf.DUMMYFUNCTION("""COMPUTED_VALUE"""),"""make-up artist Shanghai"",")</f>
        <v>"make-up artist Shanghai",</v>
      </c>
    </row>
    <row r="1480">
      <c r="A1480" s="8" t="str">
        <f>IFERROR(__xludf.DUMMYFUNCTION("""COMPUTED_VALUE"""),"""skincare journey Shanghai"",")</f>
        <v>"skincare journey Shanghai",</v>
      </c>
    </row>
    <row r="1481">
      <c r="A1481" s="8" t="str">
        <f>IFERROR(__xludf.DUMMYFUNCTION("""COMPUTED_VALUE"""),"""hair tutorial Shanghai"",")</f>
        <v>"hair tutorial Shanghai",</v>
      </c>
    </row>
    <row r="1482">
      <c r="A1482" s="8" t="str">
        <f>IFERROR(__xludf.DUMMYFUNCTION("""COMPUTED_VALUE"""),"""barbershop Shanghai"",")</f>
        <v>"barbershop Shanghai",</v>
      </c>
    </row>
    <row r="1483">
      <c r="A1483" s="8" t="str">
        <f>IFERROR(__xludf.DUMMYFUNCTION("""COMPUTED_VALUE"""),"""ootd Beijing"",")</f>
        <v>"ootd Beijing",</v>
      </c>
    </row>
    <row r="1484">
      <c r="A1484" s="8" t="str">
        <f>IFERROR(__xludf.DUMMYFUNCTION("""COMPUTED_VALUE"""),"""street style Beijing"",")</f>
        <v>"street style Beijing",</v>
      </c>
    </row>
    <row r="1485">
      <c r="A1485" s="8" t="str">
        <f>IFERROR(__xludf.DUMMYFUNCTION("""COMPUTED_VALUE"""),"""skincare Beijing"",")</f>
        <v>"skincare Beijing",</v>
      </c>
    </row>
    <row r="1486">
      <c r="A1486" s="8" t="str">
        <f>IFERROR(__xludf.DUMMYFUNCTION("""COMPUTED_VALUE"""),"""makeup Beijing"",")</f>
        <v>"makeup Beijing",</v>
      </c>
    </row>
    <row r="1487">
      <c r="A1487" s="8" t="str">
        <f>IFERROR(__xludf.DUMMYFUNCTION("""COMPUTED_VALUE"""),"""nails Beijing"",")</f>
        <v>"nails Beijing",</v>
      </c>
    </row>
    <row r="1488">
      <c r="A1488" s="8" t="str">
        <f>IFERROR(__xludf.DUMMYFUNCTION("""COMPUTED_VALUE"""),"""curly hair Beijing"",")</f>
        <v>"curly hair Beijing",</v>
      </c>
    </row>
    <row r="1489">
      <c r="A1489" s="8" t="str">
        <f>IFERROR(__xludf.DUMMYFUNCTION("""COMPUTED_VALUE"""),"""thrift Beijing"",")</f>
        <v>"thrift Beijing",</v>
      </c>
    </row>
    <row r="1490">
      <c r="A1490" s="8" t="str">
        <f>IFERROR(__xludf.DUMMYFUNCTION("""COMPUTED_VALUE"""),"""streetwear Beijing"",")</f>
        <v>"streetwear Beijing",</v>
      </c>
    </row>
    <row r="1491">
      <c r="A1491" s="8" t="str">
        <f>IFERROR(__xludf.DUMMYFUNCTION("""COMPUTED_VALUE"""),"""luxury Beijing"",")</f>
        <v>"luxury Beijing",</v>
      </c>
    </row>
    <row r="1492">
      <c r="A1492" s="8" t="str">
        <f>IFERROR(__xludf.DUMMYFUNCTION("""COMPUTED_VALUE"""),"""handbags Beijing"",")</f>
        <v>"handbags Beijing",</v>
      </c>
    </row>
    <row r="1493">
      <c r="A1493" s="8" t="str">
        <f>IFERROR(__xludf.DUMMYFUNCTION("""COMPUTED_VALUE"""),"""sneakers Beijing"",")</f>
        <v>"sneakers Beijing",</v>
      </c>
    </row>
    <row r="1494">
      <c r="A1494" s="8" t="str">
        <f>IFERROR(__xludf.DUMMYFUNCTION("""COMPUTED_VALUE"""),"""high heels Beijing"",")</f>
        <v>"high heels Beijing",</v>
      </c>
    </row>
    <row r="1495">
      <c r="A1495" s="8" t="str">
        <f>IFERROR(__xludf.DUMMYFUNCTION("""COMPUTED_VALUE"""),"""haute-couture Beijing"",")</f>
        <v>"haute-couture Beijing",</v>
      </c>
    </row>
    <row r="1496">
      <c r="A1496" s="8" t="str">
        <f>IFERROR(__xludf.DUMMYFUNCTION("""COMPUTED_VALUE"""),"""diyfashion Beijing"",")</f>
        <v>"diyfashion Beijing",</v>
      </c>
    </row>
    <row r="1497">
      <c r="A1497" s="8" t="str">
        <f>IFERROR(__xludf.DUMMYFUNCTION("""COMPUTED_VALUE"""),"""accessories Beijing"",")</f>
        <v>"accessories Beijing",</v>
      </c>
    </row>
    <row r="1498">
      <c r="A1498" s="8" t="str">
        <f>IFERROR(__xludf.DUMMYFUNCTION("""COMPUTED_VALUE"""),"""menswear Beijing"",")</f>
        <v>"menswear Beijing",</v>
      </c>
    </row>
    <row r="1499">
      <c r="A1499" s="8" t="str">
        <f>IFERROR(__xludf.DUMMYFUNCTION("""COMPUTED_VALUE"""),"""womenswear Beijing"",")</f>
        <v>"womenswear Beijing",</v>
      </c>
    </row>
    <row r="1500">
      <c r="A1500" s="8" t="str">
        <f>IFERROR(__xludf.DUMMYFUNCTION("""COMPUTED_VALUE"""),"""moda Beijing"",")</f>
        <v>"moda Beijing",</v>
      </c>
    </row>
    <row r="1501">
      <c r="A1501" s="8" t="str">
        <f>IFERROR(__xludf.DUMMYFUNCTION("""COMPUTED_VALUE"""),"""hairstyle Beijing"",")</f>
        <v>"hairstyle Beijing",</v>
      </c>
    </row>
    <row r="1502">
      <c r="A1502" s="8" t="str">
        <f>IFERROR(__xludf.DUMMYFUNCTION("""COMPUTED_VALUE"""),"""perfume Beijing"",")</f>
        <v>"perfume Beijing",</v>
      </c>
    </row>
    <row r="1503">
      <c r="A1503" s="8" t="str">
        <f>IFERROR(__xludf.DUMMYFUNCTION("""COMPUTED_VALUE"""),"""cosmetiques Beijing"",")</f>
        <v>"cosmetiques Beijing",</v>
      </c>
    </row>
    <row r="1504">
      <c r="A1504" s="8" t="str">
        <f>IFERROR(__xludf.DUMMYFUNCTION("""COMPUTED_VALUE"""),"""beauty routine Beijing"",")</f>
        <v>"beauty routine Beijing",</v>
      </c>
    </row>
    <row r="1505">
      <c r="A1505" s="8" t="str">
        <f>IFERROR(__xludf.DUMMYFUNCTION("""COMPUTED_VALUE"""),"""natural beauty Beijing"",")</f>
        <v>"natural beauty Beijing",</v>
      </c>
    </row>
    <row r="1506">
      <c r="A1506" s="8" t="str">
        <f>IFERROR(__xludf.DUMMYFUNCTION("""COMPUTED_VALUE"""),"""organic beauty Beijing"",")</f>
        <v>"organic beauty Beijing",</v>
      </c>
    </row>
    <row r="1507">
      <c r="A1507" s="8" t="str">
        <f>IFERROR(__xludf.DUMMYFUNCTION("""COMPUTED_VALUE"""),"""sustainable fashion Beijing"",")</f>
        <v>"sustainable fashion Beijing",</v>
      </c>
    </row>
    <row r="1508">
      <c r="A1508" s="8" t="str">
        <f>IFERROR(__xludf.DUMMYFUNCTION("""COMPUTED_VALUE"""),"""fashion hacks Beijing"",")</f>
        <v>"fashion hacks Beijing",</v>
      </c>
    </row>
    <row r="1509">
      <c r="A1509" s="8" t="str">
        <f>IFERROR(__xludf.DUMMYFUNCTION("""COMPUTED_VALUE"""),"""capsule wardrobe Beijing"",")</f>
        <v>"capsule wardrobe Beijing",</v>
      </c>
    </row>
    <row r="1510">
      <c r="A1510" s="8" t="str">
        <f>IFERROR(__xludf.DUMMYFUNCTION("""COMPUTED_VALUE"""),"""fashion trends Beijing"",")</f>
        <v>"fashion trends Beijing",</v>
      </c>
    </row>
    <row r="1511">
      <c r="A1511" s="8" t="str">
        <f>IFERROR(__xludf.DUMMYFUNCTION("""COMPUTED_VALUE"""),"""minimalist fashion Beijing"",")</f>
        <v>"minimalist fashion Beijing",</v>
      </c>
    </row>
    <row r="1512">
      <c r="A1512" s="8" t="str">
        <f>IFERROR(__xludf.DUMMYFUNCTION("""COMPUTED_VALUE"""),"""beauty hacks Beijing"",")</f>
        <v>"beauty hacks Beijing",</v>
      </c>
    </row>
    <row r="1513">
      <c r="A1513" s="8" t="str">
        <f>IFERROR(__xludf.DUMMYFUNCTION("""COMPUTED_VALUE"""),"""hair routines Beijing"",")</f>
        <v>"hair routines Beijing",</v>
      </c>
    </row>
    <row r="1514">
      <c r="A1514" s="8" t="str">
        <f>IFERROR(__xludf.DUMMYFUNCTION("""COMPUTED_VALUE"""),"""empties Beijing"",")</f>
        <v>"empties Beijing",</v>
      </c>
    </row>
    <row r="1515">
      <c r="A1515" s="8" t="str">
        <f>IFERROR(__xludf.DUMMYFUNCTION("""COMPUTED_VALUE"""),"""product reviews Beijing"",")</f>
        <v>"product reviews Beijing",</v>
      </c>
    </row>
    <row r="1516">
      <c r="A1516" s="8" t="str">
        <f>IFERROR(__xludf.DUMMYFUNCTION("""COMPUTED_VALUE"""),"""beauty reviews  Beijing"",")</f>
        <v>"beauty reviews  Beijing",</v>
      </c>
    </row>
    <row r="1517">
      <c r="A1517" s="8" t="str">
        <f>IFERROR(__xludf.DUMMYFUNCTION("""COMPUTED_VALUE"""),"""make-up artist Beijing"",")</f>
        <v>"make-up artist Beijing",</v>
      </c>
    </row>
    <row r="1518">
      <c r="A1518" s="8" t="str">
        <f>IFERROR(__xludf.DUMMYFUNCTION("""COMPUTED_VALUE"""),"""skincare journey Beijing"",")</f>
        <v>"skincare journey Beijing",</v>
      </c>
    </row>
    <row r="1519">
      <c r="A1519" s="8" t="str">
        <f>IFERROR(__xludf.DUMMYFUNCTION("""COMPUTED_VALUE"""),"""hair tutorial Beijing"",")</f>
        <v>"hair tutorial Beijing",</v>
      </c>
    </row>
    <row r="1520">
      <c r="A1520" s="8" t="str">
        <f>IFERROR(__xludf.DUMMYFUNCTION("""COMPUTED_VALUE"""),"""barbershop Beijing"",")</f>
        <v>"barbershop Beijing",</v>
      </c>
    </row>
    <row r="1521">
      <c r="A1521" s="8" t="str">
        <f>IFERROR(__xludf.DUMMYFUNCTION("""COMPUTED_VALUE"""),"""ootd Hong Kong"",")</f>
        <v>"ootd Hong Kong",</v>
      </c>
    </row>
    <row r="1522">
      <c r="A1522" s="8" t="str">
        <f>IFERROR(__xludf.DUMMYFUNCTION("""COMPUTED_VALUE"""),"""street style Hong Kong"",")</f>
        <v>"street style Hong Kong",</v>
      </c>
    </row>
    <row r="1523">
      <c r="A1523" s="8" t="str">
        <f>IFERROR(__xludf.DUMMYFUNCTION("""COMPUTED_VALUE"""),"""skincare Hong Kong"",")</f>
        <v>"skincare Hong Kong",</v>
      </c>
    </row>
    <row r="1524">
      <c r="A1524" s="8" t="str">
        <f>IFERROR(__xludf.DUMMYFUNCTION("""COMPUTED_VALUE"""),"""makeup Hong Kong"",")</f>
        <v>"makeup Hong Kong",</v>
      </c>
    </row>
    <row r="1525">
      <c r="A1525" s="8" t="str">
        <f>IFERROR(__xludf.DUMMYFUNCTION("""COMPUTED_VALUE"""),"""nails Hong Kong"",")</f>
        <v>"nails Hong Kong",</v>
      </c>
    </row>
    <row r="1526">
      <c r="A1526" s="8" t="str">
        <f>IFERROR(__xludf.DUMMYFUNCTION("""COMPUTED_VALUE"""),"""curly hair Hong Kong"",")</f>
        <v>"curly hair Hong Kong",</v>
      </c>
    </row>
    <row r="1527">
      <c r="A1527" s="8" t="str">
        <f>IFERROR(__xludf.DUMMYFUNCTION("""COMPUTED_VALUE"""),"""thrift Hong Kong"",")</f>
        <v>"thrift Hong Kong",</v>
      </c>
    </row>
    <row r="1528">
      <c r="A1528" s="8" t="str">
        <f>IFERROR(__xludf.DUMMYFUNCTION("""COMPUTED_VALUE"""),"""streetwear Hong Kong"",")</f>
        <v>"streetwear Hong Kong",</v>
      </c>
    </row>
    <row r="1529">
      <c r="A1529" s="8" t="str">
        <f>IFERROR(__xludf.DUMMYFUNCTION("""COMPUTED_VALUE"""),"""luxury Hong Kong"",")</f>
        <v>"luxury Hong Kong",</v>
      </c>
    </row>
    <row r="1530">
      <c r="A1530" s="8" t="str">
        <f>IFERROR(__xludf.DUMMYFUNCTION("""COMPUTED_VALUE"""),"""handbags Hong Kong"",")</f>
        <v>"handbags Hong Kong",</v>
      </c>
    </row>
    <row r="1531">
      <c r="A1531" s="8" t="str">
        <f>IFERROR(__xludf.DUMMYFUNCTION("""COMPUTED_VALUE"""),"""sneakers Hong Kong"",")</f>
        <v>"sneakers Hong Kong",</v>
      </c>
    </row>
    <row r="1532">
      <c r="A1532" s="8" t="str">
        <f>IFERROR(__xludf.DUMMYFUNCTION("""COMPUTED_VALUE"""),"""high heels Hong Kong"",")</f>
        <v>"high heels Hong Kong",</v>
      </c>
    </row>
    <row r="1533">
      <c r="A1533" s="8" t="str">
        <f>IFERROR(__xludf.DUMMYFUNCTION("""COMPUTED_VALUE"""),"""haute-couture Hong Kong"",")</f>
        <v>"haute-couture Hong Kong",</v>
      </c>
    </row>
    <row r="1534">
      <c r="A1534" s="8" t="str">
        <f>IFERROR(__xludf.DUMMYFUNCTION("""COMPUTED_VALUE"""),"""diyfashion Hong Kong"",")</f>
        <v>"diyfashion Hong Kong",</v>
      </c>
    </row>
    <row r="1535">
      <c r="A1535" s="8" t="str">
        <f>IFERROR(__xludf.DUMMYFUNCTION("""COMPUTED_VALUE"""),"""accessories Hong Kong"",")</f>
        <v>"accessories Hong Kong",</v>
      </c>
    </row>
    <row r="1536">
      <c r="A1536" s="8" t="str">
        <f>IFERROR(__xludf.DUMMYFUNCTION("""COMPUTED_VALUE"""),"""menswear Hong Kong"",")</f>
        <v>"menswear Hong Kong",</v>
      </c>
    </row>
    <row r="1537">
      <c r="A1537" s="8" t="str">
        <f>IFERROR(__xludf.DUMMYFUNCTION("""COMPUTED_VALUE"""),"""womenswear Hong Kong"",")</f>
        <v>"womenswear Hong Kong",</v>
      </c>
    </row>
    <row r="1538">
      <c r="A1538" s="8" t="str">
        <f>IFERROR(__xludf.DUMMYFUNCTION("""COMPUTED_VALUE"""),"""moda Hong Kong"",")</f>
        <v>"moda Hong Kong",</v>
      </c>
    </row>
    <row r="1539">
      <c r="A1539" s="8" t="str">
        <f>IFERROR(__xludf.DUMMYFUNCTION("""COMPUTED_VALUE"""),"""hairstyle Hong Kong"",")</f>
        <v>"hairstyle Hong Kong",</v>
      </c>
    </row>
    <row r="1540">
      <c r="A1540" s="9" t="str">
        <f>IFERROR(__xludf.DUMMYFUNCTION("""COMPUTED_VALUE"""),"""perfume Hong Kong"",")</f>
        <v>"perfume Hong Kong",</v>
      </c>
    </row>
    <row r="1541">
      <c r="A1541" s="8" t="str">
        <f>IFERROR(__xludf.DUMMYFUNCTION("""COMPUTED_VALUE"""),"""cosmetiques Hong Kong"",")</f>
        <v>"cosmetiques Hong Kong",</v>
      </c>
    </row>
    <row r="1542">
      <c r="A1542" s="8" t="str">
        <f>IFERROR(__xludf.DUMMYFUNCTION("""COMPUTED_VALUE"""),"""beauty routine Hong Kong"",")</f>
        <v>"beauty routine Hong Kong",</v>
      </c>
    </row>
    <row r="1543">
      <c r="A1543" s="8" t="str">
        <f>IFERROR(__xludf.DUMMYFUNCTION("""COMPUTED_VALUE"""),"""natural beauty Hong Kong"",")</f>
        <v>"natural beauty Hong Kong",</v>
      </c>
    </row>
    <row r="1544">
      <c r="A1544" s="8" t="str">
        <f>IFERROR(__xludf.DUMMYFUNCTION("""COMPUTED_VALUE"""),"""organic beauty Hong Kong"",")</f>
        <v>"organic beauty Hong Kong",</v>
      </c>
    </row>
    <row r="1545">
      <c r="A1545" s="8" t="str">
        <f>IFERROR(__xludf.DUMMYFUNCTION("""COMPUTED_VALUE"""),"""sustainable fashion Hong Kong"",")</f>
        <v>"sustainable fashion Hong Kong",</v>
      </c>
    </row>
    <row r="1546">
      <c r="A1546" s="8" t="str">
        <f>IFERROR(__xludf.DUMMYFUNCTION("""COMPUTED_VALUE"""),"""fashion hacks Hong Kong"",")</f>
        <v>"fashion hacks Hong Kong",</v>
      </c>
    </row>
    <row r="1547">
      <c r="A1547" s="8" t="str">
        <f>IFERROR(__xludf.DUMMYFUNCTION("""COMPUTED_VALUE"""),"""capsule wardrobe Hong Kong"",")</f>
        <v>"capsule wardrobe Hong Kong",</v>
      </c>
    </row>
    <row r="1548">
      <c r="A1548" s="8" t="str">
        <f>IFERROR(__xludf.DUMMYFUNCTION("""COMPUTED_VALUE"""),"""fashion trends Hong Kong"",")</f>
        <v>"fashion trends Hong Kong",</v>
      </c>
    </row>
    <row r="1549">
      <c r="A1549" s="8" t="str">
        <f>IFERROR(__xludf.DUMMYFUNCTION("""COMPUTED_VALUE"""),"""minimalist fashion Hong Kong"",")</f>
        <v>"minimalist fashion Hong Kong",</v>
      </c>
    </row>
    <row r="1550">
      <c r="A1550" s="8" t="str">
        <f>IFERROR(__xludf.DUMMYFUNCTION("""COMPUTED_VALUE"""),"""beauty hacks Hong Kong"",")</f>
        <v>"beauty hacks Hong Kong",</v>
      </c>
    </row>
    <row r="1551">
      <c r="A1551" s="8" t="str">
        <f>IFERROR(__xludf.DUMMYFUNCTION("""COMPUTED_VALUE"""),"""hair routines Hong Kong"",")</f>
        <v>"hair routines Hong Kong",</v>
      </c>
    </row>
    <row r="1552">
      <c r="A1552" s="8" t="str">
        <f>IFERROR(__xludf.DUMMYFUNCTION("""COMPUTED_VALUE"""),"""empties Hong Kong"",")</f>
        <v>"empties Hong Kong",</v>
      </c>
    </row>
    <row r="1553">
      <c r="A1553" s="8" t="str">
        <f>IFERROR(__xludf.DUMMYFUNCTION("""COMPUTED_VALUE"""),"""product reviews Hong Kong"",")</f>
        <v>"product reviews Hong Kong",</v>
      </c>
    </row>
    <row r="1554">
      <c r="A1554" s="8" t="str">
        <f>IFERROR(__xludf.DUMMYFUNCTION("""COMPUTED_VALUE"""),"""beauty reviews  Hong Kong"",")</f>
        <v>"beauty reviews  Hong Kong",</v>
      </c>
    </row>
    <row r="1555">
      <c r="A1555" s="8" t="str">
        <f>IFERROR(__xludf.DUMMYFUNCTION("""COMPUTED_VALUE"""),"""make-up artist Hong Kong"",")</f>
        <v>"make-up artist Hong Kong",</v>
      </c>
    </row>
    <row r="1556">
      <c r="A1556" s="8" t="str">
        <f>IFERROR(__xludf.DUMMYFUNCTION("""COMPUTED_VALUE"""),"""skincare journey Hong Kong"",")</f>
        <v>"skincare journey Hong Kong",</v>
      </c>
    </row>
    <row r="1557">
      <c r="A1557" s="8" t="str">
        <f>IFERROR(__xludf.DUMMYFUNCTION("""COMPUTED_VALUE"""),"""hair tutorial Hong Kong"",")</f>
        <v>"hair tutorial Hong Kong",</v>
      </c>
    </row>
    <row r="1558">
      <c r="A1558" s="8" t="str">
        <f>IFERROR(__xludf.DUMMYFUNCTION("""COMPUTED_VALUE"""),"""barbershop Hong Kong"",")</f>
        <v>"barbershop Hong Kong",</v>
      </c>
    </row>
    <row r="1559">
      <c r="A1559" s="8" t="str">
        <f>IFERROR(__xludf.DUMMYFUNCTION("""COMPUTED_VALUE"""),"""ootd Singapore"",")</f>
        <v>"ootd Singapore",</v>
      </c>
    </row>
    <row r="1560">
      <c r="A1560" s="8" t="str">
        <f>IFERROR(__xludf.DUMMYFUNCTION("""COMPUTED_VALUE"""),"""street style Singapore"",")</f>
        <v>"street style Singapore",</v>
      </c>
    </row>
    <row r="1561">
      <c r="A1561" s="8" t="str">
        <f>IFERROR(__xludf.DUMMYFUNCTION("""COMPUTED_VALUE"""),"""skincare Singapore"",")</f>
        <v>"skincare Singapore",</v>
      </c>
    </row>
    <row r="1562">
      <c r="A1562" s="8" t="str">
        <f>IFERROR(__xludf.DUMMYFUNCTION("""COMPUTED_VALUE"""),"""makeup Singapore"",")</f>
        <v>"makeup Singapore",</v>
      </c>
    </row>
    <row r="1563">
      <c r="A1563" s="8" t="str">
        <f>IFERROR(__xludf.DUMMYFUNCTION("""COMPUTED_VALUE"""),"""nails Singapore"",")</f>
        <v>"nails Singapore",</v>
      </c>
    </row>
    <row r="1564">
      <c r="A1564" s="8" t="str">
        <f>IFERROR(__xludf.DUMMYFUNCTION("""COMPUTED_VALUE"""),"""curly hair Singapore"",")</f>
        <v>"curly hair Singapore",</v>
      </c>
    </row>
    <row r="1565">
      <c r="A1565" s="8" t="str">
        <f>IFERROR(__xludf.DUMMYFUNCTION("""COMPUTED_VALUE"""),"""thrift Singapore"",")</f>
        <v>"thrift Singapore",</v>
      </c>
    </row>
    <row r="1566">
      <c r="A1566" s="8" t="str">
        <f>IFERROR(__xludf.DUMMYFUNCTION("""COMPUTED_VALUE"""),"""streetwear Singapore"",")</f>
        <v>"streetwear Singapore",</v>
      </c>
    </row>
    <row r="1567">
      <c r="A1567" s="8" t="str">
        <f>IFERROR(__xludf.DUMMYFUNCTION("""COMPUTED_VALUE"""),"""luxury Singapore"",")</f>
        <v>"luxury Singapore",</v>
      </c>
    </row>
    <row r="1568">
      <c r="A1568" s="8" t="str">
        <f>IFERROR(__xludf.DUMMYFUNCTION("""COMPUTED_VALUE"""),"""handbags Singapore"",")</f>
        <v>"handbags Singapore",</v>
      </c>
    </row>
    <row r="1569">
      <c r="A1569" s="8" t="str">
        <f>IFERROR(__xludf.DUMMYFUNCTION("""COMPUTED_VALUE"""),"""sneakers Singapore"",")</f>
        <v>"sneakers Singapore",</v>
      </c>
    </row>
    <row r="1570">
      <c r="A1570" s="8" t="str">
        <f>IFERROR(__xludf.DUMMYFUNCTION("""COMPUTED_VALUE"""),"""high heels Singapore"",")</f>
        <v>"high heels Singapore",</v>
      </c>
    </row>
    <row r="1571">
      <c r="A1571" s="8" t="str">
        <f>IFERROR(__xludf.DUMMYFUNCTION("""COMPUTED_VALUE"""),"""haute-couture Singapore"",")</f>
        <v>"haute-couture Singapore",</v>
      </c>
    </row>
    <row r="1572">
      <c r="A1572" s="8" t="str">
        <f>IFERROR(__xludf.DUMMYFUNCTION("""COMPUTED_VALUE"""),"""diyfashion Singapore"",")</f>
        <v>"diyfashion Singapore",</v>
      </c>
    </row>
    <row r="1573">
      <c r="A1573" s="8" t="str">
        <f>IFERROR(__xludf.DUMMYFUNCTION("""COMPUTED_VALUE"""),"""accessories Singapore"",")</f>
        <v>"accessories Singapore",</v>
      </c>
    </row>
    <row r="1574">
      <c r="A1574" s="8" t="str">
        <f>IFERROR(__xludf.DUMMYFUNCTION("""COMPUTED_VALUE"""),"""menswear Singapore"",")</f>
        <v>"menswear Singapore",</v>
      </c>
    </row>
    <row r="1575">
      <c r="A1575" s="8" t="str">
        <f>IFERROR(__xludf.DUMMYFUNCTION("""COMPUTED_VALUE"""),"""womenswear Singapore"",")</f>
        <v>"womenswear Singapore",</v>
      </c>
    </row>
    <row r="1576">
      <c r="A1576" s="8" t="str">
        <f>IFERROR(__xludf.DUMMYFUNCTION("""COMPUTED_VALUE"""),"""moda Singapore"",")</f>
        <v>"moda Singapore",</v>
      </c>
    </row>
    <row r="1577">
      <c r="A1577" s="8" t="str">
        <f>IFERROR(__xludf.DUMMYFUNCTION("""COMPUTED_VALUE"""),"""hairstyle Singapore"",")</f>
        <v>"hairstyle Singapore",</v>
      </c>
    </row>
    <row r="1578">
      <c r="A1578" s="8" t="str">
        <f>IFERROR(__xludf.DUMMYFUNCTION("""COMPUTED_VALUE"""),"""perfume Singapore"",")</f>
        <v>"perfume Singapore",</v>
      </c>
    </row>
    <row r="1579">
      <c r="A1579" s="8" t="str">
        <f>IFERROR(__xludf.DUMMYFUNCTION("""COMPUTED_VALUE"""),"""cosmetiques Singapore"",")</f>
        <v>"cosmetiques Singapore",</v>
      </c>
    </row>
    <row r="1580">
      <c r="A1580" s="8" t="str">
        <f>IFERROR(__xludf.DUMMYFUNCTION("""COMPUTED_VALUE"""),"""beauty routine Singapore"",")</f>
        <v>"beauty routine Singapore",</v>
      </c>
    </row>
    <row r="1581">
      <c r="A1581" s="8" t="str">
        <f>IFERROR(__xludf.DUMMYFUNCTION("""COMPUTED_VALUE"""),"""natural beauty Singapore"",")</f>
        <v>"natural beauty Singapore",</v>
      </c>
    </row>
    <row r="1582">
      <c r="A1582" s="8" t="str">
        <f>IFERROR(__xludf.DUMMYFUNCTION("""COMPUTED_VALUE"""),"""organic beauty Singapore"",")</f>
        <v>"organic beauty Singapore",</v>
      </c>
    </row>
    <row r="1583">
      <c r="A1583" s="8" t="str">
        <f>IFERROR(__xludf.DUMMYFUNCTION("""COMPUTED_VALUE"""),"""sustainable fashion Singapore"",")</f>
        <v>"sustainable fashion Singapore",</v>
      </c>
    </row>
    <row r="1584">
      <c r="A1584" s="8" t="str">
        <f>IFERROR(__xludf.DUMMYFUNCTION("""COMPUTED_VALUE"""),"""fashion hacks Singapore"",")</f>
        <v>"fashion hacks Singapore",</v>
      </c>
    </row>
    <row r="1585">
      <c r="A1585" s="8" t="str">
        <f>IFERROR(__xludf.DUMMYFUNCTION("""COMPUTED_VALUE"""),"""capsule wardrobe Singapore"",")</f>
        <v>"capsule wardrobe Singapore",</v>
      </c>
    </row>
    <row r="1586">
      <c r="A1586" s="8" t="str">
        <f>IFERROR(__xludf.DUMMYFUNCTION("""COMPUTED_VALUE"""),"""fashion trends Singapore"",")</f>
        <v>"fashion trends Singapore",</v>
      </c>
    </row>
    <row r="1587">
      <c r="A1587" s="8" t="str">
        <f>IFERROR(__xludf.DUMMYFUNCTION("""COMPUTED_VALUE"""),"""minimalist fashion Singapore"",")</f>
        <v>"minimalist fashion Singapore",</v>
      </c>
    </row>
    <row r="1588">
      <c r="A1588" s="8" t="str">
        <f>IFERROR(__xludf.DUMMYFUNCTION("""COMPUTED_VALUE"""),"""beauty hacks Singapore"",")</f>
        <v>"beauty hacks Singapore",</v>
      </c>
    </row>
    <row r="1589">
      <c r="A1589" s="8" t="str">
        <f>IFERROR(__xludf.DUMMYFUNCTION("""COMPUTED_VALUE"""),"""hair routines Singapore"",")</f>
        <v>"hair routines Singapore",</v>
      </c>
    </row>
    <row r="1590">
      <c r="A1590" s="8" t="str">
        <f>IFERROR(__xludf.DUMMYFUNCTION("""COMPUTED_VALUE"""),"""empties Singapore"",")</f>
        <v>"empties Singapore",</v>
      </c>
    </row>
    <row r="1591">
      <c r="A1591" s="8" t="str">
        <f>IFERROR(__xludf.DUMMYFUNCTION("""COMPUTED_VALUE"""),"""product reviews Singapore"",")</f>
        <v>"product reviews Singapore",</v>
      </c>
    </row>
    <row r="1592">
      <c r="A1592" s="8" t="str">
        <f>IFERROR(__xludf.DUMMYFUNCTION("""COMPUTED_VALUE"""),"""beauty reviews  Singapore"",")</f>
        <v>"beauty reviews  Singapore",</v>
      </c>
    </row>
    <row r="1593">
      <c r="A1593" s="8" t="str">
        <f>IFERROR(__xludf.DUMMYFUNCTION("""COMPUTED_VALUE"""),"""make-up artist Singapore"",")</f>
        <v>"make-up artist Singapore",</v>
      </c>
    </row>
    <row r="1594">
      <c r="A1594" s="8" t="str">
        <f>IFERROR(__xludf.DUMMYFUNCTION("""COMPUTED_VALUE"""),"""skincare journey Singapore"",")</f>
        <v>"skincare journey Singapore",</v>
      </c>
    </row>
    <row r="1595">
      <c r="A1595" s="8" t="str">
        <f>IFERROR(__xludf.DUMMYFUNCTION("""COMPUTED_VALUE"""),"""hair tutorial Singapore"",")</f>
        <v>"hair tutorial Singapore",</v>
      </c>
    </row>
    <row r="1596">
      <c r="A1596" s="8" t="str">
        <f>IFERROR(__xludf.DUMMYFUNCTION("""COMPUTED_VALUE"""),"""barbershop Singapore"",")</f>
        <v>"barbershop Singapore",</v>
      </c>
    </row>
    <row r="1597">
      <c r="A1597" s="8" t="str">
        <f>IFERROR(__xludf.DUMMYFUNCTION("""COMPUTED_VALUE"""),"""ootd Bangkok"",")</f>
        <v>"ootd Bangkok",</v>
      </c>
    </row>
    <row r="1598">
      <c r="A1598" s="8" t="str">
        <f>IFERROR(__xludf.DUMMYFUNCTION("""COMPUTED_VALUE"""),"""street style Bangkok"",")</f>
        <v>"street style Bangkok",</v>
      </c>
    </row>
    <row r="1599">
      <c r="A1599" s="8" t="str">
        <f>IFERROR(__xludf.DUMMYFUNCTION("""COMPUTED_VALUE"""),"""skincare Bangkok"",")</f>
        <v>"skincare Bangkok",</v>
      </c>
    </row>
    <row r="1600">
      <c r="A1600" s="8" t="str">
        <f>IFERROR(__xludf.DUMMYFUNCTION("""COMPUTED_VALUE"""),"""makeup Bangkok"",")</f>
        <v>"makeup Bangkok",</v>
      </c>
    </row>
    <row r="1601">
      <c r="A1601" s="8" t="str">
        <f>IFERROR(__xludf.DUMMYFUNCTION("""COMPUTED_VALUE"""),"""nails Bangkok"",")</f>
        <v>"nails Bangkok",</v>
      </c>
    </row>
    <row r="1602">
      <c r="A1602" s="8" t="str">
        <f>IFERROR(__xludf.DUMMYFUNCTION("""COMPUTED_VALUE"""),"""curly hair Bangkok"",")</f>
        <v>"curly hair Bangkok",</v>
      </c>
    </row>
    <row r="1603">
      <c r="A1603" s="8" t="str">
        <f>IFERROR(__xludf.DUMMYFUNCTION("""COMPUTED_VALUE"""),"""thrift Bangkok"",")</f>
        <v>"thrift Bangkok",</v>
      </c>
    </row>
    <row r="1604">
      <c r="A1604" s="8" t="str">
        <f>IFERROR(__xludf.DUMMYFUNCTION("""COMPUTED_VALUE"""),"""streetwear Bangkok"",")</f>
        <v>"streetwear Bangkok",</v>
      </c>
    </row>
    <row r="1605">
      <c r="A1605" s="8" t="str">
        <f>IFERROR(__xludf.DUMMYFUNCTION("""COMPUTED_VALUE"""),"""luxury Bangkok"",")</f>
        <v>"luxury Bangkok",</v>
      </c>
    </row>
    <row r="1606">
      <c r="A1606" s="8" t="str">
        <f>IFERROR(__xludf.DUMMYFUNCTION("""COMPUTED_VALUE"""),"""handbags Bangkok"",")</f>
        <v>"handbags Bangkok",</v>
      </c>
    </row>
    <row r="1607">
      <c r="A1607" s="8" t="str">
        <f>IFERROR(__xludf.DUMMYFUNCTION("""COMPUTED_VALUE"""),"""sneakers Bangkok"",")</f>
        <v>"sneakers Bangkok",</v>
      </c>
    </row>
    <row r="1608">
      <c r="A1608" s="8" t="str">
        <f>IFERROR(__xludf.DUMMYFUNCTION("""COMPUTED_VALUE"""),"""high heels Bangkok"",")</f>
        <v>"high heels Bangkok",</v>
      </c>
    </row>
    <row r="1609">
      <c r="A1609" s="8" t="str">
        <f>IFERROR(__xludf.DUMMYFUNCTION("""COMPUTED_VALUE"""),"""haute-couture Bangkok"",")</f>
        <v>"haute-couture Bangkok",</v>
      </c>
    </row>
    <row r="1610">
      <c r="A1610" s="8" t="str">
        <f>IFERROR(__xludf.DUMMYFUNCTION("""COMPUTED_VALUE"""),"""diyfashion Bangkok"",")</f>
        <v>"diyfashion Bangkok",</v>
      </c>
    </row>
    <row r="1611">
      <c r="A1611" s="8" t="str">
        <f>IFERROR(__xludf.DUMMYFUNCTION("""COMPUTED_VALUE"""),"""accessories Bangkok"",")</f>
        <v>"accessories Bangkok",</v>
      </c>
    </row>
    <row r="1612">
      <c r="A1612" s="8" t="str">
        <f>IFERROR(__xludf.DUMMYFUNCTION("""COMPUTED_VALUE"""),"""menswear Bangkok"",")</f>
        <v>"menswear Bangkok",</v>
      </c>
    </row>
    <row r="1613">
      <c r="A1613" s="8" t="str">
        <f>IFERROR(__xludf.DUMMYFUNCTION("""COMPUTED_VALUE"""),"""womenswear Bangkok"",")</f>
        <v>"womenswear Bangkok",</v>
      </c>
    </row>
    <row r="1614">
      <c r="A1614" s="8" t="str">
        <f>IFERROR(__xludf.DUMMYFUNCTION("""COMPUTED_VALUE"""),"""moda Bangkok"",")</f>
        <v>"moda Bangkok",</v>
      </c>
    </row>
    <row r="1615">
      <c r="A1615" s="8" t="str">
        <f>IFERROR(__xludf.DUMMYFUNCTION("""COMPUTED_VALUE"""),"""hairstyle Bangkok"",")</f>
        <v>"hairstyle Bangkok",</v>
      </c>
    </row>
    <row r="1616">
      <c r="A1616" s="8" t="str">
        <f>IFERROR(__xludf.DUMMYFUNCTION("""COMPUTED_VALUE"""),"""perfume Bangkok"",")</f>
        <v>"perfume Bangkok",</v>
      </c>
    </row>
    <row r="1617">
      <c r="A1617" s="8" t="str">
        <f>IFERROR(__xludf.DUMMYFUNCTION("""COMPUTED_VALUE"""),"""cosmetiques Bangkok"",")</f>
        <v>"cosmetiques Bangkok",</v>
      </c>
    </row>
    <row r="1618">
      <c r="A1618" s="8" t="str">
        <f>IFERROR(__xludf.DUMMYFUNCTION("""COMPUTED_VALUE"""),"""beauty routine Bangkok"",")</f>
        <v>"beauty routine Bangkok",</v>
      </c>
    </row>
    <row r="1619">
      <c r="A1619" s="8" t="str">
        <f>IFERROR(__xludf.DUMMYFUNCTION("""COMPUTED_VALUE"""),"""natural beauty Bangkok"",")</f>
        <v>"natural beauty Bangkok",</v>
      </c>
    </row>
    <row r="1620">
      <c r="A1620" s="8" t="str">
        <f>IFERROR(__xludf.DUMMYFUNCTION("""COMPUTED_VALUE"""),"""organic beauty Bangkok"",")</f>
        <v>"organic beauty Bangkok",</v>
      </c>
    </row>
    <row r="1621">
      <c r="A1621" s="8" t="str">
        <f>IFERROR(__xludf.DUMMYFUNCTION("""COMPUTED_VALUE"""),"""sustainable fashion Bangkok"",")</f>
        <v>"sustainable fashion Bangkok",</v>
      </c>
    </row>
    <row r="1622">
      <c r="A1622" s="8" t="str">
        <f>IFERROR(__xludf.DUMMYFUNCTION("""COMPUTED_VALUE"""),"""fashion hacks Bangkok"",")</f>
        <v>"fashion hacks Bangkok",</v>
      </c>
    </row>
    <row r="1623">
      <c r="A1623" s="8" t="str">
        <f>IFERROR(__xludf.DUMMYFUNCTION("""COMPUTED_VALUE"""),"""capsule wardrobe Bangkok"",")</f>
        <v>"capsule wardrobe Bangkok",</v>
      </c>
    </row>
    <row r="1624">
      <c r="A1624" s="8" t="str">
        <f>IFERROR(__xludf.DUMMYFUNCTION("""COMPUTED_VALUE"""),"""fashion trends Bangkok"",")</f>
        <v>"fashion trends Bangkok",</v>
      </c>
    </row>
    <row r="1625">
      <c r="A1625" s="8" t="str">
        <f>IFERROR(__xludf.DUMMYFUNCTION("""COMPUTED_VALUE"""),"""minimalist fashion Bangkok"",")</f>
        <v>"minimalist fashion Bangkok",</v>
      </c>
    </row>
    <row r="1626">
      <c r="A1626" s="8" t="str">
        <f>IFERROR(__xludf.DUMMYFUNCTION("""COMPUTED_VALUE"""),"""beauty hacks Bangkok"",")</f>
        <v>"beauty hacks Bangkok",</v>
      </c>
    </row>
    <row r="1627">
      <c r="A1627" s="8" t="str">
        <f>IFERROR(__xludf.DUMMYFUNCTION("""COMPUTED_VALUE"""),"""hair routines Bangkok"",")</f>
        <v>"hair routines Bangkok",</v>
      </c>
    </row>
    <row r="1628">
      <c r="A1628" s="8" t="str">
        <f>IFERROR(__xludf.DUMMYFUNCTION("""COMPUTED_VALUE"""),"""empties Bangkok"",")</f>
        <v>"empties Bangkok",</v>
      </c>
    </row>
    <row r="1629">
      <c r="A1629" s="8" t="str">
        <f>IFERROR(__xludf.DUMMYFUNCTION("""COMPUTED_VALUE"""),"""product reviews Bangkok"",")</f>
        <v>"product reviews Bangkok",</v>
      </c>
    </row>
    <row r="1630">
      <c r="A1630" s="8" t="str">
        <f>IFERROR(__xludf.DUMMYFUNCTION("""COMPUTED_VALUE"""),"""beauty reviews  Bangkok"",")</f>
        <v>"beauty reviews  Bangkok",</v>
      </c>
    </row>
    <row r="1631">
      <c r="A1631" s="8" t="str">
        <f>IFERROR(__xludf.DUMMYFUNCTION("""COMPUTED_VALUE"""),"""make-up artist Bangkok"",")</f>
        <v>"make-up artist Bangkok",</v>
      </c>
    </row>
    <row r="1632">
      <c r="A1632" s="8" t="str">
        <f>IFERROR(__xludf.DUMMYFUNCTION("""COMPUTED_VALUE"""),"""skincare journey Bangkok"",")</f>
        <v>"skincare journey Bangkok",</v>
      </c>
    </row>
    <row r="1633">
      <c r="A1633" s="8" t="str">
        <f>IFERROR(__xludf.DUMMYFUNCTION("""COMPUTED_VALUE"""),"""hair tutorial Bangkok"",")</f>
        <v>"hair tutorial Bangkok",</v>
      </c>
    </row>
    <row r="1634">
      <c r="A1634" s="8" t="str">
        <f>IFERROR(__xludf.DUMMYFUNCTION("""COMPUTED_VALUE"""),"""barbershop Bangkok"",")</f>
        <v>"barbershop Bangkok",</v>
      </c>
    </row>
    <row r="1635">
      <c r="A1635" s="8" t="str">
        <f>IFERROR(__xludf.DUMMYFUNCTION("""COMPUTED_VALUE"""),"""ootd Jakarta"",")</f>
        <v>"ootd Jakarta",</v>
      </c>
    </row>
    <row r="1636">
      <c r="A1636" s="8" t="str">
        <f>IFERROR(__xludf.DUMMYFUNCTION("""COMPUTED_VALUE"""),"""street style Jakarta"",")</f>
        <v>"street style Jakarta",</v>
      </c>
    </row>
    <row r="1637">
      <c r="A1637" s="8" t="str">
        <f>IFERROR(__xludf.DUMMYFUNCTION("""COMPUTED_VALUE"""),"""skincare Jakarta"",")</f>
        <v>"skincare Jakarta",</v>
      </c>
    </row>
    <row r="1638">
      <c r="A1638" s="8" t="str">
        <f>IFERROR(__xludf.DUMMYFUNCTION("""COMPUTED_VALUE"""),"""makeup Jakarta"",")</f>
        <v>"makeup Jakarta",</v>
      </c>
    </row>
    <row r="1639">
      <c r="A1639" s="8" t="str">
        <f>IFERROR(__xludf.DUMMYFUNCTION("""COMPUTED_VALUE"""),"""nails Jakarta"",")</f>
        <v>"nails Jakarta",</v>
      </c>
    </row>
    <row r="1640">
      <c r="A1640" s="8" t="str">
        <f>IFERROR(__xludf.DUMMYFUNCTION("""COMPUTED_VALUE"""),"""curly hair Jakarta"",")</f>
        <v>"curly hair Jakarta",</v>
      </c>
    </row>
    <row r="1641">
      <c r="A1641" s="8" t="str">
        <f>IFERROR(__xludf.DUMMYFUNCTION("""COMPUTED_VALUE"""),"""thrift Jakarta"",")</f>
        <v>"thrift Jakarta",</v>
      </c>
    </row>
    <row r="1642">
      <c r="A1642" s="8" t="str">
        <f>IFERROR(__xludf.DUMMYFUNCTION("""COMPUTED_VALUE"""),"""streetwear Jakarta"",")</f>
        <v>"streetwear Jakarta",</v>
      </c>
    </row>
    <row r="1643">
      <c r="A1643" s="8" t="str">
        <f>IFERROR(__xludf.DUMMYFUNCTION("""COMPUTED_VALUE"""),"""luxury Jakarta"",")</f>
        <v>"luxury Jakarta",</v>
      </c>
    </row>
    <row r="1644">
      <c r="A1644" s="8" t="str">
        <f>IFERROR(__xludf.DUMMYFUNCTION("""COMPUTED_VALUE"""),"""handbags Jakarta"",")</f>
        <v>"handbags Jakarta",</v>
      </c>
    </row>
    <row r="1645">
      <c r="A1645" s="8" t="str">
        <f>IFERROR(__xludf.DUMMYFUNCTION("""COMPUTED_VALUE"""),"""sneakers Jakarta"",")</f>
        <v>"sneakers Jakarta",</v>
      </c>
    </row>
    <row r="1646">
      <c r="A1646" s="8" t="str">
        <f>IFERROR(__xludf.DUMMYFUNCTION("""COMPUTED_VALUE"""),"""high heels Jakarta"",")</f>
        <v>"high heels Jakarta",</v>
      </c>
    </row>
    <row r="1647">
      <c r="A1647" s="8" t="str">
        <f>IFERROR(__xludf.DUMMYFUNCTION("""COMPUTED_VALUE"""),"""haute-couture Jakarta"",")</f>
        <v>"haute-couture Jakarta",</v>
      </c>
    </row>
    <row r="1648">
      <c r="A1648" s="8" t="str">
        <f>IFERROR(__xludf.DUMMYFUNCTION("""COMPUTED_VALUE"""),"""diyfashion Jakarta"",")</f>
        <v>"diyfashion Jakarta",</v>
      </c>
    </row>
    <row r="1649">
      <c r="A1649" s="8" t="str">
        <f>IFERROR(__xludf.DUMMYFUNCTION("""COMPUTED_VALUE"""),"""accessories Jakarta"",")</f>
        <v>"accessories Jakarta",</v>
      </c>
    </row>
    <row r="1650">
      <c r="A1650" s="8" t="str">
        <f>IFERROR(__xludf.DUMMYFUNCTION("""COMPUTED_VALUE"""),"""menswear Jakarta"",")</f>
        <v>"menswear Jakarta",</v>
      </c>
    </row>
    <row r="1651">
      <c r="A1651" s="8" t="str">
        <f>IFERROR(__xludf.DUMMYFUNCTION("""COMPUTED_VALUE"""),"""womenswear Jakarta"",")</f>
        <v>"womenswear Jakarta",</v>
      </c>
    </row>
    <row r="1652">
      <c r="A1652" s="8" t="str">
        <f>IFERROR(__xludf.DUMMYFUNCTION("""COMPUTED_VALUE"""),"""moda Jakarta"",")</f>
        <v>"moda Jakarta",</v>
      </c>
    </row>
    <row r="1653">
      <c r="A1653" s="8" t="str">
        <f>IFERROR(__xludf.DUMMYFUNCTION("""COMPUTED_VALUE"""),"""hairstyle Jakarta"",")</f>
        <v>"hairstyle Jakarta",</v>
      </c>
    </row>
    <row r="1654">
      <c r="A1654" s="8" t="str">
        <f>IFERROR(__xludf.DUMMYFUNCTION("""COMPUTED_VALUE"""),"""perfume Jakarta"",")</f>
        <v>"perfume Jakarta",</v>
      </c>
    </row>
    <row r="1655">
      <c r="A1655" s="8" t="str">
        <f>IFERROR(__xludf.DUMMYFUNCTION("""COMPUTED_VALUE"""),"""cosmetiques Jakarta"",")</f>
        <v>"cosmetiques Jakarta",</v>
      </c>
    </row>
    <row r="1656">
      <c r="A1656" s="8" t="str">
        <f>IFERROR(__xludf.DUMMYFUNCTION("""COMPUTED_VALUE"""),"""beauty routine Jakarta"",")</f>
        <v>"beauty routine Jakarta",</v>
      </c>
    </row>
    <row r="1657">
      <c r="A1657" s="8" t="str">
        <f>IFERROR(__xludf.DUMMYFUNCTION("""COMPUTED_VALUE"""),"""natural beauty Jakarta"",")</f>
        <v>"natural beauty Jakarta",</v>
      </c>
    </row>
    <row r="1658">
      <c r="A1658" s="8" t="str">
        <f>IFERROR(__xludf.DUMMYFUNCTION("""COMPUTED_VALUE"""),"""organic beauty Jakarta"",")</f>
        <v>"organic beauty Jakarta",</v>
      </c>
    </row>
    <row r="1659">
      <c r="A1659" s="8" t="str">
        <f>IFERROR(__xludf.DUMMYFUNCTION("""COMPUTED_VALUE"""),"""sustainable fashion Jakarta"",")</f>
        <v>"sustainable fashion Jakarta",</v>
      </c>
    </row>
    <row r="1660">
      <c r="A1660" s="8" t="str">
        <f>IFERROR(__xludf.DUMMYFUNCTION("""COMPUTED_VALUE"""),"""fashion hacks Jakarta"",")</f>
        <v>"fashion hacks Jakarta",</v>
      </c>
    </row>
    <row r="1661">
      <c r="A1661" s="8" t="str">
        <f>IFERROR(__xludf.DUMMYFUNCTION("""COMPUTED_VALUE"""),"""capsule wardrobe Jakarta"",")</f>
        <v>"capsule wardrobe Jakarta",</v>
      </c>
    </row>
    <row r="1662">
      <c r="A1662" s="8" t="str">
        <f>IFERROR(__xludf.DUMMYFUNCTION("""COMPUTED_VALUE"""),"""fashion trends Jakarta"",")</f>
        <v>"fashion trends Jakarta",</v>
      </c>
    </row>
    <row r="1663">
      <c r="A1663" s="8" t="str">
        <f>IFERROR(__xludf.DUMMYFUNCTION("""COMPUTED_VALUE"""),"""minimalist fashion Jakarta"",")</f>
        <v>"minimalist fashion Jakarta",</v>
      </c>
    </row>
    <row r="1664">
      <c r="A1664" s="8" t="str">
        <f>IFERROR(__xludf.DUMMYFUNCTION("""COMPUTED_VALUE"""),"""beauty hacks Jakarta"",")</f>
        <v>"beauty hacks Jakarta",</v>
      </c>
    </row>
    <row r="1665">
      <c r="A1665" s="8" t="str">
        <f>IFERROR(__xludf.DUMMYFUNCTION("""COMPUTED_VALUE"""),"""hair routines Jakarta"",")</f>
        <v>"hair routines Jakarta",</v>
      </c>
    </row>
    <row r="1666">
      <c r="A1666" s="8" t="str">
        <f>IFERROR(__xludf.DUMMYFUNCTION("""COMPUTED_VALUE"""),"""empties Jakarta"",")</f>
        <v>"empties Jakarta",</v>
      </c>
    </row>
    <row r="1667">
      <c r="A1667" s="8" t="str">
        <f>IFERROR(__xludf.DUMMYFUNCTION("""COMPUTED_VALUE"""),"""product reviews Jakarta"",")</f>
        <v>"product reviews Jakarta",</v>
      </c>
    </row>
    <row r="1668">
      <c r="A1668" s="8" t="str">
        <f>IFERROR(__xludf.DUMMYFUNCTION("""COMPUTED_VALUE"""),"""beauty reviews  Jakarta"",")</f>
        <v>"beauty reviews  Jakarta",</v>
      </c>
    </row>
    <row r="1669">
      <c r="A1669" s="8" t="str">
        <f>IFERROR(__xludf.DUMMYFUNCTION("""COMPUTED_VALUE"""),"""make-up artist Jakarta"",")</f>
        <v>"make-up artist Jakarta",</v>
      </c>
    </row>
    <row r="1670">
      <c r="A1670" s="8" t="str">
        <f>IFERROR(__xludf.DUMMYFUNCTION("""COMPUTED_VALUE"""),"""skincare journey Jakarta"",")</f>
        <v>"skincare journey Jakarta",</v>
      </c>
    </row>
    <row r="1671">
      <c r="A1671" s="8" t="str">
        <f>IFERROR(__xludf.DUMMYFUNCTION("""COMPUTED_VALUE"""),"""hair tutorial Jakarta"",")</f>
        <v>"hair tutorial Jakarta",</v>
      </c>
    </row>
    <row r="1672">
      <c r="A1672" s="8" t="str">
        <f>IFERROR(__xludf.DUMMYFUNCTION("""COMPUTED_VALUE"""),"""barbershop Jakarta"",")</f>
        <v>"barbershop Jakarta",</v>
      </c>
    </row>
    <row r="1673">
      <c r="A1673" s="8" t="str">
        <f>IFERROR(__xludf.DUMMYFUNCTION("""COMPUTED_VALUE"""),"""ootd Manila"",")</f>
        <v>"ootd Manila",</v>
      </c>
    </row>
    <row r="1674">
      <c r="A1674" s="8" t="str">
        <f>IFERROR(__xludf.DUMMYFUNCTION("""COMPUTED_VALUE"""),"""street style Manila"",")</f>
        <v>"street style Manila",</v>
      </c>
    </row>
    <row r="1675">
      <c r="A1675" s="8" t="str">
        <f>IFERROR(__xludf.DUMMYFUNCTION("""COMPUTED_VALUE"""),"""skincare Manila"",")</f>
        <v>"skincare Manila",</v>
      </c>
    </row>
    <row r="1676">
      <c r="A1676" s="8" t="str">
        <f>IFERROR(__xludf.DUMMYFUNCTION("""COMPUTED_VALUE"""),"""makeup Manila"",")</f>
        <v>"makeup Manila",</v>
      </c>
    </row>
    <row r="1677">
      <c r="A1677" s="8" t="str">
        <f>IFERROR(__xludf.DUMMYFUNCTION("""COMPUTED_VALUE"""),"""nails Manila"",")</f>
        <v>"nails Manila",</v>
      </c>
    </row>
    <row r="1678">
      <c r="A1678" s="8" t="str">
        <f>IFERROR(__xludf.DUMMYFUNCTION("""COMPUTED_VALUE"""),"""curly hair Manila"",")</f>
        <v>"curly hair Manila",</v>
      </c>
    </row>
    <row r="1679">
      <c r="A1679" s="8" t="str">
        <f>IFERROR(__xludf.DUMMYFUNCTION("""COMPUTED_VALUE"""),"""thrift Manila"",")</f>
        <v>"thrift Manila",</v>
      </c>
    </row>
    <row r="1680">
      <c r="A1680" s="8" t="str">
        <f>IFERROR(__xludf.DUMMYFUNCTION("""COMPUTED_VALUE"""),"""streetwear Manila"",")</f>
        <v>"streetwear Manila",</v>
      </c>
    </row>
    <row r="1681">
      <c r="A1681" s="8" t="str">
        <f>IFERROR(__xludf.DUMMYFUNCTION("""COMPUTED_VALUE"""),"""luxury Manila"",")</f>
        <v>"luxury Manila",</v>
      </c>
    </row>
    <row r="1682">
      <c r="A1682" s="8" t="str">
        <f>IFERROR(__xludf.DUMMYFUNCTION("""COMPUTED_VALUE"""),"""handbags Manila"",")</f>
        <v>"handbags Manila",</v>
      </c>
    </row>
    <row r="1683">
      <c r="A1683" s="8" t="str">
        <f>IFERROR(__xludf.DUMMYFUNCTION("""COMPUTED_VALUE"""),"""sneakers Manila"",")</f>
        <v>"sneakers Manila",</v>
      </c>
    </row>
    <row r="1684">
      <c r="A1684" s="8" t="str">
        <f>IFERROR(__xludf.DUMMYFUNCTION("""COMPUTED_VALUE"""),"""high heels Manila"",")</f>
        <v>"high heels Manila",</v>
      </c>
    </row>
    <row r="1685">
      <c r="A1685" s="8" t="str">
        <f>IFERROR(__xludf.DUMMYFUNCTION("""COMPUTED_VALUE"""),"""haute-couture Manila"",")</f>
        <v>"haute-couture Manila",</v>
      </c>
    </row>
    <row r="1686">
      <c r="A1686" s="8" t="str">
        <f>IFERROR(__xludf.DUMMYFUNCTION("""COMPUTED_VALUE"""),"""diyfashion Manila"",")</f>
        <v>"diyfashion Manila",</v>
      </c>
    </row>
    <row r="1687">
      <c r="A1687" s="8" t="str">
        <f>IFERROR(__xludf.DUMMYFUNCTION("""COMPUTED_VALUE"""),"""accessories Manila"",")</f>
        <v>"accessories Manila",</v>
      </c>
    </row>
    <row r="1688">
      <c r="A1688" s="8" t="str">
        <f>IFERROR(__xludf.DUMMYFUNCTION("""COMPUTED_VALUE"""),"""menswear Manila"",")</f>
        <v>"menswear Manila",</v>
      </c>
    </row>
    <row r="1689">
      <c r="A1689" s="8" t="str">
        <f>IFERROR(__xludf.DUMMYFUNCTION("""COMPUTED_VALUE"""),"""womenswear Manila"",")</f>
        <v>"womenswear Manila",</v>
      </c>
    </row>
    <row r="1690">
      <c r="A1690" s="8" t="str">
        <f>IFERROR(__xludf.DUMMYFUNCTION("""COMPUTED_VALUE"""),"""moda Manila"",")</f>
        <v>"moda Manila",</v>
      </c>
    </row>
    <row r="1691">
      <c r="A1691" s="8" t="str">
        <f>IFERROR(__xludf.DUMMYFUNCTION("""COMPUTED_VALUE"""),"""hairstyle Manila"",")</f>
        <v>"hairstyle Manila",</v>
      </c>
    </row>
    <row r="1692">
      <c r="A1692" s="8" t="str">
        <f>IFERROR(__xludf.DUMMYFUNCTION("""COMPUTED_VALUE"""),"""perfume Manila"",")</f>
        <v>"perfume Manila",</v>
      </c>
    </row>
    <row r="1693">
      <c r="A1693" s="8" t="str">
        <f>IFERROR(__xludf.DUMMYFUNCTION("""COMPUTED_VALUE"""),"""cosmetiques Manila"",")</f>
        <v>"cosmetiques Manila",</v>
      </c>
    </row>
    <row r="1694">
      <c r="A1694" s="8" t="str">
        <f>IFERROR(__xludf.DUMMYFUNCTION("""COMPUTED_VALUE"""),"""beauty routine Manila"",")</f>
        <v>"beauty routine Manila",</v>
      </c>
    </row>
    <row r="1695">
      <c r="A1695" s="8" t="str">
        <f>IFERROR(__xludf.DUMMYFUNCTION("""COMPUTED_VALUE"""),"""natural beauty Manila"",")</f>
        <v>"natural beauty Manila",</v>
      </c>
    </row>
    <row r="1696">
      <c r="A1696" s="8" t="str">
        <f>IFERROR(__xludf.DUMMYFUNCTION("""COMPUTED_VALUE"""),"""organic beauty Manila"",")</f>
        <v>"organic beauty Manila",</v>
      </c>
    </row>
    <row r="1697">
      <c r="A1697" s="8" t="str">
        <f>IFERROR(__xludf.DUMMYFUNCTION("""COMPUTED_VALUE"""),"""sustainable fashion Manila"",")</f>
        <v>"sustainable fashion Manila",</v>
      </c>
    </row>
    <row r="1698">
      <c r="A1698" s="8" t="str">
        <f>IFERROR(__xludf.DUMMYFUNCTION("""COMPUTED_VALUE"""),"""fashion hacks Manila"",")</f>
        <v>"fashion hacks Manila",</v>
      </c>
    </row>
    <row r="1699">
      <c r="A1699" s="8" t="str">
        <f>IFERROR(__xludf.DUMMYFUNCTION("""COMPUTED_VALUE"""),"""capsule wardrobe Manila"",")</f>
        <v>"capsule wardrobe Manila",</v>
      </c>
    </row>
    <row r="1700">
      <c r="A1700" s="8" t="str">
        <f>IFERROR(__xludf.DUMMYFUNCTION("""COMPUTED_VALUE"""),"""fashion trends Manila"",")</f>
        <v>"fashion trends Manila",</v>
      </c>
    </row>
    <row r="1701">
      <c r="A1701" s="8" t="str">
        <f>IFERROR(__xludf.DUMMYFUNCTION("""COMPUTED_VALUE"""),"""minimalist fashion Manila"",")</f>
        <v>"minimalist fashion Manila",</v>
      </c>
    </row>
    <row r="1702">
      <c r="A1702" s="8" t="str">
        <f>IFERROR(__xludf.DUMMYFUNCTION("""COMPUTED_VALUE"""),"""beauty hacks Manila"",")</f>
        <v>"beauty hacks Manila",</v>
      </c>
    </row>
    <row r="1703">
      <c r="A1703" s="8" t="str">
        <f>IFERROR(__xludf.DUMMYFUNCTION("""COMPUTED_VALUE"""),"""hair routines Manila"",")</f>
        <v>"hair routines Manila",</v>
      </c>
    </row>
    <row r="1704">
      <c r="A1704" s="8" t="str">
        <f>IFERROR(__xludf.DUMMYFUNCTION("""COMPUTED_VALUE"""),"""empties Manila"",")</f>
        <v>"empties Manila",</v>
      </c>
    </row>
    <row r="1705">
      <c r="A1705" s="8" t="str">
        <f>IFERROR(__xludf.DUMMYFUNCTION("""COMPUTED_VALUE"""),"""product reviews Manila"",")</f>
        <v>"product reviews Manila",</v>
      </c>
    </row>
    <row r="1706">
      <c r="A1706" s="8" t="str">
        <f>IFERROR(__xludf.DUMMYFUNCTION("""COMPUTED_VALUE"""),"""beauty reviews  Manila"",")</f>
        <v>"beauty reviews  Manila",</v>
      </c>
    </row>
    <row r="1707">
      <c r="A1707" s="8" t="str">
        <f>IFERROR(__xludf.DUMMYFUNCTION("""COMPUTED_VALUE"""),"""make-up artist Manila"",")</f>
        <v>"make-up artist Manila",</v>
      </c>
    </row>
    <row r="1708">
      <c r="A1708" s="8" t="str">
        <f>IFERROR(__xludf.DUMMYFUNCTION("""COMPUTED_VALUE"""),"""skincare journey Manila"",")</f>
        <v>"skincare journey Manila",</v>
      </c>
    </row>
    <row r="1709">
      <c r="A1709" s="8" t="str">
        <f>IFERROR(__xludf.DUMMYFUNCTION("""COMPUTED_VALUE"""),"""hair tutorial Manila"",")</f>
        <v>"hair tutorial Manila",</v>
      </c>
    </row>
    <row r="1710">
      <c r="A1710" s="8" t="str">
        <f>IFERROR(__xludf.DUMMYFUNCTION("""COMPUTED_VALUE"""),"""barbershop Manila"",")</f>
        <v>"barbershop Manila",</v>
      </c>
    </row>
    <row r="1711">
      <c r="A1711" s="8" t="str">
        <f>IFERROR(__xludf.DUMMYFUNCTION("""COMPUTED_VALUE"""),"""ootd Mumbai"",")</f>
        <v>"ootd Mumbai",</v>
      </c>
    </row>
    <row r="1712">
      <c r="A1712" s="8" t="str">
        <f>IFERROR(__xludf.DUMMYFUNCTION("""COMPUTED_VALUE"""),"""street style Mumbai"",")</f>
        <v>"street style Mumbai",</v>
      </c>
    </row>
    <row r="1713">
      <c r="A1713" s="8" t="str">
        <f>IFERROR(__xludf.DUMMYFUNCTION("""COMPUTED_VALUE"""),"""skincare Mumbai"",")</f>
        <v>"skincare Mumbai",</v>
      </c>
    </row>
    <row r="1714">
      <c r="A1714" s="8" t="str">
        <f>IFERROR(__xludf.DUMMYFUNCTION("""COMPUTED_VALUE"""),"""makeup Mumbai"",")</f>
        <v>"makeup Mumbai",</v>
      </c>
    </row>
    <row r="1715">
      <c r="A1715" s="8" t="str">
        <f>IFERROR(__xludf.DUMMYFUNCTION("""COMPUTED_VALUE"""),"""nails Mumbai"",")</f>
        <v>"nails Mumbai",</v>
      </c>
    </row>
    <row r="1716">
      <c r="A1716" s="8" t="str">
        <f>IFERROR(__xludf.DUMMYFUNCTION("""COMPUTED_VALUE"""),"""curly hair Mumbai"",")</f>
        <v>"curly hair Mumbai",</v>
      </c>
    </row>
    <row r="1717">
      <c r="A1717" s="8" t="str">
        <f>IFERROR(__xludf.DUMMYFUNCTION("""COMPUTED_VALUE"""),"""thrift Mumbai"",")</f>
        <v>"thrift Mumbai",</v>
      </c>
    </row>
    <row r="1718">
      <c r="A1718" s="8" t="str">
        <f>IFERROR(__xludf.DUMMYFUNCTION("""COMPUTED_VALUE"""),"""streetwear Mumbai"",")</f>
        <v>"streetwear Mumbai",</v>
      </c>
    </row>
    <row r="1719">
      <c r="A1719" s="8" t="str">
        <f>IFERROR(__xludf.DUMMYFUNCTION("""COMPUTED_VALUE"""),"""luxury Mumbai"",")</f>
        <v>"luxury Mumbai",</v>
      </c>
    </row>
    <row r="1720">
      <c r="A1720" s="8" t="str">
        <f>IFERROR(__xludf.DUMMYFUNCTION("""COMPUTED_VALUE"""),"""handbags Mumbai"",")</f>
        <v>"handbags Mumbai",</v>
      </c>
    </row>
    <row r="1721">
      <c r="A1721" s="8" t="str">
        <f>IFERROR(__xludf.DUMMYFUNCTION("""COMPUTED_VALUE"""),"""sneakers Mumbai"",")</f>
        <v>"sneakers Mumbai",</v>
      </c>
    </row>
    <row r="1722">
      <c r="A1722" s="8" t="str">
        <f>IFERROR(__xludf.DUMMYFUNCTION("""COMPUTED_VALUE"""),"""high heels Mumbai"",")</f>
        <v>"high heels Mumbai",</v>
      </c>
    </row>
    <row r="1723">
      <c r="A1723" s="8" t="str">
        <f>IFERROR(__xludf.DUMMYFUNCTION("""COMPUTED_VALUE"""),"""haute-couture Mumbai"",")</f>
        <v>"haute-couture Mumbai",</v>
      </c>
    </row>
    <row r="1724">
      <c r="A1724" s="8" t="str">
        <f>IFERROR(__xludf.DUMMYFUNCTION("""COMPUTED_VALUE"""),"""diyfashion Mumbai"",")</f>
        <v>"diyfashion Mumbai",</v>
      </c>
    </row>
    <row r="1725">
      <c r="A1725" s="8" t="str">
        <f>IFERROR(__xludf.DUMMYFUNCTION("""COMPUTED_VALUE"""),"""accessories Mumbai"",")</f>
        <v>"accessories Mumbai",</v>
      </c>
    </row>
    <row r="1726">
      <c r="A1726" s="8" t="str">
        <f>IFERROR(__xludf.DUMMYFUNCTION("""COMPUTED_VALUE"""),"""menswear Mumbai"",")</f>
        <v>"menswear Mumbai",</v>
      </c>
    </row>
    <row r="1727">
      <c r="A1727" s="8" t="str">
        <f>IFERROR(__xludf.DUMMYFUNCTION("""COMPUTED_VALUE"""),"""womenswear Mumbai"",")</f>
        <v>"womenswear Mumbai",</v>
      </c>
    </row>
    <row r="1728">
      <c r="A1728" s="8" t="str">
        <f>IFERROR(__xludf.DUMMYFUNCTION("""COMPUTED_VALUE"""),"""moda Mumbai"",")</f>
        <v>"moda Mumbai",</v>
      </c>
    </row>
    <row r="1729">
      <c r="A1729" s="8" t="str">
        <f>IFERROR(__xludf.DUMMYFUNCTION("""COMPUTED_VALUE"""),"""hairstyle Mumbai"",")</f>
        <v>"hairstyle Mumbai",</v>
      </c>
    </row>
    <row r="1730">
      <c r="A1730" s="8" t="str">
        <f>IFERROR(__xludf.DUMMYFUNCTION("""COMPUTED_VALUE"""),"""perfume Mumbai"",")</f>
        <v>"perfume Mumbai",</v>
      </c>
    </row>
    <row r="1731">
      <c r="A1731" s="8" t="str">
        <f>IFERROR(__xludf.DUMMYFUNCTION("""COMPUTED_VALUE"""),"""cosmetiques Mumbai"",")</f>
        <v>"cosmetiques Mumbai",</v>
      </c>
    </row>
    <row r="1732">
      <c r="A1732" s="8" t="str">
        <f>IFERROR(__xludf.DUMMYFUNCTION("""COMPUTED_VALUE"""),"""beauty routine Mumbai"",")</f>
        <v>"beauty routine Mumbai",</v>
      </c>
    </row>
    <row r="1733">
      <c r="A1733" s="8" t="str">
        <f>IFERROR(__xludf.DUMMYFUNCTION("""COMPUTED_VALUE"""),"""natural beauty Mumbai"",")</f>
        <v>"natural beauty Mumbai",</v>
      </c>
    </row>
    <row r="1734">
      <c r="A1734" s="8" t="str">
        <f>IFERROR(__xludf.DUMMYFUNCTION("""COMPUTED_VALUE"""),"""organic beauty Mumbai"",")</f>
        <v>"organic beauty Mumbai",</v>
      </c>
    </row>
    <row r="1735">
      <c r="A1735" s="8" t="str">
        <f>IFERROR(__xludf.DUMMYFUNCTION("""COMPUTED_VALUE"""),"""sustainable fashion Mumbai"",")</f>
        <v>"sustainable fashion Mumbai",</v>
      </c>
    </row>
    <row r="1736">
      <c r="A1736" s="8" t="str">
        <f>IFERROR(__xludf.DUMMYFUNCTION("""COMPUTED_VALUE"""),"""fashion hacks Mumbai"",")</f>
        <v>"fashion hacks Mumbai",</v>
      </c>
    </row>
    <row r="1737">
      <c r="A1737" s="8" t="str">
        <f>IFERROR(__xludf.DUMMYFUNCTION("""COMPUTED_VALUE"""),"""capsule wardrobe Mumbai"",")</f>
        <v>"capsule wardrobe Mumbai",</v>
      </c>
    </row>
    <row r="1738">
      <c r="A1738" s="8" t="str">
        <f>IFERROR(__xludf.DUMMYFUNCTION("""COMPUTED_VALUE"""),"""fashion trends Mumbai"",")</f>
        <v>"fashion trends Mumbai",</v>
      </c>
    </row>
    <row r="1739">
      <c r="A1739" s="8" t="str">
        <f>IFERROR(__xludf.DUMMYFUNCTION("""COMPUTED_VALUE"""),"""minimalist fashion Mumbai"",")</f>
        <v>"minimalist fashion Mumbai",</v>
      </c>
    </row>
    <row r="1740">
      <c r="A1740" s="9" t="str">
        <f>IFERROR(__xludf.DUMMYFUNCTION("""COMPUTED_VALUE"""),"""beauty hacks Mumbai"",")</f>
        <v>"beauty hacks Mumbai",</v>
      </c>
    </row>
    <row r="1741">
      <c r="A1741" s="8" t="str">
        <f>IFERROR(__xludf.DUMMYFUNCTION("""COMPUTED_VALUE"""),"""hair routines Mumbai"",")</f>
        <v>"hair routines Mumbai",</v>
      </c>
    </row>
    <row r="1742">
      <c r="A1742" s="8" t="str">
        <f>IFERROR(__xludf.DUMMYFUNCTION("""COMPUTED_VALUE"""),"""empties Mumbai"",")</f>
        <v>"empties Mumbai",</v>
      </c>
    </row>
    <row r="1743">
      <c r="A1743" s="8" t="str">
        <f>IFERROR(__xludf.DUMMYFUNCTION("""COMPUTED_VALUE"""),"""product reviews Mumbai"",")</f>
        <v>"product reviews Mumbai",</v>
      </c>
    </row>
    <row r="1744">
      <c r="A1744" s="8" t="str">
        <f>IFERROR(__xludf.DUMMYFUNCTION("""COMPUTED_VALUE"""),"""beauty reviews  Mumbai"",")</f>
        <v>"beauty reviews  Mumbai",</v>
      </c>
    </row>
    <row r="1745">
      <c r="A1745" s="8" t="str">
        <f>IFERROR(__xludf.DUMMYFUNCTION("""COMPUTED_VALUE"""),"""make-up artist Mumbai"",")</f>
        <v>"make-up artist Mumbai",</v>
      </c>
    </row>
    <row r="1746">
      <c r="A1746" s="8" t="str">
        <f>IFERROR(__xludf.DUMMYFUNCTION("""COMPUTED_VALUE"""),"""skincare journey Mumbai"",")</f>
        <v>"skincare journey Mumbai",</v>
      </c>
    </row>
    <row r="1747">
      <c r="A1747" s="8" t="str">
        <f>IFERROR(__xludf.DUMMYFUNCTION("""COMPUTED_VALUE"""),"""hair tutorial Mumbai"",")</f>
        <v>"hair tutorial Mumbai",</v>
      </c>
    </row>
    <row r="1748">
      <c r="A1748" s="8" t="str">
        <f>IFERROR(__xludf.DUMMYFUNCTION("""COMPUTED_VALUE"""),"""barbershop Mumbai"",")</f>
        <v>"barbershop Mumbai",</v>
      </c>
    </row>
    <row r="1749">
      <c r="A1749" s="8" t="str">
        <f>IFERROR(__xludf.DUMMYFUNCTION("""COMPUTED_VALUE"""),"""ootd Delhi"",")</f>
        <v>"ootd Delhi",</v>
      </c>
    </row>
    <row r="1750">
      <c r="A1750" s="8" t="str">
        <f>IFERROR(__xludf.DUMMYFUNCTION("""COMPUTED_VALUE"""),"""street style Delhi"",")</f>
        <v>"street style Delhi",</v>
      </c>
    </row>
    <row r="1751">
      <c r="A1751" s="8" t="str">
        <f>IFERROR(__xludf.DUMMYFUNCTION("""COMPUTED_VALUE"""),"""skincare Delhi"",")</f>
        <v>"skincare Delhi",</v>
      </c>
    </row>
    <row r="1752">
      <c r="A1752" s="8" t="str">
        <f>IFERROR(__xludf.DUMMYFUNCTION("""COMPUTED_VALUE"""),"""makeup Delhi"",")</f>
        <v>"makeup Delhi",</v>
      </c>
    </row>
    <row r="1753">
      <c r="A1753" s="8" t="str">
        <f>IFERROR(__xludf.DUMMYFUNCTION("""COMPUTED_VALUE"""),"""nails Delhi"",")</f>
        <v>"nails Delhi",</v>
      </c>
    </row>
    <row r="1754">
      <c r="A1754" s="8" t="str">
        <f>IFERROR(__xludf.DUMMYFUNCTION("""COMPUTED_VALUE"""),"""curly hair Delhi"",")</f>
        <v>"curly hair Delhi",</v>
      </c>
    </row>
    <row r="1755">
      <c r="A1755" s="8" t="str">
        <f>IFERROR(__xludf.DUMMYFUNCTION("""COMPUTED_VALUE"""),"""thrift Delhi"",")</f>
        <v>"thrift Delhi",</v>
      </c>
    </row>
    <row r="1756">
      <c r="A1756" s="8" t="str">
        <f>IFERROR(__xludf.DUMMYFUNCTION("""COMPUTED_VALUE"""),"""streetwear Delhi"",")</f>
        <v>"streetwear Delhi",</v>
      </c>
    </row>
    <row r="1757">
      <c r="A1757" s="8" t="str">
        <f>IFERROR(__xludf.DUMMYFUNCTION("""COMPUTED_VALUE"""),"""luxury Delhi"",")</f>
        <v>"luxury Delhi",</v>
      </c>
    </row>
    <row r="1758">
      <c r="A1758" s="8" t="str">
        <f>IFERROR(__xludf.DUMMYFUNCTION("""COMPUTED_VALUE"""),"""handbags Delhi"",")</f>
        <v>"handbags Delhi",</v>
      </c>
    </row>
    <row r="1759">
      <c r="A1759" s="8" t="str">
        <f>IFERROR(__xludf.DUMMYFUNCTION("""COMPUTED_VALUE"""),"""sneakers Delhi"",")</f>
        <v>"sneakers Delhi",</v>
      </c>
    </row>
    <row r="1760">
      <c r="A1760" s="8" t="str">
        <f>IFERROR(__xludf.DUMMYFUNCTION("""COMPUTED_VALUE"""),"""high heels Delhi"",")</f>
        <v>"high heels Delhi",</v>
      </c>
    </row>
    <row r="1761">
      <c r="A1761" s="8" t="str">
        <f>IFERROR(__xludf.DUMMYFUNCTION("""COMPUTED_VALUE"""),"""haute-couture Delhi"",")</f>
        <v>"haute-couture Delhi",</v>
      </c>
    </row>
    <row r="1762">
      <c r="A1762" s="8" t="str">
        <f>IFERROR(__xludf.DUMMYFUNCTION("""COMPUTED_VALUE"""),"""diyfashion Delhi"",")</f>
        <v>"diyfashion Delhi",</v>
      </c>
    </row>
    <row r="1763">
      <c r="A1763" s="8" t="str">
        <f>IFERROR(__xludf.DUMMYFUNCTION("""COMPUTED_VALUE"""),"""accessories Delhi"",")</f>
        <v>"accessories Delhi",</v>
      </c>
    </row>
    <row r="1764">
      <c r="A1764" s="8" t="str">
        <f>IFERROR(__xludf.DUMMYFUNCTION("""COMPUTED_VALUE"""),"""menswear Delhi"",")</f>
        <v>"menswear Delhi",</v>
      </c>
    </row>
    <row r="1765">
      <c r="A1765" s="8" t="str">
        <f>IFERROR(__xludf.DUMMYFUNCTION("""COMPUTED_VALUE"""),"""womenswear Delhi"",")</f>
        <v>"womenswear Delhi",</v>
      </c>
    </row>
    <row r="1766">
      <c r="A1766" s="8" t="str">
        <f>IFERROR(__xludf.DUMMYFUNCTION("""COMPUTED_VALUE"""),"""moda Delhi"",")</f>
        <v>"moda Delhi",</v>
      </c>
    </row>
    <row r="1767">
      <c r="A1767" s="8" t="str">
        <f>IFERROR(__xludf.DUMMYFUNCTION("""COMPUTED_VALUE"""),"""hairstyle Delhi"",")</f>
        <v>"hairstyle Delhi",</v>
      </c>
    </row>
    <row r="1768">
      <c r="A1768" s="8" t="str">
        <f>IFERROR(__xludf.DUMMYFUNCTION("""COMPUTED_VALUE"""),"""perfume Delhi"",")</f>
        <v>"perfume Delhi",</v>
      </c>
    </row>
    <row r="1769">
      <c r="A1769" s="8" t="str">
        <f>IFERROR(__xludf.DUMMYFUNCTION("""COMPUTED_VALUE"""),"""cosmetiques Delhi"",")</f>
        <v>"cosmetiques Delhi",</v>
      </c>
    </row>
    <row r="1770">
      <c r="A1770" s="8" t="str">
        <f>IFERROR(__xludf.DUMMYFUNCTION("""COMPUTED_VALUE"""),"""beauty routine Delhi"",")</f>
        <v>"beauty routine Delhi",</v>
      </c>
    </row>
    <row r="1771">
      <c r="A1771" s="8" t="str">
        <f>IFERROR(__xludf.DUMMYFUNCTION("""COMPUTED_VALUE"""),"""natural beauty Delhi"",")</f>
        <v>"natural beauty Delhi",</v>
      </c>
    </row>
    <row r="1772">
      <c r="A1772" s="8" t="str">
        <f>IFERROR(__xludf.DUMMYFUNCTION("""COMPUTED_VALUE"""),"""organic beauty Delhi"",")</f>
        <v>"organic beauty Delhi",</v>
      </c>
    </row>
    <row r="1773">
      <c r="A1773" s="8" t="str">
        <f>IFERROR(__xludf.DUMMYFUNCTION("""COMPUTED_VALUE"""),"""sustainable fashion Delhi"",")</f>
        <v>"sustainable fashion Delhi",</v>
      </c>
    </row>
    <row r="1774">
      <c r="A1774" s="8" t="str">
        <f>IFERROR(__xludf.DUMMYFUNCTION("""COMPUTED_VALUE"""),"""fashion hacks Delhi"",")</f>
        <v>"fashion hacks Delhi",</v>
      </c>
    </row>
    <row r="1775">
      <c r="A1775" s="8" t="str">
        <f>IFERROR(__xludf.DUMMYFUNCTION("""COMPUTED_VALUE"""),"""capsule wardrobe Delhi"",")</f>
        <v>"capsule wardrobe Delhi",</v>
      </c>
    </row>
    <row r="1776">
      <c r="A1776" s="8" t="str">
        <f>IFERROR(__xludf.DUMMYFUNCTION("""COMPUTED_VALUE"""),"""fashion trends Delhi"",")</f>
        <v>"fashion trends Delhi",</v>
      </c>
    </row>
    <row r="1777">
      <c r="A1777" s="8" t="str">
        <f>IFERROR(__xludf.DUMMYFUNCTION("""COMPUTED_VALUE"""),"""minimalist fashion Delhi"",")</f>
        <v>"minimalist fashion Delhi",</v>
      </c>
    </row>
    <row r="1778">
      <c r="A1778" s="8" t="str">
        <f>IFERROR(__xludf.DUMMYFUNCTION("""COMPUTED_VALUE"""),"""beauty hacks Delhi"",")</f>
        <v>"beauty hacks Delhi",</v>
      </c>
    </row>
    <row r="1779">
      <c r="A1779" s="8" t="str">
        <f>IFERROR(__xludf.DUMMYFUNCTION("""COMPUTED_VALUE"""),"""hair routines Delhi"",")</f>
        <v>"hair routines Delhi",</v>
      </c>
    </row>
    <row r="1780">
      <c r="A1780" s="8" t="str">
        <f>IFERROR(__xludf.DUMMYFUNCTION("""COMPUTED_VALUE"""),"""empties Delhi"",")</f>
        <v>"empties Delhi",</v>
      </c>
    </row>
    <row r="1781">
      <c r="A1781" s="8" t="str">
        <f>IFERROR(__xludf.DUMMYFUNCTION("""COMPUTED_VALUE"""),"""product reviews Delhi"",")</f>
        <v>"product reviews Delhi",</v>
      </c>
    </row>
    <row r="1782">
      <c r="A1782" s="8" t="str">
        <f>IFERROR(__xludf.DUMMYFUNCTION("""COMPUTED_VALUE"""),"""beauty reviews  Delhi"",")</f>
        <v>"beauty reviews  Delhi",</v>
      </c>
    </row>
    <row r="1783">
      <c r="A1783" s="8" t="str">
        <f>IFERROR(__xludf.DUMMYFUNCTION("""COMPUTED_VALUE"""),"""make-up artist Delhi"",")</f>
        <v>"make-up artist Delhi",</v>
      </c>
    </row>
    <row r="1784">
      <c r="A1784" s="8" t="str">
        <f>IFERROR(__xludf.DUMMYFUNCTION("""COMPUTED_VALUE"""),"""skincare journey Delhi"",")</f>
        <v>"skincare journey Delhi",</v>
      </c>
    </row>
    <row r="1785">
      <c r="A1785" s="8" t="str">
        <f>IFERROR(__xludf.DUMMYFUNCTION("""COMPUTED_VALUE"""),"""hair tutorial Delhi"",")</f>
        <v>"hair tutorial Delhi",</v>
      </c>
    </row>
    <row r="1786">
      <c r="A1786" s="8" t="str">
        <f>IFERROR(__xludf.DUMMYFUNCTION("""COMPUTED_VALUE"""),"""barbershop Delhi"",")</f>
        <v>"barbershop Delhi",</v>
      </c>
    </row>
    <row r="1787">
      <c r="A1787" s="8" t="str">
        <f>IFERROR(__xludf.DUMMYFUNCTION("""COMPUTED_VALUE"""),"""ootd Bangalore"",")</f>
        <v>"ootd Bangalore",</v>
      </c>
    </row>
    <row r="1788">
      <c r="A1788" s="8" t="str">
        <f>IFERROR(__xludf.DUMMYFUNCTION("""COMPUTED_VALUE"""),"""street style Bangalore"",")</f>
        <v>"street style Bangalore",</v>
      </c>
    </row>
    <row r="1789">
      <c r="A1789" s="8" t="str">
        <f>IFERROR(__xludf.DUMMYFUNCTION("""COMPUTED_VALUE"""),"""skincare Bangalore"",")</f>
        <v>"skincare Bangalore",</v>
      </c>
    </row>
    <row r="1790">
      <c r="A1790" s="8" t="str">
        <f>IFERROR(__xludf.DUMMYFUNCTION("""COMPUTED_VALUE"""),"""makeup Bangalore"",")</f>
        <v>"makeup Bangalore",</v>
      </c>
    </row>
    <row r="1791">
      <c r="A1791" s="8" t="str">
        <f>IFERROR(__xludf.DUMMYFUNCTION("""COMPUTED_VALUE"""),"""nails Bangalore"",")</f>
        <v>"nails Bangalore",</v>
      </c>
    </row>
    <row r="1792">
      <c r="A1792" s="8" t="str">
        <f>IFERROR(__xludf.DUMMYFUNCTION("""COMPUTED_VALUE"""),"""curly hair Bangalore"",")</f>
        <v>"curly hair Bangalore",</v>
      </c>
    </row>
    <row r="1793">
      <c r="A1793" s="8" t="str">
        <f>IFERROR(__xludf.DUMMYFUNCTION("""COMPUTED_VALUE"""),"""thrift Bangalore"",")</f>
        <v>"thrift Bangalore",</v>
      </c>
    </row>
    <row r="1794">
      <c r="A1794" s="8" t="str">
        <f>IFERROR(__xludf.DUMMYFUNCTION("""COMPUTED_VALUE"""),"""streetwear Bangalore"",")</f>
        <v>"streetwear Bangalore",</v>
      </c>
    </row>
    <row r="1795">
      <c r="A1795" s="8" t="str">
        <f>IFERROR(__xludf.DUMMYFUNCTION("""COMPUTED_VALUE"""),"""luxury Bangalore"",")</f>
        <v>"luxury Bangalore",</v>
      </c>
    </row>
    <row r="1796">
      <c r="A1796" s="8" t="str">
        <f>IFERROR(__xludf.DUMMYFUNCTION("""COMPUTED_VALUE"""),"""handbags Bangalore"",")</f>
        <v>"handbags Bangalore",</v>
      </c>
    </row>
    <row r="1797">
      <c r="A1797" s="8" t="str">
        <f>IFERROR(__xludf.DUMMYFUNCTION("""COMPUTED_VALUE"""),"""sneakers Bangalore"",")</f>
        <v>"sneakers Bangalore",</v>
      </c>
    </row>
    <row r="1798">
      <c r="A1798" s="8" t="str">
        <f>IFERROR(__xludf.DUMMYFUNCTION("""COMPUTED_VALUE"""),"""high heels Bangalore"",")</f>
        <v>"high heels Bangalore",</v>
      </c>
    </row>
    <row r="1799">
      <c r="A1799" s="8" t="str">
        <f>IFERROR(__xludf.DUMMYFUNCTION("""COMPUTED_VALUE"""),"""haute-couture Bangalore"",")</f>
        <v>"haute-couture Bangalore",</v>
      </c>
    </row>
    <row r="1800">
      <c r="A1800" s="8" t="str">
        <f>IFERROR(__xludf.DUMMYFUNCTION("""COMPUTED_VALUE"""),"""diyfashion Bangalore"",")</f>
        <v>"diyfashion Bangalore",</v>
      </c>
    </row>
    <row r="1801">
      <c r="A1801" s="8" t="str">
        <f>IFERROR(__xludf.DUMMYFUNCTION("""COMPUTED_VALUE"""),"""accessories Bangalore"",")</f>
        <v>"accessories Bangalore",</v>
      </c>
    </row>
    <row r="1802">
      <c r="A1802" s="8" t="str">
        <f>IFERROR(__xludf.DUMMYFUNCTION("""COMPUTED_VALUE"""),"""menswear Bangalore"",")</f>
        <v>"menswear Bangalore",</v>
      </c>
    </row>
    <row r="1803">
      <c r="A1803" s="8" t="str">
        <f>IFERROR(__xludf.DUMMYFUNCTION("""COMPUTED_VALUE"""),"""womenswear Bangalore"",")</f>
        <v>"womenswear Bangalore",</v>
      </c>
    </row>
    <row r="1804">
      <c r="A1804" s="8" t="str">
        <f>IFERROR(__xludf.DUMMYFUNCTION("""COMPUTED_VALUE"""),"""moda Bangalore"",")</f>
        <v>"moda Bangalore",</v>
      </c>
    </row>
    <row r="1805">
      <c r="A1805" s="8" t="str">
        <f>IFERROR(__xludf.DUMMYFUNCTION("""COMPUTED_VALUE"""),"""hairstyle Bangalore"",")</f>
        <v>"hairstyle Bangalore",</v>
      </c>
    </row>
    <row r="1806">
      <c r="A1806" s="8" t="str">
        <f>IFERROR(__xludf.DUMMYFUNCTION("""COMPUTED_VALUE"""),"""perfume Bangalore"",")</f>
        <v>"perfume Bangalore",</v>
      </c>
    </row>
    <row r="1807">
      <c r="A1807" s="8" t="str">
        <f>IFERROR(__xludf.DUMMYFUNCTION("""COMPUTED_VALUE"""),"""cosmetiques Bangalore"",")</f>
        <v>"cosmetiques Bangalore",</v>
      </c>
    </row>
    <row r="1808">
      <c r="A1808" s="8" t="str">
        <f>IFERROR(__xludf.DUMMYFUNCTION("""COMPUTED_VALUE"""),"""beauty routine Bangalore"",")</f>
        <v>"beauty routine Bangalore",</v>
      </c>
    </row>
    <row r="1809">
      <c r="A1809" s="8" t="str">
        <f>IFERROR(__xludf.DUMMYFUNCTION("""COMPUTED_VALUE"""),"""natural beauty Bangalore"",")</f>
        <v>"natural beauty Bangalore",</v>
      </c>
    </row>
    <row r="1810">
      <c r="A1810" s="8" t="str">
        <f>IFERROR(__xludf.DUMMYFUNCTION("""COMPUTED_VALUE"""),"""organic beauty Bangalore"",")</f>
        <v>"organic beauty Bangalore",</v>
      </c>
    </row>
    <row r="1811">
      <c r="A1811" s="8" t="str">
        <f>IFERROR(__xludf.DUMMYFUNCTION("""COMPUTED_VALUE"""),"""sustainable fashion Bangalore"",")</f>
        <v>"sustainable fashion Bangalore",</v>
      </c>
    </row>
    <row r="1812">
      <c r="A1812" s="8" t="str">
        <f>IFERROR(__xludf.DUMMYFUNCTION("""COMPUTED_VALUE"""),"""fashion hacks Bangalore"",")</f>
        <v>"fashion hacks Bangalore",</v>
      </c>
    </row>
    <row r="1813">
      <c r="A1813" s="8" t="str">
        <f>IFERROR(__xludf.DUMMYFUNCTION("""COMPUTED_VALUE"""),"""capsule wardrobe Bangalore"",")</f>
        <v>"capsule wardrobe Bangalore",</v>
      </c>
    </row>
    <row r="1814">
      <c r="A1814" s="8" t="str">
        <f>IFERROR(__xludf.DUMMYFUNCTION("""COMPUTED_VALUE"""),"""fashion trends Bangalore"",")</f>
        <v>"fashion trends Bangalore",</v>
      </c>
    </row>
    <row r="1815">
      <c r="A1815" s="8" t="str">
        <f>IFERROR(__xludf.DUMMYFUNCTION("""COMPUTED_VALUE"""),"""minimalist fashion Bangalore"",")</f>
        <v>"minimalist fashion Bangalore",</v>
      </c>
    </row>
    <row r="1816">
      <c r="A1816" s="8" t="str">
        <f>IFERROR(__xludf.DUMMYFUNCTION("""COMPUTED_VALUE"""),"""beauty hacks Bangalore"",")</f>
        <v>"beauty hacks Bangalore",</v>
      </c>
    </row>
    <row r="1817">
      <c r="A1817" s="8" t="str">
        <f>IFERROR(__xludf.DUMMYFUNCTION("""COMPUTED_VALUE"""),"""hair routines Bangalore"",")</f>
        <v>"hair routines Bangalore",</v>
      </c>
    </row>
    <row r="1818">
      <c r="A1818" s="8" t="str">
        <f>IFERROR(__xludf.DUMMYFUNCTION("""COMPUTED_VALUE"""),"""empties Bangalore"",")</f>
        <v>"empties Bangalore",</v>
      </c>
    </row>
    <row r="1819">
      <c r="A1819" s="8" t="str">
        <f>IFERROR(__xludf.DUMMYFUNCTION("""COMPUTED_VALUE"""),"""product reviews Bangalore"",")</f>
        <v>"product reviews Bangalore",</v>
      </c>
    </row>
    <row r="1820">
      <c r="A1820" s="8" t="str">
        <f>IFERROR(__xludf.DUMMYFUNCTION("""COMPUTED_VALUE"""),"""beauty reviews  Bangalore"",")</f>
        <v>"beauty reviews  Bangalore",</v>
      </c>
    </row>
    <row r="1821">
      <c r="A1821" s="8" t="str">
        <f>IFERROR(__xludf.DUMMYFUNCTION("""COMPUTED_VALUE"""),"""make-up artist Bangalore"",")</f>
        <v>"make-up artist Bangalore",</v>
      </c>
    </row>
    <row r="1822">
      <c r="A1822" s="8" t="str">
        <f>IFERROR(__xludf.DUMMYFUNCTION("""COMPUTED_VALUE"""),"""skincare journey Bangalore"",")</f>
        <v>"skincare journey Bangalore",</v>
      </c>
    </row>
    <row r="1823">
      <c r="A1823" s="8" t="str">
        <f>IFERROR(__xludf.DUMMYFUNCTION("""COMPUTED_VALUE"""),"""hair tutorial Bangalore"",")</f>
        <v>"hair tutorial Bangalore",</v>
      </c>
    </row>
    <row r="1824">
      <c r="A1824" s="8" t="str">
        <f>IFERROR(__xludf.DUMMYFUNCTION("""COMPUTED_VALUE"""),"""barbershop Bangalore"",")</f>
        <v>"barbershop Bangalore",</v>
      </c>
    </row>
    <row r="1825">
      <c r="A1825" s="8" t="str">
        <f>IFERROR(__xludf.DUMMYFUNCTION("""COMPUTED_VALUE"""),"""ootd Sydney"",")</f>
        <v>"ootd Sydney",</v>
      </c>
    </row>
    <row r="1826">
      <c r="A1826" s="8" t="str">
        <f>IFERROR(__xludf.DUMMYFUNCTION("""COMPUTED_VALUE"""),"""street style Sydney"",")</f>
        <v>"street style Sydney",</v>
      </c>
    </row>
    <row r="1827">
      <c r="A1827" s="8" t="str">
        <f>IFERROR(__xludf.DUMMYFUNCTION("""COMPUTED_VALUE"""),"""skincare Sydney"",")</f>
        <v>"skincare Sydney",</v>
      </c>
    </row>
    <row r="1828">
      <c r="A1828" s="8" t="str">
        <f>IFERROR(__xludf.DUMMYFUNCTION("""COMPUTED_VALUE"""),"""makeup Sydney"",")</f>
        <v>"makeup Sydney",</v>
      </c>
    </row>
    <row r="1829">
      <c r="A1829" s="8" t="str">
        <f>IFERROR(__xludf.DUMMYFUNCTION("""COMPUTED_VALUE"""),"""nails Sydney"",")</f>
        <v>"nails Sydney",</v>
      </c>
    </row>
    <row r="1830">
      <c r="A1830" s="8" t="str">
        <f>IFERROR(__xludf.DUMMYFUNCTION("""COMPUTED_VALUE"""),"""curly hair Sydney"",")</f>
        <v>"curly hair Sydney",</v>
      </c>
    </row>
    <row r="1831">
      <c r="A1831" s="8" t="str">
        <f>IFERROR(__xludf.DUMMYFUNCTION("""COMPUTED_VALUE"""),"""thrift Sydney"",")</f>
        <v>"thrift Sydney",</v>
      </c>
    </row>
    <row r="1832">
      <c r="A1832" s="8" t="str">
        <f>IFERROR(__xludf.DUMMYFUNCTION("""COMPUTED_VALUE"""),"""streetwear Sydney"",")</f>
        <v>"streetwear Sydney",</v>
      </c>
    </row>
    <row r="1833">
      <c r="A1833" s="8" t="str">
        <f>IFERROR(__xludf.DUMMYFUNCTION("""COMPUTED_VALUE"""),"""luxury Sydney"",")</f>
        <v>"luxury Sydney",</v>
      </c>
    </row>
    <row r="1834">
      <c r="A1834" s="8" t="str">
        <f>IFERROR(__xludf.DUMMYFUNCTION("""COMPUTED_VALUE"""),"""handbags Sydney"",")</f>
        <v>"handbags Sydney",</v>
      </c>
    </row>
    <row r="1835">
      <c r="A1835" s="8" t="str">
        <f>IFERROR(__xludf.DUMMYFUNCTION("""COMPUTED_VALUE"""),"""sneakers Sydney"",")</f>
        <v>"sneakers Sydney",</v>
      </c>
    </row>
    <row r="1836">
      <c r="A1836" s="8" t="str">
        <f>IFERROR(__xludf.DUMMYFUNCTION("""COMPUTED_VALUE"""),"""high heels Sydney"",")</f>
        <v>"high heels Sydney",</v>
      </c>
    </row>
    <row r="1837">
      <c r="A1837" s="8" t="str">
        <f>IFERROR(__xludf.DUMMYFUNCTION("""COMPUTED_VALUE"""),"""haute-couture Sydney"",")</f>
        <v>"haute-couture Sydney",</v>
      </c>
    </row>
    <row r="1838">
      <c r="A1838" s="8" t="str">
        <f>IFERROR(__xludf.DUMMYFUNCTION("""COMPUTED_VALUE"""),"""diyfashion Sydney"",")</f>
        <v>"diyfashion Sydney",</v>
      </c>
    </row>
    <row r="1839">
      <c r="A1839" s="8" t="str">
        <f>IFERROR(__xludf.DUMMYFUNCTION("""COMPUTED_VALUE"""),"""accessories Sydney"",")</f>
        <v>"accessories Sydney",</v>
      </c>
    </row>
    <row r="1840">
      <c r="A1840" s="8" t="str">
        <f>IFERROR(__xludf.DUMMYFUNCTION("""COMPUTED_VALUE"""),"""menswear Sydney"",")</f>
        <v>"menswear Sydney",</v>
      </c>
    </row>
    <row r="1841">
      <c r="A1841" s="8" t="str">
        <f>IFERROR(__xludf.DUMMYFUNCTION("""COMPUTED_VALUE"""),"""womenswear Sydney"",")</f>
        <v>"womenswear Sydney",</v>
      </c>
    </row>
    <row r="1842">
      <c r="A1842" s="8" t="str">
        <f>IFERROR(__xludf.DUMMYFUNCTION("""COMPUTED_VALUE"""),"""moda Sydney"",")</f>
        <v>"moda Sydney",</v>
      </c>
    </row>
    <row r="1843">
      <c r="A1843" s="8" t="str">
        <f>IFERROR(__xludf.DUMMYFUNCTION("""COMPUTED_VALUE"""),"""hairstyle Sydney"",")</f>
        <v>"hairstyle Sydney",</v>
      </c>
    </row>
    <row r="1844">
      <c r="A1844" s="8" t="str">
        <f>IFERROR(__xludf.DUMMYFUNCTION("""COMPUTED_VALUE"""),"""perfume Sydney"",")</f>
        <v>"perfume Sydney",</v>
      </c>
    </row>
    <row r="1845">
      <c r="A1845" s="8" t="str">
        <f>IFERROR(__xludf.DUMMYFUNCTION("""COMPUTED_VALUE"""),"""cosmetiques Sydney"",")</f>
        <v>"cosmetiques Sydney",</v>
      </c>
    </row>
    <row r="1846">
      <c r="A1846" s="8" t="str">
        <f>IFERROR(__xludf.DUMMYFUNCTION("""COMPUTED_VALUE"""),"""beauty routine Sydney"",")</f>
        <v>"beauty routine Sydney",</v>
      </c>
    </row>
    <row r="1847">
      <c r="A1847" s="8" t="str">
        <f>IFERROR(__xludf.DUMMYFUNCTION("""COMPUTED_VALUE"""),"""natural beauty Sydney"",")</f>
        <v>"natural beauty Sydney",</v>
      </c>
    </row>
    <row r="1848">
      <c r="A1848" s="8" t="str">
        <f>IFERROR(__xludf.DUMMYFUNCTION("""COMPUTED_VALUE"""),"""organic beauty Sydney"",")</f>
        <v>"organic beauty Sydney",</v>
      </c>
    </row>
    <row r="1849">
      <c r="A1849" s="8" t="str">
        <f>IFERROR(__xludf.DUMMYFUNCTION("""COMPUTED_VALUE"""),"""sustainable fashion Sydney"",")</f>
        <v>"sustainable fashion Sydney",</v>
      </c>
    </row>
    <row r="1850">
      <c r="A1850" s="8" t="str">
        <f>IFERROR(__xludf.DUMMYFUNCTION("""COMPUTED_VALUE"""),"""fashion hacks Sydney"",")</f>
        <v>"fashion hacks Sydney",</v>
      </c>
    </row>
    <row r="1851">
      <c r="A1851" s="8" t="str">
        <f>IFERROR(__xludf.DUMMYFUNCTION("""COMPUTED_VALUE"""),"""capsule wardrobe Sydney"",")</f>
        <v>"capsule wardrobe Sydney",</v>
      </c>
    </row>
    <row r="1852">
      <c r="A1852" s="8" t="str">
        <f>IFERROR(__xludf.DUMMYFUNCTION("""COMPUTED_VALUE"""),"""fashion trends Sydney"",")</f>
        <v>"fashion trends Sydney",</v>
      </c>
    </row>
    <row r="1853">
      <c r="A1853" s="8" t="str">
        <f>IFERROR(__xludf.DUMMYFUNCTION("""COMPUTED_VALUE"""),"""minimalist fashion Sydney"",")</f>
        <v>"minimalist fashion Sydney",</v>
      </c>
    </row>
    <row r="1854">
      <c r="A1854" s="8" t="str">
        <f>IFERROR(__xludf.DUMMYFUNCTION("""COMPUTED_VALUE"""),"""beauty hacks Sydney"",")</f>
        <v>"beauty hacks Sydney",</v>
      </c>
    </row>
    <row r="1855">
      <c r="A1855" s="8" t="str">
        <f>IFERROR(__xludf.DUMMYFUNCTION("""COMPUTED_VALUE"""),"""hair routines Sydney"",")</f>
        <v>"hair routines Sydney",</v>
      </c>
    </row>
    <row r="1856">
      <c r="A1856" s="8" t="str">
        <f>IFERROR(__xludf.DUMMYFUNCTION("""COMPUTED_VALUE"""),"""empties Sydney"",")</f>
        <v>"empties Sydney",</v>
      </c>
    </row>
    <row r="1857">
      <c r="A1857" s="8" t="str">
        <f>IFERROR(__xludf.DUMMYFUNCTION("""COMPUTED_VALUE"""),"""product reviews Sydney"",")</f>
        <v>"product reviews Sydney",</v>
      </c>
    </row>
    <row r="1858">
      <c r="A1858" s="8" t="str">
        <f>IFERROR(__xludf.DUMMYFUNCTION("""COMPUTED_VALUE"""),"""beauty reviews  Sydney"",")</f>
        <v>"beauty reviews  Sydney",</v>
      </c>
    </row>
    <row r="1859">
      <c r="A1859" s="8" t="str">
        <f>IFERROR(__xludf.DUMMYFUNCTION("""COMPUTED_VALUE"""),"""make-up artist Sydney"",")</f>
        <v>"make-up artist Sydney",</v>
      </c>
    </row>
    <row r="1860">
      <c r="A1860" s="8" t="str">
        <f>IFERROR(__xludf.DUMMYFUNCTION("""COMPUTED_VALUE"""),"""skincare journey Sydney"",")</f>
        <v>"skincare journey Sydney",</v>
      </c>
    </row>
    <row r="1861">
      <c r="A1861" s="8" t="str">
        <f>IFERROR(__xludf.DUMMYFUNCTION("""COMPUTED_VALUE"""),"""hair tutorial Sydney"",")</f>
        <v>"hair tutorial Sydney",</v>
      </c>
    </row>
    <row r="1862">
      <c r="A1862" s="8" t="str">
        <f>IFERROR(__xludf.DUMMYFUNCTION("""COMPUTED_VALUE"""),"""barbershop Sydney"",")</f>
        <v>"barbershop Sydney",</v>
      </c>
    </row>
    <row r="1863">
      <c r="A1863" s="8" t="str">
        <f>IFERROR(__xludf.DUMMYFUNCTION("""COMPUTED_VALUE"""),"""ootd Melbourne"",")</f>
        <v>"ootd Melbourne",</v>
      </c>
    </row>
    <row r="1864">
      <c r="A1864" s="8" t="str">
        <f>IFERROR(__xludf.DUMMYFUNCTION("""COMPUTED_VALUE"""),"""street style Melbourne"",")</f>
        <v>"street style Melbourne",</v>
      </c>
    </row>
    <row r="1865">
      <c r="A1865" s="8" t="str">
        <f>IFERROR(__xludf.DUMMYFUNCTION("""COMPUTED_VALUE"""),"""skincare Melbourne"",")</f>
        <v>"skincare Melbourne",</v>
      </c>
    </row>
    <row r="1866">
      <c r="A1866" s="8" t="str">
        <f>IFERROR(__xludf.DUMMYFUNCTION("""COMPUTED_VALUE"""),"""makeup Melbourne"",")</f>
        <v>"makeup Melbourne",</v>
      </c>
    </row>
    <row r="1867">
      <c r="A1867" s="8" t="str">
        <f>IFERROR(__xludf.DUMMYFUNCTION("""COMPUTED_VALUE"""),"""nails Melbourne"",")</f>
        <v>"nails Melbourne",</v>
      </c>
    </row>
    <row r="1868">
      <c r="A1868" s="8" t="str">
        <f>IFERROR(__xludf.DUMMYFUNCTION("""COMPUTED_VALUE"""),"""curly hair Melbourne"",")</f>
        <v>"curly hair Melbourne",</v>
      </c>
    </row>
    <row r="1869">
      <c r="A1869" s="8" t="str">
        <f>IFERROR(__xludf.DUMMYFUNCTION("""COMPUTED_VALUE"""),"""thrift Melbourne"",")</f>
        <v>"thrift Melbourne",</v>
      </c>
    </row>
    <row r="1870">
      <c r="A1870" s="8" t="str">
        <f>IFERROR(__xludf.DUMMYFUNCTION("""COMPUTED_VALUE"""),"""streetwear Melbourne"",")</f>
        <v>"streetwear Melbourne",</v>
      </c>
    </row>
    <row r="1871">
      <c r="A1871" s="8" t="str">
        <f>IFERROR(__xludf.DUMMYFUNCTION("""COMPUTED_VALUE"""),"""luxury Melbourne"",")</f>
        <v>"luxury Melbourne",</v>
      </c>
    </row>
    <row r="1872">
      <c r="A1872" s="8" t="str">
        <f>IFERROR(__xludf.DUMMYFUNCTION("""COMPUTED_VALUE"""),"""handbags Melbourne"",")</f>
        <v>"handbags Melbourne",</v>
      </c>
    </row>
    <row r="1873">
      <c r="A1873" s="8" t="str">
        <f>IFERROR(__xludf.DUMMYFUNCTION("""COMPUTED_VALUE"""),"""sneakers Melbourne"",")</f>
        <v>"sneakers Melbourne",</v>
      </c>
    </row>
    <row r="1874">
      <c r="A1874" s="8" t="str">
        <f>IFERROR(__xludf.DUMMYFUNCTION("""COMPUTED_VALUE"""),"""high heels Melbourne"",")</f>
        <v>"high heels Melbourne",</v>
      </c>
    </row>
    <row r="1875">
      <c r="A1875" s="8" t="str">
        <f>IFERROR(__xludf.DUMMYFUNCTION("""COMPUTED_VALUE"""),"""haute-couture Melbourne"",")</f>
        <v>"haute-couture Melbourne",</v>
      </c>
    </row>
    <row r="1876">
      <c r="A1876" s="8" t="str">
        <f>IFERROR(__xludf.DUMMYFUNCTION("""COMPUTED_VALUE"""),"""diyfashion Melbourne"",")</f>
        <v>"diyfashion Melbourne",</v>
      </c>
    </row>
    <row r="1877">
      <c r="A1877" s="8" t="str">
        <f>IFERROR(__xludf.DUMMYFUNCTION("""COMPUTED_VALUE"""),"""accessories Melbourne"",")</f>
        <v>"accessories Melbourne",</v>
      </c>
    </row>
    <row r="1878">
      <c r="A1878" s="8" t="str">
        <f>IFERROR(__xludf.DUMMYFUNCTION("""COMPUTED_VALUE"""),"""menswear Melbourne"",")</f>
        <v>"menswear Melbourne",</v>
      </c>
    </row>
    <row r="1879">
      <c r="A1879" s="8" t="str">
        <f>IFERROR(__xludf.DUMMYFUNCTION("""COMPUTED_VALUE"""),"""womenswear Melbourne"",")</f>
        <v>"womenswear Melbourne",</v>
      </c>
    </row>
    <row r="1880">
      <c r="A1880" s="8" t="str">
        <f>IFERROR(__xludf.DUMMYFUNCTION("""COMPUTED_VALUE"""),"""moda Melbourne"",")</f>
        <v>"moda Melbourne",</v>
      </c>
    </row>
    <row r="1881">
      <c r="A1881" s="8" t="str">
        <f>IFERROR(__xludf.DUMMYFUNCTION("""COMPUTED_VALUE"""),"""hairstyle Melbourne"",")</f>
        <v>"hairstyle Melbourne",</v>
      </c>
    </row>
    <row r="1882">
      <c r="A1882" s="8" t="str">
        <f>IFERROR(__xludf.DUMMYFUNCTION("""COMPUTED_VALUE"""),"""perfume Melbourne"",")</f>
        <v>"perfume Melbourne",</v>
      </c>
    </row>
    <row r="1883">
      <c r="A1883" s="8" t="str">
        <f>IFERROR(__xludf.DUMMYFUNCTION("""COMPUTED_VALUE"""),"""cosmetiques Melbourne"",")</f>
        <v>"cosmetiques Melbourne",</v>
      </c>
    </row>
    <row r="1884">
      <c r="A1884" s="8" t="str">
        <f>IFERROR(__xludf.DUMMYFUNCTION("""COMPUTED_VALUE"""),"""beauty routine Melbourne"",")</f>
        <v>"beauty routine Melbourne",</v>
      </c>
    </row>
    <row r="1885">
      <c r="A1885" s="8" t="str">
        <f>IFERROR(__xludf.DUMMYFUNCTION("""COMPUTED_VALUE"""),"""natural beauty Melbourne"",")</f>
        <v>"natural beauty Melbourne",</v>
      </c>
    </row>
    <row r="1886">
      <c r="A1886" s="8" t="str">
        <f>IFERROR(__xludf.DUMMYFUNCTION("""COMPUTED_VALUE"""),"""organic beauty Melbourne"",")</f>
        <v>"organic beauty Melbourne",</v>
      </c>
    </row>
    <row r="1887">
      <c r="A1887" s="8" t="str">
        <f>IFERROR(__xludf.DUMMYFUNCTION("""COMPUTED_VALUE"""),"""sustainable fashion Melbourne"",")</f>
        <v>"sustainable fashion Melbourne",</v>
      </c>
    </row>
    <row r="1888">
      <c r="A1888" s="8" t="str">
        <f>IFERROR(__xludf.DUMMYFUNCTION("""COMPUTED_VALUE"""),"""fashion hacks Melbourne"",")</f>
        <v>"fashion hacks Melbourne",</v>
      </c>
    </row>
    <row r="1889">
      <c r="A1889" s="8" t="str">
        <f>IFERROR(__xludf.DUMMYFUNCTION("""COMPUTED_VALUE"""),"""capsule wardrobe Melbourne"",")</f>
        <v>"capsule wardrobe Melbourne",</v>
      </c>
    </row>
    <row r="1890">
      <c r="A1890" s="8" t="str">
        <f>IFERROR(__xludf.DUMMYFUNCTION("""COMPUTED_VALUE"""),"""fashion trends Melbourne"",")</f>
        <v>"fashion trends Melbourne",</v>
      </c>
    </row>
    <row r="1891">
      <c r="A1891" s="8" t="str">
        <f>IFERROR(__xludf.DUMMYFUNCTION("""COMPUTED_VALUE"""),"""minimalist fashion Melbourne"",")</f>
        <v>"minimalist fashion Melbourne",</v>
      </c>
    </row>
    <row r="1892">
      <c r="A1892" s="8" t="str">
        <f>IFERROR(__xludf.DUMMYFUNCTION("""COMPUTED_VALUE"""),"""beauty hacks Melbourne"",")</f>
        <v>"beauty hacks Melbourne",</v>
      </c>
    </row>
    <row r="1893">
      <c r="A1893" s="8" t="str">
        <f>IFERROR(__xludf.DUMMYFUNCTION("""COMPUTED_VALUE"""),"""hair routines Melbourne"",")</f>
        <v>"hair routines Melbourne",</v>
      </c>
    </row>
    <row r="1894">
      <c r="A1894" s="8" t="str">
        <f>IFERROR(__xludf.DUMMYFUNCTION("""COMPUTED_VALUE"""),"""empties Melbourne"",")</f>
        <v>"empties Melbourne",</v>
      </c>
    </row>
    <row r="1895">
      <c r="A1895" s="8" t="str">
        <f>IFERROR(__xludf.DUMMYFUNCTION("""COMPUTED_VALUE"""),"""product reviews Melbourne"",")</f>
        <v>"product reviews Melbourne",</v>
      </c>
    </row>
    <row r="1896">
      <c r="A1896" s="8" t="str">
        <f>IFERROR(__xludf.DUMMYFUNCTION("""COMPUTED_VALUE"""),"""beauty reviews  Melbourne"",")</f>
        <v>"beauty reviews  Melbourne",</v>
      </c>
    </row>
    <row r="1897">
      <c r="A1897" s="8" t="str">
        <f>IFERROR(__xludf.DUMMYFUNCTION("""COMPUTED_VALUE"""),"""make-up artist Melbourne"",")</f>
        <v>"make-up artist Melbourne",</v>
      </c>
    </row>
    <row r="1898">
      <c r="A1898" s="8" t="str">
        <f>IFERROR(__xludf.DUMMYFUNCTION("""COMPUTED_VALUE"""),"""skincare journey Melbourne"",")</f>
        <v>"skincare journey Melbourne",</v>
      </c>
    </row>
    <row r="1899">
      <c r="A1899" s="8" t="str">
        <f>IFERROR(__xludf.DUMMYFUNCTION("""COMPUTED_VALUE"""),"""hair tutorial Melbourne"",")</f>
        <v>"hair tutorial Melbourne",</v>
      </c>
    </row>
    <row r="1900">
      <c r="A1900" s="8" t="str">
        <f>IFERROR(__xludf.DUMMYFUNCTION("""COMPUTED_VALUE"""),"""barbershop Melbourne"",")</f>
        <v>"barbershop Melbourne",</v>
      </c>
    </row>
    <row r="1901">
      <c r="A1901" s="8" t="str">
        <f>IFERROR(__xludf.DUMMYFUNCTION("""COMPUTED_VALUE"""),"""ootd Bali"",")</f>
        <v>"ootd Bali",</v>
      </c>
    </row>
    <row r="1902">
      <c r="A1902" s="8" t="str">
        <f>IFERROR(__xludf.DUMMYFUNCTION("""COMPUTED_VALUE"""),"""street style Bali"",")</f>
        <v>"street style Bali",</v>
      </c>
    </row>
    <row r="1903">
      <c r="A1903" s="8" t="str">
        <f>IFERROR(__xludf.DUMMYFUNCTION("""COMPUTED_VALUE"""),"""skincare Bali"",")</f>
        <v>"skincare Bali",</v>
      </c>
    </row>
    <row r="1904">
      <c r="A1904" s="8" t="str">
        <f>IFERROR(__xludf.DUMMYFUNCTION("""COMPUTED_VALUE"""),"""makeup Bali"",")</f>
        <v>"makeup Bali",</v>
      </c>
    </row>
    <row r="1905">
      <c r="A1905" s="8" t="str">
        <f>IFERROR(__xludf.DUMMYFUNCTION("""COMPUTED_VALUE"""),"""nails Bali"",")</f>
        <v>"nails Bali",</v>
      </c>
    </row>
    <row r="1906">
      <c r="A1906" s="8" t="str">
        <f>IFERROR(__xludf.DUMMYFUNCTION("""COMPUTED_VALUE"""),"""curly hair Bali"",")</f>
        <v>"curly hair Bali",</v>
      </c>
    </row>
    <row r="1907">
      <c r="A1907" s="8" t="str">
        <f>IFERROR(__xludf.DUMMYFUNCTION("""COMPUTED_VALUE"""),"""thrift Bali"",")</f>
        <v>"thrift Bali",</v>
      </c>
    </row>
    <row r="1908">
      <c r="A1908" s="8" t="str">
        <f>IFERROR(__xludf.DUMMYFUNCTION("""COMPUTED_VALUE"""),"""streetwear Bali"",")</f>
        <v>"streetwear Bali",</v>
      </c>
    </row>
    <row r="1909">
      <c r="A1909" s="8" t="str">
        <f>IFERROR(__xludf.DUMMYFUNCTION("""COMPUTED_VALUE"""),"""luxury Bali"",")</f>
        <v>"luxury Bali",</v>
      </c>
    </row>
    <row r="1910">
      <c r="A1910" s="8" t="str">
        <f>IFERROR(__xludf.DUMMYFUNCTION("""COMPUTED_VALUE"""),"""handbags Bali"",")</f>
        <v>"handbags Bali",</v>
      </c>
    </row>
    <row r="1911">
      <c r="A1911" s="8" t="str">
        <f>IFERROR(__xludf.DUMMYFUNCTION("""COMPUTED_VALUE"""),"""sneakers Bali"",")</f>
        <v>"sneakers Bali",</v>
      </c>
    </row>
    <row r="1912">
      <c r="A1912" s="8" t="str">
        <f>IFERROR(__xludf.DUMMYFUNCTION("""COMPUTED_VALUE"""),"""high heels Bali"",")</f>
        <v>"high heels Bali",</v>
      </c>
    </row>
    <row r="1913">
      <c r="A1913" s="8" t="str">
        <f>IFERROR(__xludf.DUMMYFUNCTION("""COMPUTED_VALUE"""),"""haute-couture Bali"",")</f>
        <v>"haute-couture Bali",</v>
      </c>
    </row>
    <row r="1914">
      <c r="A1914" s="8" t="str">
        <f>IFERROR(__xludf.DUMMYFUNCTION("""COMPUTED_VALUE"""),"""diyfashion Bali"",")</f>
        <v>"diyfashion Bali",</v>
      </c>
    </row>
    <row r="1915">
      <c r="A1915" s="8" t="str">
        <f>IFERROR(__xludf.DUMMYFUNCTION("""COMPUTED_VALUE"""),"""accessories Bali"",")</f>
        <v>"accessories Bali",</v>
      </c>
    </row>
    <row r="1916">
      <c r="A1916" s="8" t="str">
        <f>IFERROR(__xludf.DUMMYFUNCTION("""COMPUTED_VALUE"""),"""menswear Bali"",")</f>
        <v>"menswear Bali",</v>
      </c>
    </row>
    <row r="1917">
      <c r="A1917" s="8" t="str">
        <f>IFERROR(__xludf.DUMMYFUNCTION("""COMPUTED_VALUE"""),"""womenswear Bali"",")</f>
        <v>"womenswear Bali",</v>
      </c>
    </row>
    <row r="1918">
      <c r="A1918" s="8" t="str">
        <f>IFERROR(__xludf.DUMMYFUNCTION("""COMPUTED_VALUE"""),"""moda Bali"",")</f>
        <v>"moda Bali",</v>
      </c>
    </row>
    <row r="1919">
      <c r="A1919" s="8" t="str">
        <f>IFERROR(__xludf.DUMMYFUNCTION("""COMPUTED_VALUE"""),"""hairstyle Bali"",")</f>
        <v>"hairstyle Bali",</v>
      </c>
    </row>
    <row r="1920">
      <c r="A1920" s="8" t="str">
        <f>IFERROR(__xludf.DUMMYFUNCTION("""COMPUTED_VALUE"""),"""perfume Bali"",")</f>
        <v>"perfume Bali",</v>
      </c>
    </row>
    <row r="1921">
      <c r="A1921" s="8" t="str">
        <f>IFERROR(__xludf.DUMMYFUNCTION("""COMPUTED_VALUE"""),"""cosmetiques Bali"",")</f>
        <v>"cosmetiques Bali",</v>
      </c>
    </row>
    <row r="1922">
      <c r="A1922" s="8" t="str">
        <f>IFERROR(__xludf.DUMMYFUNCTION("""COMPUTED_VALUE"""),"""beauty routine Bali"",")</f>
        <v>"beauty routine Bali",</v>
      </c>
    </row>
    <row r="1923">
      <c r="A1923" s="8" t="str">
        <f>IFERROR(__xludf.DUMMYFUNCTION("""COMPUTED_VALUE"""),"""natural beauty Bali"",")</f>
        <v>"natural beauty Bali",</v>
      </c>
    </row>
    <row r="1924">
      <c r="A1924" s="8" t="str">
        <f>IFERROR(__xludf.DUMMYFUNCTION("""COMPUTED_VALUE"""),"""organic beauty Bali"",")</f>
        <v>"organic beauty Bali",</v>
      </c>
    </row>
    <row r="1925">
      <c r="A1925" s="8" t="str">
        <f>IFERROR(__xludf.DUMMYFUNCTION("""COMPUTED_VALUE"""),"""sustainable fashion Bali"",")</f>
        <v>"sustainable fashion Bali",</v>
      </c>
    </row>
    <row r="1926">
      <c r="A1926" s="8" t="str">
        <f>IFERROR(__xludf.DUMMYFUNCTION("""COMPUTED_VALUE"""),"""fashion hacks Bali"",")</f>
        <v>"fashion hacks Bali",</v>
      </c>
    </row>
    <row r="1927">
      <c r="A1927" s="8" t="str">
        <f>IFERROR(__xludf.DUMMYFUNCTION("""COMPUTED_VALUE"""),"""capsule wardrobe Bali"",")</f>
        <v>"capsule wardrobe Bali",</v>
      </c>
    </row>
    <row r="1928">
      <c r="A1928" s="8" t="str">
        <f>IFERROR(__xludf.DUMMYFUNCTION("""COMPUTED_VALUE"""),"""fashion trends Bali"",")</f>
        <v>"fashion trends Bali",</v>
      </c>
    </row>
    <row r="1929">
      <c r="A1929" s="8" t="str">
        <f>IFERROR(__xludf.DUMMYFUNCTION("""COMPUTED_VALUE"""),"""minimalist fashion Bali"",")</f>
        <v>"minimalist fashion Bali",</v>
      </c>
    </row>
    <row r="1930">
      <c r="A1930" s="8" t="str">
        <f>IFERROR(__xludf.DUMMYFUNCTION("""COMPUTED_VALUE"""),"""beauty hacks Bali"",")</f>
        <v>"beauty hacks Bali",</v>
      </c>
    </row>
    <row r="1931">
      <c r="A1931" s="8" t="str">
        <f>IFERROR(__xludf.DUMMYFUNCTION("""COMPUTED_VALUE"""),"""hair routines Bali"",")</f>
        <v>"hair routines Bali",</v>
      </c>
    </row>
    <row r="1932">
      <c r="A1932" s="8" t="str">
        <f>IFERROR(__xludf.DUMMYFUNCTION("""COMPUTED_VALUE"""),"""empties Bali"",")</f>
        <v>"empties Bali",</v>
      </c>
    </row>
    <row r="1933">
      <c r="A1933" s="8" t="str">
        <f>IFERROR(__xludf.DUMMYFUNCTION("""COMPUTED_VALUE"""),"""product reviews Bali"",")</f>
        <v>"product reviews Bali",</v>
      </c>
    </row>
    <row r="1934">
      <c r="A1934" s="8" t="str">
        <f>IFERROR(__xludf.DUMMYFUNCTION("""COMPUTED_VALUE"""),"""beauty reviews  Bali"",")</f>
        <v>"beauty reviews  Bali",</v>
      </c>
    </row>
    <row r="1935">
      <c r="A1935" s="8" t="str">
        <f>IFERROR(__xludf.DUMMYFUNCTION("""COMPUTED_VALUE"""),"""make-up artist Bali"",")</f>
        <v>"make-up artist Bali",</v>
      </c>
    </row>
    <row r="1936">
      <c r="A1936" s="8" t="str">
        <f>IFERROR(__xludf.DUMMYFUNCTION("""COMPUTED_VALUE"""),"""skincare journey Bali"",")</f>
        <v>"skincare journey Bali",</v>
      </c>
    </row>
    <row r="1937">
      <c r="A1937" s="8" t="str">
        <f>IFERROR(__xludf.DUMMYFUNCTION("""COMPUTED_VALUE"""),"""hair tutorial Bali"",")</f>
        <v>"hair tutorial Bali",</v>
      </c>
    </row>
    <row r="1938">
      <c r="A1938" s="8" t="str">
        <f>IFERROR(__xludf.DUMMYFUNCTION("""COMPUTED_VALUE"""),"""barbershop Bali"",")</f>
        <v>"barbershop Bali",</v>
      </c>
    </row>
    <row r="1939">
      <c r="A1939" s="8" t="str">
        <f>IFERROR(__xludf.DUMMYFUNCTION("""COMPUTED_VALUE"""),"""ootd Ibiza"",")</f>
        <v>"ootd Ibiza",</v>
      </c>
    </row>
    <row r="1940">
      <c r="A1940" s="9" t="str">
        <f>IFERROR(__xludf.DUMMYFUNCTION("""COMPUTED_VALUE"""),"""street style Ibiza"",")</f>
        <v>"street style Ibiza",</v>
      </c>
    </row>
    <row r="1941">
      <c r="A1941" s="8" t="str">
        <f>IFERROR(__xludf.DUMMYFUNCTION("""COMPUTED_VALUE"""),"""skincare Ibiza"",")</f>
        <v>"skincare Ibiza",</v>
      </c>
    </row>
    <row r="1942">
      <c r="A1942" s="8" t="str">
        <f>IFERROR(__xludf.DUMMYFUNCTION("""COMPUTED_VALUE"""),"""makeup Ibiza"",")</f>
        <v>"makeup Ibiza",</v>
      </c>
    </row>
    <row r="1943">
      <c r="A1943" s="8" t="str">
        <f>IFERROR(__xludf.DUMMYFUNCTION("""COMPUTED_VALUE"""),"""nails Ibiza"",")</f>
        <v>"nails Ibiza",</v>
      </c>
    </row>
    <row r="1944">
      <c r="A1944" s="8" t="str">
        <f>IFERROR(__xludf.DUMMYFUNCTION("""COMPUTED_VALUE"""),"""curly hair Ibiza"",")</f>
        <v>"curly hair Ibiza",</v>
      </c>
    </row>
    <row r="1945">
      <c r="A1945" s="8" t="str">
        <f>IFERROR(__xludf.DUMMYFUNCTION("""COMPUTED_VALUE"""),"""thrift Ibiza"",")</f>
        <v>"thrift Ibiza",</v>
      </c>
    </row>
    <row r="1946">
      <c r="A1946" s="8" t="str">
        <f>IFERROR(__xludf.DUMMYFUNCTION("""COMPUTED_VALUE"""),"""streetwear Ibiza"",")</f>
        <v>"streetwear Ibiza",</v>
      </c>
    </row>
    <row r="1947">
      <c r="A1947" s="8" t="str">
        <f>IFERROR(__xludf.DUMMYFUNCTION("""COMPUTED_VALUE"""),"""luxury Ibiza"",")</f>
        <v>"luxury Ibiza",</v>
      </c>
    </row>
    <row r="1948">
      <c r="A1948" s="8" t="str">
        <f>IFERROR(__xludf.DUMMYFUNCTION("""COMPUTED_VALUE"""),"""handbags Ibiza"",")</f>
        <v>"handbags Ibiza",</v>
      </c>
    </row>
    <row r="1949">
      <c r="A1949" s="8" t="str">
        <f>IFERROR(__xludf.DUMMYFUNCTION("""COMPUTED_VALUE"""),"""sneakers Ibiza"",")</f>
        <v>"sneakers Ibiza",</v>
      </c>
    </row>
    <row r="1950">
      <c r="A1950" s="8" t="str">
        <f>IFERROR(__xludf.DUMMYFUNCTION("""COMPUTED_VALUE"""),"""high heels Ibiza"",")</f>
        <v>"high heels Ibiza",</v>
      </c>
    </row>
    <row r="1951">
      <c r="A1951" s="8" t="str">
        <f>IFERROR(__xludf.DUMMYFUNCTION("""COMPUTED_VALUE"""),"""haute-couture Ibiza"",")</f>
        <v>"haute-couture Ibiza",</v>
      </c>
    </row>
    <row r="1952">
      <c r="A1952" s="8" t="str">
        <f>IFERROR(__xludf.DUMMYFUNCTION("""COMPUTED_VALUE"""),"""diyfashion Ibiza"",")</f>
        <v>"diyfashion Ibiza",</v>
      </c>
    </row>
    <row r="1953">
      <c r="A1953" s="8" t="str">
        <f>IFERROR(__xludf.DUMMYFUNCTION("""COMPUTED_VALUE"""),"""accessories Ibiza"",")</f>
        <v>"accessories Ibiza",</v>
      </c>
    </row>
    <row r="1954">
      <c r="A1954" s="8" t="str">
        <f>IFERROR(__xludf.DUMMYFUNCTION("""COMPUTED_VALUE"""),"""menswear Ibiza"",")</f>
        <v>"menswear Ibiza",</v>
      </c>
    </row>
    <row r="1955">
      <c r="A1955" s="8" t="str">
        <f>IFERROR(__xludf.DUMMYFUNCTION("""COMPUTED_VALUE"""),"""womenswear Ibiza"",")</f>
        <v>"womenswear Ibiza",</v>
      </c>
    </row>
    <row r="1956">
      <c r="A1956" s="8" t="str">
        <f>IFERROR(__xludf.DUMMYFUNCTION("""COMPUTED_VALUE"""),"""moda Ibiza"",")</f>
        <v>"moda Ibiza",</v>
      </c>
    </row>
    <row r="1957">
      <c r="A1957" s="8" t="str">
        <f>IFERROR(__xludf.DUMMYFUNCTION("""COMPUTED_VALUE"""),"""hairstyle Ibiza"",")</f>
        <v>"hairstyle Ibiza",</v>
      </c>
    </row>
    <row r="1958">
      <c r="A1958" s="8" t="str">
        <f>IFERROR(__xludf.DUMMYFUNCTION("""COMPUTED_VALUE"""),"""perfume Ibiza"",")</f>
        <v>"perfume Ibiza",</v>
      </c>
    </row>
    <row r="1959">
      <c r="A1959" s="8" t="str">
        <f>IFERROR(__xludf.DUMMYFUNCTION("""COMPUTED_VALUE"""),"""cosmetiques Ibiza"",")</f>
        <v>"cosmetiques Ibiza",</v>
      </c>
    </row>
    <row r="1960">
      <c r="A1960" s="8" t="str">
        <f>IFERROR(__xludf.DUMMYFUNCTION("""COMPUTED_VALUE"""),"""beauty routine Ibiza"",")</f>
        <v>"beauty routine Ibiza",</v>
      </c>
    </row>
    <row r="1961">
      <c r="A1961" s="8" t="str">
        <f>IFERROR(__xludf.DUMMYFUNCTION("""COMPUTED_VALUE"""),"""natural beauty Ibiza"",")</f>
        <v>"natural beauty Ibiza",</v>
      </c>
    </row>
    <row r="1962">
      <c r="A1962" s="8" t="str">
        <f>IFERROR(__xludf.DUMMYFUNCTION("""COMPUTED_VALUE"""),"""organic beauty Ibiza"",")</f>
        <v>"organic beauty Ibiza",</v>
      </c>
    </row>
    <row r="1963">
      <c r="A1963" s="8" t="str">
        <f>IFERROR(__xludf.DUMMYFUNCTION("""COMPUTED_VALUE"""),"""sustainable fashion Ibiza"",")</f>
        <v>"sustainable fashion Ibiza",</v>
      </c>
    </row>
    <row r="1964">
      <c r="A1964" s="8" t="str">
        <f>IFERROR(__xludf.DUMMYFUNCTION("""COMPUTED_VALUE"""),"""fashion hacks Ibiza"",")</f>
        <v>"fashion hacks Ibiza",</v>
      </c>
    </row>
    <row r="1965">
      <c r="A1965" s="8" t="str">
        <f>IFERROR(__xludf.DUMMYFUNCTION("""COMPUTED_VALUE"""),"""capsule wardrobe Ibiza"",")</f>
        <v>"capsule wardrobe Ibiza",</v>
      </c>
    </row>
    <row r="1966">
      <c r="A1966" s="8" t="str">
        <f>IFERROR(__xludf.DUMMYFUNCTION("""COMPUTED_VALUE"""),"""fashion trends Ibiza"",")</f>
        <v>"fashion trends Ibiza",</v>
      </c>
    </row>
    <row r="1967">
      <c r="A1967" s="8" t="str">
        <f>IFERROR(__xludf.DUMMYFUNCTION("""COMPUTED_VALUE"""),"""minimalist fashion Ibiza"",")</f>
        <v>"minimalist fashion Ibiza",</v>
      </c>
    </row>
    <row r="1968">
      <c r="A1968" s="8" t="str">
        <f>IFERROR(__xludf.DUMMYFUNCTION("""COMPUTED_VALUE"""),"""beauty hacks Ibiza"",")</f>
        <v>"beauty hacks Ibiza",</v>
      </c>
    </row>
    <row r="1969">
      <c r="A1969" s="8" t="str">
        <f>IFERROR(__xludf.DUMMYFUNCTION("""COMPUTED_VALUE"""),"""hair routines Ibiza"",")</f>
        <v>"hair routines Ibiza",</v>
      </c>
    </row>
    <row r="1970">
      <c r="A1970" s="8" t="str">
        <f>IFERROR(__xludf.DUMMYFUNCTION("""COMPUTED_VALUE"""),"""empties Ibiza"",")</f>
        <v>"empties Ibiza",</v>
      </c>
    </row>
    <row r="1971">
      <c r="A1971" s="8" t="str">
        <f>IFERROR(__xludf.DUMMYFUNCTION("""COMPUTED_VALUE"""),"""product reviews Ibiza"",")</f>
        <v>"product reviews Ibiza",</v>
      </c>
    </row>
    <row r="1972">
      <c r="A1972" s="8" t="str">
        <f>IFERROR(__xludf.DUMMYFUNCTION("""COMPUTED_VALUE"""),"""beauty reviews  Ibiza"",")</f>
        <v>"beauty reviews  Ibiza",</v>
      </c>
    </row>
    <row r="1973">
      <c r="A1973" s="8" t="str">
        <f>IFERROR(__xludf.DUMMYFUNCTION("""COMPUTED_VALUE"""),"""make-up artist Ibiza"",")</f>
        <v>"make-up artist Ibiza",</v>
      </c>
    </row>
    <row r="1974">
      <c r="A1974" s="8" t="str">
        <f>IFERROR(__xludf.DUMMYFUNCTION("""COMPUTED_VALUE"""),"""skincare journey Ibiza"",")</f>
        <v>"skincare journey Ibiza",</v>
      </c>
    </row>
    <row r="1975">
      <c r="A1975" s="8" t="str">
        <f>IFERROR(__xludf.DUMMYFUNCTION("""COMPUTED_VALUE"""),"""hair tutorial Ibiza"",")</f>
        <v>"hair tutorial Ibiza",</v>
      </c>
    </row>
    <row r="1976">
      <c r="A1976" s="8" t="str">
        <f>IFERROR(__xludf.DUMMYFUNCTION("""COMPUTED_VALUE"""),"""barbershop Ibiza"",")</f>
        <v>"barbershop Ibiza",</v>
      </c>
    </row>
    <row r="1977">
      <c r="A1977" s="8" t="str">
        <f>IFERROR(__xludf.DUMMYFUNCTION("""COMPUTED_VALUE"""),"""ootd Mallorca"",")</f>
        <v>"ootd Mallorca",</v>
      </c>
    </row>
    <row r="1978">
      <c r="A1978" s="8" t="str">
        <f>IFERROR(__xludf.DUMMYFUNCTION("""COMPUTED_VALUE"""),"""street style Mallorca"",")</f>
        <v>"street style Mallorca",</v>
      </c>
    </row>
    <row r="1979">
      <c r="A1979" s="8" t="str">
        <f>IFERROR(__xludf.DUMMYFUNCTION("""COMPUTED_VALUE"""),"""skincare Mallorca"",")</f>
        <v>"skincare Mallorca",</v>
      </c>
    </row>
    <row r="1980">
      <c r="A1980" s="8" t="str">
        <f>IFERROR(__xludf.DUMMYFUNCTION("""COMPUTED_VALUE"""),"""makeup Mallorca"",")</f>
        <v>"makeup Mallorca",</v>
      </c>
    </row>
    <row r="1981">
      <c r="A1981" s="8" t="str">
        <f>IFERROR(__xludf.DUMMYFUNCTION("""COMPUTED_VALUE"""),"""nails Mallorca"",")</f>
        <v>"nails Mallorca",</v>
      </c>
    </row>
    <row r="1982">
      <c r="A1982" s="8" t="str">
        <f>IFERROR(__xludf.DUMMYFUNCTION("""COMPUTED_VALUE"""),"""curly hair Mallorca"",")</f>
        <v>"curly hair Mallorca",</v>
      </c>
    </row>
    <row r="1983">
      <c r="A1983" s="8" t="str">
        <f>IFERROR(__xludf.DUMMYFUNCTION("""COMPUTED_VALUE"""),"""thrift Mallorca"",")</f>
        <v>"thrift Mallorca",</v>
      </c>
    </row>
    <row r="1984">
      <c r="A1984" s="8" t="str">
        <f>IFERROR(__xludf.DUMMYFUNCTION("""COMPUTED_VALUE"""),"""streetwear Mallorca"",")</f>
        <v>"streetwear Mallorca",</v>
      </c>
    </row>
    <row r="1985">
      <c r="A1985" s="8" t="str">
        <f>IFERROR(__xludf.DUMMYFUNCTION("""COMPUTED_VALUE"""),"""luxury Mallorca"",")</f>
        <v>"luxury Mallorca",</v>
      </c>
    </row>
    <row r="1986">
      <c r="A1986" s="8" t="str">
        <f>IFERROR(__xludf.DUMMYFUNCTION("""COMPUTED_VALUE"""),"""handbags Mallorca"",")</f>
        <v>"handbags Mallorca",</v>
      </c>
    </row>
    <row r="1987">
      <c r="A1987" s="8" t="str">
        <f>IFERROR(__xludf.DUMMYFUNCTION("""COMPUTED_VALUE"""),"""sneakers Mallorca"",")</f>
        <v>"sneakers Mallorca",</v>
      </c>
    </row>
    <row r="1988">
      <c r="A1988" s="8" t="str">
        <f>IFERROR(__xludf.DUMMYFUNCTION("""COMPUTED_VALUE"""),"""high heels Mallorca"",")</f>
        <v>"high heels Mallorca",</v>
      </c>
    </row>
    <row r="1989">
      <c r="A1989" s="8" t="str">
        <f>IFERROR(__xludf.DUMMYFUNCTION("""COMPUTED_VALUE"""),"""haute-couture Mallorca"",")</f>
        <v>"haute-couture Mallorca",</v>
      </c>
    </row>
    <row r="1990">
      <c r="A1990" s="8" t="str">
        <f>IFERROR(__xludf.DUMMYFUNCTION("""COMPUTED_VALUE"""),"""diyfashion Mallorca"",")</f>
        <v>"diyfashion Mallorca",</v>
      </c>
    </row>
    <row r="1991">
      <c r="A1991" s="8" t="str">
        <f>IFERROR(__xludf.DUMMYFUNCTION("""COMPUTED_VALUE"""),"""accessories Mallorca"",")</f>
        <v>"accessories Mallorca",</v>
      </c>
    </row>
    <row r="1992">
      <c r="A1992" s="8" t="str">
        <f>IFERROR(__xludf.DUMMYFUNCTION("""COMPUTED_VALUE"""),"""menswear Mallorca"",")</f>
        <v>"menswear Mallorca",</v>
      </c>
    </row>
    <row r="1993">
      <c r="A1993" s="8" t="str">
        <f>IFERROR(__xludf.DUMMYFUNCTION("""COMPUTED_VALUE"""),"""womenswear Mallorca"",")</f>
        <v>"womenswear Mallorca",</v>
      </c>
    </row>
    <row r="1994">
      <c r="A1994" s="8" t="str">
        <f>IFERROR(__xludf.DUMMYFUNCTION("""COMPUTED_VALUE"""),"""moda Mallorca"",")</f>
        <v>"moda Mallorca",</v>
      </c>
    </row>
    <row r="1995">
      <c r="A1995" s="8" t="str">
        <f>IFERROR(__xludf.DUMMYFUNCTION("""COMPUTED_VALUE"""),"""hairstyle Mallorca"",")</f>
        <v>"hairstyle Mallorca",</v>
      </c>
    </row>
    <row r="1996">
      <c r="A1996" s="8" t="str">
        <f>IFERROR(__xludf.DUMMYFUNCTION("""COMPUTED_VALUE"""),"""perfume Mallorca"",")</f>
        <v>"perfume Mallorca",</v>
      </c>
    </row>
    <row r="1997">
      <c r="A1997" s="8" t="str">
        <f>IFERROR(__xludf.DUMMYFUNCTION("""COMPUTED_VALUE"""),"""cosmetiques Mallorca"",")</f>
        <v>"cosmetiques Mallorca",</v>
      </c>
    </row>
    <row r="1998">
      <c r="A1998" s="8" t="str">
        <f>IFERROR(__xludf.DUMMYFUNCTION("""COMPUTED_VALUE"""),"""beauty routine Mallorca"",")</f>
        <v>"beauty routine Mallorca",</v>
      </c>
    </row>
    <row r="1999">
      <c r="A1999" s="8" t="str">
        <f>IFERROR(__xludf.DUMMYFUNCTION("""COMPUTED_VALUE"""),"""natural beauty Mallorca"",")</f>
        <v>"natural beauty Mallorca",</v>
      </c>
    </row>
    <row r="2000">
      <c r="A2000" s="8" t="str">
        <f>IFERROR(__xludf.DUMMYFUNCTION("""COMPUTED_VALUE"""),"""organic beauty Mallorca"",")</f>
        <v>"organic beauty Mallorca",</v>
      </c>
    </row>
    <row r="2001">
      <c r="A2001" s="8" t="str">
        <f>IFERROR(__xludf.DUMMYFUNCTION("""COMPUTED_VALUE"""),"""sustainable fashion Mallorca"",")</f>
        <v>"sustainable fashion Mallorca",</v>
      </c>
    </row>
    <row r="2002">
      <c r="A2002" s="8" t="str">
        <f>IFERROR(__xludf.DUMMYFUNCTION("""COMPUTED_VALUE"""),"""fashion hacks Mallorca"",")</f>
        <v>"fashion hacks Mallorca",</v>
      </c>
    </row>
    <row r="2003">
      <c r="A2003" s="8" t="str">
        <f>IFERROR(__xludf.DUMMYFUNCTION("""COMPUTED_VALUE"""),"""capsule wardrobe Mallorca"",")</f>
        <v>"capsule wardrobe Mallorca",</v>
      </c>
    </row>
    <row r="2004">
      <c r="A2004" s="8" t="str">
        <f>IFERROR(__xludf.DUMMYFUNCTION("""COMPUTED_VALUE"""),"""fashion trends Mallorca"",")</f>
        <v>"fashion trends Mallorca",</v>
      </c>
    </row>
    <row r="2005">
      <c r="A2005" s="8" t="str">
        <f>IFERROR(__xludf.DUMMYFUNCTION("""COMPUTED_VALUE"""),"""minimalist fashion Mallorca"",")</f>
        <v>"minimalist fashion Mallorca",</v>
      </c>
    </row>
    <row r="2006">
      <c r="A2006" s="8" t="str">
        <f>IFERROR(__xludf.DUMMYFUNCTION("""COMPUTED_VALUE"""),"""beauty hacks Mallorca"",")</f>
        <v>"beauty hacks Mallorca",</v>
      </c>
    </row>
    <row r="2007">
      <c r="A2007" s="8" t="str">
        <f>IFERROR(__xludf.DUMMYFUNCTION("""COMPUTED_VALUE"""),"""hair routines Mallorca"",")</f>
        <v>"hair routines Mallorca",</v>
      </c>
    </row>
    <row r="2008">
      <c r="A2008" s="8" t="str">
        <f>IFERROR(__xludf.DUMMYFUNCTION("""COMPUTED_VALUE"""),"""empties Mallorca"",")</f>
        <v>"empties Mallorca",</v>
      </c>
    </row>
    <row r="2009">
      <c r="A2009" s="8" t="str">
        <f>IFERROR(__xludf.DUMMYFUNCTION("""COMPUTED_VALUE"""),"""product reviews Mallorca"",")</f>
        <v>"product reviews Mallorca",</v>
      </c>
    </row>
    <row r="2010">
      <c r="A2010" s="8" t="str">
        <f>IFERROR(__xludf.DUMMYFUNCTION("""COMPUTED_VALUE"""),"""beauty reviews  Mallorca"",")</f>
        <v>"beauty reviews  Mallorca",</v>
      </c>
    </row>
    <row r="2011">
      <c r="A2011" s="8" t="str">
        <f>IFERROR(__xludf.DUMMYFUNCTION("""COMPUTED_VALUE"""),"""make-up artist Mallorca"",")</f>
        <v>"make-up artist Mallorca",</v>
      </c>
    </row>
    <row r="2012">
      <c r="A2012" s="8" t="str">
        <f>IFERROR(__xludf.DUMMYFUNCTION("""COMPUTED_VALUE"""),"""skincare journey Mallorca"",")</f>
        <v>"skincare journey Mallorca",</v>
      </c>
    </row>
    <row r="2013">
      <c r="A2013" s="8" t="str">
        <f>IFERROR(__xludf.DUMMYFUNCTION("""COMPUTED_VALUE"""),"""hair tutorial Mallorca"",")</f>
        <v>"hair tutorial Mallorca",</v>
      </c>
    </row>
    <row r="2014">
      <c r="A2014" s="8" t="str">
        <f>IFERROR(__xludf.DUMMYFUNCTION("""COMPUTED_VALUE"""),"""barbershop Mallorca"",")</f>
        <v>"barbershop Mallorca",</v>
      </c>
    </row>
    <row r="2015">
      <c r="A2015" s="8" t="str">
        <f>IFERROR(__xludf.DUMMYFUNCTION("""COMPUTED_VALUE"""),"""ootd Mykonos"",")</f>
        <v>"ootd Mykonos",</v>
      </c>
    </row>
    <row r="2016">
      <c r="A2016" s="8" t="str">
        <f>IFERROR(__xludf.DUMMYFUNCTION("""COMPUTED_VALUE"""),"""street style Mykonos"",")</f>
        <v>"street style Mykonos",</v>
      </c>
    </row>
    <row r="2017">
      <c r="A2017" s="8" t="str">
        <f>IFERROR(__xludf.DUMMYFUNCTION("""COMPUTED_VALUE"""),"""skincare Mykonos"",")</f>
        <v>"skincare Mykonos",</v>
      </c>
    </row>
    <row r="2018">
      <c r="A2018" s="8" t="str">
        <f>IFERROR(__xludf.DUMMYFUNCTION("""COMPUTED_VALUE"""),"""makeup Mykonos"",")</f>
        <v>"makeup Mykonos",</v>
      </c>
    </row>
    <row r="2019">
      <c r="A2019" s="8" t="str">
        <f>IFERROR(__xludf.DUMMYFUNCTION("""COMPUTED_VALUE"""),"""nails Mykonos"",")</f>
        <v>"nails Mykonos",</v>
      </c>
    </row>
    <row r="2020">
      <c r="A2020" s="8" t="str">
        <f>IFERROR(__xludf.DUMMYFUNCTION("""COMPUTED_VALUE"""),"""curly hair Mykonos"",")</f>
        <v>"curly hair Mykonos",</v>
      </c>
    </row>
    <row r="2021">
      <c r="A2021" s="8" t="str">
        <f>IFERROR(__xludf.DUMMYFUNCTION("""COMPUTED_VALUE"""),"""thrift Mykonos"",")</f>
        <v>"thrift Mykonos",</v>
      </c>
    </row>
    <row r="2022">
      <c r="A2022" s="8" t="str">
        <f>IFERROR(__xludf.DUMMYFUNCTION("""COMPUTED_VALUE"""),"""streetwear Mykonos"",")</f>
        <v>"streetwear Mykonos",</v>
      </c>
    </row>
    <row r="2023">
      <c r="A2023" s="8" t="str">
        <f>IFERROR(__xludf.DUMMYFUNCTION("""COMPUTED_VALUE"""),"""luxury Mykonos"",")</f>
        <v>"luxury Mykonos",</v>
      </c>
    </row>
    <row r="2024">
      <c r="A2024" s="8" t="str">
        <f>IFERROR(__xludf.DUMMYFUNCTION("""COMPUTED_VALUE"""),"""handbags Mykonos"",")</f>
        <v>"handbags Mykonos",</v>
      </c>
    </row>
    <row r="2025">
      <c r="A2025" s="8" t="str">
        <f>IFERROR(__xludf.DUMMYFUNCTION("""COMPUTED_VALUE"""),"""sneakers Mykonos"",")</f>
        <v>"sneakers Mykonos",</v>
      </c>
    </row>
    <row r="2026">
      <c r="A2026" s="8" t="str">
        <f>IFERROR(__xludf.DUMMYFUNCTION("""COMPUTED_VALUE"""),"""high heels Mykonos"",")</f>
        <v>"high heels Mykonos",</v>
      </c>
    </row>
    <row r="2027">
      <c r="A2027" s="8" t="str">
        <f>IFERROR(__xludf.DUMMYFUNCTION("""COMPUTED_VALUE"""),"""haute-couture Mykonos"",")</f>
        <v>"haute-couture Mykonos",</v>
      </c>
    </row>
    <row r="2028">
      <c r="A2028" s="8" t="str">
        <f>IFERROR(__xludf.DUMMYFUNCTION("""COMPUTED_VALUE"""),"""diyfashion Mykonos"",")</f>
        <v>"diyfashion Mykonos",</v>
      </c>
    </row>
    <row r="2029">
      <c r="A2029" s="8" t="str">
        <f>IFERROR(__xludf.DUMMYFUNCTION("""COMPUTED_VALUE"""),"""accessories Mykonos"",")</f>
        <v>"accessories Mykonos",</v>
      </c>
    </row>
    <row r="2030">
      <c r="A2030" s="8" t="str">
        <f>IFERROR(__xludf.DUMMYFUNCTION("""COMPUTED_VALUE"""),"""menswear Mykonos"",")</f>
        <v>"menswear Mykonos",</v>
      </c>
    </row>
    <row r="2031">
      <c r="A2031" s="8" t="str">
        <f>IFERROR(__xludf.DUMMYFUNCTION("""COMPUTED_VALUE"""),"""womenswear Mykonos"",")</f>
        <v>"womenswear Mykonos",</v>
      </c>
    </row>
    <row r="2032">
      <c r="A2032" s="8" t="str">
        <f>IFERROR(__xludf.DUMMYFUNCTION("""COMPUTED_VALUE"""),"""moda Mykonos"",")</f>
        <v>"moda Mykonos",</v>
      </c>
    </row>
    <row r="2033">
      <c r="A2033" s="8" t="str">
        <f>IFERROR(__xludf.DUMMYFUNCTION("""COMPUTED_VALUE"""),"""hairstyle Mykonos"",")</f>
        <v>"hairstyle Mykonos",</v>
      </c>
    </row>
    <row r="2034">
      <c r="A2034" s="8" t="str">
        <f>IFERROR(__xludf.DUMMYFUNCTION("""COMPUTED_VALUE"""),"""perfume Mykonos"",")</f>
        <v>"perfume Mykonos",</v>
      </c>
    </row>
    <row r="2035">
      <c r="A2035" s="8" t="str">
        <f>IFERROR(__xludf.DUMMYFUNCTION("""COMPUTED_VALUE"""),"""cosmetiques Mykonos"",")</f>
        <v>"cosmetiques Mykonos",</v>
      </c>
    </row>
    <row r="2036">
      <c r="A2036" s="8" t="str">
        <f>IFERROR(__xludf.DUMMYFUNCTION("""COMPUTED_VALUE"""),"""beauty routine Mykonos"",")</f>
        <v>"beauty routine Mykonos",</v>
      </c>
    </row>
    <row r="2037">
      <c r="A2037" s="8" t="str">
        <f>IFERROR(__xludf.DUMMYFUNCTION("""COMPUTED_VALUE"""),"""natural beauty Mykonos"",")</f>
        <v>"natural beauty Mykonos",</v>
      </c>
    </row>
    <row r="2038">
      <c r="A2038" s="8" t="str">
        <f>IFERROR(__xludf.DUMMYFUNCTION("""COMPUTED_VALUE"""),"""organic beauty Mykonos"",")</f>
        <v>"organic beauty Mykonos",</v>
      </c>
    </row>
    <row r="2039">
      <c r="A2039" s="8" t="str">
        <f>IFERROR(__xludf.DUMMYFUNCTION("""COMPUTED_VALUE"""),"""sustainable fashion Mykonos"",")</f>
        <v>"sustainable fashion Mykonos",</v>
      </c>
    </row>
    <row r="2040">
      <c r="A2040" s="8" t="str">
        <f>IFERROR(__xludf.DUMMYFUNCTION("""COMPUTED_VALUE"""),"""fashion hacks Mykonos"",")</f>
        <v>"fashion hacks Mykonos",</v>
      </c>
    </row>
    <row r="2041">
      <c r="A2041" s="8" t="str">
        <f>IFERROR(__xludf.DUMMYFUNCTION("""COMPUTED_VALUE"""),"""capsule wardrobe Mykonos"",")</f>
        <v>"capsule wardrobe Mykonos",</v>
      </c>
    </row>
    <row r="2042">
      <c r="A2042" s="8" t="str">
        <f>IFERROR(__xludf.DUMMYFUNCTION("""COMPUTED_VALUE"""),"""fashion trends Mykonos"",")</f>
        <v>"fashion trends Mykonos",</v>
      </c>
    </row>
    <row r="2043">
      <c r="A2043" s="8" t="str">
        <f>IFERROR(__xludf.DUMMYFUNCTION("""COMPUTED_VALUE"""),"""minimalist fashion Mykonos"",")</f>
        <v>"minimalist fashion Mykonos",</v>
      </c>
    </row>
    <row r="2044">
      <c r="A2044" s="8" t="str">
        <f>IFERROR(__xludf.DUMMYFUNCTION("""COMPUTED_VALUE"""),"""beauty hacks Mykonos"",")</f>
        <v>"beauty hacks Mykonos",</v>
      </c>
    </row>
    <row r="2045">
      <c r="A2045" s="8" t="str">
        <f>IFERROR(__xludf.DUMMYFUNCTION("""COMPUTED_VALUE"""),"""hair routines Mykonos"",")</f>
        <v>"hair routines Mykonos",</v>
      </c>
    </row>
    <row r="2046">
      <c r="A2046" s="8" t="str">
        <f>IFERROR(__xludf.DUMMYFUNCTION("""COMPUTED_VALUE"""),"""empties Mykonos"",")</f>
        <v>"empties Mykonos",</v>
      </c>
    </row>
    <row r="2047">
      <c r="A2047" s="8" t="str">
        <f>IFERROR(__xludf.DUMMYFUNCTION("""COMPUTED_VALUE"""),"""product reviews Mykonos"",")</f>
        <v>"product reviews Mykonos",</v>
      </c>
    </row>
    <row r="2048">
      <c r="A2048" s="8" t="str">
        <f>IFERROR(__xludf.DUMMYFUNCTION("""COMPUTED_VALUE"""),"""beauty reviews  Mykonos"",")</f>
        <v>"beauty reviews  Mykonos",</v>
      </c>
    </row>
    <row r="2049">
      <c r="A2049" s="8" t="str">
        <f>IFERROR(__xludf.DUMMYFUNCTION("""COMPUTED_VALUE"""),"""make-up artist Mykonos"",")</f>
        <v>"make-up artist Mykonos",</v>
      </c>
    </row>
    <row r="2050">
      <c r="A2050" s="8" t="str">
        <f>IFERROR(__xludf.DUMMYFUNCTION("""COMPUTED_VALUE"""),"""skincare journey Mykonos"",")</f>
        <v>"skincare journey Mykonos",</v>
      </c>
    </row>
    <row r="2051">
      <c r="A2051" s="8" t="str">
        <f>IFERROR(__xludf.DUMMYFUNCTION("""COMPUTED_VALUE"""),"""hair tutorial Mykonos"",")</f>
        <v>"hair tutorial Mykonos",</v>
      </c>
    </row>
    <row r="2052">
      <c r="A2052" s="8" t="str">
        <f>IFERROR(__xludf.DUMMYFUNCTION("""COMPUTED_VALUE"""),"""barbershop Mykonos"",")</f>
        <v>"barbershop Mykonos",</v>
      </c>
    </row>
    <row r="2053">
      <c r="A2053" s="8" t="str">
        <f>IFERROR(__xludf.DUMMYFUNCTION("""COMPUTED_VALUE"""),"""ootd Santorini"",")</f>
        <v>"ootd Santorini",</v>
      </c>
    </row>
    <row r="2054">
      <c r="A2054" s="8" t="str">
        <f>IFERROR(__xludf.DUMMYFUNCTION("""COMPUTED_VALUE"""),"""street style Santorini"",")</f>
        <v>"street style Santorini",</v>
      </c>
    </row>
    <row r="2055">
      <c r="A2055" s="8" t="str">
        <f>IFERROR(__xludf.DUMMYFUNCTION("""COMPUTED_VALUE"""),"""skincare Santorini"",")</f>
        <v>"skincare Santorini",</v>
      </c>
    </row>
    <row r="2056">
      <c r="A2056" s="8" t="str">
        <f>IFERROR(__xludf.DUMMYFUNCTION("""COMPUTED_VALUE"""),"""makeup Santorini"",")</f>
        <v>"makeup Santorini",</v>
      </c>
    </row>
    <row r="2057">
      <c r="A2057" s="8" t="str">
        <f>IFERROR(__xludf.DUMMYFUNCTION("""COMPUTED_VALUE"""),"""nails Santorini"",")</f>
        <v>"nails Santorini",</v>
      </c>
    </row>
    <row r="2058">
      <c r="A2058" s="8" t="str">
        <f>IFERROR(__xludf.DUMMYFUNCTION("""COMPUTED_VALUE"""),"""curly hair Santorini"",")</f>
        <v>"curly hair Santorini",</v>
      </c>
    </row>
    <row r="2059">
      <c r="A2059" s="8" t="str">
        <f>IFERROR(__xludf.DUMMYFUNCTION("""COMPUTED_VALUE"""),"""thrift Santorini"",")</f>
        <v>"thrift Santorini",</v>
      </c>
    </row>
    <row r="2060">
      <c r="A2060" s="8" t="str">
        <f>IFERROR(__xludf.DUMMYFUNCTION("""COMPUTED_VALUE"""),"""streetwear Santorini"",")</f>
        <v>"streetwear Santorini",</v>
      </c>
    </row>
    <row r="2061">
      <c r="A2061" s="8" t="str">
        <f>IFERROR(__xludf.DUMMYFUNCTION("""COMPUTED_VALUE"""),"""luxury Santorini"",")</f>
        <v>"luxury Santorini",</v>
      </c>
    </row>
    <row r="2062">
      <c r="A2062" s="8" t="str">
        <f>IFERROR(__xludf.DUMMYFUNCTION("""COMPUTED_VALUE"""),"""handbags Santorini"",")</f>
        <v>"handbags Santorini",</v>
      </c>
    </row>
    <row r="2063">
      <c r="A2063" s="8" t="str">
        <f>IFERROR(__xludf.DUMMYFUNCTION("""COMPUTED_VALUE"""),"""sneakers Santorini"",")</f>
        <v>"sneakers Santorini",</v>
      </c>
    </row>
    <row r="2064">
      <c r="A2064" s="8" t="str">
        <f>IFERROR(__xludf.DUMMYFUNCTION("""COMPUTED_VALUE"""),"""high heels Santorini"",")</f>
        <v>"high heels Santorini",</v>
      </c>
    </row>
    <row r="2065">
      <c r="A2065" s="8" t="str">
        <f>IFERROR(__xludf.DUMMYFUNCTION("""COMPUTED_VALUE"""),"""haute-couture Santorini"",")</f>
        <v>"haute-couture Santorini",</v>
      </c>
    </row>
    <row r="2066">
      <c r="A2066" s="8" t="str">
        <f>IFERROR(__xludf.DUMMYFUNCTION("""COMPUTED_VALUE"""),"""diyfashion Santorini"",")</f>
        <v>"diyfashion Santorini",</v>
      </c>
    </row>
    <row r="2067">
      <c r="A2067" s="8" t="str">
        <f>IFERROR(__xludf.DUMMYFUNCTION("""COMPUTED_VALUE"""),"""accessories Santorini"",")</f>
        <v>"accessories Santorini",</v>
      </c>
    </row>
    <row r="2068">
      <c r="A2068" s="8" t="str">
        <f>IFERROR(__xludf.DUMMYFUNCTION("""COMPUTED_VALUE"""),"""menswear Santorini"",")</f>
        <v>"menswear Santorini",</v>
      </c>
    </row>
    <row r="2069">
      <c r="A2069" s="8" t="str">
        <f>IFERROR(__xludf.DUMMYFUNCTION("""COMPUTED_VALUE"""),"""womenswear Santorini"",")</f>
        <v>"womenswear Santorini",</v>
      </c>
    </row>
    <row r="2070">
      <c r="A2070" s="8" t="str">
        <f>IFERROR(__xludf.DUMMYFUNCTION("""COMPUTED_VALUE"""),"""moda Santorini"",")</f>
        <v>"moda Santorini",</v>
      </c>
    </row>
    <row r="2071">
      <c r="A2071" s="8" t="str">
        <f>IFERROR(__xludf.DUMMYFUNCTION("""COMPUTED_VALUE"""),"""hairstyle Santorini"",")</f>
        <v>"hairstyle Santorini",</v>
      </c>
    </row>
    <row r="2072">
      <c r="A2072" s="8" t="str">
        <f>IFERROR(__xludf.DUMMYFUNCTION("""COMPUTED_VALUE"""),"""perfume Santorini"",")</f>
        <v>"perfume Santorini",</v>
      </c>
    </row>
    <row r="2073">
      <c r="A2073" s="8" t="str">
        <f>IFERROR(__xludf.DUMMYFUNCTION("""COMPUTED_VALUE"""),"""cosmetiques Santorini"",")</f>
        <v>"cosmetiques Santorini",</v>
      </c>
    </row>
    <row r="2074">
      <c r="A2074" s="8" t="str">
        <f>IFERROR(__xludf.DUMMYFUNCTION("""COMPUTED_VALUE"""),"""beauty routine Santorini"",")</f>
        <v>"beauty routine Santorini",</v>
      </c>
    </row>
    <row r="2075">
      <c r="A2075" s="8" t="str">
        <f>IFERROR(__xludf.DUMMYFUNCTION("""COMPUTED_VALUE"""),"""natural beauty Santorini"",")</f>
        <v>"natural beauty Santorini",</v>
      </c>
    </row>
    <row r="2076">
      <c r="A2076" s="8" t="str">
        <f>IFERROR(__xludf.DUMMYFUNCTION("""COMPUTED_VALUE"""),"""organic beauty Santorini"",")</f>
        <v>"organic beauty Santorini",</v>
      </c>
    </row>
    <row r="2077">
      <c r="A2077" s="8" t="str">
        <f>IFERROR(__xludf.DUMMYFUNCTION("""COMPUTED_VALUE"""),"""sustainable fashion Santorini"",")</f>
        <v>"sustainable fashion Santorini",</v>
      </c>
    </row>
    <row r="2078">
      <c r="A2078" s="8" t="str">
        <f>IFERROR(__xludf.DUMMYFUNCTION("""COMPUTED_VALUE"""),"""fashion hacks Santorini"",")</f>
        <v>"fashion hacks Santorini",</v>
      </c>
    </row>
    <row r="2079">
      <c r="A2079" s="8" t="str">
        <f>IFERROR(__xludf.DUMMYFUNCTION("""COMPUTED_VALUE"""),"""capsule wardrobe Santorini"",")</f>
        <v>"capsule wardrobe Santorini",</v>
      </c>
    </row>
    <row r="2080">
      <c r="A2080" s="8" t="str">
        <f>IFERROR(__xludf.DUMMYFUNCTION("""COMPUTED_VALUE"""),"""fashion trends Santorini"",")</f>
        <v>"fashion trends Santorini",</v>
      </c>
    </row>
    <row r="2081">
      <c r="A2081" s="8" t="str">
        <f>IFERROR(__xludf.DUMMYFUNCTION("""COMPUTED_VALUE"""),"""minimalist fashion Santorini"",")</f>
        <v>"minimalist fashion Santorini",</v>
      </c>
    </row>
    <row r="2082">
      <c r="A2082" s="8" t="str">
        <f>IFERROR(__xludf.DUMMYFUNCTION("""COMPUTED_VALUE"""),"""beauty hacks Santorini"",")</f>
        <v>"beauty hacks Santorini",</v>
      </c>
    </row>
    <row r="2083">
      <c r="A2083" s="8" t="str">
        <f>IFERROR(__xludf.DUMMYFUNCTION("""COMPUTED_VALUE"""),"""hair routines Santorini"",")</f>
        <v>"hair routines Santorini",</v>
      </c>
    </row>
    <row r="2084">
      <c r="A2084" s="8" t="str">
        <f>IFERROR(__xludf.DUMMYFUNCTION("""COMPUTED_VALUE"""),"""empties Santorini"",")</f>
        <v>"empties Santorini",</v>
      </c>
    </row>
    <row r="2085">
      <c r="A2085" s="8" t="str">
        <f>IFERROR(__xludf.DUMMYFUNCTION("""COMPUTED_VALUE"""),"""product reviews Santorini"",")</f>
        <v>"product reviews Santorini",</v>
      </c>
    </row>
    <row r="2086">
      <c r="A2086" s="8" t="str">
        <f>IFERROR(__xludf.DUMMYFUNCTION("""COMPUTED_VALUE"""),"""beauty reviews  Santorini"",")</f>
        <v>"beauty reviews  Santorini",</v>
      </c>
    </row>
    <row r="2087">
      <c r="A2087" s="8" t="str">
        <f>IFERROR(__xludf.DUMMYFUNCTION("""COMPUTED_VALUE"""),"""make-up artist Santorini"",")</f>
        <v>"make-up artist Santorini",</v>
      </c>
    </row>
    <row r="2088">
      <c r="A2088" s="8" t="str">
        <f>IFERROR(__xludf.DUMMYFUNCTION("""COMPUTED_VALUE"""),"""skincare journey Santorini"",")</f>
        <v>"skincare journey Santorini",</v>
      </c>
    </row>
    <row r="2089">
      <c r="A2089" s="8" t="str">
        <f>IFERROR(__xludf.DUMMYFUNCTION("""COMPUTED_VALUE"""),"""hair tutorial Santorini"",")</f>
        <v>"hair tutorial Santorini",</v>
      </c>
    </row>
    <row r="2090">
      <c r="A2090" s="8" t="str">
        <f>IFERROR(__xludf.DUMMYFUNCTION("""COMPUTED_VALUE"""),"""barbershop Santorini"",")</f>
        <v>"barbershop Santorini",</v>
      </c>
    </row>
    <row r="2091">
      <c r="A2091" s="8" t="str">
        <f>IFERROR(__xludf.DUMMYFUNCTION("""COMPUTED_VALUE"""),"""ootd Capri"",")</f>
        <v>"ootd Capri",</v>
      </c>
    </row>
    <row r="2092">
      <c r="A2092" s="8" t="str">
        <f>IFERROR(__xludf.DUMMYFUNCTION("""COMPUTED_VALUE"""),"""street style Capri"",")</f>
        <v>"street style Capri",</v>
      </c>
    </row>
    <row r="2093">
      <c r="A2093" s="8" t="str">
        <f>IFERROR(__xludf.DUMMYFUNCTION("""COMPUTED_VALUE"""),"""skincare Capri"",")</f>
        <v>"skincare Capri",</v>
      </c>
    </row>
    <row r="2094">
      <c r="A2094" s="8" t="str">
        <f>IFERROR(__xludf.DUMMYFUNCTION("""COMPUTED_VALUE"""),"""makeup Capri"",")</f>
        <v>"makeup Capri",</v>
      </c>
    </row>
    <row r="2095">
      <c r="A2095" s="8" t="str">
        <f>IFERROR(__xludf.DUMMYFUNCTION("""COMPUTED_VALUE"""),"""nails Capri"",")</f>
        <v>"nails Capri",</v>
      </c>
    </row>
    <row r="2096">
      <c r="A2096" s="8" t="str">
        <f>IFERROR(__xludf.DUMMYFUNCTION("""COMPUTED_VALUE"""),"""curly hair Capri"",")</f>
        <v>"curly hair Capri",</v>
      </c>
    </row>
    <row r="2097">
      <c r="A2097" s="8" t="str">
        <f>IFERROR(__xludf.DUMMYFUNCTION("""COMPUTED_VALUE"""),"""thrift Capri"",")</f>
        <v>"thrift Capri",</v>
      </c>
    </row>
    <row r="2098">
      <c r="A2098" s="8" t="str">
        <f>IFERROR(__xludf.DUMMYFUNCTION("""COMPUTED_VALUE"""),"""streetwear Capri"",")</f>
        <v>"streetwear Capri",</v>
      </c>
    </row>
    <row r="2099">
      <c r="A2099" s="8" t="str">
        <f>IFERROR(__xludf.DUMMYFUNCTION("""COMPUTED_VALUE"""),"""luxury Capri"",")</f>
        <v>"luxury Capri",</v>
      </c>
    </row>
    <row r="2100">
      <c r="A2100" s="8" t="str">
        <f>IFERROR(__xludf.DUMMYFUNCTION("""COMPUTED_VALUE"""),"""handbags Capri"",")</f>
        <v>"handbags Capri",</v>
      </c>
    </row>
    <row r="2101">
      <c r="A2101" s="8" t="str">
        <f>IFERROR(__xludf.DUMMYFUNCTION("""COMPUTED_VALUE"""),"""sneakers Capri"",")</f>
        <v>"sneakers Capri",</v>
      </c>
    </row>
    <row r="2102">
      <c r="A2102" s="8" t="str">
        <f>IFERROR(__xludf.DUMMYFUNCTION("""COMPUTED_VALUE"""),"""high heels Capri"",")</f>
        <v>"high heels Capri",</v>
      </c>
    </row>
    <row r="2103">
      <c r="A2103" s="8" t="str">
        <f>IFERROR(__xludf.DUMMYFUNCTION("""COMPUTED_VALUE"""),"""haute-couture Capri"",")</f>
        <v>"haute-couture Capri",</v>
      </c>
    </row>
    <row r="2104">
      <c r="A2104" s="8" t="str">
        <f>IFERROR(__xludf.DUMMYFUNCTION("""COMPUTED_VALUE"""),"""diyfashion Capri"",")</f>
        <v>"diyfashion Capri",</v>
      </c>
    </row>
    <row r="2105">
      <c r="A2105" s="8" t="str">
        <f>IFERROR(__xludf.DUMMYFUNCTION("""COMPUTED_VALUE"""),"""accessories Capri"",")</f>
        <v>"accessories Capri",</v>
      </c>
    </row>
    <row r="2106">
      <c r="A2106" s="8" t="str">
        <f>IFERROR(__xludf.DUMMYFUNCTION("""COMPUTED_VALUE"""),"""menswear Capri"",")</f>
        <v>"menswear Capri",</v>
      </c>
    </row>
    <row r="2107">
      <c r="A2107" s="8" t="str">
        <f>IFERROR(__xludf.DUMMYFUNCTION("""COMPUTED_VALUE"""),"""womenswear Capri"",")</f>
        <v>"womenswear Capri",</v>
      </c>
    </row>
    <row r="2108">
      <c r="A2108" s="8" t="str">
        <f>IFERROR(__xludf.DUMMYFUNCTION("""COMPUTED_VALUE"""),"""moda Capri"",")</f>
        <v>"moda Capri",</v>
      </c>
    </row>
    <row r="2109">
      <c r="A2109" s="8" t="str">
        <f>IFERROR(__xludf.DUMMYFUNCTION("""COMPUTED_VALUE"""),"""hairstyle Capri"",")</f>
        <v>"hairstyle Capri",</v>
      </c>
    </row>
    <row r="2110">
      <c r="A2110" s="8" t="str">
        <f>IFERROR(__xludf.DUMMYFUNCTION("""COMPUTED_VALUE"""),"""perfume Capri"",")</f>
        <v>"perfume Capri",</v>
      </c>
    </row>
    <row r="2111">
      <c r="A2111" s="8" t="str">
        <f>IFERROR(__xludf.DUMMYFUNCTION("""COMPUTED_VALUE"""),"""cosmetiques Capri"",")</f>
        <v>"cosmetiques Capri",</v>
      </c>
    </row>
    <row r="2112">
      <c r="A2112" s="8" t="str">
        <f>IFERROR(__xludf.DUMMYFUNCTION("""COMPUTED_VALUE"""),"""beauty routine Capri"",")</f>
        <v>"beauty routine Capri",</v>
      </c>
    </row>
    <row r="2113">
      <c r="A2113" s="8" t="str">
        <f>IFERROR(__xludf.DUMMYFUNCTION("""COMPUTED_VALUE"""),"""natural beauty Capri"",")</f>
        <v>"natural beauty Capri",</v>
      </c>
    </row>
    <row r="2114">
      <c r="A2114" s="8" t="str">
        <f>IFERROR(__xludf.DUMMYFUNCTION("""COMPUTED_VALUE"""),"""organic beauty Capri"",")</f>
        <v>"organic beauty Capri",</v>
      </c>
    </row>
    <row r="2115">
      <c r="A2115" s="8" t="str">
        <f>IFERROR(__xludf.DUMMYFUNCTION("""COMPUTED_VALUE"""),"""sustainable fashion Capri"",")</f>
        <v>"sustainable fashion Capri",</v>
      </c>
    </row>
    <row r="2116">
      <c r="A2116" s="8" t="str">
        <f>IFERROR(__xludf.DUMMYFUNCTION("""COMPUTED_VALUE"""),"""fashion hacks Capri"",")</f>
        <v>"fashion hacks Capri",</v>
      </c>
    </row>
    <row r="2117">
      <c r="A2117" s="8" t="str">
        <f>IFERROR(__xludf.DUMMYFUNCTION("""COMPUTED_VALUE"""),"""capsule wardrobe Capri"",")</f>
        <v>"capsule wardrobe Capri",</v>
      </c>
    </row>
    <row r="2118">
      <c r="A2118" s="8" t="str">
        <f>IFERROR(__xludf.DUMMYFUNCTION("""COMPUTED_VALUE"""),"""fashion trends Capri"",")</f>
        <v>"fashion trends Capri",</v>
      </c>
    </row>
    <row r="2119">
      <c r="A2119" s="8" t="str">
        <f>IFERROR(__xludf.DUMMYFUNCTION("""COMPUTED_VALUE"""),"""minimalist fashion Capri"",")</f>
        <v>"minimalist fashion Capri",</v>
      </c>
    </row>
    <row r="2120">
      <c r="A2120" s="8" t="str">
        <f>IFERROR(__xludf.DUMMYFUNCTION("""COMPUTED_VALUE"""),"""beauty hacks Capri"",")</f>
        <v>"beauty hacks Capri",</v>
      </c>
    </row>
    <row r="2121">
      <c r="A2121" s="8" t="str">
        <f>IFERROR(__xludf.DUMMYFUNCTION("""COMPUTED_VALUE"""),"""hair routines Capri"",")</f>
        <v>"hair routines Capri",</v>
      </c>
    </row>
    <row r="2122">
      <c r="A2122" s="8" t="str">
        <f>IFERROR(__xludf.DUMMYFUNCTION("""COMPUTED_VALUE"""),"""empties Capri"",")</f>
        <v>"empties Capri",</v>
      </c>
    </row>
    <row r="2123">
      <c r="A2123" s="8" t="str">
        <f>IFERROR(__xludf.DUMMYFUNCTION("""COMPUTED_VALUE"""),"""product reviews Capri"",")</f>
        <v>"product reviews Capri",</v>
      </c>
    </row>
    <row r="2124">
      <c r="A2124" s="8" t="str">
        <f>IFERROR(__xludf.DUMMYFUNCTION("""COMPUTED_VALUE"""),"""beauty reviews  Capri"",")</f>
        <v>"beauty reviews  Capri",</v>
      </c>
    </row>
    <row r="2125">
      <c r="A2125" s="8" t="str">
        <f>IFERROR(__xludf.DUMMYFUNCTION("""COMPUTED_VALUE"""),"""make-up artist Capri"",")</f>
        <v>"make-up artist Capri",</v>
      </c>
    </row>
    <row r="2126">
      <c r="A2126" s="8" t="str">
        <f>IFERROR(__xludf.DUMMYFUNCTION("""COMPUTED_VALUE"""),"""skincare journey Capri"",")</f>
        <v>"skincare journey Capri",</v>
      </c>
    </row>
    <row r="2127">
      <c r="A2127" s="8" t="str">
        <f>IFERROR(__xludf.DUMMYFUNCTION("""COMPUTED_VALUE"""),"""hair tutorial Capri"",")</f>
        <v>"hair tutorial Capri",</v>
      </c>
    </row>
    <row r="2128">
      <c r="A2128" s="8" t="str">
        <f>IFERROR(__xludf.DUMMYFUNCTION("""COMPUTED_VALUE"""),"""barbershop Capri"",")</f>
        <v>"barbershop Capri",</v>
      </c>
    </row>
    <row r="2129">
      <c r="A2129" s="8" t="str">
        <f>IFERROR(__xludf.DUMMYFUNCTION("""COMPUTED_VALUE"""),"""ootd Sicily"",")</f>
        <v>"ootd Sicily",</v>
      </c>
    </row>
    <row r="2130">
      <c r="A2130" s="8" t="str">
        <f>IFERROR(__xludf.DUMMYFUNCTION("""COMPUTED_VALUE"""),"""street style Sicily"",")</f>
        <v>"street style Sicily",</v>
      </c>
    </row>
    <row r="2131">
      <c r="A2131" s="8" t="str">
        <f>IFERROR(__xludf.DUMMYFUNCTION("""COMPUTED_VALUE"""),"""skincare Sicily"",")</f>
        <v>"skincare Sicily",</v>
      </c>
    </row>
    <row r="2132">
      <c r="A2132" s="8" t="str">
        <f>IFERROR(__xludf.DUMMYFUNCTION("""COMPUTED_VALUE"""),"""makeup Sicily"",")</f>
        <v>"makeup Sicily",</v>
      </c>
    </row>
    <row r="2133">
      <c r="A2133" s="8" t="str">
        <f>IFERROR(__xludf.DUMMYFUNCTION("""COMPUTED_VALUE"""),"""nails Sicily"",")</f>
        <v>"nails Sicily",</v>
      </c>
    </row>
    <row r="2134">
      <c r="A2134" s="8" t="str">
        <f>IFERROR(__xludf.DUMMYFUNCTION("""COMPUTED_VALUE"""),"""curly hair Sicily"",")</f>
        <v>"curly hair Sicily",</v>
      </c>
    </row>
    <row r="2135">
      <c r="A2135" s="8" t="str">
        <f>IFERROR(__xludf.DUMMYFUNCTION("""COMPUTED_VALUE"""),"""thrift Sicily"",")</f>
        <v>"thrift Sicily",</v>
      </c>
    </row>
    <row r="2136">
      <c r="A2136" s="8" t="str">
        <f>IFERROR(__xludf.DUMMYFUNCTION("""COMPUTED_VALUE"""),"""streetwear Sicily"",")</f>
        <v>"streetwear Sicily",</v>
      </c>
    </row>
    <row r="2137">
      <c r="A2137" s="8" t="str">
        <f>IFERROR(__xludf.DUMMYFUNCTION("""COMPUTED_VALUE"""),"""luxury Sicily"",")</f>
        <v>"luxury Sicily",</v>
      </c>
    </row>
    <row r="2138">
      <c r="A2138" s="8" t="str">
        <f>IFERROR(__xludf.DUMMYFUNCTION("""COMPUTED_VALUE"""),"""handbags Sicily"",")</f>
        <v>"handbags Sicily",</v>
      </c>
    </row>
    <row r="2139">
      <c r="A2139" s="8" t="str">
        <f>IFERROR(__xludf.DUMMYFUNCTION("""COMPUTED_VALUE"""),"""sneakers Sicily"",")</f>
        <v>"sneakers Sicily",</v>
      </c>
    </row>
    <row r="2140">
      <c r="A2140" s="9" t="str">
        <f>IFERROR(__xludf.DUMMYFUNCTION("""COMPUTED_VALUE"""),"""high heels Sicily"",")</f>
        <v>"high heels Sicily",</v>
      </c>
    </row>
    <row r="2141">
      <c r="A2141" s="8" t="str">
        <f>IFERROR(__xludf.DUMMYFUNCTION("""COMPUTED_VALUE"""),"""haute-couture Sicily"",")</f>
        <v>"haute-couture Sicily",</v>
      </c>
    </row>
    <row r="2142">
      <c r="A2142" s="8" t="str">
        <f>IFERROR(__xludf.DUMMYFUNCTION("""COMPUTED_VALUE"""),"""diyfashion Sicily"",")</f>
        <v>"diyfashion Sicily",</v>
      </c>
    </row>
    <row r="2143">
      <c r="A2143" s="8" t="str">
        <f>IFERROR(__xludf.DUMMYFUNCTION("""COMPUTED_VALUE"""),"""accessories Sicily"",")</f>
        <v>"accessories Sicily",</v>
      </c>
    </row>
    <row r="2144">
      <c r="A2144" s="8" t="str">
        <f>IFERROR(__xludf.DUMMYFUNCTION("""COMPUTED_VALUE"""),"""menswear Sicily"",")</f>
        <v>"menswear Sicily",</v>
      </c>
    </row>
    <row r="2145">
      <c r="A2145" s="8" t="str">
        <f>IFERROR(__xludf.DUMMYFUNCTION("""COMPUTED_VALUE"""),"""womenswear Sicily"",")</f>
        <v>"womenswear Sicily",</v>
      </c>
    </row>
    <row r="2146">
      <c r="A2146" s="8" t="str">
        <f>IFERROR(__xludf.DUMMYFUNCTION("""COMPUTED_VALUE"""),"""moda Sicily"",")</f>
        <v>"moda Sicily",</v>
      </c>
    </row>
    <row r="2147">
      <c r="A2147" s="8" t="str">
        <f>IFERROR(__xludf.DUMMYFUNCTION("""COMPUTED_VALUE"""),"""hairstyle Sicily"",")</f>
        <v>"hairstyle Sicily",</v>
      </c>
    </row>
    <row r="2148">
      <c r="A2148" s="8" t="str">
        <f>IFERROR(__xludf.DUMMYFUNCTION("""COMPUTED_VALUE"""),"""perfume Sicily"",")</f>
        <v>"perfume Sicily",</v>
      </c>
    </row>
    <row r="2149">
      <c r="A2149" s="8" t="str">
        <f>IFERROR(__xludf.DUMMYFUNCTION("""COMPUTED_VALUE"""),"""cosmetiques Sicily"",")</f>
        <v>"cosmetiques Sicily",</v>
      </c>
    </row>
    <row r="2150">
      <c r="A2150" s="8" t="str">
        <f>IFERROR(__xludf.DUMMYFUNCTION("""COMPUTED_VALUE"""),"""beauty routine Sicily"",")</f>
        <v>"beauty routine Sicily",</v>
      </c>
    </row>
    <row r="2151">
      <c r="A2151" s="8" t="str">
        <f>IFERROR(__xludf.DUMMYFUNCTION("""COMPUTED_VALUE"""),"""natural beauty Sicily"",")</f>
        <v>"natural beauty Sicily",</v>
      </c>
    </row>
    <row r="2152">
      <c r="A2152" s="8" t="str">
        <f>IFERROR(__xludf.DUMMYFUNCTION("""COMPUTED_VALUE"""),"""organic beauty Sicily"",")</f>
        <v>"organic beauty Sicily",</v>
      </c>
    </row>
    <row r="2153">
      <c r="A2153" s="8" t="str">
        <f>IFERROR(__xludf.DUMMYFUNCTION("""COMPUTED_VALUE"""),"""sustainable fashion Sicily"",")</f>
        <v>"sustainable fashion Sicily",</v>
      </c>
    </row>
    <row r="2154">
      <c r="A2154" s="8" t="str">
        <f>IFERROR(__xludf.DUMMYFUNCTION("""COMPUTED_VALUE"""),"""fashion hacks Sicily"",")</f>
        <v>"fashion hacks Sicily",</v>
      </c>
    </row>
    <row r="2155">
      <c r="A2155" s="8" t="str">
        <f>IFERROR(__xludf.DUMMYFUNCTION("""COMPUTED_VALUE"""),"""capsule wardrobe Sicily"",")</f>
        <v>"capsule wardrobe Sicily",</v>
      </c>
    </row>
    <row r="2156">
      <c r="A2156" s="8" t="str">
        <f>IFERROR(__xludf.DUMMYFUNCTION("""COMPUTED_VALUE"""),"""fashion trends Sicily"",")</f>
        <v>"fashion trends Sicily",</v>
      </c>
    </row>
    <row r="2157">
      <c r="A2157" s="8" t="str">
        <f>IFERROR(__xludf.DUMMYFUNCTION("""COMPUTED_VALUE"""),"""minimalist fashion Sicily"",")</f>
        <v>"minimalist fashion Sicily",</v>
      </c>
    </row>
    <row r="2158">
      <c r="A2158" s="8" t="str">
        <f>IFERROR(__xludf.DUMMYFUNCTION("""COMPUTED_VALUE"""),"""beauty hacks Sicily"",")</f>
        <v>"beauty hacks Sicily",</v>
      </c>
    </row>
    <row r="2159">
      <c r="A2159" s="8" t="str">
        <f>IFERROR(__xludf.DUMMYFUNCTION("""COMPUTED_VALUE"""),"""hair routines Sicily"",")</f>
        <v>"hair routines Sicily",</v>
      </c>
    </row>
    <row r="2160">
      <c r="A2160" s="8" t="str">
        <f>IFERROR(__xludf.DUMMYFUNCTION("""COMPUTED_VALUE"""),"""empties Sicily"",")</f>
        <v>"empties Sicily",</v>
      </c>
    </row>
    <row r="2161">
      <c r="A2161" s="8" t="str">
        <f>IFERROR(__xludf.DUMMYFUNCTION("""COMPUTED_VALUE"""),"""product reviews Sicily"",")</f>
        <v>"product reviews Sicily",</v>
      </c>
    </row>
    <row r="2162">
      <c r="A2162" s="8" t="str">
        <f>IFERROR(__xludf.DUMMYFUNCTION("""COMPUTED_VALUE"""),"""beauty reviews  Sicily"",")</f>
        <v>"beauty reviews  Sicily",</v>
      </c>
    </row>
    <row r="2163">
      <c r="A2163" s="8" t="str">
        <f>IFERROR(__xludf.DUMMYFUNCTION("""COMPUTED_VALUE"""),"""make-up artist Sicily"",")</f>
        <v>"make-up artist Sicily",</v>
      </c>
    </row>
    <row r="2164">
      <c r="A2164" s="8" t="str">
        <f>IFERROR(__xludf.DUMMYFUNCTION("""COMPUTED_VALUE"""),"""skincare journey Sicily"",")</f>
        <v>"skincare journey Sicily",</v>
      </c>
    </row>
    <row r="2165">
      <c r="A2165" s="8" t="str">
        <f>IFERROR(__xludf.DUMMYFUNCTION("""COMPUTED_VALUE"""),"""hair tutorial Sicily"",")</f>
        <v>"hair tutorial Sicily",</v>
      </c>
    </row>
    <row r="2166">
      <c r="A2166" s="8" t="str">
        <f>IFERROR(__xludf.DUMMYFUNCTION("""COMPUTED_VALUE"""),"""barbershop Sicily"",")</f>
        <v>"barbershop Sicily",</v>
      </c>
    </row>
    <row r="2167">
      <c r="A2167" s="8" t="str">
        <f>IFERROR(__xludf.DUMMYFUNCTION("""COMPUTED_VALUE"""),"""ootd Sardinia"",")</f>
        <v>"ootd Sardinia",</v>
      </c>
    </row>
    <row r="2168">
      <c r="A2168" s="8" t="str">
        <f>IFERROR(__xludf.DUMMYFUNCTION("""COMPUTED_VALUE"""),"""street style Sardinia"",")</f>
        <v>"street style Sardinia",</v>
      </c>
    </row>
    <row r="2169">
      <c r="A2169" s="8" t="str">
        <f>IFERROR(__xludf.DUMMYFUNCTION("""COMPUTED_VALUE"""),"""skincare Sardinia"",")</f>
        <v>"skincare Sardinia",</v>
      </c>
    </row>
    <row r="2170">
      <c r="A2170" s="8" t="str">
        <f>IFERROR(__xludf.DUMMYFUNCTION("""COMPUTED_VALUE"""),"""makeup Sardinia"",")</f>
        <v>"makeup Sardinia",</v>
      </c>
    </row>
    <row r="2171">
      <c r="A2171" s="8" t="str">
        <f>IFERROR(__xludf.DUMMYFUNCTION("""COMPUTED_VALUE"""),"""nails Sardinia"",")</f>
        <v>"nails Sardinia",</v>
      </c>
    </row>
    <row r="2172">
      <c r="A2172" s="8" t="str">
        <f>IFERROR(__xludf.DUMMYFUNCTION("""COMPUTED_VALUE"""),"""curly hair Sardinia"",")</f>
        <v>"curly hair Sardinia",</v>
      </c>
    </row>
    <row r="2173">
      <c r="A2173" s="8" t="str">
        <f>IFERROR(__xludf.DUMMYFUNCTION("""COMPUTED_VALUE"""),"""thrift Sardinia"",")</f>
        <v>"thrift Sardinia",</v>
      </c>
    </row>
    <row r="2174">
      <c r="A2174" s="8" t="str">
        <f>IFERROR(__xludf.DUMMYFUNCTION("""COMPUTED_VALUE"""),"""streetwear Sardinia"",")</f>
        <v>"streetwear Sardinia",</v>
      </c>
    </row>
    <row r="2175">
      <c r="A2175" s="8" t="str">
        <f>IFERROR(__xludf.DUMMYFUNCTION("""COMPUTED_VALUE"""),"""luxury Sardinia"",")</f>
        <v>"luxury Sardinia",</v>
      </c>
    </row>
    <row r="2176">
      <c r="A2176" s="8" t="str">
        <f>IFERROR(__xludf.DUMMYFUNCTION("""COMPUTED_VALUE"""),"""handbags Sardinia"",")</f>
        <v>"handbags Sardinia",</v>
      </c>
    </row>
    <row r="2177">
      <c r="A2177" s="8" t="str">
        <f>IFERROR(__xludf.DUMMYFUNCTION("""COMPUTED_VALUE"""),"""sneakers Sardinia"",")</f>
        <v>"sneakers Sardinia",</v>
      </c>
    </row>
    <row r="2178">
      <c r="A2178" s="8" t="str">
        <f>IFERROR(__xludf.DUMMYFUNCTION("""COMPUTED_VALUE"""),"""high heels Sardinia"",")</f>
        <v>"high heels Sardinia",</v>
      </c>
    </row>
    <row r="2179">
      <c r="A2179" s="8" t="str">
        <f>IFERROR(__xludf.DUMMYFUNCTION("""COMPUTED_VALUE"""),"""haute-couture Sardinia"",")</f>
        <v>"haute-couture Sardinia",</v>
      </c>
    </row>
    <row r="2180">
      <c r="A2180" s="8" t="str">
        <f>IFERROR(__xludf.DUMMYFUNCTION("""COMPUTED_VALUE"""),"""diyfashion Sardinia"",")</f>
        <v>"diyfashion Sardinia",</v>
      </c>
    </row>
    <row r="2181">
      <c r="A2181" s="8" t="str">
        <f>IFERROR(__xludf.DUMMYFUNCTION("""COMPUTED_VALUE"""),"""accessories Sardinia"",")</f>
        <v>"accessories Sardinia",</v>
      </c>
    </row>
    <row r="2182">
      <c r="A2182" s="8" t="str">
        <f>IFERROR(__xludf.DUMMYFUNCTION("""COMPUTED_VALUE"""),"""menswear Sardinia"",")</f>
        <v>"menswear Sardinia",</v>
      </c>
    </row>
    <row r="2183">
      <c r="A2183" s="8" t="str">
        <f>IFERROR(__xludf.DUMMYFUNCTION("""COMPUTED_VALUE"""),"""womenswear Sardinia"",")</f>
        <v>"womenswear Sardinia",</v>
      </c>
    </row>
    <row r="2184">
      <c r="A2184" s="8" t="str">
        <f>IFERROR(__xludf.DUMMYFUNCTION("""COMPUTED_VALUE"""),"""moda Sardinia"",")</f>
        <v>"moda Sardinia",</v>
      </c>
    </row>
    <row r="2185">
      <c r="A2185" s="8" t="str">
        <f>IFERROR(__xludf.DUMMYFUNCTION("""COMPUTED_VALUE"""),"""hairstyle Sardinia"",")</f>
        <v>"hairstyle Sardinia",</v>
      </c>
    </row>
    <row r="2186">
      <c r="A2186" s="8" t="str">
        <f>IFERROR(__xludf.DUMMYFUNCTION("""COMPUTED_VALUE"""),"""perfume Sardinia"",")</f>
        <v>"perfume Sardinia",</v>
      </c>
    </row>
    <row r="2187">
      <c r="A2187" s="8" t="str">
        <f>IFERROR(__xludf.DUMMYFUNCTION("""COMPUTED_VALUE"""),"""cosmetiques Sardinia"",")</f>
        <v>"cosmetiques Sardinia",</v>
      </c>
    </row>
    <row r="2188">
      <c r="A2188" s="8" t="str">
        <f>IFERROR(__xludf.DUMMYFUNCTION("""COMPUTED_VALUE"""),"""beauty routine Sardinia"",")</f>
        <v>"beauty routine Sardinia",</v>
      </c>
    </row>
    <row r="2189">
      <c r="A2189" s="8" t="str">
        <f>IFERROR(__xludf.DUMMYFUNCTION("""COMPUTED_VALUE"""),"""natural beauty Sardinia"",")</f>
        <v>"natural beauty Sardinia",</v>
      </c>
    </row>
    <row r="2190">
      <c r="A2190" s="8" t="str">
        <f>IFERROR(__xludf.DUMMYFUNCTION("""COMPUTED_VALUE"""),"""organic beauty Sardinia"",")</f>
        <v>"organic beauty Sardinia",</v>
      </c>
    </row>
    <row r="2191">
      <c r="A2191" s="8" t="str">
        <f>IFERROR(__xludf.DUMMYFUNCTION("""COMPUTED_VALUE"""),"""sustainable fashion Sardinia"",")</f>
        <v>"sustainable fashion Sardinia",</v>
      </c>
    </row>
    <row r="2192">
      <c r="A2192" s="8" t="str">
        <f>IFERROR(__xludf.DUMMYFUNCTION("""COMPUTED_VALUE"""),"""fashion hacks Sardinia"",")</f>
        <v>"fashion hacks Sardinia",</v>
      </c>
    </row>
    <row r="2193">
      <c r="A2193" s="8" t="str">
        <f>IFERROR(__xludf.DUMMYFUNCTION("""COMPUTED_VALUE"""),"""capsule wardrobe Sardinia"",")</f>
        <v>"capsule wardrobe Sardinia",</v>
      </c>
    </row>
    <row r="2194">
      <c r="A2194" s="8" t="str">
        <f>IFERROR(__xludf.DUMMYFUNCTION("""COMPUTED_VALUE"""),"""fashion trends Sardinia"",")</f>
        <v>"fashion trends Sardinia",</v>
      </c>
    </row>
    <row r="2195">
      <c r="A2195" s="8" t="str">
        <f>IFERROR(__xludf.DUMMYFUNCTION("""COMPUTED_VALUE"""),"""minimalist fashion Sardinia"",")</f>
        <v>"minimalist fashion Sardinia",</v>
      </c>
    </row>
    <row r="2196">
      <c r="A2196" s="8" t="str">
        <f>IFERROR(__xludf.DUMMYFUNCTION("""COMPUTED_VALUE"""),"""beauty hacks Sardinia"",")</f>
        <v>"beauty hacks Sardinia",</v>
      </c>
    </row>
    <row r="2197">
      <c r="A2197" s="8" t="str">
        <f>IFERROR(__xludf.DUMMYFUNCTION("""COMPUTED_VALUE"""),"""hair routines Sardinia"",")</f>
        <v>"hair routines Sardinia",</v>
      </c>
    </row>
    <row r="2198">
      <c r="A2198" s="8" t="str">
        <f>IFERROR(__xludf.DUMMYFUNCTION("""COMPUTED_VALUE"""),"""empties Sardinia"",")</f>
        <v>"empties Sardinia",</v>
      </c>
    </row>
    <row r="2199">
      <c r="A2199" s="8" t="str">
        <f>IFERROR(__xludf.DUMMYFUNCTION("""COMPUTED_VALUE"""),"""product reviews Sardinia"",")</f>
        <v>"product reviews Sardinia",</v>
      </c>
    </row>
    <row r="2200">
      <c r="A2200" s="8" t="str">
        <f>IFERROR(__xludf.DUMMYFUNCTION("""COMPUTED_VALUE"""),"""beauty reviews  Sardinia"",")</f>
        <v>"beauty reviews  Sardinia",</v>
      </c>
    </row>
    <row r="2201">
      <c r="A2201" s="8" t="str">
        <f>IFERROR(__xludf.DUMMYFUNCTION("""COMPUTED_VALUE"""),"""make-up artist Sardinia"",")</f>
        <v>"make-up artist Sardinia",</v>
      </c>
    </row>
    <row r="2202">
      <c r="A2202" s="8" t="str">
        <f>IFERROR(__xludf.DUMMYFUNCTION("""COMPUTED_VALUE"""),"""skincare journey Sardinia"",")</f>
        <v>"skincare journey Sardinia",</v>
      </c>
    </row>
    <row r="2203">
      <c r="A2203" s="8" t="str">
        <f>IFERROR(__xludf.DUMMYFUNCTION("""COMPUTED_VALUE"""),"""hair tutorial Sardinia"",")</f>
        <v>"hair tutorial Sardinia",</v>
      </c>
    </row>
    <row r="2204">
      <c r="A2204" s="8" t="str">
        <f>IFERROR(__xludf.DUMMYFUNCTION("""COMPUTED_VALUE"""),"""barbershop Sardinia"",")</f>
        <v>"barbershop Sardinia",</v>
      </c>
    </row>
    <row r="2205">
      <c r="A2205" s="8" t="str">
        <f>IFERROR(__xludf.DUMMYFUNCTION("""COMPUTED_VALUE"""),"""ootd Hvar"",")</f>
        <v>"ootd Hvar",</v>
      </c>
    </row>
    <row r="2206">
      <c r="A2206" s="8" t="str">
        <f>IFERROR(__xludf.DUMMYFUNCTION("""COMPUTED_VALUE"""),"""street style Hvar"",")</f>
        <v>"street style Hvar",</v>
      </c>
    </row>
    <row r="2207">
      <c r="A2207" s="8" t="str">
        <f>IFERROR(__xludf.DUMMYFUNCTION("""COMPUTED_VALUE"""),"""skincare Hvar"",")</f>
        <v>"skincare Hvar",</v>
      </c>
    </row>
    <row r="2208">
      <c r="A2208" s="8" t="str">
        <f>IFERROR(__xludf.DUMMYFUNCTION("""COMPUTED_VALUE"""),"""makeup Hvar"",")</f>
        <v>"makeup Hvar",</v>
      </c>
    </row>
    <row r="2209">
      <c r="A2209" s="8" t="str">
        <f>IFERROR(__xludf.DUMMYFUNCTION("""COMPUTED_VALUE"""),"""nails Hvar"",")</f>
        <v>"nails Hvar",</v>
      </c>
    </row>
    <row r="2210">
      <c r="A2210" s="8" t="str">
        <f>IFERROR(__xludf.DUMMYFUNCTION("""COMPUTED_VALUE"""),"""curly hair Hvar"",")</f>
        <v>"curly hair Hvar",</v>
      </c>
    </row>
    <row r="2211">
      <c r="A2211" s="8" t="str">
        <f>IFERROR(__xludf.DUMMYFUNCTION("""COMPUTED_VALUE"""),"""thrift Hvar"",")</f>
        <v>"thrift Hvar",</v>
      </c>
    </row>
    <row r="2212">
      <c r="A2212" s="8" t="str">
        <f>IFERROR(__xludf.DUMMYFUNCTION("""COMPUTED_VALUE"""),"""streetwear Hvar"",")</f>
        <v>"streetwear Hvar",</v>
      </c>
    </row>
    <row r="2213">
      <c r="A2213" s="8" t="str">
        <f>IFERROR(__xludf.DUMMYFUNCTION("""COMPUTED_VALUE"""),"""luxury Hvar"",")</f>
        <v>"luxury Hvar",</v>
      </c>
    </row>
    <row r="2214">
      <c r="A2214" s="8" t="str">
        <f>IFERROR(__xludf.DUMMYFUNCTION("""COMPUTED_VALUE"""),"""handbags Hvar"",")</f>
        <v>"handbags Hvar",</v>
      </c>
    </row>
    <row r="2215">
      <c r="A2215" s="8" t="str">
        <f>IFERROR(__xludf.DUMMYFUNCTION("""COMPUTED_VALUE"""),"""sneakers Hvar"",")</f>
        <v>"sneakers Hvar",</v>
      </c>
    </row>
    <row r="2216">
      <c r="A2216" s="8" t="str">
        <f>IFERROR(__xludf.DUMMYFUNCTION("""COMPUTED_VALUE"""),"""high heels Hvar"",")</f>
        <v>"high heels Hvar",</v>
      </c>
    </row>
    <row r="2217">
      <c r="A2217" s="8" t="str">
        <f>IFERROR(__xludf.DUMMYFUNCTION("""COMPUTED_VALUE"""),"""haute-couture Hvar"",")</f>
        <v>"haute-couture Hvar",</v>
      </c>
    </row>
    <row r="2218">
      <c r="A2218" s="8" t="str">
        <f>IFERROR(__xludf.DUMMYFUNCTION("""COMPUTED_VALUE"""),"""diyfashion Hvar"",")</f>
        <v>"diyfashion Hvar",</v>
      </c>
    </row>
    <row r="2219">
      <c r="A2219" s="8" t="str">
        <f>IFERROR(__xludf.DUMMYFUNCTION("""COMPUTED_VALUE"""),"""accessories Hvar"",")</f>
        <v>"accessories Hvar",</v>
      </c>
    </row>
    <row r="2220">
      <c r="A2220" s="8" t="str">
        <f>IFERROR(__xludf.DUMMYFUNCTION("""COMPUTED_VALUE"""),"""menswear Hvar"",")</f>
        <v>"menswear Hvar",</v>
      </c>
    </row>
    <row r="2221">
      <c r="A2221" s="8" t="str">
        <f>IFERROR(__xludf.DUMMYFUNCTION("""COMPUTED_VALUE"""),"""womenswear Hvar"",")</f>
        <v>"womenswear Hvar",</v>
      </c>
    </row>
    <row r="2222">
      <c r="A2222" s="8" t="str">
        <f>IFERROR(__xludf.DUMMYFUNCTION("""COMPUTED_VALUE"""),"""moda Hvar"",")</f>
        <v>"moda Hvar",</v>
      </c>
    </row>
    <row r="2223">
      <c r="A2223" s="8" t="str">
        <f>IFERROR(__xludf.DUMMYFUNCTION("""COMPUTED_VALUE"""),"""hairstyle Hvar"",")</f>
        <v>"hairstyle Hvar",</v>
      </c>
    </row>
    <row r="2224">
      <c r="A2224" s="8" t="str">
        <f>IFERROR(__xludf.DUMMYFUNCTION("""COMPUTED_VALUE"""),"""perfume Hvar"",")</f>
        <v>"perfume Hvar",</v>
      </c>
    </row>
    <row r="2225">
      <c r="A2225" s="8" t="str">
        <f>IFERROR(__xludf.DUMMYFUNCTION("""COMPUTED_VALUE"""),"""cosmetiques Hvar"",")</f>
        <v>"cosmetiques Hvar",</v>
      </c>
    </row>
    <row r="2226">
      <c r="A2226" s="8" t="str">
        <f>IFERROR(__xludf.DUMMYFUNCTION("""COMPUTED_VALUE"""),"""beauty routine Hvar"",")</f>
        <v>"beauty routine Hvar",</v>
      </c>
    </row>
    <row r="2227">
      <c r="A2227" s="8" t="str">
        <f>IFERROR(__xludf.DUMMYFUNCTION("""COMPUTED_VALUE"""),"""natural beauty Hvar"",")</f>
        <v>"natural beauty Hvar",</v>
      </c>
    </row>
    <row r="2228">
      <c r="A2228" s="8" t="str">
        <f>IFERROR(__xludf.DUMMYFUNCTION("""COMPUTED_VALUE"""),"""organic beauty Hvar"",")</f>
        <v>"organic beauty Hvar",</v>
      </c>
    </row>
    <row r="2229">
      <c r="A2229" s="8" t="str">
        <f>IFERROR(__xludf.DUMMYFUNCTION("""COMPUTED_VALUE"""),"""sustainable fashion Hvar"",")</f>
        <v>"sustainable fashion Hvar",</v>
      </c>
    </row>
    <row r="2230">
      <c r="A2230" s="8" t="str">
        <f>IFERROR(__xludf.DUMMYFUNCTION("""COMPUTED_VALUE"""),"""fashion hacks Hvar"",")</f>
        <v>"fashion hacks Hvar",</v>
      </c>
    </row>
    <row r="2231">
      <c r="A2231" s="8" t="str">
        <f>IFERROR(__xludf.DUMMYFUNCTION("""COMPUTED_VALUE"""),"""capsule wardrobe Hvar"",")</f>
        <v>"capsule wardrobe Hvar",</v>
      </c>
    </row>
    <row r="2232">
      <c r="A2232" s="8" t="str">
        <f>IFERROR(__xludf.DUMMYFUNCTION("""COMPUTED_VALUE"""),"""fashion trends Hvar"",")</f>
        <v>"fashion trends Hvar",</v>
      </c>
    </row>
    <row r="2233">
      <c r="A2233" s="8" t="str">
        <f>IFERROR(__xludf.DUMMYFUNCTION("""COMPUTED_VALUE"""),"""minimalist fashion Hvar"",")</f>
        <v>"minimalist fashion Hvar",</v>
      </c>
    </row>
    <row r="2234">
      <c r="A2234" s="8" t="str">
        <f>IFERROR(__xludf.DUMMYFUNCTION("""COMPUTED_VALUE"""),"""beauty hacks Hvar"",")</f>
        <v>"beauty hacks Hvar",</v>
      </c>
    </row>
    <row r="2235">
      <c r="A2235" s="8" t="str">
        <f>IFERROR(__xludf.DUMMYFUNCTION("""COMPUTED_VALUE"""),"""hair routines Hvar"",")</f>
        <v>"hair routines Hvar",</v>
      </c>
    </row>
    <row r="2236">
      <c r="A2236" s="8" t="str">
        <f>IFERROR(__xludf.DUMMYFUNCTION("""COMPUTED_VALUE"""),"""empties Hvar"",")</f>
        <v>"empties Hvar",</v>
      </c>
    </row>
    <row r="2237">
      <c r="A2237" s="8" t="str">
        <f>IFERROR(__xludf.DUMMYFUNCTION("""COMPUTED_VALUE"""),"""product reviews Hvar"",")</f>
        <v>"product reviews Hvar",</v>
      </c>
    </row>
    <row r="2238">
      <c r="A2238" s="8" t="str">
        <f>IFERROR(__xludf.DUMMYFUNCTION("""COMPUTED_VALUE"""),"""beauty reviews  Hvar"",")</f>
        <v>"beauty reviews  Hvar",</v>
      </c>
    </row>
    <row r="2239">
      <c r="A2239" s="8" t="str">
        <f>IFERROR(__xludf.DUMMYFUNCTION("""COMPUTED_VALUE"""),"""make-up artist Hvar"",")</f>
        <v>"make-up artist Hvar",</v>
      </c>
    </row>
    <row r="2240">
      <c r="A2240" s="8" t="str">
        <f>IFERROR(__xludf.DUMMYFUNCTION("""COMPUTED_VALUE"""),"""skincare journey Hvar"",")</f>
        <v>"skincare journey Hvar",</v>
      </c>
    </row>
    <row r="2241">
      <c r="A2241" s="8" t="str">
        <f>IFERROR(__xludf.DUMMYFUNCTION("""COMPUTED_VALUE"""),"""hair tutorial Hvar"",")</f>
        <v>"hair tutorial Hvar",</v>
      </c>
    </row>
    <row r="2242">
      <c r="A2242" s="8" t="str">
        <f>IFERROR(__xludf.DUMMYFUNCTION("""COMPUTED_VALUE"""),"""barbershop Hvar"",")</f>
        <v>"barbershop Hvar",</v>
      </c>
    </row>
    <row r="2243">
      <c r="A2243" s="8" t="str">
        <f>IFERROR(__xludf.DUMMYFUNCTION("""COMPUTED_VALUE"""),"""ootd Corsica"",")</f>
        <v>"ootd Corsica",</v>
      </c>
    </row>
    <row r="2244">
      <c r="A2244" s="8" t="str">
        <f>IFERROR(__xludf.DUMMYFUNCTION("""COMPUTED_VALUE"""),"""street style Corsica"",")</f>
        <v>"street style Corsica",</v>
      </c>
    </row>
    <row r="2245">
      <c r="A2245" s="8" t="str">
        <f>IFERROR(__xludf.DUMMYFUNCTION("""COMPUTED_VALUE"""),"""skincare Corsica"",")</f>
        <v>"skincare Corsica",</v>
      </c>
    </row>
    <row r="2246">
      <c r="A2246" s="8" t="str">
        <f>IFERROR(__xludf.DUMMYFUNCTION("""COMPUTED_VALUE"""),"""makeup Corsica"",")</f>
        <v>"makeup Corsica",</v>
      </c>
    </row>
    <row r="2247">
      <c r="A2247" s="8" t="str">
        <f>IFERROR(__xludf.DUMMYFUNCTION("""COMPUTED_VALUE"""),"""nails Corsica"",")</f>
        <v>"nails Corsica",</v>
      </c>
    </row>
    <row r="2248">
      <c r="A2248" s="8" t="str">
        <f>IFERROR(__xludf.DUMMYFUNCTION("""COMPUTED_VALUE"""),"""curly hair Corsica"",")</f>
        <v>"curly hair Corsica",</v>
      </c>
    </row>
    <row r="2249">
      <c r="A2249" s="8" t="str">
        <f>IFERROR(__xludf.DUMMYFUNCTION("""COMPUTED_VALUE"""),"""thrift Corsica"",")</f>
        <v>"thrift Corsica",</v>
      </c>
    </row>
    <row r="2250">
      <c r="A2250" s="8" t="str">
        <f>IFERROR(__xludf.DUMMYFUNCTION("""COMPUTED_VALUE"""),"""streetwear Corsica"",")</f>
        <v>"streetwear Corsica",</v>
      </c>
    </row>
    <row r="2251">
      <c r="A2251" s="8" t="str">
        <f>IFERROR(__xludf.DUMMYFUNCTION("""COMPUTED_VALUE"""),"""luxury Corsica"",")</f>
        <v>"luxury Corsica",</v>
      </c>
    </row>
    <row r="2252">
      <c r="A2252" s="8" t="str">
        <f>IFERROR(__xludf.DUMMYFUNCTION("""COMPUTED_VALUE"""),"""handbags Corsica"",")</f>
        <v>"handbags Corsica",</v>
      </c>
    </row>
    <row r="2253">
      <c r="A2253" s="8" t="str">
        <f>IFERROR(__xludf.DUMMYFUNCTION("""COMPUTED_VALUE"""),"""sneakers Corsica"",")</f>
        <v>"sneakers Corsica",</v>
      </c>
    </row>
    <row r="2254">
      <c r="A2254" s="8" t="str">
        <f>IFERROR(__xludf.DUMMYFUNCTION("""COMPUTED_VALUE"""),"""high heels Corsica"",")</f>
        <v>"high heels Corsica",</v>
      </c>
    </row>
    <row r="2255">
      <c r="A2255" s="8" t="str">
        <f>IFERROR(__xludf.DUMMYFUNCTION("""COMPUTED_VALUE"""),"""haute-couture Corsica"",")</f>
        <v>"haute-couture Corsica",</v>
      </c>
    </row>
    <row r="2256">
      <c r="A2256" s="8" t="str">
        <f>IFERROR(__xludf.DUMMYFUNCTION("""COMPUTED_VALUE"""),"""diyfashion Corsica"",")</f>
        <v>"diyfashion Corsica",</v>
      </c>
    </row>
    <row r="2257">
      <c r="A2257" s="8" t="str">
        <f>IFERROR(__xludf.DUMMYFUNCTION("""COMPUTED_VALUE"""),"""accessories Corsica"",")</f>
        <v>"accessories Corsica",</v>
      </c>
    </row>
    <row r="2258">
      <c r="A2258" s="8" t="str">
        <f>IFERROR(__xludf.DUMMYFUNCTION("""COMPUTED_VALUE"""),"""menswear Corsica"",")</f>
        <v>"menswear Corsica",</v>
      </c>
    </row>
    <row r="2259">
      <c r="A2259" s="8" t="str">
        <f>IFERROR(__xludf.DUMMYFUNCTION("""COMPUTED_VALUE"""),"""womenswear Corsica"",")</f>
        <v>"womenswear Corsica",</v>
      </c>
    </row>
    <row r="2260">
      <c r="A2260" s="8" t="str">
        <f>IFERROR(__xludf.DUMMYFUNCTION("""COMPUTED_VALUE"""),"""moda Corsica"",")</f>
        <v>"moda Corsica",</v>
      </c>
    </row>
    <row r="2261">
      <c r="A2261" s="8" t="str">
        <f>IFERROR(__xludf.DUMMYFUNCTION("""COMPUTED_VALUE"""),"""hairstyle Corsica"",")</f>
        <v>"hairstyle Corsica",</v>
      </c>
    </row>
    <row r="2262">
      <c r="A2262" s="8" t="str">
        <f>IFERROR(__xludf.DUMMYFUNCTION("""COMPUTED_VALUE"""),"""perfume Corsica"",")</f>
        <v>"perfume Corsica",</v>
      </c>
    </row>
    <row r="2263">
      <c r="A2263" s="8" t="str">
        <f>IFERROR(__xludf.DUMMYFUNCTION("""COMPUTED_VALUE"""),"""cosmetiques Corsica"",")</f>
        <v>"cosmetiques Corsica",</v>
      </c>
    </row>
    <row r="2264">
      <c r="A2264" s="8" t="str">
        <f>IFERROR(__xludf.DUMMYFUNCTION("""COMPUTED_VALUE"""),"""beauty routine Corsica"",")</f>
        <v>"beauty routine Corsica",</v>
      </c>
    </row>
    <row r="2265">
      <c r="A2265" s="8" t="str">
        <f>IFERROR(__xludf.DUMMYFUNCTION("""COMPUTED_VALUE"""),"""natural beauty Corsica"",")</f>
        <v>"natural beauty Corsica",</v>
      </c>
    </row>
    <row r="2266">
      <c r="A2266" s="8" t="str">
        <f>IFERROR(__xludf.DUMMYFUNCTION("""COMPUTED_VALUE"""),"""organic beauty Corsica"",")</f>
        <v>"organic beauty Corsica",</v>
      </c>
    </row>
    <row r="2267">
      <c r="A2267" s="8" t="str">
        <f>IFERROR(__xludf.DUMMYFUNCTION("""COMPUTED_VALUE"""),"""sustainable fashion Corsica"",")</f>
        <v>"sustainable fashion Corsica",</v>
      </c>
    </row>
    <row r="2268">
      <c r="A2268" s="8" t="str">
        <f>IFERROR(__xludf.DUMMYFUNCTION("""COMPUTED_VALUE"""),"""fashion hacks Corsica"",")</f>
        <v>"fashion hacks Corsica",</v>
      </c>
    </row>
    <row r="2269">
      <c r="A2269" s="8" t="str">
        <f>IFERROR(__xludf.DUMMYFUNCTION("""COMPUTED_VALUE"""),"""capsule wardrobe Corsica"",")</f>
        <v>"capsule wardrobe Corsica",</v>
      </c>
    </row>
    <row r="2270">
      <c r="A2270" s="8" t="str">
        <f>IFERROR(__xludf.DUMMYFUNCTION("""COMPUTED_VALUE"""),"""fashion trends Corsica"",")</f>
        <v>"fashion trends Corsica",</v>
      </c>
    </row>
    <row r="2271">
      <c r="A2271" s="8" t="str">
        <f>IFERROR(__xludf.DUMMYFUNCTION("""COMPUTED_VALUE"""),"""minimalist fashion Corsica"",")</f>
        <v>"minimalist fashion Corsica",</v>
      </c>
    </row>
    <row r="2272">
      <c r="A2272" s="8" t="str">
        <f>IFERROR(__xludf.DUMMYFUNCTION("""COMPUTED_VALUE"""),"""beauty hacks Corsica"",")</f>
        <v>"beauty hacks Corsica",</v>
      </c>
    </row>
    <row r="2273">
      <c r="A2273" s="8" t="str">
        <f>IFERROR(__xludf.DUMMYFUNCTION("""COMPUTED_VALUE"""),"""hair routines Corsica"",")</f>
        <v>"hair routines Corsica",</v>
      </c>
    </row>
    <row r="2274">
      <c r="A2274" s="8" t="str">
        <f>IFERROR(__xludf.DUMMYFUNCTION("""COMPUTED_VALUE"""),"""empties Corsica"",")</f>
        <v>"empties Corsica",</v>
      </c>
    </row>
    <row r="2275">
      <c r="A2275" s="8" t="str">
        <f>IFERROR(__xludf.DUMMYFUNCTION("""COMPUTED_VALUE"""),"""product reviews Corsica"",")</f>
        <v>"product reviews Corsica",</v>
      </c>
    </row>
    <row r="2276">
      <c r="A2276" s="8" t="str">
        <f>IFERROR(__xludf.DUMMYFUNCTION("""COMPUTED_VALUE"""),"""beauty reviews  Corsica"",")</f>
        <v>"beauty reviews  Corsica",</v>
      </c>
    </row>
    <row r="2277">
      <c r="A2277" s="8" t="str">
        <f>IFERROR(__xludf.DUMMYFUNCTION("""COMPUTED_VALUE"""),"""make-up artist Corsica"",")</f>
        <v>"make-up artist Corsica",</v>
      </c>
    </row>
    <row r="2278">
      <c r="A2278" s="8" t="str">
        <f>IFERROR(__xludf.DUMMYFUNCTION("""COMPUTED_VALUE"""),"""skincare journey Corsica"",")</f>
        <v>"skincare journey Corsica",</v>
      </c>
    </row>
    <row r="2279">
      <c r="A2279" s="8" t="str">
        <f>IFERROR(__xludf.DUMMYFUNCTION("""COMPUTED_VALUE"""),"""hair tutorial Corsica"",")</f>
        <v>"hair tutorial Corsica",</v>
      </c>
    </row>
    <row r="2280">
      <c r="A2280" s="8" t="str">
        <f>IFERROR(__xludf.DUMMYFUNCTION("""COMPUTED_VALUE"""),"""barbershop Corsica"",")</f>
        <v>"barbershop Corsica",</v>
      </c>
    </row>
    <row r="2281">
      <c r="A2281" s="8" t="str">
        <f>IFERROR(__xludf.DUMMYFUNCTION("""COMPUTED_VALUE"""),"""ootd Reunion"",")</f>
        <v>"ootd Reunion",</v>
      </c>
    </row>
    <row r="2282">
      <c r="A2282" s="8" t="str">
        <f>IFERROR(__xludf.DUMMYFUNCTION("""COMPUTED_VALUE"""),"""street style Reunion"",")</f>
        <v>"street style Reunion",</v>
      </c>
    </row>
    <row r="2283">
      <c r="A2283" s="8" t="str">
        <f>IFERROR(__xludf.DUMMYFUNCTION("""COMPUTED_VALUE"""),"""skincare Reunion"",")</f>
        <v>"skincare Reunion",</v>
      </c>
    </row>
    <row r="2284">
      <c r="A2284" s="8" t="str">
        <f>IFERROR(__xludf.DUMMYFUNCTION("""COMPUTED_VALUE"""),"""makeup Reunion"",")</f>
        <v>"makeup Reunion",</v>
      </c>
    </row>
    <row r="2285">
      <c r="A2285" s="8" t="str">
        <f>IFERROR(__xludf.DUMMYFUNCTION("""COMPUTED_VALUE"""),"""nails Reunion"",")</f>
        <v>"nails Reunion",</v>
      </c>
    </row>
    <row r="2286">
      <c r="A2286" s="8" t="str">
        <f>IFERROR(__xludf.DUMMYFUNCTION("""COMPUTED_VALUE"""),"""curly hair Reunion"",")</f>
        <v>"curly hair Reunion",</v>
      </c>
    </row>
    <row r="2287">
      <c r="A2287" s="8" t="str">
        <f>IFERROR(__xludf.DUMMYFUNCTION("""COMPUTED_VALUE"""),"""thrift Reunion"",")</f>
        <v>"thrift Reunion",</v>
      </c>
    </row>
    <row r="2288">
      <c r="A2288" s="8" t="str">
        <f>IFERROR(__xludf.DUMMYFUNCTION("""COMPUTED_VALUE"""),"""streetwear Reunion"",")</f>
        <v>"streetwear Reunion",</v>
      </c>
    </row>
    <row r="2289">
      <c r="A2289" s="8" t="str">
        <f>IFERROR(__xludf.DUMMYFUNCTION("""COMPUTED_VALUE"""),"""luxury Reunion"",")</f>
        <v>"luxury Reunion",</v>
      </c>
    </row>
    <row r="2290">
      <c r="A2290" s="8" t="str">
        <f>IFERROR(__xludf.DUMMYFUNCTION("""COMPUTED_VALUE"""),"""handbags Reunion"",")</f>
        <v>"handbags Reunion",</v>
      </c>
    </row>
    <row r="2291">
      <c r="A2291" s="8" t="str">
        <f>IFERROR(__xludf.DUMMYFUNCTION("""COMPUTED_VALUE"""),"""sneakers Reunion"",")</f>
        <v>"sneakers Reunion",</v>
      </c>
    </row>
    <row r="2292">
      <c r="A2292" s="8" t="str">
        <f>IFERROR(__xludf.DUMMYFUNCTION("""COMPUTED_VALUE"""),"""high heels Reunion"",")</f>
        <v>"high heels Reunion",</v>
      </c>
    </row>
    <row r="2293">
      <c r="A2293" s="8" t="str">
        <f>IFERROR(__xludf.DUMMYFUNCTION("""COMPUTED_VALUE"""),"""haute-couture Reunion"",")</f>
        <v>"haute-couture Reunion",</v>
      </c>
    </row>
    <row r="2294">
      <c r="A2294" s="8" t="str">
        <f>IFERROR(__xludf.DUMMYFUNCTION("""COMPUTED_VALUE"""),"""diyfashion Reunion"",")</f>
        <v>"diyfashion Reunion",</v>
      </c>
    </row>
    <row r="2295">
      <c r="A2295" s="8" t="str">
        <f>IFERROR(__xludf.DUMMYFUNCTION("""COMPUTED_VALUE"""),"""accessories Reunion"",")</f>
        <v>"accessories Reunion",</v>
      </c>
    </row>
    <row r="2296">
      <c r="A2296" s="8" t="str">
        <f>IFERROR(__xludf.DUMMYFUNCTION("""COMPUTED_VALUE"""),"""menswear Reunion"",")</f>
        <v>"menswear Reunion",</v>
      </c>
    </row>
    <row r="2297">
      <c r="A2297" s="8" t="str">
        <f>IFERROR(__xludf.DUMMYFUNCTION("""COMPUTED_VALUE"""),"""womenswear Reunion"",")</f>
        <v>"womenswear Reunion",</v>
      </c>
    </row>
    <row r="2298">
      <c r="A2298" s="8" t="str">
        <f>IFERROR(__xludf.DUMMYFUNCTION("""COMPUTED_VALUE"""),"""moda Reunion"",")</f>
        <v>"moda Reunion",</v>
      </c>
    </row>
    <row r="2299">
      <c r="A2299" s="8" t="str">
        <f>IFERROR(__xludf.DUMMYFUNCTION("""COMPUTED_VALUE"""),"""hairstyle Reunion"",")</f>
        <v>"hairstyle Reunion",</v>
      </c>
    </row>
    <row r="2300">
      <c r="A2300" s="8" t="str">
        <f>IFERROR(__xludf.DUMMYFUNCTION("""COMPUTED_VALUE"""),"""perfume Reunion"",")</f>
        <v>"perfume Reunion",</v>
      </c>
    </row>
    <row r="2301">
      <c r="A2301" s="8" t="str">
        <f>IFERROR(__xludf.DUMMYFUNCTION("""COMPUTED_VALUE"""),"""cosmetiques Reunion"",")</f>
        <v>"cosmetiques Reunion",</v>
      </c>
    </row>
    <row r="2302">
      <c r="A2302" s="8" t="str">
        <f>IFERROR(__xludf.DUMMYFUNCTION("""COMPUTED_VALUE"""),"""beauty routine Reunion"",")</f>
        <v>"beauty routine Reunion",</v>
      </c>
    </row>
    <row r="2303">
      <c r="A2303" s="8" t="str">
        <f>IFERROR(__xludf.DUMMYFUNCTION("""COMPUTED_VALUE"""),"""natural beauty Reunion"",")</f>
        <v>"natural beauty Reunion",</v>
      </c>
    </row>
    <row r="2304">
      <c r="A2304" s="8" t="str">
        <f>IFERROR(__xludf.DUMMYFUNCTION("""COMPUTED_VALUE"""),"""organic beauty Reunion"",")</f>
        <v>"organic beauty Reunion",</v>
      </c>
    </row>
    <row r="2305">
      <c r="A2305" s="8" t="str">
        <f>IFERROR(__xludf.DUMMYFUNCTION("""COMPUTED_VALUE"""),"""sustainable fashion Reunion"",")</f>
        <v>"sustainable fashion Reunion",</v>
      </c>
    </row>
    <row r="2306">
      <c r="A2306" s="8" t="str">
        <f>IFERROR(__xludf.DUMMYFUNCTION("""COMPUTED_VALUE"""),"""fashion hacks Reunion"",")</f>
        <v>"fashion hacks Reunion",</v>
      </c>
    </row>
    <row r="2307">
      <c r="A2307" s="8" t="str">
        <f>IFERROR(__xludf.DUMMYFUNCTION("""COMPUTED_VALUE"""),"""capsule wardrobe Reunion"",")</f>
        <v>"capsule wardrobe Reunion",</v>
      </c>
    </row>
    <row r="2308">
      <c r="A2308" s="8" t="str">
        <f>IFERROR(__xludf.DUMMYFUNCTION("""COMPUTED_VALUE"""),"""fashion trends Reunion"",")</f>
        <v>"fashion trends Reunion",</v>
      </c>
    </row>
    <row r="2309">
      <c r="A2309" s="8" t="str">
        <f>IFERROR(__xludf.DUMMYFUNCTION("""COMPUTED_VALUE"""),"""minimalist fashion Reunion"",")</f>
        <v>"minimalist fashion Reunion",</v>
      </c>
    </row>
    <row r="2310">
      <c r="A2310" s="8" t="str">
        <f>IFERROR(__xludf.DUMMYFUNCTION("""COMPUTED_VALUE"""),"""beauty hacks Reunion"",")</f>
        <v>"beauty hacks Reunion",</v>
      </c>
    </row>
    <row r="2311">
      <c r="A2311" s="8" t="str">
        <f>IFERROR(__xludf.DUMMYFUNCTION("""COMPUTED_VALUE"""),"""hair routines Reunion"",")</f>
        <v>"hair routines Reunion",</v>
      </c>
    </row>
    <row r="2312">
      <c r="A2312" s="8" t="str">
        <f>IFERROR(__xludf.DUMMYFUNCTION("""COMPUTED_VALUE"""),"""empties Reunion"",")</f>
        <v>"empties Reunion",</v>
      </c>
    </row>
    <row r="2313">
      <c r="A2313" s="8" t="str">
        <f>IFERROR(__xludf.DUMMYFUNCTION("""COMPUTED_VALUE"""),"""product reviews Reunion"",")</f>
        <v>"product reviews Reunion",</v>
      </c>
    </row>
    <row r="2314">
      <c r="A2314" s="8" t="str">
        <f>IFERROR(__xludf.DUMMYFUNCTION("""COMPUTED_VALUE"""),"""beauty reviews  Reunion"",")</f>
        <v>"beauty reviews  Reunion",</v>
      </c>
    </row>
    <row r="2315">
      <c r="A2315" s="8" t="str">
        <f>IFERROR(__xludf.DUMMYFUNCTION("""COMPUTED_VALUE"""),"""make-up artist Reunion"",")</f>
        <v>"make-up artist Reunion",</v>
      </c>
    </row>
    <row r="2316">
      <c r="A2316" s="8" t="str">
        <f>IFERROR(__xludf.DUMMYFUNCTION("""COMPUTED_VALUE"""),"""skincare journey Reunion"",")</f>
        <v>"skincare journey Reunion",</v>
      </c>
    </row>
    <row r="2317">
      <c r="A2317" s="8" t="str">
        <f>IFERROR(__xludf.DUMMYFUNCTION("""COMPUTED_VALUE"""),"""hair tutorial Reunion"",")</f>
        <v>"hair tutorial Reunion",</v>
      </c>
    </row>
    <row r="2318">
      <c r="A2318" s="8" t="str">
        <f>IFERROR(__xludf.DUMMYFUNCTION("""COMPUTED_VALUE"""),"""barbershop Reunion"",")</f>
        <v>"barbershop Reunion",</v>
      </c>
    </row>
    <row r="2319">
      <c r="A2319" s="8" t="str">
        <f>IFERROR(__xludf.DUMMYFUNCTION("""COMPUTED_VALUE"""),"""ootd Mauritius"",")</f>
        <v>"ootd Mauritius",</v>
      </c>
    </row>
    <row r="2320">
      <c r="A2320" s="8" t="str">
        <f>IFERROR(__xludf.DUMMYFUNCTION("""COMPUTED_VALUE"""),"""street style Mauritius"",")</f>
        <v>"street style Mauritius",</v>
      </c>
    </row>
    <row r="2321">
      <c r="A2321" s="8" t="str">
        <f>IFERROR(__xludf.DUMMYFUNCTION("""COMPUTED_VALUE"""),"""skincare Mauritius"",")</f>
        <v>"skincare Mauritius",</v>
      </c>
    </row>
    <row r="2322">
      <c r="A2322" s="8" t="str">
        <f>IFERROR(__xludf.DUMMYFUNCTION("""COMPUTED_VALUE"""),"""makeup Mauritius"",")</f>
        <v>"makeup Mauritius",</v>
      </c>
    </row>
    <row r="2323">
      <c r="A2323" s="8" t="str">
        <f>IFERROR(__xludf.DUMMYFUNCTION("""COMPUTED_VALUE"""),"""nails Mauritius"",")</f>
        <v>"nails Mauritius",</v>
      </c>
    </row>
    <row r="2324">
      <c r="A2324" s="8" t="str">
        <f>IFERROR(__xludf.DUMMYFUNCTION("""COMPUTED_VALUE"""),"""curly hair Mauritius"",")</f>
        <v>"curly hair Mauritius",</v>
      </c>
    </row>
    <row r="2325">
      <c r="A2325" s="8" t="str">
        <f>IFERROR(__xludf.DUMMYFUNCTION("""COMPUTED_VALUE"""),"""thrift Mauritius"",")</f>
        <v>"thrift Mauritius",</v>
      </c>
    </row>
    <row r="2326">
      <c r="A2326" s="8" t="str">
        <f>IFERROR(__xludf.DUMMYFUNCTION("""COMPUTED_VALUE"""),"""streetwear Mauritius"",")</f>
        <v>"streetwear Mauritius",</v>
      </c>
    </row>
    <row r="2327">
      <c r="A2327" s="8" t="str">
        <f>IFERROR(__xludf.DUMMYFUNCTION("""COMPUTED_VALUE"""),"""luxury Mauritius"",")</f>
        <v>"luxury Mauritius",</v>
      </c>
    </row>
    <row r="2328">
      <c r="A2328" s="8" t="str">
        <f>IFERROR(__xludf.DUMMYFUNCTION("""COMPUTED_VALUE"""),"""handbags Mauritius"",")</f>
        <v>"handbags Mauritius",</v>
      </c>
    </row>
    <row r="2329">
      <c r="A2329" s="8" t="str">
        <f>IFERROR(__xludf.DUMMYFUNCTION("""COMPUTED_VALUE"""),"""sneakers Mauritius"",")</f>
        <v>"sneakers Mauritius",</v>
      </c>
    </row>
    <row r="2330">
      <c r="A2330" s="8" t="str">
        <f>IFERROR(__xludf.DUMMYFUNCTION("""COMPUTED_VALUE"""),"""high heels Mauritius"",")</f>
        <v>"high heels Mauritius",</v>
      </c>
    </row>
    <row r="2331">
      <c r="A2331" s="8" t="str">
        <f>IFERROR(__xludf.DUMMYFUNCTION("""COMPUTED_VALUE"""),"""haute-couture Mauritius"",")</f>
        <v>"haute-couture Mauritius",</v>
      </c>
    </row>
    <row r="2332">
      <c r="A2332" s="8" t="str">
        <f>IFERROR(__xludf.DUMMYFUNCTION("""COMPUTED_VALUE"""),"""diyfashion Mauritius"",")</f>
        <v>"diyfashion Mauritius",</v>
      </c>
    </row>
    <row r="2333">
      <c r="A2333" s="8" t="str">
        <f>IFERROR(__xludf.DUMMYFUNCTION("""COMPUTED_VALUE"""),"""accessories Mauritius"",")</f>
        <v>"accessories Mauritius",</v>
      </c>
    </row>
    <row r="2334">
      <c r="A2334" s="8" t="str">
        <f>IFERROR(__xludf.DUMMYFUNCTION("""COMPUTED_VALUE"""),"""menswear Mauritius"",")</f>
        <v>"menswear Mauritius",</v>
      </c>
    </row>
    <row r="2335">
      <c r="A2335" s="8" t="str">
        <f>IFERROR(__xludf.DUMMYFUNCTION("""COMPUTED_VALUE"""),"""womenswear Mauritius"",")</f>
        <v>"womenswear Mauritius",</v>
      </c>
    </row>
    <row r="2336">
      <c r="A2336" s="8" t="str">
        <f>IFERROR(__xludf.DUMMYFUNCTION("""COMPUTED_VALUE"""),"""moda Mauritius"",")</f>
        <v>"moda Mauritius",</v>
      </c>
    </row>
    <row r="2337">
      <c r="A2337" s="8" t="str">
        <f>IFERROR(__xludf.DUMMYFUNCTION("""COMPUTED_VALUE"""),"""hairstyle Mauritius"",")</f>
        <v>"hairstyle Mauritius",</v>
      </c>
    </row>
    <row r="2338">
      <c r="A2338" s="8" t="str">
        <f>IFERROR(__xludf.DUMMYFUNCTION("""COMPUTED_VALUE"""),"""perfume Mauritius"",")</f>
        <v>"perfume Mauritius",</v>
      </c>
    </row>
    <row r="2339">
      <c r="A2339" s="8" t="str">
        <f>IFERROR(__xludf.DUMMYFUNCTION("""COMPUTED_VALUE"""),"""cosmetiques Mauritius"",")</f>
        <v>"cosmetiques Mauritius",</v>
      </c>
    </row>
    <row r="2340">
      <c r="A2340" s="9" t="str">
        <f>IFERROR(__xludf.DUMMYFUNCTION("""COMPUTED_VALUE"""),"""beauty routine Mauritius"",")</f>
        <v>"beauty routine Mauritius",</v>
      </c>
    </row>
    <row r="2341">
      <c r="A2341" s="8" t="str">
        <f>IFERROR(__xludf.DUMMYFUNCTION("""COMPUTED_VALUE"""),"""natural beauty Mauritius"",")</f>
        <v>"natural beauty Mauritius",</v>
      </c>
    </row>
    <row r="2342">
      <c r="A2342" s="8" t="str">
        <f>IFERROR(__xludf.DUMMYFUNCTION("""COMPUTED_VALUE"""),"""organic beauty Mauritius"",")</f>
        <v>"organic beauty Mauritius",</v>
      </c>
    </row>
    <row r="2343">
      <c r="A2343" s="8" t="str">
        <f>IFERROR(__xludf.DUMMYFUNCTION("""COMPUTED_VALUE"""),"""sustainable fashion Mauritius"",")</f>
        <v>"sustainable fashion Mauritius",</v>
      </c>
    </row>
    <row r="2344">
      <c r="A2344" s="8" t="str">
        <f>IFERROR(__xludf.DUMMYFUNCTION("""COMPUTED_VALUE"""),"""fashion hacks Mauritius"",")</f>
        <v>"fashion hacks Mauritius",</v>
      </c>
    </row>
    <row r="2345">
      <c r="A2345" s="8" t="str">
        <f>IFERROR(__xludf.DUMMYFUNCTION("""COMPUTED_VALUE"""),"""capsule wardrobe Mauritius"",")</f>
        <v>"capsule wardrobe Mauritius",</v>
      </c>
    </row>
    <row r="2346">
      <c r="A2346" s="8" t="str">
        <f>IFERROR(__xludf.DUMMYFUNCTION("""COMPUTED_VALUE"""),"""fashion trends Mauritius"",")</f>
        <v>"fashion trends Mauritius",</v>
      </c>
    </row>
    <row r="2347">
      <c r="A2347" s="8" t="str">
        <f>IFERROR(__xludf.DUMMYFUNCTION("""COMPUTED_VALUE"""),"""minimalist fashion Mauritius"",")</f>
        <v>"minimalist fashion Mauritius",</v>
      </c>
    </row>
    <row r="2348">
      <c r="A2348" s="8" t="str">
        <f>IFERROR(__xludf.DUMMYFUNCTION("""COMPUTED_VALUE"""),"""beauty hacks Mauritius"",")</f>
        <v>"beauty hacks Mauritius",</v>
      </c>
    </row>
    <row r="2349">
      <c r="A2349" s="8" t="str">
        <f>IFERROR(__xludf.DUMMYFUNCTION("""COMPUTED_VALUE"""),"""hair routines Mauritius"",")</f>
        <v>"hair routines Mauritius",</v>
      </c>
    </row>
    <row r="2350">
      <c r="A2350" s="8" t="str">
        <f>IFERROR(__xludf.DUMMYFUNCTION("""COMPUTED_VALUE"""),"""empties Mauritius"",")</f>
        <v>"empties Mauritius",</v>
      </c>
    </row>
    <row r="2351">
      <c r="A2351" s="8" t="str">
        <f>IFERROR(__xludf.DUMMYFUNCTION("""COMPUTED_VALUE"""),"""product reviews Mauritius"",")</f>
        <v>"product reviews Mauritius",</v>
      </c>
    </row>
    <row r="2352">
      <c r="A2352" s="8" t="str">
        <f>IFERROR(__xludf.DUMMYFUNCTION("""COMPUTED_VALUE"""),"""beauty reviews  Mauritius"",")</f>
        <v>"beauty reviews  Mauritius",</v>
      </c>
    </row>
    <row r="2353">
      <c r="A2353" s="8" t="str">
        <f>IFERROR(__xludf.DUMMYFUNCTION("""COMPUTED_VALUE"""),"""make-up artist Mauritius"",")</f>
        <v>"make-up artist Mauritius",</v>
      </c>
    </row>
    <row r="2354">
      <c r="A2354" s="8" t="str">
        <f>IFERROR(__xludf.DUMMYFUNCTION("""COMPUTED_VALUE"""),"""skincare journey Mauritius"",")</f>
        <v>"skincare journey Mauritius",</v>
      </c>
    </row>
    <row r="2355">
      <c r="A2355" s="8" t="str">
        <f>IFERROR(__xludf.DUMMYFUNCTION("""COMPUTED_VALUE"""),"""hair tutorial Mauritius"",")</f>
        <v>"hair tutorial Mauritius",</v>
      </c>
    </row>
    <row r="2356">
      <c r="A2356" s="8" t="str">
        <f>IFERROR(__xludf.DUMMYFUNCTION("""COMPUTED_VALUE"""),"""barbershop Mauritius"",")</f>
        <v>"barbershop Mauritius",</v>
      </c>
    </row>
    <row r="2357">
      <c r="A2357" s="8" t="str">
        <f>IFERROR(__xludf.DUMMYFUNCTION("""COMPUTED_VALUE"""),"""ootd Maldives"",")</f>
        <v>"ootd Maldives",</v>
      </c>
    </row>
    <row r="2358">
      <c r="A2358" s="8" t="str">
        <f>IFERROR(__xludf.DUMMYFUNCTION("""COMPUTED_VALUE"""),"""street style Maldives"",")</f>
        <v>"street style Maldives",</v>
      </c>
    </row>
    <row r="2359">
      <c r="A2359" s="8" t="str">
        <f>IFERROR(__xludf.DUMMYFUNCTION("""COMPUTED_VALUE"""),"""skincare Maldives"",")</f>
        <v>"skincare Maldives",</v>
      </c>
    </row>
    <row r="2360">
      <c r="A2360" s="8" t="str">
        <f>IFERROR(__xludf.DUMMYFUNCTION("""COMPUTED_VALUE"""),"""makeup Maldives"",")</f>
        <v>"makeup Maldives",</v>
      </c>
    </row>
    <row r="2361">
      <c r="A2361" s="8" t="str">
        <f>IFERROR(__xludf.DUMMYFUNCTION("""COMPUTED_VALUE"""),"""nails Maldives"",")</f>
        <v>"nails Maldives",</v>
      </c>
    </row>
    <row r="2362">
      <c r="A2362" s="8" t="str">
        <f>IFERROR(__xludf.DUMMYFUNCTION("""COMPUTED_VALUE"""),"""curly hair Maldives"",")</f>
        <v>"curly hair Maldives",</v>
      </c>
    </row>
    <row r="2363">
      <c r="A2363" s="8" t="str">
        <f>IFERROR(__xludf.DUMMYFUNCTION("""COMPUTED_VALUE"""),"""thrift Maldives"",")</f>
        <v>"thrift Maldives",</v>
      </c>
    </row>
    <row r="2364">
      <c r="A2364" s="8" t="str">
        <f>IFERROR(__xludf.DUMMYFUNCTION("""COMPUTED_VALUE"""),"""streetwear Maldives"",")</f>
        <v>"streetwear Maldives",</v>
      </c>
    </row>
    <row r="2365">
      <c r="A2365" s="8" t="str">
        <f>IFERROR(__xludf.DUMMYFUNCTION("""COMPUTED_VALUE"""),"""luxury Maldives"",")</f>
        <v>"luxury Maldives",</v>
      </c>
    </row>
    <row r="2366">
      <c r="A2366" s="8" t="str">
        <f>IFERROR(__xludf.DUMMYFUNCTION("""COMPUTED_VALUE"""),"""handbags Maldives"",")</f>
        <v>"handbags Maldives",</v>
      </c>
    </row>
    <row r="2367">
      <c r="A2367" s="8" t="str">
        <f>IFERROR(__xludf.DUMMYFUNCTION("""COMPUTED_VALUE"""),"""sneakers Maldives"",")</f>
        <v>"sneakers Maldives",</v>
      </c>
    </row>
    <row r="2368">
      <c r="A2368" s="8" t="str">
        <f>IFERROR(__xludf.DUMMYFUNCTION("""COMPUTED_VALUE"""),"""high heels Maldives"",")</f>
        <v>"high heels Maldives",</v>
      </c>
    </row>
    <row r="2369">
      <c r="A2369" s="8" t="str">
        <f>IFERROR(__xludf.DUMMYFUNCTION("""COMPUTED_VALUE"""),"""haute-couture Maldives"",")</f>
        <v>"haute-couture Maldives",</v>
      </c>
    </row>
    <row r="2370">
      <c r="A2370" s="8" t="str">
        <f>IFERROR(__xludf.DUMMYFUNCTION("""COMPUTED_VALUE"""),"""diyfashion Maldives"",")</f>
        <v>"diyfashion Maldives",</v>
      </c>
    </row>
    <row r="2371">
      <c r="A2371" s="8" t="str">
        <f>IFERROR(__xludf.DUMMYFUNCTION("""COMPUTED_VALUE"""),"""accessories Maldives"",")</f>
        <v>"accessories Maldives",</v>
      </c>
    </row>
    <row r="2372">
      <c r="A2372" s="8" t="str">
        <f>IFERROR(__xludf.DUMMYFUNCTION("""COMPUTED_VALUE"""),"""menswear Maldives"",")</f>
        <v>"menswear Maldives",</v>
      </c>
    </row>
    <row r="2373">
      <c r="A2373" s="8" t="str">
        <f>IFERROR(__xludf.DUMMYFUNCTION("""COMPUTED_VALUE"""),"""womenswear Maldives"",")</f>
        <v>"womenswear Maldives",</v>
      </c>
    </row>
    <row r="2374">
      <c r="A2374" s="8" t="str">
        <f>IFERROR(__xludf.DUMMYFUNCTION("""COMPUTED_VALUE"""),"""moda Maldives"",")</f>
        <v>"moda Maldives",</v>
      </c>
    </row>
    <row r="2375">
      <c r="A2375" s="8" t="str">
        <f>IFERROR(__xludf.DUMMYFUNCTION("""COMPUTED_VALUE"""),"""hairstyle Maldives"",")</f>
        <v>"hairstyle Maldives",</v>
      </c>
    </row>
    <row r="2376">
      <c r="A2376" s="8" t="str">
        <f>IFERROR(__xludf.DUMMYFUNCTION("""COMPUTED_VALUE"""),"""perfume Maldives"",")</f>
        <v>"perfume Maldives",</v>
      </c>
    </row>
    <row r="2377">
      <c r="A2377" s="8" t="str">
        <f>IFERROR(__xludf.DUMMYFUNCTION("""COMPUTED_VALUE"""),"""cosmetiques Maldives"",")</f>
        <v>"cosmetiques Maldives",</v>
      </c>
    </row>
    <row r="2378">
      <c r="A2378" s="8" t="str">
        <f>IFERROR(__xludf.DUMMYFUNCTION("""COMPUTED_VALUE"""),"""beauty routine Maldives"",")</f>
        <v>"beauty routine Maldives",</v>
      </c>
    </row>
    <row r="2379">
      <c r="A2379" s="8" t="str">
        <f>IFERROR(__xludf.DUMMYFUNCTION("""COMPUTED_VALUE"""),"""natural beauty Maldives"",")</f>
        <v>"natural beauty Maldives",</v>
      </c>
    </row>
    <row r="2380">
      <c r="A2380" s="8" t="str">
        <f>IFERROR(__xludf.DUMMYFUNCTION("""COMPUTED_VALUE"""),"""organic beauty Maldives"",")</f>
        <v>"organic beauty Maldives",</v>
      </c>
    </row>
    <row r="2381">
      <c r="A2381" s="8" t="str">
        <f>IFERROR(__xludf.DUMMYFUNCTION("""COMPUTED_VALUE"""),"""sustainable fashion Maldives"",")</f>
        <v>"sustainable fashion Maldives",</v>
      </c>
    </row>
    <row r="2382">
      <c r="A2382" s="8" t="str">
        <f>IFERROR(__xludf.DUMMYFUNCTION("""COMPUTED_VALUE"""),"""fashion hacks Maldives"",")</f>
        <v>"fashion hacks Maldives",</v>
      </c>
    </row>
    <row r="2383">
      <c r="A2383" s="8" t="str">
        <f>IFERROR(__xludf.DUMMYFUNCTION("""COMPUTED_VALUE"""),"""capsule wardrobe Maldives"",")</f>
        <v>"capsule wardrobe Maldives",</v>
      </c>
    </row>
    <row r="2384">
      <c r="A2384" s="8" t="str">
        <f>IFERROR(__xludf.DUMMYFUNCTION("""COMPUTED_VALUE"""),"""fashion trends Maldives"",")</f>
        <v>"fashion trends Maldives",</v>
      </c>
    </row>
    <row r="2385">
      <c r="A2385" s="8" t="str">
        <f>IFERROR(__xludf.DUMMYFUNCTION("""COMPUTED_VALUE"""),"""minimalist fashion Maldives"",")</f>
        <v>"minimalist fashion Maldives",</v>
      </c>
    </row>
    <row r="2386">
      <c r="A2386" s="8" t="str">
        <f>IFERROR(__xludf.DUMMYFUNCTION("""COMPUTED_VALUE"""),"""beauty hacks Maldives"",")</f>
        <v>"beauty hacks Maldives",</v>
      </c>
    </row>
    <row r="2387">
      <c r="A2387" s="8" t="str">
        <f>IFERROR(__xludf.DUMMYFUNCTION("""COMPUTED_VALUE"""),"""hair routines Maldives"",")</f>
        <v>"hair routines Maldives",</v>
      </c>
    </row>
    <row r="2388">
      <c r="A2388" s="8" t="str">
        <f>IFERROR(__xludf.DUMMYFUNCTION("""COMPUTED_VALUE"""),"""empties Maldives"",")</f>
        <v>"empties Maldives",</v>
      </c>
    </row>
    <row r="2389">
      <c r="A2389" s="8" t="str">
        <f>IFERROR(__xludf.DUMMYFUNCTION("""COMPUTED_VALUE"""),"""product reviews Maldives"",")</f>
        <v>"product reviews Maldives",</v>
      </c>
    </row>
    <row r="2390">
      <c r="A2390" s="8" t="str">
        <f>IFERROR(__xludf.DUMMYFUNCTION("""COMPUTED_VALUE"""),"""beauty reviews  Maldives"",")</f>
        <v>"beauty reviews  Maldives",</v>
      </c>
    </row>
    <row r="2391">
      <c r="A2391" s="8" t="str">
        <f>IFERROR(__xludf.DUMMYFUNCTION("""COMPUTED_VALUE"""),"""make-up artist Maldives"",")</f>
        <v>"make-up artist Maldives",</v>
      </c>
    </row>
    <row r="2392">
      <c r="A2392" s="8" t="str">
        <f>IFERROR(__xludf.DUMMYFUNCTION("""COMPUTED_VALUE"""),"""skincare journey Maldives"",")</f>
        <v>"skincare journey Maldives",</v>
      </c>
    </row>
    <row r="2393">
      <c r="A2393" s="8" t="str">
        <f>IFERROR(__xludf.DUMMYFUNCTION("""COMPUTED_VALUE"""),"""hair tutorial Maldives"",")</f>
        <v>"hair tutorial Maldives",</v>
      </c>
    </row>
    <row r="2394">
      <c r="A2394" s="8" t="str">
        <f>IFERROR(__xludf.DUMMYFUNCTION("""COMPUTED_VALUE"""),"""barbershop Maldives"",")</f>
        <v>"barbershop Maldives",</v>
      </c>
    </row>
    <row r="2395">
      <c r="A2395" s="8" t="str">
        <f>IFERROR(__xludf.DUMMYFUNCTION("""COMPUTED_VALUE"""),"""ootd Seychelles"",")</f>
        <v>"ootd Seychelles",</v>
      </c>
    </row>
    <row r="2396">
      <c r="A2396" s="8" t="str">
        <f>IFERROR(__xludf.DUMMYFUNCTION("""COMPUTED_VALUE"""),"""street style Seychelles"",")</f>
        <v>"street style Seychelles",</v>
      </c>
    </row>
    <row r="2397">
      <c r="A2397" s="8" t="str">
        <f>IFERROR(__xludf.DUMMYFUNCTION("""COMPUTED_VALUE"""),"""skincare Seychelles"",")</f>
        <v>"skincare Seychelles",</v>
      </c>
    </row>
    <row r="2398">
      <c r="A2398" s="8" t="str">
        <f>IFERROR(__xludf.DUMMYFUNCTION("""COMPUTED_VALUE"""),"""makeup Seychelles"",")</f>
        <v>"makeup Seychelles",</v>
      </c>
    </row>
    <row r="2399">
      <c r="A2399" s="8" t="str">
        <f>IFERROR(__xludf.DUMMYFUNCTION("""COMPUTED_VALUE"""),"""nails Seychelles"",")</f>
        <v>"nails Seychelles",</v>
      </c>
    </row>
    <row r="2400">
      <c r="A2400" s="8" t="str">
        <f>IFERROR(__xludf.DUMMYFUNCTION("""COMPUTED_VALUE"""),"""curly hair Seychelles"",")</f>
        <v>"curly hair Seychelles",</v>
      </c>
    </row>
    <row r="2401">
      <c r="A2401" s="8" t="str">
        <f>IFERROR(__xludf.DUMMYFUNCTION("""COMPUTED_VALUE"""),"""thrift Seychelles"",")</f>
        <v>"thrift Seychelles",</v>
      </c>
    </row>
    <row r="2402">
      <c r="A2402" s="8" t="str">
        <f>IFERROR(__xludf.DUMMYFUNCTION("""COMPUTED_VALUE"""),"""streetwear Seychelles"",")</f>
        <v>"streetwear Seychelles",</v>
      </c>
    </row>
    <row r="2403">
      <c r="A2403" s="8" t="str">
        <f>IFERROR(__xludf.DUMMYFUNCTION("""COMPUTED_VALUE"""),"""luxury Seychelles"",")</f>
        <v>"luxury Seychelles",</v>
      </c>
    </row>
    <row r="2404">
      <c r="A2404" s="8" t="str">
        <f>IFERROR(__xludf.DUMMYFUNCTION("""COMPUTED_VALUE"""),"""handbags Seychelles"",")</f>
        <v>"handbags Seychelles",</v>
      </c>
    </row>
    <row r="2405">
      <c r="A2405" s="8" t="str">
        <f>IFERROR(__xludf.DUMMYFUNCTION("""COMPUTED_VALUE"""),"""sneakers Seychelles"",")</f>
        <v>"sneakers Seychelles",</v>
      </c>
    </row>
    <row r="2406">
      <c r="A2406" s="8" t="str">
        <f>IFERROR(__xludf.DUMMYFUNCTION("""COMPUTED_VALUE"""),"""high heels Seychelles"",")</f>
        <v>"high heels Seychelles",</v>
      </c>
    </row>
    <row r="2407">
      <c r="A2407" s="8" t="str">
        <f>IFERROR(__xludf.DUMMYFUNCTION("""COMPUTED_VALUE"""),"""haute-couture Seychelles"",")</f>
        <v>"haute-couture Seychelles",</v>
      </c>
    </row>
    <row r="2408">
      <c r="A2408" s="8" t="str">
        <f>IFERROR(__xludf.DUMMYFUNCTION("""COMPUTED_VALUE"""),"""diyfashion Seychelles"",")</f>
        <v>"diyfashion Seychelles",</v>
      </c>
    </row>
    <row r="2409">
      <c r="A2409" s="8" t="str">
        <f>IFERROR(__xludf.DUMMYFUNCTION("""COMPUTED_VALUE"""),"""accessories Seychelles"",")</f>
        <v>"accessories Seychelles",</v>
      </c>
    </row>
    <row r="2410">
      <c r="A2410" s="8" t="str">
        <f>IFERROR(__xludf.DUMMYFUNCTION("""COMPUTED_VALUE"""),"""menswear Seychelles"",")</f>
        <v>"menswear Seychelles",</v>
      </c>
    </row>
    <row r="2411">
      <c r="A2411" s="8" t="str">
        <f>IFERROR(__xludf.DUMMYFUNCTION("""COMPUTED_VALUE"""),"""womenswear Seychelles"",")</f>
        <v>"womenswear Seychelles",</v>
      </c>
    </row>
    <row r="2412">
      <c r="A2412" s="8" t="str">
        <f>IFERROR(__xludf.DUMMYFUNCTION("""COMPUTED_VALUE"""),"""moda Seychelles"",")</f>
        <v>"moda Seychelles",</v>
      </c>
    </row>
    <row r="2413">
      <c r="A2413" s="8" t="str">
        <f>IFERROR(__xludf.DUMMYFUNCTION("""COMPUTED_VALUE"""),"""hairstyle Seychelles"",")</f>
        <v>"hairstyle Seychelles",</v>
      </c>
    </row>
    <row r="2414">
      <c r="A2414" s="8" t="str">
        <f>IFERROR(__xludf.DUMMYFUNCTION("""COMPUTED_VALUE"""),"""perfume Seychelles"",")</f>
        <v>"perfume Seychelles",</v>
      </c>
    </row>
    <row r="2415">
      <c r="A2415" s="8" t="str">
        <f>IFERROR(__xludf.DUMMYFUNCTION("""COMPUTED_VALUE"""),"""cosmetiques Seychelles"",")</f>
        <v>"cosmetiques Seychelles",</v>
      </c>
    </row>
    <row r="2416">
      <c r="A2416" s="8" t="str">
        <f>IFERROR(__xludf.DUMMYFUNCTION("""COMPUTED_VALUE"""),"""beauty routine Seychelles"",")</f>
        <v>"beauty routine Seychelles",</v>
      </c>
    </row>
    <row r="2417">
      <c r="A2417" s="8" t="str">
        <f>IFERROR(__xludf.DUMMYFUNCTION("""COMPUTED_VALUE"""),"""natural beauty Seychelles"",")</f>
        <v>"natural beauty Seychelles",</v>
      </c>
    </row>
    <row r="2418">
      <c r="A2418" s="8" t="str">
        <f>IFERROR(__xludf.DUMMYFUNCTION("""COMPUTED_VALUE"""),"""organic beauty Seychelles"",")</f>
        <v>"organic beauty Seychelles",</v>
      </c>
    </row>
    <row r="2419">
      <c r="A2419" s="8" t="str">
        <f>IFERROR(__xludf.DUMMYFUNCTION("""COMPUTED_VALUE"""),"""sustainable fashion Seychelles"",")</f>
        <v>"sustainable fashion Seychelles",</v>
      </c>
    </row>
    <row r="2420">
      <c r="A2420" s="8" t="str">
        <f>IFERROR(__xludf.DUMMYFUNCTION("""COMPUTED_VALUE"""),"""fashion hacks Seychelles"",")</f>
        <v>"fashion hacks Seychelles",</v>
      </c>
    </row>
    <row r="2421">
      <c r="A2421" s="8" t="str">
        <f>IFERROR(__xludf.DUMMYFUNCTION("""COMPUTED_VALUE"""),"""capsule wardrobe Seychelles"",")</f>
        <v>"capsule wardrobe Seychelles",</v>
      </c>
    </row>
    <row r="2422">
      <c r="A2422" s="8" t="str">
        <f>IFERROR(__xludf.DUMMYFUNCTION("""COMPUTED_VALUE"""),"""fashion trends Seychelles"",")</f>
        <v>"fashion trends Seychelles",</v>
      </c>
    </row>
    <row r="2423">
      <c r="A2423" s="8" t="str">
        <f>IFERROR(__xludf.DUMMYFUNCTION("""COMPUTED_VALUE"""),"""minimalist fashion Seychelles"",")</f>
        <v>"minimalist fashion Seychelles",</v>
      </c>
    </row>
    <row r="2424">
      <c r="A2424" s="8" t="str">
        <f>IFERROR(__xludf.DUMMYFUNCTION("""COMPUTED_VALUE"""),"""beauty hacks Seychelles"",")</f>
        <v>"beauty hacks Seychelles",</v>
      </c>
    </row>
    <row r="2425">
      <c r="A2425" s="8" t="str">
        <f>IFERROR(__xludf.DUMMYFUNCTION("""COMPUTED_VALUE"""),"""hair routines Seychelles"",")</f>
        <v>"hair routines Seychelles",</v>
      </c>
    </row>
    <row r="2426">
      <c r="A2426" s="8" t="str">
        <f>IFERROR(__xludf.DUMMYFUNCTION("""COMPUTED_VALUE"""),"""empties Seychelles"",")</f>
        <v>"empties Seychelles",</v>
      </c>
    </row>
    <row r="2427">
      <c r="A2427" s="8" t="str">
        <f>IFERROR(__xludf.DUMMYFUNCTION("""COMPUTED_VALUE"""),"""product reviews Seychelles"",")</f>
        <v>"product reviews Seychelles",</v>
      </c>
    </row>
    <row r="2428">
      <c r="A2428" s="8" t="str">
        <f>IFERROR(__xludf.DUMMYFUNCTION("""COMPUTED_VALUE"""),"""beauty reviews  Seychelles"",")</f>
        <v>"beauty reviews  Seychelles",</v>
      </c>
    </row>
    <row r="2429">
      <c r="A2429" s="8" t="str">
        <f>IFERROR(__xludf.DUMMYFUNCTION("""COMPUTED_VALUE"""),"""make-up artist Seychelles"",")</f>
        <v>"make-up artist Seychelles",</v>
      </c>
    </row>
    <row r="2430">
      <c r="A2430" s="8" t="str">
        <f>IFERROR(__xludf.DUMMYFUNCTION("""COMPUTED_VALUE"""),"""skincare journey Seychelles"",")</f>
        <v>"skincare journey Seychelles",</v>
      </c>
    </row>
    <row r="2431">
      <c r="A2431" s="8" t="str">
        <f>IFERROR(__xludf.DUMMYFUNCTION("""COMPUTED_VALUE"""),"""hair tutorial Seychelles"",")</f>
        <v>"hair tutorial Seychelles",</v>
      </c>
    </row>
    <row r="2432">
      <c r="A2432" s="8" t="str">
        <f>IFERROR(__xludf.DUMMYFUNCTION("""COMPUTED_VALUE"""),"""barbershop Seychelles"",")</f>
        <v>"barbershop Seychelles",</v>
      </c>
    </row>
    <row r="2433">
      <c r="A2433" s="8" t="str">
        <f>IFERROR(__xludf.DUMMYFUNCTION("""COMPUTED_VALUE"""),"""ootd Zanzibar"",")</f>
        <v>"ootd Zanzibar",</v>
      </c>
    </row>
    <row r="2434">
      <c r="A2434" s="8" t="str">
        <f>IFERROR(__xludf.DUMMYFUNCTION("""COMPUTED_VALUE"""),"""street style Zanzibar"",")</f>
        <v>"street style Zanzibar",</v>
      </c>
    </row>
    <row r="2435">
      <c r="A2435" s="8" t="str">
        <f>IFERROR(__xludf.DUMMYFUNCTION("""COMPUTED_VALUE"""),"""skincare Zanzibar"",")</f>
        <v>"skincare Zanzibar",</v>
      </c>
    </row>
    <row r="2436">
      <c r="A2436" s="8" t="str">
        <f>IFERROR(__xludf.DUMMYFUNCTION("""COMPUTED_VALUE"""),"""makeup Zanzibar"",")</f>
        <v>"makeup Zanzibar",</v>
      </c>
    </row>
    <row r="2437">
      <c r="A2437" s="8" t="str">
        <f>IFERROR(__xludf.DUMMYFUNCTION("""COMPUTED_VALUE"""),"""nails Zanzibar"",")</f>
        <v>"nails Zanzibar",</v>
      </c>
    </row>
    <row r="2438">
      <c r="A2438" s="8" t="str">
        <f>IFERROR(__xludf.DUMMYFUNCTION("""COMPUTED_VALUE"""),"""curly hair Zanzibar"",")</f>
        <v>"curly hair Zanzibar",</v>
      </c>
    </row>
    <row r="2439">
      <c r="A2439" s="8" t="str">
        <f>IFERROR(__xludf.DUMMYFUNCTION("""COMPUTED_VALUE"""),"""thrift Zanzibar"",")</f>
        <v>"thrift Zanzibar",</v>
      </c>
    </row>
    <row r="2440">
      <c r="A2440" s="8" t="str">
        <f>IFERROR(__xludf.DUMMYFUNCTION("""COMPUTED_VALUE"""),"""streetwear Zanzibar"",")</f>
        <v>"streetwear Zanzibar",</v>
      </c>
    </row>
    <row r="2441">
      <c r="A2441" s="8" t="str">
        <f>IFERROR(__xludf.DUMMYFUNCTION("""COMPUTED_VALUE"""),"""luxury Zanzibar"",")</f>
        <v>"luxury Zanzibar",</v>
      </c>
    </row>
    <row r="2442">
      <c r="A2442" s="8" t="str">
        <f>IFERROR(__xludf.DUMMYFUNCTION("""COMPUTED_VALUE"""),"""handbags Zanzibar"",")</f>
        <v>"handbags Zanzibar",</v>
      </c>
    </row>
    <row r="2443">
      <c r="A2443" s="8" t="str">
        <f>IFERROR(__xludf.DUMMYFUNCTION("""COMPUTED_VALUE"""),"""sneakers Zanzibar"",")</f>
        <v>"sneakers Zanzibar",</v>
      </c>
    </row>
    <row r="2444">
      <c r="A2444" s="8" t="str">
        <f>IFERROR(__xludf.DUMMYFUNCTION("""COMPUTED_VALUE"""),"""high heels Zanzibar"",")</f>
        <v>"high heels Zanzibar",</v>
      </c>
    </row>
    <row r="2445">
      <c r="A2445" s="8" t="str">
        <f>IFERROR(__xludf.DUMMYFUNCTION("""COMPUTED_VALUE"""),"""haute-couture Zanzibar"",")</f>
        <v>"haute-couture Zanzibar",</v>
      </c>
    </row>
    <row r="2446">
      <c r="A2446" s="8" t="str">
        <f>IFERROR(__xludf.DUMMYFUNCTION("""COMPUTED_VALUE"""),"""diyfashion Zanzibar"",")</f>
        <v>"diyfashion Zanzibar",</v>
      </c>
    </row>
    <row r="2447">
      <c r="A2447" s="8" t="str">
        <f>IFERROR(__xludf.DUMMYFUNCTION("""COMPUTED_VALUE"""),"""accessories Zanzibar"",")</f>
        <v>"accessories Zanzibar",</v>
      </c>
    </row>
    <row r="2448">
      <c r="A2448" s="8" t="str">
        <f>IFERROR(__xludf.DUMMYFUNCTION("""COMPUTED_VALUE"""),"""menswear Zanzibar"",")</f>
        <v>"menswear Zanzibar",</v>
      </c>
    </row>
    <row r="2449">
      <c r="A2449" s="8" t="str">
        <f>IFERROR(__xludf.DUMMYFUNCTION("""COMPUTED_VALUE"""),"""womenswear Zanzibar"",")</f>
        <v>"womenswear Zanzibar",</v>
      </c>
    </row>
    <row r="2450">
      <c r="A2450" s="8" t="str">
        <f>IFERROR(__xludf.DUMMYFUNCTION("""COMPUTED_VALUE"""),"""moda Zanzibar"",")</f>
        <v>"moda Zanzibar",</v>
      </c>
    </row>
    <row r="2451">
      <c r="A2451" s="8" t="str">
        <f>IFERROR(__xludf.DUMMYFUNCTION("""COMPUTED_VALUE"""),"""hairstyle Zanzibar"",")</f>
        <v>"hairstyle Zanzibar",</v>
      </c>
    </row>
    <row r="2452">
      <c r="A2452" s="8" t="str">
        <f>IFERROR(__xludf.DUMMYFUNCTION("""COMPUTED_VALUE"""),"""perfume Zanzibar"",")</f>
        <v>"perfume Zanzibar",</v>
      </c>
    </row>
    <row r="2453">
      <c r="A2453" s="8" t="str">
        <f>IFERROR(__xludf.DUMMYFUNCTION("""COMPUTED_VALUE"""),"""cosmetiques Zanzibar"",")</f>
        <v>"cosmetiques Zanzibar",</v>
      </c>
    </row>
    <row r="2454">
      <c r="A2454" s="8" t="str">
        <f>IFERROR(__xludf.DUMMYFUNCTION("""COMPUTED_VALUE"""),"""beauty routine Zanzibar"",")</f>
        <v>"beauty routine Zanzibar",</v>
      </c>
    </row>
    <row r="2455">
      <c r="A2455" s="8" t="str">
        <f>IFERROR(__xludf.DUMMYFUNCTION("""COMPUTED_VALUE"""),"""natural beauty Zanzibar"",")</f>
        <v>"natural beauty Zanzibar",</v>
      </c>
    </row>
    <row r="2456">
      <c r="A2456" s="8" t="str">
        <f>IFERROR(__xludf.DUMMYFUNCTION("""COMPUTED_VALUE"""),"""organic beauty Zanzibar"",")</f>
        <v>"organic beauty Zanzibar",</v>
      </c>
    </row>
    <row r="2457">
      <c r="A2457" s="8" t="str">
        <f>IFERROR(__xludf.DUMMYFUNCTION("""COMPUTED_VALUE"""),"""sustainable fashion Zanzibar"",")</f>
        <v>"sustainable fashion Zanzibar",</v>
      </c>
    </row>
    <row r="2458">
      <c r="A2458" s="8" t="str">
        <f>IFERROR(__xludf.DUMMYFUNCTION("""COMPUTED_VALUE"""),"""fashion hacks Zanzibar"",")</f>
        <v>"fashion hacks Zanzibar",</v>
      </c>
    </row>
    <row r="2459">
      <c r="A2459" s="8" t="str">
        <f>IFERROR(__xludf.DUMMYFUNCTION("""COMPUTED_VALUE"""),"""capsule wardrobe Zanzibar"",")</f>
        <v>"capsule wardrobe Zanzibar",</v>
      </c>
    </row>
    <row r="2460">
      <c r="A2460" s="8" t="str">
        <f>IFERROR(__xludf.DUMMYFUNCTION("""COMPUTED_VALUE"""),"""fashion trends Zanzibar"",")</f>
        <v>"fashion trends Zanzibar",</v>
      </c>
    </row>
    <row r="2461">
      <c r="A2461" s="8" t="str">
        <f>IFERROR(__xludf.DUMMYFUNCTION("""COMPUTED_VALUE"""),"""minimalist fashion Zanzibar"",")</f>
        <v>"minimalist fashion Zanzibar",</v>
      </c>
    </row>
    <row r="2462">
      <c r="A2462" s="8" t="str">
        <f>IFERROR(__xludf.DUMMYFUNCTION("""COMPUTED_VALUE"""),"""beauty hacks Zanzibar"",")</f>
        <v>"beauty hacks Zanzibar",</v>
      </c>
    </row>
    <row r="2463">
      <c r="A2463" s="8" t="str">
        <f>IFERROR(__xludf.DUMMYFUNCTION("""COMPUTED_VALUE"""),"""hair routines Zanzibar"",")</f>
        <v>"hair routines Zanzibar",</v>
      </c>
    </row>
    <row r="2464">
      <c r="A2464" s="8" t="str">
        <f>IFERROR(__xludf.DUMMYFUNCTION("""COMPUTED_VALUE"""),"""empties Zanzibar"",")</f>
        <v>"empties Zanzibar",</v>
      </c>
    </row>
    <row r="2465">
      <c r="A2465" s="8" t="str">
        <f>IFERROR(__xludf.DUMMYFUNCTION("""COMPUTED_VALUE"""),"""product reviews Zanzibar"",")</f>
        <v>"product reviews Zanzibar",</v>
      </c>
    </row>
    <row r="2466">
      <c r="A2466" s="8" t="str">
        <f>IFERROR(__xludf.DUMMYFUNCTION("""COMPUTED_VALUE"""),"""beauty reviews  Zanzibar"",")</f>
        <v>"beauty reviews  Zanzibar",</v>
      </c>
    </row>
    <row r="2467">
      <c r="A2467" s="8" t="str">
        <f>IFERROR(__xludf.DUMMYFUNCTION("""COMPUTED_VALUE"""),"""make-up artist Zanzibar"",")</f>
        <v>"make-up artist Zanzibar",</v>
      </c>
    </row>
    <row r="2468">
      <c r="A2468" s="8" t="str">
        <f>IFERROR(__xludf.DUMMYFUNCTION("""COMPUTED_VALUE"""),"""skincare journey Zanzibar"",")</f>
        <v>"skincare journey Zanzibar",</v>
      </c>
    </row>
    <row r="2469">
      <c r="A2469" s="8" t="str">
        <f>IFERROR(__xludf.DUMMYFUNCTION("""COMPUTED_VALUE"""),"""hair tutorial Zanzibar"",")</f>
        <v>"hair tutorial Zanzibar",</v>
      </c>
    </row>
    <row r="2470">
      <c r="A2470" s="8" t="str">
        <f>IFERROR(__xludf.DUMMYFUNCTION("""COMPUTED_VALUE"""),"""barbershop Zanzibar"",")</f>
        <v>"barbershop Zanzibar",</v>
      </c>
    </row>
    <row r="2471">
      <c r="A2471" s="8" t="str">
        <f>IFERROR(__xludf.DUMMYFUNCTION("""COMPUTED_VALUE"""),"""ootd Oahu"",")</f>
        <v>"ootd Oahu",</v>
      </c>
    </row>
    <row r="2472">
      <c r="A2472" s="8" t="str">
        <f>IFERROR(__xludf.DUMMYFUNCTION("""COMPUTED_VALUE"""),"""street style Oahu"",")</f>
        <v>"street style Oahu",</v>
      </c>
    </row>
    <row r="2473">
      <c r="A2473" s="8" t="str">
        <f>IFERROR(__xludf.DUMMYFUNCTION("""COMPUTED_VALUE"""),"""skincare Oahu"",")</f>
        <v>"skincare Oahu",</v>
      </c>
    </row>
    <row r="2474">
      <c r="A2474" s="8" t="str">
        <f>IFERROR(__xludf.DUMMYFUNCTION("""COMPUTED_VALUE"""),"""makeup Oahu"",")</f>
        <v>"makeup Oahu",</v>
      </c>
    </row>
    <row r="2475">
      <c r="A2475" s="8" t="str">
        <f>IFERROR(__xludf.DUMMYFUNCTION("""COMPUTED_VALUE"""),"""nails Oahu"",")</f>
        <v>"nails Oahu",</v>
      </c>
    </row>
    <row r="2476">
      <c r="A2476" s="8" t="str">
        <f>IFERROR(__xludf.DUMMYFUNCTION("""COMPUTED_VALUE"""),"""curly hair Oahu"",")</f>
        <v>"curly hair Oahu",</v>
      </c>
    </row>
    <row r="2477">
      <c r="A2477" s="8" t="str">
        <f>IFERROR(__xludf.DUMMYFUNCTION("""COMPUTED_VALUE"""),"""thrift Oahu"",")</f>
        <v>"thrift Oahu",</v>
      </c>
    </row>
    <row r="2478">
      <c r="A2478" s="8" t="str">
        <f>IFERROR(__xludf.DUMMYFUNCTION("""COMPUTED_VALUE"""),"""streetwear Oahu"",")</f>
        <v>"streetwear Oahu",</v>
      </c>
    </row>
    <row r="2479">
      <c r="A2479" s="8" t="str">
        <f>IFERROR(__xludf.DUMMYFUNCTION("""COMPUTED_VALUE"""),"""luxury Oahu"",")</f>
        <v>"luxury Oahu",</v>
      </c>
    </row>
    <row r="2480">
      <c r="A2480" s="8" t="str">
        <f>IFERROR(__xludf.DUMMYFUNCTION("""COMPUTED_VALUE"""),"""handbags Oahu"",")</f>
        <v>"handbags Oahu",</v>
      </c>
    </row>
    <row r="2481">
      <c r="A2481" s="8" t="str">
        <f>IFERROR(__xludf.DUMMYFUNCTION("""COMPUTED_VALUE"""),"""sneakers Oahu"",")</f>
        <v>"sneakers Oahu",</v>
      </c>
    </row>
    <row r="2482">
      <c r="A2482" s="8" t="str">
        <f>IFERROR(__xludf.DUMMYFUNCTION("""COMPUTED_VALUE"""),"""high heels Oahu"",")</f>
        <v>"high heels Oahu",</v>
      </c>
    </row>
    <row r="2483">
      <c r="A2483" s="8" t="str">
        <f>IFERROR(__xludf.DUMMYFUNCTION("""COMPUTED_VALUE"""),"""haute-couture Oahu"",")</f>
        <v>"haute-couture Oahu",</v>
      </c>
    </row>
    <row r="2484">
      <c r="A2484" s="8" t="str">
        <f>IFERROR(__xludf.DUMMYFUNCTION("""COMPUTED_VALUE"""),"""diyfashion Oahu"",")</f>
        <v>"diyfashion Oahu",</v>
      </c>
    </row>
    <row r="2485">
      <c r="A2485" s="8" t="str">
        <f>IFERROR(__xludf.DUMMYFUNCTION("""COMPUTED_VALUE"""),"""accessories Oahu"",")</f>
        <v>"accessories Oahu",</v>
      </c>
    </row>
    <row r="2486">
      <c r="A2486" s="8" t="str">
        <f>IFERROR(__xludf.DUMMYFUNCTION("""COMPUTED_VALUE"""),"""menswear Oahu"",")</f>
        <v>"menswear Oahu",</v>
      </c>
    </row>
    <row r="2487">
      <c r="A2487" s="8" t="str">
        <f>IFERROR(__xludf.DUMMYFUNCTION("""COMPUTED_VALUE"""),"""womenswear Oahu"",")</f>
        <v>"womenswear Oahu",</v>
      </c>
    </row>
    <row r="2488">
      <c r="A2488" s="8" t="str">
        <f>IFERROR(__xludf.DUMMYFUNCTION("""COMPUTED_VALUE"""),"""moda Oahu"",")</f>
        <v>"moda Oahu",</v>
      </c>
    </row>
    <row r="2489">
      <c r="A2489" s="8" t="str">
        <f>IFERROR(__xludf.DUMMYFUNCTION("""COMPUTED_VALUE"""),"""hairstyle Oahu"",")</f>
        <v>"hairstyle Oahu",</v>
      </c>
    </row>
    <row r="2490">
      <c r="A2490" s="8" t="str">
        <f>IFERROR(__xludf.DUMMYFUNCTION("""COMPUTED_VALUE"""),"""perfume Oahu"",")</f>
        <v>"perfume Oahu",</v>
      </c>
    </row>
    <row r="2491">
      <c r="A2491" s="8" t="str">
        <f>IFERROR(__xludf.DUMMYFUNCTION("""COMPUTED_VALUE"""),"""cosmetiques Oahu"",")</f>
        <v>"cosmetiques Oahu",</v>
      </c>
    </row>
    <row r="2492">
      <c r="A2492" s="8" t="str">
        <f>IFERROR(__xludf.DUMMYFUNCTION("""COMPUTED_VALUE"""),"""beauty routine Oahu"",")</f>
        <v>"beauty routine Oahu",</v>
      </c>
    </row>
    <row r="2493">
      <c r="A2493" s="8" t="str">
        <f>IFERROR(__xludf.DUMMYFUNCTION("""COMPUTED_VALUE"""),"""natural beauty Oahu"",")</f>
        <v>"natural beauty Oahu",</v>
      </c>
    </row>
    <row r="2494">
      <c r="A2494" s="8" t="str">
        <f>IFERROR(__xludf.DUMMYFUNCTION("""COMPUTED_VALUE"""),"""organic beauty Oahu"",")</f>
        <v>"organic beauty Oahu",</v>
      </c>
    </row>
    <row r="2495">
      <c r="A2495" s="8" t="str">
        <f>IFERROR(__xludf.DUMMYFUNCTION("""COMPUTED_VALUE"""),"""sustainable fashion Oahu"",")</f>
        <v>"sustainable fashion Oahu",</v>
      </c>
    </row>
    <row r="2496">
      <c r="A2496" s="8" t="str">
        <f>IFERROR(__xludf.DUMMYFUNCTION("""COMPUTED_VALUE"""),"""fashion hacks Oahu"",")</f>
        <v>"fashion hacks Oahu",</v>
      </c>
    </row>
    <row r="2497">
      <c r="A2497" s="8" t="str">
        <f>IFERROR(__xludf.DUMMYFUNCTION("""COMPUTED_VALUE"""),"""capsule wardrobe Oahu"",")</f>
        <v>"capsule wardrobe Oahu",</v>
      </c>
    </row>
    <row r="2498">
      <c r="A2498" s="8" t="str">
        <f>IFERROR(__xludf.DUMMYFUNCTION("""COMPUTED_VALUE"""),"""fashion trends Oahu"",")</f>
        <v>"fashion trends Oahu",</v>
      </c>
    </row>
    <row r="2499">
      <c r="A2499" s="8" t="str">
        <f>IFERROR(__xludf.DUMMYFUNCTION("""COMPUTED_VALUE"""),"""minimalist fashion Oahu"",")</f>
        <v>"minimalist fashion Oahu",</v>
      </c>
    </row>
    <row r="2500">
      <c r="A2500" s="8" t="str">
        <f>IFERROR(__xludf.DUMMYFUNCTION("""COMPUTED_VALUE"""),"""beauty hacks Oahu"",")</f>
        <v>"beauty hacks Oahu",</v>
      </c>
    </row>
    <row r="2501">
      <c r="A2501" s="8" t="str">
        <f>IFERROR(__xludf.DUMMYFUNCTION("""COMPUTED_VALUE"""),"""hair routines Oahu"",")</f>
        <v>"hair routines Oahu",</v>
      </c>
    </row>
    <row r="2502">
      <c r="A2502" s="8" t="str">
        <f>IFERROR(__xludf.DUMMYFUNCTION("""COMPUTED_VALUE"""),"""empties Oahu"",")</f>
        <v>"empties Oahu",</v>
      </c>
    </row>
    <row r="2503">
      <c r="A2503" s="8" t="str">
        <f>IFERROR(__xludf.DUMMYFUNCTION("""COMPUTED_VALUE"""),"""product reviews Oahu"",")</f>
        <v>"product reviews Oahu",</v>
      </c>
    </row>
    <row r="2504">
      <c r="A2504" s="8" t="str">
        <f>IFERROR(__xludf.DUMMYFUNCTION("""COMPUTED_VALUE"""),"""beauty reviews  Oahu"",")</f>
        <v>"beauty reviews  Oahu",</v>
      </c>
    </row>
    <row r="2505">
      <c r="A2505" s="8" t="str">
        <f>IFERROR(__xludf.DUMMYFUNCTION("""COMPUTED_VALUE"""),"""make-up artist Oahu"",")</f>
        <v>"make-up artist Oahu",</v>
      </c>
    </row>
    <row r="2506">
      <c r="A2506" s="8" t="str">
        <f>IFERROR(__xludf.DUMMYFUNCTION("""COMPUTED_VALUE"""),"""skincare journey Oahu"",")</f>
        <v>"skincare journey Oahu",</v>
      </c>
    </row>
    <row r="2507">
      <c r="A2507" s="8" t="str">
        <f>IFERROR(__xludf.DUMMYFUNCTION("""COMPUTED_VALUE"""),"""hair tutorial Oahu"",")</f>
        <v>"hair tutorial Oahu",</v>
      </c>
    </row>
    <row r="2508">
      <c r="A2508" s="8" t="str">
        <f>IFERROR(__xludf.DUMMYFUNCTION("""COMPUTED_VALUE"""),"""barbershop Oahu"",")</f>
        <v>"barbershop Oahu",</v>
      </c>
    </row>
    <row r="2509">
      <c r="A2509" s="8" t="str">
        <f>IFERROR(__xludf.DUMMYFUNCTION("""COMPUTED_VALUE"""),"""ootd Washington"",")</f>
        <v>"ootd Washington",</v>
      </c>
    </row>
    <row r="2510">
      <c r="A2510" s="8" t="str">
        <f>IFERROR(__xludf.DUMMYFUNCTION("""COMPUTED_VALUE"""),"""street style Washington"",")</f>
        <v>"street style Washington",</v>
      </c>
    </row>
    <row r="2511">
      <c r="A2511" s="8" t="str">
        <f>IFERROR(__xludf.DUMMYFUNCTION("""COMPUTED_VALUE"""),"""skincare Washington"",")</f>
        <v>"skincare Washington",</v>
      </c>
    </row>
    <row r="2512">
      <c r="A2512" s="8" t="str">
        <f>IFERROR(__xludf.DUMMYFUNCTION("""COMPUTED_VALUE"""),"""makeup Washington"",")</f>
        <v>"makeup Washington",</v>
      </c>
    </row>
    <row r="2513">
      <c r="A2513" s="8" t="str">
        <f>IFERROR(__xludf.DUMMYFUNCTION("""COMPUTED_VALUE"""),"""nails Washington"",")</f>
        <v>"nails Washington",</v>
      </c>
    </row>
    <row r="2514">
      <c r="A2514" s="8" t="str">
        <f>IFERROR(__xludf.DUMMYFUNCTION("""COMPUTED_VALUE"""),"""curly hair Washington"",")</f>
        <v>"curly hair Washington",</v>
      </c>
    </row>
    <row r="2515">
      <c r="A2515" s="8" t="str">
        <f>IFERROR(__xludf.DUMMYFUNCTION("""COMPUTED_VALUE"""),"""thrift Washington"",")</f>
        <v>"thrift Washington",</v>
      </c>
    </row>
    <row r="2516">
      <c r="A2516" s="8" t="str">
        <f>IFERROR(__xludf.DUMMYFUNCTION("""COMPUTED_VALUE"""),"""streetwear Washington"",")</f>
        <v>"streetwear Washington",</v>
      </c>
    </row>
    <row r="2517">
      <c r="A2517" s="8" t="str">
        <f>IFERROR(__xludf.DUMMYFUNCTION("""COMPUTED_VALUE"""),"""luxury Washington"",")</f>
        <v>"luxury Washington",</v>
      </c>
    </row>
    <row r="2518">
      <c r="A2518" s="8" t="str">
        <f>IFERROR(__xludf.DUMMYFUNCTION("""COMPUTED_VALUE"""),"""handbags Washington"",")</f>
        <v>"handbags Washington",</v>
      </c>
    </row>
    <row r="2519">
      <c r="A2519" s="8" t="str">
        <f>IFERROR(__xludf.DUMMYFUNCTION("""COMPUTED_VALUE"""),"""sneakers Washington"",")</f>
        <v>"sneakers Washington",</v>
      </c>
    </row>
    <row r="2520">
      <c r="A2520" s="8" t="str">
        <f>IFERROR(__xludf.DUMMYFUNCTION("""COMPUTED_VALUE"""),"""high heels Washington"",")</f>
        <v>"high heels Washington",</v>
      </c>
    </row>
    <row r="2521">
      <c r="A2521" s="8" t="str">
        <f>IFERROR(__xludf.DUMMYFUNCTION("""COMPUTED_VALUE"""),"""haute-couture Washington"",")</f>
        <v>"haute-couture Washington",</v>
      </c>
    </row>
    <row r="2522">
      <c r="A2522" s="8" t="str">
        <f>IFERROR(__xludf.DUMMYFUNCTION("""COMPUTED_VALUE"""),"""diyfashion Washington"",")</f>
        <v>"diyfashion Washington",</v>
      </c>
    </row>
    <row r="2523">
      <c r="A2523" s="8" t="str">
        <f>IFERROR(__xludf.DUMMYFUNCTION("""COMPUTED_VALUE"""),"""accessories Washington"",")</f>
        <v>"accessories Washington",</v>
      </c>
    </row>
    <row r="2524">
      <c r="A2524" s="8" t="str">
        <f>IFERROR(__xludf.DUMMYFUNCTION("""COMPUTED_VALUE"""),"""menswear Washington"",")</f>
        <v>"menswear Washington",</v>
      </c>
    </row>
    <row r="2525">
      <c r="A2525" s="8" t="str">
        <f>IFERROR(__xludf.DUMMYFUNCTION("""COMPUTED_VALUE"""),"""womenswear Washington"",")</f>
        <v>"womenswear Washington",</v>
      </c>
    </row>
    <row r="2526">
      <c r="A2526" s="8" t="str">
        <f>IFERROR(__xludf.DUMMYFUNCTION("""COMPUTED_VALUE"""),"""moda Washington"",")</f>
        <v>"moda Washington",</v>
      </c>
    </row>
    <row r="2527">
      <c r="A2527" s="8" t="str">
        <f>IFERROR(__xludf.DUMMYFUNCTION("""COMPUTED_VALUE"""),"""hairstyle Washington"",")</f>
        <v>"hairstyle Washington",</v>
      </c>
    </row>
    <row r="2528">
      <c r="A2528" s="8" t="str">
        <f>IFERROR(__xludf.DUMMYFUNCTION("""COMPUTED_VALUE"""),"""perfume Washington"",")</f>
        <v>"perfume Washington",</v>
      </c>
    </row>
    <row r="2529">
      <c r="A2529" s="8" t="str">
        <f>IFERROR(__xludf.DUMMYFUNCTION("""COMPUTED_VALUE"""),"""cosmetiques Washington"",")</f>
        <v>"cosmetiques Washington",</v>
      </c>
    </row>
    <row r="2530">
      <c r="A2530" s="8" t="str">
        <f>IFERROR(__xludf.DUMMYFUNCTION("""COMPUTED_VALUE"""),"""beauty routine Washington"",")</f>
        <v>"beauty routine Washington",</v>
      </c>
    </row>
    <row r="2531">
      <c r="A2531" s="8" t="str">
        <f>IFERROR(__xludf.DUMMYFUNCTION("""COMPUTED_VALUE"""),"""natural beauty Washington"",")</f>
        <v>"natural beauty Washington",</v>
      </c>
    </row>
    <row r="2532">
      <c r="A2532" s="8" t="str">
        <f>IFERROR(__xludf.DUMMYFUNCTION("""COMPUTED_VALUE"""),"""organic beauty Washington"",")</f>
        <v>"organic beauty Washington",</v>
      </c>
    </row>
    <row r="2533">
      <c r="A2533" s="8" t="str">
        <f>IFERROR(__xludf.DUMMYFUNCTION("""COMPUTED_VALUE"""),"""sustainable fashion Washington"",")</f>
        <v>"sustainable fashion Washington",</v>
      </c>
    </row>
    <row r="2534">
      <c r="A2534" s="8" t="str">
        <f>IFERROR(__xludf.DUMMYFUNCTION("""COMPUTED_VALUE"""),"""fashion hacks Washington"",")</f>
        <v>"fashion hacks Washington",</v>
      </c>
    </row>
    <row r="2535">
      <c r="A2535" s="8" t="str">
        <f>IFERROR(__xludf.DUMMYFUNCTION("""COMPUTED_VALUE"""),"""capsule wardrobe Washington"",")</f>
        <v>"capsule wardrobe Washington",</v>
      </c>
    </row>
    <row r="2536">
      <c r="A2536" s="8" t="str">
        <f>IFERROR(__xludf.DUMMYFUNCTION("""COMPUTED_VALUE"""),"""fashion trends Washington"",")</f>
        <v>"fashion trends Washington",</v>
      </c>
    </row>
    <row r="2537">
      <c r="A2537" s="8" t="str">
        <f>IFERROR(__xludf.DUMMYFUNCTION("""COMPUTED_VALUE"""),"""minimalist fashion Washington"",")</f>
        <v>"minimalist fashion Washington",</v>
      </c>
    </row>
    <row r="2538">
      <c r="A2538" s="8" t="str">
        <f>IFERROR(__xludf.DUMMYFUNCTION("""COMPUTED_VALUE"""),"""beauty hacks Washington"",")</f>
        <v>"beauty hacks Washington",</v>
      </c>
    </row>
    <row r="2539">
      <c r="A2539" s="8" t="str">
        <f>IFERROR(__xludf.DUMMYFUNCTION("""COMPUTED_VALUE"""),"""hair routines Washington"",")</f>
        <v>"hair routines Washington",</v>
      </c>
    </row>
    <row r="2540">
      <c r="A2540" s="9" t="str">
        <f>IFERROR(__xludf.DUMMYFUNCTION("""COMPUTED_VALUE"""),"""empties Washington"",")</f>
        <v>"empties Washington",</v>
      </c>
    </row>
    <row r="2541">
      <c r="A2541" s="8" t="str">
        <f>IFERROR(__xludf.DUMMYFUNCTION("""COMPUTED_VALUE"""),"""product reviews Washington"",")</f>
        <v>"product reviews Washington",</v>
      </c>
    </row>
    <row r="2542">
      <c r="A2542" s="8" t="str">
        <f>IFERROR(__xludf.DUMMYFUNCTION("""COMPUTED_VALUE"""),"""beauty reviews  Washington"",")</f>
        <v>"beauty reviews  Washington",</v>
      </c>
    </row>
    <row r="2543">
      <c r="A2543" s="8" t="str">
        <f>IFERROR(__xludf.DUMMYFUNCTION("""COMPUTED_VALUE"""),"""make-up artist Washington"",")</f>
        <v>"make-up artist Washington",</v>
      </c>
    </row>
    <row r="2544">
      <c r="A2544" s="8" t="str">
        <f>IFERROR(__xludf.DUMMYFUNCTION("""COMPUTED_VALUE"""),"""skincare journey Washington"",")</f>
        <v>"skincare journey Washington",</v>
      </c>
    </row>
    <row r="2545">
      <c r="A2545" s="8" t="str">
        <f>IFERROR(__xludf.DUMMYFUNCTION("""COMPUTED_VALUE"""),"""hair tutorial Washington"",")</f>
        <v>"hair tutorial Washington",</v>
      </c>
    </row>
    <row r="2546">
      <c r="A2546" s="8" t="str">
        <f>IFERROR(__xludf.DUMMYFUNCTION("""COMPUTED_VALUE"""),"""barbershop Washington"",")</f>
        <v>"barbershop Washington",</v>
      </c>
    </row>
    <row r="2547">
      <c r="A2547" s="8" t="str">
        <f>IFERROR(__xludf.DUMMYFUNCTION("""COMPUTED_VALUE"""),"""ootd Boston"",")</f>
        <v>"ootd Boston",</v>
      </c>
    </row>
    <row r="2548">
      <c r="A2548" s="8" t="str">
        <f>IFERROR(__xludf.DUMMYFUNCTION("""COMPUTED_VALUE"""),"""street style Boston"",")</f>
        <v>"street style Boston",</v>
      </c>
    </row>
    <row r="2549">
      <c r="A2549" s="8" t="str">
        <f>IFERROR(__xludf.DUMMYFUNCTION("""COMPUTED_VALUE"""),"""skincare Boston"",")</f>
        <v>"skincare Boston",</v>
      </c>
    </row>
    <row r="2550">
      <c r="A2550" s="8" t="str">
        <f>IFERROR(__xludf.DUMMYFUNCTION("""COMPUTED_VALUE"""),"""makeup Boston"",")</f>
        <v>"makeup Boston",</v>
      </c>
    </row>
    <row r="2551">
      <c r="A2551" s="8" t="str">
        <f>IFERROR(__xludf.DUMMYFUNCTION("""COMPUTED_VALUE"""),"""nails Boston"",")</f>
        <v>"nails Boston",</v>
      </c>
    </row>
    <row r="2552">
      <c r="A2552" s="8" t="str">
        <f>IFERROR(__xludf.DUMMYFUNCTION("""COMPUTED_VALUE"""),"""curly hair Boston"",")</f>
        <v>"curly hair Boston",</v>
      </c>
    </row>
    <row r="2553">
      <c r="A2553" s="8" t="str">
        <f>IFERROR(__xludf.DUMMYFUNCTION("""COMPUTED_VALUE"""),"""thrift Boston"",")</f>
        <v>"thrift Boston",</v>
      </c>
    </row>
    <row r="2554">
      <c r="A2554" s="8" t="str">
        <f>IFERROR(__xludf.DUMMYFUNCTION("""COMPUTED_VALUE"""),"""streetwear Boston"",")</f>
        <v>"streetwear Boston",</v>
      </c>
    </row>
    <row r="2555">
      <c r="A2555" s="8" t="str">
        <f>IFERROR(__xludf.DUMMYFUNCTION("""COMPUTED_VALUE"""),"""luxury Boston"",")</f>
        <v>"luxury Boston",</v>
      </c>
    </row>
    <row r="2556">
      <c r="A2556" s="8" t="str">
        <f>IFERROR(__xludf.DUMMYFUNCTION("""COMPUTED_VALUE"""),"""handbags Boston"",")</f>
        <v>"handbags Boston",</v>
      </c>
    </row>
    <row r="2557">
      <c r="A2557" s="8" t="str">
        <f>IFERROR(__xludf.DUMMYFUNCTION("""COMPUTED_VALUE"""),"""sneakers Boston"",")</f>
        <v>"sneakers Boston",</v>
      </c>
    </row>
    <row r="2558">
      <c r="A2558" s="8" t="str">
        <f>IFERROR(__xludf.DUMMYFUNCTION("""COMPUTED_VALUE"""),"""high heels Boston"",")</f>
        <v>"high heels Boston",</v>
      </c>
    </row>
    <row r="2559">
      <c r="A2559" s="8" t="str">
        <f>IFERROR(__xludf.DUMMYFUNCTION("""COMPUTED_VALUE"""),"""haute-couture Boston"",")</f>
        <v>"haute-couture Boston",</v>
      </c>
    </row>
    <row r="2560">
      <c r="A2560" s="8" t="str">
        <f>IFERROR(__xludf.DUMMYFUNCTION("""COMPUTED_VALUE"""),"""diyfashion Boston"",")</f>
        <v>"diyfashion Boston",</v>
      </c>
    </row>
    <row r="2561">
      <c r="A2561" s="8" t="str">
        <f>IFERROR(__xludf.DUMMYFUNCTION("""COMPUTED_VALUE"""),"""accessories Boston"",")</f>
        <v>"accessories Boston",</v>
      </c>
    </row>
    <row r="2562">
      <c r="A2562" s="8" t="str">
        <f>IFERROR(__xludf.DUMMYFUNCTION("""COMPUTED_VALUE"""),"""menswear Boston"",")</f>
        <v>"menswear Boston",</v>
      </c>
    </row>
    <row r="2563">
      <c r="A2563" s="8" t="str">
        <f>IFERROR(__xludf.DUMMYFUNCTION("""COMPUTED_VALUE"""),"""womenswear Boston"",")</f>
        <v>"womenswear Boston",</v>
      </c>
    </row>
    <row r="2564">
      <c r="A2564" s="8" t="str">
        <f>IFERROR(__xludf.DUMMYFUNCTION("""COMPUTED_VALUE"""),"""moda Boston"",")</f>
        <v>"moda Boston",</v>
      </c>
    </row>
    <row r="2565">
      <c r="A2565" s="8" t="str">
        <f>IFERROR(__xludf.DUMMYFUNCTION("""COMPUTED_VALUE"""),"""hairstyle Boston"",")</f>
        <v>"hairstyle Boston",</v>
      </c>
    </row>
    <row r="2566">
      <c r="A2566" s="8" t="str">
        <f>IFERROR(__xludf.DUMMYFUNCTION("""COMPUTED_VALUE"""),"""perfume Boston"",")</f>
        <v>"perfume Boston",</v>
      </c>
    </row>
    <row r="2567">
      <c r="A2567" s="8" t="str">
        <f>IFERROR(__xludf.DUMMYFUNCTION("""COMPUTED_VALUE"""),"""cosmetiques Boston"",")</f>
        <v>"cosmetiques Boston",</v>
      </c>
    </row>
    <row r="2568">
      <c r="A2568" s="8" t="str">
        <f>IFERROR(__xludf.DUMMYFUNCTION("""COMPUTED_VALUE"""),"""beauty routine Boston"",")</f>
        <v>"beauty routine Boston",</v>
      </c>
    </row>
    <row r="2569">
      <c r="A2569" s="8" t="str">
        <f>IFERROR(__xludf.DUMMYFUNCTION("""COMPUTED_VALUE"""),"""natural beauty Boston"",")</f>
        <v>"natural beauty Boston",</v>
      </c>
    </row>
    <row r="2570">
      <c r="A2570" s="8" t="str">
        <f>IFERROR(__xludf.DUMMYFUNCTION("""COMPUTED_VALUE"""),"""organic beauty Boston"",")</f>
        <v>"organic beauty Boston",</v>
      </c>
    </row>
    <row r="2571">
      <c r="A2571" s="8" t="str">
        <f>IFERROR(__xludf.DUMMYFUNCTION("""COMPUTED_VALUE"""),"""sustainable fashion Boston"",")</f>
        <v>"sustainable fashion Boston",</v>
      </c>
    </row>
    <row r="2572">
      <c r="A2572" s="8" t="str">
        <f>IFERROR(__xludf.DUMMYFUNCTION("""COMPUTED_VALUE"""),"""fashion hacks Boston"",")</f>
        <v>"fashion hacks Boston",</v>
      </c>
    </row>
    <row r="2573">
      <c r="A2573" s="8" t="str">
        <f>IFERROR(__xludf.DUMMYFUNCTION("""COMPUTED_VALUE"""),"""capsule wardrobe Boston"",")</f>
        <v>"capsule wardrobe Boston",</v>
      </c>
    </row>
    <row r="2574">
      <c r="A2574" s="8" t="str">
        <f>IFERROR(__xludf.DUMMYFUNCTION("""COMPUTED_VALUE"""),"""fashion trends Boston"",")</f>
        <v>"fashion trends Boston",</v>
      </c>
    </row>
    <row r="2575">
      <c r="A2575" s="8" t="str">
        <f>IFERROR(__xludf.DUMMYFUNCTION("""COMPUTED_VALUE"""),"""minimalist fashion Boston"",")</f>
        <v>"minimalist fashion Boston",</v>
      </c>
    </row>
    <row r="2576">
      <c r="A2576" s="8" t="str">
        <f>IFERROR(__xludf.DUMMYFUNCTION("""COMPUTED_VALUE"""),"""beauty hacks Boston"",")</f>
        <v>"beauty hacks Boston",</v>
      </c>
    </row>
    <row r="2577">
      <c r="A2577" s="8" t="str">
        <f>IFERROR(__xludf.DUMMYFUNCTION("""COMPUTED_VALUE"""),"""hair routines Boston"",")</f>
        <v>"hair routines Boston",</v>
      </c>
    </row>
    <row r="2578">
      <c r="A2578" s="8" t="str">
        <f>IFERROR(__xludf.DUMMYFUNCTION("""COMPUTED_VALUE"""),"""empties Boston"",")</f>
        <v>"empties Boston",</v>
      </c>
    </row>
    <row r="2579">
      <c r="A2579" s="8" t="str">
        <f>IFERROR(__xludf.DUMMYFUNCTION("""COMPUTED_VALUE"""),"""product reviews Boston"",")</f>
        <v>"product reviews Boston",</v>
      </c>
    </row>
    <row r="2580">
      <c r="A2580" s="8" t="str">
        <f>IFERROR(__xludf.DUMMYFUNCTION("""COMPUTED_VALUE"""),"""beauty reviews  Boston"",")</f>
        <v>"beauty reviews  Boston",</v>
      </c>
    </row>
    <row r="2581">
      <c r="A2581" s="8" t="str">
        <f>IFERROR(__xludf.DUMMYFUNCTION("""COMPUTED_VALUE"""),"""make-up artist Boston"",")</f>
        <v>"make-up artist Boston",</v>
      </c>
    </row>
    <row r="2582">
      <c r="A2582" s="8" t="str">
        <f>IFERROR(__xludf.DUMMYFUNCTION("""COMPUTED_VALUE"""),"""skincare journey Boston"",")</f>
        <v>"skincare journey Boston",</v>
      </c>
    </row>
    <row r="2583">
      <c r="A2583" s="8" t="str">
        <f>IFERROR(__xludf.DUMMYFUNCTION("""COMPUTED_VALUE"""),"""hair tutorial Boston"",")</f>
        <v>"hair tutorial Boston",</v>
      </c>
    </row>
    <row r="2584">
      <c r="A2584" s="8" t="str">
        <f>IFERROR(__xludf.DUMMYFUNCTION("""COMPUTED_VALUE"""),"""barbershop Boston"",")</f>
        <v>"barbershop Boston",</v>
      </c>
    </row>
    <row r="2585">
      <c r="A2585" s="8" t="str">
        <f>IFERROR(__xludf.DUMMYFUNCTION("""COMPUTED_VALUE"""),"""ootd Philadelphia"",")</f>
        <v>"ootd Philadelphia",</v>
      </c>
    </row>
    <row r="2586">
      <c r="A2586" s="8" t="str">
        <f>IFERROR(__xludf.DUMMYFUNCTION("""COMPUTED_VALUE"""),"""street style Philadelphia"",")</f>
        <v>"street style Philadelphia",</v>
      </c>
    </row>
    <row r="2587">
      <c r="A2587" s="8" t="str">
        <f>IFERROR(__xludf.DUMMYFUNCTION("""COMPUTED_VALUE"""),"""skincare Philadelphia"",")</f>
        <v>"skincare Philadelphia",</v>
      </c>
    </row>
    <row r="2588">
      <c r="A2588" s="8" t="str">
        <f>IFERROR(__xludf.DUMMYFUNCTION("""COMPUTED_VALUE"""),"""makeup Philadelphia"",")</f>
        <v>"makeup Philadelphia",</v>
      </c>
    </row>
    <row r="2589">
      <c r="A2589" s="8" t="str">
        <f>IFERROR(__xludf.DUMMYFUNCTION("""COMPUTED_VALUE"""),"""nails Philadelphia"",")</f>
        <v>"nails Philadelphia",</v>
      </c>
    </row>
    <row r="2590">
      <c r="A2590" s="8" t="str">
        <f>IFERROR(__xludf.DUMMYFUNCTION("""COMPUTED_VALUE"""),"""curly hair Philadelphia"",")</f>
        <v>"curly hair Philadelphia",</v>
      </c>
    </row>
    <row r="2591">
      <c r="A2591" s="8" t="str">
        <f>IFERROR(__xludf.DUMMYFUNCTION("""COMPUTED_VALUE"""),"""thrift Philadelphia"",")</f>
        <v>"thrift Philadelphia",</v>
      </c>
    </row>
    <row r="2592">
      <c r="A2592" s="8" t="str">
        <f>IFERROR(__xludf.DUMMYFUNCTION("""COMPUTED_VALUE"""),"""streetwear Philadelphia"",")</f>
        <v>"streetwear Philadelphia",</v>
      </c>
    </row>
    <row r="2593">
      <c r="A2593" s="8" t="str">
        <f>IFERROR(__xludf.DUMMYFUNCTION("""COMPUTED_VALUE"""),"""luxury Philadelphia"",")</f>
        <v>"luxury Philadelphia",</v>
      </c>
    </row>
    <row r="2594">
      <c r="A2594" s="8" t="str">
        <f>IFERROR(__xludf.DUMMYFUNCTION("""COMPUTED_VALUE"""),"""handbags Philadelphia"",")</f>
        <v>"handbags Philadelphia",</v>
      </c>
    </row>
    <row r="2595">
      <c r="A2595" s="8" t="str">
        <f>IFERROR(__xludf.DUMMYFUNCTION("""COMPUTED_VALUE"""),"""sneakers Philadelphia"",")</f>
        <v>"sneakers Philadelphia",</v>
      </c>
    </row>
    <row r="2596">
      <c r="A2596" s="8" t="str">
        <f>IFERROR(__xludf.DUMMYFUNCTION("""COMPUTED_VALUE"""),"""high heels Philadelphia"",")</f>
        <v>"high heels Philadelphia",</v>
      </c>
    </row>
    <row r="2597">
      <c r="A2597" s="8" t="str">
        <f>IFERROR(__xludf.DUMMYFUNCTION("""COMPUTED_VALUE"""),"""haute-couture Philadelphia"",")</f>
        <v>"haute-couture Philadelphia",</v>
      </c>
    </row>
    <row r="2598">
      <c r="A2598" s="8" t="str">
        <f>IFERROR(__xludf.DUMMYFUNCTION("""COMPUTED_VALUE"""),"""diyfashion Philadelphia"",")</f>
        <v>"diyfashion Philadelphia",</v>
      </c>
    </row>
    <row r="2599">
      <c r="A2599" s="8" t="str">
        <f>IFERROR(__xludf.DUMMYFUNCTION("""COMPUTED_VALUE"""),"""accessories Philadelphia"",")</f>
        <v>"accessories Philadelphia",</v>
      </c>
    </row>
    <row r="2600">
      <c r="A2600" s="8" t="str">
        <f>IFERROR(__xludf.DUMMYFUNCTION("""COMPUTED_VALUE"""),"""menswear Philadelphia"",")</f>
        <v>"menswear Philadelphia",</v>
      </c>
    </row>
    <row r="2601">
      <c r="A2601" s="8" t="str">
        <f>IFERROR(__xludf.DUMMYFUNCTION("""COMPUTED_VALUE"""),"""womenswear Philadelphia"",")</f>
        <v>"womenswear Philadelphia",</v>
      </c>
    </row>
    <row r="2602">
      <c r="A2602" s="8" t="str">
        <f>IFERROR(__xludf.DUMMYFUNCTION("""COMPUTED_VALUE"""),"""moda Philadelphia"",")</f>
        <v>"moda Philadelphia",</v>
      </c>
    </row>
    <row r="2603">
      <c r="A2603" s="8" t="str">
        <f>IFERROR(__xludf.DUMMYFUNCTION("""COMPUTED_VALUE"""),"""hairstyle Philadelphia"",")</f>
        <v>"hairstyle Philadelphia",</v>
      </c>
    </row>
    <row r="2604">
      <c r="A2604" s="8" t="str">
        <f>IFERROR(__xludf.DUMMYFUNCTION("""COMPUTED_VALUE"""),"""perfume Philadelphia"",")</f>
        <v>"perfume Philadelphia",</v>
      </c>
    </row>
    <row r="2605">
      <c r="A2605" s="8" t="str">
        <f>IFERROR(__xludf.DUMMYFUNCTION("""COMPUTED_VALUE"""),"""cosmetiques Philadelphia"",")</f>
        <v>"cosmetiques Philadelphia",</v>
      </c>
    </row>
    <row r="2606">
      <c r="A2606" s="8" t="str">
        <f>IFERROR(__xludf.DUMMYFUNCTION("""COMPUTED_VALUE"""),"""beauty routine Philadelphia"",")</f>
        <v>"beauty routine Philadelphia",</v>
      </c>
    </row>
    <row r="2607">
      <c r="A2607" s="8" t="str">
        <f>IFERROR(__xludf.DUMMYFUNCTION("""COMPUTED_VALUE"""),"""natural beauty Philadelphia"",")</f>
        <v>"natural beauty Philadelphia",</v>
      </c>
    </row>
    <row r="2608">
      <c r="A2608" s="8" t="str">
        <f>IFERROR(__xludf.DUMMYFUNCTION("""COMPUTED_VALUE"""),"""organic beauty Philadelphia"",")</f>
        <v>"organic beauty Philadelphia",</v>
      </c>
    </row>
    <row r="2609">
      <c r="A2609" s="8" t="str">
        <f>IFERROR(__xludf.DUMMYFUNCTION("""COMPUTED_VALUE"""),"""sustainable fashion Philadelphia"",")</f>
        <v>"sustainable fashion Philadelphia",</v>
      </c>
    </row>
    <row r="2610">
      <c r="A2610" s="8" t="str">
        <f>IFERROR(__xludf.DUMMYFUNCTION("""COMPUTED_VALUE"""),"""fashion hacks Philadelphia"",")</f>
        <v>"fashion hacks Philadelphia",</v>
      </c>
    </row>
    <row r="2611">
      <c r="A2611" s="8" t="str">
        <f>IFERROR(__xludf.DUMMYFUNCTION("""COMPUTED_VALUE"""),"""capsule wardrobe Philadelphia"",")</f>
        <v>"capsule wardrobe Philadelphia",</v>
      </c>
    </row>
    <row r="2612">
      <c r="A2612" s="8" t="str">
        <f>IFERROR(__xludf.DUMMYFUNCTION("""COMPUTED_VALUE"""),"""fashion trends Philadelphia"",")</f>
        <v>"fashion trends Philadelphia",</v>
      </c>
    </row>
    <row r="2613">
      <c r="A2613" s="8" t="str">
        <f>IFERROR(__xludf.DUMMYFUNCTION("""COMPUTED_VALUE"""),"""minimalist fashion Philadelphia"",")</f>
        <v>"minimalist fashion Philadelphia",</v>
      </c>
    </row>
    <row r="2614">
      <c r="A2614" s="8" t="str">
        <f>IFERROR(__xludf.DUMMYFUNCTION("""COMPUTED_VALUE"""),"""beauty hacks Philadelphia"",")</f>
        <v>"beauty hacks Philadelphia",</v>
      </c>
    </row>
    <row r="2615">
      <c r="A2615" s="8" t="str">
        <f>IFERROR(__xludf.DUMMYFUNCTION("""COMPUTED_VALUE"""),"""hair routines Philadelphia"",")</f>
        <v>"hair routines Philadelphia",</v>
      </c>
    </row>
    <row r="2616">
      <c r="A2616" s="8" t="str">
        <f>IFERROR(__xludf.DUMMYFUNCTION("""COMPUTED_VALUE"""),"""empties Philadelphia"",")</f>
        <v>"empties Philadelphia",</v>
      </c>
    </row>
    <row r="2617">
      <c r="A2617" s="8" t="str">
        <f>IFERROR(__xludf.DUMMYFUNCTION("""COMPUTED_VALUE"""),"""product reviews Philadelphia"",")</f>
        <v>"product reviews Philadelphia",</v>
      </c>
    </row>
    <row r="2618">
      <c r="A2618" s="8" t="str">
        <f>IFERROR(__xludf.DUMMYFUNCTION("""COMPUTED_VALUE"""),"""beauty reviews  Philadelphia"",")</f>
        <v>"beauty reviews  Philadelphia",</v>
      </c>
    </row>
    <row r="2619">
      <c r="A2619" s="8" t="str">
        <f>IFERROR(__xludf.DUMMYFUNCTION("""COMPUTED_VALUE"""),"""make-up artist Philadelphia"",")</f>
        <v>"make-up artist Philadelphia",</v>
      </c>
    </row>
    <row r="2620">
      <c r="A2620" s="8" t="str">
        <f>IFERROR(__xludf.DUMMYFUNCTION("""COMPUTED_VALUE"""),"""skincare journey Philadelphia"",")</f>
        <v>"skincare journey Philadelphia",</v>
      </c>
    </row>
    <row r="2621">
      <c r="A2621" s="8" t="str">
        <f>IFERROR(__xludf.DUMMYFUNCTION("""COMPUTED_VALUE"""),"""hair tutorial Philadelphia"",")</f>
        <v>"hair tutorial Philadelphia",</v>
      </c>
    </row>
    <row r="2622">
      <c r="A2622" s="8" t="str">
        <f>IFERROR(__xludf.DUMMYFUNCTION("""COMPUTED_VALUE"""),"""barbershop Philadelphia"",")</f>
        <v>"barbershop Philadelphia",</v>
      </c>
    </row>
    <row r="2623">
      <c r="A2623" s="8" t="str">
        <f>IFERROR(__xludf.DUMMYFUNCTION("""COMPUTED_VALUE"""),"""ootd Atlanta"",")</f>
        <v>"ootd Atlanta",</v>
      </c>
    </row>
    <row r="2624">
      <c r="A2624" s="8" t="str">
        <f>IFERROR(__xludf.DUMMYFUNCTION("""COMPUTED_VALUE"""),"""street style Atlanta"",")</f>
        <v>"street style Atlanta",</v>
      </c>
    </row>
    <row r="2625">
      <c r="A2625" s="8" t="str">
        <f>IFERROR(__xludf.DUMMYFUNCTION("""COMPUTED_VALUE"""),"""skincare Atlanta"",")</f>
        <v>"skincare Atlanta",</v>
      </c>
    </row>
    <row r="2626">
      <c r="A2626" s="8" t="str">
        <f>IFERROR(__xludf.DUMMYFUNCTION("""COMPUTED_VALUE"""),"""makeup Atlanta"",")</f>
        <v>"makeup Atlanta",</v>
      </c>
    </row>
    <row r="2627">
      <c r="A2627" s="8" t="str">
        <f>IFERROR(__xludf.DUMMYFUNCTION("""COMPUTED_VALUE"""),"""nails Atlanta"",")</f>
        <v>"nails Atlanta",</v>
      </c>
    </row>
    <row r="2628">
      <c r="A2628" s="8" t="str">
        <f>IFERROR(__xludf.DUMMYFUNCTION("""COMPUTED_VALUE"""),"""curly hair Atlanta"",")</f>
        <v>"curly hair Atlanta",</v>
      </c>
    </row>
    <row r="2629">
      <c r="A2629" s="8" t="str">
        <f>IFERROR(__xludf.DUMMYFUNCTION("""COMPUTED_VALUE"""),"""thrift Atlanta"",")</f>
        <v>"thrift Atlanta",</v>
      </c>
    </row>
    <row r="2630">
      <c r="A2630" s="8" t="str">
        <f>IFERROR(__xludf.DUMMYFUNCTION("""COMPUTED_VALUE"""),"""streetwear Atlanta"",")</f>
        <v>"streetwear Atlanta",</v>
      </c>
    </row>
    <row r="2631">
      <c r="A2631" s="8" t="str">
        <f>IFERROR(__xludf.DUMMYFUNCTION("""COMPUTED_VALUE"""),"""luxury Atlanta"",")</f>
        <v>"luxury Atlanta",</v>
      </c>
    </row>
    <row r="2632">
      <c r="A2632" s="8" t="str">
        <f>IFERROR(__xludf.DUMMYFUNCTION("""COMPUTED_VALUE"""),"""handbags Atlanta"",")</f>
        <v>"handbags Atlanta",</v>
      </c>
    </row>
    <row r="2633">
      <c r="A2633" s="8" t="str">
        <f>IFERROR(__xludf.DUMMYFUNCTION("""COMPUTED_VALUE"""),"""sneakers Atlanta"",")</f>
        <v>"sneakers Atlanta",</v>
      </c>
    </row>
    <row r="2634">
      <c r="A2634" s="8" t="str">
        <f>IFERROR(__xludf.DUMMYFUNCTION("""COMPUTED_VALUE"""),"""high heels Atlanta"",")</f>
        <v>"high heels Atlanta",</v>
      </c>
    </row>
    <row r="2635">
      <c r="A2635" s="8" t="str">
        <f>IFERROR(__xludf.DUMMYFUNCTION("""COMPUTED_VALUE"""),"""haute-couture Atlanta"",")</f>
        <v>"haute-couture Atlanta",</v>
      </c>
    </row>
    <row r="2636">
      <c r="A2636" s="8" t="str">
        <f>IFERROR(__xludf.DUMMYFUNCTION("""COMPUTED_VALUE"""),"""diyfashion Atlanta"",")</f>
        <v>"diyfashion Atlanta",</v>
      </c>
    </row>
    <row r="2637">
      <c r="A2637" s="8" t="str">
        <f>IFERROR(__xludf.DUMMYFUNCTION("""COMPUTED_VALUE"""),"""accessories Atlanta"",")</f>
        <v>"accessories Atlanta",</v>
      </c>
    </row>
    <row r="2638">
      <c r="A2638" s="8" t="str">
        <f>IFERROR(__xludf.DUMMYFUNCTION("""COMPUTED_VALUE"""),"""menswear Atlanta"",")</f>
        <v>"menswear Atlanta",</v>
      </c>
    </row>
    <row r="2639">
      <c r="A2639" s="8" t="str">
        <f>IFERROR(__xludf.DUMMYFUNCTION("""COMPUTED_VALUE"""),"""womenswear Atlanta"",")</f>
        <v>"womenswear Atlanta",</v>
      </c>
    </row>
    <row r="2640">
      <c r="A2640" s="8" t="str">
        <f>IFERROR(__xludf.DUMMYFUNCTION("""COMPUTED_VALUE"""),"""moda Atlanta"",")</f>
        <v>"moda Atlanta",</v>
      </c>
    </row>
    <row r="2641">
      <c r="A2641" s="8" t="str">
        <f>IFERROR(__xludf.DUMMYFUNCTION("""COMPUTED_VALUE"""),"""hairstyle Atlanta"",")</f>
        <v>"hairstyle Atlanta",</v>
      </c>
    </row>
    <row r="2642">
      <c r="A2642" s="8" t="str">
        <f>IFERROR(__xludf.DUMMYFUNCTION("""COMPUTED_VALUE"""),"""perfume Atlanta"",")</f>
        <v>"perfume Atlanta",</v>
      </c>
    </row>
    <row r="2643">
      <c r="A2643" s="8" t="str">
        <f>IFERROR(__xludf.DUMMYFUNCTION("""COMPUTED_VALUE"""),"""cosmetiques Atlanta"",")</f>
        <v>"cosmetiques Atlanta",</v>
      </c>
    </row>
    <row r="2644">
      <c r="A2644" s="8" t="str">
        <f>IFERROR(__xludf.DUMMYFUNCTION("""COMPUTED_VALUE"""),"""beauty routine Atlanta"",")</f>
        <v>"beauty routine Atlanta",</v>
      </c>
    </row>
    <row r="2645">
      <c r="A2645" s="8" t="str">
        <f>IFERROR(__xludf.DUMMYFUNCTION("""COMPUTED_VALUE"""),"""natural beauty Atlanta"",")</f>
        <v>"natural beauty Atlanta",</v>
      </c>
    </row>
    <row r="2646">
      <c r="A2646" s="8" t="str">
        <f>IFERROR(__xludf.DUMMYFUNCTION("""COMPUTED_VALUE"""),"""organic beauty Atlanta"",")</f>
        <v>"organic beauty Atlanta",</v>
      </c>
    </row>
    <row r="2647">
      <c r="A2647" s="8" t="str">
        <f>IFERROR(__xludf.DUMMYFUNCTION("""COMPUTED_VALUE"""),"""sustainable fashion Atlanta"",")</f>
        <v>"sustainable fashion Atlanta",</v>
      </c>
    </row>
    <row r="2648">
      <c r="A2648" s="8" t="str">
        <f>IFERROR(__xludf.DUMMYFUNCTION("""COMPUTED_VALUE"""),"""fashion hacks Atlanta"",")</f>
        <v>"fashion hacks Atlanta",</v>
      </c>
    </row>
    <row r="2649">
      <c r="A2649" s="8" t="str">
        <f>IFERROR(__xludf.DUMMYFUNCTION("""COMPUTED_VALUE"""),"""capsule wardrobe Atlanta"",")</f>
        <v>"capsule wardrobe Atlanta",</v>
      </c>
    </row>
    <row r="2650">
      <c r="A2650" s="8" t="str">
        <f>IFERROR(__xludf.DUMMYFUNCTION("""COMPUTED_VALUE"""),"""fashion trends Atlanta"",")</f>
        <v>"fashion trends Atlanta",</v>
      </c>
    </row>
    <row r="2651">
      <c r="A2651" s="8" t="str">
        <f>IFERROR(__xludf.DUMMYFUNCTION("""COMPUTED_VALUE"""),"""minimalist fashion Atlanta"",")</f>
        <v>"minimalist fashion Atlanta",</v>
      </c>
    </row>
    <row r="2652">
      <c r="A2652" s="8" t="str">
        <f>IFERROR(__xludf.DUMMYFUNCTION("""COMPUTED_VALUE"""),"""beauty hacks Atlanta"",")</f>
        <v>"beauty hacks Atlanta",</v>
      </c>
    </row>
    <row r="2653">
      <c r="A2653" s="8" t="str">
        <f>IFERROR(__xludf.DUMMYFUNCTION("""COMPUTED_VALUE"""),"""hair routines Atlanta"",")</f>
        <v>"hair routines Atlanta",</v>
      </c>
    </row>
    <row r="2654">
      <c r="A2654" s="8" t="str">
        <f>IFERROR(__xludf.DUMMYFUNCTION("""COMPUTED_VALUE"""),"""empties Atlanta"",")</f>
        <v>"empties Atlanta",</v>
      </c>
    </row>
    <row r="2655">
      <c r="A2655" s="8" t="str">
        <f>IFERROR(__xludf.DUMMYFUNCTION("""COMPUTED_VALUE"""),"""product reviews Atlanta"",")</f>
        <v>"product reviews Atlanta",</v>
      </c>
    </row>
    <row r="2656">
      <c r="A2656" s="8" t="str">
        <f>IFERROR(__xludf.DUMMYFUNCTION("""COMPUTED_VALUE"""),"""beauty reviews  Atlanta"",")</f>
        <v>"beauty reviews  Atlanta",</v>
      </c>
    </row>
    <row r="2657">
      <c r="A2657" s="8" t="str">
        <f>IFERROR(__xludf.DUMMYFUNCTION("""COMPUTED_VALUE"""),"""make-up artist Atlanta"",")</f>
        <v>"make-up artist Atlanta",</v>
      </c>
    </row>
    <row r="2658">
      <c r="A2658" s="8" t="str">
        <f>IFERROR(__xludf.DUMMYFUNCTION("""COMPUTED_VALUE"""),"""skincare journey Atlanta"",")</f>
        <v>"skincare journey Atlanta",</v>
      </c>
    </row>
    <row r="2659">
      <c r="A2659" s="8" t="str">
        <f>IFERROR(__xludf.DUMMYFUNCTION("""COMPUTED_VALUE"""),"""hair tutorial Atlanta"",")</f>
        <v>"hair tutorial Atlanta",</v>
      </c>
    </row>
    <row r="2660">
      <c r="A2660" s="8" t="str">
        <f>IFERROR(__xludf.DUMMYFUNCTION("""COMPUTED_VALUE"""),"""barbershop Atlanta"",")</f>
        <v>"barbershop Atlanta",</v>
      </c>
    </row>
    <row r="2661">
      <c r="A2661" s="8" t="str">
        <f>IFERROR(__xludf.DUMMYFUNCTION("""COMPUTED_VALUE"""),"""ootd Houston"",")</f>
        <v>"ootd Houston",</v>
      </c>
    </row>
    <row r="2662">
      <c r="A2662" s="8" t="str">
        <f>IFERROR(__xludf.DUMMYFUNCTION("""COMPUTED_VALUE"""),"""street style Houston"",")</f>
        <v>"street style Houston",</v>
      </c>
    </row>
    <row r="2663">
      <c r="A2663" s="8" t="str">
        <f>IFERROR(__xludf.DUMMYFUNCTION("""COMPUTED_VALUE"""),"""skincare Houston"",")</f>
        <v>"skincare Houston",</v>
      </c>
    </row>
    <row r="2664">
      <c r="A2664" s="8" t="str">
        <f>IFERROR(__xludf.DUMMYFUNCTION("""COMPUTED_VALUE"""),"""makeup Houston"",")</f>
        <v>"makeup Houston",</v>
      </c>
    </row>
    <row r="2665">
      <c r="A2665" s="8" t="str">
        <f>IFERROR(__xludf.DUMMYFUNCTION("""COMPUTED_VALUE"""),"""nails Houston"",")</f>
        <v>"nails Houston",</v>
      </c>
    </row>
    <row r="2666">
      <c r="A2666" s="8" t="str">
        <f>IFERROR(__xludf.DUMMYFUNCTION("""COMPUTED_VALUE"""),"""curly hair Houston"",")</f>
        <v>"curly hair Houston",</v>
      </c>
    </row>
    <row r="2667">
      <c r="A2667" s="8" t="str">
        <f>IFERROR(__xludf.DUMMYFUNCTION("""COMPUTED_VALUE"""),"""thrift Houston"",")</f>
        <v>"thrift Houston",</v>
      </c>
    </row>
    <row r="2668">
      <c r="A2668" s="8" t="str">
        <f>IFERROR(__xludf.DUMMYFUNCTION("""COMPUTED_VALUE"""),"""streetwear Houston"",")</f>
        <v>"streetwear Houston",</v>
      </c>
    </row>
    <row r="2669">
      <c r="A2669" s="8" t="str">
        <f>IFERROR(__xludf.DUMMYFUNCTION("""COMPUTED_VALUE"""),"""luxury Houston"",")</f>
        <v>"luxury Houston",</v>
      </c>
    </row>
    <row r="2670">
      <c r="A2670" s="8" t="str">
        <f>IFERROR(__xludf.DUMMYFUNCTION("""COMPUTED_VALUE"""),"""handbags Houston"",")</f>
        <v>"handbags Houston",</v>
      </c>
    </row>
    <row r="2671">
      <c r="A2671" s="8" t="str">
        <f>IFERROR(__xludf.DUMMYFUNCTION("""COMPUTED_VALUE"""),"""sneakers Houston"",")</f>
        <v>"sneakers Houston",</v>
      </c>
    </row>
    <row r="2672">
      <c r="A2672" s="8" t="str">
        <f>IFERROR(__xludf.DUMMYFUNCTION("""COMPUTED_VALUE"""),"""high heels Houston"",")</f>
        <v>"high heels Houston",</v>
      </c>
    </row>
    <row r="2673">
      <c r="A2673" s="8" t="str">
        <f>IFERROR(__xludf.DUMMYFUNCTION("""COMPUTED_VALUE"""),"""haute-couture Houston"",")</f>
        <v>"haute-couture Houston",</v>
      </c>
    </row>
    <row r="2674">
      <c r="A2674" s="8" t="str">
        <f>IFERROR(__xludf.DUMMYFUNCTION("""COMPUTED_VALUE"""),"""diyfashion Houston"",")</f>
        <v>"diyfashion Houston",</v>
      </c>
    </row>
    <row r="2675">
      <c r="A2675" s="8" t="str">
        <f>IFERROR(__xludf.DUMMYFUNCTION("""COMPUTED_VALUE"""),"""accessories Houston"",")</f>
        <v>"accessories Houston",</v>
      </c>
    </row>
    <row r="2676">
      <c r="A2676" s="8" t="str">
        <f>IFERROR(__xludf.DUMMYFUNCTION("""COMPUTED_VALUE"""),"""menswear Houston"",")</f>
        <v>"menswear Houston",</v>
      </c>
    </row>
    <row r="2677">
      <c r="A2677" s="8" t="str">
        <f>IFERROR(__xludf.DUMMYFUNCTION("""COMPUTED_VALUE"""),"""womenswear Houston"",")</f>
        <v>"womenswear Houston",</v>
      </c>
    </row>
    <row r="2678">
      <c r="A2678" s="8" t="str">
        <f>IFERROR(__xludf.DUMMYFUNCTION("""COMPUTED_VALUE"""),"""moda Houston"",")</f>
        <v>"moda Houston",</v>
      </c>
    </row>
    <row r="2679">
      <c r="A2679" s="8" t="str">
        <f>IFERROR(__xludf.DUMMYFUNCTION("""COMPUTED_VALUE"""),"""hairstyle Houston"",")</f>
        <v>"hairstyle Houston",</v>
      </c>
    </row>
    <row r="2680">
      <c r="A2680" s="8" t="str">
        <f>IFERROR(__xludf.DUMMYFUNCTION("""COMPUTED_VALUE"""),"""perfume Houston"",")</f>
        <v>"perfume Houston",</v>
      </c>
    </row>
    <row r="2681">
      <c r="A2681" s="8" t="str">
        <f>IFERROR(__xludf.DUMMYFUNCTION("""COMPUTED_VALUE"""),"""cosmetiques Houston"",")</f>
        <v>"cosmetiques Houston",</v>
      </c>
    </row>
    <row r="2682">
      <c r="A2682" s="8" t="str">
        <f>IFERROR(__xludf.DUMMYFUNCTION("""COMPUTED_VALUE"""),"""beauty routine Houston"",")</f>
        <v>"beauty routine Houston",</v>
      </c>
    </row>
    <row r="2683">
      <c r="A2683" s="8" t="str">
        <f>IFERROR(__xludf.DUMMYFUNCTION("""COMPUTED_VALUE"""),"""natural beauty Houston"",")</f>
        <v>"natural beauty Houston",</v>
      </c>
    </row>
    <row r="2684">
      <c r="A2684" s="8" t="str">
        <f>IFERROR(__xludf.DUMMYFUNCTION("""COMPUTED_VALUE"""),"""organic beauty Houston"",")</f>
        <v>"organic beauty Houston",</v>
      </c>
    </row>
    <row r="2685">
      <c r="A2685" s="8" t="str">
        <f>IFERROR(__xludf.DUMMYFUNCTION("""COMPUTED_VALUE"""),"""sustainable fashion Houston"",")</f>
        <v>"sustainable fashion Houston",</v>
      </c>
    </row>
    <row r="2686">
      <c r="A2686" s="8" t="str">
        <f>IFERROR(__xludf.DUMMYFUNCTION("""COMPUTED_VALUE"""),"""fashion hacks Houston"",")</f>
        <v>"fashion hacks Houston",</v>
      </c>
    </row>
    <row r="2687">
      <c r="A2687" s="8" t="str">
        <f>IFERROR(__xludf.DUMMYFUNCTION("""COMPUTED_VALUE"""),"""capsule wardrobe Houston"",")</f>
        <v>"capsule wardrobe Houston",</v>
      </c>
    </row>
    <row r="2688">
      <c r="A2688" s="8" t="str">
        <f>IFERROR(__xludf.DUMMYFUNCTION("""COMPUTED_VALUE"""),"""fashion trends Houston"",")</f>
        <v>"fashion trends Houston",</v>
      </c>
    </row>
    <row r="2689">
      <c r="A2689" s="8" t="str">
        <f>IFERROR(__xludf.DUMMYFUNCTION("""COMPUTED_VALUE"""),"""minimalist fashion Houston"",")</f>
        <v>"minimalist fashion Houston",</v>
      </c>
    </row>
    <row r="2690">
      <c r="A2690" s="8" t="str">
        <f>IFERROR(__xludf.DUMMYFUNCTION("""COMPUTED_VALUE"""),"""beauty hacks Houston"",")</f>
        <v>"beauty hacks Houston",</v>
      </c>
    </row>
    <row r="2691">
      <c r="A2691" s="8" t="str">
        <f>IFERROR(__xludf.DUMMYFUNCTION("""COMPUTED_VALUE"""),"""hair routines Houston"",")</f>
        <v>"hair routines Houston",</v>
      </c>
    </row>
    <row r="2692">
      <c r="A2692" s="8" t="str">
        <f>IFERROR(__xludf.DUMMYFUNCTION("""COMPUTED_VALUE"""),"""empties Houston"",")</f>
        <v>"empties Houston",</v>
      </c>
    </row>
    <row r="2693">
      <c r="A2693" s="8" t="str">
        <f>IFERROR(__xludf.DUMMYFUNCTION("""COMPUTED_VALUE"""),"""product reviews Houston"",")</f>
        <v>"product reviews Houston",</v>
      </c>
    </row>
    <row r="2694">
      <c r="A2694" s="8" t="str">
        <f>IFERROR(__xludf.DUMMYFUNCTION("""COMPUTED_VALUE"""),"""beauty reviews  Houston"",")</f>
        <v>"beauty reviews  Houston",</v>
      </c>
    </row>
    <row r="2695">
      <c r="A2695" s="8" t="str">
        <f>IFERROR(__xludf.DUMMYFUNCTION("""COMPUTED_VALUE"""),"""make-up artist Houston"",")</f>
        <v>"make-up artist Houston",</v>
      </c>
    </row>
    <row r="2696">
      <c r="A2696" s="8" t="str">
        <f>IFERROR(__xludf.DUMMYFUNCTION("""COMPUTED_VALUE"""),"""skincare journey Houston"",")</f>
        <v>"skincare journey Houston",</v>
      </c>
    </row>
    <row r="2697">
      <c r="A2697" s="8" t="str">
        <f>IFERROR(__xludf.DUMMYFUNCTION("""COMPUTED_VALUE"""),"""hair tutorial Houston"",")</f>
        <v>"hair tutorial Houston",</v>
      </c>
    </row>
    <row r="2698">
      <c r="A2698" s="8" t="str">
        <f>IFERROR(__xludf.DUMMYFUNCTION("""COMPUTED_VALUE"""),"""barbershop Houston"",")</f>
        <v>"barbershop Houston",</v>
      </c>
    </row>
    <row r="2699">
      <c r="A2699" s="8" t="str">
        <f>IFERROR(__xludf.DUMMYFUNCTION("""COMPUTED_VALUE"""),"""ootd Dallas"",")</f>
        <v>"ootd Dallas",</v>
      </c>
    </row>
    <row r="2700">
      <c r="A2700" s="8" t="str">
        <f>IFERROR(__xludf.DUMMYFUNCTION("""COMPUTED_VALUE"""),"""street style Dallas"",")</f>
        <v>"street style Dallas",</v>
      </c>
    </row>
    <row r="2701">
      <c r="A2701" s="8" t="str">
        <f>IFERROR(__xludf.DUMMYFUNCTION("""COMPUTED_VALUE"""),"""skincare Dallas"",")</f>
        <v>"skincare Dallas",</v>
      </c>
    </row>
    <row r="2702">
      <c r="A2702" s="8" t="str">
        <f>IFERROR(__xludf.DUMMYFUNCTION("""COMPUTED_VALUE"""),"""makeup Dallas"",")</f>
        <v>"makeup Dallas",</v>
      </c>
    </row>
    <row r="2703">
      <c r="A2703" s="8" t="str">
        <f>IFERROR(__xludf.DUMMYFUNCTION("""COMPUTED_VALUE"""),"""nails Dallas"",")</f>
        <v>"nails Dallas",</v>
      </c>
    </row>
    <row r="2704">
      <c r="A2704" s="8" t="str">
        <f>IFERROR(__xludf.DUMMYFUNCTION("""COMPUTED_VALUE"""),"""curly hair Dallas"",")</f>
        <v>"curly hair Dallas",</v>
      </c>
    </row>
    <row r="2705">
      <c r="A2705" s="8" t="str">
        <f>IFERROR(__xludf.DUMMYFUNCTION("""COMPUTED_VALUE"""),"""thrift Dallas"",")</f>
        <v>"thrift Dallas",</v>
      </c>
    </row>
    <row r="2706">
      <c r="A2706" s="8" t="str">
        <f>IFERROR(__xludf.DUMMYFUNCTION("""COMPUTED_VALUE"""),"""streetwear Dallas"",")</f>
        <v>"streetwear Dallas",</v>
      </c>
    </row>
    <row r="2707">
      <c r="A2707" s="8" t="str">
        <f>IFERROR(__xludf.DUMMYFUNCTION("""COMPUTED_VALUE"""),"""luxury Dallas"",")</f>
        <v>"luxury Dallas",</v>
      </c>
    </row>
    <row r="2708">
      <c r="A2708" s="8" t="str">
        <f>IFERROR(__xludf.DUMMYFUNCTION("""COMPUTED_VALUE"""),"""handbags Dallas"",")</f>
        <v>"handbags Dallas",</v>
      </c>
    </row>
    <row r="2709">
      <c r="A2709" s="8" t="str">
        <f>IFERROR(__xludf.DUMMYFUNCTION("""COMPUTED_VALUE"""),"""sneakers Dallas"",")</f>
        <v>"sneakers Dallas",</v>
      </c>
    </row>
    <row r="2710">
      <c r="A2710" s="8" t="str">
        <f>IFERROR(__xludf.DUMMYFUNCTION("""COMPUTED_VALUE"""),"""high heels Dallas"",")</f>
        <v>"high heels Dallas",</v>
      </c>
    </row>
    <row r="2711">
      <c r="A2711" s="8" t="str">
        <f>IFERROR(__xludf.DUMMYFUNCTION("""COMPUTED_VALUE"""),"""haute-couture Dallas"",")</f>
        <v>"haute-couture Dallas",</v>
      </c>
    </row>
    <row r="2712">
      <c r="A2712" s="8" t="str">
        <f>IFERROR(__xludf.DUMMYFUNCTION("""COMPUTED_VALUE"""),"""diyfashion Dallas"",")</f>
        <v>"diyfashion Dallas",</v>
      </c>
    </row>
    <row r="2713">
      <c r="A2713" s="8" t="str">
        <f>IFERROR(__xludf.DUMMYFUNCTION("""COMPUTED_VALUE"""),"""accessories Dallas"",")</f>
        <v>"accessories Dallas",</v>
      </c>
    </row>
    <row r="2714">
      <c r="A2714" s="8" t="str">
        <f>IFERROR(__xludf.DUMMYFUNCTION("""COMPUTED_VALUE"""),"""menswear Dallas"",")</f>
        <v>"menswear Dallas",</v>
      </c>
    </row>
    <row r="2715">
      <c r="A2715" s="8" t="str">
        <f>IFERROR(__xludf.DUMMYFUNCTION("""COMPUTED_VALUE"""),"""womenswear Dallas"",")</f>
        <v>"womenswear Dallas",</v>
      </c>
    </row>
    <row r="2716">
      <c r="A2716" s="8" t="str">
        <f>IFERROR(__xludf.DUMMYFUNCTION("""COMPUTED_VALUE"""),"""moda Dallas"",")</f>
        <v>"moda Dallas",</v>
      </c>
    </row>
    <row r="2717">
      <c r="A2717" s="8" t="str">
        <f>IFERROR(__xludf.DUMMYFUNCTION("""COMPUTED_VALUE"""),"""hairstyle Dallas"",")</f>
        <v>"hairstyle Dallas",</v>
      </c>
    </row>
    <row r="2718">
      <c r="A2718" s="8" t="str">
        <f>IFERROR(__xludf.DUMMYFUNCTION("""COMPUTED_VALUE"""),"""perfume Dallas"",")</f>
        <v>"perfume Dallas",</v>
      </c>
    </row>
    <row r="2719">
      <c r="A2719" s="8" t="str">
        <f>IFERROR(__xludf.DUMMYFUNCTION("""COMPUTED_VALUE"""),"""cosmetiques Dallas"",")</f>
        <v>"cosmetiques Dallas",</v>
      </c>
    </row>
    <row r="2720">
      <c r="A2720" s="8" t="str">
        <f>IFERROR(__xludf.DUMMYFUNCTION("""COMPUTED_VALUE"""),"""beauty routine Dallas"",")</f>
        <v>"beauty routine Dallas",</v>
      </c>
    </row>
    <row r="2721">
      <c r="A2721" s="8" t="str">
        <f>IFERROR(__xludf.DUMMYFUNCTION("""COMPUTED_VALUE"""),"""natural beauty Dallas"",")</f>
        <v>"natural beauty Dallas",</v>
      </c>
    </row>
    <row r="2722">
      <c r="A2722" s="8" t="str">
        <f>IFERROR(__xludf.DUMMYFUNCTION("""COMPUTED_VALUE"""),"""organic beauty Dallas"",")</f>
        <v>"organic beauty Dallas",</v>
      </c>
    </row>
    <row r="2723">
      <c r="A2723" s="8" t="str">
        <f>IFERROR(__xludf.DUMMYFUNCTION("""COMPUTED_VALUE"""),"""sustainable fashion Dallas"",")</f>
        <v>"sustainable fashion Dallas",</v>
      </c>
    </row>
    <row r="2724">
      <c r="A2724" s="8" t="str">
        <f>IFERROR(__xludf.DUMMYFUNCTION("""COMPUTED_VALUE"""),"""fashion hacks Dallas"",")</f>
        <v>"fashion hacks Dallas",</v>
      </c>
    </row>
    <row r="2725">
      <c r="A2725" s="8" t="str">
        <f>IFERROR(__xludf.DUMMYFUNCTION("""COMPUTED_VALUE"""),"""capsule wardrobe Dallas"",")</f>
        <v>"capsule wardrobe Dallas",</v>
      </c>
    </row>
    <row r="2726">
      <c r="A2726" s="8" t="str">
        <f>IFERROR(__xludf.DUMMYFUNCTION("""COMPUTED_VALUE"""),"""fashion trends Dallas"",")</f>
        <v>"fashion trends Dallas",</v>
      </c>
    </row>
    <row r="2727">
      <c r="A2727" s="8" t="str">
        <f>IFERROR(__xludf.DUMMYFUNCTION("""COMPUTED_VALUE"""),"""minimalist fashion Dallas"",")</f>
        <v>"minimalist fashion Dallas",</v>
      </c>
    </row>
    <row r="2728">
      <c r="A2728" s="8" t="str">
        <f>IFERROR(__xludf.DUMMYFUNCTION("""COMPUTED_VALUE"""),"""beauty hacks Dallas"",")</f>
        <v>"beauty hacks Dallas",</v>
      </c>
    </row>
    <row r="2729">
      <c r="A2729" s="8" t="str">
        <f>IFERROR(__xludf.DUMMYFUNCTION("""COMPUTED_VALUE"""),"""hair routines Dallas"",")</f>
        <v>"hair routines Dallas",</v>
      </c>
    </row>
    <row r="2730">
      <c r="A2730" s="8" t="str">
        <f>IFERROR(__xludf.DUMMYFUNCTION("""COMPUTED_VALUE"""),"""empties Dallas"",")</f>
        <v>"empties Dallas",</v>
      </c>
    </row>
    <row r="2731">
      <c r="A2731" s="8" t="str">
        <f>IFERROR(__xludf.DUMMYFUNCTION("""COMPUTED_VALUE"""),"""product reviews Dallas"",")</f>
        <v>"product reviews Dallas",</v>
      </c>
    </row>
    <row r="2732">
      <c r="A2732" s="8" t="str">
        <f>IFERROR(__xludf.DUMMYFUNCTION("""COMPUTED_VALUE"""),"""beauty reviews  Dallas"",")</f>
        <v>"beauty reviews  Dallas",</v>
      </c>
    </row>
    <row r="2733">
      <c r="A2733" s="8" t="str">
        <f>IFERROR(__xludf.DUMMYFUNCTION("""COMPUTED_VALUE"""),"""make-up artist Dallas"",")</f>
        <v>"make-up artist Dallas",</v>
      </c>
    </row>
    <row r="2734">
      <c r="A2734" s="8" t="str">
        <f>IFERROR(__xludf.DUMMYFUNCTION("""COMPUTED_VALUE"""),"""skincare journey Dallas"",")</f>
        <v>"skincare journey Dallas",</v>
      </c>
    </row>
    <row r="2735">
      <c r="A2735" s="8" t="str">
        <f>IFERROR(__xludf.DUMMYFUNCTION("""COMPUTED_VALUE"""),"""hair tutorial Dallas"",")</f>
        <v>"hair tutorial Dallas",</v>
      </c>
    </row>
    <row r="2736">
      <c r="A2736" s="8" t="str">
        <f>IFERROR(__xludf.DUMMYFUNCTION("""COMPUTED_VALUE"""),"""barbershop Dallas"",")</f>
        <v>"barbershop Dallas",</v>
      </c>
    </row>
    <row r="2737">
      <c r="A2737" s="8" t="str">
        <f>IFERROR(__xludf.DUMMYFUNCTION("""COMPUTED_VALUE"""),"""ootd Seattle"",")</f>
        <v>"ootd Seattle",</v>
      </c>
    </row>
    <row r="2738">
      <c r="A2738" s="8" t="str">
        <f>IFERROR(__xludf.DUMMYFUNCTION("""COMPUTED_VALUE"""),"""street style Seattle"",")</f>
        <v>"street style Seattle",</v>
      </c>
    </row>
    <row r="2739">
      <c r="A2739" s="8" t="str">
        <f>IFERROR(__xludf.DUMMYFUNCTION("""COMPUTED_VALUE"""),"""skincare Seattle"",")</f>
        <v>"skincare Seattle",</v>
      </c>
    </row>
    <row r="2740">
      <c r="A2740" s="9" t="str">
        <f>IFERROR(__xludf.DUMMYFUNCTION("""COMPUTED_VALUE"""),"""makeup Seattle"",")</f>
        <v>"makeup Seattle",</v>
      </c>
    </row>
    <row r="2741">
      <c r="A2741" s="8" t="str">
        <f>IFERROR(__xludf.DUMMYFUNCTION("""COMPUTED_VALUE"""),"""nails Seattle"",")</f>
        <v>"nails Seattle",</v>
      </c>
    </row>
    <row r="2742">
      <c r="A2742" s="8" t="str">
        <f>IFERROR(__xludf.DUMMYFUNCTION("""COMPUTED_VALUE"""),"""curly hair Seattle"",")</f>
        <v>"curly hair Seattle",</v>
      </c>
    </row>
    <row r="2743">
      <c r="A2743" s="8" t="str">
        <f>IFERROR(__xludf.DUMMYFUNCTION("""COMPUTED_VALUE"""),"""thrift Seattle"",")</f>
        <v>"thrift Seattle",</v>
      </c>
    </row>
    <row r="2744">
      <c r="A2744" s="8" t="str">
        <f>IFERROR(__xludf.DUMMYFUNCTION("""COMPUTED_VALUE"""),"""streetwear Seattle"",")</f>
        <v>"streetwear Seattle",</v>
      </c>
    </row>
    <row r="2745">
      <c r="A2745" s="8" t="str">
        <f>IFERROR(__xludf.DUMMYFUNCTION("""COMPUTED_VALUE"""),"""luxury Seattle"",")</f>
        <v>"luxury Seattle",</v>
      </c>
    </row>
    <row r="2746">
      <c r="A2746" s="8" t="str">
        <f>IFERROR(__xludf.DUMMYFUNCTION("""COMPUTED_VALUE"""),"""handbags Seattle"",")</f>
        <v>"handbags Seattle",</v>
      </c>
    </row>
    <row r="2747">
      <c r="A2747" s="8" t="str">
        <f>IFERROR(__xludf.DUMMYFUNCTION("""COMPUTED_VALUE"""),"""sneakers Seattle"",")</f>
        <v>"sneakers Seattle",</v>
      </c>
    </row>
    <row r="2748">
      <c r="A2748" s="8" t="str">
        <f>IFERROR(__xludf.DUMMYFUNCTION("""COMPUTED_VALUE"""),"""high heels Seattle"",")</f>
        <v>"high heels Seattle",</v>
      </c>
    </row>
    <row r="2749">
      <c r="A2749" s="8" t="str">
        <f>IFERROR(__xludf.DUMMYFUNCTION("""COMPUTED_VALUE"""),"""haute-couture Seattle"",")</f>
        <v>"haute-couture Seattle",</v>
      </c>
    </row>
    <row r="2750">
      <c r="A2750" s="8" t="str">
        <f>IFERROR(__xludf.DUMMYFUNCTION("""COMPUTED_VALUE"""),"""diyfashion Seattle"",")</f>
        <v>"diyfashion Seattle",</v>
      </c>
    </row>
    <row r="2751">
      <c r="A2751" s="8" t="str">
        <f>IFERROR(__xludf.DUMMYFUNCTION("""COMPUTED_VALUE"""),"""accessories Seattle"",")</f>
        <v>"accessories Seattle",</v>
      </c>
    </row>
    <row r="2752">
      <c r="A2752" s="8" t="str">
        <f>IFERROR(__xludf.DUMMYFUNCTION("""COMPUTED_VALUE"""),"""menswear Seattle"",")</f>
        <v>"menswear Seattle",</v>
      </c>
    </row>
    <row r="2753">
      <c r="A2753" s="8" t="str">
        <f>IFERROR(__xludf.DUMMYFUNCTION("""COMPUTED_VALUE"""),"""womenswear Seattle"",")</f>
        <v>"womenswear Seattle",</v>
      </c>
    </row>
    <row r="2754">
      <c r="A2754" s="8" t="str">
        <f>IFERROR(__xludf.DUMMYFUNCTION("""COMPUTED_VALUE"""),"""moda Seattle"",")</f>
        <v>"moda Seattle",</v>
      </c>
    </row>
    <row r="2755">
      <c r="A2755" s="8" t="str">
        <f>IFERROR(__xludf.DUMMYFUNCTION("""COMPUTED_VALUE"""),"""hairstyle Seattle"",")</f>
        <v>"hairstyle Seattle",</v>
      </c>
    </row>
    <row r="2756">
      <c r="A2756" s="8" t="str">
        <f>IFERROR(__xludf.DUMMYFUNCTION("""COMPUTED_VALUE"""),"""perfume Seattle"",")</f>
        <v>"perfume Seattle",</v>
      </c>
    </row>
    <row r="2757">
      <c r="A2757" s="8" t="str">
        <f>IFERROR(__xludf.DUMMYFUNCTION("""COMPUTED_VALUE"""),"""cosmetiques Seattle"",")</f>
        <v>"cosmetiques Seattle",</v>
      </c>
    </row>
    <row r="2758">
      <c r="A2758" s="8" t="str">
        <f>IFERROR(__xludf.DUMMYFUNCTION("""COMPUTED_VALUE"""),"""beauty routine Seattle"",")</f>
        <v>"beauty routine Seattle",</v>
      </c>
    </row>
    <row r="2759">
      <c r="A2759" s="8" t="str">
        <f>IFERROR(__xludf.DUMMYFUNCTION("""COMPUTED_VALUE"""),"""natural beauty Seattle"",")</f>
        <v>"natural beauty Seattle",</v>
      </c>
    </row>
    <row r="2760">
      <c r="A2760" s="8" t="str">
        <f>IFERROR(__xludf.DUMMYFUNCTION("""COMPUTED_VALUE"""),"""organic beauty Seattle"",")</f>
        <v>"organic beauty Seattle",</v>
      </c>
    </row>
    <row r="2761">
      <c r="A2761" s="8" t="str">
        <f>IFERROR(__xludf.DUMMYFUNCTION("""COMPUTED_VALUE"""),"""sustainable fashion Seattle"",")</f>
        <v>"sustainable fashion Seattle",</v>
      </c>
    </row>
    <row r="2762">
      <c r="A2762" s="8" t="str">
        <f>IFERROR(__xludf.DUMMYFUNCTION("""COMPUTED_VALUE"""),"""fashion hacks Seattle"",")</f>
        <v>"fashion hacks Seattle",</v>
      </c>
    </row>
    <row r="2763">
      <c r="A2763" s="8" t="str">
        <f>IFERROR(__xludf.DUMMYFUNCTION("""COMPUTED_VALUE"""),"""capsule wardrobe Seattle"",")</f>
        <v>"capsule wardrobe Seattle",</v>
      </c>
    </row>
    <row r="2764">
      <c r="A2764" s="8" t="str">
        <f>IFERROR(__xludf.DUMMYFUNCTION("""COMPUTED_VALUE"""),"""fashion trends Seattle"",")</f>
        <v>"fashion trends Seattle",</v>
      </c>
    </row>
    <row r="2765">
      <c r="A2765" s="8" t="str">
        <f>IFERROR(__xludf.DUMMYFUNCTION("""COMPUTED_VALUE"""),"""minimalist fashion Seattle"",")</f>
        <v>"minimalist fashion Seattle",</v>
      </c>
    </row>
    <row r="2766">
      <c r="A2766" s="8" t="str">
        <f>IFERROR(__xludf.DUMMYFUNCTION("""COMPUTED_VALUE"""),"""beauty hacks Seattle"",")</f>
        <v>"beauty hacks Seattle",</v>
      </c>
    </row>
    <row r="2767">
      <c r="A2767" s="8" t="str">
        <f>IFERROR(__xludf.DUMMYFUNCTION("""COMPUTED_VALUE"""),"""hair routines Seattle"",")</f>
        <v>"hair routines Seattle",</v>
      </c>
    </row>
    <row r="2768">
      <c r="A2768" s="8" t="str">
        <f>IFERROR(__xludf.DUMMYFUNCTION("""COMPUTED_VALUE"""),"""empties Seattle"",")</f>
        <v>"empties Seattle",</v>
      </c>
    </row>
    <row r="2769">
      <c r="A2769" s="8" t="str">
        <f>IFERROR(__xludf.DUMMYFUNCTION("""COMPUTED_VALUE"""),"""product reviews Seattle"",")</f>
        <v>"product reviews Seattle",</v>
      </c>
    </row>
    <row r="2770">
      <c r="A2770" s="8" t="str">
        <f>IFERROR(__xludf.DUMMYFUNCTION("""COMPUTED_VALUE"""),"""beauty reviews  Seattle"",")</f>
        <v>"beauty reviews  Seattle",</v>
      </c>
    </row>
    <row r="2771">
      <c r="A2771" s="8" t="str">
        <f>IFERROR(__xludf.DUMMYFUNCTION("""COMPUTED_VALUE"""),"""make-up artist Seattle"",")</f>
        <v>"make-up artist Seattle",</v>
      </c>
    </row>
    <row r="2772">
      <c r="A2772" s="8" t="str">
        <f>IFERROR(__xludf.DUMMYFUNCTION("""COMPUTED_VALUE"""),"""skincare journey Seattle"",")</f>
        <v>"skincare journey Seattle",</v>
      </c>
    </row>
    <row r="2773">
      <c r="A2773" s="8" t="str">
        <f>IFERROR(__xludf.DUMMYFUNCTION("""COMPUTED_VALUE"""),"""hair tutorial Seattle"",")</f>
        <v>"hair tutorial Seattle",</v>
      </c>
    </row>
    <row r="2774">
      <c r="A2774" s="8" t="str">
        <f>IFERROR(__xludf.DUMMYFUNCTION("""COMPUTED_VALUE"""),"""barbershop Seattle"",")</f>
        <v>"barbershop Seattle",</v>
      </c>
    </row>
    <row r="2775">
      <c r="A2775" s="8" t="str">
        <f>IFERROR(__xludf.DUMMYFUNCTION("""COMPUTED_VALUE"""),"""ootd Las Vegas"",")</f>
        <v>"ootd Las Vegas",</v>
      </c>
    </row>
    <row r="2776">
      <c r="A2776" s="8" t="str">
        <f>IFERROR(__xludf.DUMMYFUNCTION("""COMPUTED_VALUE"""),"""street style Las Vegas"",")</f>
        <v>"street style Las Vegas",</v>
      </c>
    </row>
    <row r="2777">
      <c r="A2777" s="8" t="str">
        <f>IFERROR(__xludf.DUMMYFUNCTION("""COMPUTED_VALUE"""),"""skincare Las Vegas"",")</f>
        <v>"skincare Las Vegas",</v>
      </c>
    </row>
    <row r="2778">
      <c r="A2778" s="8" t="str">
        <f>IFERROR(__xludf.DUMMYFUNCTION("""COMPUTED_VALUE"""),"""makeup Las Vegas"",")</f>
        <v>"makeup Las Vegas",</v>
      </c>
    </row>
    <row r="2779">
      <c r="A2779" s="8" t="str">
        <f>IFERROR(__xludf.DUMMYFUNCTION("""COMPUTED_VALUE"""),"""nails Las Vegas"",")</f>
        <v>"nails Las Vegas",</v>
      </c>
    </row>
    <row r="2780">
      <c r="A2780" s="8" t="str">
        <f>IFERROR(__xludf.DUMMYFUNCTION("""COMPUTED_VALUE"""),"""curly hair Las Vegas"",")</f>
        <v>"curly hair Las Vegas",</v>
      </c>
    </row>
    <row r="2781">
      <c r="A2781" s="8" t="str">
        <f>IFERROR(__xludf.DUMMYFUNCTION("""COMPUTED_VALUE"""),"""thrift Las Vegas"",")</f>
        <v>"thrift Las Vegas",</v>
      </c>
    </row>
    <row r="2782">
      <c r="A2782" s="8" t="str">
        <f>IFERROR(__xludf.DUMMYFUNCTION("""COMPUTED_VALUE"""),"""streetwear Las Vegas"",")</f>
        <v>"streetwear Las Vegas",</v>
      </c>
    </row>
    <row r="2783">
      <c r="A2783" s="8" t="str">
        <f>IFERROR(__xludf.DUMMYFUNCTION("""COMPUTED_VALUE"""),"""luxury Las Vegas"",")</f>
        <v>"luxury Las Vegas",</v>
      </c>
    </row>
    <row r="2784">
      <c r="A2784" s="8" t="str">
        <f>IFERROR(__xludf.DUMMYFUNCTION("""COMPUTED_VALUE"""),"""handbags Las Vegas"",")</f>
        <v>"handbags Las Vegas",</v>
      </c>
    </row>
    <row r="2785">
      <c r="A2785" s="8" t="str">
        <f>IFERROR(__xludf.DUMMYFUNCTION("""COMPUTED_VALUE"""),"""sneakers Las Vegas"",")</f>
        <v>"sneakers Las Vegas",</v>
      </c>
    </row>
    <row r="2786">
      <c r="A2786" s="8" t="str">
        <f>IFERROR(__xludf.DUMMYFUNCTION("""COMPUTED_VALUE"""),"""high heels Las Vegas"",")</f>
        <v>"high heels Las Vegas",</v>
      </c>
    </row>
    <row r="2787">
      <c r="A2787" s="8" t="str">
        <f>IFERROR(__xludf.DUMMYFUNCTION("""COMPUTED_VALUE"""),"""haute-couture Las Vegas"",")</f>
        <v>"haute-couture Las Vegas",</v>
      </c>
    </row>
    <row r="2788">
      <c r="A2788" s="8" t="str">
        <f>IFERROR(__xludf.DUMMYFUNCTION("""COMPUTED_VALUE"""),"""diyfashion Las Vegas"",")</f>
        <v>"diyfashion Las Vegas",</v>
      </c>
    </row>
    <row r="2789">
      <c r="A2789" s="8" t="str">
        <f>IFERROR(__xludf.DUMMYFUNCTION("""COMPUTED_VALUE"""),"""accessories Las Vegas"",")</f>
        <v>"accessories Las Vegas",</v>
      </c>
    </row>
    <row r="2790">
      <c r="A2790" s="8" t="str">
        <f>IFERROR(__xludf.DUMMYFUNCTION("""COMPUTED_VALUE"""),"""menswear Las Vegas"",")</f>
        <v>"menswear Las Vegas",</v>
      </c>
    </row>
    <row r="2791">
      <c r="A2791" s="8" t="str">
        <f>IFERROR(__xludf.DUMMYFUNCTION("""COMPUTED_VALUE"""),"""womenswear Las Vegas"",")</f>
        <v>"womenswear Las Vegas",</v>
      </c>
    </row>
    <row r="2792">
      <c r="A2792" s="8" t="str">
        <f>IFERROR(__xludf.DUMMYFUNCTION("""COMPUTED_VALUE"""),"""moda Las Vegas"",")</f>
        <v>"moda Las Vegas",</v>
      </c>
    </row>
    <row r="2793">
      <c r="A2793" s="8" t="str">
        <f>IFERROR(__xludf.DUMMYFUNCTION("""COMPUTED_VALUE"""),"""hairstyle Las Vegas"",")</f>
        <v>"hairstyle Las Vegas",</v>
      </c>
    </row>
    <row r="2794">
      <c r="A2794" s="8" t="str">
        <f>IFERROR(__xludf.DUMMYFUNCTION("""COMPUTED_VALUE"""),"""perfume Las Vegas"",")</f>
        <v>"perfume Las Vegas",</v>
      </c>
    </row>
    <row r="2795">
      <c r="A2795" s="8" t="str">
        <f>IFERROR(__xludf.DUMMYFUNCTION("""COMPUTED_VALUE"""),"""cosmetiques Las Vegas"",")</f>
        <v>"cosmetiques Las Vegas",</v>
      </c>
    </row>
    <row r="2796">
      <c r="A2796" s="8" t="str">
        <f>IFERROR(__xludf.DUMMYFUNCTION("""COMPUTED_VALUE"""),"""beauty routine Las Vegas"",")</f>
        <v>"beauty routine Las Vegas",</v>
      </c>
    </row>
    <row r="2797">
      <c r="A2797" s="8" t="str">
        <f>IFERROR(__xludf.DUMMYFUNCTION("""COMPUTED_VALUE"""),"""natural beauty Las Vegas"",")</f>
        <v>"natural beauty Las Vegas",</v>
      </c>
    </row>
    <row r="2798">
      <c r="A2798" s="8" t="str">
        <f>IFERROR(__xludf.DUMMYFUNCTION("""COMPUTED_VALUE"""),"""organic beauty Las Vegas"",")</f>
        <v>"organic beauty Las Vegas",</v>
      </c>
    </row>
    <row r="2799">
      <c r="A2799" s="8" t="str">
        <f>IFERROR(__xludf.DUMMYFUNCTION("""COMPUTED_VALUE"""),"""sustainable fashion Las Vegas"",")</f>
        <v>"sustainable fashion Las Vegas",</v>
      </c>
    </row>
    <row r="2800">
      <c r="A2800" s="8" t="str">
        <f>IFERROR(__xludf.DUMMYFUNCTION("""COMPUTED_VALUE"""),"""fashion hacks Las Vegas"",")</f>
        <v>"fashion hacks Las Vegas",</v>
      </c>
    </row>
    <row r="2801">
      <c r="A2801" s="8" t="str">
        <f>IFERROR(__xludf.DUMMYFUNCTION("""COMPUTED_VALUE"""),"""capsule wardrobe Las Vegas"",")</f>
        <v>"capsule wardrobe Las Vegas",</v>
      </c>
    </row>
    <row r="2802">
      <c r="A2802" s="8" t="str">
        <f>IFERROR(__xludf.DUMMYFUNCTION("""COMPUTED_VALUE"""),"""fashion trends Las Vegas"",")</f>
        <v>"fashion trends Las Vegas",</v>
      </c>
    </row>
    <row r="2803">
      <c r="A2803" s="8" t="str">
        <f>IFERROR(__xludf.DUMMYFUNCTION("""COMPUTED_VALUE"""),"""minimalist fashion Las Vegas"",")</f>
        <v>"minimalist fashion Las Vegas",</v>
      </c>
    </row>
    <row r="2804">
      <c r="A2804" s="8" t="str">
        <f>IFERROR(__xludf.DUMMYFUNCTION("""COMPUTED_VALUE"""),"""beauty hacks Las Vegas"",")</f>
        <v>"beauty hacks Las Vegas",</v>
      </c>
    </row>
    <row r="2805">
      <c r="A2805" s="8" t="str">
        <f>IFERROR(__xludf.DUMMYFUNCTION("""COMPUTED_VALUE"""),"""hair routines Las Vegas"",")</f>
        <v>"hair routines Las Vegas",</v>
      </c>
    </row>
    <row r="2806">
      <c r="A2806" s="8" t="str">
        <f>IFERROR(__xludf.DUMMYFUNCTION("""COMPUTED_VALUE"""),"""empties Las Vegas"",")</f>
        <v>"empties Las Vegas",</v>
      </c>
    </row>
    <row r="2807">
      <c r="A2807" s="8" t="str">
        <f>IFERROR(__xludf.DUMMYFUNCTION("""COMPUTED_VALUE"""),"""product reviews Las Vegas"",")</f>
        <v>"product reviews Las Vegas",</v>
      </c>
    </row>
    <row r="2808">
      <c r="A2808" s="8" t="str">
        <f>IFERROR(__xludf.DUMMYFUNCTION("""COMPUTED_VALUE"""),"""beauty reviews  Las Vegas"",")</f>
        <v>"beauty reviews  Las Vegas",</v>
      </c>
    </row>
    <row r="2809">
      <c r="A2809" s="8" t="str">
        <f>IFERROR(__xludf.DUMMYFUNCTION("""COMPUTED_VALUE"""),"""make-up artist Las Vegas"",")</f>
        <v>"make-up artist Las Vegas",</v>
      </c>
    </row>
    <row r="2810">
      <c r="A2810" s="8" t="str">
        <f>IFERROR(__xludf.DUMMYFUNCTION("""COMPUTED_VALUE"""),"""skincare journey Las Vegas"",")</f>
        <v>"skincare journey Las Vegas",</v>
      </c>
    </row>
    <row r="2811">
      <c r="A2811" s="8" t="str">
        <f>IFERROR(__xludf.DUMMYFUNCTION("""COMPUTED_VALUE"""),"""hair tutorial Las Vegas"",")</f>
        <v>"hair tutorial Las Vegas",</v>
      </c>
    </row>
    <row r="2812">
      <c r="A2812" s="8" t="str">
        <f>IFERROR(__xludf.DUMMYFUNCTION("""COMPUTED_VALUE"""),"""barbershop Las Vegas"",")</f>
        <v>"barbershop Las Vegas",</v>
      </c>
    </row>
    <row r="2813">
      <c r="A2813" s="8" t="str">
        <f>IFERROR(__xludf.DUMMYFUNCTION("""COMPUTED_VALUE"""),"""ootd San Diego"",")</f>
        <v>"ootd San Diego",</v>
      </c>
    </row>
    <row r="2814">
      <c r="A2814" s="8" t="str">
        <f>IFERROR(__xludf.DUMMYFUNCTION("""COMPUTED_VALUE"""),"""street style San Diego"",")</f>
        <v>"street style San Diego",</v>
      </c>
    </row>
    <row r="2815">
      <c r="A2815" s="8" t="str">
        <f>IFERROR(__xludf.DUMMYFUNCTION("""COMPUTED_VALUE"""),"""skincare San Diego"",")</f>
        <v>"skincare San Diego",</v>
      </c>
    </row>
    <row r="2816">
      <c r="A2816" s="8" t="str">
        <f>IFERROR(__xludf.DUMMYFUNCTION("""COMPUTED_VALUE"""),"""makeup San Diego"",")</f>
        <v>"makeup San Diego",</v>
      </c>
    </row>
    <row r="2817">
      <c r="A2817" s="8" t="str">
        <f>IFERROR(__xludf.DUMMYFUNCTION("""COMPUTED_VALUE"""),"""nails San Diego"",")</f>
        <v>"nails San Diego",</v>
      </c>
    </row>
    <row r="2818">
      <c r="A2818" s="8" t="str">
        <f>IFERROR(__xludf.DUMMYFUNCTION("""COMPUTED_VALUE"""),"""curly hair San Diego"",")</f>
        <v>"curly hair San Diego",</v>
      </c>
    </row>
    <row r="2819">
      <c r="A2819" s="8" t="str">
        <f>IFERROR(__xludf.DUMMYFUNCTION("""COMPUTED_VALUE"""),"""thrift San Diego"",")</f>
        <v>"thrift San Diego",</v>
      </c>
    </row>
    <row r="2820">
      <c r="A2820" s="8" t="str">
        <f>IFERROR(__xludf.DUMMYFUNCTION("""COMPUTED_VALUE"""),"""streetwear San Diego"",")</f>
        <v>"streetwear San Diego",</v>
      </c>
    </row>
    <row r="2821">
      <c r="A2821" s="8" t="str">
        <f>IFERROR(__xludf.DUMMYFUNCTION("""COMPUTED_VALUE"""),"""luxury San Diego"",")</f>
        <v>"luxury San Diego",</v>
      </c>
    </row>
    <row r="2822">
      <c r="A2822" s="8" t="str">
        <f>IFERROR(__xludf.DUMMYFUNCTION("""COMPUTED_VALUE"""),"""handbags San Diego"",")</f>
        <v>"handbags San Diego",</v>
      </c>
    </row>
    <row r="2823">
      <c r="A2823" s="8" t="str">
        <f>IFERROR(__xludf.DUMMYFUNCTION("""COMPUTED_VALUE"""),"""sneakers San Diego"",")</f>
        <v>"sneakers San Diego",</v>
      </c>
    </row>
    <row r="2824">
      <c r="A2824" s="8" t="str">
        <f>IFERROR(__xludf.DUMMYFUNCTION("""COMPUTED_VALUE"""),"""high heels San Diego"",")</f>
        <v>"high heels San Diego",</v>
      </c>
    </row>
    <row r="2825">
      <c r="A2825" s="8" t="str">
        <f>IFERROR(__xludf.DUMMYFUNCTION("""COMPUTED_VALUE"""),"""haute-couture San Diego"",")</f>
        <v>"haute-couture San Diego",</v>
      </c>
    </row>
    <row r="2826">
      <c r="A2826" s="8" t="str">
        <f>IFERROR(__xludf.DUMMYFUNCTION("""COMPUTED_VALUE"""),"""diyfashion San Diego"",")</f>
        <v>"diyfashion San Diego",</v>
      </c>
    </row>
    <row r="2827">
      <c r="A2827" s="8" t="str">
        <f>IFERROR(__xludf.DUMMYFUNCTION("""COMPUTED_VALUE"""),"""accessories San Diego"",")</f>
        <v>"accessories San Diego",</v>
      </c>
    </row>
    <row r="2828">
      <c r="A2828" s="8" t="str">
        <f>IFERROR(__xludf.DUMMYFUNCTION("""COMPUTED_VALUE"""),"""menswear San Diego"",")</f>
        <v>"menswear San Diego",</v>
      </c>
    </row>
    <row r="2829">
      <c r="A2829" s="8" t="str">
        <f>IFERROR(__xludf.DUMMYFUNCTION("""COMPUTED_VALUE"""),"""womenswear San Diego"",")</f>
        <v>"womenswear San Diego",</v>
      </c>
    </row>
    <row r="2830">
      <c r="A2830" s="8" t="str">
        <f>IFERROR(__xludf.DUMMYFUNCTION("""COMPUTED_VALUE"""),"""moda San Diego"",")</f>
        <v>"moda San Diego",</v>
      </c>
    </row>
    <row r="2831">
      <c r="A2831" s="8" t="str">
        <f>IFERROR(__xludf.DUMMYFUNCTION("""COMPUTED_VALUE"""),"""hairstyle San Diego"",")</f>
        <v>"hairstyle San Diego",</v>
      </c>
    </row>
    <row r="2832">
      <c r="A2832" s="8" t="str">
        <f>IFERROR(__xludf.DUMMYFUNCTION("""COMPUTED_VALUE"""),"""perfume San Diego"",")</f>
        <v>"perfume San Diego",</v>
      </c>
    </row>
    <row r="2833">
      <c r="A2833" s="8" t="str">
        <f>IFERROR(__xludf.DUMMYFUNCTION("""COMPUTED_VALUE"""),"""cosmetiques San Diego"",")</f>
        <v>"cosmetiques San Diego",</v>
      </c>
    </row>
    <row r="2834">
      <c r="A2834" s="8" t="str">
        <f>IFERROR(__xludf.DUMMYFUNCTION("""COMPUTED_VALUE"""),"""beauty routine San Diego"",")</f>
        <v>"beauty routine San Diego",</v>
      </c>
    </row>
    <row r="2835">
      <c r="A2835" s="8" t="str">
        <f>IFERROR(__xludf.DUMMYFUNCTION("""COMPUTED_VALUE"""),"""natural beauty San Diego"",")</f>
        <v>"natural beauty San Diego",</v>
      </c>
    </row>
    <row r="2836">
      <c r="A2836" s="8" t="str">
        <f>IFERROR(__xludf.DUMMYFUNCTION("""COMPUTED_VALUE"""),"""organic beauty San Diego"",")</f>
        <v>"organic beauty San Diego",</v>
      </c>
    </row>
    <row r="2837">
      <c r="A2837" s="8" t="str">
        <f>IFERROR(__xludf.DUMMYFUNCTION("""COMPUTED_VALUE"""),"""sustainable fashion San Diego"",")</f>
        <v>"sustainable fashion San Diego",</v>
      </c>
    </row>
    <row r="2838">
      <c r="A2838" s="8" t="str">
        <f>IFERROR(__xludf.DUMMYFUNCTION("""COMPUTED_VALUE"""),"""fashion hacks San Diego"",")</f>
        <v>"fashion hacks San Diego",</v>
      </c>
    </row>
    <row r="2839">
      <c r="A2839" s="8" t="str">
        <f>IFERROR(__xludf.DUMMYFUNCTION("""COMPUTED_VALUE"""),"""capsule wardrobe San Diego"",")</f>
        <v>"capsule wardrobe San Diego",</v>
      </c>
    </row>
    <row r="2840">
      <c r="A2840" s="8" t="str">
        <f>IFERROR(__xludf.DUMMYFUNCTION("""COMPUTED_VALUE"""),"""fashion trends San Diego"",")</f>
        <v>"fashion trends San Diego",</v>
      </c>
    </row>
    <row r="2841">
      <c r="A2841" s="8" t="str">
        <f>IFERROR(__xludf.DUMMYFUNCTION("""COMPUTED_VALUE"""),"""minimalist fashion San Diego"",")</f>
        <v>"minimalist fashion San Diego",</v>
      </c>
    </row>
    <row r="2842">
      <c r="A2842" s="8" t="str">
        <f>IFERROR(__xludf.DUMMYFUNCTION("""COMPUTED_VALUE"""),"""beauty hacks San Diego"",")</f>
        <v>"beauty hacks San Diego",</v>
      </c>
    </row>
    <row r="2843">
      <c r="A2843" s="8" t="str">
        <f>IFERROR(__xludf.DUMMYFUNCTION("""COMPUTED_VALUE"""),"""hair routines San Diego"",")</f>
        <v>"hair routines San Diego",</v>
      </c>
    </row>
    <row r="2844">
      <c r="A2844" s="8" t="str">
        <f>IFERROR(__xludf.DUMMYFUNCTION("""COMPUTED_VALUE"""),"""empties San Diego"",")</f>
        <v>"empties San Diego",</v>
      </c>
    </row>
    <row r="2845">
      <c r="A2845" s="8" t="str">
        <f>IFERROR(__xludf.DUMMYFUNCTION("""COMPUTED_VALUE"""),"""product reviews San Diego"",")</f>
        <v>"product reviews San Diego",</v>
      </c>
    </row>
    <row r="2846">
      <c r="A2846" s="8" t="str">
        <f>IFERROR(__xludf.DUMMYFUNCTION("""COMPUTED_VALUE"""),"""beauty reviews  San Diego"",")</f>
        <v>"beauty reviews  San Diego",</v>
      </c>
    </row>
    <row r="2847">
      <c r="A2847" s="8" t="str">
        <f>IFERROR(__xludf.DUMMYFUNCTION("""COMPUTED_VALUE"""),"""make-up artist San Diego"",")</f>
        <v>"make-up artist San Diego",</v>
      </c>
    </row>
    <row r="2848">
      <c r="A2848" s="8" t="str">
        <f>IFERROR(__xludf.DUMMYFUNCTION("""COMPUTED_VALUE"""),"""skincare journey San Diego"",")</f>
        <v>"skincare journey San Diego",</v>
      </c>
    </row>
    <row r="2849">
      <c r="A2849" s="8" t="str">
        <f>IFERROR(__xludf.DUMMYFUNCTION("""COMPUTED_VALUE"""),"""hair tutorial San Diego"",")</f>
        <v>"hair tutorial San Diego",</v>
      </c>
    </row>
    <row r="2850">
      <c r="A2850" s="8" t="str">
        <f>IFERROR(__xludf.DUMMYFUNCTION("""COMPUTED_VALUE"""),"""barbershop San Diego"",")</f>
        <v>"barbershop San Diego",</v>
      </c>
    </row>
    <row r="2851">
      <c r="A2851" s="8" t="str">
        <f>IFERROR(__xludf.DUMMYFUNCTION("""COMPUTED_VALUE"""),"""ootd Montreal"",")</f>
        <v>"ootd Montreal",</v>
      </c>
    </row>
    <row r="2852">
      <c r="A2852" s="8" t="str">
        <f>IFERROR(__xludf.DUMMYFUNCTION("""COMPUTED_VALUE"""),"""street style Montreal"",")</f>
        <v>"street style Montreal",</v>
      </c>
    </row>
    <row r="2853">
      <c r="A2853" s="8" t="str">
        <f>IFERROR(__xludf.DUMMYFUNCTION("""COMPUTED_VALUE"""),"""skincare Montreal"",")</f>
        <v>"skincare Montreal",</v>
      </c>
    </row>
    <row r="2854">
      <c r="A2854" s="8" t="str">
        <f>IFERROR(__xludf.DUMMYFUNCTION("""COMPUTED_VALUE"""),"""makeup Montreal"",")</f>
        <v>"makeup Montreal",</v>
      </c>
    </row>
    <row r="2855">
      <c r="A2855" s="8" t="str">
        <f>IFERROR(__xludf.DUMMYFUNCTION("""COMPUTED_VALUE"""),"""nails Montreal"",")</f>
        <v>"nails Montreal",</v>
      </c>
    </row>
    <row r="2856">
      <c r="A2856" s="8" t="str">
        <f>IFERROR(__xludf.DUMMYFUNCTION("""COMPUTED_VALUE"""),"""curly hair Montreal"",")</f>
        <v>"curly hair Montreal",</v>
      </c>
    </row>
    <row r="2857">
      <c r="A2857" s="8" t="str">
        <f>IFERROR(__xludf.DUMMYFUNCTION("""COMPUTED_VALUE"""),"""thrift Montreal"",")</f>
        <v>"thrift Montreal",</v>
      </c>
    </row>
    <row r="2858">
      <c r="A2858" s="8" t="str">
        <f>IFERROR(__xludf.DUMMYFUNCTION("""COMPUTED_VALUE"""),"""streetwear Montreal"",")</f>
        <v>"streetwear Montreal",</v>
      </c>
    </row>
    <row r="2859">
      <c r="A2859" s="8" t="str">
        <f>IFERROR(__xludf.DUMMYFUNCTION("""COMPUTED_VALUE"""),"""luxury Montreal"",")</f>
        <v>"luxury Montreal",</v>
      </c>
    </row>
    <row r="2860">
      <c r="A2860" s="8" t="str">
        <f>IFERROR(__xludf.DUMMYFUNCTION("""COMPUTED_VALUE"""),"""handbags Montreal"",")</f>
        <v>"handbags Montreal",</v>
      </c>
    </row>
    <row r="2861">
      <c r="A2861" s="8" t="str">
        <f>IFERROR(__xludf.DUMMYFUNCTION("""COMPUTED_VALUE"""),"""sneakers Montreal"",")</f>
        <v>"sneakers Montreal",</v>
      </c>
    </row>
    <row r="2862">
      <c r="A2862" s="8" t="str">
        <f>IFERROR(__xludf.DUMMYFUNCTION("""COMPUTED_VALUE"""),"""high heels Montreal"",")</f>
        <v>"high heels Montreal",</v>
      </c>
    </row>
    <row r="2863">
      <c r="A2863" s="8" t="str">
        <f>IFERROR(__xludf.DUMMYFUNCTION("""COMPUTED_VALUE"""),"""haute-couture Montreal"",")</f>
        <v>"haute-couture Montreal",</v>
      </c>
    </row>
    <row r="2864">
      <c r="A2864" s="8" t="str">
        <f>IFERROR(__xludf.DUMMYFUNCTION("""COMPUTED_VALUE"""),"""diyfashion Montreal"",")</f>
        <v>"diyfashion Montreal",</v>
      </c>
    </row>
    <row r="2865">
      <c r="A2865" s="8" t="str">
        <f>IFERROR(__xludf.DUMMYFUNCTION("""COMPUTED_VALUE"""),"""accessories Montreal"",")</f>
        <v>"accessories Montreal",</v>
      </c>
    </row>
    <row r="2866">
      <c r="A2866" s="8" t="str">
        <f>IFERROR(__xludf.DUMMYFUNCTION("""COMPUTED_VALUE"""),"""menswear Montreal"",")</f>
        <v>"menswear Montreal",</v>
      </c>
    </row>
    <row r="2867">
      <c r="A2867" s="8" t="str">
        <f>IFERROR(__xludf.DUMMYFUNCTION("""COMPUTED_VALUE"""),"""womenswear Montreal"",")</f>
        <v>"womenswear Montreal",</v>
      </c>
    </row>
    <row r="2868">
      <c r="A2868" s="8" t="str">
        <f>IFERROR(__xludf.DUMMYFUNCTION("""COMPUTED_VALUE"""),"""moda Montreal"",")</f>
        <v>"moda Montreal",</v>
      </c>
    </row>
    <row r="2869">
      <c r="A2869" s="8" t="str">
        <f>IFERROR(__xludf.DUMMYFUNCTION("""COMPUTED_VALUE"""),"""hairstyle Montreal"",")</f>
        <v>"hairstyle Montreal",</v>
      </c>
    </row>
    <row r="2870">
      <c r="A2870" s="8" t="str">
        <f>IFERROR(__xludf.DUMMYFUNCTION("""COMPUTED_VALUE"""),"""perfume Montreal"",")</f>
        <v>"perfume Montreal",</v>
      </c>
    </row>
    <row r="2871">
      <c r="A2871" s="8" t="str">
        <f>IFERROR(__xludf.DUMMYFUNCTION("""COMPUTED_VALUE"""),"""cosmetiques Montreal"",")</f>
        <v>"cosmetiques Montreal",</v>
      </c>
    </row>
    <row r="2872">
      <c r="A2872" s="8" t="str">
        <f>IFERROR(__xludf.DUMMYFUNCTION("""COMPUTED_VALUE"""),"""beauty routine Montreal"",")</f>
        <v>"beauty routine Montreal",</v>
      </c>
    </row>
    <row r="2873">
      <c r="A2873" s="8" t="str">
        <f>IFERROR(__xludf.DUMMYFUNCTION("""COMPUTED_VALUE"""),"""natural beauty Montreal"",")</f>
        <v>"natural beauty Montreal",</v>
      </c>
    </row>
    <row r="2874">
      <c r="A2874" s="8" t="str">
        <f>IFERROR(__xludf.DUMMYFUNCTION("""COMPUTED_VALUE"""),"""organic beauty Montreal"",")</f>
        <v>"organic beauty Montreal",</v>
      </c>
    </row>
    <row r="2875">
      <c r="A2875" s="8" t="str">
        <f>IFERROR(__xludf.DUMMYFUNCTION("""COMPUTED_VALUE"""),"""sustainable fashion Montreal"",")</f>
        <v>"sustainable fashion Montreal",</v>
      </c>
    </row>
    <row r="2876">
      <c r="A2876" s="8" t="str">
        <f>IFERROR(__xludf.DUMMYFUNCTION("""COMPUTED_VALUE"""),"""fashion hacks Montreal"",")</f>
        <v>"fashion hacks Montreal",</v>
      </c>
    </row>
    <row r="2877">
      <c r="A2877" s="8" t="str">
        <f>IFERROR(__xludf.DUMMYFUNCTION("""COMPUTED_VALUE"""),"""capsule wardrobe Montreal"",")</f>
        <v>"capsule wardrobe Montreal",</v>
      </c>
    </row>
    <row r="2878">
      <c r="A2878" s="8" t="str">
        <f>IFERROR(__xludf.DUMMYFUNCTION("""COMPUTED_VALUE"""),"""fashion trends Montreal"",")</f>
        <v>"fashion trends Montreal",</v>
      </c>
    </row>
    <row r="2879">
      <c r="A2879" s="8" t="str">
        <f>IFERROR(__xludf.DUMMYFUNCTION("""COMPUTED_VALUE"""),"""minimalist fashion Montreal"",")</f>
        <v>"minimalist fashion Montreal",</v>
      </c>
    </row>
    <row r="2880">
      <c r="A2880" s="8" t="str">
        <f>IFERROR(__xludf.DUMMYFUNCTION("""COMPUTED_VALUE"""),"""beauty hacks Montreal"",")</f>
        <v>"beauty hacks Montreal",</v>
      </c>
    </row>
    <row r="2881">
      <c r="A2881" s="8" t="str">
        <f>IFERROR(__xludf.DUMMYFUNCTION("""COMPUTED_VALUE"""),"""hair routines Montreal"",")</f>
        <v>"hair routines Montreal",</v>
      </c>
    </row>
    <row r="2882">
      <c r="A2882" s="8" t="str">
        <f>IFERROR(__xludf.DUMMYFUNCTION("""COMPUTED_VALUE"""),"""empties Montreal"",")</f>
        <v>"empties Montreal",</v>
      </c>
    </row>
    <row r="2883">
      <c r="A2883" s="8" t="str">
        <f>IFERROR(__xludf.DUMMYFUNCTION("""COMPUTED_VALUE"""),"""product reviews Montreal"",")</f>
        <v>"product reviews Montreal",</v>
      </c>
    </row>
    <row r="2884">
      <c r="A2884" s="8" t="str">
        <f>IFERROR(__xludf.DUMMYFUNCTION("""COMPUTED_VALUE"""),"""beauty reviews  Montreal"",")</f>
        <v>"beauty reviews  Montreal",</v>
      </c>
    </row>
    <row r="2885">
      <c r="A2885" s="8" t="str">
        <f>IFERROR(__xludf.DUMMYFUNCTION("""COMPUTED_VALUE"""),"""make-up artist Montreal"",")</f>
        <v>"make-up artist Montreal",</v>
      </c>
    </row>
    <row r="2886">
      <c r="A2886" s="8" t="str">
        <f>IFERROR(__xludf.DUMMYFUNCTION("""COMPUTED_VALUE"""),"""skincare journey Montreal"",")</f>
        <v>"skincare journey Montreal",</v>
      </c>
    </row>
    <row r="2887">
      <c r="A2887" s="8" t="str">
        <f>IFERROR(__xludf.DUMMYFUNCTION("""COMPUTED_VALUE"""),"""hair tutorial Montreal"",")</f>
        <v>"hair tutorial Montreal",</v>
      </c>
    </row>
    <row r="2888">
      <c r="A2888" s="8" t="str">
        <f>IFERROR(__xludf.DUMMYFUNCTION("""COMPUTED_VALUE"""),"""barbershop Montreal"",")</f>
        <v>"barbershop Montreal",</v>
      </c>
    </row>
    <row r="2889">
      <c r="A2889" s="8" t="str">
        <f>IFERROR(__xludf.DUMMYFUNCTION("""COMPUTED_VALUE"""),"""ootd Vancouver"",")</f>
        <v>"ootd Vancouver",</v>
      </c>
    </row>
    <row r="2890">
      <c r="A2890" s="8" t="str">
        <f>IFERROR(__xludf.DUMMYFUNCTION("""COMPUTED_VALUE"""),"""street style Vancouver"",")</f>
        <v>"street style Vancouver",</v>
      </c>
    </row>
    <row r="2891">
      <c r="A2891" s="8" t="str">
        <f>IFERROR(__xludf.DUMMYFUNCTION("""COMPUTED_VALUE"""),"""skincare Vancouver"",")</f>
        <v>"skincare Vancouver",</v>
      </c>
    </row>
    <row r="2892">
      <c r="A2892" s="8" t="str">
        <f>IFERROR(__xludf.DUMMYFUNCTION("""COMPUTED_VALUE"""),"""makeup Vancouver"",")</f>
        <v>"makeup Vancouver",</v>
      </c>
    </row>
    <row r="2893">
      <c r="A2893" s="8" t="str">
        <f>IFERROR(__xludf.DUMMYFUNCTION("""COMPUTED_VALUE"""),"""nails Vancouver"",")</f>
        <v>"nails Vancouver",</v>
      </c>
    </row>
    <row r="2894">
      <c r="A2894" s="8" t="str">
        <f>IFERROR(__xludf.DUMMYFUNCTION("""COMPUTED_VALUE"""),"""curly hair Vancouver"",")</f>
        <v>"curly hair Vancouver",</v>
      </c>
    </row>
    <row r="2895">
      <c r="A2895" s="8" t="str">
        <f>IFERROR(__xludf.DUMMYFUNCTION("""COMPUTED_VALUE"""),"""thrift Vancouver"",")</f>
        <v>"thrift Vancouver",</v>
      </c>
    </row>
    <row r="2896">
      <c r="A2896" s="8" t="str">
        <f>IFERROR(__xludf.DUMMYFUNCTION("""COMPUTED_VALUE"""),"""streetwear Vancouver"",")</f>
        <v>"streetwear Vancouver",</v>
      </c>
    </row>
    <row r="2897">
      <c r="A2897" s="8" t="str">
        <f>IFERROR(__xludf.DUMMYFUNCTION("""COMPUTED_VALUE"""),"""luxury Vancouver"",")</f>
        <v>"luxury Vancouver",</v>
      </c>
    </row>
    <row r="2898">
      <c r="A2898" s="8" t="str">
        <f>IFERROR(__xludf.DUMMYFUNCTION("""COMPUTED_VALUE"""),"""handbags Vancouver"",")</f>
        <v>"handbags Vancouver",</v>
      </c>
    </row>
    <row r="2899">
      <c r="A2899" s="8" t="str">
        <f>IFERROR(__xludf.DUMMYFUNCTION("""COMPUTED_VALUE"""),"""sneakers Vancouver"",")</f>
        <v>"sneakers Vancouver",</v>
      </c>
    </row>
    <row r="2900">
      <c r="A2900" s="8" t="str">
        <f>IFERROR(__xludf.DUMMYFUNCTION("""COMPUTED_VALUE"""),"""high heels Vancouver"",")</f>
        <v>"high heels Vancouver",</v>
      </c>
    </row>
    <row r="2901">
      <c r="A2901" s="8" t="str">
        <f>IFERROR(__xludf.DUMMYFUNCTION("""COMPUTED_VALUE"""),"""haute-couture Vancouver"",")</f>
        <v>"haute-couture Vancouver",</v>
      </c>
    </row>
    <row r="2902">
      <c r="A2902" s="8" t="str">
        <f>IFERROR(__xludf.DUMMYFUNCTION("""COMPUTED_VALUE"""),"""diyfashion Vancouver"",")</f>
        <v>"diyfashion Vancouver",</v>
      </c>
    </row>
    <row r="2903">
      <c r="A2903" s="8" t="str">
        <f>IFERROR(__xludf.DUMMYFUNCTION("""COMPUTED_VALUE"""),"""accessories Vancouver"",")</f>
        <v>"accessories Vancouver",</v>
      </c>
    </row>
    <row r="2904">
      <c r="A2904" s="8" t="str">
        <f>IFERROR(__xludf.DUMMYFUNCTION("""COMPUTED_VALUE"""),"""menswear Vancouver"",")</f>
        <v>"menswear Vancouver",</v>
      </c>
    </row>
    <row r="2905">
      <c r="A2905" s="8" t="str">
        <f>IFERROR(__xludf.DUMMYFUNCTION("""COMPUTED_VALUE"""),"""womenswear Vancouver"",")</f>
        <v>"womenswear Vancouver",</v>
      </c>
    </row>
    <row r="2906">
      <c r="A2906" s="8" t="str">
        <f>IFERROR(__xludf.DUMMYFUNCTION("""COMPUTED_VALUE"""),"""moda Vancouver"",")</f>
        <v>"moda Vancouver",</v>
      </c>
    </row>
    <row r="2907">
      <c r="A2907" s="8" t="str">
        <f>IFERROR(__xludf.DUMMYFUNCTION("""COMPUTED_VALUE"""),"""hairstyle Vancouver"",")</f>
        <v>"hairstyle Vancouver",</v>
      </c>
    </row>
    <row r="2908">
      <c r="A2908" s="8" t="str">
        <f>IFERROR(__xludf.DUMMYFUNCTION("""COMPUTED_VALUE"""),"""perfume Vancouver"",")</f>
        <v>"perfume Vancouver",</v>
      </c>
    </row>
    <row r="2909">
      <c r="A2909" s="8" t="str">
        <f>IFERROR(__xludf.DUMMYFUNCTION("""COMPUTED_VALUE"""),"""cosmetiques Vancouver"",")</f>
        <v>"cosmetiques Vancouver",</v>
      </c>
    </row>
    <row r="2910">
      <c r="A2910" s="8" t="str">
        <f>IFERROR(__xludf.DUMMYFUNCTION("""COMPUTED_VALUE"""),"""beauty routine Vancouver"",")</f>
        <v>"beauty routine Vancouver",</v>
      </c>
    </row>
    <row r="2911">
      <c r="A2911" s="8" t="str">
        <f>IFERROR(__xludf.DUMMYFUNCTION("""COMPUTED_VALUE"""),"""natural beauty Vancouver"",")</f>
        <v>"natural beauty Vancouver",</v>
      </c>
    </row>
    <row r="2912">
      <c r="A2912" s="8" t="str">
        <f>IFERROR(__xludf.DUMMYFUNCTION("""COMPUTED_VALUE"""),"""organic beauty Vancouver"",")</f>
        <v>"organic beauty Vancouver",</v>
      </c>
    </row>
    <row r="2913">
      <c r="A2913" s="8" t="str">
        <f>IFERROR(__xludf.DUMMYFUNCTION("""COMPUTED_VALUE"""),"""sustainable fashion Vancouver"",")</f>
        <v>"sustainable fashion Vancouver",</v>
      </c>
    </row>
    <row r="2914">
      <c r="A2914" s="8" t="str">
        <f>IFERROR(__xludf.DUMMYFUNCTION("""COMPUTED_VALUE"""),"""fashion hacks Vancouver"",")</f>
        <v>"fashion hacks Vancouver",</v>
      </c>
    </row>
    <row r="2915">
      <c r="A2915" s="8" t="str">
        <f>IFERROR(__xludf.DUMMYFUNCTION("""COMPUTED_VALUE"""),"""capsule wardrobe Vancouver"",")</f>
        <v>"capsule wardrobe Vancouver",</v>
      </c>
    </row>
    <row r="2916">
      <c r="A2916" s="8" t="str">
        <f>IFERROR(__xludf.DUMMYFUNCTION("""COMPUTED_VALUE"""),"""fashion trends Vancouver"",")</f>
        <v>"fashion trends Vancouver",</v>
      </c>
    </row>
    <row r="2917">
      <c r="A2917" s="8" t="str">
        <f>IFERROR(__xludf.DUMMYFUNCTION("""COMPUTED_VALUE"""),"""minimalist fashion Vancouver"",")</f>
        <v>"minimalist fashion Vancouver",</v>
      </c>
    </row>
    <row r="2918">
      <c r="A2918" s="8" t="str">
        <f>IFERROR(__xludf.DUMMYFUNCTION("""COMPUTED_VALUE"""),"""beauty hacks Vancouver"",")</f>
        <v>"beauty hacks Vancouver",</v>
      </c>
    </row>
    <row r="2919">
      <c r="A2919" s="8" t="str">
        <f>IFERROR(__xludf.DUMMYFUNCTION("""COMPUTED_VALUE"""),"""hair routines Vancouver"",")</f>
        <v>"hair routines Vancouver",</v>
      </c>
    </row>
    <row r="2920">
      <c r="A2920" s="8" t="str">
        <f>IFERROR(__xludf.DUMMYFUNCTION("""COMPUTED_VALUE"""),"""empties Vancouver"",")</f>
        <v>"empties Vancouver",</v>
      </c>
    </row>
    <row r="2921">
      <c r="A2921" s="8" t="str">
        <f>IFERROR(__xludf.DUMMYFUNCTION("""COMPUTED_VALUE"""),"""product reviews Vancouver"",")</f>
        <v>"product reviews Vancouver",</v>
      </c>
    </row>
    <row r="2922">
      <c r="A2922" s="8" t="str">
        <f>IFERROR(__xludf.DUMMYFUNCTION("""COMPUTED_VALUE"""),"""beauty reviews  Vancouver"",")</f>
        <v>"beauty reviews  Vancouver",</v>
      </c>
    </row>
    <row r="2923">
      <c r="A2923" s="8" t="str">
        <f>IFERROR(__xludf.DUMMYFUNCTION("""COMPUTED_VALUE"""),"""make-up artist Vancouver"",")</f>
        <v>"make-up artist Vancouver",</v>
      </c>
    </row>
    <row r="2924">
      <c r="A2924" s="8" t="str">
        <f>IFERROR(__xludf.DUMMYFUNCTION("""COMPUTED_VALUE"""),"""skincare journey Vancouver"",")</f>
        <v>"skincare journey Vancouver",</v>
      </c>
    </row>
    <row r="2925">
      <c r="A2925" s="8" t="str">
        <f>IFERROR(__xludf.DUMMYFUNCTION("""COMPUTED_VALUE"""),"""hair tutorial Vancouver"",")</f>
        <v>"hair tutorial Vancouver",</v>
      </c>
    </row>
    <row r="2926">
      <c r="A2926" s="8" t="str">
        <f>IFERROR(__xludf.DUMMYFUNCTION("""COMPUTED_VALUE"""),"""barbershop Vancouver"",")</f>
        <v>"barbershop Vancouver",</v>
      </c>
    </row>
    <row r="2927">
      <c r="A2927" s="8" t="str">
        <f>IFERROR(__xludf.DUMMYFUNCTION("""COMPUTED_VALUE"""),"""ootd Brussels"",")</f>
        <v>"ootd Brussels",</v>
      </c>
    </row>
    <row r="2928">
      <c r="A2928" s="8" t="str">
        <f>IFERROR(__xludf.DUMMYFUNCTION("""COMPUTED_VALUE"""),"""street style Brussels"",")</f>
        <v>"street style Brussels",</v>
      </c>
    </row>
    <row r="2929">
      <c r="A2929" s="8" t="str">
        <f>IFERROR(__xludf.DUMMYFUNCTION("""COMPUTED_VALUE"""),"""skincare Brussels"",")</f>
        <v>"skincare Brussels",</v>
      </c>
    </row>
    <row r="2930">
      <c r="A2930" s="8" t="str">
        <f>IFERROR(__xludf.DUMMYFUNCTION("""COMPUTED_VALUE"""),"""makeup Brussels"",")</f>
        <v>"makeup Brussels",</v>
      </c>
    </row>
    <row r="2931">
      <c r="A2931" s="8" t="str">
        <f>IFERROR(__xludf.DUMMYFUNCTION("""COMPUTED_VALUE"""),"""nails Brussels"",")</f>
        <v>"nails Brussels",</v>
      </c>
    </row>
    <row r="2932">
      <c r="A2932" s="8" t="str">
        <f>IFERROR(__xludf.DUMMYFUNCTION("""COMPUTED_VALUE"""),"""curly hair Brussels"",")</f>
        <v>"curly hair Brussels",</v>
      </c>
    </row>
    <row r="2933">
      <c r="A2933" s="8" t="str">
        <f>IFERROR(__xludf.DUMMYFUNCTION("""COMPUTED_VALUE"""),"""thrift Brussels"",")</f>
        <v>"thrift Brussels",</v>
      </c>
    </row>
    <row r="2934">
      <c r="A2934" s="8" t="str">
        <f>IFERROR(__xludf.DUMMYFUNCTION("""COMPUTED_VALUE"""),"""streetwear Brussels"",")</f>
        <v>"streetwear Brussels",</v>
      </c>
    </row>
    <row r="2935">
      <c r="A2935" s="8" t="str">
        <f>IFERROR(__xludf.DUMMYFUNCTION("""COMPUTED_VALUE"""),"""luxury Brussels"",")</f>
        <v>"luxury Brussels",</v>
      </c>
    </row>
    <row r="2936">
      <c r="A2936" s="8" t="str">
        <f>IFERROR(__xludf.DUMMYFUNCTION("""COMPUTED_VALUE"""),"""handbags Brussels"",")</f>
        <v>"handbags Brussels",</v>
      </c>
    </row>
    <row r="2937">
      <c r="A2937" s="8" t="str">
        <f>IFERROR(__xludf.DUMMYFUNCTION("""COMPUTED_VALUE"""),"""sneakers Brussels"",")</f>
        <v>"sneakers Brussels",</v>
      </c>
    </row>
    <row r="2938">
      <c r="A2938" s="8" t="str">
        <f>IFERROR(__xludf.DUMMYFUNCTION("""COMPUTED_VALUE"""),"""high heels Brussels"",")</f>
        <v>"high heels Brussels",</v>
      </c>
    </row>
    <row r="2939">
      <c r="A2939" s="8" t="str">
        <f>IFERROR(__xludf.DUMMYFUNCTION("""COMPUTED_VALUE"""),"""haute-couture Brussels"",")</f>
        <v>"haute-couture Brussels",</v>
      </c>
    </row>
    <row r="2940">
      <c r="A2940" s="9" t="str">
        <f>IFERROR(__xludf.DUMMYFUNCTION("""COMPUTED_VALUE"""),"""diyfashion Brussels"",")</f>
        <v>"diyfashion Brussels",</v>
      </c>
    </row>
    <row r="2941">
      <c r="A2941" s="8" t="str">
        <f>IFERROR(__xludf.DUMMYFUNCTION("""COMPUTED_VALUE"""),"""accessories Brussels"",")</f>
        <v>"accessories Brussels",</v>
      </c>
    </row>
    <row r="2942">
      <c r="A2942" s="8" t="str">
        <f>IFERROR(__xludf.DUMMYFUNCTION("""COMPUTED_VALUE"""),"""menswear Brussels"",")</f>
        <v>"menswear Brussels",</v>
      </c>
    </row>
    <row r="2943">
      <c r="A2943" s="8" t="str">
        <f>IFERROR(__xludf.DUMMYFUNCTION("""COMPUTED_VALUE"""),"""womenswear Brussels"",")</f>
        <v>"womenswear Brussels",</v>
      </c>
    </row>
    <row r="2944">
      <c r="A2944" s="8" t="str">
        <f>IFERROR(__xludf.DUMMYFUNCTION("""COMPUTED_VALUE"""),"""moda Brussels"",")</f>
        <v>"moda Brussels",</v>
      </c>
    </row>
    <row r="2945">
      <c r="A2945" s="8" t="str">
        <f>IFERROR(__xludf.DUMMYFUNCTION("""COMPUTED_VALUE"""),"""hairstyle Brussels"",")</f>
        <v>"hairstyle Brussels",</v>
      </c>
    </row>
    <row r="2946">
      <c r="A2946" s="8" t="str">
        <f>IFERROR(__xludf.DUMMYFUNCTION("""COMPUTED_VALUE"""),"""perfume Brussels"",")</f>
        <v>"perfume Brussels",</v>
      </c>
    </row>
    <row r="2947">
      <c r="A2947" s="8" t="str">
        <f>IFERROR(__xludf.DUMMYFUNCTION("""COMPUTED_VALUE"""),"""cosmetiques Brussels"",")</f>
        <v>"cosmetiques Brussels",</v>
      </c>
    </row>
    <row r="2948">
      <c r="A2948" s="8" t="str">
        <f>IFERROR(__xludf.DUMMYFUNCTION("""COMPUTED_VALUE"""),"""beauty routine Brussels"",")</f>
        <v>"beauty routine Brussels",</v>
      </c>
    </row>
    <row r="2949">
      <c r="A2949" s="8" t="str">
        <f>IFERROR(__xludf.DUMMYFUNCTION("""COMPUTED_VALUE"""),"""natural beauty Brussels"",")</f>
        <v>"natural beauty Brussels",</v>
      </c>
    </row>
    <row r="2950">
      <c r="A2950" s="8" t="str">
        <f>IFERROR(__xludf.DUMMYFUNCTION("""COMPUTED_VALUE"""),"""organic beauty Brussels"",")</f>
        <v>"organic beauty Brussels",</v>
      </c>
    </row>
    <row r="2951">
      <c r="A2951" s="8" t="str">
        <f>IFERROR(__xludf.DUMMYFUNCTION("""COMPUTED_VALUE"""),"""sustainable fashion Brussels"",")</f>
        <v>"sustainable fashion Brussels",</v>
      </c>
    </row>
    <row r="2952">
      <c r="A2952" s="8" t="str">
        <f>IFERROR(__xludf.DUMMYFUNCTION("""COMPUTED_VALUE"""),"""fashion hacks Brussels"",")</f>
        <v>"fashion hacks Brussels",</v>
      </c>
    </row>
    <row r="2953">
      <c r="A2953" s="8" t="str">
        <f>IFERROR(__xludf.DUMMYFUNCTION("""COMPUTED_VALUE"""),"""capsule wardrobe Brussels"",")</f>
        <v>"capsule wardrobe Brussels",</v>
      </c>
    </row>
    <row r="2954">
      <c r="A2954" s="8" t="str">
        <f>IFERROR(__xludf.DUMMYFUNCTION("""COMPUTED_VALUE"""),"""fashion trends Brussels"",")</f>
        <v>"fashion trends Brussels",</v>
      </c>
    </row>
    <row r="2955">
      <c r="A2955" s="8" t="str">
        <f>IFERROR(__xludf.DUMMYFUNCTION("""COMPUTED_VALUE"""),"""minimalist fashion Brussels"",")</f>
        <v>"minimalist fashion Brussels",</v>
      </c>
    </row>
    <row r="2956">
      <c r="A2956" s="8" t="str">
        <f>IFERROR(__xludf.DUMMYFUNCTION("""COMPUTED_VALUE"""),"""beauty hacks Brussels"",")</f>
        <v>"beauty hacks Brussels",</v>
      </c>
    </row>
    <row r="2957">
      <c r="A2957" s="8" t="str">
        <f>IFERROR(__xludf.DUMMYFUNCTION("""COMPUTED_VALUE"""),"""hair routines Brussels"",")</f>
        <v>"hair routines Brussels",</v>
      </c>
    </row>
    <row r="2958">
      <c r="A2958" s="8" t="str">
        <f>IFERROR(__xludf.DUMMYFUNCTION("""COMPUTED_VALUE"""),"""empties Brussels"",")</f>
        <v>"empties Brussels",</v>
      </c>
    </row>
    <row r="2959">
      <c r="A2959" s="8" t="str">
        <f>IFERROR(__xludf.DUMMYFUNCTION("""COMPUTED_VALUE"""),"""product reviews Brussels"",")</f>
        <v>"product reviews Brussels",</v>
      </c>
    </row>
    <row r="2960">
      <c r="A2960" s="8" t="str">
        <f>IFERROR(__xludf.DUMMYFUNCTION("""COMPUTED_VALUE"""),"""beauty reviews  Brussels"",")</f>
        <v>"beauty reviews  Brussels",</v>
      </c>
    </row>
    <row r="2961">
      <c r="A2961" s="8" t="str">
        <f>IFERROR(__xludf.DUMMYFUNCTION("""COMPUTED_VALUE"""),"""make-up artist Brussels"",")</f>
        <v>"make-up artist Brussels",</v>
      </c>
    </row>
    <row r="2962">
      <c r="A2962" s="8" t="str">
        <f>IFERROR(__xludf.DUMMYFUNCTION("""COMPUTED_VALUE"""),"""skincare journey Brussels"",")</f>
        <v>"skincare journey Brussels",</v>
      </c>
    </row>
    <row r="2963">
      <c r="A2963" s="8" t="str">
        <f>IFERROR(__xludf.DUMMYFUNCTION("""COMPUTED_VALUE"""),"""hair tutorial Brussels"",")</f>
        <v>"hair tutorial Brussels",</v>
      </c>
    </row>
    <row r="2964">
      <c r="A2964" s="8" t="str">
        <f>IFERROR(__xludf.DUMMYFUNCTION("""COMPUTED_VALUE"""),"""barbershop Brussels"",")</f>
        <v>"barbershop Brussels",</v>
      </c>
    </row>
    <row r="2965">
      <c r="A2965" s="8" t="str">
        <f>IFERROR(__xludf.DUMMYFUNCTION("""COMPUTED_VALUE"""),"""ootd Geneva"",")</f>
        <v>"ootd Geneva",</v>
      </c>
    </row>
    <row r="2966">
      <c r="A2966" s="8" t="str">
        <f>IFERROR(__xludf.DUMMYFUNCTION("""COMPUTED_VALUE"""),"""street style Geneva"",")</f>
        <v>"street style Geneva",</v>
      </c>
    </row>
    <row r="2967">
      <c r="A2967" s="8" t="str">
        <f>IFERROR(__xludf.DUMMYFUNCTION("""COMPUTED_VALUE"""),"""skincare Geneva"",")</f>
        <v>"skincare Geneva",</v>
      </c>
    </row>
    <row r="2968">
      <c r="A2968" s="8" t="str">
        <f>IFERROR(__xludf.DUMMYFUNCTION("""COMPUTED_VALUE"""),"""makeup Geneva"",")</f>
        <v>"makeup Geneva",</v>
      </c>
    </row>
    <row r="2969">
      <c r="A2969" s="8" t="str">
        <f>IFERROR(__xludf.DUMMYFUNCTION("""COMPUTED_VALUE"""),"""nails Geneva"",")</f>
        <v>"nails Geneva",</v>
      </c>
    </row>
    <row r="2970">
      <c r="A2970" s="8" t="str">
        <f>IFERROR(__xludf.DUMMYFUNCTION("""COMPUTED_VALUE"""),"""curly hair Geneva"",")</f>
        <v>"curly hair Geneva",</v>
      </c>
    </row>
    <row r="2971">
      <c r="A2971" s="8" t="str">
        <f>IFERROR(__xludf.DUMMYFUNCTION("""COMPUTED_VALUE"""),"""thrift Geneva"",")</f>
        <v>"thrift Geneva",</v>
      </c>
    </row>
    <row r="2972">
      <c r="A2972" s="8" t="str">
        <f>IFERROR(__xludf.DUMMYFUNCTION("""COMPUTED_VALUE"""),"""streetwear Geneva"",")</f>
        <v>"streetwear Geneva",</v>
      </c>
    </row>
    <row r="2973">
      <c r="A2973" s="8" t="str">
        <f>IFERROR(__xludf.DUMMYFUNCTION("""COMPUTED_VALUE"""),"""luxury Geneva"",")</f>
        <v>"luxury Geneva",</v>
      </c>
    </row>
    <row r="2974">
      <c r="A2974" s="8" t="str">
        <f>IFERROR(__xludf.DUMMYFUNCTION("""COMPUTED_VALUE"""),"""handbags Geneva"",")</f>
        <v>"handbags Geneva",</v>
      </c>
    </row>
    <row r="2975">
      <c r="A2975" s="8" t="str">
        <f>IFERROR(__xludf.DUMMYFUNCTION("""COMPUTED_VALUE"""),"""sneakers Geneva"",")</f>
        <v>"sneakers Geneva",</v>
      </c>
    </row>
    <row r="2976">
      <c r="A2976" s="8" t="str">
        <f>IFERROR(__xludf.DUMMYFUNCTION("""COMPUTED_VALUE"""),"""high heels Geneva"",")</f>
        <v>"high heels Geneva",</v>
      </c>
    </row>
    <row r="2977">
      <c r="A2977" s="8" t="str">
        <f>IFERROR(__xludf.DUMMYFUNCTION("""COMPUTED_VALUE"""),"""haute-couture Geneva"",")</f>
        <v>"haute-couture Geneva",</v>
      </c>
    </row>
    <row r="2978">
      <c r="A2978" s="8" t="str">
        <f>IFERROR(__xludf.DUMMYFUNCTION("""COMPUTED_VALUE"""),"""diyfashion Geneva"",")</f>
        <v>"diyfashion Geneva",</v>
      </c>
    </row>
    <row r="2979">
      <c r="A2979" s="8" t="str">
        <f>IFERROR(__xludf.DUMMYFUNCTION("""COMPUTED_VALUE"""),"""accessories Geneva"",")</f>
        <v>"accessories Geneva",</v>
      </c>
    </row>
    <row r="2980">
      <c r="A2980" s="8" t="str">
        <f>IFERROR(__xludf.DUMMYFUNCTION("""COMPUTED_VALUE"""),"""menswear Geneva"",")</f>
        <v>"menswear Geneva",</v>
      </c>
    </row>
    <row r="2981">
      <c r="A2981" s="8" t="str">
        <f>IFERROR(__xludf.DUMMYFUNCTION("""COMPUTED_VALUE"""),"""womenswear Geneva"",")</f>
        <v>"womenswear Geneva",</v>
      </c>
    </row>
    <row r="2982">
      <c r="A2982" s="8" t="str">
        <f>IFERROR(__xludf.DUMMYFUNCTION("""COMPUTED_VALUE"""),"""moda Geneva"",")</f>
        <v>"moda Geneva",</v>
      </c>
    </row>
    <row r="2983">
      <c r="A2983" s="8" t="str">
        <f>IFERROR(__xludf.DUMMYFUNCTION("""COMPUTED_VALUE"""),"""hairstyle Geneva"",")</f>
        <v>"hairstyle Geneva",</v>
      </c>
    </row>
    <row r="2984">
      <c r="A2984" s="8" t="str">
        <f>IFERROR(__xludf.DUMMYFUNCTION("""COMPUTED_VALUE"""),"""perfume Geneva"",")</f>
        <v>"perfume Geneva",</v>
      </c>
    </row>
    <row r="2985">
      <c r="A2985" s="8" t="str">
        <f>IFERROR(__xludf.DUMMYFUNCTION("""COMPUTED_VALUE"""),"""cosmetiques Geneva"",")</f>
        <v>"cosmetiques Geneva",</v>
      </c>
    </row>
    <row r="2986">
      <c r="A2986" s="8" t="str">
        <f>IFERROR(__xludf.DUMMYFUNCTION("""COMPUTED_VALUE"""),"""beauty routine Geneva"",")</f>
        <v>"beauty routine Geneva",</v>
      </c>
    </row>
    <row r="2987">
      <c r="A2987" s="8" t="str">
        <f>IFERROR(__xludf.DUMMYFUNCTION("""COMPUTED_VALUE"""),"""natural beauty Geneva"",")</f>
        <v>"natural beauty Geneva",</v>
      </c>
    </row>
    <row r="2988">
      <c r="A2988" s="8" t="str">
        <f>IFERROR(__xludf.DUMMYFUNCTION("""COMPUTED_VALUE"""),"""organic beauty Geneva"",")</f>
        <v>"organic beauty Geneva",</v>
      </c>
    </row>
    <row r="2989">
      <c r="A2989" s="8" t="str">
        <f>IFERROR(__xludf.DUMMYFUNCTION("""COMPUTED_VALUE"""),"""sustainable fashion Geneva"",")</f>
        <v>"sustainable fashion Geneva",</v>
      </c>
    </row>
    <row r="2990">
      <c r="A2990" s="8" t="str">
        <f>IFERROR(__xludf.DUMMYFUNCTION("""COMPUTED_VALUE"""),"""fashion hacks Geneva"",")</f>
        <v>"fashion hacks Geneva",</v>
      </c>
    </row>
    <row r="2991">
      <c r="A2991" s="8" t="str">
        <f>IFERROR(__xludf.DUMMYFUNCTION("""COMPUTED_VALUE"""),"""capsule wardrobe Geneva"",")</f>
        <v>"capsule wardrobe Geneva",</v>
      </c>
    </row>
    <row r="2992">
      <c r="A2992" s="8" t="str">
        <f>IFERROR(__xludf.DUMMYFUNCTION("""COMPUTED_VALUE"""),"""fashion trends Geneva"",")</f>
        <v>"fashion trends Geneva",</v>
      </c>
    </row>
    <row r="2993">
      <c r="A2993" s="8" t="str">
        <f>IFERROR(__xludf.DUMMYFUNCTION("""COMPUTED_VALUE"""),"""minimalist fashion Geneva"",")</f>
        <v>"minimalist fashion Geneva",</v>
      </c>
    </row>
    <row r="2994">
      <c r="A2994" s="8" t="str">
        <f>IFERROR(__xludf.DUMMYFUNCTION("""COMPUTED_VALUE"""),"""beauty hacks Geneva"",")</f>
        <v>"beauty hacks Geneva",</v>
      </c>
    </row>
    <row r="2995">
      <c r="A2995" s="8" t="str">
        <f>IFERROR(__xludf.DUMMYFUNCTION("""COMPUTED_VALUE"""),"""hair routines Geneva"",")</f>
        <v>"hair routines Geneva",</v>
      </c>
    </row>
    <row r="2996">
      <c r="A2996" s="8" t="str">
        <f>IFERROR(__xludf.DUMMYFUNCTION("""COMPUTED_VALUE"""),"""empties Geneva"",")</f>
        <v>"empties Geneva",</v>
      </c>
    </row>
    <row r="2997">
      <c r="A2997" s="8" t="str">
        <f>IFERROR(__xludf.DUMMYFUNCTION("""COMPUTED_VALUE"""),"""product reviews Geneva"",")</f>
        <v>"product reviews Geneva",</v>
      </c>
    </row>
    <row r="2998">
      <c r="A2998" s="8" t="str">
        <f>IFERROR(__xludf.DUMMYFUNCTION("""COMPUTED_VALUE"""),"""beauty reviews  Geneva"",")</f>
        <v>"beauty reviews  Geneva",</v>
      </c>
    </row>
    <row r="2999">
      <c r="A2999" s="8" t="str">
        <f>IFERROR(__xludf.DUMMYFUNCTION("""COMPUTED_VALUE"""),"""make-up artist Geneva"",")</f>
        <v>"make-up artist Geneva",</v>
      </c>
    </row>
    <row r="3000">
      <c r="A3000" s="8" t="str">
        <f>IFERROR(__xludf.DUMMYFUNCTION("""COMPUTED_VALUE"""),"""skincare journey Geneva"",")</f>
        <v>"skincare journey Geneva",</v>
      </c>
    </row>
    <row r="3001">
      <c r="A3001" s="8" t="str">
        <f>IFERROR(__xludf.DUMMYFUNCTION("""COMPUTED_VALUE"""),"""hair tutorial Geneva"",")</f>
        <v>"hair tutorial Geneva",</v>
      </c>
    </row>
    <row r="3002">
      <c r="A3002" s="8" t="str">
        <f>IFERROR(__xludf.DUMMYFUNCTION("""COMPUTED_VALUE"""),"""barbershop Geneva"",")</f>
        <v>"barbershop Geneva",</v>
      </c>
    </row>
    <row r="3003">
      <c r="A3003" s="8" t="str">
        <f>IFERROR(__xludf.DUMMYFUNCTION("""COMPUTED_VALUE"""),"""ootd Warsaw"",")</f>
        <v>"ootd Warsaw",</v>
      </c>
    </row>
    <row r="3004">
      <c r="A3004" s="8" t="str">
        <f>IFERROR(__xludf.DUMMYFUNCTION("""COMPUTED_VALUE"""),"""street style Warsaw"",")</f>
        <v>"street style Warsaw",</v>
      </c>
    </row>
    <row r="3005">
      <c r="A3005" s="8" t="str">
        <f>IFERROR(__xludf.DUMMYFUNCTION("""COMPUTED_VALUE"""),"""skincare Warsaw"",")</f>
        <v>"skincare Warsaw",</v>
      </c>
    </row>
    <row r="3006">
      <c r="A3006" s="8" t="str">
        <f>IFERROR(__xludf.DUMMYFUNCTION("""COMPUTED_VALUE"""),"""makeup Warsaw"",")</f>
        <v>"makeup Warsaw",</v>
      </c>
    </row>
    <row r="3007">
      <c r="A3007" s="8" t="str">
        <f>IFERROR(__xludf.DUMMYFUNCTION("""COMPUTED_VALUE"""),"""nails Warsaw"",")</f>
        <v>"nails Warsaw",</v>
      </c>
    </row>
    <row r="3008">
      <c r="A3008" s="8" t="str">
        <f>IFERROR(__xludf.DUMMYFUNCTION("""COMPUTED_VALUE"""),"""curly hair Warsaw"",")</f>
        <v>"curly hair Warsaw",</v>
      </c>
    </row>
    <row r="3009">
      <c r="A3009" s="8" t="str">
        <f>IFERROR(__xludf.DUMMYFUNCTION("""COMPUTED_VALUE"""),"""thrift Warsaw"",")</f>
        <v>"thrift Warsaw",</v>
      </c>
    </row>
    <row r="3010">
      <c r="A3010" s="8" t="str">
        <f>IFERROR(__xludf.DUMMYFUNCTION("""COMPUTED_VALUE"""),"""streetwear Warsaw"",")</f>
        <v>"streetwear Warsaw",</v>
      </c>
    </row>
    <row r="3011">
      <c r="A3011" s="8" t="str">
        <f>IFERROR(__xludf.DUMMYFUNCTION("""COMPUTED_VALUE"""),"""luxury Warsaw"",")</f>
        <v>"luxury Warsaw",</v>
      </c>
    </row>
    <row r="3012">
      <c r="A3012" s="8" t="str">
        <f>IFERROR(__xludf.DUMMYFUNCTION("""COMPUTED_VALUE"""),"""handbags Warsaw"",")</f>
        <v>"handbags Warsaw",</v>
      </c>
    </row>
    <row r="3013">
      <c r="A3013" s="8" t="str">
        <f>IFERROR(__xludf.DUMMYFUNCTION("""COMPUTED_VALUE"""),"""sneakers Warsaw"",")</f>
        <v>"sneakers Warsaw",</v>
      </c>
    </row>
    <row r="3014">
      <c r="A3014" s="8" t="str">
        <f>IFERROR(__xludf.DUMMYFUNCTION("""COMPUTED_VALUE"""),"""high heels Warsaw"",")</f>
        <v>"high heels Warsaw",</v>
      </c>
    </row>
    <row r="3015">
      <c r="A3015" s="8" t="str">
        <f>IFERROR(__xludf.DUMMYFUNCTION("""COMPUTED_VALUE"""),"""haute-couture Warsaw"",")</f>
        <v>"haute-couture Warsaw",</v>
      </c>
    </row>
    <row r="3016">
      <c r="A3016" s="8" t="str">
        <f>IFERROR(__xludf.DUMMYFUNCTION("""COMPUTED_VALUE"""),"""diyfashion Warsaw"",")</f>
        <v>"diyfashion Warsaw",</v>
      </c>
    </row>
    <row r="3017">
      <c r="A3017" s="8" t="str">
        <f>IFERROR(__xludf.DUMMYFUNCTION("""COMPUTED_VALUE"""),"""accessories Warsaw"",")</f>
        <v>"accessories Warsaw",</v>
      </c>
    </row>
    <row r="3018">
      <c r="A3018" s="8" t="str">
        <f>IFERROR(__xludf.DUMMYFUNCTION("""COMPUTED_VALUE"""),"""menswear Warsaw"",")</f>
        <v>"menswear Warsaw",</v>
      </c>
    </row>
    <row r="3019">
      <c r="A3019" s="8" t="str">
        <f>IFERROR(__xludf.DUMMYFUNCTION("""COMPUTED_VALUE"""),"""womenswear Warsaw"",")</f>
        <v>"womenswear Warsaw",</v>
      </c>
    </row>
    <row r="3020">
      <c r="A3020" s="8" t="str">
        <f>IFERROR(__xludf.DUMMYFUNCTION("""COMPUTED_VALUE"""),"""moda Warsaw"",")</f>
        <v>"moda Warsaw",</v>
      </c>
    </row>
    <row r="3021">
      <c r="A3021" s="8" t="str">
        <f>IFERROR(__xludf.DUMMYFUNCTION("""COMPUTED_VALUE"""),"""hairstyle Warsaw"",")</f>
        <v>"hairstyle Warsaw",</v>
      </c>
    </row>
    <row r="3022">
      <c r="A3022" s="8" t="str">
        <f>IFERROR(__xludf.DUMMYFUNCTION("""COMPUTED_VALUE"""),"""perfume Warsaw"",")</f>
        <v>"perfume Warsaw",</v>
      </c>
    </row>
    <row r="3023">
      <c r="A3023" s="8" t="str">
        <f>IFERROR(__xludf.DUMMYFUNCTION("""COMPUTED_VALUE"""),"""cosmetiques Warsaw"",")</f>
        <v>"cosmetiques Warsaw",</v>
      </c>
    </row>
    <row r="3024">
      <c r="A3024" s="8" t="str">
        <f>IFERROR(__xludf.DUMMYFUNCTION("""COMPUTED_VALUE"""),"""beauty routine Warsaw"",")</f>
        <v>"beauty routine Warsaw",</v>
      </c>
    </row>
    <row r="3025">
      <c r="A3025" s="8" t="str">
        <f>IFERROR(__xludf.DUMMYFUNCTION("""COMPUTED_VALUE"""),"""natural beauty Warsaw"",")</f>
        <v>"natural beauty Warsaw",</v>
      </c>
    </row>
    <row r="3026">
      <c r="A3026" s="8" t="str">
        <f>IFERROR(__xludf.DUMMYFUNCTION("""COMPUTED_VALUE"""),"""organic beauty Warsaw"",")</f>
        <v>"organic beauty Warsaw",</v>
      </c>
    </row>
    <row r="3027">
      <c r="A3027" s="8" t="str">
        <f>IFERROR(__xludf.DUMMYFUNCTION("""COMPUTED_VALUE"""),"""sustainable fashion Warsaw"",")</f>
        <v>"sustainable fashion Warsaw",</v>
      </c>
    </row>
    <row r="3028">
      <c r="A3028" s="8" t="str">
        <f>IFERROR(__xludf.DUMMYFUNCTION("""COMPUTED_VALUE"""),"""fashion hacks Warsaw"",")</f>
        <v>"fashion hacks Warsaw",</v>
      </c>
    </row>
    <row r="3029">
      <c r="A3029" s="8" t="str">
        <f>IFERROR(__xludf.DUMMYFUNCTION("""COMPUTED_VALUE"""),"""capsule wardrobe Warsaw"",")</f>
        <v>"capsule wardrobe Warsaw",</v>
      </c>
    </row>
    <row r="3030">
      <c r="A3030" s="8" t="str">
        <f>IFERROR(__xludf.DUMMYFUNCTION("""COMPUTED_VALUE"""),"""fashion trends Warsaw"",")</f>
        <v>"fashion trends Warsaw",</v>
      </c>
    </row>
    <row r="3031">
      <c r="A3031" s="8" t="str">
        <f>IFERROR(__xludf.DUMMYFUNCTION("""COMPUTED_VALUE"""),"""minimalist fashion Warsaw"",")</f>
        <v>"minimalist fashion Warsaw",</v>
      </c>
    </row>
    <row r="3032">
      <c r="A3032" s="8" t="str">
        <f>IFERROR(__xludf.DUMMYFUNCTION("""COMPUTED_VALUE"""),"""beauty hacks Warsaw"",")</f>
        <v>"beauty hacks Warsaw",</v>
      </c>
    </row>
    <row r="3033">
      <c r="A3033" s="8" t="str">
        <f>IFERROR(__xludf.DUMMYFUNCTION("""COMPUTED_VALUE"""),"""hair routines Warsaw"",")</f>
        <v>"hair routines Warsaw",</v>
      </c>
    </row>
    <row r="3034">
      <c r="A3034" s="8" t="str">
        <f>IFERROR(__xludf.DUMMYFUNCTION("""COMPUTED_VALUE"""),"""empties Warsaw"",")</f>
        <v>"empties Warsaw",</v>
      </c>
    </row>
    <row r="3035">
      <c r="A3035" s="8" t="str">
        <f>IFERROR(__xludf.DUMMYFUNCTION("""COMPUTED_VALUE"""),"""product reviews Warsaw"",")</f>
        <v>"product reviews Warsaw",</v>
      </c>
    </row>
    <row r="3036">
      <c r="A3036" s="8" t="str">
        <f>IFERROR(__xludf.DUMMYFUNCTION("""COMPUTED_VALUE"""),"""beauty reviews  Warsaw"",")</f>
        <v>"beauty reviews  Warsaw",</v>
      </c>
    </row>
    <row r="3037">
      <c r="A3037" s="8" t="str">
        <f>IFERROR(__xludf.DUMMYFUNCTION("""COMPUTED_VALUE"""),"""make-up artist Warsaw"",")</f>
        <v>"make-up artist Warsaw",</v>
      </c>
    </row>
    <row r="3038">
      <c r="A3038" s="8" t="str">
        <f>IFERROR(__xludf.DUMMYFUNCTION("""COMPUTED_VALUE"""),"""skincare journey Warsaw"",")</f>
        <v>"skincare journey Warsaw",</v>
      </c>
    </row>
    <row r="3039">
      <c r="A3039" s="8" t="str">
        <f>IFERROR(__xludf.DUMMYFUNCTION("""COMPUTED_VALUE"""),"""hair tutorial Warsaw"",")</f>
        <v>"hair tutorial Warsaw",</v>
      </c>
    </row>
    <row r="3040">
      <c r="A3040" s="8" t="str">
        <f>IFERROR(__xludf.DUMMYFUNCTION("""COMPUTED_VALUE"""),"""barbershop Warsaw"",")</f>
        <v>"barbershop Warsaw",</v>
      </c>
    </row>
    <row r="3041">
      <c r="A3041" s="8" t="str">
        <f>IFERROR(__xludf.DUMMYFUNCTION("""COMPUTED_VALUE"""),"""ootd Moscow"",")</f>
        <v>"ootd Moscow",</v>
      </c>
    </row>
    <row r="3042">
      <c r="A3042" s="8" t="str">
        <f>IFERROR(__xludf.DUMMYFUNCTION("""COMPUTED_VALUE"""),"""street style Moscow"",")</f>
        <v>"street style Moscow",</v>
      </c>
    </row>
    <row r="3043">
      <c r="A3043" s="8" t="str">
        <f>IFERROR(__xludf.DUMMYFUNCTION("""COMPUTED_VALUE"""),"""skincare Moscow"",")</f>
        <v>"skincare Moscow",</v>
      </c>
    </row>
    <row r="3044">
      <c r="A3044" s="8" t="str">
        <f>IFERROR(__xludf.DUMMYFUNCTION("""COMPUTED_VALUE"""),"""makeup Moscow"",")</f>
        <v>"makeup Moscow",</v>
      </c>
    </row>
    <row r="3045">
      <c r="A3045" s="8" t="str">
        <f>IFERROR(__xludf.DUMMYFUNCTION("""COMPUTED_VALUE"""),"""nails Moscow"",")</f>
        <v>"nails Moscow",</v>
      </c>
    </row>
    <row r="3046">
      <c r="A3046" s="8" t="str">
        <f>IFERROR(__xludf.DUMMYFUNCTION("""COMPUTED_VALUE"""),"""curly hair Moscow"",")</f>
        <v>"curly hair Moscow",</v>
      </c>
    </row>
    <row r="3047">
      <c r="A3047" s="8" t="str">
        <f>IFERROR(__xludf.DUMMYFUNCTION("""COMPUTED_VALUE"""),"""thrift Moscow"",")</f>
        <v>"thrift Moscow",</v>
      </c>
    </row>
    <row r="3048">
      <c r="A3048" s="8" t="str">
        <f>IFERROR(__xludf.DUMMYFUNCTION("""COMPUTED_VALUE"""),"""streetwear Moscow"",")</f>
        <v>"streetwear Moscow",</v>
      </c>
    </row>
    <row r="3049">
      <c r="A3049" s="8" t="str">
        <f>IFERROR(__xludf.DUMMYFUNCTION("""COMPUTED_VALUE"""),"""luxury Moscow"",")</f>
        <v>"luxury Moscow",</v>
      </c>
    </row>
    <row r="3050">
      <c r="A3050" s="8" t="str">
        <f>IFERROR(__xludf.DUMMYFUNCTION("""COMPUTED_VALUE"""),"""handbags Moscow"",")</f>
        <v>"handbags Moscow",</v>
      </c>
    </row>
    <row r="3051">
      <c r="A3051" s="8" t="str">
        <f>IFERROR(__xludf.DUMMYFUNCTION("""COMPUTED_VALUE"""),"""sneakers Moscow"",")</f>
        <v>"sneakers Moscow",</v>
      </c>
    </row>
    <row r="3052">
      <c r="A3052" s="8" t="str">
        <f>IFERROR(__xludf.DUMMYFUNCTION("""COMPUTED_VALUE"""),"""high heels Moscow"",")</f>
        <v>"high heels Moscow",</v>
      </c>
    </row>
    <row r="3053">
      <c r="A3053" s="8" t="str">
        <f>IFERROR(__xludf.DUMMYFUNCTION("""COMPUTED_VALUE"""),"""haute-couture Moscow"",")</f>
        <v>"haute-couture Moscow",</v>
      </c>
    </row>
    <row r="3054">
      <c r="A3054" s="8" t="str">
        <f>IFERROR(__xludf.DUMMYFUNCTION("""COMPUTED_VALUE"""),"""diyfashion Moscow"",")</f>
        <v>"diyfashion Moscow",</v>
      </c>
    </row>
    <row r="3055">
      <c r="A3055" s="8" t="str">
        <f>IFERROR(__xludf.DUMMYFUNCTION("""COMPUTED_VALUE"""),"""accessories Moscow"",")</f>
        <v>"accessories Moscow",</v>
      </c>
    </row>
    <row r="3056">
      <c r="A3056" s="8" t="str">
        <f>IFERROR(__xludf.DUMMYFUNCTION("""COMPUTED_VALUE"""),"""menswear Moscow"",")</f>
        <v>"menswear Moscow",</v>
      </c>
    </row>
    <row r="3057">
      <c r="A3057" s="8" t="str">
        <f>IFERROR(__xludf.DUMMYFUNCTION("""COMPUTED_VALUE"""),"""womenswear Moscow"",")</f>
        <v>"womenswear Moscow",</v>
      </c>
    </row>
    <row r="3058">
      <c r="A3058" s="8" t="str">
        <f>IFERROR(__xludf.DUMMYFUNCTION("""COMPUTED_VALUE"""),"""moda Moscow"",")</f>
        <v>"moda Moscow",</v>
      </c>
    </row>
    <row r="3059">
      <c r="A3059" s="8" t="str">
        <f>IFERROR(__xludf.DUMMYFUNCTION("""COMPUTED_VALUE"""),"""hairstyle Moscow"",")</f>
        <v>"hairstyle Moscow",</v>
      </c>
    </row>
    <row r="3060">
      <c r="A3060" s="8" t="str">
        <f>IFERROR(__xludf.DUMMYFUNCTION("""COMPUTED_VALUE"""),"""perfume Moscow"",")</f>
        <v>"perfume Moscow",</v>
      </c>
    </row>
    <row r="3061">
      <c r="A3061" s="8" t="str">
        <f>IFERROR(__xludf.DUMMYFUNCTION("""COMPUTED_VALUE"""),"""cosmetiques Moscow"",")</f>
        <v>"cosmetiques Moscow",</v>
      </c>
    </row>
    <row r="3062">
      <c r="A3062" s="8" t="str">
        <f>IFERROR(__xludf.DUMMYFUNCTION("""COMPUTED_VALUE"""),"""beauty routine Moscow"",")</f>
        <v>"beauty routine Moscow",</v>
      </c>
    </row>
    <row r="3063">
      <c r="A3063" s="8" t="str">
        <f>IFERROR(__xludf.DUMMYFUNCTION("""COMPUTED_VALUE"""),"""natural beauty Moscow"",")</f>
        <v>"natural beauty Moscow",</v>
      </c>
    </row>
    <row r="3064">
      <c r="A3064" s="8" t="str">
        <f>IFERROR(__xludf.DUMMYFUNCTION("""COMPUTED_VALUE"""),"""organic beauty Moscow"",")</f>
        <v>"organic beauty Moscow",</v>
      </c>
    </row>
    <row r="3065">
      <c r="A3065" s="8" t="str">
        <f>IFERROR(__xludf.DUMMYFUNCTION("""COMPUTED_VALUE"""),"""sustainable fashion Moscow"",")</f>
        <v>"sustainable fashion Moscow",</v>
      </c>
    </row>
    <row r="3066">
      <c r="A3066" s="8" t="str">
        <f>IFERROR(__xludf.DUMMYFUNCTION("""COMPUTED_VALUE"""),"""fashion hacks Moscow"",")</f>
        <v>"fashion hacks Moscow",</v>
      </c>
    </row>
    <row r="3067">
      <c r="A3067" s="8" t="str">
        <f>IFERROR(__xludf.DUMMYFUNCTION("""COMPUTED_VALUE"""),"""capsule wardrobe Moscow"",")</f>
        <v>"capsule wardrobe Moscow",</v>
      </c>
    </row>
    <row r="3068">
      <c r="A3068" s="8" t="str">
        <f>IFERROR(__xludf.DUMMYFUNCTION("""COMPUTED_VALUE"""),"""fashion trends Moscow"",")</f>
        <v>"fashion trends Moscow",</v>
      </c>
    </row>
    <row r="3069">
      <c r="A3069" s="8" t="str">
        <f>IFERROR(__xludf.DUMMYFUNCTION("""COMPUTED_VALUE"""),"""minimalist fashion Moscow"",")</f>
        <v>"minimalist fashion Moscow",</v>
      </c>
    </row>
    <row r="3070">
      <c r="A3070" s="8" t="str">
        <f>IFERROR(__xludf.DUMMYFUNCTION("""COMPUTED_VALUE"""),"""beauty hacks Moscow"",")</f>
        <v>"beauty hacks Moscow",</v>
      </c>
    </row>
    <row r="3071">
      <c r="A3071" s="8" t="str">
        <f>IFERROR(__xludf.DUMMYFUNCTION("""COMPUTED_VALUE"""),"""hair routines Moscow"",")</f>
        <v>"hair routines Moscow",</v>
      </c>
    </row>
    <row r="3072">
      <c r="A3072" s="8" t="str">
        <f>IFERROR(__xludf.DUMMYFUNCTION("""COMPUTED_VALUE"""),"""empties Moscow"",")</f>
        <v>"empties Moscow",</v>
      </c>
    </row>
    <row r="3073">
      <c r="A3073" s="8" t="str">
        <f>IFERROR(__xludf.DUMMYFUNCTION("""COMPUTED_VALUE"""),"""product reviews Moscow"",")</f>
        <v>"product reviews Moscow",</v>
      </c>
    </row>
    <row r="3074">
      <c r="A3074" s="8" t="str">
        <f>IFERROR(__xludf.DUMMYFUNCTION("""COMPUTED_VALUE"""),"""beauty reviews  Moscow"",")</f>
        <v>"beauty reviews  Moscow",</v>
      </c>
    </row>
    <row r="3075">
      <c r="A3075" s="8" t="str">
        <f>IFERROR(__xludf.DUMMYFUNCTION("""COMPUTED_VALUE"""),"""make-up artist Moscow"",")</f>
        <v>"make-up artist Moscow",</v>
      </c>
    </row>
    <row r="3076">
      <c r="A3076" s="8" t="str">
        <f>IFERROR(__xludf.DUMMYFUNCTION("""COMPUTED_VALUE"""),"""skincare journey Moscow"",")</f>
        <v>"skincare journey Moscow",</v>
      </c>
    </row>
    <row r="3077">
      <c r="A3077" s="8" t="str">
        <f>IFERROR(__xludf.DUMMYFUNCTION("""COMPUTED_VALUE"""),"""hair tutorial Moscow"",")</f>
        <v>"hair tutorial Moscow",</v>
      </c>
    </row>
    <row r="3078">
      <c r="A3078" s="8" t="str">
        <f>IFERROR(__xludf.DUMMYFUNCTION("""COMPUTED_VALUE"""),"""barbershop Moscow"",")</f>
        <v>"barbershop Moscow",</v>
      </c>
    </row>
    <row r="3079">
      <c r="A3079" s="8" t="str">
        <f>IFERROR(__xludf.DUMMYFUNCTION("""COMPUTED_VALUE"""),"""ootd St. Petersburg"",")</f>
        <v>"ootd St. Petersburg",</v>
      </c>
    </row>
    <row r="3080">
      <c r="A3080" s="8" t="str">
        <f>IFERROR(__xludf.DUMMYFUNCTION("""COMPUTED_VALUE"""),"""street style St. Petersburg"",")</f>
        <v>"street style St. Petersburg",</v>
      </c>
    </row>
    <row r="3081">
      <c r="A3081" s="8" t="str">
        <f>IFERROR(__xludf.DUMMYFUNCTION("""COMPUTED_VALUE"""),"""skincare St. Petersburg"",")</f>
        <v>"skincare St. Petersburg",</v>
      </c>
    </row>
    <row r="3082">
      <c r="A3082" s="8" t="str">
        <f>IFERROR(__xludf.DUMMYFUNCTION("""COMPUTED_VALUE"""),"""makeup St. Petersburg"",")</f>
        <v>"makeup St. Petersburg",</v>
      </c>
    </row>
    <row r="3083">
      <c r="A3083" s="8" t="str">
        <f>IFERROR(__xludf.DUMMYFUNCTION("""COMPUTED_VALUE"""),"""nails St. Petersburg"",")</f>
        <v>"nails St. Petersburg",</v>
      </c>
    </row>
    <row r="3084">
      <c r="A3084" s="8" t="str">
        <f>IFERROR(__xludf.DUMMYFUNCTION("""COMPUTED_VALUE"""),"""curly hair St. Petersburg"",")</f>
        <v>"curly hair St. Petersburg",</v>
      </c>
    </row>
    <row r="3085">
      <c r="A3085" s="8" t="str">
        <f>IFERROR(__xludf.DUMMYFUNCTION("""COMPUTED_VALUE"""),"""thrift St. Petersburg"",")</f>
        <v>"thrift St. Petersburg",</v>
      </c>
    </row>
    <row r="3086">
      <c r="A3086" s="8" t="str">
        <f>IFERROR(__xludf.DUMMYFUNCTION("""COMPUTED_VALUE"""),"""streetwear St. Petersburg"",")</f>
        <v>"streetwear St. Petersburg",</v>
      </c>
    </row>
    <row r="3087">
      <c r="A3087" s="8" t="str">
        <f>IFERROR(__xludf.DUMMYFUNCTION("""COMPUTED_VALUE"""),"""luxury St. Petersburg"",")</f>
        <v>"luxury St. Petersburg",</v>
      </c>
    </row>
    <row r="3088">
      <c r="A3088" s="8" t="str">
        <f>IFERROR(__xludf.DUMMYFUNCTION("""COMPUTED_VALUE"""),"""handbags St. Petersburg"",")</f>
        <v>"handbags St. Petersburg",</v>
      </c>
    </row>
    <row r="3089">
      <c r="A3089" s="8" t="str">
        <f>IFERROR(__xludf.DUMMYFUNCTION("""COMPUTED_VALUE"""),"""sneakers St. Petersburg"",")</f>
        <v>"sneakers St. Petersburg",</v>
      </c>
    </row>
    <row r="3090">
      <c r="A3090" s="8" t="str">
        <f>IFERROR(__xludf.DUMMYFUNCTION("""COMPUTED_VALUE"""),"""high heels St. Petersburg"",")</f>
        <v>"high heels St. Petersburg",</v>
      </c>
    </row>
    <row r="3091">
      <c r="A3091" s="8" t="str">
        <f>IFERROR(__xludf.DUMMYFUNCTION("""COMPUTED_VALUE"""),"""haute-couture St. Petersburg"",")</f>
        <v>"haute-couture St. Petersburg",</v>
      </c>
    </row>
    <row r="3092">
      <c r="A3092" s="8" t="str">
        <f>IFERROR(__xludf.DUMMYFUNCTION("""COMPUTED_VALUE"""),"""diyfashion St. Petersburg"",")</f>
        <v>"diyfashion St. Petersburg",</v>
      </c>
    </row>
    <row r="3093">
      <c r="A3093" s="8" t="str">
        <f>IFERROR(__xludf.DUMMYFUNCTION("""COMPUTED_VALUE"""),"""accessories St. Petersburg"",")</f>
        <v>"accessories St. Petersburg",</v>
      </c>
    </row>
    <row r="3094">
      <c r="A3094" s="8" t="str">
        <f>IFERROR(__xludf.DUMMYFUNCTION("""COMPUTED_VALUE"""),"""menswear St. Petersburg"",")</f>
        <v>"menswear St. Petersburg",</v>
      </c>
    </row>
    <row r="3095">
      <c r="A3095" s="8" t="str">
        <f>IFERROR(__xludf.DUMMYFUNCTION("""COMPUTED_VALUE"""),"""womenswear St. Petersburg"",")</f>
        <v>"womenswear St. Petersburg",</v>
      </c>
    </row>
    <row r="3096">
      <c r="A3096" s="8" t="str">
        <f>IFERROR(__xludf.DUMMYFUNCTION("""COMPUTED_VALUE"""),"""moda St. Petersburg"",")</f>
        <v>"moda St. Petersburg",</v>
      </c>
    </row>
    <row r="3097">
      <c r="A3097" s="8" t="str">
        <f>IFERROR(__xludf.DUMMYFUNCTION("""COMPUTED_VALUE"""),"""hairstyle St. Petersburg"",")</f>
        <v>"hairstyle St. Petersburg",</v>
      </c>
    </row>
    <row r="3098">
      <c r="A3098" s="8" t="str">
        <f>IFERROR(__xludf.DUMMYFUNCTION("""COMPUTED_VALUE"""),"""perfume St. Petersburg"",")</f>
        <v>"perfume St. Petersburg",</v>
      </c>
    </row>
    <row r="3099">
      <c r="A3099" s="8" t="str">
        <f>IFERROR(__xludf.DUMMYFUNCTION("""COMPUTED_VALUE"""),"""cosmetiques St. Petersburg"",")</f>
        <v>"cosmetiques St. Petersburg",</v>
      </c>
    </row>
    <row r="3100">
      <c r="A3100" s="8" t="str">
        <f>IFERROR(__xludf.DUMMYFUNCTION("""COMPUTED_VALUE"""),"""beauty routine St. Petersburg"",")</f>
        <v>"beauty routine St. Petersburg",</v>
      </c>
    </row>
    <row r="3101">
      <c r="A3101" s="8" t="str">
        <f>IFERROR(__xludf.DUMMYFUNCTION("""COMPUTED_VALUE"""),"""natural beauty St. Petersburg"",")</f>
        <v>"natural beauty St. Petersburg",</v>
      </c>
    </row>
    <row r="3102">
      <c r="A3102" s="8" t="str">
        <f>IFERROR(__xludf.DUMMYFUNCTION("""COMPUTED_VALUE"""),"""organic beauty St. Petersburg"",")</f>
        <v>"organic beauty St. Petersburg",</v>
      </c>
    </row>
    <row r="3103">
      <c r="A3103" s="8" t="str">
        <f>IFERROR(__xludf.DUMMYFUNCTION("""COMPUTED_VALUE"""),"""sustainable fashion St. Petersburg"",")</f>
        <v>"sustainable fashion St. Petersburg",</v>
      </c>
    </row>
    <row r="3104">
      <c r="A3104" s="8" t="str">
        <f>IFERROR(__xludf.DUMMYFUNCTION("""COMPUTED_VALUE"""),"""fashion hacks St. Petersburg"",")</f>
        <v>"fashion hacks St. Petersburg",</v>
      </c>
    </row>
    <row r="3105">
      <c r="A3105" s="8" t="str">
        <f>IFERROR(__xludf.DUMMYFUNCTION("""COMPUTED_VALUE"""),"""capsule wardrobe St. Petersburg"",")</f>
        <v>"capsule wardrobe St. Petersburg",</v>
      </c>
    </row>
    <row r="3106">
      <c r="A3106" s="8" t="str">
        <f>IFERROR(__xludf.DUMMYFUNCTION("""COMPUTED_VALUE"""),"""fashion trends St. Petersburg"",")</f>
        <v>"fashion trends St. Petersburg",</v>
      </c>
    </row>
    <row r="3107">
      <c r="A3107" s="8" t="str">
        <f>IFERROR(__xludf.DUMMYFUNCTION("""COMPUTED_VALUE"""),"""minimalist fashion St. Petersburg"",")</f>
        <v>"minimalist fashion St. Petersburg",</v>
      </c>
    </row>
    <row r="3108">
      <c r="A3108" s="8" t="str">
        <f>IFERROR(__xludf.DUMMYFUNCTION("""COMPUTED_VALUE"""),"""beauty hacks St. Petersburg"",")</f>
        <v>"beauty hacks St. Petersburg",</v>
      </c>
    </row>
    <row r="3109">
      <c r="A3109" s="8" t="str">
        <f>IFERROR(__xludf.DUMMYFUNCTION("""COMPUTED_VALUE"""),"""hair routines St. Petersburg"",")</f>
        <v>"hair routines St. Petersburg",</v>
      </c>
    </row>
    <row r="3110">
      <c r="A3110" s="8" t="str">
        <f>IFERROR(__xludf.DUMMYFUNCTION("""COMPUTED_VALUE"""),"""empties St. Petersburg"",")</f>
        <v>"empties St. Petersburg",</v>
      </c>
    </row>
    <row r="3111">
      <c r="A3111" s="8" t="str">
        <f>IFERROR(__xludf.DUMMYFUNCTION("""COMPUTED_VALUE"""),"""product reviews St. Petersburg"",")</f>
        <v>"product reviews St. Petersburg",</v>
      </c>
    </row>
    <row r="3112">
      <c r="A3112" s="8" t="str">
        <f>IFERROR(__xludf.DUMMYFUNCTION("""COMPUTED_VALUE"""),"""beauty reviews  St. Petersburg"",")</f>
        <v>"beauty reviews  St. Petersburg",</v>
      </c>
    </row>
    <row r="3113">
      <c r="A3113" s="8" t="str">
        <f>IFERROR(__xludf.DUMMYFUNCTION("""COMPUTED_VALUE"""),"""make-up artist St. Petersburg"",")</f>
        <v>"make-up artist St. Petersburg",</v>
      </c>
    </row>
    <row r="3114">
      <c r="A3114" s="8" t="str">
        <f>IFERROR(__xludf.DUMMYFUNCTION("""COMPUTED_VALUE"""),"""skincare journey St. Petersburg"",")</f>
        <v>"skincare journey St. Petersburg",</v>
      </c>
    </row>
    <row r="3115">
      <c r="A3115" s="8" t="str">
        <f>IFERROR(__xludf.DUMMYFUNCTION("""COMPUTED_VALUE"""),"""hair tutorial St. Petersburg"",")</f>
        <v>"hair tutorial St. Petersburg",</v>
      </c>
    </row>
    <row r="3116">
      <c r="A3116" s="8" t="str">
        <f>IFERROR(__xludf.DUMMYFUNCTION("""COMPUTED_VALUE"""),"""barbershop St. Petersburg"",")</f>
        <v>"barbershop St. Petersburg",</v>
      </c>
    </row>
    <row r="3117">
      <c r="A3117" s="8" t="str">
        <f>IFERROR(__xludf.DUMMYFUNCTION("""COMPUTED_VALUE"""),"""ootd Dublin"",")</f>
        <v>"ootd Dublin",</v>
      </c>
    </row>
    <row r="3118">
      <c r="A3118" s="8" t="str">
        <f>IFERROR(__xludf.DUMMYFUNCTION("""COMPUTED_VALUE"""),"""street style Dublin"",")</f>
        <v>"street style Dublin",</v>
      </c>
    </row>
    <row r="3119">
      <c r="A3119" s="8" t="str">
        <f>IFERROR(__xludf.DUMMYFUNCTION("""COMPUTED_VALUE"""),"""skincare Dublin"",")</f>
        <v>"skincare Dublin",</v>
      </c>
    </row>
    <row r="3120">
      <c r="A3120" s="8" t="str">
        <f>IFERROR(__xludf.DUMMYFUNCTION("""COMPUTED_VALUE"""),"""makeup Dublin"",")</f>
        <v>"makeup Dublin",</v>
      </c>
    </row>
    <row r="3121">
      <c r="A3121" s="8" t="str">
        <f>IFERROR(__xludf.DUMMYFUNCTION("""COMPUTED_VALUE"""),"""nails Dublin"",")</f>
        <v>"nails Dublin",</v>
      </c>
    </row>
    <row r="3122">
      <c r="A3122" s="8" t="str">
        <f>IFERROR(__xludf.DUMMYFUNCTION("""COMPUTED_VALUE"""),"""curly hair Dublin"",")</f>
        <v>"curly hair Dublin",</v>
      </c>
    </row>
    <row r="3123">
      <c r="A3123" s="8" t="str">
        <f>IFERROR(__xludf.DUMMYFUNCTION("""COMPUTED_VALUE"""),"""thrift Dublin"",")</f>
        <v>"thrift Dublin",</v>
      </c>
    </row>
    <row r="3124">
      <c r="A3124" s="8" t="str">
        <f>IFERROR(__xludf.DUMMYFUNCTION("""COMPUTED_VALUE"""),"""streetwear Dublin"",")</f>
        <v>"streetwear Dublin",</v>
      </c>
    </row>
    <row r="3125">
      <c r="A3125" s="8" t="str">
        <f>IFERROR(__xludf.DUMMYFUNCTION("""COMPUTED_VALUE"""),"""luxury Dublin"",")</f>
        <v>"luxury Dublin",</v>
      </c>
    </row>
    <row r="3126">
      <c r="A3126" s="8" t="str">
        <f>IFERROR(__xludf.DUMMYFUNCTION("""COMPUTED_VALUE"""),"""handbags Dublin"",")</f>
        <v>"handbags Dublin",</v>
      </c>
    </row>
    <row r="3127">
      <c r="A3127" s="8" t="str">
        <f>IFERROR(__xludf.DUMMYFUNCTION("""COMPUTED_VALUE"""),"""sneakers Dublin"",")</f>
        <v>"sneakers Dublin",</v>
      </c>
    </row>
    <row r="3128">
      <c r="A3128" s="8" t="str">
        <f>IFERROR(__xludf.DUMMYFUNCTION("""COMPUTED_VALUE"""),"""high heels Dublin"",")</f>
        <v>"high heels Dublin",</v>
      </c>
    </row>
    <row r="3129">
      <c r="A3129" s="8" t="str">
        <f>IFERROR(__xludf.DUMMYFUNCTION("""COMPUTED_VALUE"""),"""haute-couture Dublin"",")</f>
        <v>"haute-couture Dublin",</v>
      </c>
    </row>
    <row r="3130">
      <c r="A3130" s="8" t="str">
        <f>IFERROR(__xludf.DUMMYFUNCTION("""COMPUTED_VALUE"""),"""diyfashion Dublin"",")</f>
        <v>"diyfashion Dublin",</v>
      </c>
    </row>
    <row r="3131">
      <c r="A3131" s="8" t="str">
        <f>IFERROR(__xludf.DUMMYFUNCTION("""COMPUTED_VALUE"""),"""accessories Dublin"",")</f>
        <v>"accessories Dublin",</v>
      </c>
    </row>
    <row r="3132">
      <c r="A3132" s="8" t="str">
        <f>IFERROR(__xludf.DUMMYFUNCTION("""COMPUTED_VALUE"""),"""menswear Dublin"",")</f>
        <v>"menswear Dublin",</v>
      </c>
    </row>
    <row r="3133">
      <c r="A3133" s="8" t="str">
        <f>IFERROR(__xludf.DUMMYFUNCTION("""COMPUTED_VALUE"""),"""womenswear Dublin"",")</f>
        <v>"womenswear Dublin",</v>
      </c>
    </row>
    <row r="3134">
      <c r="A3134" s="8" t="str">
        <f>IFERROR(__xludf.DUMMYFUNCTION("""COMPUTED_VALUE"""),"""moda Dublin"",")</f>
        <v>"moda Dublin",</v>
      </c>
    </row>
    <row r="3135">
      <c r="A3135" s="8" t="str">
        <f>IFERROR(__xludf.DUMMYFUNCTION("""COMPUTED_VALUE"""),"""hairstyle Dublin"",")</f>
        <v>"hairstyle Dublin",</v>
      </c>
    </row>
    <row r="3136">
      <c r="A3136" s="8" t="str">
        <f>IFERROR(__xludf.DUMMYFUNCTION("""COMPUTED_VALUE"""),"""perfume Dublin"",")</f>
        <v>"perfume Dublin",</v>
      </c>
    </row>
    <row r="3137">
      <c r="A3137" s="8" t="str">
        <f>IFERROR(__xludf.DUMMYFUNCTION("""COMPUTED_VALUE"""),"""cosmetiques Dublin"",")</f>
        <v>"cosmetiques Dublin",</v>
      </c>
    </row>
    <row r="3138">
      <c r="A3138" s="8" t="str">
        <f>IFERROR(__xludf.DUMMYFUNCTION("""COMPUTED_VALUE"""),"""beauty routine Dublin"",")</f>
        <v>"beauty routine Dublin",</v>
      </c>
    </row>
    <row r="3139">
      <c r="A3139" s="8" t="str">
        <f>IFERROR(__xludf.DUMMYFUNCTION("""COMPUTED_VALUE"""),"""natural beauty Dublin"",")</f>
        <v>"natural beauty Dublin",</v>
      </c>
    </row>
    <row r="3140">
      <c r="A3140" s="9" t="str">
        <f>IFERROR(__xludf.DUMMYFUNCTION("""COMPUTED_VALUE"""),"""organic beauty Dublin"",")</f>
        <v>"organic beauty Dublin",</v>
      </c>
    </row>
    <row r="3141">
      <c r="A3141" s="8" t="str">
        <f>IFERROR(__xludf.DUMMYFUNCTION("""COMPUTED_VALUE"""),"""sustainable fashion Dublin"",")</f>
        <v>"sustainable fashion Dublin",</v>
      </c>
    </row>
    <row r="3142">
      <c r="A3142" s="8" t="str">
        <f>IFERROR(__xludf.DUMMYFUNCTION("""COMPUTED_VALUE"""),"""fashion hacks Dublin"",")</f>
        <v>"fashion hacks Dublin",</v>
      </c>
    </row>
    <row r="3143">
      <c r="A3143" s="8" t="str">
        <f>IFERROR(__xludf.DUMMYFUNCTION("""COMPUTED_VALUE"""),"""capsule wardrobe Dublin"",")</f>
        <v>"capsule wardrobe Dublin",</v>
      </c>
    </row>
    <row r="3144">
      <c r="A3144" s="8" t="str">
        <f>IFERROR(__xludf.DUMMYFUNCTION("""COMPUTED_VALUE"""),"""fashion trends Dublin"",")</f>
        <v>"fashion trends Dublin",</v>
      </c>
    </row>
    <row r="3145">
      <c r="A3145" s="8" t="str">
        <f>IFERROR(__xludf.DUMMYFUNCTION("""COMPUTED_VALUE"""),"""minimalist fashion Dublin"",")</f>
        <v>"minimalist fashion Dublin",</v>
      </c>
    </row>
    <row r="3146">
      <c r="A3146" s="8" t="str">
        <f>IFERROR(__xludf.DUMMYFUNCTION("""COMPUTED_VALUE"""),"""beauty hacks Dublin"",")</f>
        <v>"beauty hacks Dublin",</v>
      </c>
    </row>
    <row r="3147">
      <c r="A3147" s="8" t="str">
        <f>IFERROR(__xludf.DUMMYFUNCTION("""COMPUTED_VALUE"""),"""hair routines Dublin"",")</f>
        <v>"hair routines Dublin",</v>
      </c>
    </row>
    <row r="3148">
      <c r="A3148" s="8" t="str">
        <f>IFERROR(__xludf.DUMMYFUNCTION("""COMPUTED_VALUE"""),"""empties Dublin"",")</f>
        <v>"empties Dublin",</v>
      </c>
    </row>
    <row r="3149">
      <c r="A3149" s="8" t="str">
        <f>IFERROR(__xludf.DUMMYFUNCTION("""COMPUTED_VALUE"""),"""product reviews Dublin"",")</f>
        <v>"product reviews Dublin",</v>
      </c>
    </row>
    <row r="3150">
      <c r="A3150" s="8" t="str">
        <f>IFERROR(__xludf.DUMMYFUNCTION("""COMPUTED_VALUE"""),"""beauty reviews  Dublin"",")</f>
        <v>"beauty reviews  Dublin",</v>
      </c>
    </row>
    <row r="3151">
      <c r="A3151" s="8" t="str">
        <f>IFERROR(__xludf.DUMMYFUNCTION("""COMPUTED_VALUE"""),"""make-up artist Dublin"",")</f>
        <v>"make-up artist Dublin",</v>
      </c>
    </row>
    <row r="3152">
      <c r="A3152" s="8" t="str">
        <f>IFERROR(__xludf.DUMMYFUNCTION("""COMPUTED_VALUE"""),"""skincare journey Dublin"",")</f>
        <v>"skincare journey Dublin",</v>
      </c>
    </row>
    <row r="3153">
      <c r="A3153" s="8" t="str">
        <f>IFERROR(__xludf.DUMMYFUNCTION("""COMPUTED_VALUE"""),"""hair tutorial Dublin"",")</f>
        <v>"hair tutorial Dublin",</v>
      </c>
    </row>
    <row r="3154">
      <c r="A3154" s="8" t="str">
        <f>IFERROR(__xludf.DUMMYFUNCTION("""COMPUTED_VALUE"""),"""barbershop Dublin"",")</f>
        <v>"barbershop Dublin",</v>
      </c>
    </row>
    <row r="3155">
      <c r="A3155" s="8" t="str">
        <f>IFERROR(__xludf.DUMMYFUNCTION("""COMPUTED_VALUE"""),"""ootd Edinburgh"",")</f>
        <v>"ootd Edinburgh",</v>
      </c>
    </row>
    <row r="3156">
      <c r="A3156" s="8" t="str">
        <f>IFERROR(__xludf.DUMMYFUNCTION("""COMPUTED_VALUE"""),"""street style Edinburgh"",")</f>
        <v>"street style Edinburgh",</v>
      </c>
    </row>
    <row r="3157">
      <c r="A3157" s="8" t="str">
        <f>IFERROR(__xludf.DUMMYFUNCTION("""COMPUTED_VALUE"""),"""skincare Edinburgh"",")</f>
        <v>"skincare Edinburgh",</v>
      </c>
    </row>
    <row r="3158">
      <c r="A3158" s="8" t="str">
        <f>IFERROR(__xludf.DUMMYFUNCTION("""COMPUTED_VALUE"""),"""makeup Edinburgh"",")</f>
        <v>"makeup Edinburgh",</v>
      </c>
    </row>
    <row r="3159">
      <c r="A3159" s="8" t="str">
        <f>IFERROR(__xludf.DUMMYFUNCTION("""COMPUTED_VALUE"""),"""nails Edinburgh"",")</f>
        <v>"nails Edinburgh",</v>
      </c>
    </row>
    <row r="3160">
      <c r="A3160" s="8" t="str">
        <f>IFERROR(__xludf.DUMMYFUNCTION("""COMPUTED_VALUE"""),"""curly hair Edinburgh"",")</f>
        <v>"curly hair Edinburgh",</v>
      </c>
    </row>
    <row r="3161">
      <c r="A3161" s="8" t="str">
        <f>IFERROR(__xludf.DUMMYFUNCTION("""COMPUTED_VALUE"""),"""thrift Edinburgh"",")</f>
        <v>"thrift Edinburgh",</v>
      </c>
    </row>
    <row r="3162">
      <c r="A3162" s="8" t="str">
        <f>IFERROR(__xludf.DUMMYFUNCTION("""COMPUTED_VALUE"""),"""streetwear Edinburgh"",")</f>
        <v>"streetwear Edinburgh",</v>
      </c>
    </row>
    <row r="3163">
      <c r="A3163" s="8" t="str">
        <f>IFERROR(__xludf.DUMMYFUNCTION("""COMPUTED_VALUE"""),"""luxury Edinburgh"",")</f>
        <v>"luxury Edinburgh",</v>
      </c>
    </row>
    <row r="3164">
      <c r="A3164" s="8" t="str">
        <f>IFERROR(__xludf.DUMMYFUNCTION("""COMPUTED_VALUE"""),"""handbags Edinburgh"",")</f>
        <v>"handbags Edinburgh",</v>
      </c>
    </row>
    <row r="3165">
      <c r="A3165" s="8" t="str">
        <f>IFERROR(__xludf.DUMMYFUNCTION("""COMPUTED_VALUE"""),"""sneakers Edinburgh"",")</f>
        <v>"sneakers Edinburgh",</v>
      </c>
    </row>
    <row r="3166">
      <c r="A3166" s="8" t="str">
        <f>IFERROR(__xludf.DUMMYFUNCTION("""COMPUTED_VALUE"""),"""high heels Edinburgh"",")</f>
        <v>"high heels Edinburgh",</v>
      </c>
    </row>
    <row r="3167">
      <c r="A3167" s="8" t="str">
        <f>IFERROR(__xludf.DUMMYFUNCTION("""COMPUTED_VALUE"""),"""haute-couture Edinburgh"",")</f>
        <v>"haute-couture Edinburgh",</v>
      </c>
    </row>
    <row r="3168">
      <c r="A3168" s="8" t="str">
        <f>IFERROR(__xludf.DUMMYFUNCTION("""COMPUTED_VALUE"""),"""diyfashion Edinburgh"",")</f>
        <v>"diyfashion Edinburgh",</v>
      </c>
    </row>
    <row r="3169">
      <c r="A3169" s="8" t="str">
        <f>IFERROR(__xludf.DUMMYFUNCTION("""COMPUTED_VALUE"""),"""accessories Edinburgh"",")</f>
        <v>"accessories Edinburgh",</v>
      </c>
    </row>
    <row r="3170">
      <c r="A3170" s="8" t="str">
        <f>IFERROR(__xludf.DUMMYFUNCTION("""COMPUTED_VALUE"""),"""menswear Edinburgh"",")</f>
        <v>"menswear Edinburgh",</v>
      </c>
    </row>
    <row r="3171">
      <c r="A3171" s="8" t="str">
        <f>IFERROR(__xludf.DUMMYFUNCTION("""COMPUTED_VALUE"""),"""womenswear Edinburgh"",")</f>
        <v>"womenswear Edinburgh",</v>
      </c>
    </row>
    <row r="3172">
      <c r="A3172" s="8" t="str">
        <f>IFERROR(__xludf.DUMMYFUNCTION("""COMPUTED_VALUE"""),"""moda Edinburgh"",")</f>
        <v>"moda Edinburgh",</v>
      </c>
    </row>
    <row r="3173">
      <c r="A3173" s="8" t="str">
        <f>IFERROR(__xludf.DUMMYFUNCTION("""COMPUTED_VALUE"""),"""hairstyle Edinburgh"",")</f>
        <v>"hairstyle Edinburgh",</v>
      </c>
    </row>
    <row r="3174">
      <c r="A3174" s="8" t="str">
        <f>IFERROR(__xludf.DUMMYFUNCTION("""COMPUTED_VALUE"""),"""perfume Edinburgh"",")</f>
        <v>"perfume Edinburgh",</v>
      </c>
    </row>
    <row r="3175">
      <c r="A3175" s="8" t="str">
        <f>IFERROR(__xludf.DUMMYFUNCTION("""COMPUTED_VALUE"""),"""cosmetiques Edinburgh"",")</f>
        <v>"cosmetiques Edinburgh",</v>
      </c>
    </row>
    <row r="3176">
      <c r="A3176" s="8" t="str">
        <f>IFERROR(__xludf.DUMMYFUNCTION("""COMPUTED_VALUE"""),"""beauty routine Edinburgh"",")</f>
        <v>"beauty routine Edinburgh",</v>
      </c>
    </row>
    <row r="3177">
      <c r="A3177" s="8" t="str">
        <f>IFERROR(__xludf.DUMMYFUNCTION("""COMPUTED_VALUE"""),"""natural beauty Edinburgh"",")</f>
        <v>"natural beauty Edinburgh",</v>
      </c>
    </row>
    <row r="3178">
      <c r="A3178" s="8" t="str">
        <f>IFERROR(__xludf.DUMMYFUNCTION("""COMPUTED_VALUE"""),"""organic beauty Edinburgh"",")</f>
        <v>"organic beauty Edinburgh",</v>
      </c>
    </row>
    <row r="3179">
      <c r="A3179" s="8" t="str">
        <f>IFERROR(__xludf.DUMMYFUNCTION("""COMPUTED_VALUE"""),"""sustainable fashion Edinburgh"",")</f>
        <v>"sustainable fashion Edinburgh",</v>
      </c>
    </row>
    <row r="3180">
      <c r="A3180" s="8" t="str">
        <f>IFERROR(__xludf.DUMMYFUNCTION("""COMPUTED_VALUE"""),"""fashion hacks Edinburgh"",")</f>
        <v>"fashion hacks Edinburgh",</v>
      </c>
    </row>
    <row r="3181">
      <c r="A3181" s="8" t="str">
        <f>IFERROR(__xludf.DUMMYFUNCTION("""COMPUTED_VALUE"""),"""capsule wardrobe Edinburgh"",")</f>
        <v>"capsule wardrobe Edinburgh",</v>
      </c>
    </row>
    <row r="3182">
      <c r="A3182" s="8" t="str">
        <f>IFERROR(__xludf.DUMMYFUNCTION("""COMPUTED_VALUE"""),"""fashion trends Edinburgh"",")</f>
        <v>"fashion trends Edinburgh",</v>
      </c>
    </row>
    <row r="3183">
      <c r="A3183" s="8" t="str">
        <f>IFERROR(__xludf.DUMMYFUNCTION("""COMPUTED_VALUE"""),"""minimalist fashion Edinburgh"",")</f>
        <v>"minimalist fashion Edinburgh",</v>
      </c>
    </row>
    <row r="3184">
      <c r="A3184" s="8" t="str">
        <f>IFERROR(__xludf.DUMMYFUNCTION("""COMPUTED_VALUE"""),"""beauty hacks Edinburgh"",")</f>
        <v>"beauty hacks Edinburgh",</v>
      </c>
    </row>
    <row r="3185">
      <c r="A3185" s="8" t="str">
        <f>IFERROR(__xludf.DUMMYFUNCTION("""COMPUTED_VALUE"""),"""hair routines Edinburgh"",")</f>
        <v>"hair routines Edinburgh",</v>
      </c>
    </row>
    <row r="3186">
      <c r="A3186" s="8" t="str">
        <f>IFERROR(__xludf.DUMMYFUNCTION("""COMPUTED_VALUE"""),"""empties Edinburgh"",")</f>
        <v>"empties Edinburgh",</v>
      </c>
    </row>
    <row r="3187">
      <c r="A3187" s="8" t="str">
        <f>IFERROR(__xludf.DUMMYFUNCTION("""COMPUTED_VALUE"""),"""product reviews Edinburgh"",")</f>
        <v>"product reviews Edinburgh",</v>
      </c>
    </row>
    <row r="3188">
      <c r="A3188" s="8" t="str">
        <f>IFERROR(__xludf.DUMMYFUNCTION("""COMPUTED_VALUE"""),"""beauty reviews  Edinburgh"",")</f>
        <v>"beauty reviews  Edinburgh",</v>
      </c>
    </row>
    <row r="3189">
      <c r="A3189" s="8" t="str">
        <f>IFERROR(__xludf.DUMMYFUNCTION("""COMPUTED_VALUE"""),"""make-up artist Edinburgh"",")</f>
        <v>"make-up artist Edinburgh",</v>
      </c>
    </row>
    <row r="3190">
      <c r="A3190" s="8" t="str">
        <f>IFERROR(__xludf.DUMMYFUNCTION("""COMPUTED_VALUE"""),"""skincare journey Edinburgh"",")</f>
        <v>"skincare journey Edinburgh",</v>
      </c>
    </row>
    <row r="3191">
      <c r="A3191" s="8" t="str">
        <f>IFERROR(__xludf.DUMMYFUNCTION("""COMPUTED_VALUE"""),"""hair tutorial Edinburgh"",")</f>
        <v>"hair tutorial Edinburgh",</v>
      </c>
    </row>
    <row r="3192">
      <c r="A3192" s="8" t="str">
        <f>IFERROR(__xludf.DUMMYFUNCTION("""COMPUTED_VALUE"""),"""barbershop Edinburgh"",")</f>
        <v>"barbershop Edinburgh",</v>
      </c>
    </row>
    <row r="3193">
      <c r="A3193" s="8" t="str">
        <f>IFERROR(__xludf.DUMMYFUNCTION("""COMPUTED_VALUE"""),"""ootd Oslo"",")</f>
        <v>"ootd Oslo",</v>
      </c>
    </row>
    <row r="3194">
      <c r="A3194" s="8" t="str">
        <f>IFERROR(__xludf.DUMMYFUNCTION("""COMPUTED_VALUE"""),"""street style Oslo"",")</f>
        <v>"street style Oslo",</v>
      </c>
    </row>
    <row r="3195">
      <c r="A3195" s="8" t="str">
        <f>IFERROR(__xludf.DUMMYFUNCTION("""COMPUTED_VALUE"""),"""skincare Oslo"",")</f>
        <v>"skincare Oslo",</v>
      </c>
    </row>
    <row r="3196">
      <c r="A3196" s="8" t="str">
        <f>IFERROR(__xludf.DUMMYFUNCTION("""COMPUTED_VALUE"""),"""makeup Oslo"",")</f>
        <v>"makeup Oslo",</v>
      </c>
    </row>
    <row r="3197">
      <c r="A3197" s="8" t="str">
        <f>IFERROR(__xludf.DUMMYFUNCTION("""COMPUTED_VALUE"""),"""nails Oslo"",")</f>
        <v>"nails Oslo",</v>
      </c>
    </row>
    <row r="3198">
      <c r="A3198" s="8" t="str">
        <f>IFERROR(__xludf.DUMMYFUNCTION("""COMPUTED_VALUE"""),"""curly hair Oslo"",")</f>
        <v>"curly hair Oslo",</v>
      </c>
    </row>
    <row r="3199">
      <c r="A3199" s="8" t="str">
        <f>IFERROR(__xludf.DUMMYFUNCTION("""COMPUTED_VALUE"""),"""thrift Oslo"",")</f>
        <v>"thrift Oslo",</v>
      </c>
    </row>
    <row r="3200">
      <c r="A3200" s="8" t="str">
        <f>IFERROR(__xludf.DUMMYFUNCTION("""COMPUTED_VALUE"""),"""streetwear Oslo"",")</f>
        <v>"streetwear Oslo",</v>
      </c>
    </row>
    <row r="3201">
      <c r="A3201" s="8" t="str">
        <f>IFERROR(__xludf.DUMMYFUNCTION("""COMPUTED_VALUE"""),"""luxury Oslo"",")</f>
        <v>"luxury Oslo",</v>
      </c>
    </row>
    <row r="3202">
      <c r="A3202" s="8" t="str">
        <f>IFERROR(__xludf.DUMMYFUNCTION("""COMPUTED_VALUE"""),"""handbags Oslo"",")</f>
        <v>"handbags Oslo",</v>
      </c>
    </row>
    <row r="3203">
      <c r="A3203" s="8" t="str">
        <f>IFERROR(__xludf.DUMMYFUNCTION("""COMPUTED_VALUE"""),"""sneakers Oslo"",")</f>
        <v>"sneakers Oslo",</v>
      </c>
    </row>
    <row r="3204">
      <c r="A3204" s="8" t="str">
        <f>IFERROR(__xludf.DUMMYFUNCTION("""COMPUTED_VALUE"""),"""high heels Oslo"",")</f>
        <v>"high heels Oslo",</v>
      </c>
    </row>
    <row r="3205">
      <c r="A3205" s="8" t="str">
        <f>IFERROR(__xludf.DUMMYFUNCTION("""COMPUTED_VALUE"""),"""haute-couture Oslo"",")</f>
        <v>"haute-couture Oslo",</v>
      </c>
    </row>
    <row r="3206">
      <c r="A3206" s="8" t="str">
        <f>IFERROR(__xludf.DUMMYFUNCTION("""COMPUTED_VALUE"""),"""diyfashion Oslo"",")</f>
        <v>"diyfashion Oslo",</v>
      </c>
    </row>
    <row r="3207">
      <c r="A3207" s="8" t="str">
        <f>IFERROR(__xludf.DUMMYFUNCTION("""COMPUTED_VALUE"""),"""accessories Oslo"",")</f>
        <v>"accessories Oslo",</v>
      </c>
    </row>
    <row r="3208">
      <c r="A3208" s="8" t="str">
        <f>IFERROR(__xludf.DUMMYFUNCTION("""COMPUTED_VALUE"""),"""menswear Oslo"",")</f>
        <v>"menswear Oslo",</v>
      </c>
    </row>
    <row r="3209">
      <c r="A3209" s="8" t="str">
        <f>IFERROR(__xludf.DUMMYFUNCTION("""COMPUTED_VALUE"""),"""womenswear Oslo"",")</f>
        <v>"womenswear Oslo",</v>
      </c>
    </row>
    <row r="3210">
      <c r="A3210" s="8" t="str">
        <f>IFERROR(__xludf.DUMMYFUNCTION("""COMPUTED_VALUE"""),"""moda Oslo"",")</f>
        <v>"moda Oslo",</v>
      </c>
    </row>
    <row r="3211">
      <c r="A3211" s="8" t="str">
        <f>IFERROR(__xludf.DUMMYFUNCTION("""COMPUTED_VALUE"""),"""hairstyle Oslo"",")</f>
        <v>"hairstyle Oslo",</v>
      </c>
    </row>
    <row r="3212">
      <c r="A3212" s="8" t="str">
        <f>IFERROR(__xludf.DUMMYFUNCTION("""COMPUTED_VALUE"""),"""perfume Oslo"",")</f>
        <v>"perfume Oslo",</v>
      </c>
    </row>
    <row r="3213">
      <c r="A3213" s="8" t="str">
        <f>IFERROR(__xludf.DUMMYFUNCTION("""COMPUTED_VALUE"""),"""cosmetiques Oslo"",")</f>
        <v>"cosmetiques Oslo",</v>
      </c>
    </row>
    <row r="3214">
      <c r="A3214" s="8" t="str">
        <f>IFERROR(__xludf.DUMMYFUNCTION("""COMPUTED_VALUE"""),"""beauty routine Oslo"",")</f>
        <v>"beauty routine Oslo",</v>
      </c>
    </row>
    <row r="3215">
      <c r="A3215" s="8" t="str">
        <f>IFERROR(__xludf.DUMMYFUNCTION("""COMPUTED_VALUE"""),"""natural beauty Oslo"",")</f>
        <v>"natural beauty Oslo",</v>
      </c>
    </row>
    <row r="3216">
      <c r="A3216" s="8" t="str">
        <f>IFERROR(__xludf.DUMMYFUNCTION("""COMPUTED_VALUE"""),"""organic beauty Oslo"",")</f>
        <v>"organic beauty Oslo",</v>
      </c>
    </row>
    <row r="3217">
      <c r="A3217" s="8" t="str">
        <f>IFERROR(__xludf.DUMMYFUNCTION("""COMPUTED_VALUE"""),"""sustainable fashion Oslo"",")</f>
        <v>"sustainable fashion Oslo",</v>
      </c>
    </row>
    <row r="3218">
      <c r="A3218" s="8" t="str">
        <f>IFERROR(__xludf.DUMMYFUNCTION("""COMPUTED_VALUE"""),"""fashion hacks Oslo"",")</f>
        <v>"fashion hacks Oslo",</v>
      </c>
    </row>
    <row r="3219">
      <c r="A3219" s="8" t="str">
        <f>IFERROR(__xludf.DUMMYFUNCTION("""COMPUTED_VALUE"""),"""capsule wardrobe Oslo"",")</f>
        <v>"capsule wardrobe Oslo",</v>
      </c>
    </row>
    <row r="3220">
      <c r="A3220" s="8" t="str">
        <f>IFERROR(__xludf.DUMMYFUNCTION("""COMPUTED_VALUE"""),"""fashion trends Oslo"",")</f>
        <v>"fashion trends Oslo",</v>
      </c>
    </row>
    <row r="3221">
      <c r="A3221" s="8" t="str">
        <f>IFERROR(__xludf.DUMMYFUNCTION("""COMPUTED_VALUE"""),"""minimalist fashion Oslo"",")</f>
        <v>"minimalist fashion Oslo",</v>
      </c>
    </row>
    <row r="3222">
      <c r="A3222" s="8" t="str">
        <f>IFERROR(__xludf.DUMMYFUNCTION("""COMPUTED_VALUE"""),"""beauty hacks Oslo"",")</f>
        <v>"beauty hacks Oslo",</v>
      </c>
    </row>
    <row r="3223">
      <c r="A3223" s="8" t="str">
        <f>IFERROR(__xludf.DUMMYFUNCTION("""COMPUTED_VALUE"""),"""hair routines Oslo"",")</f>
        <v>"hair routines Oslo",</v>
      </c>
    </row>
    <row r="3224">
      <c r="A3224" s="8" t="str">
        <f>IFERROR(__xludf.DUMMYFUNCTION("""COMPUTED_VALUE"""),"""empties Oslo"",")</f>
        <v>"empties Oslo",</v>
      </c>
    </row>
    <row r="3225">
      <c r="A3225" s="8" t="str">
        <f>IFERROR(__xludf.DUMMYFUNCTION("""COMPUTED_VALUE"""),"""product reviews Oslo"",")</f>
        <v>"product reviews Oslo",</v>
      </c>
    </row>
    <row r="3226">
      <c r="A3226" s="8" t="str">
        <f>IFERROR(__xludf.DUMMYFUNCTION("""COMPUTED_VALUE"""),"""beauty reviews  Oslo"",")</f>
        <v>"beauty reviews  Oslo",</v>
      </c>
    </row>
    <row r="3227">
      <c r="A3227" s="8" t="str">
        <f>IFERROR(__xludf.DUMMYFUNCTION("""COMPUTED_VALUE"""),"""make-up artist Oslo"",")</f>
        <v>"make-up artist Oslo",</v>
      </c>
    </row>
    <row r="3228">
      <c r="A3228" s="8" t="str">
        <f>IFERROR(__xludf.DUMMYFUNCTION("""COMPUTED_VALUE"""),"""skincare journey Oslo"",")</f>
        <v>"skincare journey Oslo",</v>
      </c>
    </row>
    <row r="3229">
      <c r="A3229" s="8" t="str">
        <f>IFERROR(__xludf.DUMMYFUNCTION("""COMPUTED_VALUE"""),"""hair tutorial Oslo"",")</f>
        <v>"hair tutorial Oslo",</v>
      </c>
    </row>
    <row r="3230">
      <c r="A3230" s="8" t="str">
        <f>IFERROR(__xludf.DUMMYFUNCTION("""COMPUTED_VALUE"""),"""barbershop Oslo"",")</f>
        <v>"barbershop Oslo",</v>
      </c>
    </row>
    <row r="3231">
      <c r="A3231" s="8" t="str">
        <f>IFERROR(__xludf.DUMMYFUNCTION("""COMPUTED_VALUE"""),"""ootd Helsinki"",")</f>
        <v>"ootd Helsinki",</v>
      </c>
    </row>
    <row r="3232">
      <c r="A3232" s="8" t="str">
        <f>IFERROR(__xludf.DUMMYFUNCTION("""COMPUTED_VALUE"""),"""street style Helsinki"",")</f>
        <v>"street style Helsinki",</v>
      </c>
    </row>
    <row r="3233">
      <c r="A3233" s="8" t="str">
        <f>IFERROR(__xludf.DUMMYFUNCTION("""COMPUTED_VALUE"""),"""skincare Helsinki"",")</f>
        <v>"skincare Helsinki",</v>
      </c>
    </row>
    <row r="3234">
      <c r="A3234" s="8" t="str">
        <f>IFERROR(__xludf.DUMMYFUNCTION("""COMPUTED_VALUE"""),"""makeup Helsinki"",")</f>
        <v>"makeup Helsinki",</v>
      </c>
    </row>
    <row r="3235">
      <c r="A3235" s="8" t="str">
        <f>IFERROR(__xludf.DUMMYFUNCTION("""COMPUTED_VALUE"""),"""nails Helsinki"",")</f>
        <v>"nails Helsinki",</v>
      </c>
    </row>
    <row r="3236">
      <c r="A3236" s="8" t="str">
        <f>IFERROR(__xludf.DUMMYFUNCTION("""COMPUTED_VALUE"""),"""curly hair Helsinki"",")</f>
        <v>"curly hair Helsinki",</v>
      </c>
    </row>
    <row r="3237">
      <c r="A3237" s="8" t="str">
        <f>IFERROR(__xludf.DUMMYFUNCTION("""COMPUTED_VALUE"""),"""thrift Helsinki"",")</f>
        <v>"thrift Helsinki",</v>
      </c>
    </row>
    <row r="3238">
      <c r="A3238" s="8" t="str">
        <f>IFERROR(__xludf.DUMMYFUNCTION("""COMPUTED_VALUE"""),"""streetwear Helsinki"",")</f>
        <v>"streetwear Helsinki",</v>
      </c>
    </row>
    <row r="3239">
      <c r="A3239" s="8" t="str">
        <f>IFERROR(__xludf.DUMMYFUNCTION("""COMPUTED_VALUE"""),"""luxury Helsinki"",")</f>
        <v>"luxury Helsinki",</v>
      </c>
    </row>
    <row r="3240">
      <c r="A3240" s="8" t="str">
        <f>IFERROR(__xludf.DUMMYFUNCTION("""COMPUTED_VALUE"""),"""handbags Helsinki"",")</f>
        <v>"handbags Helsinki",</v>
      </c>
    </row>
    <row r="3241">
      <c r="A3241" s="8" t="str">
        <f>IFERROR(__xludf.DUMMYFUNCTION("""COMPUTED_VALUE"""),"""sneakers Helsinki"",")</f>
        <v>"sneakers Helsinki",</v>
      </c>
    </row>
    <row r="3242">
      <c r="A3242" s="8" t="str">
        <f>IFERROR(__xludf.DUMMYFUNCTION("""COMPUTED_VALUE"""),"""high heels Helsinki"",")</f>
        <v>"high heels Helsinki",</v>
      </c>
    </row>
    <row r="3243">
      <c r="A3243" s="8" t="str">
        <f>IFERROR(__xludf.DUMMYFUNCTION("""COMPUTED_VALUE"""),"""haute-couture Helsinki"",")</f>
        <v>"haute-couture Helsinki",</v>
      </c>
    </row>
    <row r="3244">
      <c r="A3244" s="8" t="str">
        <f>IFERROR(__xludf.DUMMYFUNCTION("""COMPUTED_VALUE"""),"""diyfashion Helsinki"",")</f>
        <v>"diyfashion Helsinki",</v>
      </c>
    </row>
    <row r="3245">
      <c r="A3245" s="8" t="str">
        <f>IFERROR(__xludf.DUMMYFUNCTION("""COMPUTED_VALUE"""),"""accessories Helsinki"",")</f>
        <v>"accessories Helsinki",</v>
      </c>
    </row>
    <row r="3246">
      <c r="A3246" s="8" t="str">
        <f>IFERROR(__xludf.DUMMYFUNCTION("""COMPUTED_VALUE"""),"""menswear Helsinki"",")</f>
        <v>"menswear Helsinki",</v>
      </c>
    </row>
    <row r="3247">
      <c r="A3247" s="8" t="str">
        <f>IFERROR(__xludf.DUMMYFUNCTION("""COMPUTED_VALUE"""),"""womenswear Helsinki"",")</f>
        <v>"womenswear Helsinki",</v>
      </c>
    </row>
    <row r="3248">
      <c r="A3248" s="8" t="str">
        <f>IFERROR(__xludf.DUMMYFUNCTION("""COMPUTED_VALUE"""),"""moda Helsinki"",")</f>
        <v>"moda Helsinki",</v>
      </c>
    </row>
    <row r="3249">
      <c r="A3249" s="8" t="str">
        <f>IFERROR(__xludf.DUMMYFUNCTION("""COMPUTED_VALUE"""),"""hairstyle Helsinki"",")</f>
        <v>"hairstyle Helsinki",</v>
      </c>
    </row>
    <row r="3250">
      <c r="A3250" s="8" t="str">
        <f>IFERROR(__xludf.DUMMYFUNCTION("""COMPUTED_VALUE"""),"""perfume Helsinki"",")</f>
        <v>"perfume Helsinki",</v>
      </c>
    </row>
    <row r="3251">
      <c r="A3251" s="8" t="str">
        <f>IFERROR(__xludf.DUMMYFUNCTION("""COMPUTED_VALUE"""),"""cosmetiques Helsinki"",")</f>
        <v>"cosmetiques Helsinki",</v>
      </c>
    </row>
    <row r="3252">
      <c r="A3252" s="8" t="str">
        <f>IFERROR(__xludf.DUMMYFUNCTION("""COMPUTED_VALUE"""),"""beauty routine Helsinki"",")</f>
        <v>"beauty routine Helsinki",</v>
      </c>
    </row>
    <row r="3253">
      <c r="A3253" s="8" t="str">
        <f>IFERROR(__xludf.DUMMYFUNCTION("""COMPUTED_VALUE"""),"""natural beauty Helsinki"",")</f>
        <v>"natural beauty Helsinki",</v>
      </c>
    </row>
    <row r="3254">
      <c r="A3254" s="8" t="str">
        <f>IFERROR(__xludf.DUMMYFUNCTION("""COMPUTED_VALUE"""),"""organic beauty Helsinki"",")</f>
        <v>"organic beauty Helsinki",</v>
      </c>
    </row>
    <row r="3255">
      <c r="A3255" s="8" t="str">
        <f>IFERROR(__xludf.DUMMYFUNCTION("""COMPUTED_VALUE"""),"""sustainable fashion Helsinki"",")</f>
        <v>"sustainable fashion Helsinki",</v>
      </c>
    </row>
    <row r="3256">
      <c r="A3256" s="8" t="str">
        <f>IFERROR(__xludf.DUMMYFUNCTION("""COMPUTED_VALUE"""),"""fashion hacks Helsinki"",")</f>
        <v>"fashion hacks Helsinki",</v>
      </c>
    </row>
    <row r="3257">
      <c r="A3257" s="8" t="str">
        <f>IFERROR(__xludf.DUMMYFUNCTION("""COMPUTED_VALUE"""),"""capsule wardrobe Helsinki"",")</f>
        <v>"capsule wardrobe Helsinki",</v>
      </c>
    </row>
    <row r="3258">
      <c r="A3258" s="8" t="str">
        <f>IFERROR(__xludf.DUMMYFUNCTION("""COMPUTED_VALUE"""),"""fashion trends Helsinki"",")</f>
        <v>"fashion trends Helsinki",</v>
      </c>
    </row>
    <row r="3259">
      <c r="A3259" s="8" t="str">
        <f>IFERROR(__xludf.DUMMYFUNCTION("""COMPUTED_VALUE"""),"""minimalist fashion Helsinki"",")</f>
        <v>"minimalist fashion Helsinki",</v>
      </c>
    </row>
    <row r="3260">
      <c r="A3260" s="8" t="str">
        <f>IFERROR(__xludf.DUMMYFUNCTION("""COMPUTED_VALUE"""),"""beauty hacks Helsinki"",")</f>
        <v>"beauty hacks Helsinki",</v>
      </c>
    </row>
    <row r="3261">
      <c r="A3261" s="8" t="str">
        <f>IFERROR(__xludf.DUMMYFUNCTION("""COMPUTED_VALUE"""),"""hair routines Helsinki"",")</f>
        <v>"hair routines Helsinki",</v>
      </c>
    </row>
    <row r="3262">
      <c r="A3262" s="8" t="str">
        <f>IFERROR(__xludf.DUMMYFUNCTION("""COMPUTED_VALUE"""),"""empties Helsinki"",")</f>
        <v>"empties Helsinki",</v>
      </c>
    </row>
    <row r="3263">
      <c r="A3263" s="8" t="str">
        <f>IFERROR(__xludf.DUMMYFUNCTION("""COMPUTED_VALUE"""),"""product reviews Helsinki"",")</f>
        <v>"product reviews Helsinki",</v>
      </c>
    </row>
    <row r="3264">
      <c r="A3264" s="8" t="str">
        <f>IFERROR(__xludf.DUMMYFUNCTION("""COMPUTED_VALUE"""),"""beauty reviews  Helsinki"",")</f>
        <v>"beauty reviews  Helsinki",</v>
      </c>
    </row>
    <row r="3265">
      <c r="A3265" s="8" t="str">
        <f>IFERROR(__xludf.DUMMYFUNCTION("""COMPUTED_VALUE"""),"""make-up artist Helsinki"",")</f>
        <v>"make-up artist Helsinki",</v>
      </c>
    </row>
    <row r="3266">
      <c r="A3266" s="8" t="str">
        <f>IFERROR(__xludf.DUMMYFUNCTION("""COMPUTED_VALUE"""),"""skincare journey Helsinki"",")</f>
        <v>"skincare journey Helsinki",</v>
      </c>
    </row>
    <row r="3267">
      <c r="A3267" s="8" t="str">
        <f>IFERROR(__xludf.DUMMYFUNCTION("""COMPUTED_VALUE"""),"""hair tutorial Helsinki"",")</f>
        <v>"hair tutorial Helsinki",</v>
      </c>
    </row>
    <row r="3268">
      <c r="A3268" s="8" t="str">
        <f>IFERROR(__xludf.DUMMYFUNCTION("""COMPUTED_VALUE"""),"""barbershop Helsinki"",")</f>
        <v>"barbershop Helsinki",</v>
      </c>
    </row>
    <row r="3269">
      <c r="A3269" s="8" t="str">
        <f>IFERROR(__xludf.DUMMYFUNCTION("""COMPUTED_VALUE"""),"""ootd Valencia"",")</f>
        <v>"ootd Valencia",</v>
      </c>
    </row>
    <row r="3270">
      <c r="A3270" s="8" t="str">
        <f>IFERROR(__xludf.DUMMYFUNCTION("""COMPUTED_VALUE"""),"""street style Valencia"",")</f>
        <v>"street style Valencia",</v>
      </c>
    </row>
    <row r="3271">
      <c r="A3271" s="8" t="str">
        <f>IFERROR(__xludf.DUMMYFUNCTION("""COMPUTED_VALUE"""),"""skincare Valencia"",")</f>
        <v>"skincare Valencia",</v>
      </c>
    </row>
    <row r="3272">
      <c r="A3272" s="8" t="str">
        <f>IFERROR(__xludf.DUMMYFUNCTION("""COMPUTED_VALUE"""),"""makeup Valencia"",")</f>
        <v>"makeup Valencia",</v>
      </c>
    </row>
    <row r="3273">
      <c r="A3273" s="8" t="str">
        <f>IFERROR(__xludf.DUMMYFUNCTION("""COMPUTED_VALUE"""),"""nails Valencia"",")</f>
        <v>"nails Valencia",</v>
      </c>
    </row>
    <row r="3274">
      <c r="A3274" s="8" t="str">
        <f>IFERROR(__xludf.DUMMYFUNCTION("""COMPUTED_VALUE"""),"""curly hair Valencia"",")</f>
        <v>"curly hair Valencia",</v>
      </c>
    </row>
    <row r="3275">
      <c r="A3275" s="8" t="str">
        <f>IFERROR(__xludf.DUMMYFUNCTION("""COMPUTED_VALUE"""),"""thrift Valencia"",")</f>
        <v>"thrift Valencia",</v>
      </c>
    </row>
    <row r="3276">
      <c r="A3276" s="8" t="str">
        <f>IFERROR(__xludf.DUMMYFUNCTION("""COMPUTED_VALUE"""),"""streetwear Valencia"",")</f>
        <v>"streetwear Valencia",</v>
      </c>
    </row>
    <row r="3277">
      <c r="A3277" s="8" t="str">
        <f>IFERROR(__xludf.DUMMYFUNCTION("""COMPUTED_VALUE"""),"""luxury Valencia"",")</f>
        <v>"luxury Valencia",</v>
      </c>
    </row>
    <row r="3278">
      <c r="A3278" s="8" t="str">
        <f>IFERROR(__xludf.DUMMYFUNCTION("""COMPUTED_VALUE"""),"""handbags Valencia"",")</f>
        <v>"handbags Valencia",</v>
      </c>
    </row>
    <row r="3279">
      <c r="A3279" s="8" t="str">
        <f>IFERROR(__xludf.DUMMYFUNCTION("""COMPUTED_VALUE"""),"""sneakers Valencia"",")</f>
        <v>"sneakers Valencia",</v>
      </c>
    </row>
    <row r="3280">
      <c r="A3280" s="8" t="str">
        <f>IFERROR(__xludf.DUMMYFUNCTION("""COMPUTED_VALUE"""),"""high heels Valencia"",")</f>
        <v>"high heels Valencia",</v>
      </c>
    </row>
    <row r="3281">
      <c r="A3281" s="8" t="str">
        <f>IFERROR(__xludf.DUMMYFUNCTION("""COMPUTED_VALUE"""),"""haute-couture Valencia"",")</f>
        <v>"haute-couture Valencia",</v>
      </c>
    </row>
    <row r="3282">
      <c r="A3282" s="8" t="str">
        <f>IFERROR(__xludf.DUMMYFUNCTION("""COMPUTED_VALUE"""),"""diyfashion Valencia"",")</f>
        <v>"diyfashion Valencia",</v>
      </c>
    </row>
    <row r="3283">
      <c r="A3283" s="8" t="str">
        <f>IFERROR(__xludf.DUMMYFUNCTION("""COMPUTED_VALUE"""),"""accessories Valencia"",")</f>
        <v>"accessories Valencia",</v>
      </c>
    </row>
    <row r="3284">
      <c r="A3284" s="8" t="str">
        <f>IFERROR(__xludf.DUMMYFUNCTION("""COMPUTED_VALUE"""),"""menswear Valencia"",")</f>
        <v>"menswear Valencia",</v>
      </c>
    </row>
    <row r="3285">
      <c r="A3285" s="8" t="str">
        <f>IFERROR(__xludf.DUMMYFUNCTION("""COMPUTED_VALUE"""),"""womenswear Valencia"",")</f>
        <v>"womenswear Valencia",</v>
      </c>
    </row>
    <row r="3286">
      <c r="A3286" s="8" t="str">
        <f>IFERROR(__xludf.DUMMYFUNCTION("""COMPUTED_VALUE"""),"""moda Valencia"",")</f>
        <v>"moda Valencia",</v>
      </c>
    </row>
    <row r="3287">
      <c r="A3287" s="8" t="str">
        <f>IFERROR(__xludf.DUMMYFUNCTION("""COMPUTED_VALUE"""),"""hairstyle Valencia"",")</f>
        <v>"hairstyle Valencia",</v>
      </c>
    </row>
    <row r="3288">
      <c r="A3288" s="8" t="str">
        <f>IFERROR(__xludf.DUMMYFUNCTION("""COMPUTED_VALUE"""),"""perfume Valencia"",")</f>
        <v>"perfume Valencia",</v>
      </c>
    </row>
    <row r="3289">
      <c r="A3289" s="8" t="str">
        <f>IFERROR(__xludf.DUMMYFUNCTION("""COMPUTED_VALUE"""),"""cosmetiques Valencia"",")</f>
        <v>"cosmetiques Valencia",</v>
      </c>
    </row>
    <row r="3290">
      <c r="A3290" s="8" t="str">
        <f>IFERROR(__xludf.DUMMYFUNCTION("""COMPUTED_VALUE"""),"""beauty routine Valencia"",")</f>
        <v>"beauty routine Valencia",</v>
      </c>
    </row>
    <row r="3291">
      <c r="A3291" s="8" t="str">
        <f>IFERROR(__xludf.DUMMYFUNCTION("""COMPUTED_VALUE"""),"""natural beauty Valencia"",")</f>
        <v>"natural beauty Valencia",</v>
      </c>
    </row>
    <row r="3292">
      <c r="A3292" s="8" t="str">
        <f>IFERROR(__xludf.DUMMYFUNCTION("""COMPUTED_VALUE"""),"""organic beauty Valencia"",")</f>
        <v>"organic beauty Valencia",</v>
      </c>
    </row>
    <row r="3293">
      <c r="A3293" s="8" t="str">
        <f>IFERROR(__xludf.DUMMYFUNCTION("""COMPUTED_VALUE"""),"""sustainable fashion Valencia"",")</f>
        <v>"sustainable fashion Valencia",</v>
      </c>
    </row>
    <row r="3294">
      <c r="A3294" s="8" t="str">
        <f>IFERROR(__xludf.DUMMYFUNCTION("""COMPUTED_VALUE"""),"""fashion hacks Valencia"",")</f>
        <v>"fashion hacks Valencia",</v>
      </c>
    </row>
    <row r="3295">
      <c r="A3295" s="8" t="str">
        <f>IFERROR(__xludf.DUMMYFUNCTION("""COMPUTED_VALUE"""),"""capsule wardrobe Valencia"",")</f>
        <v>"capsule wardrobe Valencia",</v>
      </c>
    </row>
    <row r="3296">
      <c r="A3296" s="8" t="str">
        <f>IFERROR(__xludf.DUMMYFUNCTION("""COMPUTED_VALUE"""),"""fashion trends Valencia"",")</f>
        <v>"fashion trends Valencia",</v>
      </c>
    </row>
    <row r="3297">
      <c r="A3297" s="8" t="str">
        <f>IFERROR(__xludf.DUMMYFUNCTION("""COMPUTED_VALUE"""),"""minimalist fashion Valencia"",")</f>
        <v>"minimalist fashion Valencia",</v>
      </c>
    </row>
    <row r="3298">
      <c r="A3298" s="8" t="str">
        <f>IFERROR(__xludf.DUMMYFUNCTION("""COMPUTED_VALUE"""),"""beauty hacks Valencia"",")</f>
        <v>"beauty hacks Valencia",</v>
      </c>
    </row>
    <row r="3299">
      <c r="A3299" s="8" t="str">
        <f>IFERROR(__xludf.DUMMYFUNCTION("""COMPUTED_VALUE"""),"""hair routines Valencia"",")</f>
        <v>"hair routines Valencia",</v>
      </c>
    </row>
    <row r="3300">
      <c r="A3300" s="8" t="str">
        <f>IFERROR(__xludf.DUMMYFUNCTION("""COMPUTED_VALUE"""),"""empties Valencia"",")</f>
        <v>"empties Valencia",</v>
      </c>
    </row>
    <row r="3301">
      <c r="A3301" s="8" t="str">
        <f>IFERROR(__xludf.DUMMYFUNCTION("""COMPUTED_VALUE"""),"""product reviews Valencia"",")</f>
        <v>"product reviews Valencia",</v>
      </c>
    </row>
    <row r="3302">
      <c r="A3302" s="8" t="str">
        <f>IFERROR(__xludf.DUMMYFUNCTION("""COMPUTED_VALUE"""),"""beauty reviews  Valencia"",")</f>
        <v>"beauty reviews  Valencia",</v>
      </c>
    </row>
    <row r="3303">
      <c r="A3303" s="8" t="str">
        <f>IFERROR(__xludf.DUMMYFUNCTION("""COMPUTED_VALUE"""),"""make-up artist Valencia"",")</f>
        <v>"make-up artist Valencia",</v>
      </c>
    </row>
    <row r="3304">
      <c r="A3304" s="8" t="str">
        <f>IFERROR(__xludf.DUMMYFUNCTION("""COMPUTED_VALUE"""),"""skincare journey Valencia"",")</f>
        <v>"skincare journey Valencia",</v>
      </c>
    </row>
    <row r="3305">
      <c r="A3305" s="8" t="str">
        <f>IFERROR(__xludf.DUMMYFUNCTION("""COMPUTED_VALUE"""),"""hair tutorial Valencia"",")</f>
        <v>"hair tutorial Valencia",</v>
      </c>
    </row>
    <row r="3306">
      <c r="A3306" s="8" t="str">
        <f>IFERROR(__xludf.DUMMYFUNCTION("""COMPUTED_VALUE"""),"""barbershop Valencia"",")</f>
        <v>"barbershop Valencia",</v>
      </c>
    </row>
    <row r="3307">
      <c r="A3307" s="8" t="str">
        <f>IFERROR(__xludf.DUMMYFUNCTION("""COMPUTED_VALUE"""),"""ootd Marseille"",")</f>
        <v>"ootd Marseille",</v>
      </c>
    </row>
    <row r="3308">
      <c r="A3308" s="8" t="str">
        <f>IFERROR(__xludf.DUMMYFUNCTION("""COMPUTED_VALUE"""),"""street style Marseille"",")</f>
        <v>"street style Marseille",</v>
      </c>
    </row>
    <row r="3309">
      <c r="A3309" s="8" t="str">
        <f>IFERROR(__xludf.DUMMYFUNCTION("""COMPUTED_VALUE"""),"""skincare Marseille"",")</f>
        <v>"skincare Marseille",</v>
      </c>
    </row>
    <row r="3310">
      <c r="A3310" s="8" t="str">
        <f>IFERROR(__xludf.DUMMYFUNCTION("""COMPUTED_VALUE"""),"""makeup Marseille"",")</f>
        <v>"makeup Marseille",</v>
      </c>
    </row>
    <row r="3311">
      <c r="A3311" s="8" t="str">
        <f>IFERROR(__xludf.DUMMYFUNCTION("""COMPUTED_VALUE"""),"""nails Marseille"",")</f>
        <v>"nails Marseille",</v>
      </c>
    </row>
    <row r="3312">
      <c r="A3312" s="8" t="str">
        <f>IFERROR(__xludf.DUMMYFUNCTION("""COMPUTED_VALUE"""),"""curly hair Marseille"",")</f>
        <v>"curly hair Marseille",</v>
      </c>
    </row>
    <row r="3313">
      <c r="A3313" s="8" t="str">
        <f>IFERROR(__xludf.DUMMYFUNCTION("""COMPUTED_VALUE"""),"""thrift Marseille"",")</f>
        <v>"thrift Marseille",</v>
      </c>
    </row>
    <row r="3314">
      <c r="A3314" s="8" t="str">
        <f>IFERROR(__xludf.DUMMYFUNCTION("""COMPUTED_VALUE"""),"""streetwear Marseille"",")</f>
        <v>"streetwear Marseille",</v>
      </c>
    </row>
    <row r="3315">
      <c r="A3315" s="8" t="str">
        <f>IFERROR(__xludf.DUMMYFUNCTION("""COMPUTED_VALUE"""),"""luxury Marseille"",")</f>
        <v>"luxury Marseille",</v>
      </c>
    </row>
    <row r="3316">
      <c r="A3316" s="8" t="str">
        <f>IFERROR(__xludf.DUMMYFUNCTION("""COMPUTED_VALUE"""),"""handbags Marseille"",")</f>
        <v>"handbags Marseille",</v>
      </c>
    </row>
    <row r="3317">
      <c r="A3317" s="8" t="str">
        <f>IFERROR(__xludf.DUMMYFUNCTION("""COMPUTED_VALUE"""),"""sneakers Marseille"",")</f>
        <v>"sneakers Marseille",</v>
      </c>
    </row>
    <row r="3318">
      <c r="A3318" s="8" t="str">
        <f>IFERROR(__xludf.DUMMYFUNCTION("""COMPUTED_VALUE"""),"""high heels Marseille"",")</f>
        <v>"high heels Marseille",</v>
      </c>
    </row>
    <row r="3319">
      <c r="A3319" s="8" t="str">
        <f>IFERROR(__xludf.DUMMYFUNCTION("""COMPUTED_VALUE"""),"""haute-couture Marseille"",")</f>
        <v>"haute-couture Marseille",</v>
      </c>
    </row>
    <row r="3320">
      <c r="A3320" s="8" t="str">
        <f>IFERROR(__xludf.DUMMYFUNCTION("""COMPUTED_VALUE"""),"""diyfashion Marseille"",")</f>
        <v>"diyfashion Marseille",</v>
      </c>
    </row>
    <row r="3321">
      <c r="A3321" s="8" t="str">
        <f>IFERROR(__xludf.DUMMYFUNCTION("""COMPUTED_VALUE"""),"""accessories Marseille"",")</f>
        <v>"accessories Marseille",</v>
      </c>
    </row>
    <row r="3322">
      <c r="A3322" s="8" t="str">
        <f>IFERROR(__xludf.DUMMYFUNCTION("""COMPUTED_VALUE"""),"""menswear Marseille"",")</f>
        <v>"menswear Marseille",</v>
      </c>
    </row>
    <row r="3323">
      <c r="A3323" s="8" t="str">
        <f>IFERROR(__xludf.DUMMYFUNCTION("""COMPUTED_VALUE"""),"""womenswear Marseille"",")</f>
        <v>"womenswear Marseille",</v>
      </c>
    </row>
    <row r="3324">
      <c r="A3324" s="8" t="str">
        <f>IFERROR(__xludf.DUMMYFUNCTION("""COMPUTED_VALUE"""),"""moda Marseille"",")</f>
        <v>"moda Marseille",</v>
      </c>
    </row>
    <row r="3325">
      <c r="A3325" s="8" t="str">
        <f>IFERROR(__xludf.DUMMYFUNCTION("""COMPUTED_VALUE"""),"""hairstyle Marseille"",")</f>
        <v>"hairstyle Marseille",</v>
      </c>
    </row>
    <row r="3326">
      <c r="A3326" s="8" t="str">
        <f>IFERROR(__xludf.DUMMYFUNCTION("""COMPUTED_VALUE"""),"""perfume Marseille"",")</f>
        <v>"perfume Marseille",</v>
      </c>
    </row>
    <row r="3327">
      <c r="A3327" s="8" t="str">
        <f>IFERROR(__xludf.DUMMYFUNCTION("""COMPUTED_VALUE"""),"""cosmetiques Marseille"",")</f>
        <v>"cosmetiques Marseille",</v>
      </c>
    </row>
    <row r="3328">
      <c r="A3328" s="8" t="str">
        <f>IFERROR(__xludf.DUMMYFUNCTION("""COMPUTED_VALUE"""),"""beauty routine Marseille"",")</f>
        <v>"beauty routine Marseille",</v>
      </c>
    </row>
    <row r="3329">
      <c r="A3329" s="8" t="str">
        <f>IFERROR(__xludf.DUMMYFUNCTION("""COMPUTED_VALUE"""),"""natural beauty Marseille"",")</f>
        <v>"natural beauty Marseille",</v>
      </c>
    </row>
    <row r="3330">
      <c r="A3330" s="8" t="str">
        <f>IFERROR(__xludf.DUMMYFUNCTION("""COMPUTED_VALUE"""),"""organic beauty Marseille"",")</f>
        <v>"organic beauty Marseille",</v>
      </c>
    </row>
    <row r="3331">
      <c r="A3331" s="8" t="str">
        <f>IFERROR(__xludf.DUMMYFUNCTION("""COMPUTED_VALUE"""),"""sustainable fashion Marseille"",")</f>
        <v>"sustainable fashion Marseille",</v>
      </c>
    </row>
    <row r="3332">
      <c r="A3332" s="8" t="str">
        <f>IFERROR(__xludf.DUMMYFUNCTION("""COMPUTED_VALUE"""),"""fashion hacks Marseille"",")</f>
        <v>"fashion hacks Marseille",</v>
      </c>
    </row>
    <row r="3333">
      <c r="A3333" s="8" t="str">
        <f>IFERROR(__xludf.DUMMYFUNCTION("""COMPUTED_VALUE"""),"""capsule wardrobe Marseille"",")</f>
        <v>"capsule wardrobe Marseille",</v>
      </c>
    </row>
    <row r="3334">
      <c r="A3334" s="8" t="str">
        <f>IFERROR(__xludf.DUMMYFUNCTION("""COMPUTED_VALUE"""),"""fashion trends Marseille"",")</f>
        <v>"fashion trends Marseille",</v>
      </c>
    </row>
    <row r="3335">
      <c r="A3335" s="8" t="str">
        <f>IFERROR(__xludf.DUMMYFUNCTION("""COMPUTED_VALUE"""),"""minimalist fashion Marseille"",")</f>
        <v>"minimalist fashion Marseille",</v>
      </c>
    </row>
    <row r="3336">
      <c r="A3336" s="8" t="str">
        <f>IFERROR(__xludf.DUMMYFUNCTION("""COMPUTED_VALUE"""),"""beauty hacks Marseille"",")</f>
        <v>"beauty hacks Marseille",</v>
      </c>
    </row>
    <row r="3337">
      <c r="A3337" s="8" t="str">
        <f>IFERROR(__xludf.DUMMYFUNCTION("""COMPUTED_VALUE"""),"""hair routines Marseille"",")</f>
        <v>"hair routines Marseille",</v>
      </c>
    </row>
    <row r="3338">
      <c r="A3338" s="8" t="str">
        <f>IFERROR(__xludf.DUMMYFUNCTION("""COMPUTED_VALUE"""),"""empties Marseille"",")</f>
        <v>"empties Marseille",</v>
      </c>
    </row>
    <row r="3339">
      <c r="A3339" s="8" t="str">
        <f>IFERROR(__xludf.DUMMYFUNCTION("""COMPUTED_VALUE"""),"""product reviews Marseille"",")</f>
        <v>"product reviews Marseille",</v>
      </c>
    </row>
    <row r="3340">
      <c r="A3340" s="9" t="str">
        <f>IFERROR(__xludf.DUMMYFUNCTION("""COMPUTED_VALUE"""),"""beauty reviews  Marseille"",")</f>
        <v>"beauty reviews  Marseille",</v>
      </c>
    </row>
    <row r="3341">
      <c r="A3341" s="8" t="str">
        <f>IFERROR(__xludf.DUMMYFUNCTION("""COMPUTED_VALUE"""),"""make-up artist Marseille"",")</f>
        <v>"make-up artist Marseille",</v>
      </c>
    </row>
    <row r="3342">
      <c r="A3342" s="8" t="str">
        <f>IFERROR(__xludf.DUMMYFUNCTION("""COMPUTED_VALUE"""),"""skincare journey Marseille"",")</f>
        <v>"skincare journey Marseille",</v>
      </c>
    </row>
    <row r="3343">
      <c r="A3343" s="8" t="str">
        <f>IFERROR(__xludf.DUMMYFUNCTION("""COMPUTED_VALUE"""),"""hair tutorial Marseille"",")</f>
        <v>"hair tutorial Marseille",</v>
      </c>
    </row>
    <row r="3344">
      <c r="A3344" s="8" t="str">
        <f>IFERROR(__xludf.DUMMYFUNCTION("""COMPUTED_VALUE"""),"""barbershop Marseille"",")</f>
        <v>"barbershop Marseille",</v>
      </c>
    </row>
    <row r="3345">
      <c r="A3345" s="8" t="str">
        <f>IFERROR(__xludf.DUMMYFUNCTION("""COMPUTED_VALUE"""),"""ootd Lyon"",")</f>
        <v>"ootd Lyon",</v>
      </c>
    </row>
    <row r="3346">
      <c r="A3346" s="8" t="str">
        <f>IFERROR(__xludf.DUMMYFUNCTION("""COMPUTED_VALUE"""),"""street style Lyon"",")</f>
        <v>"street style Lyon",</v>
      </c>
    </row>
    <row r="3347">
      <c r="A3347" s="8" t="str">
        <f>IFERROR(__xludf.DUMMYFUNCTION("""COMPUTED_VALUE"""),"""skincare Lyon"",")</f>
        <v>"skincare Lyon",</v>
      </c>
    </row>
    <row r="3348">
      <c r="A3348" s="8" t="str">
        <f>IFERROR(__xludf.DUMMYFUNCTION("""COMPUTED_VALUE"""),"""makeup Lyon"",")</f>
        <v>"makeup Lyon",</v>
      </c>
    </row>
    <row r="3349">
      <c r="A3349" s="8" t="str">
        <f>IFERROR(__xludf.DUMMYFUNCTION("""COMPUTED_VALUE"""),"""nails Lyon"",")</f>
        <v>"nails Lyon",</v>
      </c>
    </row>
    <row r="3350">
      <c r="A3350" s="8" t="str">
        <f>IFERROR(__xludf.DUMMYFUNCTION("""COMPUTED_VALUE"""),"""curly hair Lyon"",")</f>
        <v>"curly hair Lyon",</v>
      </c>
    </row>
    <row r="3351">
      <c r="A3351" s="8" t="str">
        <f>IFERROR(__xludf.DUMMYFUNCTION("""COMPUTED_VALUE"""),"""thrift Lyon"",")</f>
        <v>"thrift Lyon",</v>
      </c>
    </row>
    <row r="3352">
      <c r="A3352" s="8" t="str">
        <f>IFERROR(__xludf.DUMMYFUNCTION("""COMPUTED_VALUE"""),"""streetwear Lyon"",")</f>
        <v>"streetwear Lyon",</v>
      </c>
    </row>
    <row r="3353">
      <c r="A3353" s="8" t="str">
        <f>IFERROR(__xludf.DUMMYFUNCTION("""COMPUTED_VALUE"""),"""luxury Lyon"",")</f>
        <v>"luxury Lyon",</v>
      </c>
    </row>
    <row r="3354">
      <c r="A3354" s="8" t="str">
        <f>IFERROR(__xludf.DUMMYFUNCTION("""COMPUTED_VALUE"""),"""handbags Lyon"",")</f>
        <v>"handbags Lyon",</v>
      </c>
    </row>
    <row r="3355">
      <c r="A3355" s="8" t="str">
        <f>IFERROR(__xludf.DUMMYFUNCTION("""COMPUTED_VALUE"""),"""sneakers Lyon"",")</f>
        <v>"sneakers Lyon",</v>
      </c>
    </row>
    <row r="3356">
      <c r="A3356" s="8" t="str">
        <f>IFERROR(__xludf.DUMMYFUNCTION("""COMPUTED_VALUE"""),"""high heels Lyon"",")</f>
        <v>"high heels Lyon",</v>
      </c>
    </row>
    <row r="3357">
      <c r="A3357" s="8" t="str">
        <f>IFERROR(__xludf.DUMMYFUNCTION("""COMPUTED_VALUE"""),"""haute-couture Lyon"",")</f>
        <v>"haute-couture Lyon",</v>
      </c>
    </row>
    <row r="3358">
      <c r="A3358" s="8" t="str">
        <f>IFERROR(__xludf.DUMMYFUNCTION("""COMPUTED_VALUE"""),"""diyfashion Lyon"",")</f>
        <v>"diyfashion Lyon",</v>
      </c>
    </row>
    <row r="3359">
      <c r="A3359" s="8" t="str">
        <f>IFERROR(__xludf.DUMMYFUNCTION("""COMPUTED_VALUE"""),"""accessories Lyon"",")</f>
        <v>"accessories Lyon",</v>
      </c>
    </row>
    <row r="3360">
      <c r="A3360" s="8" t="str">
        <f>IFERROR(__xludf.DUMMYFUNCTION("""COMPUTED_VALUE"""),"""menswear Lyon"",")</f>
        <v>"menswear Lyon",</v>
      </c>
    </row>
    <row r="3361">
      <c r="A3361" s="8" t="str">
        <f>IFERROR(__xludf.DUMMYFUNCTION("""COMPUTED_VALUE"""),"""womenswear Lyon"",")</f>
        <v>"womenswear Lyon",</v>
      </c>
    </row>
    <row r="3362">
      <c r="A3362" s="8" t="str">
        <f>IFERROR(__xludf.DUMMYFUNCTION("""COMPUTED_VALUE"""),"""moda Lyon"",")</f>
        <v>"moda Lyon",</v>
      </c>
    </row>
    <row r="3363">
      <c r="A3363" s="8" t="str">
        <f>IFERROR(__xludf.DUMMYFUNCTION("""COMPUTED_VALUE"""),"""hairstyle Lyon"",")</f>
        <v>"hairstyle Lyon",</v>
      </c>
    </row>
    <row r="3364">
      <c r="A3364" s="8" t="str">
        <f>IFERROR(__xludf.DUMMYFUNCTION("""COMPUTED_VALUE"""),"""perfume Lyon"",")</f>
        <v>"perfume Lyon",</v>
      </c>
    </row>
    <row r="3365">
      <c r="A3365" s="8" t="str">
        <f>IFERROR(__xludf.DUMMYFUNCTION("""COMPUTED_VALUE"""),"""cosmetiques Lyon"",")</f>
        <v>"cosmetiques Lyon",</v>
      </c>
    </row>
    <row r="3366">
      <c r="A3366" s="8" t="str">
        <f>IFERROR(__xludf.DUMMYFUNCTION("""COMPUTED_VALUE"""),"""beauty routine Lyon"",")</f>
        <v>"beauty routine Lyon",</v>
      </c>
    </row>
    <row r="3367">
      <c r="A3367" s="8" t="str">
        <f>IFERROR(__xludf.DUMMYFUNCTION("""COMPUTED_VALUE"""),"""natural beauty Lyon"",")</f>
        <v>"natural beauty Lyon",</v>
      </c>
    </row>
    <row r="3368">
      <c r="A3368" s="8" t="str">
        <f>IFERROR(__xludf.DUMMYFUNCTION("""COMPUTED_VALUE"""),"""organic beauty Lyon"",")</f>
        <v>"organic beauty Lyon",</v>
      </c>
    </row>
    <row r="3369">
      <c r="A3369" s="8" t="str">
        <f>IFERROR(__xludf.DUMMYFUNCTION("""COMPUTED_VALUE"""),"""sustainable fashion Lyon"",")</f>
        <v>"sustainable fashion Lyon",</v>
      </c>
    </row>
    <row r="3370">
      <c r="A3370" s="8" t="str">
        <f>IFERROR(__xludf.DUMMYFUNCTION("""COMPUTED_VALUE"""),"""fashion hacks Lyon"",")</f>
        <v>"fashion hacks Lyon",</v>
      </c>
    </row>
    <row r="3371">
      <c r="A3371" s="8" t="str">
        <f>IFERROR(__xludf.DUMMYFUNCTION("""COMPUTED_VALUE"""),"""capsule wardrobe Lyon"",")</f>
        <v>"capsule wardrobe Lyon",</v>
      </c>
    </row>
    <row r="3372">
      <c r="A3372" s="8" t="str">
        <f>IFERROR(__xludf.DUMMYFUNCTION("""COMPUTED_VALUE"""),"""fashion trends Lyon"",")</f>
        <v>"fashion trends Lyon",</v>
      </c>
    </row>
    <row r="3373">
      <c r="A3373" s="8" t="str">
        <f>IFERROR(__xludf.DUMMYFUNCTION("""COMPUTED_VALUE"""),"""minimalist fashion Lyon"",")</f>
        <v>"minimalist fashion Lyon",</v>
      </c>
    </row>
    <row r="3374">
      <c r="A3374" s="8" t="str">
        <f>IFERROR(__xludf.DUMMYFUNCTION("""COMPUTED_VALUE"""),"""beauty hacks Lyon"",")</f>
        <v>"beauty hacks Lyon",</v>
      </c>
    </row>
    <row r="3375">
      <c r="A3375" s="8" t="str">
        <f>IFERROR(__xludf.DUMMYFUNCTION("""COMPUTED_VALUE"""),"""hair routines Lyon"",")</f>
        <v>"hair routines Lyon",</v>
      </c>
    </row>
    <row r="3376">
      <c r="A3376" s="8" t="str">
        <f>IFERROR(__xludf.DUMMYFUNCTION("""COMPUTED_VALUE"""),"""empties Lyon"",")</f>
        <v>"empties Lyon",</v>
      </c>
    </row>
    <row r="3377">
      <c r="A3377" s="8" t="str">
        <f>IFERROR(__xludf.DUMMYFUNCTION("""COMPUTED_VALUE"""),"""product reviews Lyon"",")</f>
        <v>"product reviews Lyon",</v>
      </c>
    </row>
    <row r="3378">
      <c r="A3378" s="8" t="str">
        <f>IFERROR(__xludf.DUMMYFUNCTION("""COMPUTED_VALUE"""),"""beauty reviews  Lyon"",")</f>
        <v>"beauty reviews  Lyon",</v>
      </c>
    </row>
    <row r="3379">
      <c r="A3379" s="8" t="str">
        <f>IFERROR(__xludf.DUMMYFUNCTION("""COMPUTED_VALUE"""),"""make-up artist Lyon"",")</f>
        <v>"make-up artist Lyon",</v>
      </c>
    </row>
    <row r="3380">
      <c r="A3380" s="8" t="str">
        <f>IFERROR(__xludf.DUMMYFUNCTION("""COMPUTED_VALUE"""),"""skincare journey Lyon"",")</f>
        <v>"skincare journey Lyon",</v>
      </c>
    </row>
    <row r="3381">
      <c r="A3381" s="8" t="str">
        <f>IFERROR(__xludf.DUMMYFUNCTION("""COMPUTED_VALUE"""),"""hair tutorial Lyon"",")</f>
        <v>"hair tutorial Lyon",</v>
      </c>
    </row>
    <row r="3382">
      <c r="A3382" s="8" t="str">
        <f>IFERROR(__xludf.DUMMYFUNCTION("""COMPUTED_VALUE"""),"""barbershop Lyon"",")</f>
        <v>"barbershop Lyon",</v>
      </c>
    </row>
    <row r="3383">
      <c r="A3383" s="8" t="str">
        <f>IFERROR(__xludf.DUMMYFUNCTION("""COMPUTED_VALUE"""),"""ootd Niseko"",")</f>
        <v>"ootd Niseko",</v>
      </c>
    </row>
    <row r="3384">
      <c r="A3384" s="8" t="str">
        <f>IFERROR(__xludf.DUMMYFUNCTION("""COMPUTED_VALUE"""),"""street style Niseko"",")</f>
        <v>"street style Niseko",</v>
      </c>
    </row>
    <row r="3385">
      <c r="A3385" s="8" t="str">
        <f>IFERROR(__xludf.DUMMYFUNCTION("""COMPUTED_VALUE"""),"""skincare Niseko"",")</f>
        <v>"skincare Niseko",</v>
      </c>
    </row>
    <row r="3386">
      <c r="A3386" s="8" t="str">
        <f>IFERROR(__xludf.DUMMYFUNCTION("""COMPUTED_VALUE"""),"""makeup Niseko"",")</f>
        <v>"makeup Niseko",</v>
      </c>
    </row>
    <row r="3387">
      <c r="A3387" s="8" t="str">
        <f>IFERROR(__xludf.DUMMYFUNCTION("""COMPUTED_VALUE"""),"""nails Niseko"",")</f>
        <v>"nails Niseko",</v>
      </c>
    </row>
    <row r="3388">
      <c r="A3388" s="8" t="str">
        <f>IFERROR(__xludf.DUMMYFUNCTION("""COMPUTED_VALUE"""),"""curly hair Niseko"",")</f>
        <v>"curly hair Niseko",</v>
      </c>
    </row>
    <row r="3389">
      <c r="A3389" s="8" t="str">
        <f>IFERROR(__xludf.DUMMYFUNCTION("""COMPUTED_VALUE"""),"""thrift Niseko"",")</f>
        <v>"thrift Niseko",</v>
      </c>
    </row>
    <row r="3390">
      <c r="A3390" s="8" t="str">
        <f>IFERROR(__xludf.DUMMYFUNCTION("""COMPUTED_VALUE"""),"""streetwear Niseko"",")</f>
        <v>"streetwear Niseko",</v>
      </c>
    </row>
    <row r="3391">
      <c r="A3391" s="8" t="str">
        <f>IFERROR(__xludf.DUMMYFUNCTION("""COMPUTED_VALUE"""),"""luxury Niseko"",")</f>
        <v>"luxury Niseko",</v>
      </c>
    </row>
    <row r="3392">
      <c r="A3392" s="8" t="str">
        <f>IFERROR(__xludf.DUMMYFUNCTION("""COMPUTED_VALUE"""),"""handbags Niseko"",")</f>
        <v>"handbags Niseko",</v>
      </c>
    </row>
    <row r="3393">
      <c r="A3393" s="8" t="str">
        <f>IFERROR(__xludf.DUMMYFUNCTION("""COMPUTED_VALUE"""),"""sneakers Niseko"",")</f>
        <v>"sneakers Niseko",</v>
      </c>
    </row>
    <row r="3394">
      <c r="A3394" s="8" t="str">
        <f>IFERROR(__xludf.DUMMYFUNCTION("""COMPUTED_VALUE"""),"""high heels Niseko"",")</f>
        <v>"high heels Niseko",</v>
      </c>
    </row>
    <row r="3395">
      <c r="A3395" s="8" t="str">
        <f>IFERROR(__xludf.DUMMYFUNCTION("""COMPUTED_VALUE"""),"""haute-couture Niseko"",")</f>
        <v>"haute-couture Niseko",</v>
      </c>
    </row>
    <row r="3396">
      <c r="A3396" s="8" t="str">
        <f>IFERROR(__xludf.DUMMYFUNCTION("""COMPUTED_VALUE"""),"""diyfashion Niseko"",")</f>
        <v>"diyfashion Niseko",</v>
      </c>
    </row>
    <row r="3397">
      <c r="A3397" s="8" t="str">
        <f>IFERROR(__xludf.DUMMYFUNCTION("""COMPUTED_VALUE"""),"""accessories Niseko"",")</f>
        <v>"accessories Niseko",</v>
      </c>
    </row>
    <row r="3398">
      <c r="A3398" s="8" t="str">
        <f>IFERROR(__xludf.DUMMYFUNCTION("""COMPUTED_VALUE"""),"""menswear Niseko"",")</f>
        <v>"menswear Niseko",</v>
      </c>
    </row>
    <row r="3399">
      <c r="A3399" s="8" t="str">
        <f>IFERROR(__xludf.DUMMYFUNCTION("""COMPUTED_VALUE"""),"""womenswear Niseko"",")</f>
        <v>"womenswear Niseko",</v>
      </c>
    </row>
    <row r="3400">
      <c r="A3400" s="8" t="str">
        <f>IFERROR(__xludf.DUMMYFUNCTION("""COMPUTED_VALUE"""),"""moda Niseko"",")</f>
        <v>"moda Niseko",</v>
      </c>
    </row>
    <row r="3401">
      <c r="A3401" s="8" t="str">
        <f>IFERROR(__xludf.DUMMYFUNCTION("""COMPUTED_VALUE"""),"""hairstyle Niseko"",")</f>
        <v>"hairstyle Niseko",</v>
      </c>
    </row>
    <row r="3402">
      <c r="A3402" s="8" t="str">
        <f>IFERROR(__xludf.DUMMYFUNCTION("""COMPUTED_VALUE"""),"""perfume Niseko"",")</f>
        <v>"perfume Niseko",</v>
      </c>
    </row>
    <row r="3403">
      <c r="A3403" s="8" t="str">
        <f>IFERROR(__xludf.DUMMYFUNCTION("""COMPUTED_VALUE"""),"""cosmetiques Niseko"",")</f>
        <v>"cosmetiques Niseko",</v>
      </c>
    </row>
    <row r="3404">
      <c r="A3404" s="8" t="str">
        <f>IFERROR(__xludf.DUMMYFUNCTION("""COMPUTED_VALUE"""),"""beauty routine Niseko"",")</f>
        <v>"beauty routine Niseko",</v>
      </c>
    </row>
    <row r="3405">
      <c r="A3405" s="8" t="str">
        <f>IFERROR(__xludf.DUMMYFUNCTION("""COMPUTED_VALUE"""),"""natural beauty Niseko"",")</f>
        <v>"natural beauty Niseko",</v>
      </c>
    </row>
    <row r="3406">
      <c r="A3406" s="8" t="str">
        <f>IFERROR(__xludf.DUMMYFUNCTION("""COMPUTED_VALUE"""),"""organic beauty Niseko"",")</f>
        <v>"organic beauty Niseko",</v>
      </c>
    </row>
    <row r="3407">
      <c r="A3407" s="8" t="str">
        <f>IFERROR(__xludf.DUMMYFUNCTION("""COMPUTED_VALUE"""),"""sustainable fashion Niseko"",")</f>
        <v>"sustainable fashion Niseko",</v>
      </c>
    </row>
    <row r="3408">
      <c r="A3408" s="8" t="str">
        <f>IFERROR(__xludf.DUMMYFUNCTION("""COMPUTED_VALUE"""),"""fashion hacks Niseko"",")</f>
        <v>"fashion hacks Niseko",</v>
      </c>
    </row>
    <row r="3409">
      <c r="A3409" s="8" t="str">
        <f>IFERROR(__xludf.DUMMYFUNCTION("""COMPUTED_VALUE"""),"""capsule wardrobe Niseko"",")</f>
        <v>"capsule wardrobe Niseko",</v>
      </c>
    </row>
    <row r="3410">
      <c r="A3410" s="8" t="str">
        <f>IFERROR(__xludf.DUMMYFUNCTION("""COMPUTED_VALUE"""),"""fashion trends Niseko"",")</f>
        <v>"fashion trends Niseko",</v>
      </c>
    </row>
    <row r="3411">
      <c r="A3411" s="8" t="str">
        <f>IFERROR(__xludf.DUMMYFUNCTION("""COMPUTED_VALUE"""),"""minimalist fashion Niseko"",")</f>
        <v>"minimalist fashion Niseko",</v>
      </c>
    </row>
    <row r="3412">
      <c r="A3412" s="8" t="str">
        <f>IFERROR(__xludf.DUMMYFUNCTION("""COMPUTED_VALUE"""),"""beauty hacks Niseko"",")</f>
        <v>"beauty hacks Niseko",</v>
      </c>
    </row>
    <row r="3413">
      <c r="A3413" s="8" t="str">
        <f>IFERROR(__xludf.DUMMYFUNCTION("""COMPUTED_VALUE"""),"""hair routines Niseko"",")</f>
        <v>"hair routines Niseko",</v>
      </c>
    </row>
    <row r="3414">
      <c r="A3414" s="8" t="str">
        <f>IFERROR(__xludf.DUMMYFUNCTION("""COMPUTED_VALUE"""),"""empties Niseko"",")</f>
        <v>"empties Niseko",</v>
      </c>
    </row>
    <row r="3415">
      <c r="A3415" s="8" t="str">
        <f>IFERROR(__xludf.DUMMYFUNCTION("""COMPUTED_VALUE"""),"""product reviews Niseko"",")</f>
        <v>"product reviews Niseko",</v>
      </c>
    </row>
    <row r="3416">
      <c r="A3416" s="8" t="str">
        <f>IFERROR(__xludf.DUMMYFUNCTION("""COMPUTED_VALUE"""),"""beauty reviews  Niseko"",")</f>
        <v>"beauty reviews  Niseko",</v>
      </c>
    </row>
    <row r="3417">
      <c r="A3417" s="8" t="str">
        <f>IFERROR(__xludf.DUMMYFUNCTION("""COMPUTED_VALUE"""),"""make-up artist Niseko"",")</f>
        <v>"make-up artist Niseko",</v>
      </c>
    </row>
    <row r="3418">
      <c r="A3418" s="8" t="str">
        <f>IFERROR(__xludf.DUMMYFUNCTION("""COMPUTED_VALUE"""),"""skincare journey Niseko"",")</f>
        <v>"skincare journey Niseko",</v>
      </c>
    </row>
    <row r="3419">
      <c r="A3419" s="8" t="str">
        <f>IFERROR(__xludf.DUMMYFUNCTION("""COMPUTED_VALUE"""),"""hair tutorial Niseko"",")</f>
        <v>"hair tutorial Niseko",</v>
      </c>
    </row>
    <row r="3420">
      <c r="A3420" s="8" t="str">
        <f>IFERROR(__xludf.DUMMYFUNCTION("""COMPUTED_VALUE"""),"""barbershop Niseko"",")</f>
        <v>"barbershop Niseko",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4914</v>
      </c>
      <c r="B2" s="8" t="str">
        <f t="shared" ref="B2:B358" si="1">CONCATENATE("""", A2, """,")</f>
        <v>"Perfume",</v>
      </c>
    </row>
    <row r="3">
      <c r="A3" s="2" t="s">
        <v>4915</v>
      </c>
      <c r="B3" s="8" t="str">
        <f t="shared" si="1"/>
        <v>"Fragrance",</v>
      </c>
    </row>
    <row r="4">
      <c r="A4" s="2" t="s">
        <v>4916</v>
      </c>
      <c r="B4" s="8" t="str">
        <f t="shared" si="1"/>
        <v>"Scent",</v>
      </c>
    </row>
    <row r="5">
      <c r="A5" s="2" t="s">
        <v>4917</v>
      </c>
      <c r="B5" s="8" t="str">
        <f t="shared" si="1"/>
        <v>"Aroma",</v>
      </c>
    </row>
    <row r="6">
      <c r="A6" s="2" t="s">
        <v>4918</v>
      </c>
      <c r="B6" s="8" t="str">
        <f t="shared" si="1"/>
        <v>"Odor",</v>
      </c>
    </row>
    <row r="7">
      <c r="A7" s="2" t="s">
        <v>4919</v>
      </c>
      <c r="B7" s="8" t="str">
        <f t="shared" si="1"/>
        <v>"Essence",</v>
      </c>
    </row>
    <row r="8">
      <c r="A8" s="2" t="s">
        <v>4920</v>
      </c>
      <c r="B8" s="8" t="str">
        <f t="shared" si="1"/>
        <v>"Elixir",</v>
      </c>
    </row>
    <row r="9">
      <c r="A9" s="2" t="s">
        <v>4921</v>
      </c>
      <c r="B9" s="8" t="str">
        <f t="shared" si="1"/>
        <v>"Bouquet",</v>
      </c>
    </row>
    <row r="10">
      <c r="A10" s="2" t="s">
        <v>4922</v>
      </c>
      <c r="B10" s="8" t="str">
        <f t="shared" si="1"/>
        <v>"Notes",</v>
      </c>
    </row>
    <row r="11">
      <c r="A11" s="2" t="s">
        <v>4923</v>
      </c>
      <c r="B11" s="8" t="str">
        <f t="shared" si="1"/>
        <v>"Accord",</v>
      </c>
    </row>
    <row r="12">
      <c r="A12" s="2" t="s">
        <v>4924</v>
      </c>
      <c r="B12" s="8" t="str">
        <f t="shared" si="1"/>
        <v>"Top notes",</v>
      </c>
    </row>
    <row r="13">
      <c r="A13" s="2" t="s">
        <v>4925</v>
      </c>
      <c r="B13" s="8" t="str">
        <f t="shared" si="1"/>
        <v>"Heart notes",</v>
      </c>
    </row>
    <row r="14">
      <c r="A14" s="2" t="s">
        <v>4926</v>
      </c>
      <c r="B14" s="8" t="str">
        <f t="shared" si="1"/>
        <v>"Base notes",</v>
      </c>
    </row>
    <row r="15">
      <c r="A15" s="2" t="s">
        <v>4927</v>
      </c>
      <c r="B15" s="8" t="str">
        <f t="shared" si="1"/>
        <v>"Eau de parfum",</v>
      </c>
    </row>
    <row r="16">
      <c r="A16" s="2" t="s">
        <v>4928</v>
      </c>
      <c r="B16" s="8" t="str">
        <f t="shared" si="1"/>
        <v>"Eau de toilette",</v>
      </c>
    </row>
    <row r="17">
      <c r="A17" s="2" t="s">
        <v>4929</v>
      </c>
      <c r="B17" s="8" t="str">
        <f t="shared" si="1"/>
        <v>"Cologne",</v>
      </c>
    </row>
    <row r="18">
      <c r="A18" s="2" t="s">
        <v>4930</v>
      </c>
      <c r="B18" s="8" t="str">
        <f t="shared" si="1"/>
        <v>"Parfum",</v>
      </c>
    </row>
    <row r="19">
      <c r="A19" s="2" t="s">
        <v>4931</v>
      </c>
      <c r="B19" s="8" t="str">
        <f t="shared" si="1"/>
        <v>"Concentration",</v>
      </c>
    </row>
    <row r="20">
      <c r="A20" s="2" t="s">
        <v>4932</v>
      </c>
      <c r="B20" s="8" t="str">
        <f t="shared" si="1"/>
        <v>"Atomizer",</v>
      </c>
    </row>
    <row r="21">
      <c r="A21" s="2" t="s">
        <v>4933</v>
      </c>
      <c r="B21" s="8" t="str">
        <f t="shared" si="1"/>
        <v>"Spray",</v>
      </c>
    </row>
    <row r="22">
      <c r="A22" s="2" t="s">
        <v>4934</v>
      </c>
      <c r="B22" s="8" t="str">
        <f t="shared" si="1"/>
        <v>"Diffuse",</v>
      </c>
    </row>
    <row r="23">
      <c r="A23" s="2" t="s">
        <v>4935</v>
      </c>
      <c r="B23" s="8" t="str">
        <f t="shared" si="1"/>
        <v>"Lingering",</v>
      </c>
    </row>
    <row r="24">
      <c r="A24" s="2" t="s">
        <v>4936</v>
      </c>
      <c r="B24" s="8" t="str">
        <f t="shared" si="1"/>
        <v>"Trail",</v>
      </c>
    </row>
    <row r="25">
      <c r="A25" s="2" t="s">
        <v>4937</v>
      </c>
      <c r="B25" s="8" t="str">
        <f t="shared" si="1"/>
        <v>"Sillage",</v>
      </c>
    </row>
    <row r="26">
      <c r="A26" s="2" t="s">
        <v>4938</v>
      </c>
      <c r="B26" s="8" t="str">
        <f t="shared" si="1"/>
        <v>"Projection",</v>
      </c>
    </row>
    <row r="27">
      <c r="A27" s="2" t="s">
        <v>4939</v>
      </c>
      <c r="B27" s="8" t="str">
        <f t="shared" si="1"/>
        <v>"Blend",</v>
      </c>
    </row>
    <row r="28">
      <c r="A28" s="2" t="s">
        <v>4940</v>
      </c>
      <c r="B28" s="8" t="str">
        <f t="shared" si="1"/>
        <v>"Composition",</v>
      </c>
    </row>
    <row r="29">
      <c r="A29" s="2" t="s">
        <v>4941</v>
      </c>
      <c r="B29" s="8" t="str">
        <f t="shared" si="1"/>
        <v>"Infusion",</v>
      </c>
    </row>
    <row r="30">
      <c r="A30" s="2" t="s">
        <v>4942</v>
      </c>
      <c r="B30" s="8" t="str">
        <f t="shared" si="1"/>
        <v>"Distillation",</v>
      </c>
    </row>
    <row r="31">
      <c r="A31" s="2" t="s">
        <v>4943</v>
      </c>
      <c r="B31" s="8" t="str">
        <f t="shared" si="1"/>
        <v>"Extraction",</v>
      </c>
    </row>
    <row r="32">
      <c r="A32" s="2" t="s">
        <v>4944</v>
      </c>
      <c r="B32" s="8" t="str">
        <f t="shared" si="1"/>
        <v>"Absolute",</v>
      </c>
    </row>
    <row r="33">
      <c r="A33" s="2" t="s">
        <v>4945</v>
      </c>
      <c r="B33" s="8" t="str">
        <f t="shared" si="1"/>
        <v>"Resin",</v>
      </c>
    </row>
    <row r="34">
      <c r="A34" s="2" t="s">
        <v>4946</v>
      </c>
      <c r="B34" s="8" t="str">
        <f t="shared" si="1"/>
        <v>"Oil",</v>
      </c>
    </row>
    <row r="35">
      <c r="A35" s="2" t="s">
        <v>4947</v>
      </c>
      <c r="B35" s="8" t="str">
        <f t="shared" si="1"/>
        <v>"Essentials",</v>
      </c>
    </row>
    <row r="36">
      <c r="A36" s="2" t="s">
        <v>4948</v>
      </c>
      <c r="B36" s="8" t="str">
        <f t="shared" si="1"/>
        <v>"Tincture",</v>
      </c>
    </row>
    <row r="37">
      <c r="A37" s="2" t="s">
        <v>4949</v>
      </c>
      <c r="B37" s="8" t="str">
        <f t="shared" si="1"/>
        <v>"Fixative",</v>
      </c>
    </row>
    <row r="38">
      <c r="A38" s="2" t="s">
        <v>4950</v>
      </c>
      <c r="B38" s="8" t="str">
        <f t="shared" si="1"/>
        <v>"Concoction",</v>
      </c>
    </row>
    <row r="39">
      <c r="A39" s="2" t="s">
        <v>4951</v>
      </c>
      <c r="B39" s="8" t="str">
        <f t="shared" si="1"/>
        <v>"Mixture",</v>
      </c>
    </row>
    <row r="40">
      <c r="A40" s="2" t="s">
        <v>4952</v>
      </c>
      <c r="B40" s="8" t="str">
        <f t="shared" si="1"/>
        <v>"Creation",</v>
      </c>
    </row>
    <row r="41">
      <c r="A41" s="2" t="s">
        <v>4953</v>
      </c>
      <c r="B41" s="8" t="str">
        <f t="shared" si="1"/>
        <v>"Formula",</v>
      </c>
    </row>
    <row r="42">
      <c r="A42" s="2" t="s">
        <v>4954</v>
      </c>
      <c r="B42" s="8" t="str">
        <f t="shared" si="1"/>
        <v>"Signature scent",</v>
      </c>
    </row>
    <row r="43">
      <c r="A43" s="2" t="s">
        <v>4955</v>
      </c>
      <c r="B43" s="8" t="str">
        <f t="shared" si="1"/>
        <v>"Skin chemistry",</v>
      </c>
    </row>
    <row r="44">
      <c r="A44" s="2" t="s">
        <v>4956</v>
      </c>
      <c r="B44" s="8" t="str">
        <f t="shared" si="1"/>
        <v>"Longevity",</v>
      </c>
    </row>
    <row r="45">
      <c r="A45" s="2" t="s">
        <v>4957</v>
      </c>
      <c r="B45" s="8" t="str">
        <f t="shared" si="1"/>
        <v>"Dry-down",</v>
      </c>
    </row>
    <row r="46">
      <c r="A46" s="2" t="s">
        <v>4958</v>
      </c>
      <c r="B46" s="8" t="str">
        <f t="shared" si="1"/>
        <v>"Wear",</v>
      </c>
    </row>
    <row r="47">
      <c r="A47" s="2" t="s">
        <v>4959</v>
      </c>
      <c r="B47" s="8" t="str">
        <f t="shared" si="1"/>
        <v>"Layering",</v>
      </c>
    </row>
    <row r="48">
      <c r="A48" s="2" t="s">
        <v>4960</v>
      </c>
      <c r="B48" s="8" t="str">
        <f t="shared" si="1"/>
        <v>"Intense",</v>
      </c>
    </row>
    <row r="49">
      <c r="A49" s="2" t="s">
        <v>4961</v>
      </c>
      <c r="B49" s="8" t="str">
        <f t="shared" si="1"/>
        <v>"Delicate",</v>
      </c>
    </row>
    <row r="50">
      <c r="A50" s="2" t="s">
        <v>4962</v>
      </c>
      <c r="B50" s="8" t="str">
        <f t="shared" si="1"/>
        <v>"Subtle",</v>
      </c>
    </row>
    <row r="51">
      <c r="A51" s="2" t="s">
        <v>4963</v>
      </c>
      <c r="B51" s="8" t="str">
        <f t="shared" si="1"/>
        <v>"Powerful",</v>
      </c>
    </row>
    <row r="52">
      <c r="A52" s="2" t="s">
        <v>4964</v>
      </c>
      <c r="B52" s="8" t="str">
        <f t="shared" si="1"/>
        <v>"Timeless",</v>
      </c>
    </row>
    <row r="53">
      <c r="A53" s="2" t="s">
        <v>4965</v>
      </c>
      <c r="B53" s="8" t="str">
        <f t="shared" si="1"/>
        <v>"Dior",</v>
      </c>
    </row>
    <row r="54">
      <c r="A54" s="2" t="s">
        <v>4966</v>
      </c>
      <c r="B54" s="8" t="str">
        <f t="shared" si="1"/>
        <v>"Christian Dior",</v>
      </c>
    </row>
    <row r="55">
      <c r="A55" s="2" t="s">
        <v>4967</v>
      </c>
      <c r="B55" s="8" t="str">
        <f t="shared" si="1"/>
        <v>"Maison",</v>
      </c>
    </row>
    <row r="56">
      <c r="A56" s="2" t="s">
        <v>4968</v>
      </c>
      <c r="B56" s="8" t="str">
        <f t="shared" si="1"/>
        <v>"Haute couture",</v>
      </c>
    </row>
    <row r="57">
      <c r="A57" s="2" t="s">
        <v>4969</v>
      </c>
      <c r="B57" s="8" t="str">
        <f t="shared" si="1"/>
        <v>"Luxury",</v>
      </c>
    </row>
    <row r="58">
      <c r="A58" s="2" t="s">
        <v>4970</v>
      </c>
      <c r="B58" s="8" t="str">
        <f t="shared" si="1"/>
        <v>"Elegance",</v>
      </c>
    </row>
    <row r="59">
      <c r="A59" s="2" t="s">
        <v>4971</v>
      </c>
      <c r="B59" s="8" t="str">
        <f t="shared" si="1"/>
        <v>"Prestige",</v>
      </c>
    </row>
    <row r="60">
      <c r="A60" s="2" t="s">
        <v>4972</v>
      </c>
      <c r="B60" s="8" t="str">
        <f t="shared" si="1"/>
        <v>"Iconic",</v>
      </c>
    </row>
    <row r="61">
      <c r="A61" s="2" t="s">
        <v>4973</v>
      </c>
      <c r="B61" s="8" t="str">
        <f t="shared" si="1"/>
        <v>"Heritage",</v>
      </c>
    </row>
    <row r="62">
      <c r="A62" s="2" t="s">
        <v>4373</v>
      </c>
      <c r="B62" s="8" t="str">
        <f t="shared" si="1"/>
        <v>"French",</v>
      </c>
    </row>
    <row r="63">
      <c r="A63" s="2" t="s">
        <v>4974</v>
      </c>
      <c r="B63" s="8" t="str">
        <f t="shared" si="1"/>
        <v>"Parisian",</v>
      </c>
    </row>
    <row r="64">
      <c r="A64" s="2" t="s">
        <v>4975</v>
      </c>
      <c r="B64" s="8" t="str">
        <f t="shared" si="1"/>
        <v>"Runway",</v>
      </c>
    </row>
    <row r="65">
      <c r="A65" s="2" t="s">
        <v>4976</v>
      </c>
      <c r="B65" s="8" t="str">
        <f t="shared" si="1"/>
        <v>"Atelier",</v>
      </c>
    </row>
    <row r="66">
      <c r="A66" s="2" t="s">
        <v>4977</v>
      </c>
      <c r="B66" s="8" t="str">
        <f t="shared" si="1"/>
        <v>"Craftsmanship",</v>
      </c>
    </row>
    <row r="67">
      <c r="A67" s="2" t="s">
        <v>4978</v>
      </c>
      <c r="B67" s="8" t="str">
        <f t="shared" si="1"/>
        <v>"Tailoring",</v>
      </c>
    </row>
    <row r="68">
      <c r="A68" s="2" t="s">
        <v>4979</v>
      </c>
      <c r="B68" s="8" t="str">
        <f t="shared" si="1"/>
        <v>"Innovation",</v>
      </c>
    </row>
    <row r="69">
      <c r="A69" s="2" t="s">
        <v>4980</v>
      </c>
      <c r="B69" s="8" t="str">
        <f t="shared" si="1"/>
        <v>"Visionary",</v>
      </c>
    </row>
    <row r="70">
      <c r="A70" s="2" t="s">
        <v>4964</v>
      </c>
      <c r="B70" s="8" t="str">
        <f t="shared" si="1"/>
        <v>"Timeless",</v>
      </c>
    </row>
    <row r="71">
      <c r="A71" s="2" t="s">
        <v>4981</v>
      </c>
      <c r="B71" s="8" t="str">
        <f t="shared" si="1"/>
        <v>"Classic",</v>
      </c>
    </row>
    <row r="72">
      <c r="A72" s="2" t="s">
        <v>4982</v>
      </c>
      <c r="B72" s="8" t="str">
        <f t="shared" si="1"/>
        <v>"Modern",</v>
      </c>
    </row>
    <row r="73">
      <c r="A73" s="2" t="s">
        <v>4983</v>
      </c>
      <c r="B73" s="8" t="str">
        <f t="shared" si="1"/>
        <v>"Avant-garde",</v>
      </c>
    </row>
    <row r="74">
      <c r="A74" s="2" t="s">
        <v>4984</v>
      </c>
      <c r="B74" s="8" t="str">
        <f t="shared" si="1"/>
        <v>"Artistic",</v>
      </c>
    </row>
    <row r="75">
      <c r="A75" s="2" t="s">
        <v>4985</v>
      </c>
      <c r="B75" s="8" t="str">
        <f t="shared" si="1"/>
        <v>"Creative",</v>
      </c>
    </row>
    <row r="76">
      <c r="A76" s="2" t="s">
        <v>4986</v>
      </c>
      <c r="B76" s="8" t="str">
        <f t="shared" si="1"/>
        <v>"Design",</v>
      </c>
    </row>
    <row r="77">
      <c r="A77" s="2" t="s">
        <v>4987</v>
      </c>
      <c r="B77" s="8" t="str">
        <f t="shared" si="1"/>
        <v>"Aesthetic",</v>
      </c>
    </row>
    <row r="78">
      <c r="A78" s="2" t="s">
        <v>4988</v>
      </c>
      <c r="B78" s="8" t="str">
        <f t="shared" si="1"/>
        <v>"Style",</v>
      </c>
    </row>
    <row r="79">
      <c r="A79" s="2" t="s">
        <v>4989</v>
      </c>
      <c r="B79" s="8" t="str">
        <f t="shared" si="1"/>
        <v>"Sophistication",</v>
      </c>
    </row>
    <row r="80">
      <c r="A80" s="2" t="s">
        <v>4990</v>
      </c>
      <c r="B80" s="8" t="str">
        <f t="shared" si="1"/>
        <v>"Refinement",</v>
      </c>
    </row>
    <row r="81">
      <c r="A81" s="2" t="s">
        <v>4991</v>
      </c>
      <c r="B81" s="8" t="str">
        <f t="shared" si="1"/>
        <v>"Exclusivity",</v>
      </c>
    </row>
    <row r="82">
      <c r="A82" s="2" t="s">
        <v>4992</v>
      </c>
      <c r="B82" s="8" t="str">
        <f t="shared" si="1"/>
        <v>"Prestigious",</v>
      </c>
    </row>
    <row r="83">
      <c r="A83" s="2" t="s">
        <v>4993</v>
      </c>
      <c r="B83" s="8" t="str">
        <f t="shared" si="1"/>
        <v>"Symbol",</v>
      </c>
    </row>
    <row r="84">
      <c r="A84" s="2" t="s">
        <v>4994</v>
      </c>
      <c r="B84" s="8" t="str">
        <f t="shared" si="1"/>
        <v>"Influence",</v>
      </c>
    </row>
    <row r="85">
      <c r="A85" s="2" t="s">
        <v>4995</v>
      </c>
      <c r="B85" s="8" t="str">
        <f t="shared" si="1"/>
        <v>"Trendsetter",</v>
      </c>
    </row>
    <row r="86">
      <c r="A86" s="2" t="s">
        <v>4996</v>
      </c>
      <c r="B86" s="8" t="str">
        <f t="shared" si="1"/>
        <v>"Brand",</v>
      </c>
    </row>
    <row r="87">
      <c r="A87" s="2" t="s">
        <v>4997</v>
      </c>
      <c r="B87" s="8" t="str">
        <f t="shared" si="1"/>
        <v>"Legacy",</v>
      </c>
    </row>
    <row r="88">
      <c r="A88" s="2" t="s">
        <v>4998</v>
      </c>
      <c r="B88" s="8" t="str">
        <f t="shared" si="1"/>
        <v>"Fame",</v>
      </c>
    </row>
    <row r="89">
      <c r="A89" s="2" t="s">
        <v>4999</v>
      </c>
      <c r="B89" s="8" t="str">
        <f t="shared" si="1"/>
        <v>"Reputation",</v>
      </c>
    </row>
    <row r="90">
      <c r="A90" s="2" t="s">
        <v>5000</v>
      </c>
      <c r="B90" s="8" t="str">
        <f t="shared" si="1"/>
        <v>"Prestige house",</v>
      </c>
    </row>
    <row r="91">
      <c r="A91" s="2" t="s">
        <v>5001</v>
      </c>
      <c r="B91" s="8" t="str">
        <f t="shared" si="1"/>
        <v>"Campaign",</v>
      </c>
    </row>
    <row r="92">
      <c r="A92" s="2" t="s">
        <v>5002</v>
      </c>
      <c r="B92" s="8" t="str">
        <f t="shared" si="1"/>
        <v>"Advertising",</v>
      </c>
    </row>
    <row r="93">
      <c r="A93" s="2" t="s">
        <v>5003</v>
      </c>
      <c r="B93" s="8" t="str">
        <f t="shared" si="1"/>
        <v>"Commercial",</v>
      </c>
    </row>
    <row r="94">
      <c r="A94" s="2" t="s">
        <v>5004</v>
      </c>
      <c r="B94" s="8" t="str">
        <f t="shared" si="1"/>
        <v>"Spotlight",</v>
      </c>
    </row>
    <row r="95">
      <c r="A95" s="2" t="s">
        <v>5005</v>
      </c>
      <c r="B95" s="8" t="str">
        <f t="shared" si="1"/>
        <v>"Ambassador",</v>
      </c>
    </row>
    <row r="96">
      <c r="A96" s="2" t="s">
        <v>5006</v>
      </c>
      <c r="B96" s="8" t="str">
        <f t="shared" si="1"/>
        <v>"Face",</v>
      </c>
    </row>
    <row r="97">
      <c r="A97" s="2" t="s">
        <v>5007</v>
      </c>
      <c r="B97" s="8" t="str">
        <f t="shared" si="1"/>
        <v>"Collaboration",</v>
      </c>
    </row>
    <row r="98">
      <c r="A98" s="2" t="s">
        <v>4377</v>
      </c>
      <c r="B98" s="8" t="str">
        <f t="shared" si="1"/>
        <v>"Fashion",</v>
      </c>
    </row>
    <row r="99">
      <c r="A99" s="2" t="s">
        <v>4381</v>
      </c>
      <c r="B99" s="8" t="str">
        <f t="shared" si="1"/>
        <v>"Beauty",</v>
      </c>
    </row>
    <row r="100">
      <c r="A100" s="2" t="s">
        <v>5008</v>
      </c>
      <c r="B100" s="8" t="str">
        <f t="shared" si="1"/>
        <v>"Makeup",</v>
      </c>
    </row>
    <row r="101">
      <c r="A101" s="2" t="s">
        <v>5009</v>
      </c>
      <c r="B101" s="8" t="str">
        <f t="shared" si="1"/>
        <v>"Fragrance line",</v>
      </c>
    </row>
    <row r="102">
      <c r="A102" s="2" t="s">
        <v>5010</v>
      </c>
      <c r="B102" s="8" t="str">
        <f t="shared" si="1"/>
        <v>"Luxury house",</v>
      </c>
    </row>
    <row r="103">
      <c r="A103" s="2" t="s">
        <v>5011</v>
      </c>
      <c r="B103" s="8" t="str">
        <f t="shared" si="1"/>
        <v>"Global brand",</v>
      </c>
    </row>
    <row r="104">
      <c r="A104" s="2" t="s">
        <v>5012</v>
      </c>
      <c r="B104" s="8" t="str">
        <f t="shared" si="1"/>
        <v>"Johnny Depp",</v>
      </c>
    </row>
    <row r="105">
      <c r="A105" s="2" t="s">
        <v>5013</v>
      </c>
      <c r="B105" s="8" t="str">
        <f t="shared" si="1"/>
        <v>"Johnny Depp actor",</v>
      </c>
    </row>
    <row r="106">
      <c r="A106" s="2" t="s">
        <v>5014</v>
      </c>
      <c r="B106" s="8" t="str">
        <f t="shared" si="1"/>
        <v>"Johnny Depp movies",</v>
      </c>
    </row>
    <row r="107">
      <c r="A107" s="2" t="s">
        <v>5015</v>
      </c>
      <c r="B107" s="8" t="str">
        <f t="shared" si="1"/>
        <v>"Johnny Depp films",</v>
      </c>
    </row>
    <row r="108">
      <c r="A108" s="2" t="s">
        <v>5016</v>
      </c>
      <c r="B108" s="8" t="str">
        <f t="shared" si="1"/>
        <v>"Johnny Depp fanpage",</v>
      </c>
    </row>
    <row r="109">
      <c r="A109" s="2" t="s">
        <v>5017</v>
      </c>
      <c r="B109" s="8" t="str">
        <f t="shared" si="1"/>
        <v>"Johnny Depp fans",</v>
      </c>
    </row>
    <row r="110">
      <c r="A110" s="2" t="s">
        <v>5018</v>
      </c>
      <c r="B110" s="8" t="str">
        <f t="shared" si="1"/>
        <v>"Johnny Depp edits",</v>
      </c>
    </row>
    <row r="111">
      <c r="A111" s="2" t="s">
        <v>5019</v>
      </c>
      <c r="B111" s="8" t="str">
        <f t="shared" si="1"/>
        <v>"Johnny Depp 2023",</v>
      </c>
    </row>
    <row r="112">
      <c r="A112" s="2" t="s">
        <v>5020</v>
      </c>
      <c r="B112" s="8" t="str">
        <f t="shared" si="1"/>
        <v>"Johnny Depp 2024",</v>
      </c>
    </row>
    <row r="113">
      <c r="A113" s="2" t="s">
        <v>5021</v>
      </c>
      <c r="B113" s="8" t="str">
        <f t="shared" si="1"/>
        <v>"Johnny Depp Dior",</v>
      </c>
    </row>
    <row r="114">
      <c r="A114" s="2" t="s">
        <v>5022</v>
      </c>
      <c r="B114" s="8" t="str">
        <f t="shared" si="1"/>
        <v>"Johnny Depp Sauvage",</v>
      </c>
    </row>
    <row r="115">
      <c r="A115" s="2" t="s">
        <v>5023</v>
      </c>
      <c r="B115" s="8" t="str">
        <f t="shared" si="1"/>
        <v>"Johnny Depp commercial",</v>
      </c>
    </row>
    <row r="116">
      <c r="A116" s="2" t="s">
        <v>5024</v>
      </c>
      <c r="B116" s="8" t="str">
        <f t="shared" si="1"/>
        <v>"Johnny Depp perfume",</v>
      </c>
    </row>
    <row r="117">
      <c r="A117" s="2" t="s">
        <v>5025</v>
      </c>
      <c r="B117" s="8" t="str">
        <f t="shared" si="1"/>
        <v>"Johnny Depp cologne",</v>
      </c>
    </row>
    <row r="118">
      <c r="A118" s="2" t="s">
        <v>5026</v>
      </c>
      <c r="B118" s="8" t="str">
        <f t="shared" si="1"/>
        <v>"Johnny Depp fragrance",</v>
      </c>
    </row>
    <row r="119">
      <c r="A119" s="2" t="s">
        <v>5027</v>
      </c>
      <c r="B119" s="8" t="str">
        <f t="shared" si="1"/>
        <v>"Johnny Depp fashion",</v>
      </c>
    </row>
    <row r="120">
      <c r="A120" s="2" t="s">
        <v>5028</v>
      </c>
      <c r="B120" s="8" t="str">
        <f t="shared" si="1"/>
        <v>"Johnny Depp style",</v>
      </c>
    </row>
    <row r="121">
      <c r="A121" s="2" t="s">
        <v>5029</v>
      </c>
      <c r="B121" s="8" t="str">
        <f t="shared" si="1"/>
        <v>"Johnny Depp photoshoot",</v>
      </c>
    </row>
    <row r="122">
      <c r="A122" s="2" t="s">
        <v>5030</v>
      </c>
      <c r="B122" s="8" t="str">
        <f t="shared" si="1"/>
        <v>"Johnny Depp interview",</v>
      </c>
    </row>
    <row r="123">
      <c r="A123" s="2" t="s">
        <v>5031</v>
      </c>
      <c r="B123" s="8" t="str">
        <f t="shared" si="1"/>
        <v>"Johnny Depp quotes",</v>
      </c>
    </row>
    <row r="124">
      <c r="A124" s="2" t="s">
        <v>5032</v>
      </c>
      <c r="B124" s="8" t="str">
        <f t="shared" si="1"/>
        <v>"Johnny Depp young",</v>
      </c>
    </row>
    <row r="125">
      <c r="A125" s="2" t="s">
        <v>5033</v>
      </c>
      <c r="B125" s="8" t="str">
        <f t="shared" si="1"/>
        <v>"Johnny Depp 90s",</v>
      </c>
    </row>
    <row r="126">
      <c r="A126" s="2" t="s">
        <v>5034</v>
      </c>
      <c r="B126" s="8" t="str">
        <f t="shared" si="1"/>
        <v>"Johnny Depp 80s",</v>
      </c>
    </row>
    <row r="127">
      <c r="A127" s="2" t="s">
        <v>5035</v>
      </c>
      <c r="B127" s="8" t="str">
        <f t="shared" si="1"/>
        <v>"Johnny Depp 2000s",</v>
      </c>
    </row>
    <row r="128">
      <c r="A128" s="2" t="s">
        <v>5036</v>
      </c>
      <c r="B128" s="8" t="str">
        <f t="shared" si="1"/>
        <v>"Johnny Depp Hollywood",</v>
      </c>
    </row>
    <row r="129">
      <c r="A129" s="2" t="s">
        <v>5037</v>
      </c>
      <c r="B129" s="8" t="str">
        <f t="shared" si="1"/>
        <v>"Johnny Depp celebrity",</v>
      </c>
    </row>
    <row r="130">
      <c r="A130" s="2" t="s">
        <v>5038</v>
      </c>
      <c r="B130" s="8" t="str">
        <f t="shared" si="1"/>
        <v>"Johnny Depp music",</v>
      </c>
    </row>
    <row r="131">
      <c r="A131" s="2" t="s">
        <v>5039</v>
      </c>
      <c r="B131" s="8" t="str">
        <f t="shared" si="1"/>
        <v>"Johnny Depp guitar",</v>
      </c>
    </row>
    <row r="132">
      <c r="A132" s="2" t="s">
        <v>5040</v>
      </c>
      <c r="B132" s="8" t="str">
        <f t="shared" si="1"/>
        <v>"Johnny Depp band",</v>
      </c>
    </row>
    <row r="133">
      <c r="A133" s="2" t="s">
        <v>5041</v>
      </c>
      <c r="B133" s="8" t="str">
        <f t="shared" si="1"/>
        <v>"Johnny Depp rock",</v>
      </c>
    </row>
    <row r="134">
      <c r="A134" s="2" t="s">
        <v>5042</v>
      </c>
      <c r="B134" s="8" t="str">
        <f t="shared" si="1"/>
        <v>"Johnny Depp musician",</v>
      </c>
    </row>
    <row r="135">
      <c r="A135" s="2" t="s">
        <v>5043</v>
      </c>
      <c r="B135" s="8" t="str">
        <f t="shared" si="1"/>
        <v>"Johnny Depp painter",</v>
      </c>
    </row>
    <row r="136">
      <c r="A136" s="2" t="s">
        <v>5044</v>
      </c>
      <c r="B136" s="8" t="str">
        <f t="shared" si="1"/>
        <v>"Johnny Depp art",</v>
      </c>
    </row>
    <row r="137">
      <c r="A137" s="2" t="s">
        <v>5045</v>
      </c>
      <c r="B137" s="8" t="str">
        <f t="shared" si="1"/>
        <v>"Johnny Depp artist",</v>
      </c>
    </row>
    <row r="138">
      <c r="A138" s="2" t="s">
        <v>5046</v>
      </c>
      <c r="B138" s="8" t="str">
        <f t="shared" si="1"/>
        <v>"Johnny Depp festival",</v>
      </c>
    </row>
    <row r="139">
      <c r="A139" s="2" t="s">
        <v>5047</v>
      </c>
      <c r="B139" s="8" t="str">
        <f t="shared" si="1"/>
        <v>"Johnny Depp Cannes",</v>
      </c>
    </row>
    <row r="140">
      <c r="A140" s="2" t="s">
        <v>5048</v>
      </c>
      <c r="B140" s="8" t="str">
        <f t="shared" si="1"/>
        <v>"Johnny Depp Venice",</v>
      </c>
    </row>
    <row r="141">
      <c r="A141" s="2" t="s">
        <v>5049</v>
      </c>
      <c r="B141" s="8" t="str">
        <f t="shared" si="1"/>
        <v>"Johnny Depp red carpet",</v>
      </c>
    </row>
    <row r="142">
      <c r="A142" s="2" t="s">
        <v>5050</v>
      </c>
      <c r="B142" s="8" t="str">
        <f t="shared" si="1"/>
        <v>"Johnny Depp outfits",</v>
      </c>
    </row>
    <row r="143">
      <c r="A143" s="2" t="s">
        <v>5051</v>
      </c>
      <c r="B143" s="8" t="str">
        <f t="shared" si="1"/>
        <v>"Johnny Depp tattoos",</v>
      </c>
    </row>
    <row r="144">
      <c r="A144" s="2" t="s">
        <v>5052</v>
      </c>
      <c r="B144" s="8" t="str">
        <f t="shared" si="1"/>
        <v>"Johnny Depp court",</v>
      </c>
    </row>
    <row r="145">
      <c r="A145" s="2" t="s">
        <v>5053</v>
      </c>
      <c r="B145" s="8" t="str">
        <f t="shared" si="1"/>
        <v>"Johnny Depp trial",</v>
      </c>
    </row>
    <row r="146">
      <c r="A146" s="2" t="s">
        <v>5054</v>
      </c>
      <c r="B146" s="8" t="str">
        <f t="shared" si="1"/>
        <v>"Johnny Depp news",</v>
      </c>
    </row>
    <row r="147">
      <c r="A147" s="2" t="s">
        <v>5055</v>
      </c>
      <c r="B147" s="8" t="str">
        <f t="shared" si="1"/>
        <v>"Johnny Depp updates",</v>
      </c>
    </row>
    <row r="148">
      <c r="A148" s="2" t="s">
        <v>5056</v>
      </c>
      <c r="B148" s="8" t="str">
        <f t="shared" si="1"/>
        <v>"Johnny Depp rare pics",</v>
      </c>
    </row>
    <row r="149">
      <c r="A149" s="2" t="s">
        <v>5057</v>
      </c>
      <c r="B149" s="8" t="str">
        <f t="shared" si="1"/>
        <v>"Johnny Depp aesthetic",</v>
      </c>
    </row>
    <row r="150">
      <c r="A150" s="2" t="s">
        <v>5058</v>
      </c>
      <c r="B150" s="8" t="str">
        <f t="shared" si="1"/>
        <v>"Johnny Depp wallpaper",</v>
      </c>
    </row>
    <row r="151">
      <c r="A151" s="2" t="s">
        <v>5059</v>
      </c>
      <c r="B151" s="8" t="str">
        <f t="shared" si="1"/>
        <v>"Johnny Depp edits video",</v>
      </c>
    </row>
    <row r="152">
      <c r="A152" s="2" t="s">
        <v>5060</v>
      </c>
      <c r="B152" s="8" t="str">
        <f t="shared" si="1"/>
        <v>"Johnny Depp fanart",</v>
      </c>
    </row>
    <row r="153">
      <c r="A153" s="2" t="s">
        <v>5061</v>
      </c>
      <c r="B153" s="8" t="str">
        <f t="shared" si="1"/>
        <v>"Johnny Depp community",</v>
      </c>
    </row>
    <row r="154">
      <c r="A154" s="2" t="s">
        <v>5062</v>
      </c>
      <c r="B154" s="8" t="str">
        <f t="shared" si="1"/>
        <v>"Johnny Depp supporters",</v>
      </c>
    </row>
    <row r="155">
      <c r="A155" s="2" t="s">
        <v>4965</v>
      </c>
      <c r="B155" s="8" t="str">
        <f t="shared" si="1"/>
        <v>"Dior",</v>
      </c>
    </row>
    <row r="156">
      <c r="A156" s="2" t="s">
        <v>5063</v>
      </c>
      <c r="B156" s="8" t="str">
        <f t="shared" si="1"/>
        <v>"Dior Paris",</v>
      </c>
    </row>
    <row r="157">
      <c r="A157" s="2" t="s">
        <v>5064</v>
      </c>
      <c r="B157" s="8" t="str">
        <f t="shared" si="1"/>
        <v>"Dior fashion",</v>
      </c>
    </row>
    <row r="158">
      <c r="A158" s="2" t="s">
        <v>5065</v>
      </c>
      <c r="B158" s="8" t="str">
        <f t="shared" si="1"/>
        <v>"Dior couture",</v>
      </c>
    </row>
    <row r="159">
      <c r="A159" s="2" t="s">
        <v>5066</v>
      </c>
      <c r="B159" s="8" t="str">
        <f t="shared" si="1"/>
        <v>"Dior haute couture",</v>
      </c>
    </row>
    <row r="160">
      <c r="A160" s="2" t="s">
        <v>5067</v>
      </c>
      <c r="B160" s="8" t="str">
        <f t="shared" si="1"/>
        <v>"Dior runway",</v>
      </c>
    </row>
    <row r="161">
      <c r="A161" s="2" t="s">
        <v>5068</v>
      </c>
      <c r="B161" s="8" t="str">
        <f t="shared" si="1"/>
        <v>"Dior show",</v>
      </c>
    </row>
    <row r="162">
      <c r="A162" s="2" t="s">
        <v>5069</v>
      </c>
      <c r="B162" s="8" t="str">
        <f t="shared" si="1"/>
        <v>"Dior campaign",</v>
      </c>
    </row>
    <row r="163">
      <c r="A163" s="2" t="s">
        <v>5070</v>
      </c>
      <c r="B163" s="8" t="str">
        <f t="shared" si="1"/>
        <v>"Dior commercial",</v>
      </c>
    </row>
    <row r="164">
      <c r="A164" s="2" t="s">
        <v>5071</v>
      </c>
      <c r="B164" s="8" t="str">
        <f t="shared" si="1"/>
        <v>"Dior ad",</v>
      </c>
    </row>
    <row r="165">
      <c r="A165" s="2" t="s">
        <v>5072</v>
      </c>
      <c r="B165" s="8" t="str">
        <f t="shared" si="1"/>
        <v>"Dior fragrance",</v>
      </c>
    </row>
    <row r="166">
      <c r="A166" s="2" t="s">
        <v>5073</v>
      </c>
      <c r="B166" s="8" t="str">
        <f t="shared" si="1"/>
        <v>"Dior perfume",</v>
      </c>
    </row>
    <row r="167">
      <c r="A167" s="2" t="s">
        <v>5074</v>
      </c>
      <c r="B167" s="8" t="str">
        <f t="shared" si="1"/>
        <v>"Dior Sauvage",</v>
      </c>
    </row>
    <row r="168">
      <c r="A168" s="2" t="s">
        <v>5075</v>
      </c>
      <c r="B168" s="8" t="str">
        <f t="shared" si="1"/>
        <v>"Dior cologne",</v>
      </c>
    </row>
    <row r="169">
      <c r="A169" s="2" t="s">
        <v>5076</v>
      </c>
      <c r="B169" s="8" t="str">
        <f t="shared" si="1"/>
        <v>"Dior beauty",</v>
      </c>
    </row>
    <row r="170">
      <c r="A170" s="2" t="s">
        <v>5077</v>
      </c>
      <c r="B170" s="8" t="str">
        <f t="shared" si="1"/>
        <v>"Dior makeup",</v>
      </c>
    </row>
    <row r="171">
      <c r="A171" s="2" t="s">
        <v>5078</v>
      </c>
      <c r="B171" s="8" t="str">
        <f t="shared" si="1"/>
        <v>"Dior cosmetics",</v>
      </c>
    </row>
    <row r="172">
      <c r="A172" s="2" t="s">
        <v>5079</v>
      </c>
      <c r="B172" s="8" t="str">
        <f t="shared" si="1"/>
        <v>"Dior backstage",</v>
      </c>
    </row>
    <row r="173">
      <c r="A173" s="2" t="s">
        <v>5080</v>
      </c>
      <c r="B173" s="8" t="str">
        <f t="shared" si="1"/>
        <v>"Dior atelier",</v>
      </c>
    </row>
    <row r="174">
      <c r="A174" s="2" t="s">
        <v>5081</v>
      </c>
      <c r="B174" s="8" t="str">
        <f t="shared" si="1"/>
        <v>"Dior collection",</v>
      </c>
    </row>
    <row r="175">
      <c r="A175" s="2" t="s">
        <v>5082</v>
      </c>
      <c r="B175" s="8" t="str">
        <f t="shared" si="1"/>
        <v>"Dior menswear",</v>
      </c>
    </row>
    <row r="176">
      <c r="A176" s="2" t="s">
        <v>5083</v>
      </c>
      <c r="B176" s="8" t="str">
        <f t="shared" si="1"/>
        <v>"Dior womenswear",</v>
      </c>
    </row>
    <row r="177">
      <c r="A177" s="2" t="s">
        <v>5084</v>
      </c>
      <c r="B177" s="8" t="str">
        <f t="shared" si="1"/>
        <v>"Dior dress",</v>
      </c>
    </row>
    <row r="178">
      <c r="A178" s="2" t="s">
        <v>5085</v>
      </c>
      <c r="B178" s="8" t="str">
        <f t="shared" si="1"/>
        <v>"Dior bag",</v>
      </c>
    </row>
    <row r="179">
      <c r="A179" s="2" t="s">
        <v>5086</v>
      </c>
      <c r="B179" s="8" t="str">
        <f t="shared" si="1"/>
        <v>"Dior handbags",</v>
      </c>
    </row>
    <row r="180">
      <c r="A180" s="2" t="s">
        <v>5087</v>
      </c>
      <c r="B180" s="8" t="str">
        <f t="shared" si="1"/>
        <v>"Dior accessories",</v>
      </c>
    </row>
    <row r="181">
      <c r="A181" s="2" t="s">
        <v>5088</v>
      </c>
      <c r="B181" s="8" t="str">
        <f t="shared" si="1"/>
        <v>"Dior jewelry",</v>
      </c>
    </row>
    <row r="182">
      <c r="A182" s="2" t="s">
        <v>5089</v>
      </c>
      <c r="B182" s="8" t="str">
        <f t="shared" si="1"/>
        <v>"Dior shoes",</v>
      </c>
    </row>
    <row r="183">
      <c r="A183" s="2" t="s">
        <v>5090</v>
      </c>
      <c r="B183" s="8" t="str">
        <f t="shared" si="1"/>
        <v>"Dior sneakers",</v>
      </c>
    </row>
    <row r="184">
      <c r="A184" s="2" t="s">
        <v>5091</v>
      </c>
      <c r="B184" s="8" t="str">
        <f t="shared" si="1"/>
        <v>"Dior sunglasses",</v>
      </c>
    </row>
    <row r="185">
      <c r="A185" s="2" t="s">
        <v>5092</v>
      </c>
      <c r="B185" s="8" t="str">
        <f t="shared" si="1"/>
        <v>"Dior style",</v>
      </c>
    </row>
    <row r="186">
      <c r="A186" s="2" t="s">
        <v>5093</v>
      </c>
      <c r="B186" s="8" t="str">
        <f t="shared" si="1"/>
        <v>"Dior outfit",</v>
      </c>
    </row>
    <row r="187">
      <c r="A187" s="2" t="s">
        <v>5094</v>
      </c>
      <c r="B187" s="8" t="str">
        <f t="shared" si="1"/>
        <v>"Dior look",</v>
      </c>
    </row>
    <row r="188">
      <c r="A188" s="2" t="s">
        <v>5095</v>
      </c>
      <c r="B188" s="8" t="str">
        <f t="shared" si="1"/>
        <v>"Dior fashion week",</v>
      </c>
    </row>
    <row r="189">
      <c r="A189" s="2" t="s">
        <v>5096</v>
      </c>
      <c r="B189" s="8" t="str">
        <f t="shared" si="1"/>
        <v>"Dior Paris fashion week",</v>
      </c>
    </row>
    <row r="190">
      <c r="A190" s="2" t="s">
        <v>5097</v>
      </c>
      <c r="B190" s="8" t="str">
        <f t="shared" si="1"/>
        <v>"Dior event",</v>
      </c>
    </row>
    <row r="191">
      <c r="A191" s="2" t="s">
        <v>5098</v>
      </c>
      <c r="B191" s="8" t="str">
        <f t="shared" si="1"/>
        <v>"Dior celebrity",</v>
      </c>
    </row>
    <row r="192">
      <c r="A192" s="2" t="s">
        <v>5099</v>
      </c>
      <c r="B192" s="8" t="str">
        <f t="shared" si="1"/>
        <v>"Dior ambassador",</v>
      </c>
    </row>
    <row r="193">
      <c r="A193" s="2" t="s">
        <v>5100</v>
      </c>
      <c r="B193" s="8" t="str">
        <f t="shared" si="1"/>
        <v>"Dior muse",</v>
      </c>
    </row>
    <row r="194">
      <c r="A194" s="2" t="s">
        <v>5101</v>
      </c>
      <c r="B194" s="8" t="str">
        <f t="shared" si="1"/>
        <v>"Dior photoshoot",</v>
      </c>
    </row>
    <row r="195">
      <c r="A195" s="2" t="s">
        <v>5102</v>
      </c>
      <c r="B195" s="8" t="str">
        <f t="shared" si="1"/>
        <v>"Dior campaign 2023",</v>
      </c>
    </row>
    <row r="196">
      <c r="A196" s="2" t="s">
        <v>5103</v>
      </c>
      <c r="B196" s="8" t="str">
        <f t="shared" si="1"/>
        <v>"Dior campaign 2024",</v>
      </c>
    </row>
    <row r="197">
      <c r="A197" s="2" t="s">
        <v>5104</v>
      </c>
      <c r="B197" s="8" t="str">
        <f t="shared" si="1"/>
        <v>"Dior boutique",</v>
      </c>
    </row>
    <row r="198">
      <c r="A198" s="2" t="s">
        <v>5105</v>
      </c>
      <c r="B198" s="8" t="str">
        <f t="shared" si="1"/>
        <v>"Dior store",</v>
      </c>
    </row>
    <row r="199">
      <c r="A199" s="2" t="s">
        <v>5106</v>
      </c>
      <c r="B199" s="8" t="str">
        <f t="shared" si="1"/>
        <v>"Dior luxury",</v>
      </c>
    </row>
    <row r="200">
      <c r="A200" s="2" t="s">
        <v>5107</v>
      </c>
      <c r="B200" s="8" t="str">
        <f t="shared" si="1"/>
        <v>"Dior brand",</v>
      </c>
    </row>
    <row r="201">
      <c r="A201" s="2" t="s">
        <v>5108</v>
      </c>
      <c r="B201" s="8" t="str">
        <f t="shared" si="1"/>
        <v>"Dior iconic",</v>
      </c>
    </row>
    <row r="202">
      <c r="A202" s="2" t="s">
        <v>5109</v>
      </c>
      <c r="B202" s="8" t="str">
        <f t="shared" si="1"/>
        <v>"Dior house",</v>
      </c>
    </row>
    <row r="203">
      <c r="A203" s="2" t="s">
        <v>4966</v>
      </c>
      <c r="B203" s="8" t="str">
        <f t="shared" si="1"/>
        <v>"Christian Dior",</v>
      </c>
    </row>
    <row r="204">
      <c r="A204" s="2" t="s">
        <v>5110</v>
      </c>
      <c r="B204" s="8" t="str">
        <f t="shared" si="1"/>
        <v>"Maison Dior",</v>
      </c>
    </row>
    <row r="205">
      <c r="A205" s="2" t="s">
        <v>5111</v>
      </c>
      <c r="B205" s="8" t="str">
        <f t="shared" si="1"/>
        <v>"Perfume commercial",</v>
      </c>
    </row>
    <row r="206">
      <c r="A206" s="2" t="s">
        <v>5112</v>
      </c>
      <c r="B206" s="8" t="str">
        <f t="shared" si="1"/>
        <v>"Perfume ad",</v>
      </c>
    </row>
    <row r="207">
      <c r="A207" s="2" t="s">
        <v>5113</v>
      </c>
      <c r="B207" s="8" t="str">
        <f t="shared" si="1"/>
        <v>"Perfume campaign",</v>
      </c>
    </row>
    <row r="208">
      <c r="A208" s="2" t="s">
        <v>5114</v>
      </c>
      <c r="B208" s="8" t="str">
        <f t="shared" si="1"/>
        <v>"Perfume spot",</v>
      </c>
    </row>
    <row r="209">
      <c r="A209" s="2" t="s">
        <v>5115</v>
      </c>
      <c r="B209" s="8" t="str">
        <f t="shared" si="1"/>
        <v>"Perfume edit",</v>
      </c>
    </row>
    <row r="210">
      <c r="A210" s="2" t="s">
        <v>5116</v>
      </c>
      <c r="B210" s="8" t="str">
        <f t="shared" si="1"/>
        <v>"Perfume aesthetic",</v>
      </c>
    </row>
    <row r="211">
      <c r="A211" s="2" t="s">
        <v>5117</v>
      </c>
      <c r="B211" s="8" t="str">
        <f t="shared" si="1"/>
        <v>"Perfume photography",</v>
      </c>
    </row>
    <row r="212">
      <c r="A212" s="2" t="s">
        <v>5118</v>
      </c>
      <c r="B212" s="8" t="str">
        <f t="shared" si="1"/>
        <v>"Perfume videography",</v>
      </c>
    </row>
    <row r="213">
      <c r="A213" s="2" t="s">
        <v>5119</v>
      </c>
      <c r="B213" s="8" t="str">
        <f t="shared" si="1"/>
        <v>"Perfume model",</v>
      </c>
    </row>
    <row r="214">
      <c r="A214" s="2" t="s">
        <v>5120</v>
      </c>
      <c r="B214" s="8" t="str">
        <f t="shared" si="1"/>
        <v>"Perfume ambassador",</v>
      </c>
    </row>
    <row r="215">
      <c r="A215" s="2" t="s">
        <v>5121</v>
      </c>
      <c r="B215" s="8" t="str">
        <f t="shared" si="1"/>
        <v>"Perfume celebrity",</v>
      </c>
    </row>
    <row r="216">
      <c r="A216" s="2" t="s">
        <v>5122</v>
      </c>
      <c r="B216" s="8" t="str">
        <f t="shared" si="1"/>
        <v>"Perfume endorsement",</v>
      </c>
    </row>
    <row r="217">
      <c r="A217" s="2" t="s">
        <v>5123</v>
      </c>
      <c r="B217" s="8" t="str">
        <f t="shared" si="1"/>
        <v>"Luxury perfume ad",</v>
      </c>
    </row>
    <row r="218">
      <c r="A218" s="2" t="s">
        <v>5124</v>
      </c>
      <c r="B218" s="8" t="str">
        <f t="shared" si="1"/>
        <v>"Fragrance commercial",</v>
      </c>
    </row>
    <row r="219">
      <c r="A219" s="2" t="s">
        <v>5125</v>
      </c>
      <c r="B219" s="8" t="str">
        <f t="shared" si="1"/>
        <v>"Fragrance ad",</v>
      </c>
    </row>
    <row r="220">
      <c r="A220" s="2" t="s">
        <v>5126</v>
      </c>
      <c r="B220" s="8" t="str">
        <f t="shared" si="1"/>
        <v>"Fragrance campaign",</v>
      </c>
    </row>
    <row r="221">
      <c r="A221" s="2" t="s">
        <v>5127</v>
      </c>
      <c r="B221" s="8" t="str">
        <f t="shared" si="1"/>
        <v>"Fragrance ambassador",</v>
      </c>
    </row>
    <row r="222">
      <c r="A222" s="2" t="s">
        <v>5128</v>
      </c>
      <c r="B222" s="8" t="str">
        <f t="shared" si="1"/>
        <v>"Cologne commercial",</v>
      </c>
    </row>
    <row r="223">
      <c r="A223" s="2" t="s">
        <v>5129</v>
      </c>
      <c r="B223" s="8" t="str">
        <f t="shared" si="1"/>
        <v>"Cologne ad",</v>
      </c>
    </row>
    <row r="224">
      <c r="A224" s="2" t="s">
        <v>5130</v>
      </c>
      <c r="B224" s="8" t="str">
        <f t="shared" si="1"/>
        <v>"Beauty commercial",</v>
      </c>
    </row>
    <row r="225">
      <c r="A225" s="2" t="s">
        <v>5131</v>
      </c>
      <c r="B225" s="8" t="str">
        <f t="shared" si="1"/>
        <v>"Beauty ad",</v>
      </c>
    </row>
    <row r="226">
      <c r="A226" s="2" t="s">
        <v>5132</v>
      </c>
      <c r="B226" s="8" t="str">
        <f t="shared" si="1"/>
        <v>"Beauty campaign",</v>
      </c>
    </row>
    <row r="227">
      <c r="A227" s="2" t="s">
        <v>5133</v>
      </c>
      <c r="B227" s="8" t="str">
        <f t="shared" si="1"/>
        <v>"Beauty spot",</v>
      </c>
    </row>
    <row r="228">
      <c r="A228" s="2" t="s">
        <v>5134</v>
      </c>
      <c r="B228" s="8" t="str">
        <f t="shared" si="1"/>
        <v>"Cosmetics commercial",</v>
      </c>
    </row>
    <row r="229">
      <c r="A229" s="2" t="s">
        <v>5135</v>
      </c>
      <c r="B229" s="8" t="str">
        <f t="shared" si="1"/>
        <v>"Makeup commercial",</v>
      </c>
    </row>
    <row r="230">
      <c r="A230" s="2" t="s">
        <v>5136</v>
      </c>
      <c r="B230" s="8" t="str">
        <f t="shared" si="1"/>
        <v>"Luxury commercial",</v>
      </c>
    </row>
    <row r="231">
      <c r="A231" s="2" t="s">
        <v>5137</v>
      </c>
      <c r="B231" s="8" t="str">
        <f t="shared" si="1"/>
        <v>"High fashion ad",</v>
      </c>
    </row>
    <row r="232">
      <c r="A232" s="2" t="s">
        <v>5138</v>
      </c>
      <c r="B232" s="8" t="str">
        <f t="shared" si="1"/>
        <v>"Designer commercial",</v>
      </c>
    </row>
    <row r="233">
      <c r="A233" s="2" t="s">
        <v>5139</v>
      </c>
      <c r="B233" s="8" t="str">
        <f t="shared" si="1"/>
        <v>"Fashion commercial",</v>
      </c>
    </row>
    <row r="234">
      <c r="A234" s="2" t="s">
        <v>5140</v>
      </c>
      <c r="B234" s="8" t="str">
        <f t="shared" si="1"/>
        <v>"Runway campaign",</v>
      </c>
    </row>
    <row r="235">
      <c r="A235" s="2" t="s">
        <v>5141</v>
      </c>
      <c r="B235" s="8" t="str">
        <f t="shared" si="1"/>
        <v>"Editorial campaign",</v>
      </c>
    </row>
    <row r="236">
      <c r="A236" s="2" t="s">
        <v>5142</v>
      </c>
      <c r="B236" s="8" t="str">
        <f t="shared" si="1"/>
        <v>"TV commercial perfume",</v>
      </c>
    </row>
    <row r="237">
      <c r="A237" s="2" t="s">
        <v>5143</v>
      </c>
      <c r="B237" s="8" t="str">
        <f t="shared" si="1"/>
        <v>"Iconic perfume ad",</v>
      </c>
    </row>
    <row r="238">
      <c r="A238" s="2" t="s">
        <v>5144</v>
      </c>
      <c r="B238" s="8" t="str">
        <f t="shared" si="1"/>
        <v>"Perfume TV spot",</v>
      </c>
    </row>
    <row r="239">
      <c r="A239" s="2" t="s">
        <v>5145</v>
      </c>
      <c r="B239" s="8" t="str">
        <f t="shared" si="1"/>
        <v>"Perfume print ad",</v>
      </c>
    </row>
    <row r="240">
      <c r="A240" s="2" t="s">
        <v>5146</v>
      </c>
      <c r="B240" s="8" t="str">
        <f t="shared" si="1"/>
        <v>"Perfume poster",</v>
      </c>
    </row>
    <row r="241">
      <c r="A241" s="2" t="s">
        <v>5147</v>
      </c>
      <c r="B241" s="8" t="str">
        <f t="shared" si="1"/>
        <v>"Perfume billboard",</v>
      </c>
    </row>
    <row r="242">
      <c r="A242" s="2" t="s">
        <v>5148</v>
      </c>
      <c r="B242" s="8" t="str">
        <f t="shared" si="1"/>
        <v>"Perfume photoshoot",</v>
      </c>
    </row>
    <row r="243">
      <c r="A243" s="2" t="s">
        <v>5149</v>
      </c>
      <c r="B243" s="8" t="str">
        <f t="shared" si="1"/>
        <v>"Perfume visuals",</v>
      </c>
    </row>
    <row r="244">
      <c r="A244" s="2" t="s">
        <v>5150</v>
      </c>
      <c r="B244" s="8" t="str">
        <f t="shared" si="1"/>
        <v>"Perfume edits",</v>
      </c>
    </row>
    <row r="245">
      <c r="A245" s="2" t="s">
        <v>5151</v>
      </c>
      <c r="B245" s="8" t="str">
        <f t="shared" si="1"/>
        <v>"Perfume inspiration",</v>
      </c>
    </row>
    <row r="246">
      <c r="A246" s="2" t="s">
        <v>5152</v>
      </c>
      <c r="B246" s="8" t="str">
        <f t="shared" si="1"/>
        <v>"Fragrance inspiration",</v>
      </c>
    </row>
    <row r="247">
      <c r="A247" s="2" t="s">
        <v>5153</v>
      </c>
      <c r="B247" s="8" t="str">
        <f t="shared" si="1"/>
        <v>"Perfume influencer",</v>
      </c>
    </row>
    <row r="248">
      <c r="A248" s="2" t="s">
        <v>5154</v>
      </c>
      <c r="B248" s="8" t="str">
        <f t="shared" si="1"/>
        <v>"Perfume reviews",</v>
      </c>
    </row>
    <row r="249">
      <c r="A249" s="2" t="s">
        <v>5155</v>
      </c>
      <c r="B249" s="8" t="str">
        <f t="shared" si="1"/>
        <v>"Perfume vlogger",</v>
      </c>
    </row>
    <row r="250">
      <c r="A250" s="2" t="s">
        <v>5156</v>
      </c>
      <c r="B250" s="8" t="str">
        <f t="shared" si="1"/>
        <v>"Perfume tiktoks",</v>
      </c>
    </row>
    <row r="251">
      <c r="A251" s="2" t="s">
        <v>5157</v>
      </c>
      <c r="B251" s="8" t="str">
        <f t="shared" si="1"/>
        <v>"Perfume reels",</v>
      </c>
    </row>
    <row r="252">
      <c r="A252" s="2" t="s">
        <v>5158</v>
      </c>
      <c r="B252" s="8" t="str">
        <f t="shared" si="1"/>
        <v>"Perfume accounts",</v>
      </c>
    </row>
    <row r="253">
      <c r="A253" s="2" t="s">
        <v>5159</v>
      </c>
      <c r="B253" s="8" t="str">
        <f t="shared" si="1"/>
        <v>"Beauty influencer",</v>
      </c>
    </row>
    <row r="254">
      <c r="A254" s="2" t="s">
        <v>5160</v>
      </c>
      <c r="B254" s="8" t="str">
        <f t="shared" si="1"/>
        <v>"Beauty ambassador",</v>
      </c>
    </row>
    <row r="255">
      <c r="A255" s="2" t="s">
        <v>5161</v>
      </c>
      <c r="B255" s="8" t="str">
        <f t="shared" si="1"/>
        <v>"Beauty muse",</v>
      </c>
    </row>
    <row r="256">
      <c r="A256" s="2" t="s">
        <v>5162</v>
      </c>
      <c r="B256" s="8" t="str">
        <f t="shared" si="1"/>
        <v>"Luxury beauty campaign",</v>
      </c>
    </row>
    <row r="257">
      <c r="A257" s="2" t="s">
        <v>5074</v>
      </c>
      <c r="B257" s="8" t="str">
        <f t="shared" si="1"/>
        <v>"Dior Sauvage",</v>
      </c>
    </row>
    <row r="258">
      <c r="A258" s="2" t="s">
        <v>5163</v>
      </c>
      <c r="B258" s="8" t="str">
        <f t="shared" si="1"/>
        <v>"Sauvage Dior",</v>
      </c>
    </row>
    <row r="259">
      <c r="A259" s="2" t="s">
        <v>5164</v>
      </c>
      <c r="B259" s="8" t="str">
        <f t="shared" si="1"/>
        <v>"Dior Sauvage perfume",</v>
      </c>
    </row>
    <row r="260">
      <c r="A260" s="2" t="s">
        <v>5165</v>
      </c>
      <c r="B260" s="8" t="str">
        <f t="shared" si="1"/>
        <v>"Dior Sauvage fragrance",</v>
      </c>
    </row>
    <row r="261">
      <c r="A261" s="2" t="s">
        <v>5166</v>
      </c>
      <c r="B261" s="8" t="str">
        <f t="shared" si="1"/>
        <v>"Dior Sauvage cologne",</v>
      </c>
    </row>
    <row r="262">
      <c r="A262" s="2" t="s">
        <v>5167</v>
      </c>
      <c r="B262" s="8" t="str">
        <f t="shared" si="1"/>
        <v>"Dior Sauvage eau de parfum",</v>
      </c>
    </row>
    <row r="263">
      <c r="A263" s="2" t="s">
        <v>5168</v>
      </c>
      <c r="B263" s="8" t="str">
        <f t="shared" si="1"/>
        <v>"Dior Sauvage eau de toilette",</v>
      </c>
    </row>
    <row r="264">
      <c r="A264" s="2" t="s">
        <v>5169</v>
      </c>
      <c r="B264" s="8" t="str">
        <f t="shared" si="1"/>
        <v>"Dior Sauvage parfum",</v>
      </c>
    </row>
    <row r="265">
      <c r="A265" s="2" t="s">
        <v>5170</v>
      </c>
      <c r="B265" s="8" t="str">
        <f t="shared" si="1"/>
        <v>"Dior Sauvage elixir",</v>
      </c>
    </row>
    <row r="266">
      <c r="A266" s="2" t="s">
        <v>5171</v>
      </c>
      <c r="B266" s="8" t="str">
        <f t="shared" si="1"/>
        <v>"Dior Sauvage intense",</v>
      </c>
    </row>
    <row r="267">
      <c r="A267" s="2" t="s">
        <v>5172</v>
      </c>
      <c r="B267" s="8" t="str">
        <f t="shared" si="1"/>
        <v>"Dior Sauvage commercial",</v>
      </c>
    </row>
    <row r="268">
      <c r="A268" s="2" t="s">
        <v>5173</v>
      </c>
      <c r="B268" s="8" t="str">
        <f t="shared" si="1"/>
        <v>"Dior Sauvage ad",</v>
      </c>
    </row>
    <row r="269">
      <c r="A269" s="2" t="s">
        <v>5174</v>
      </c>
      <c r="B269" s="8" t="str">
        <f t="shared" si="1"/>
        <v>"Dior Sauvage campaign",</v>
      </c>
    </row>
    <row r="270">
      <c r="A270" s="2" t="s">
        <v>5175</v>
      </c>
      <c r="B270" s="8" t="str">
        <f t="shared" si="1"/>
        <v>"Dior Sauvage movie",</v>
      </c>
    </row>
    <row r="271">
      <c r="A271" s="2" t="s">
        <v>5176</v>
      </c>
      <c r="B271" s="8" t="str">
        <f t="shared" si="1"/>
        <v>"Dior Sauvage edit",</v>
      </c>
    </row>
    <row r="272">
      <c r="A272" s="2" t="s">
        <v>5177</v>
      </c>
      <c r="B272" s="8" t="str">
        <f t="shared" si="1"/>
        <v>"Dior Sauvage aesthetic",</v>
      </c>
    </row>
    <row r="273">
      <c r="A273" s="2" t="s">
        <v>5178</v>
      </c>
      <c r="B273" s="8" t="str">
        <f t="shared" si="1"/>
        <v>"Dior Sauvage photoshoot",</v>
      </c>
    </row>
    <row r="274">
      <c r="A274" s="2" t="s">
        <v>5179</v>
      </c>
      <c r="B274" s="8" t="str">
        <f t="shared" si="1"/>
        <v>"Dior Sauvage model",</v>
      </c>
    </row>
    <row r="275">
      <c r="A275" s="2" t="s">
        <v>5180</v>
      </c>
      <c r="B275" s="8" t="str">
        <f t="shared" si="1"/>
        <v>"Dior Sauvage ambassador",</v>
      </c>
    </row>
    <row r="276">
      <c r="A276" s="2" t="s">
        <v>5181</v>
      </c>
      <c r="B276" s="8" t="str">
        <f t="shared" si="1"/>
        <v>"Dior Sauvage Johnny Depp",</v>
      </c>
    </row>
    <row r="277">
      <c r="A277" s="2" t="s">
        <v>5022</v>
      </c>
      <c r="B277" s="8" t="str">
        <f t="shared" si="1"/>
        <v>"Johnny Depp Sauvage",</v>
      </c>
    </row>
    <row r="278">
      <c r="A278" s="2" t="s">
        <v>5182</v>
      </c>
      <c r="B278" s="8" t="str">
        <f t="shared" si="1"/>
        <v>"Sauvage perfume",</v>
      </c>
    </row>
    <row r="279">
      <c r="A279" s="2" t="s">
        <v>5183</v>
      </c>
      <c r="B279" s="8" t="str">
        <f t="shared" si="1"/>
        <v>"Sauvage fragrance",</v>
      </c>
    </row>
    <row r="280">
      <c r="A280" s="2" t="s">
        <v>5184</v>
      </c>
      <c r="B280" s="8" t="str">
        <f t="shared" si="1"/>
        <v>"Sauvage cologne",</v>
      </c>
    </row>
    <row r="281">
      <c r="A281" s="2" t="s">
        <v>5185</v>
      </c>
      <c r="B281" s="8" t="str">
        <f t="shared" si="1"/>
        <v>"Sauvage elixir",</v>
      </c>
    </row>
    <row r="282">
      <c r="A282" s="2" t="s">
        <v>5186</v>
      </c>
      <c r="B282" s="8" t="str">
        <f t="shared" si="1"/>
        <v>"Sauvage eau de parfum",</v>
      </c>
    </row>
    <row r="283">
      <c r="A283" s="2" t="s">
        <v>5187</v>
      </c>
      <c r="B283" s="8" t="str">
        <f t="shared" si="1"/>
        <v>"Sauvage eau de toilette",</v>
      </c>
    </row>
    <row r="284">
      <c r="A284" s="2" t="s">
        <v>5188</v>
      </c>
      <c r="B284" s="8" t="str">
        <f t="shared" si="1"/>
        <v>"Sauvage Dior perfume ad",</v>
      </c>
    </row>
    <row r="285">
      <c r="A285" s="2" t="s">
        <v>5189</v>
      </c>
      <c r="B285" s="8" t="str">
        <f t="shared" si="1"/>
        <v>"Sauvage Dior commercial",</v>
      </c>
    </row>
    <row r="286">
      <c r="A286" s="2" t="s">
        <v>5190</v>
      </c>
      <c r="B286" s="8" t="str">
        <f t="shared" si="1"/>
        <v>"Sauvage Dior campaign",</v>
      </c>
    </row>
    <row r="287">
      <c r="A287" s="2" t="s">
        <v>5191</v>
      </c>
      <c r="B287" s="8" t="str">
        <f t="shared" si="1"/>
        <v>"Sauvage Dior edit",</v>
      </c>
    </row>
    <row r="288">
      <c r="A288" s="2" t="s">
        <v>5192</v>
      </c>
      <c r="B288" s="8" t="str">
        <f t="shared" si="1"/>
        <v>"Sauvage Dior video",</v>
      </c>
    </row>
    <row r="289">
      <c r="A289" s="2" t="s">
        <v>5193</v>
      </c>
      <c r="B289" s="8" t="str">
        <f t="shared" si="1"/>
        <v>"Sauvage Dior aesthetic",</v>
      </c>
    </row>
    <row r="290">
      <c r="A290" s="2" t="s">
        <v>5194</v>
      </c>
      <c r="B290" s="8" t="str">
        <f t="shared" si="1"/>
        <v>"Sauvage Dior photos",</v>
      </c>
    </row>
    <row r="291">
      <c r="A291" s="2" t="s">
        <v>5195</v>
      </c>
      <c r="B291" s="8" t="str">
        <f t="shared" si="1"/>
        <v>"Sauvage Dior 2023",</v>
      </c>
    </row>
    <row r="292">
      <c r="A292" s="2" t="s">
        <v>5196</v>
      </c>
      <c r="B292" s="8" t="str">
        <f t="shared" si="1"/>
        <v>"Sauvage Dior 2024",</v>
      </c>
    </row>
    <row r="293">
      <c r="A293" s="2" t="s">
        <v>5197</v>
      </c>
      <c r="B293" s="8" t="str">
        <f t="shared" si="1"/>
        <v>"Sauvage Dior review",</v>
      </c>
    </row>
    <row r="294">
      <c r="A294" s="2" t="s">
        <v>5198</v>
      </c>
      <c r="B294" s="8" t="str">
        <f t="shared" si="1"/>
        <v>"Sauvage Dior unboxing",</v>
      </c>
    </row>
    <row r="295">
      <c r="A295" s="2" t="s">
        <v>5199</v>
      </c>
      <c r="B295" s="8" t="str">
        <f t="shared" si="1"/>
        <v>"Sauvage Dior reels",</v>
      </c>
    </row>
    <row r="296">
      <c r="A296" s="2" t="s">
        <v>5200</v>
      </c>
      <c r="B296" s="8" t="str">
        <f t="shared" si="1"/>
        <v>"Sauvage Dior TikTok",</v>
      </c>
    </row>
    <row r="297">
      <c r="A297" s="2" t="s">
        <v>5201</v>
      </c>
      <c r="B297" s="8" t="str">
        <f t="shared" si="1"/>
        <v>"Sauvage Dior influencer",</v>
      </c>
    </row>
    <row r="298">
      <c r="A298" s="2" t="s">
        <v>5202</v>
      </c>
      <c r="B298" s="8" t="str">
        <f t="shared" si="1"/>
        <v>"Best men’s fragrance Dior Sauvage",</v>
      </c>
    </row>
    <row r="299">
      <c r="A299" s="2" t="s">
        <v>5203</v>
      </c>
      <c r="B299" s="8" t="str">
        <f t="shared" si="1"/>
        <v>"Top men’s cologne Dior Sauvage",</v>
      </c>
    </row>
    <row r="300">
      <c r="A300" s="2" t="s">
        <v>5204</v>
      </c>
      <c r="B300" s="8" t="str">
        <f t="shared" si="1"/>
        <v>"Luxury cologne Sauvage Dior",</v>
      </c>
    </row>
    <row r="301">
      <c r="A301" s="2" t="s">
        <v>5205</v>
      </c>
      <c r="B301" s="8" t="str">
        <f t="shared" si="1"/>
        <v>"Sauvage Dior iconic",</v>
      </c>
    </row>
    <row r="302">
      <c r="A302" s="2" t="s">
        <v>5206</v>
      </c>
      <c r="B302" s="8" t="str">
        <f t="shared" si="1"/>
        <v>"Sauvage Dior bestseller",</v>
      </c>
    </row>
    <row r="303">
      <c r="A303" s="2" t="s">
        <v>5207</v>
      </c>
      <c r="B303" s="8" t="str">
        <f t="shared" si="1"/>
        <v>"Sauvage Dior vibe",</v>
      </c>
    </row>
    <row r="304">
      <c r="A304" s="2" t="s">
        <v>5208</v>
      </c>
      <c r="B304" s="8" t="str">
        <f t="shared" si="1"/>
        <v>"Sauvage Dior desert ad",</v>
      </c>
    </row>
    <row r="305">
      <c r="A305" s="2" t="s">
        <v>5209</v>
      </c>
      <c r="B305" s="8" t="str">
        <f t="shared" si="1"/>
        <v>"Sauvage Dior inspiration",</v>
      </c>
    </row>
    <row r="306">
      <c r="A306" s="2" t="s">
        <v>5210</v>
      </c>
      <c r="B306" s="8" t="str">
        <f t="shared" si="1"/>
        <v>"Sauvage Dior official",</v>
      </c>
    </row>
    <row r="307">
      <c r="A307" s="2" t="s">
        <v>5211</v>
      </c>
      <c r="B307" s="8" t="str">
        <f t="shared" si="1"/>
        <v>"Travel retail",</v>
      </c>
    </row>
    <row r="308">
      <c r="A308" s="2" t="s">
        <v>5212</v>
      </c>
      <c r="B308" s="8" t="str">
        <f t="shared" si="1"/>
        <v>"Luxury travel retail",</v>
      </c>
    </row>
    <row r="309">
      <c r="A309" s="2" t="s">
        <v>5213</v>
      </c>
      <c r="B309" s="8" t="str">
        <f t="shared" si="1"/>
        <v>"Travel retail beauty",</v>
      </c>
    </row>
    <row r="310">
      <c r="A310" s="2" t="s">
        <v>5214</v>
      </c>
      <c r="B310" s="8" t="str">
        <f t="shared" si="1"/>
        <v>"Travel retail perfume",</v>
      </c>
    </row>
    <row r="311">
      <c r="A311" s="2" t="s">
        <v>5215</v>
      </c>
      <c r="B311" s="8" t="str">
        <f t="shared" si="1"/>
        <v>"Travel retail fragrance",</v>
      </c>
    </row>
    <row r="312">
      <c r="A312" s="2" t="s">
        <v>5216</v>
      </c>
      <c r="B312" s="8" t="str">
        <f t="shared" si="1"/>
        <v>"Travel retail cologne",</v>
      </c>
    </row>
    <row r="313">
      <c r="A313" s="2" t="s">
        <v>5217</v>
      </c>
      <c r="B313" s="8" t="str">
        <f t="shared" si="1"/>
        <v>"Travel retail cosmetics",</v>
      </c>
    </row>
    <row r="314">
      <c r="A314" s="2" t="s">
        <v>5218</v>
      </c>
      <c r="B314" s="8" t="str">
        <f t="shared" si="1"/>
        <v>"Travel retail makeup",</v>
      </c>
    </row>
    <row r="315">
      <c r="A315" s="2" t="s">
        <v>5219</v>
      </c>
      <c r="B315" s="8" t="str">
        <f t="shared" si="1"/>
        <v>"Travel retail skincare",</v>
      </c>
    </row>
    <row r="316">
      <c r="A316" s="2" t="s">
        <v>5220</v>
      </c>
      <c r="B316" s="8" t="str">
        <f t="shared" si="1"/>
        <v>"Travel retail Dior",</v>
      </c>
    </row>
    <row r="317">
      <c r="A317" s="2" t="s">
        <v>5221</v>
      </c>
      <c r="B317" s="8" t="str">
        <f t="shared" si="1"/>
        <v>"Travel retail Chanel",</v>
      </c>
    </row>
    <row r="318">
      <c r="A318" s="2" t="s">
        <v>5222</v>
      </c>
      <c r="B318" s="8" t="str">
        <f t="shared" si="1"/>
        <v>"Travel retail luxury brands",</v>
      </c>
    </row>
    <row r="319">
      <c r="A319" s="2" t="s">
        <v>5223</v>
      </c>
      <c r="B319" s="8" t="str">
        <f t="shared" si="1"/>
        <v>"Travel retail shopping",</v>
      </c>
    </row>
    <row r="320">
      <c r="A320" s="2" t="s">
        <v>5224</v>
      </c>
      <c r="B320" s="8" t="str">
        <f t="shared" si="1"/>
        <v>"Travel retail trends",</v>
      </c>
    </row>
    <row r="321">
      <c r="A321" s="2" t="s">
        <v>5225</v>
      </c>
      <c r="B321" s="8" t="str">
        <f t="shared" si="1"/>
        <v>"Travel retail sales",</v>
      </c>
    </row>
    <row r="322">
      <c r="A322" s="2" t="s">
        <v>5226</v>
      </c>
      <c r="B322" s="8" t="str">
        <f t="shared" si="1"/>
        <v>"Travel retail exclusive",</v>
      </c>
    </row>
    <row r="323">
      <c r="A323" s="2" t="s">
        <v>5227</v>
      </c>
      <c r="B323" s="8" t="str">
        <f t="shared" si="1"/>
        <v>"Travel retail limited edition",</v>
      </c>
    </row>
    <row r="324">
      <c r="A324" s="2" t="s">
        <v>5228</v>
      </c>
      <c r="B324" s="8" t="str">
        <f t="shared" si="1"/>
        <v>"Duty free",</v>
      </c>
    </row>
    <row r="325">
      <c r="A325" s="2" t="s">
        <v>5229</v>
      </c>
      <c r="B325" s="8" t="str">
        <f t="shared" si="1"/>
        <v>"Duty free shopping",</v>
      </c>
    </row>
    <row r="326">
      <c r="A326" s="2" t="s">
        <v>5230</v>
      </c>
      <c r="B326" s="8" t="str">
        <f t="shared" si="1"/>
        <v>"Duty free perfume",</v>
      </c>
    </row>
    <row r="327">
      <c r="A327" s="2" t="s">
        <v>5231</v>
      </c>
      <c r="B327" s="8" t="str">
        <f t="shared" si="1"/>
        <v>"Duty free fragrance",</v>
      </c>
    </row>
    <row r="328">
      <c r="A328" s="2" t="s">
        <v>5232</v>
      </c>
      <c r="B328" s="8" t="str">
        <f t="shared" si="1"/>
        <v>"Duty free cologne",</v>
      </c>
    </row>
    <row r="329">
      <c r="A329" s="2" t="s">
        <v>5233</v>
      </c>
      <c r="B329" s="8" t="str">
        <f t="shared" si="1"/>
        <v>"Duty free beauty",</v>
      </c>
    </row>
    <row r="330">
      <c r="A330" s="2" t="s">
        <v>5234</v>
      </c>
      <c r="B330" s="8" t="str">
        <f t="shared" si="1"/>
        <v>"Duty free cosmetics",</v>
      </c>
    </row>
    <row r="331">
      <c r="A331" s="2" t="s">
        <v>5235</v>
      </c>
      <c r="B331" s="8" t="str">
        <f t="shared" si="1"/>
        <v>"Duty free makeup",</v>
      </c>
    </row>
    <row r="332">
      <c r="A332" s="2" t="s">
        <v>5236</v>
      </c>
      <c r="B332" s="8" t="str">
        <f t="shared" si="1"/>
        <v>"Duty free skincare",</v>
      </c>
    </row>
    <row r="333">
      <c r="A333" s="2" t="s">
        <v>5237</v>
      </c>
      <c r="B333" s="8" t="str">
        <f t="shared" si="1"/>
        <v>"Duty free luxury",</v>
      </c>
    </row>
    <row r="334">
      <c r="A334" s="2" t="s">
        <v>5238</v>
      </c>
      <c r="B334" s="8" t="str">
        <f t="shared" si="1"/>
        <v>"Airport shopping",</v>
      </c>
    </row>
    <row r="335">
      <c r="A335" s="2" t="s">
        <v>5239</v>
      </c>
      <c r="B335" s="8" t="str">
        <f t="shared" si="1"/>
        <v>"Airport duty free",</v>
      </c>
    </row>
    <row r="336">
      <c r="A336" s="2" t="s">
        <v>5240</v>
      </c>
      <c r="B336" s="8" t="str">
        <f t="shared" si="1"/>
        <v>"Airport perfume shopping",</v>
      </c>
    </row>
    <row r="337">
      <c r="A337" s="2" t="s">
        <v>5241</v>
      </c>
      <c r="B337" s="8" t="str">
        <f t="shared" si="1"/>
        <v>"Airport fragrance shopping",</v>
      </c>
    </row>
    <row r="338">
      <c r="A338" s="2" t="s">
        <v>5242</v>
      </c>
      <c r="B338" s="8" t="str">
        <f t="shared" si="1"/>
        <v>"Airport beauty shopping",</v>
      </c>
    </row>
    <row r="339">
      <c r="A339" s="2" t="s">
        <v>5243</v>
      </c>
      <c r="B339" s="8" t="str">
        <f t="shared" si="1"/>
        <v>"Airport retail",</v>
      </c>
    </row>
    <row r="340">
      <c r="A340" s="2" t="s">
        <v>5244</v>
      </c>
      <c r="B340" s="8" t="str">
        <f t="shared" si="1"/>
        <v>"Airport exclusive",</v>
      </c>
    </row>
    <row r="341">
      <c r="A341" s="2" t="s">
        <v>5245</v>
      </c>
      <c r="B341" s="8" t="str">
        <f t="shared" si="1"/>
        <v>"In-flight shopping",</v>
      </c>
    </row>
    <row r="342">
      <c r="A342" s="2" t="s">
        <v>5246</v>
      </c>
      <c r="B342" s="8" t="str">
        <f t="shared" si="1"/>
        <v>"Onboard shopping",</v>
      </c>
    </row>
    <row r="343">
      <c r="A343" s="2" t="s">
        <v>5247</v>
      </c>
      <c r="B343" s="8" t="str">
        <f t="shared" si="1"/>
        <v>"Travel retail market",</v>
      </c>
    </row>
    <row r="344">
      <c r="A344" s="2" t="s">
        <v>5248</v>
      </c>
      <c r="B344" s="8" t="str">
        <f t="shared" si="1"/>
        <v>"Travel retail business",</v>
      </c>
    </row>
    <row r="345">
      <c r="A345" s="2" t="s">
        <v>5249</v>
      </c>
      <c r="B345" s="8" t="str">
        <f t="shared" si="1"/>
        <v>"Travel retail innovation",</v>
      </c>
    </row>
    <row r="346">
      <c r="A346" s="2" t="s">
        <v>5250</v>
      </c>
      <c r="B346" s="8" t="str">
        <f t="shared" si="1"/>
        <v>"Travel retail campaign",</v>
      </c>
    </row>
    <row r="347">
      <c r="A347" s="2" t="s">
        <v>5251</v>
      </c>
      <c r="B347" s="8" t="str">
        <f t="shared" si="1"/>
        <v>"Travel retail activation",</v>
      </c>
    </row>
    <row r="348">
      <c r="A348" s="2" t="s">
        <v>5252</v>
      </c>
      <c r="B348" s="8" t="str">
        <f t="shared" si="1"/>
        <v>"Travel retail pop up",</v>
      </c>
    </row>
    <row r="349">
      <c r="A349" s="2" t="s">
        <v>5253</v>
      </c>
      <c r="B349" s="8" t="str">
        <f t="shared" si="1"/>
        <v>"Travel retail event",</v>
      </c>
    </row>
    <row r="350">
      <c r="A350" s="2" t="s">
        <v>5254</v>
      </c>
      <c r="B350" s="8" t="str">
        <f t="shared" si="1"/>
        <v>"Travel retail influencer",</v>
      </c>
    </row>
    <row r="351">
      <c r="A351" s="2" t="s">
        <v>5255</v>
      </c>
      <c r="B351" s="8" t="str">
        <f t="shared" si="1"/>
        <v>"Travel retail promotion",</v>
      </c>
    </row>
    <row r="352">
      <c r="A352" s="2" t="s">
        <v>5256</v>
      </c>
      <c r="B352" s="8" t="str">
        <f t="shared" si="1"/>
        <v>"Travel retail edition",</v>
      </c>
    </row>
    <row r="353">
      <c r="A353" s="2" t="s">
        <v>5257</v>
      </c>
      <c r="B353" s="8" t="str">
        <f t="shared" si="1"/>
        <v>"Global travel retail",</v>
      </c>
    </row>
    <row r="354">
      <c r="A354" s="2" t="s">
        <v>5258</v>
      </c>
      <c r="B354" s="8" t="str">
        <f t="shared" si="1"/>
        <v>"International travel retail",</v>
      </c>
    </row>
    <row r="355">
      <c r="A355" s="2" t="s">
        <v>5259</v>
      </c>
      <c r="B355" s="8" t="str">
        <f t="shared" si="1"/>
        <v>"Luxury duty free",</v>
      </c>
    </row>
    <row r="356">
      <c r="A356" s="2" t="s">
        <v>5260</v>
      </c>
      <c r="B356" s="8" t="str">
        <f t="shared" si="1"/>
        <v>"Duty free haul",</v>
      </c>
    </row>
    <row r="357">
      <c r="A357" s="2" t="s">
        <v>5261</v>
      </c>
      <c r="B357" s="8" t="str">
        <f t="shared" si="1"/>
        <v>"Duty free experience",</v>
      </c>
    </row>
    <row r="358">
      <c r="A358" s="2" t="s">
        <v>5262</v>
      </c>
      <c r="B358" s="8" t="str">
        <f t="shared" si="1"/>
        <v>"Travel retail lifestyle",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5263</v>
      </c>
      <c r="B2" s="8" t="str">
        <f t="shared" ref="B2:B330" si="1">CONCATENATE("""", A2, """,")</f>
        <v>"Vogue",</v>
      </c>
    </row>
    <row r="3">
      <c r="A3" s="2" t="s">
        <v>5264</v>
      </c>
      <c r="B3" s="8" t="str">
        <f t="shared" si="1"/>
        <v>"Vanity Fair",</v>
      </c>
    </row>
    <row r="4">
      <c r="A4" s="2" t="s">
        <v>5265</v>
      </c>
      <c r="B4" s="8" t="str">
        <f t="shared" si="1"/>
        <v>"Bloomberg",</v>
      </c>
    </row>
    <row r="5">
      <c r="A5" s="2" t="s">
        <v>5266</v>
      </c>
      <c r="B5" s="8" t="str">
        <f t="shared" si="1"/>
        <v>"Forbes",</v>
      </c>
    </row>
    <row r="6">
      <c r="A6" s="2" t="s">
        <v>5267</v>
      </c>
      <c r="B6" s="8" t="str">
        <f t="shared" si="1"/>
        <v>"Financial Times",</v>
      </c>
    </row>
    <row r="7">
      <c r="A7" s="2" t="s">
        <v>5268</v>
      </c>
      <c r="B7" s="8" t="str">
        <f t="shared" si="1"/>
        <v>"The Wall Street Journal",</v>
      </c>
    </row>
    <row r="8">
      <c r="A8" s="2" t="s">
        <v>5269</v>
      </c>
      <c r="B8" s="8" t="str">
        <f t="shared" si="1"/>
        <v>"The New York Times",</v>
      </c>
    </row>
    <row r="9">
      <c r="A9" s="2" t="s">
        <v>5270</v>
      </c>
      <c r="B9" s="8" t="str">
        <f t="shared" si="1"/>
        <v>"The Washington Post",</v>
      </c>
    </row>
    <row r="10">
      <c r="A10" s="2" t="s">
        <v>5271</v>
      </c>
      <c r="B10" s="8" t="str">
        <f t="shared" si="1"/>
        <v>"The Guardian",</v>
      </c>
    </row>
    <row r="11">
      <c r="A11" s="2" t="s">
        <v>5272</v>
      </c>
      <c r="B11" s="8" t="str">
        <f t="shared" si="1"/>
        <v>"The Times",</v>
      </c>
    </row>
    <row r="12">
      <c r="A12" s="2" t="s">
        <v>5273</v>
      </c>
      <c r="B12" s="8" t="str">
        <f t="shared" si="1"/>
        <v>"The Telegraph",</v>
      </c>
    </row>
    <row r="13">
      <c r="A13" s="2" t="s">
        <v>5274</v>
      </c>
      <c r="B13" s="8" t="str">
        <f t="shared" si="1"/>
        <v>"Le Monde",</v>
      </c>
    </row>
    <row r="14">
      <c r="A14" s="2" t="s">
        <v>5275</v>
      </c>
      <c r="B14" s="8" t="str">
        <f t="shared" si="1"/>
        <v>"Le Figaro",</v>
      </c>
    </row>
    <row r="15">
      <c r="A15" s="2" t="s">
        <v>5276</v>
      </c>
      <c r="B15" s="8" t="str">
        <f t="shared" si="1"/>
        <v>"El País",</v>
      </c>
    </row>
    <row r="16">
      <c r="A16" s="2" t="s">
        <v>5277</v>
      </c>
      <c r="B16" s="8" t="str">
        <f t="shared" si="1"/>
        <v>"Corriere della Sera",</v>
      </c>
    </row>
    <row r="17">
      <c r="A17" s="2" t="s">
        <v>5278</v>
      </c>
      <c r="B17" s="8" t="str">
        <f t="shared" si="1"/>
        <v>"La Repubblica",</v>
      </c>
    </row>
    <row r="18">
      <c r="A18" s="2" t="s">
        <v>5279</v>
      </c>
      <c r="B18" s="8" t="str">
        <f t="shared" si="1"/>
        <v>"Die Zeit",</v>
      </c>
    </row>
    <row r="19">
      <c r="A19" s="2" t="s">
        <v>5280</v>
      </c>
      <c r="B19" s="8" t="str">
        <f t="shared" si="1"/>
        <v>"Frankfurter Allgemeine Zeitung",</v>
      </c>
    </row>
    <row r="20">
      <c r="A20" s="2" t="s">
        <v>5281</v>
      </c>
      <c r="B20" s="8" t="str">
        <f t="shared" si="1"/>
        <v>"Der Spiegel",</v>
      </c>
    </row>
    <row r="21">
      <c r="A21" s="2" t="s">
        <v>5282</v>
      </c>
      <c r="B21" s="8" t="str">
        <f t="shared" si="1"/>
        <v>"Handelsblatt",</v>
      </c>
    </row>
    <row r="22">
      <c r="A22" s="2" t="s">
        <v>5283</v>
      </c>
      <c r="B22" s="8" t="str">
        <f t="shared" si="1"/>
        <v>"Politico",</v>
      </c>
    </row>
    <row r="23">
      <c r="A23" s="2" t="s">
        <v>5284</v>
      </c>
      <c r="B23" s="8" t="str">
        <f t="shared" si="1"/>
        <v>"Axios",</v>
      </c>
    </row>
    <row r="24">
      <c r="A24" s="2" t="s">
        <v>5285</v>
      </c>
      <c r="B24" s="8" t="str">
        <f t="shared" si="1"/>
        <v>"Reuters",</v>
      </c>
    </row>
    <row r="25">
      <c r="A25" s="2" t="s">
        <v>5286</v>
      </c>
      <c r="B25" s="8" t="str">
        <f t="shared" si="1"/>
        <v>"Associated Press",</v>
      </c>
    </row>
    <row r="26">
      <c r="A26" s="2" t="s">
        <v>5287</v>
      </c>
      <c r="B26" s="8" t="str">
        <f t="shared" si="1"/>
        <v>"CNN",</v>
      </c>
    </row>
    <row r="27">
      <c r="A27" s="2" t="s">
        <v>5288</v>
      </c>
      <c r="B27" s="8" t="str">
        <f t="shared" si="1"/>
        <v>"BBC",</v>
      </c>
    </row>
    <row r="28">
      <c r="A28" s="2" t="s">
        <v>5289</v>
      </c>
      <c r="B28" s="8" t="str">
        <f t="shared" si="1"/>
        <v>"MSNBC",</v>
      </c>
    </row>
    <row r="29">
      <c r="A29" s="2" t="s">
        <v>5290</v>
      </c>
      <c r="B29" s="8" t="str">
        <f t="shared" si="1"/>
        <v>"Fox News",</v>
      </c>
    </row>
    <row r="30">
      <c r="A30" s="2" t="s">
        <v>5291</v>
      </c>
      <c r="B30" s="8" t="str">
        <f t="shared" si="1"/>
        <v>"NBC News",</v>
      </c>
    </row>
    <row r="31">
      <c r="A31" s="2" t="s">
        <v>5292</v>
      </c>
      <c r="B31" s="8" t="str">
        <f t="shared" si="1"/>
        <v>"ABC News",</v>
      </c>
    </row>
    <row r="32">
      <c r="A32" s="2" t="s">
        <v>5293</v>
      </c>
      <c r="B32" s="8" t="str">
        <f t="shared" si="1"/>
        <v>"CBS News",</v>
      </c>
    </row>
    <row r="33">
      <c r="A33" s="2" t="s">
        <v>5294</v>
      </c>
      <c r="B33" s="8" t="str">
        <f t="shared" si="1"/>
        <v>"Sky News",</v>
      </c>
    </row>
    <row r="34">
      <c r="A34" s="2" t="s">
        <v>5295</v>
      </c>
      <c r="B34" s="8" t="str">
        <f t="shared" si="1"/>
        <v>"Al Jazeera",</v>
      </c>
    </row>
    <row r="35">
      <c r="A35" s="2" t="s">
        <v>5296</v>
      </c>
      <c r="B35" s="8" t="str">
        <f t="shared" si="1"/>
        <v>"Euronews",</v>
      </c>
    </row>
    <row r="36">
      <c r="A36" s="2" t="s">
        <v>5297</v>
      </c>
      <c r="B36" s="8" t="str">
        <f t="shared" si="1"/>
        <v>"France 24",</v>
      </c>
    </row>
    <row r="37">
      <c r="A37" s="2" t="s">
        <v>5298</v>
      </c>
      <c r="B37" s="8" t="str">
        <f t="shared" si="1"/>
        <v>"NPR",</v>
      </c>
    </row>
    <row r="38">
      <c r="A38" s="2" t="s">
        <v>5299</v>
      </c>
      <c r="B38" s="8" t="str">
        <f t="shared" si="1"/>
        <v>"PBS",</v>
      </c>
    </row>
    <row r="39">
      <c r="A39" s="2" t="s">
        <v>5300</v>
      </c>
      <c r="B39" s="8" t="str">
        <f t="shared" si="1"/>
        <v>"The Economist",</v>
      </c>
    </row>
    <row r="40">
      <c r="A40" s="2" t="s">
        <v>5301</v>
      </c>
      <c r="B40" s="8" t="str">
        <f t="shared" si="1"/>
        <v>"Harvard Business Review",</v>
      </c>
    </row>
    <row r="41">
      <c r="A41" s="2" t="s">
        <v>5302</v>
      </c>
      <c r="B41" s="8" t="str">
        <f t="shared" si="1"/>
        <v>"Business Insider",</v>
      </c>
    </row>
    <row r="42">
      <c r="A42" s="2" t="s">
        <v>5303</v>
      </c>
      <c r="B42" s="8" t="str">
        <f t="shared" si="1"/>
        <v>"Fast Company",</v>
      </c>
    </row>
    <row r="43">
      <c r="A43" s="2" t="s">
        <v>5304</v>
      </c>
      <c r="B43" s="8" t="str">
        <f t="shared" si="1"/>
        <v>"TechCrunch",</v>
      </c>
    </row>
    <row r="44">
      <c r="A44" s="2" t="s">
        <v>5305</v>
      </c>
      <c r="B44" s="8" t="str">
        <f t="shared" si="1"/>
        <v>"Wired",</v>
      </c>
    </row>
    <row r="45">
      <c r="A45" s="2" t="s">
        <v>5306</v>
      </c>
      <c r="B45" s="8" t="str">
        <f t="shared" si="1"/>
        <v>"The Verge",</v>
      </c>
    </row>
    <row r="46">
      <c r="A46" s="2" t="s">
        <v>5307</v>
      </c>
      <c r="B46" s="8" t="str">
        <f t="shared" si="1"/>
        <v>"Mashable",</v>
      </c>
    </row>
    <row r="47">
      <c r="A47" s="2" t="s">
        <v>5308</v>
      </c>
      <c r="B47" s="8" t="str">
        <f t="shared" si="1"/>
        <v>"Quartz",</v>
      </c>
    </row>
    <row r="48">
      <c r="A48" s="2" t="s">
        <v>5309</v>
      </c>
      <c r="B48" s="8" t="str">
        <f t="shared" si="1"/>
        <v>"Ars Technica",</v>
      </c>
    </row>
    <row r="49">
      <c r="A49" s="2" t="s">
        <v>5310</v>
      </c>
      <c r="B49" s="8" t="str">
        <f t="shared" si="1"/>
        <v>"MIT Technology Review",</v>
      </c>
    </row>
    <row r="50">
      <c r="A50" s="2" t="s">
        <v>5311</v>
      </c>
      <c r="B50" s="8" t="str">
        <f t="shared" si="1"/>
        <v>"Rolling Stone",</v>
      </c>
    </row>
    <row r="51">
      <c r="A51" s="2" t="s">
        <v>5312</v>
      </c>
      <c r="B51" s="8" t="str">
        <f t="shared" si="1"/>
        <v>"Billboard",</v>
      </c>
    </row>
    <row r="52">
      <c r="A52" s="2" t="s">
        <v>5313</v>
      </c>
      <c r="B52" s="8" t="str">
        <f t="shared" si="1"/>
        <v>"Pitchfork",</v>
      </c>
    </row>
    <row r="53">
      <c r="A53" s="2" t="s">
        <v>5314</v>
      </c>
      <c r="B53" s="8" t="str">
        <f t="shared" si="1"/>
        <v>"NME",</v>
      </c>
    </row>
    <row r="54">
      <c r="A54" s="2" t="s">
        <v>5315</v>
      </c>
      <c r="B54" s="8" t="str">
        <f t="shared" si="1"/>
        <v>"Spin",</v>
      </c>
    </row>
    <row r="55">
      <c r="A55" s="2" t="s">
        <v>5316</v>
      </c>
      <c r="B55" s="8" t="str">
        <f t="shared" si="1"/>
        <v>"Complex",</v>
      </c>
    </row>
    <row r="56">
      <c r="A56" s="2" t="s">
        <v>5317</v>
      </c>
      <c r="B56" s="8" t="str">
        <f t="shared" si="1"/>
        <v>"Highsnobiety",</v>
      </c>
    </row>
    <row r="57">
      <c r="A57" s="2" t="s">
        <v>5318</v>
      </c>
      <c r="B57" s="8" t="str">
        <f t="shared" si="1"/>
        <v>"Hypebeast",</v>
      </c>
    </row>
    <row r="58">
      <c r="A58" s="2" t="s">
        <v>5319</v>
      </c>
      <c r="B58" s="8" t="str">
        <f t="shared" si="1"/>
        <v>"The Fader",</v>
      </c>
    </row>
    <row r="59">
      <c r="A59" s="2" t="s">
        <v>5320</v>
      </c>
      <c r="B59" s="8" t="str">
        <f t="shared" si="1"/>
        <v>"GQ",</v>
      </c>
    </row>
    <row r="60">
      <c r="A60" s="2" t="s">
        <v>5321</v>
      </c>
      <c r="B60" s="8" t="str">
        <f t="shared" si="1"/>
        <v>"Esquire",</v>
      </c>
    </row>
    <row r="61">
      <c r="A61" s="2" t="s">
        <v>5322</v>
      </c>
      <c r="B61" s="8" t="str">
        <f t="shared" si="1"/>
        <v>"Men’s Health",</v>
      </c>
    </row>
    <row r="62">
      <c r="A62" s="2" t="s">
        <v>5323</v>
      </c>
      <c r="B62" s="8" t="str">
        <f t="shared" si="1"/>
        <v>"Women’s Health",</v>
      </c>
    </row>
    <row r="63">
      <c r="A63" s="2" t="s">
        <v>5324</v>
      </c>
      <c r="B63" s="8" t="str">
        <f t="shared" si="1"/>
        <v>"Elle",</v>
      </c>
    </row>
    <row r="64">
      <c r="A64" s="2" t="s">
        <v>5325</v>
      </c>
      <c r="B64" s="8" t="str">
        <f t="shared" si="1"/>
        <v>"Harper’s Bazaar",</v>
      </c>
    </row>
    <row r="65">
      <c r="A65" s="2" t="s">
        <v>5326</v>
      </c>
      <c r="B65" s="8" t="str">
        <f t="shared" si="1"/>
        <v>"Cosmopolitan",</v>
      </c>
    </row>
    <row r="66">
      <c r="A66" s="2" t="s">
        <v>5327</v>
      </c>
      <c r="B66" s="8" t="str">
        <f t="shared" si="1"/>
        <v>"Glamour",</v>
      </c>
    </row>
    <row r="67">
      <c r="A67" s="2" t="s">
        <v>5328</v>
      </c>
      <c r="B67" s="8" t="str">
        <f t="shared" si="1"/>
        <v>"Marie Claire",</v>
      </c>
    </row>
    <row r="68">
      <c r="A68" s="2" t="s">
        <v>5329</v>
      </c>
      <c r="B68" s="8" t="str">
        <f t="shared" si="1"/>
        <v>"Allure",</v>
      </c>
    </row>
    <row r="69">
      <c r="A69" s="2" t="s">
        <v>5330</v>
      </c>
      <c r="B69" s="8" t="str">
        <f t="shared" si="1"/>
        <v>"InStyle",</v>
      </c>
    </row>
    <row r="70">
      <c r="A70" s="2" t="s">
        <v>5331</v>
      </c>
      <c r="B70" s="8" t="str">
        <f t="shared" si="1"/>
        <v>"Teen Vogue",</v>
      </c>
    </row>
    <row r="71">
      <c r="A71" s="2" t="s">
        <v>5332</v>
      </c>
      <c r="B71" s="8" t="str">
        <f t="shared" si="1"/>
        <v>"Seventeen",</v>
      </c>
    </row>
    <row r="72">
      <c r="A72" s="2" t="s">
        <v>5333</v>
      </c>
      <c r="B72" s="8" t="str">
        <f t="shared" si="1"/>
        <v>"W Magazine",</v>
      </c>
    </row>
    <row r="73">
      <c r="A73" s="2" t="s">
        <v>5334</v>
      </c>
      <c r="B73" s="8" t="str">
        <f t="shared" si="1"/>
        <v>"Dazed",</v>
      </c>
    </row>
    <row r="74">
      <c r="A74" s="2" t="s">
        <v>5335</v>
      </c>
      <c r="B74" s="8" t="str">
        <f t="shared" si="1"/>
        <v>"i-D",</v>
      </c>
    </row>
    <row r="75">
      <c r="A75" s="2" t="s">
        <v>5336</v>
      </c>
      <c r="B75" s="8" t="str">
        <f t="shared" si="1"/>
        <v>"Paper Magazine",</v>
      </c>
    </row>
    <row r="76">
      <c r="A76" s="2" t="s">
        <v>5337</v>
      </c>
      <c r="B76" s="8" t="str">
        <f t="shared" si="1"/>
        <v>"The Face",</v>
      </c>
    </row>
    <row r="77">
      <c r="A77" s="2" t="s">
        <v>5338</v>
      </c>
      <c r="B77" s="8" t="str">
        <f t="shared" si="1"/>
        <v>"Numéro",</v>
      </c>
    </row>
    <row r="78">
      <c r="A78" s="2" t="s">
        <v>5339</v>
      </c>
      <c r="B78" s="8" t="str">
        <f t="shared" si="1"/>
        <v>"L’Officiel",</v>
      </c>
    </row>
    <row r="79">
      <c r="A79" s="2" t="s">
        <v>5340</v>
      </c>
      <c r="B79" s="8" t="str">
        <f t="shared" si="1"/>
        <v>"Business of Fashion",</v>
      </c>
    </row>
    <row r="80">
      <c r="A80" s="2" t="s">
        <v>5341</v>
      </c>
      <c r="B80" s="8" t="str">
        <f t="shared" si="1"/>
        <v>"WWD (Women’s Wear Daily)",</v>
      </c>
    </row>
    <row r="81">
      <c r="A81" s="2" t="s">
        <v>5342</v>
      </c>
      <c r="B81" s="8" t="str">
        <f t="shared" si="1"/>
        <v>"Fashionista",</v>
      </c>
    </row>
    <row r="82">
      <c r="A82" s="2" t="s">
        <v>5343</v>
      </c>
      <c r="B82" s="8" t="str">
        <f t="shared" si="1"/>
        <v>"Adweek",</v>
      </c>
    </row>
    <row r="83">
      <c r="A83" s="2" t="s">
        <v>5001</v>
      </c>
      <c r="B83" s="8" t="str">
        <f t="shared" si="1"/>
        <v>"Campaign",</v>
      </c>
    </row>
    <row r="84">
      <c r="A84" s="2" t="s">
        <v>5344</v>
      </c>
      <c r="B84" s="8" t="str">
        <f t="shared" si="1"/>
        <v>"The Drum",</v>
      </c>
    </row>
    <row r="85">
      <c r="A85" s="2" t="s">
        <v>5345</v>
      </c>
      <c r="B85" s="8" t="str">
        <f t="shared" si="1"/>
        <v>"PRWeek",</v>
      </c>
    </row>
    <row r="86">
      <c r="A86" s="2" t="s">
        <v>5346</v>
      </c>
      <c r="B86" s="8" t="str">
        <f t="shared" si="1"/>
        <v>"Variety",</v>
      </c>
    </row>
    <row r="87">
      <c r="A87" s="2" t="s">
        <v>5347</v>
      </c>
      <c r="B87" s="8" t="str">
        <f t="shared" si="1"/>
        <v>"The Hollywood Reporter",</v>
      </c>
    </row>
    <row r="88">
      <c r="A88" s="2" t="s">
        <v>5348</v>
      </c>
      <c r="B88" s="8" t="str">
        <f t="shared" si="1"/>
        <v>"Deadline",</v>
      </c>
    </row>
    <row r="89">
      <c r="A89" s="2" t="s">
        <v>5349</v>
      </c>
      <c r="B89" s="8" t="str">
        <f t="shared" si="1"/>
        <v>"IndieWire",</v>
      </c>
    </row>
    <row r="90">
      <c r="A90" s="2" t="s">
        <v>5350</v>
      </c>
      <c r="B90" s="8" t="str">
        <f t="shared" si="1"/>
        <v>"Screen Daily",</v>
      </c>
    </row>
    <row r="91">
      <c r="A91" s="2" t="s">
        <v>5351</v>
      </c>
      <c r="B91" s="8" t="str">
        <f t="shared" si="1"/>
        <v>"Film Comment",</v>
      </c>
    </row>
    <row r="92">
      <c r="A92" s="2" t="s">
        <v>5352</v>
      </c>
      <c r="B92" s="8" t="str">
        <f t="shared" si="1"/>
        <v>"Sight &amp; Sound",</v>
      </c>
    </row>
    <row r="93">
      <c r="A93" s="2" t="s">
        <v>5353</v>
      </c>
      <c r="B93" s="8" t="str">
        <f t="shared" si="1"/>
        <v>"People",</v>
      </c>
    </row>
    <row r="94">
      <c r="A94" s="2" t="s">
        <v>5354</v>
      </c>
      <c r="B94" s="8" t="str">
        <f t="shared" si="1"/>
        <v>"Us Weekly",</v>
      </c>
    </row>
    <row r="95">
      <c r="A95" s="2" t="s">
        <v>5355</v>
      </c>
      <c r="B95" s="8" t="str">
        <f t="shared" si="1"/>
        <v>"OK! Magazine",</v>
      </c>
    </row>
    <row r="96">
      <c r="A96" s="2" t="s">
        <v>5356</v>
      </c>
      <c r="B96" s="8" t="str">
        <f t="shared" si="1"/>
        <v>"Hello!",</v>
      </c>
    </row>
    <row r="97">
      <c r="A97" s="2" t="s">
        <v>5357</v>
      </c>
      <c r="B97" s="8" t="str">
        <f t="shared" si="1"/>
        <v>"Tatler",</v>
      </c>
    </row>
    <row r="98">
      <c r="A98" s="2" t="s">
        <v>5358</v>
      </c>
      <c r="B98" s="8" t="str">
        <f t="shared" si="1"/>
        <v>"Town &amp; Country",</v>
      </c>
    </row>
    <row r="99">
      <c r="A99" s="2" t="s">
        <v>5359</v>
      </c>
      <c r="B99" s="8" t="str">
        <f t="shared" si="1"/>
        <v>"New Yorker",</v>
      </c>
    </row>
    <row r="100">
      <c r="A100" s="2" t="s">
        <v>5360</v>
      </c>
      <c r="B100" s="8" t="str">
        <f t="shared" si="1"/>
        <v>"Time",</v>
      </c>
    </row>
    <row r="101">
      <c r="A101" s="2" t="s">
        <v>5361</v>
      </c>
      <c r="B101" s="8" t="str">
        <f t="shared" si="1"/>
        <v>"Newsweek",</v>
      </c>
    </row>
    <row r="102">
      <c r="A102" s="2" t="s">
        <v>5362</v>
      </c>
      <c r="B102" s="8" t="str">
        <f t="shared" si="1"/>
        <v>"The Atlantic",</v>
      </c>
    </row>
    <row r="103">
      <c r="A103" s="2" t="s">
        <v>5363</v>
      </c>
      <c r="B103" s="8" t="str">
        <f t="shared" si="1"/>
        <v>"Foreign Affairs",</v>
      </c>
    </row>
    <row r="104">
      <c r="A104" s="2" t="s">
        <v>5364</v>
      </c>
      <c r="B104" s="8" t="str">
        <f t="shared" si="1"/>
        <v>"Foreign Policy",</v>
      </c>
    </row>
    <row r="105">
      <c r="A105" s="2" t="s">
        <v>5365</v>
      </c>
      <c r="B105" s="8" t="str">
        <f t="shared" si="1"/>
        <v>"National Geographic",</v>
      </c>
    </row>
    <row r="106">
      <c r="A106" s="2" t="s">
        <v>5366</v>
      </c>
      <c r="B106" s="8" t="str">
        <f t="shared" si="1"/>
        <v>"Scientific American",</v>
      </c>
    </row>
    <row r="107">
      <c r="A107" s="2" t="s">
        <v>4528</v>
      </c>
      <c r="B107" s="8" t="str">
        <f t="shared" si="1"/>
        <v>"Nature",</v>
      </c>
    </row>
    <row r="108">
      <c r="A108" s="2" t="s">
        <v>5367</v>
      </c>
      <c r="B108" s="8" t="str">
        <f t="shared" si="1"/>
        <v>"New Scientist",</v>
      </c>
    </row>
    <row r="109">
      <c r="A109" s="2" t="s">
        <v>5368</v>
      </c>
      <c r="B109" s="8" t="str">
        <f t="shared" si="1"/>
        <v>"BuzzFeed",</v>
      </c>
    </row>
    <row r="110">
      <c r="A110" s="2" t="s">
        <v>5369</v>
      </c>
      <c r="B110" s="8" t="str">
        <f t="shared" si="1"/>
        <v>"Vice",</v>
      </c>
    </row>
    <row r="111">
      <c r="A111" s="2" t="s">
        <v>5370</v>
      </c>
      <c r="B111" s="8" t="str">
        <f t="shared" si="1"/>
        <v>"Refinery29",</v>
      </c>
    </row>
    <row r="112">
      <c r="A112" s="2" t="s">
        <v>5371</v>
      </c>
      <c r="B112" s="8" t="str">
        <f t="shared" si="1"/>
        <v>"Mic",</v>
      </c>
    </row>
    <row r="113">
      <c r="A113" s="2" t="s">
        <v>5372</v>
      </c>
      <c r="B113" s="8" t="str">
        <f t="shared" si="1"/>
        <v>"Mashable India",</v>
      </c>
    </row>
    <row r="114">
      <c r="A114" s="2" t="s">
        <v>5373</v>
      </c>
      <c r="B114" s="8" t="str">
        <f t="shared" si="1"/>
        <v>"NowThis",</v>
      </c>
    </row>
    <row r="115">
      <c r="A115" s="2" t="s">
        <v>5374</v>
      </c>
      <c r="B115" s="8" t="str">
        <f t="shared" si="1"/>
        <v>"Upworthy",</v>
      </c>
    </row>
    <row r="116">
      <c r="A116" s="2" t="s">
        <v>5375</v>
      </c>
      <c r="B116" s="8" t="str">
        <f t="shared" si="1"/>
        <v>"HuffPost",</v>
      </c>
    </row>
    <row r="117">
      <c r="A117" s="2" t="s">
        <v>5376</v>
      </c>
      <c r="B117" s="8" t="str">
        <f t="shared" si="1"/>
        <v>"Daily Beast",</v>
      </c>
    </row>
    <row r="118">
      <c r="A118" s="2" t="s">
        <v>5377</v>
      </c>
      <c r="B118" s="8" t="str">
        <f t="shared" si="1"/>
        <v>"Slate",</v>
      </c>
    </row>
    <row r="119">
      <c r="A119" s="2" t="s">
        <v>5378</v>
      </c>
      <c r="B119" s="8" t="str">
        <f t="shared" si="1"/>
        <v>"Salon",</v>
      </c>
    </row>
    <row r="120">
      <c r="A120" s="2" t="s">
        <v>5379</v>
      </c>
      <c r="B120" s="8" t="str">
        <f t="shared" si="1"/>
        <v>"The Cut",</v>
      </c>
    </row>
    <row r="121">
      <c r="A121" s="2" t="s">
        <v>5380</v>
      </c>
      <c r="B121" s="8" t="str">
        <f t="shared" si="1"/>
        <v>"The Skimm",</v>
      </c>
    </row>
    <row r="122">
      <c r="A122" s="2" t="s">
        <v>5381</v>
      </c>
      <c r="B122" s="8" t="str">
        <f t="shared" si="1"/>
        <v>"BusinessWeek",</v>
      </c>
    </row>
    <row r="123">
      <c r="A123" s="2" t="s">
        <v>5382</v>
      </c>
      <c r="B123" s="8" t="str">
        <f t="shared" si="1"/>
        <v>"MarketWatch",</v>
      </c>
    </row>
    <row r="124">
      <c r="A124" s="2" t="s">
        <v>5383</v>
      </c>
      <c r="B124" s="8" t="str">
        <f t="shared" si="1"/>
        <v>"Investopedia",</v>
      </c>
    </row>
    <row r="125">
      <c r="A125" s="2" t="s">
        <v>5384</v>
      </c>
      <c r="B125" s="8" t="str">
        <f t="shared" si="1"/>
        <v>"Morning Brew",</v>
      </c>
    </row>
    <row r="126">
      <c r="A126" s="2" t="s">
        <v>5385</v>
      </c>
      <c r="B126" s="8" t="str">
        <f t="shared" si="1"/>
        <v>"Seeking Alpha",</v>
      </c>
    </row>
    <row r="127">
      <c r="A127" s="2" t="s">
        <v>5386</v>
      </c>
      <c r="B127" s="8" t="str">
        <f t="shared" si="1"/>
        <v>"Motley Fool",</v>
      </c>
    </row>
    <row r="128">
      <c r="A128" s="2" t="s">
        <v>5387</v>
      </c>
      <c r="B128" s="8" t="str">
        <f t="shared" si="1"/>
        <v>"Barron’s",</v>
      </c>
    </row>
    <row r="129">
      <c r="A129" s="2" t="s">
        <v>5388</v>
      </c>
      <c r="B129" s="8" t="str">
        <f t="shared" si="1"/>
        <v>"Kiplinger",</v>
      </c>
    </row>
    <row r="130">
      <c r="A130" s="2" t="s">
        <v>5389</v>
      </c>
      <c r="B130" s="8" t="str">
        <f t="shared" si="1"/>
        <v>"Fortune",</v>
      </c>
    </row>
    <row r="131">
      <c r="A131" s="2" t="s">
        <v>5390</v>
      </c>
      <c r="B131" s="8" t="str">
        <f t="shared" si="1"/>
        <v>"Inc.",</v>
      </c>
    </row>
    <row r="132">
      <c r="A132" s="2" t="s">
        <v>5391</v>
      </c>
      <c r="B132" s="8" t="str">
        <f t="shared" si="1"/>
        <v>"Entrepreneur",</v>
      </c>
    </row>
    <row r="133">
      <c r="A133" s="2" t="s">
        <v>5392</v>
      </c>
      <c r="B133" s="8" t="str">
        <f t="shared" si="1"/>
        <v>"Digiday",</v>
      </c>
    </row>
    <row r="134">
      <c r="A134" s="2" t="s">
        <v>5393</v>
      </c>
      <c r="B134" s="8" t="str">
        <f t="shared" si="1"/>
        <v>"MediaPost",</v>
      </c>
    </row>
    <row r="135">
      <c r="A135" s="2" t="s">
        <v>5394</v>
      </c>
      <c r="B135" s="8" t="str">
        <f t="shared" si="1"/>
        <v>"Techmeme",</v>
      </c>
    </row>
    <row r="136">
      <c r="A136" s="2" t="s">
        <v>5395</v>
      </c>
      <c r="B136" s="8" t="str">
        <f t="shared" si="1"/>
        <v>"Product Hunt",</v>
      </c>
    </row>
    <row r="137">
      <c r="A137" s="2" t="s">
        <v>5396</v>
      </c>
      <c r="B137" s="8" t="str">
        <f t="shared" si="1"/>
        <v>"Engadget",</v>
      </c>
    </row>
    <row r="138">
      <c r="A138" s="2" t="s">
        <v>5397</v>
      </c>
      <c r="B138" s="8" t="str">
        <f t="shared" si="1"/>
        <v>"Digital Trends",</v>
      </c>
    </row>
    <row r="139">
      <c r="A139" s="2" t="s">
        <v>5398</v>
      </c>
      <c r="B139" s="8" t="str">
        <f t="shared" si="1"/>
        <v>"CNET",</v>
      </c>
    </row>
    <row r="140">
      <c r="A140" s="2" t="s">
        <v>5399</v>
      </c>
      <c r="B140" s="8" t="str">
        <f t="shared" si="1"/>
        <v>"ZDNet",</v>
      </c>
    </row>
    <row r="141">
      <c r="A141" s="2" t="s">
        <v>5400</v>
      </c>
      <c r="B141" s="8" t="str">
        <f t="shared" si="1"/>
        <v>"PCMag",</v>
      </c>
    </row>
    <row r="142">
      <c r="A142" s="2" t="s">
        <v>5401</v>
      </c>
      <c r="B142" s="8" t="str">
        <f t="shared" si="1"/>
        <v>"Tom’s Hardware",</v>
      </c>
    </row>
    <row r="143">
      <c r="A143" s="2" t="s">
        <v>5402</v>
      </c>
      <c r="B143" s="8" t="str">
        <f t="shared" si="1"/>
        <v>"Android Authority",</v>
      </c>
    </row>
    <row r="144">
      <c r="A144" s="2" t="s">
        <v>5403</v>
      </c>
      <c r="B144" s="8" t="str">
        <f t="shared" si="1"/>
        <v>"iMore",</v>
      </c>
    </row>
    <row r="145">
      <c r="A145" s="2" t="s">
        <v>5404</v>
      </c>
      <c r="B145" s="8" t="str">
        <f t="shared" si="1"/>
        <v>"9to5Mac",</v>
      </c>
    </row>
    <row r="146">
      <c r="A146" s="2" t="s">
        <v>5405</v>
      </c>
      <c r="B146" s="8" t="str">
        <f t="shared" si="1"/>
        <v>"MacRumors",</v>
      </c>
    </row>
    <row r="147">
      <c r="A147" s="2" t="s">
        <v>5406</v>
      </c>
      <c r="B147" s="8" t="str">
        <f t="shared" si="1"/>
        <v>"GameSpot",</v>
      </c>
    </row>
    <row r="148">
      <c r="A148" s="2" t="s">
        <v>5407</v>
      </c>
      <c r="B148" s="8" t="str">
        <f t="shared" si="1"/>
        <v>"IGN",</v>
      </c>
    </row>
    <row r="149">
      <c r="A149" s="2" t="s">
        <v>5408</v>
      </c>
      <c r="B149" s="8" t="str">
        <f t="shared" si="1"/>
        <v>"Kotaku",</v>
      </c>
    </row>
    <row r="150">
      <c r="A150" s="2" t="s">
        <v>5409</v>
      </c>
      <c r="B150" s="8" t="str">
        <f t="shared" si="1"/>
        <v>"Polygon",</v>
      </c>
    </row>
    <row r="151">
      <c r="A151" s="2" t="s">
        <v>5410</v>
      </c>
      <c r="B151" s="8" t="str">
        <f t="shared" si="1"/>
        <v>"Eurogamer",</v>
      </c>
    </row>
    <row r="152">
      <c r="A152" s="2" t="s">
        <v>5411</v>
      </c>
      <c r="B152" s="8" t="str">
        <f t="shared" si="1"/>
        <v>"Game Informer",</v>
      </c>
    </row>
    <row r="153">
      <c r="A153" s="2" t="s">
        <v>5412</v>
      </c>
      <c r="B153" s="8" t="str">
        <f t="shared" si="1"/>
        <v>"Rock Paper Shotgun",</v>
      </c>
    </row>
    <row r="154">
      <c r="A154" s="2" t="s">
        <v>5413</v>
      </c>
      <c r="B154" s="8" t="str">
        <f t="shared" si="1"/>
        <v>"Metacritic",</v>
      </c>
    </row>
    <row r="155">
      <c r="A155" s="2" t="s">
        <v>5414</v>
      </c>
      <c r="B155" s="8" t="str">
        <f t="shared" si="1"/>
        <v>"Rotten Tomatoes",</v>
      </c>
    </row>
    <row r="156">
      <c r="A156" s="2" t="s">
        <v>5415</v>
      </c>
      <c r="B156" s="8" t="str">
        <f t="shared" si="1"/>
        <v>"Box Office Mojo",</v>
      </c>
    </row>
    <row r="157">
      <c r="A157" s="2" t="s">
        <v>5416</v>
      </c>
      <c r="B157" s="8" t="str">
        <f t="shared" si="1"/>
        <v>"CinemaBlend",</v>
      </c>
    </row>
    <row r="158">
      <c r="A158" s="2" t="s">
        <v>5417</v>
      </c>
      <c r="B158" s="8" t="str">
        <f t="shared" si="1"/>
        <v>"Collider",</v>
      </c>
    </row>
    <row r="159">
      <c r="A159" s="2" t="s">
        <v>5418</v>
      </c>
      <c r="B159" s="8" t="str">
        <f t="shared" si="1"/>
        <v>"Screen Rant",</v>
      </c>
    </row>
    <row r="160">
      <c r="A160" s="10" t="s">
        <v>5419</v>
      </c>
      <c r="B160" s="8" t="str">
        <f t="shared" si="1"/>
        <v>"ComicBook.com",</v>
      </c>
    </row>
    <row r="161">
      <c r="A161" s="2" t="s">
        <v>5420</v>
      </c>
      <c r="B161" s="8" t="str">
        <f t="shared" si="1"/>
        <v>"Den of Geek",</v>
      </c>
    </row>
    <row r="162">
      <c r="A162" s="2" t="s">
        <v>5421</v>
      </c>
      <c r="B162" s="8" t="str">
        <f t="shared" si="1"/>
        <v>"Bleacher Report",</v>
      </c>
    </row>
    <row r="163">
      <c r="A163" s="2" t="s">
        <v>5422</v>
      </c>
      <c r="B163" s="8" t="str">
        <f t="shared" si="1"/>
        <v>"SB Nation",</v>
      </c>
    </row>
    <row r="164">
      <c r="A164" s="2" t="s">
        <v>5423</v>
      </c>
      <c r="B164" s="8" t="str">
        <f t="shared" si="1"/>
        <v>"The Athletic",</v>
      </c>
    </row>
    <row r="165">
      <c r="A165" s="2" t="s">
        <v>5424</v>
      </c>
      <c r="B165" s="8" t="str">
        <f t="shared" si="1"/>
        <v>"ESPN",</v>
      </c>
    </row>
    <row r="166">
      <c r="A166" s="2" t="s">
        <v>5425</v>
      </c>
      <c r="B166" s="8" t="str">
        <f t="shared" si="1"/>
        <v>"Sports Illustrated",</v>
      </c>
    </row>
    <row r="167">
      <c r="A167" s="2" t="s">
        <v>5426</v>
      </c>
      <c r="B167" s="8" t="str">
        <f t="shared" si="1"/>
        <v>"Marca",</v>
      </c>
    </row>
    <row r="168">
      <c r="A168" s="2" t="s">
        <v>5427</v>
      </c>
      <c r="B168" s="8" t="str">
        <f t="shared" si="1"/>
        <v>"L’Équipe",</v>
      </c>
    </row>
    <row r="169">
      <c r="A169" s="10" t="s">
        <v>5428</v>
      </c>
      <c r="B169" s="8" t="str">
        <f t="shared" si="1"/>
        <v>"Goal.com",</v>
      </c>
    </row>
    <row r="170">
      <c r="A170" s="2" t="s">
        <v>5429</v>
      </c>
      <c r="B170" s="8" t="str">
        <f t="shared" si="1"/>
        <v>"Yahoo Sports",</v>
      </c>
    </row>
    <row r="171">
      <c r="A171" s="2" t="s">
        <v>5430</v>
      </c>
      <c r="B171" s="8" t="str">
        <f t="shared" si="1"/>
        <v>"Deadspin",</v>
      </c>
    </row>
    <row r="172">
      <c r="A172" s="2" t="s">
        <v>5431</v>
      </c>
      <c r="B172" s="8" t="str">
        <f t="shared" si="1"/>
        <v>"Ringer",</v>
      </c>
    </row>
    <row r="173">
      <c r="A173" s="2" t="s">
        <v>5432</v>
      </c>
      <c r="B173" s="8" t="str">
        <f t="shared" si="1"/>
        <v>"Complex Sports",</v>
      </c>
    </row>
    <row r="174">
      <c r="A174" s="2" t="s">
        <v>5433</v>
      </c>
      <c r="B174" s="8" t="str">
        <f t="shared" si="1"/>
        <v>"Overtime",</v>
      </c>
    </row>
    <row r="175">
      <c r="A175" s="2" t="s">
        <v>5434</v>
      </c>
      <c r="B175" s="8" t="str">
        <f t="shared" si="1"/>
        <v>"House Beautiful",</v>
      </c>
    </row>
    <row r="176">
      <c r="A176" s="2" t="s">
        <v>5435</v>
      </c>
      <c r="B176" s="8" t="str">
        <f t="shared" si="1"/>
        <v>"Architectural Digest",</v>
      </c>
    </row>
    <row r="177">
      <c r="A177" s="2" t="s">
        <v>5436</v>
      </c>
      <c r="B177" s="8" t="str">
        <f t="shared" si="1"/>
        <v>"Dezeen",</v>
      </c>
    </row>
    <row r="178">
      <c r="A178" s="2" t="s">
        <v>5437</v>
      </c>
      <c r="B178" s="8" t="str">
        <f t="shared" si="1"/>
        <v>"Designboom",</v>
      </c>
    </row>
    <row r="179">
      <c r="A179" s="2" t="s">
        <v>5438</v>
      </c>
      <c r="B179" s="8" t="str">
        <f t="shared" si="1"/>
        <v>"Wallpaper*",</v>
      </c>
    </row>
    <row r="180">
      <c r="A180" s="2" t="s">
        <v>5439</v>
      </c>
      <c r="B180" s="8" t="str">
        <f t="shared" si="1"/>
        <v>"Domus",</v>
      </c>
    </row>
    <row r="181">
      <c r="A181" s="2" t="s">
        <v>5440</v>
      </c>
      <c r="B181" s="8" t="str">
        <f t="shared" si="1"/>
        <v>"Elle Decor",</v>
      </c>
    </row>
    <row r="182">
      <c r="A182" s="2" t="s">
        <v>5441</v>
      </c>
      <c r="B182" s="8" t="str">
        <f t="shared" si="1"/>
        <v>"Better Homes &amp; Gardens",</v>
      </c>
    </row>
    <row r="183">
      <c r="A183" s="2" t="s">
        <v>5442</v>
      </c>
      <c r="B183" s="8" t="str">
        <f t="shared" si="1"/>
        <v>"Good Housekeeping",</v>
      </c>
    </row>
    <row r="184">
      <c r="A184" s="2" t="s">
        <v>5443</v>
      </c>
      <c r="B184" s="8" t="str">
        <f t="shared" si="1"/>
        <v>"Martha Stewart Living",</v>
      </c>
    </row>
    <row r="185">
      <c r="A185" s="2" t="s">
        <v>5444</v>
      </c>
      <c r="B185" s="8" t="str">
        <f t="shared" si="1"/>
        <v>"Food Network",</v>
      </c>
    </row>
    <row r="186">
      <c r="A186" s="2" t="s">
        <v>5445</v>
      </c>
      <c r="B186" s="8" t="str">
        <f t="shared" si="1"/>
        <v>"Bon Appétit",</v>
      </c>
    </row>
    <row r="187">
      <c r="A187" s="2" t="s">
        <v>5446</v>
      </c>
      <c r="B187" s="8" t="str">
        <f t="shared" si="1"/>
        <v>"Eater",</v>
      </c>
    </row>
    <row r="188">
      <c r="A188" s="2" t="s">
        <v>5447</v>
      </c>
      <c r="B188" s="8" t="str">
        <f t="shared" si="1"/>
        <v>"Serious Eats",</v>
      </c>
    </row>
    <row r="189">
      <c r="A189" s="2" t="s">
        <v>5448</v>
      </c>
      <c r="B189" s="8" t="str">
        <f t="shared" si="1"/>
        <v>"Epicurious",</v>
      </c>
    </row>
    <row r="190">
      <c r="A190" s="2" t="s">
        <v>5449</v>
      </c>
      <c r="B190" s="8" t="str">
        <f t="shared" si="1"/>
        <v>"Delish",</v>
      </c>
    </row>
    <row r="191">
      <c r="A191" s="2" t="s">
        <v>5450</v>
      </c>
      <c r="B191" s="8" t="str">
        <f t="shared" si="1"/>
        <v>"Saveur",</v>
      </c>
    </row>
    <row r="192">
      <c r="A192" s="2" t="s">
        <v>5451</v>
      </c>
      <c r="B192" s="8" t="str">
        <f t="shared" si="1"/>
        <v>"Tasting Table",</v>
      </c>
    </row>
    <row r="193">
      <c r="A193" s="2" t="s">
        <v>5452</v>
      </c>
      <c r="B193" s="8" t="str">
        <f t="shared" si="1"/>
        <v>"Grub Street",</v>
      </c>
    </row>
    <row r="194">
      <c r="A194" s="2" t="s">
        <v>5453</v>
      </c>
      <c r="B194" s="8" t="str">
        <f t="shared" si="1"/>
        <v>"Travel + Leisure",</v>
      </c>
    </row>
    <row r="195">
      <c r="A195" s="2" t="s">
        <v>5454</v>
      </c>
      <c r="B195" s="8" t="str">
        <f t="shared" si="1"/>
        <v>"Condé Nast Traveler",</v>
      </c>
    </row>
    <row r="196">
      <c r="A196" s="2" t="s">
        <v>5455</v>
      </c>
      <c r="B196" s="8" t="str">
        <f t="shared" si="1"/>
        <v>"Lonely Planet",</v>
      </c>
    </row>
    <row r="197">
      <c r="A197" s="2" t="s">
        <v>5456</v>
      </c>
      <c r="B197" s="8" t="str">
        <f t="shared" si="1"/>
        <v>"Culture Trip",</v>
      </c>
    </row>
    <row r="198">
      <c r="A198" s="2" t="s">
        <v>5457</v>
      </c>
      <c r="B198" s="8" t="str">
        <f t="shared" si="1"/>
        <v>"Afar",</v>
      </c>
    </row>
    <row r="199">
      <c r="A199" s="2" t="s">
        <v>5458</v>
      </c>
      <c r="B199" s="8" t="str">
        <f t="shared" si="1"/>
        <v>"CNBC",</v>
      </c>
    </row>
    <row r="200">
      <c r="A200" s="2" t="s">
        <v>5459</v>
      </c>
      <c r="B200" s="8" t="str">
        <f t="shared" si="1"/>
        <v>"Bloomberg TV",</v>
      </c>
    </row>
    <row r="201">
      <c r="A201" s="2" t="s">
        <v>5460</v>
      </c>
      <c r="B201" s="8" t="str">
        <f t="shared" si="1"/>
        <v>"Cheddar",</v>
      </c>
    </row>
    <row r="202">
      <c r="A202" s="2" t="s">
        <v>5461</v>
      </c>
      <c r="B202" s="8" t="str">
        <f t="shared" si="1"/>
        <v>"Yahoo Finance",</v>
      </c>
    </row>
    <row r="203">
      <c r="A203" s="2" t="s">
        <v>5462</v>
      </c>
      <c r="B203" s="8" t="str">
        <f t="shared" si="1"/>
        <v>"Ozy",</v>
      </c>
    </row>
    <row r="204">
      <c r="A204" s="2" t="s">
        <v>5463</v>
      </c>
      <c r="B204" s="8" t="str">
        <f t="shared" si="1"/>
        <v>"Daily Mail",</v>
      </c>
    </row>
    <row r="205">
      <c r="A205" s="2" t="s">
        <v>5464</v>
      </c>
      <c r="B205" s="8" t="str">
        <f t="shared" si="1"/>
        <v>"Mirror",</v>
      </c>
    </row>
    <row r="206">
      <c r="A206" s="2" t="s">
        <v>5465</v>
      </c>
      <c r="B206" s="8" t="str">
        <f t="shared" si="1"/>
        <v>"Sun",</v>
      </c>
    </row>
    <row r="207">
      <c r="A207" s="2" t="s">
        <v>5466</v>
      </c>
      <c r="B207" s="8" t="str">
        <f t="shared" si="1"/>
        <v>"USA Today",</v>
      </c>
    </row>
    <row r="208">
      <c r="A208" s="2" t="s">
        <v>5467</v>
      </c>
      <c r="B208" s="8" t="str">
        <f t="shared" si="1"/>
        <v>"Los Angeles Times",</v>
      </c>
    </row>
    <row r="209">
      <c r="A209" s="2" t="s">
        <v>5468</v>
      </c>
      <c r="B209" s="8" t="str">
        <f t="shared" si="1"/>
        <v>"Chicago Tribune",</v>
      </c>
    </row>
    <row r="210">
      <c r="A210" s="2" t="s">
        <v>5469</v>
      </c>
      <c r="B210" s="8" t="str">
        <f t="shared" si="1"/>
        <v>"Houston Chronicle",</v>
      </c>
    </row>
    <row r="211">
      <c r="A211" s="2" t="s">
        <v>5470</v>
      </c>
      <c r="B211" s="8" t="str">
        <f t="shared" si="1"/>
        <v>"Dallas Morning News",</v>
      </c>
    </row>
    <row r="212">
      <c r="A212" s="2" t="s">
        <v>5471</v>
      </c>
      <c r="B212" s="8" t="str">
        <f t="shared" si="1"/>
        <v>"Toronto Star",</v>
      </c>
    </row>
    <row r="213">
      <c r="A213" s="2" t="s">
        <v>5472</v>
      </c>
      <c r="B213" s="8" t="str">
        <f t="shared" si="1"/>
        <v>"Globe and Mail",</v>
      </c>
    </row>
    <row r="214">
      <c r="A214" s="2" t="s">
        <v>5473</v>
      </c>
      <c r="B214" s="8" t="str">
        <f t="shared" si="1"/>
        <v>"South China Morning Post",</v>
      </c>
    </row>
    <row r="215">
      <c r="A215" s="2" t="s">
        <v>5474</v>
      </c>
      <c r="B215" s="8" t="str">
        <f t="shared" si="1"/>
        <v>"Japan Times",</v>
      </c>
    </row>
    <row r="216">
      <c r="A216" s="2" t="s">
        <v>5475</v>
      </c>
      <c r="B216" s="8" t="str">
        <f t="shared" si="1"/>
        <v>"Straits Times",</v>
      </c>
    </row>
    <row r="217">
      <c r="A217" s="2" t="s">
        <v>5476</v>
      </c>
      <c r="B217" s="8" t="str">
        <f t="shared" si="1"/>
        <v>"India Today",</v>
      </c>
    </row>
    <row r="218">
      <c r="A218" s="2" t="s">
        <v>5477</v>
      </c>
      <c r="B218" s="8" t="str">
        <f t="shared" si="1"/>
        <v>"Hindustan Times",</v>
      </c>
    </row>
    <row r="219">
      <c r="A219" s="2" t="s">
        <v>5478</v>
      </c>
      <c r="B219" s="8" t="str">
        <f t="shared" si="1"/>
        <v>"Times of India",</v>
      </c>
    </row>
    <row r="220">
      <c r="A220" s="2" t="s">
        <v>5479</v>
      </c>
      <c r="B220" s="8" t="str">
        <f t="shared" si="1"/>
        <v>"The Hindu",</v>
      </c>
    </row>
    <row r="221">
      <c r="A221" s="2" t="s">
        <v>5480</v>
      </c>
      <c r="B221" s="8" t="str">
        <f t="shared" si="1"/>
        <v>"Media",</v>
      </c>
    </row>
    <row r="222">
      <c r="A222" s="2" t="s">
        <v>5481</v>
      </c>
      <c r="B222" s="8" t="str">
        <f t="shared" si="1"/>
        <v>"News",</v>
      </c>
    </row>
    <row r="223">
      <c r="A223" s="2" t="s">
        <v>5482</v>
      </c>
      <c r="B223" s="8" t="str">
        <f t="shared" si="1"/>
        <v>"Press",</v>
      </c>
    </row>
    <row r="224">
      <c r="A224" s="2" t="s">
        <v>5483</v>
      </c>
      <c r="B224" s="8" t="str">
        <f t="shared" si="1"/>
        <v>"Reporter",</v>
      </c>
    </row>
    <row r="225">
      <c r="A225" s="2" t="s">
        <v>5484</v>
      </c>
      <c r="B225" s="8" t="str">
        <f t="shared" si="1"/>
        <v>"Journalist",</v>
      </c>
    </row>
    <row r="226">
      <c r="A226" s="2" t="s">
        <v>5485</v>
      </c>
      <c r="B226" s="8" t="str">
        <f t="shared" si="1"/>
        <v>"Editor",</v>
      </c>
    </row>
    <row r="227">
      <c r="A227" s="2" t="s">
        <v>5486</v>
      </c>
      <c r="B227" s="8" t="str">
        <f t="shared" si="1"/>
        <v>"Anchor",</v>
      </c>
    </row>
    <row r="228">
      <c r="A228" s="2" t="s">
        <v>5487</v>
      </c>
      <c r="B228" s="8" t="str">
        <f t="shared" si="1"/>
        <v>"Correspondent",</v>
      </c>
    </row>
    <row r="229">
      <c r="A229" s="2" t="s">
        <v>5488</v>
      </c>
      <c r="B229" s="8" t="str">
        <f t="shared" si="1"/>
        <v>"Broadcaster",</v>
      </c>
    </row>
    <row r="230">
      <c r="A230" s="2" t="s">
        <v>5489</v>
      </c>
      <c r="B230" s="8" t="str">
        <f t="shared" si="1"/>
        <v>"Publisher",</v>
      </c>
    </row>
    <row r="231">
      <c r="A231" s="2" t="s">
        <v>5490</v>
      </c>
      <c r="B231" s="8" t="str">
        <f t="shared" si="1"/>
        <v>"Columnist",</v>
      </c>
    </row>
    <row r="232">
      <c r="A232" s="2" t="s">
        <v>5491</v>
      </c>
      <c r="B232" s="8" t="str">
        <f t="shared" si="1"/>
        <v>"Writer",</v>
      </c>
    </row>
    <row r="233">
      <c r="A233" s="2" t="s">
        <v>5492</v>
      </c>
      <c r="B233" s="8" t="str">
        <f t="shared" si="1"/>
        <v>"Blogger",</v>
      </c>
    </row>
    <row r="234">
      <c r="A234" s="2" t="s">
        <v>5493</v>
      </c>
      <c r="B234" s="8" t="str">
        <f t="shared" si="1"/>
        <v>"Vlogger",</v>
      </c>
    </row>
    <row r="235">
      <c r="A235" s="2" t="s">
        <v>5494</v>
      </c>
      <c r="B235" s="8" t="str">
        <f t="shared" si="1"/>
        <v>"Podcaster",</v>
      </c>
    </row>
    <row r="236">
      <c r="A236" s="2" t="s">
        <v>5495</v>
      </c>
      <c r="B236" s="8" t="str">
        <f t="shared" si="1"/>
        <v>"Host",</v>
      </c>
    </row>
    <row r="237">
      <c r="A237" s="2" t="s">
        <v>5496</v>
      </c>
      <c r="B237" s="8" t="str">
        <f t="shared" si="1"/>
        <v>"Presenter",</v>
      </c>
    </row>
    <row r="238">
      <c r="A238" s="2" t="s">
        <v>5497</v>
      </c>
      <c r="B238" s="8" t="str">
        <f t="shared" si="1"/>
        <v>"Commentator",</v>
      </c>
    </row>
    <row r="239">
      <c r="A239" s="2" t="s">
        <v>5498</v>
      </c>
      <c r="B239" s="8" t="str">
        <f t="shared" si="1"/>
        <v>"Analyst",</v>
      </c>
    </row>
    <row r="240">
      <c r="A240" s="2" t="s">
        <v>5499</v>
      </c>
      <c r="B240" s="8" t="str">
        <f t="shared" si="1"/>
        <v>"Critic",</v>
      </c>
    </row>
    <row r="241">
      <c r="A241" s="2" t="s">
        <v>5500</v>
      </c>
      <c r="B241" s="8" t="str">
        <f t="shared" si="1"/>
        <v>"Contributor",</v>
      </c>
    </row>
    <row r="242">
      <c r="A242" s="2" t="s">
        <v>5501</v>
      </c>
      <c r="B242" s="8" t="str">
        <f t="shared" si="1"/>
        <v>"Freelancer",</v>
      </c>
    </row>
    <row r="243">
      <c r="A243" s="2" t="s">
        <v>5502</v>
      </c>
      <c r="B243" s="8" t="str">
        <f t="shared" si="1"/>
        <v>"Staff writer",</v>
      </c>
    </row>
    <row r="244">
      <c r="A244" s="2" t="s">
        <v>5503</v>
      </c>
      <c r="B244" s="8" t="str">
        <f t="shared" si="1"/>
        <v>"Newsroom",</v>
      </c>
    </row>
    <row r="245">
      <c r="A245" s="2" t="s">
        <v>5504</v>
      </c>
      <c r="B245" s="8" t="str">
        <f t="shared" si="1"/>
        <v>"Editorial",</v>
      </c>
    </row>
    <row r="246">
      <c r="A246" s="2" t="s">
        <v>5505</v>
      </c>
      <c r="B246" s="8" t="str">
        <f t="shared" si="1"/>
        <v>"Headline",</v>
      </c>
    </row>
    <row r="247">
      <c r="A247" s="2" t="s">
        <v>5506</v>
      </c>
      <c r="B247" s="8" t="str">
        <f t="shared" si="1"/>
        <v>"Byline",</v>
      </c>
    </row>
    <row r="248">
      <c r="A248" s="2" t="s">
        <v>5507</v>
      </c>
      <c r="B248" s="8" t="str">
        <f t="shared" si="1"/>
        <v>"Article",</v>
      </c>
    </row>
    <row r="249">
      <c r="A249" s="2" t="s">
        <v>5508</v>
      </c>
      <c r="B249" s="8" t="str">
        <f t="shared" si="1"/>
        <v>"Story",</v>
      </c>
    </row>
    <row r="250">
      <c r="A250" s="2" t="s">
        <v>5509</v>
      </c>
      <c r="B250" s="8" t="str">
        <f t="shared" si="1"/>
        <v>"Feature",</v>
      </c>
    </row>
    <row r="251">
      <c r="A251" s="2" t="s">
        <v>5510</v>
      </c>
      <c r="B251" s="8" t="str">
        <f t="shared" si="1"/>
        <v>"Coverage",</v>
      </c>
    </row>
    <row r="252">
      <c r="A252" s="2" t="s">
        <v>5511</v>
      </c>
      <c r="B252" s="8" t="str">
        <f t="shared" si="1"/>
        <v>"Breaking news",</v>
      </c>
    </row>
    <row r="253">
      <c r="A253" s="2" t="s">
        <v>5512</v>
      </c>
      <c r="B253" s="8" t="str">
        <f t="shared" si="1"/>
        <v>"Investigative journalism",</v>
      </c>
    </row>
    <row r="254">
      <c r="A254" s="2" t="s">
        <v>5513</v>
      </c>
      <c r="B254" s="8" t="str">
        <f t="shared" si="1"/>
        <v>"Photojournalism",</v>
      </c>
    </row>
    <row r="255">
      <c r="A255" s="2" t="s">
        <v>5514</v>
      </c>
      <c r="B255" s="8" t="str">
        <f t="shared" si="1"/>
        <v>"Broadcast",</v>
      </c>
    </row>
    <row r="256">
      <c r="A256" s="2" t="s">
        <v>5515</v>
      </c>
      <c r="B256" s="8" t="str">
        <f t="shared" si="1"/>
        <v>"Television",</v>
      </c>
    </row>
    <row r="257">
      <c r="A257" s="2" t="s">
        <v>5516</v>
      </c>
      <c r="B257" s="8" t="str">
        <f t="shared" si="1"/>
        <v>"Radio",</v>
      </c>
    </row>
    <row r="258">
      <c r="A258" s="2" t="s">
        <v>5517</v>
      </c>
      <c r="B258" s="8" t="str">
        <f t="shared" si="1"/>
        <v>"Newspaper",</v>
      </c>
    </row>
    <row r="259">
      <c r="A259" s="2" t="s">
        <v>5518</v>
      </c>
      <c r="B259" s="8" t="str">
        <f t="shared" si="1"/>
        <v>"Magazine",</v>
      </c>
    </row>
    <row r="260">
      <c r="A260" s="2" t="s">
        <v>5519</v>
      </c>
      <c r="B260" s="8" t="str">
        <f t="shared" si="1"/>
        <v>"Tabloid",</v>
      </c>
    </row>
    <row r="261">
      <c r="A261" s="2" t="s">
        <v>5520</v>
      </c>
      <c r="B261" s="8" t="str">
        <f t="shared" si="1"/>
        <v>"Periodical",</v>
      </c>
    </row>
    <row r="262">
      <c r="A262" s="2" t="s">
        <v>5521</v>
      </c>
      <c r="B262" s="8" t="str">
        <f t="shared" si="1"/>
        <v>"Publication",</v>
      </c>
    </row>
    <row r="263">
      <c r="A263" s="2" t="s">
        <v>5522</v>
      </c>
      <c r="B263" s="8" t="str">
        <f t="shared" si="1"/>
        <v>"Outlet",</v>
      </c>
    </row>
    <row r="264">
      <c r="A264" s="2" t="s">
        <v>5523</v>
      </c>
      <c r="B264" s="8" t="str">
        <f t="shared" si="1"/>
        <v>"Network",</v>
      </c>
    </row>
    <row r="265">
      <c r="A265" s="2" t="s">
        <v>5524</v>
      </c>
      <c r="B265" s="8" t="str">
        <f t="shared" si="1"/>
        <v>"Channel",</v>
      </c>
    </row>
    <row r="266">
      <c r="A266" s="2" t="s">
        <v>5525</v>
      </c>
      <c r="B266" s="8" t="str">
        <f t="shared" si="1"/>
        <v>"Station",</v>
      </c>
    </row>
    <row r="267">
      <c r="A267" s="2" t="s">
        <v>5526</v>
      </c>
      <c r="B267" s="8" t="str">
        <f t="shared" si="1"/>
        <v>"Wire service",</v>
      </c>
    </row>
    <row r="268">
      <c r="A268" s="2" t="s">
        <v>5527</v>
      </c>
      <c r="B268" s="8" t="str">
        <f t="shared" si="1"/>
        <v>"Newswire",</v>
      </c>
    </row>
    <row r="269">
      <c r="A269" s="2" t="s">
        <v>5528</v>
      </c>
      <c r="B269" s="8" t="str">
        <f t="shared" si="1"/>
        <v>"Syndication",</v>
      </c>
    </row>
    <row r="270">
      <c r="A270" s="2" t="s">
        <v>5529</v>
      </c>
      <c r="B270" s="8" t="str">
        <f t="shared" si="1"/>
        <v>"Distribution",</v>
      </c>
    </row>
    <row r="271">
      <c r="A271" s="2" t="s">
        <v>5530</v>
      </c>
      <c r="B271" s="8" t="str">
        <f t="shared" si="1"/>
        <v>"Press release",</v>
      </c>
    </row>
    <row r="272">
      <c r="A272" s="2" t="s">
        <v>5531</v>
      </c>
      <c r="B272" s="8" t="str">
        <f t="shared" si="1"/>
        <v>"Press conference",</v>
      </c>
    </row>
    <row r="273">
      <c r="A273" s="2" t="s">
        <v>5532</v>
      </c>
      <c r="B273" s="8" t="str">
        <f t="shared" si="1"/>
        <v>"Interview",</v>
      </c>
    </row>
    <row r="274">
      <c r="A274" s="2" t="s">
        <v>5533</v>
      </c>
      <c r="B274" s="8" t="str">
        <f t="shared" si="1"/>
        <v>"Op-ed",</v>
      </c>
    </row>
    <row r="275">
      <c r="A275" s="2" t="s">
        <v>5534</v>
      </c>
      <c r="B275" s="8" t="str">
        <f t="shared" si="1"/>
        <v>"Opinion",</v>
      </c>
    </row>
    <row r="276">
      <c r="A276" s="2" t="s">
        <v>5535</v>
      </c>
      <c r="B276" s="8" t="str">
        <f t="shared" si="1"/>
        <v>"Editorial board",</v>
      </c>
    </row>
    <row r="277">
      <c r="A277" s="2" t="s">
        <v>5536</v>
      </c>
      <c r="B277" s="8" t="str">
        <f t="shared" si="1"/>
        <v>"Fact-check",</v>
      </c>
    </row>
    <row r="278">
      <c r="A278" s="2" t="s">
        <v>5537</v>
      </c>
      <c r="B278" s="8" t="str">
        <f t="shared" si="1"/>
        <v>"Verification",</v>
      </c>
    </row>
    <row r="279">
      <c r="A279" s="2" t="s">
        <v>5538</v>
      </c>
      <c r="B279" s="8" t="str">
        <f t="shared" si="1"/>
        <v>"Source",</v>
      </c>
    </row>
    <row r="280">
      <c r="A280" s="2" t="s">
        <v>5539</v>
      </c>
      <c r="B280" s="8" t="str">
        <f t="shared" si="1"/>
        <v>"Attribution",</v>
      </c>
    </row>
    <row r="281">
      <c r="A281" s="2" t="s">
        <v>5540</v>
      </c>
      <c r="B281" s="8" t="str">
        <f t="shared" si="1"/>
        <v>"Citation",</v>
      </c>
    </row>
    <row r="282">
      <c r="A282" s="2" t="s">
        <v>5541</v>
      </c>
      <c r="B282" s="8" t="str">
        <f t="shared" si="1"/>
        <v>"Quote",</v>
      </c>
    </row>
    <row r="283">
      <c r="A283" s="2" t="s">
        <v>5542</v>
      </c>
      <c r="B283" s="8" t="str">
        <f t="shared" si="1"/>
        <v>"Statement",</v>
      </c>
    </row>
    <row r="284">
      <c r="A284" s="2" t="s">
        <v>5543</v>
      </c>
      <c r="B284" s="8" t="str">
        <f t="shared" si="1"/>
        <v>"Transcript",</v>
      </c>
    </row>
    <row r="285">
      <c r="A285" s="2" t="s">
        <v>5544</v>
      </c>
      <c r="B285" s="8" t="str">
        <f t="shared" si="1"/>
        <v>"Footage",</v>
      </c>
    </row>
    <row r="286">
      <c r="A286" s="2" t="s">
        <v>5545</v>
      </c>
      <c r="B286" s="8" t="str">
        <f t="shared" si="1"/>
        <v>"Clip",</v>
      </c>
    </row>
    <row r="287">
      <c r="A287" s="2" t="s">
        <v>5546</v>
      </c>
      <c r="B287" s="8" t="str">
        <f t="shared" si="1"/>
        <v>"Segment",</v>
      </c>
    </row>
    <row r="288">
      <c r="A288" s="2" t="s">
        <v>5547</v>
      </c>
      <c r="B288" s="8" t="str">
        <f t="shared" si="1"/>
        <v>"Program",</v>
      </c>
    </row>
    <row r="289">
      <c r="A289" s="2" t="s">
        <v>5548</v>
      </c>
      <c r="B289" s="8" t="str">
        <f t="shared" si="1"/>
        <v>"Show",</v>
      </c>
    </row>
    <row r="290">
      <c r="A290" s="2" t="s">
        <v>5549</v>
      </c>
      <c r="B290" s="8" t="str">
        <f t="shared" si="1"/>
        <v>"Series",</v>
      </c>
    </row>
    <row r="291">
      <c r="A291" s="2" t="s">
        <v>5550</v>
      </c>
      <c r="B291" s="8" t="str">
        <f t="shared" si="1"/>
        <v>"Documentary",</v>
      </c>
    </row>
    <row r="292">
      <c r="A292" s="2" t="s">
        <v>5551</v>
      </c>
      <c r="B292" s="8" t="str">
        <f t="shared" si="1"/>
        <v>"Podcast",</v>
      </c>
    </row>
    <row r="293">
      <c r="A293" s="2" t="s">
        <v>5552</v>
      </c>
      <c r="B293" s="8" t="str">
        <f t="shared" si="1"/>
        <v>"Livestream",</v>
      </c>
    </row>
    <row r="294">
      <c r="A294" s="2" t="s">
        <v>5553</v>
      </c>
      <c r="B294" s="8" t="str">
        <f t="shared" si="1"/>
        <v>"Streaming",</v>
      </c>
    </row>
    <row r="295">
      <c r="A295" s="2" t="s">
        <v>5554</v>
      </c>
      <c r="B295" s="8" t="str">
        <f t="shared" si="1"/>
        <v>"Platform",</v>
      </c>
    </row>
    <row r="296">
      <c r="A296" s="2" t="s">
        <v>5555</v>
      </c>
      <c r="B296" s="8" t="str">
        <f t="shared" si="1"/>
        <v>"Portal",</v>
      </c>
    </row>
    <row r="297">
      <c r="A297" s="2" t="s">
        <v>5556</v>
      </c>
      <c r="B297" s="8" t="str">
        <f t="shared" si="1"/>
        <v>"Website",</v>
      </c>
    </row>
    <row r="298">
      <c r="A298" s="2" t="s">
        <v>5557</v>
      </c>
      <c r="B298" s="8" t="str">
        <f t="shared" si="1"/>
        <v>"Blog",</v>
      </c>
    </row>
    <row r="299">
      <c r="A299" s="2" t="s">
        <v>5558</v>
      </c>
      <c r="B299" s="8" t="str">
        <f t="shared" si="1"/>
        <v>"Newsletter",</v>
      </c>
    </row>
    <row r="300">
      <c r="A300" s="2" t="s">
        <v>5559</v>
      </c>
      <c r="B300" s="8" t="str">
        <f t="shared" si="1"/>
        <v>"Substack",</v>
      </c>
    </row>
    <row r="301">
      <c r="A301" s="2" t="s">
        <v>5560</v>
      </c>
      <c r="B301" s="8" t="str">
        <f t="shared" si="1"/>
        <v>"Forum",</v>
      </c>
    </row>
    <row r="302">
      <c r="A302" s="2" t="s">
        <v>5561</v>
      </c>
      <c r="B302" s="8" t="str">
        <f t="shared" si="1"/>
        <v>"Community",</v>
      </c>
    </row>
    <row r="303">
      <c r="A303" s="2" t="s">
        <v>5562</v>
      </c>
      <c r="B303" s="8" t="str">
        <f t="shared" si="1"/>
        <v>"Social media",</v>
      </c>
    </row>
    <row r="304">
      <c r="A304" s="2" t="s">
        <v>5563</v>
      </c>
      <c r="B304" s="8" t="str">
        <f t="shared" si="1"/>
        <v>"Influencer",</v>
      </c>
    </row>
    <row r="305">
      <c r="A305" s="2" t="s">
        <v>5564</v>
      </c>
      <c r="B305" s="8" t="str">
        <f t="shared" si="1"/>
        <v>"Creator",</v>
      </c>
    </row>
    <row r="306">
      <c r="A306" s="2" t="s">
        <v>5565</v>
      </c>
      <c r="B306" s="8" t="str">
        <f t="shared" si="1"/>
        <v>"Content",</v>
      </c>
    </row>
    <row r="307">
      <c r="A307" s="2" t="s">
        <v>5566</v>
      </c>
      <c r="B307" s="8" t="str">
        <f t="shared" si="1"/>
        <v>"Post",</v>
      </c>
    </row>
    <row r="308">
      <c r="A308" s="2" t="s">
        <v>5567</v>
      </c>
      <c r="B308" s="8" t="str">
        <f t="shared" si="1"/>
        <v>"Reel",</v>
      </c>
    </row>
    <row r="309">
      <c r="A309" s="2" t="s">
        <v>5568</v>
      </c>
      <c r="B309" s="8" t="str">
        <f t="shared" si="1"/>
        <v>"TikTok",</v>
      </c>
    </row>
    <row r="310">
      <c r="A310" s="2" t="s">
        <v>5569</v>
      </c>
      <c r="B310" s="8" t="str">
        <f t="shared" si="1"/>
        <v>"YouTube",</v>
      </c>
    </row>
    <row r="311">
      <c r="A311" s="2" t="s">
        <v>5570</v>
      </c>
      <c r="B311" s="8" t="str">
        <f t="shared" si="1"/>
        <v>"Algorithm",</v>
      </c>
    </row>
    <row r="312">
      <c r="A312" s="2" t="s">
        <v>5571</v>
      </c>
      <c r="B312" s="8" t="str">
        <f t="shared" si="1"/>
        <v>"Engagement",</v>
      </c>
    </row>
    <row r="313">
      <c r="A313" s="2" t="s">
        <v>5572</v>
      </c>
      <c r="B313" s="8" t="str">
        <f t="shared" si="1"/>
        <v>"Audience",</v>
      </c>
    </row>
    <row r="314">
      <c r="A314" s="2" t="s">
        <v>5573</v>
      </c>
      <c r="B314" s="8" t="str">
        <f t="shared" si="1"/>
        <v>"Viewership",</v>
      </c>
    </row>
    <row r="315">
      <c r="A315" s="2" t="s">
        <v>5574</v>
      </c>
      <c r="B315" s="8" t="str">
        <f t="shared" si="1"/>
        <v>"Readership",</v>
      </c>
    </row>
    <row r="316">
      <c r="A316" s="2" t="s">
        <v>5575</v>
      </c>
      <c r="B316" s="8" t="str">
        <f t="shared" si="1"/>
        <v>"Circulation",</v>
      </c>
    </row>
    <row r="317">
      <c r="A317" s="2" t="s">
        <v>5576</v>
      </c>
      <c r="B317" s="8" t="str">
        <f t="shared" si="1"/>
        <v>"Reach",</v>
      </c>
    </row>
    <row r="318">
      <c r="A318" s="2" t="s">
        <v>5577</v>
      </c>
      <c r="B318" s="8" t="str">
        <f t="shared" si="1"/>
        <v>"Virality",</v>
      </c>
    </row>
    <row r="319">
      <c r="A319" s="2" t="s">
        <v>5578</v>
      </c>
      <c r="B319" s="8" t="str">
        <f t="shared" si="1"/>
        <v>"Trending",</v>
      </c>
    </row>
    <row r="320">
      <c r="A320" s="2" t="s">
        <v>5579</v>
      </c>
      <c r="B320" s="8" t="str">
        <f t="shared" si="1"/>
        <v>"Hashtag",</v>
      </c>
    </row>
    <row r="321">
      <c r="A321" s="2" t="s">
        <v>5580</v>
      </c>
      <c r="B321" s="8" t="str">
        <f t="shared" si="1"/>
        <v>"Breaking",</v>
      </c>
    </row>
    <row r="322">
      <c r="A322" s="2" t="s">
        <v>5581</v>
      </c>
      <c r="B322" s="8" t="str">
        <f t="shared" si="1"/>
        <v>"Exclusive",</v>
      </c>
    </row>
    <row r="323">
      <c r="A323" s="2" t="s">
        <v>5582</v>
      </c>
      <c r="B323" s="8" t="str">
        <f t="shared" si="1"/>
        <v>"Headline maker",</v>
      </c>
    </row>
    <row r="324">
      <c r="A324" s="2" t="s">
        <v>5583</v>
      </c>
      <c r="B324" s="8" t="str">
        <f t="shared" si="1"/>
        <v>"Clickbait",</v>
      </c>
    </row>
    <row r="325">
      <c r="A325" s="2" t="s">
        <v>5584</v>
      </c>
      <c r="B325" s="8" t="str">
        <f t="shared" si="1"/>
        <v>"Coverage area",</v>
      </c>
    </row>
    <row r="326">
      <c r="A326" s="2" t="s">
        <v>5585</v>
      </c>
      <c r="B326" s="8" t="str">
        <f t="shared" si="1"/>
        <v>"Mass media",</v>
      </c>
    </row>
    <row r="327">
      <c r="A327" s="2" t="s">
        <v>5586</v>
      </c>
      <c r="B327" s="8" t="str">
        <f t="shared" si="1"/>
        <v>"Mainstream media",</v>
      </c>
    </row>
    <row r="328">
      <c r="A328" s="2" t="s">
        <v>5587</v>
      </c>
      <c r="B328" s="8" t="str">
        <f t="shared" si="1"/>
        <v>"Alternative media",</v>
      </c>
    </row>
    <row r="329">
      <c r="A329" s="2" t="s">
        <v>5588</v>
      </c>
      <c r="B329" s="8" t="str">
        <f t="shared" si="1"/>
        <v>"Independent media",</v>
      </c>
    </row>
    <row r="330">
      <c r="A330" s="2" t="s">
        <v>5589</v>
      </c>
      <c r="B330" s="8" t="str">
        <f t="shared" si="1"/>
        <v>"Citizen journalism",</v>
      </c>
    </row>
  </sheetData>
  <hyperlinks>
    <hyperlink r:id="rId1" ref="A160"/>
    <hyperlink r:id="rId2" ref="A169"/>
  </hyperlin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5590</v>
      </c>
      <c r="B2" s="8" t="str">
        <f t="shared" ref="B2:B306" si="1">CONCATENATE("""", A2, """,")</f>
        <v>"Michael",</v>
      </c>
    </row>
    <row r="3">
      <c r="A3" s="2" t="s">
        <v>5591</v>
      </c>
      <c r="B3" s="8" t="str">
        <f t="shared" si="1"/>
        <v>"Christopher",</v>
      </c>
    </row>
    <row r="4">
      <c r="A4" s="2" t="s">
        <v>5592</v>
      </c>
      <c r="B4" s="8" t="str">
        <f t="shared" si="1"/>
        <v>"Matthew",</v>
      </c>
    </row>
    <row r="5">
      <c r="A5" s="2" t="s">
        <v>5593</v>
      </c>
      <c r="B5" s="8" t="str">
        <f t="shared" si="1"/>
        <v>"Joshua",</v>
      </c>
    </row>
    <row r="6">
      <c r="A6" s="2" t="s">
        <v>5594</v>
      </c>
      <c r="B6" s="8" t="str">
        <f t="shared" si="1"/>
        <v>"Jacob",</v>
      </c>
    </row>
    <row r="7">
      <c r="A7" s="2" t="s">
        <v>5595</v>
      </c>
      <c r="B7" s="8" t="str">
        <f t="shared" si="1"/>
        <v>"Nicholas",</v>
      </c>
    </row>
    <row r="8">
      <c r="A8" s="2" t="s">
        <v>5596</v>
      </c>
      <c r="B8" s="8" t="str">
        <f t="shared" si="1"/>
        <v>"Andrew",</v>
      </c>
    </row>
    <row r="9">
      <c r="A9" s="2" t="s">
        <v>5597</v>
      </c>
      <c r="B9" s="8" t="str">
        <f t="shared" si="1"/>
        <v>"Daniel",</v>
      </c>
    </row>
    <row r="10">
      <c r="A10" s="2" t="s">
        <v>5598</v>
      </c>
      <c r="B10" s="8" t="str">
        <f t="shared" si="1"/>
        <v>"Tyler",</v>
      </c>
    </row>
    <row r="11">
      <c r="A11" s="2" t="s">
        <v>5599</v>
      </c>
      <c r="B11" s="8" t="str">
        <f t="shared" si="1"/>
        <v>"Joseph",</v>
      </c>
    </row>
    <row r="12">
      <c r="A12" s="2" t="s">
        <v>5600</v>
      </c>
      <c r="B12" s="8" t="str">
        <f t="shared" si="1"/>
        <v>"Brandon",</v>
      </c>
    </row>
    <row r="13">
      <c r="A13" s="2" t="s">
        <v>5601</v>
      </c>
      <c r="B13" s="8" t="str">
        <f t="shared" si="1"/>
        <v>"Justin",</v>
      </c>
    </row>
    <row r="14">
      <c r="A14" s="2" t="s">
        <v>5602</v>
      </c>
      <c r="B14" s="8" t="str">
        <f t="shared" si="1"/>
        <v>"Ryan",</v>
      </c>
    </row>
    <row r="15">
      <c r="A15" s="2" t="s">
        <v>5603</v>
      </c>
      <c r="B15" s="8" t="str">
        <f t="shared" si="1"/>
        <v>"Zachary",</v>
      </c>
    </row>
    <row r="16">
      <c r="A16" s="2" t="s">
        <v>5604</v>
      </c>
      <c r="B16" s="8" t="str">
        <f t="shared" si="1"/>
        <v>"Austin",</v>
      </c>
    </row>
    <row r="17">
      <c r="A17" s="2" t="s">
        <v>5605</v>
      </c>
      <c r="B17" s="8" t="str">
        <f t="shared" si="1"/>
        <v>"Anthony",</v>
      </c>
    </row>
    <row r="18">
      <c r="A18" s="2" t="s">
        <v>5606</v>
      </c>
      <c r="B18" s="8" t="str">
        <f t="shared" si="1"/>
        <v>"Kevin",</v>
      </c>
    </row>
    <row r="19">
      <c r="A19" s="2" t="s">
        <v>5607</v>
      </c>
      <c r="B19" s="8" t="str">
        <f t="shared" si="1"/>
        <v>"Kyle",</v>
      </c>
    </row>
    <row r="20">
      <c r="A20" s="2" t="s">
        <v>5608</v>
      </c>
      <c r="B20" s="8" t="str">
        <f t="shared" si="1"/>
        <v>"Eric",</v>
      </c>
    </row>
    <row r="21">
      <c r="A21" s="2" t="s">
        <v>5609</v>
      </c>
      <c r="B21" s="8" t="str">
        <f t="shared" si="1"/>
        <v>"Thomas",</v>
      </c>
    </row>
    <row r="22">
      <c r="A22" s="2" t="s">
        <v>5610</v>
      </c>
      <c r="B22" s="8" t="str">
        <f t="shared" si="1"/>
        <v>"Alexander",</v>
      </c>
    </row>
    <row r="23">
      <c r="A23" s="2" t="s">
        <v>5611</v>
      </c>
      <c r="B23" s="8" t="str">
        <f t="shared" si="1"/>
        <v>"David",</v>
      </c>
    </row>
    <row r="24">
      <c r="A24" s="2" t="s">
        <v>5612</v>
      </c>
      <c r="B24" s="8" t="str">
        <f t="shared" si="1"/>
        <v>"James",</v>
      </c>
    </row>
    <row r="25">
      <c r="A25" s="2" t="s">
        <v>5613</v>
      </c>
      <c r="B25" s="8" t="str">
        <f t="shared" si="1"/>
        <v>"John",</v>
      </c>
    </row>
    <row r="26">
      <c r="A26" s="2" t="s">
        <v>5614</v>
      </c>
      <c r="B26" s="8" t="str">
        <f t="shared" si="1"/>
        <v>"William",</v>
      </c>
    </row>
    <row r="27">
      <c r="A27" s="2" t="s">
        <v>5615</v>
      </c>
      <c r="B27" s="8" t="str">
        <f t="shared" si="1"/>
        <v>"Jonathan",</v>
      </c>
    </row>
    <row r="28">
      <c r="A28" s="2" t="s">
        <v>5616</v>
      </c>
      <c r="B28" s="8" t="str">
        <f t="shared" si="1"/>
        <v>"Robert",</v>
      </c>
    </row>
    <row r="29">
      <c r="A29" s="2" t="s">
        <v>5617</v>
      </c>
      <c r="B29" s="8" t="str">
        <f t="shared" si="1"/>
        <v>"Benjamin",</v>
      </c>
    </row>
    <row r="30">
      <c r="A30" s="2" t="s">
        <v>5618</v>
      </c>
      <c r="B30" s="8" t="str">
        <f t="shared" si="1"/>
        <v>"Samuel",</v>
      </c>
    </row>
    <row r="31">
      <c r="A31" s="2" t="s">
        <v>5619</v>
      </c>
      <c r="B31" s="8" t="str">
        <f t="shared" si="1"/>
        <v>"Nathan",</v>
      </c>
    </row>
    <row r="32">
      <c r="A32" s="2" t="s">
        <v>5620</v>
      </c>
      <c r="B32" s="8" t="str">
        <f t="shared" si="1"/>
        <v>"Christian",</v>
      </c>
    </row>
    <row r="33">
      <c r="A33" s="2" t="s">
        <v>5621</v>
      </c>
      <c r="B33" s="8" t="str">
        <f t="shared" si="1"/>
        <v>"Dylan",</v>
      </c>
    </row>
    <row r="34">
      <c r="A34" s="2" t="s">
        <v>5622</v>
      </c>
      <c r="B34" s="8" t="str">
        <f t="shared" si="1"/>
        <v>"Logan",</v>
      </c>
    </row>
    <row r="35">
      <c r="A35" s="2" t="s">
        <v>5623</v>
      </c>
      <c r="B35" s="8" t="str">
        <f t="shared" si="1"/>
        <v>"Jason",</v>
      </c>
    </row>
    <row r="36">
      <c r="A36" s="2" t="s">
        <v>5624</v>
      </c>
      <c r="B36" s="8" t="str">
        <f t="shared" si="1"/>
        <v>"Cameron",</v>
      </c>
    </row>
    <row r="37">
      <c r="A37" s="2" t="s">
        <v>5625</v>
      </c>
      <c r="B37" s="8" t="str">
        <f t="shared" si="1"/>
        <v>"Aaron",</v>
      </c>
    </row>
    <row r="38">
      <c r="A38" s="2" t="s">
        <v>5626</v>
      </c>
      <c r="B38" s="8" t="str">
        <f t="shared" si="1"/>
        <v>"Jordan",</v>
      </c>
    </row>
    <row r="39">
      <c r="A39" s="2" t="s">
        <v>5627</v>
      </c>
      <c r="B39" s="8" t="str">
        <f t="shared" si="1"/>
        <v>"Adam",</v>
      </c>
    </row>
    <row r="40">
      <c r="A40" s="2" t="s">
        <v>5628</v>
      </c>
      <c r="B40" s="8" t="str">
        <f t="shared" si="1"/>
        <v>"Patrick",</v>
      </c>
    </row>
    <row r="41">
      <c r="A41" s="2" t="s">
        <v>5629</v>
      </c>
      <c r="B41" s="8" t="str">
        <f t="shared" si="1"/>
        <v>"Sean",</v>
      </c>
    </row>
    <row r="42">
      <c r="A42" s="2" t="s">
        <v>5630</v>
      </c>
      <c r="B42" s="8" t="str">
        <f t="shared" si="1"/>
        <v>"Connor",</v>
      </c>
    </row>
    <row r="43">
      <c r="A43" s="2" t="s">
        <v>5631</v>
      </c>
      <c r="B43" s="8" t="str">
        <f t="shared" si="1"/>
        <v>"Ethan",</v>
      </c>
    </row>
    <row r="44">
      <c r="A44" s="2" t="s">
        <v>5632</v>
      </c>
      <c r="B44" s="8" t="str">
        <f t="shared" si="1"/>
        <v>"Noah",</v>
      </c>
    </row>
    <row r="45">
      <c r="A45" s="2" t="s">
        <v>5633</v>
      </c>
      <c r="B45" s="8" t="str">
        <f t="shared" si="1"/>
        <v>"Gabriel",</v>
      </c>
    </row>
    <row r="46">
      <c r="A46" s="2" t="s">
        <v>5634</v>
      </c>
      <c r="B46" s="8" t="str">
        <f t="shared" si="1"/>
        <v>"Hunter",</v>
      </c>
    </row>
    <row r="47">
      <c r="A47" s="2" t="s">
        <v>5635</v>
      </c>
      <c r="B47" s="8" t="str">
        <f t="shared" si="1"/>
        <v>"Luis",</v>
      </c>
    </row>
    <row r="48">
      <c r="A48" s="2" t="s">
        <v>5636</v>
      </c>
      <c r="B48" s="8" t="str">
        <f t="shared" si="1"/>
        <v>"Carlos",</v>
      </c>
    </row>
    <row r="49">
      <c r="A49" s="2" t="s">
        <v>5637</v>
      </c>
      <c r="B49" s="8" t="str">
        <f t="shared" si="1"/>
        <v>"Jose",</v>
      </c>
    </row>
    <row r="50">
      <c r="A50" s="2" t="s">
        <v>5638</v>
      </c>
      <c r="B50" s="8" t="str">
        <f t="shared" si="1"/>
        <v>"Juan",</v>
      </c>
    </row>
    <row r="51">
      <c r="A51" s="2" t="s">
        <v>5639</v>
      </c>
      <c r="B51" s="8" t="str">
        <f t="shared" si="1"/>
        <v>"Alejandro",</v>
      </c>
    </row>
    <row r="52">
      <c r="A52" s="2" t="s">
        <v>5640</v>
      </c>
      <c r="B52" s="8" t="str">
        <f t="shared" si="1"/>
        <v>"Omar",</v>
      </c>
    </row>
    <row r="53">
      <c r="A53" s="2" t="s">
        <v>5641</v>
      </c>
      <c r="B53" s="8" t="str">
        <f t="shared" si="1"/>
        <v>"Hannah",</v>
      </c>
    </row>
    <row r="54">
      <c r="A54" s="2" t="s">
        <v>5642</v>
      </c>
      <c r="B54" s="8" t="str">
        <f t="shared" si="1"/>
        <v>"Jessica",</v>
      </c>
    </row>
    <row r="55">
      <c r="A55" s="2" t="s">
        <v>5643</v>
      </c>
      <c r="B55" s="8" t="str">
        <f t="shared" si="1"/>
        <v>"Ashley",</v>
      </c>
    </row>
    <row r="56">
      <c r="A56" s="2" t="s">
        <v>5644</v>
      </c>
      <c r="B56" s="8" t="str">
        <f t="shared" si="1"/>
        <v>"Emily",</v>
      </c>
    </row>
    <row r="57">
      <c r="A57" s="2" t="s">
        <v>5645</v>
      </c>
      <c r="B57" s="8" t="str">
        <f t="shared" si="1"/>
        <v>"Sarah",</v>
      </c>
    </row>
    <row r="58">
      <c r="A58" s="2" t="s">
        <v>5646</v>
      </c>
      <c r="B58" s="8" t="str">
        <f t="shared" si="1"/>
        <v>"Samantha",</v>
      </c>
    </row>
    <row r="59">
      <c r="A59" s="2" t="s">
        <v>5647</v>
      </c>
      <c r="B59" s="8" t="str">
        <f t="shared" si="1"/>
        <v>"Amanda",</v>
      </c>
    </row>
    <row r="60">
      <c r="A60" s="2" t="s">
        <v>5648</v>
      </c>
      <c r="B60" s="8" t="str">
        <f t="shared" si="1"/>
        <v>"Brittany",</v>
      </c>
    </row>
    <row r="61">
      <c r="A61" s="2" t="s">
        <v>5649</v>
      </c>
      <c r="B61" s="8" t="str">
        <f t="shared" si="1"/>
        <v>"Taylor",</v>
      </c>
    </row>
    <row r="62">
      <c r="A62" s="2" t="s">
        <v>5650</v>
      </c>
      <c r="B62" s="8" t="str">
        <f t="shared" si="1"/>
        <v>"Megan",</v>
      </c>
    </row>
    <row r="63">
      <c r="A63" s="2" t="s">
        <v>5651</v>
      </c>
      <c r="B63" s="8" t="str">
        <f t="shared" si="1"/>
        <v>"Lauren",</v>
      </c>
    </row>
    <row r="64">
      <c r="A64" s="2" t="s">
        <v>5652</v>
      </c>
      <c r="B64" s="8" t="str">
        <f t="shared" si="1"/>
        <v>"Kayla",</v>
      </c>
    </row>
    <row r="65">
      <c r="A65" s="2" t="s">
        <v>5653</v>
      </c>
      <c r="B65" s="8" t="str">
        <f t="shared" si="1"/>
        <v>"Rachel",</v>
      </c>
    </row>
    <row r="66">
      <c r="A66" s="2" t="s">
        <v>5654</v>
      </c>
      <c r="B66" s="8" t="str">
        <f t="shared" si="1"/>
        <v>"Nicole",</v>
      </c>
    </row>
    <row r="67">
      <c r="A67" s="2" t="s">
        <v>5655</v>
      </c>
      <c r="B67" s="8" t="str">
        <f t="shared" si="1"/>
        <v>"Amber",</v>
      </c>
    </row>
    <row r="68">
      <c r="A68" s="2" t="s">
        <v>5656</v>
      </c>
      <c r="B68" s="8" t="str">
        <f t="shared" si="1"/>
        <v>"Courtney",</v>
      </c>
    </row>
    <row r="69">
      <c r="A69" s="2" t="s">
        <v>5657</v>
      </c>
      <c r="B69" s="8" t="str">
        <f t="shared" si="1"/>
        <v>"Victoria",</v>
      </c>
    </row>
    <row r="70">
      <c r="A70" s="2" t="s">
        <v>5658</v>
      </c>
      <c r="B70" s="8" t="str">
        <f t="shared" si="1"/>
        <v>"Natalie",</v>
      </c>
    </row>
    <row r="71">
      <c r="A71" s="2" t="s">
        <v>5659</v>
      </c>
      <c r="B71" s="8" t="str">
        <f t="shared" si="1"/>
        <v>"Olivia",</v>
      </c>
    </row>
    <row r="72">
      <c r="A72" s="2" t="s">
        <v>5660</v>
      </c>
      <c r="B72" s="8" t="str">
        <f t="shared" si="1"/>
        <v>"Sophia",</v>
      </c>
    </row>
    <row r="73">
      <c r="A73" s="2" t="s">
        <v>5661</v>
      </c>
      <c r="B73" s="8" t="str">
        <f t="shared" si="1"/>
        <v>"Isabella",</v>
      </c>
    </row>
    <row r="74">
      <c r="A74" s="2" t="s">
        <v>5662</v>
      </c>
      <c r="B74" s="8" t="str">
        <f t="shared" si="1"/>
        <v>"Alexis",</v>
      </c>
    </row>
    <row r="75">
      <c r="A75" s="2" t="s">
        <v>5663</v>
      </c>
      <c r="B75" s="8" t="str">
        <f t="shared" si="1"/>
        <v>"Alyssa",</v>
      </c>
    </row>
    <row r="76">
      <c r="A76" s="2" t="s">
        <v>5664</v>
      </c>
      <c r="B76" s="8" t="str">
        <f t="shared" si="1"/>
        <v>"Danielle",</v>
      </c>
    </row>
    <row r="77">
      <c r="A77" s="2" t="s">
        <v>5665</v>
      </c>
      <c r="B77" s="8" t="str">
        <f t="shared" si="1"/>
        <v>"Brianna",</v>
      </c>
    </row>
    <row r="78">
      <c r="A78" s="2" t="s">
        <v>5666</v>
      </c>
      <c r="B78" s="8" t="str">
        <f t="shared" si="1"/>
        <v>"Jasmine",</v>
      </c>
    </row>
    <row r="79">
      <c r="A79" s="2" t="s">
        <v>5667</v>
      </c>
      <c r="B79" s="8" t="str">
        <f t="shared" si="1"/>
        <v>"Katherine",</v>
      </c>
    </row>
    <row r="80">
      <c r="A80" s="2" t="s">
        <v>5668</v>
      </c>
      <c r="B80" s="8" t="str">
        <f t="shared" si="1"/>
        <v>"Morgan",</v>
      </c>
    </row>
    <row r="81">
      <c r="A81" s="2" t="s">
        <v>5669</v>
      </c>
      <c r="B81" s="8" t="str">
        <f t="shared" si="1"/>
        <v>"Erin",</v>
      </c>
    </row>
    <row r="82">
      <c r="A82" s="2" t="s">
        <v>5670</v>
      </c>
      <c r="B82" s="8" t="str">
        <f t="shared" si="1"/>
        <v>"Brooke",</v>
      </c>
    </row>
    <row r="83">
      <c r="A83" s="2" t="s">
        <v>5671</v>
      </c>
      <c r="B83" s="8" t="str">
        <f t="shared" si="1"/>
        <v>"Haley",</v>
      </c>
    </row>
    <row r="84">
      <c r="A84" s="2" t="s">
        <v>5672</v>
      </c>
      <c r="B84" s="8" t="str">
        <f t="shared" si="1"/>
        <v>"Madison",</v>
      </c>
    </row>
    <row r="85">
      <c r="A85" s="2" t="s">
        <v>5673</v>
      </c>
      <c r="B85" s="8" t="str">
        <f t="shared" si="1"/>
        <v>"Abigail",</v>
      </c>
    </row>
    <row r="86">
      <c r="A86" s="2" t="s">
        <v>5674</v>
      </c>
      <c r="B86" s="8" t="str">
        <f t="shared" si="1"/>
        <v>"Chloe",</v>
      </c>
    </row>
    <row r="87">
      <c r="A87" s="2" t="s">
        <v>5675</v>
      </c>
      <c r="B87" s="8" t="str">
        <f t="shared" si="1"/>
        <v>"Destiny",</v>
      </c>
    </row>
    <row r="88">
      <c r="A88" s="2" t="s">
        <v>5676</v>
      </c>
      <c r="B88" s="8" t="str">
        <f t="shared" si="1"/>
        <v>"Gabriella",</v>
      </c>
    </row>
    <row r="89">
      <c r="A89" s="2" t="s">
        <v>5677</v>
      </c>
      <c r="B89" s="8" t="str">
        <f t="shared" si="1"/>
        <v>"Maria",</v>
      </c>
    </row>
    <row r="90">
      <c r="A90" s="2" t="s">
        <v>5678</v>
      </c>
      <c r="B90" s="8" t="str">
        <f t="shared" si="1"/>
        <v>"Stephanie",</v>
      </c>
    </row>
    <row r="91">
      <c r="A91" s="2" t="s">
        <v>5679</v>
      </c>
      <c r="B91" s="8" t="str">
        <f t="shared" si="1"/>
        <v>"Christina",</v>
      </c>
    </row>
    <row r="92">
      <c r="A92" s="2" t="s">
        <v>5680</v>
      </c>
      <c r="B92" s="8" t="str">
        <f t="shared" si="1"/>
        <v>"Melissa",</v>
      </c>
    </row>
    <row r="93">
      <c r="A93" s="2" t="s">
        <v>5681</v>
      </c>
      <c r="B93" s="8" t="str">
        <f t="shared" si="1"/>
        <v>"Michelle",</v>
      </c>
    </row>
    <row r="94">
      <c r="A94" s="2" t="s">
        <v>5682</v>
      </c>
      <c r="B94" s="8" t="str">
        <f t="shared" si="1"/>
        <v>"Allison",</v>
      </c>
    </row>
    <row r="95">
      <c r="A95" s="2" t="s">
        <v>5683</v>
      </c>
      <c r="B95" s="8" t="str">
        <f t="shared" si="1"/>
        <v>"Kimberly",</v>
      </c>
    </row>
    <row r="96">
      <c r="A96" s="2" t="s">
        <v>5684</v>
      </c>
      <c r="B96" s="8" t="str">
        <f t="shared" si="1"/>
        <v>"Rebecca",</v>
      </c>
    </row>
    <row r="97">
      <c r="A97" s="2" t="s">
        <v>5685</v>
      </c>
      <c r="B97" s="8" t="str">
        <f t="shared" si="1"/>
        <v>"Kaitlyn",</v>
      </c>
    </row>
    <row r="98">
      <c r="A98" s="2" t="s">
        <v>5686</v>
      </c>
      <c r="B98" s="8" t="str">
        <f t="shared" si="1"/>
        <v>"Savannah",</v>
      </c>
    </row>
    <row r="99">
      <c r="A99" s="2" t="s">
        <v>5687</v>
      </c>
      <c r="B99" s="8" t="str">
        <f t="shared" si="1"/>
        <v>"Sierra",</v>
      </c>
    </row>
    <row r="100">
      <c r="A100" s="2" t="s">
        <v>5688</v>
      </c>
      <c r="B100" s="8" t="str">
        <f t="shared" si="1"/>
        <v>"Sydney",</v>
      </c>
    </row>
    <row r="101">
      <c r="A101" s="2" t="s">
        <v>5689</v>
      </c>
      <c r="B101" s="8" t="str">
        <f t="shared" si="1"/>
        <v>"Vanessa",</v>
      </c>
    </row>
    <row r="102">
      <c r="A102" s="2" t="s">
        <v>5690</v>
      </c>
      <c r="B102" s="8" t="str">
        <f t="shared" si="1"/>
        <v>"Brendan",</v>
      </c>
    </row>
    <row r="103">
      <c r="A103" s="2" t="s">
        <v>5691</v>
      </c>
      <c r="B103" s="8" t="str">
        <f t="shared" si="1"/>
        <v>"Shawn",</v>
      </c>
    </row>
    <row r="104">
      <c r="A104" s="2" t="s">
        <v>5692</v>
      </c>
      <c r="B104" s="8" t="str">
        <f t="shared" si="1"/>
        <v>"Colin",</v>
      </c>
    </row>
    <row r="105">
      <c r="A105" s="2" t="s">
        <v>5693</v>
      </c>
      <c r="B105" s="8" t="str">
        <f t="shared" si="1"/>
        <v>"Trevor",</v>
      </c>
    </row>
    <row r="106">
      <c r="A106" s="2" t="s">
        <v>5694</v>
      </c>
      <c r="B106" s="8" t="str">
        <f t="shared" si="1"/>
        <v>"Cody",</v>
      </c>
    </row>
    <row r="107">
      <c r="A107" s="2" t="s">
        <v>5695</v>
      </c>
      <c r="B107" s="8" t="str">
        <f t="shared" si="1"/>
        <v>"Derek",</v>
      </c>
    </row>
    <row r="108">
      <c r="A108" s="2" t="s">
        <v>5696</v>
      </c>
      <c r="B108" s="8" t="str">
        <f t="shared" si="1"/>
        <v>"Jared",</v>
      </c>
    </row>
    <row r="109">
      <c r="A109" s="2" t="s">
        <v>5697</v>
      </c>
      <c r="B109" s="8" t="str">
        <f t="shared" si="1"/>
        <v>"Ian",</v>
      </c>
    </row>
    <row r="110">
      <c r="A110" s="2" t="s">
        <v>5698</v>
      </c>
      <c r="B110" s="8" t="str">
        <f t="shared" si="1"/>
        <v>"Shane",</v>
      </c>
    </row>
    <row r="111">
      <c r="A111" s="2" t="s">
        <v>5699</v>
      </c>
      <c r="B111" s="8" t="str">
        <f t="shared" si="1"/>
        <v>"Bryan",</v>
      </c>
    </row>
    <row r="112">
      <c r="A112" s="2" t="s">
        <v>5700</v>
      </c>
      <c r="B112" s="8" t="str">
        <f t="shared" si="1"/>
        <v>"Jeffrey",</v>
      </c>
    </row>
    <row r="113">
      <c r="A113" s="2" t="s">
        <v>5701</v>
      </c>
      <c r="B113" s="8" t="str">
        <f t="shared" si="1"/>
        <v>"Mark",</v>
      </c>
    </row>
    <row r="114">
      <c r="A114" s="2" t="s">
        <v>5702</v>
      </c>
      <c r="B114" s="8" t="str">
        <f t="shared" si="1"/>
        <v>"Steven",</v>
      </c>
    </row>
    <row r="115">
      <c r="A115" s="2" t="s">
        <v>5703</v>
      </c>
      <c r="B115" s="8" t="str">
        <f t="shared" si="1"/>
        <v>"Casey",</v>
      </c>
    </row>
    <row r="116">
      <c r="A116" s="2" t="s">
        <v>5704</v>
      </c>
      <c r="B116" s="8" t="str">
        <f t="shared" si="1"/>
        <v>"Corey",</v>
      </c>
    </row>
    <row r="117">
      <c r="A117" s="2" t="s">
        <v>5705</v>
      </c>
      <c r="B117" s="8" t="str">
        <f t="shared" si="1"/>
        <v>"Bradley",</v>
      </c>
    </row>
    <row r="118">
      <c r="A118" s="2" t="s">
        <v>5706</v>
      </c>
      <c r="B118" s="8" t="str">
        <f t="shared" si="1"/>
        <v>"Grant",</v>
      </c>
    </row>
    <row r="119">
      <c r="A119" s="2" t="s">
        <v>5707</v>
      </c>
      <c r="B119" s="8" t="str">
        <f t="shared" si="1"/>
        <v>"Blake",</v>
      </c>
    </row>
    <row r="120">
      <c r="A120" s="2" t="s">
        <v>5708</v>
      </c>
      <c r="B120" s="8" t="str">
        <f t="shared" si="1"/>
        <v>"Spencer",</v>
      </c>
    </row>
    <row r="121">
      <c r="A121" s="2" t="s">
        <v>5709</v>
      </c>
      <c r="B121" s="8" t="str">
        <f t="shared" si="1"/>
        <v>"Evan",</v>
      </c>
    </row>
    <row r="122">
      <c r="A122" s="2" t="s">
        <v>5710</v>
      </c>
      <c r="B122" s="8" t="str">
        <f t="shared" si="1"/>
        <v>"Jesse",</v>
      </c>
    </row>
    <row r="123">
      <c r="A123" s="2" t="s">
        <v>5711</v>
      </c>
      <c r="B123" s="8" t="str">
        <f t="shared" si="1"/>
        <v>"Mitchell",</v>
      </c>
    </row>
    <row r="124">
      <c r="A124" s="2" t="s">
        <v>5712</v>
      </c>
      <c r="B124" s="8" t="str">
        <f t="shared" si="1"/>
        <v>"Chad",</v>
      </c>
    </row>
    <row r="125">
      <c r="A125" s="2" t="s">
        <v>5713</v>
      </c>
      <c r="B125" s="8" t="str">
        <f t="shared" si="1"/>
        <v>"Lucas",</v>
      </c>
    </row>
    <row r="126">
      <c r="A126" s="2" t="s">
        <v>5714</v>
      </c>
      <c r="B126" s="8" t="str">
        <f t="shared" si="1"/>
        <v>"Cole",</v>
      </c>
    </row>
    <row r="127">
      <c r="A127" s="2" t="s">
        <v>5715</v>
      </c>
      <c r="B127" s="8" t="str">
        <f t="shared" si="1"/>
        <v>"Garrett",</v>
      </c>
    </row>
    <row r="128">
      <c r="A128" s="2" t="s">
        <v>5716</v>
      </c>
      <c r="B128" s="8" t="str">
        <f t="shared" si="1"/>
        <v>"Brett",</v>
      </c>
    </row>
    <row r="129">
      <c r="A129" s="2" t="s">
        <v>5717</v>
      </c>
      <c r="B129" s="8" t="str">
        <f t="shared" si="1"/>
        <v>"Devon",</v>
      </c>
    </row>
    <row r="130">
      <c r="A130" s="2" t="s">
        <v>5718</v>
      </c>
      <c r="B130" s="8" t="str">
        <f t="shared" si="1"/>
        <v>"Troy",</v>
      </c>
    </row>
    <row r="131">
      <c r="A131" s="2" t="s">
        <v>5719</v>
      </c>
      <c r="B131" s="8" t="str">
        <f t="shared" si="1"/>
        <v>"Phillip",</v>
      </c>
    </row>
    <row r="132">
      <c r="A132" s="2" t="s">
        <v>5720</v>
      </c>
      <c r="B132" s="8" t="str">
        <f t="shared" si="1"/>
        <v>"George",</v>
      </c>
    </row>
    <row r="133">
      <c r="A133" s="2" t="s">
        <v>5721</v>
      </c>
      <c r="B133" s="8" t="str">
        <f t="shared" si="1"/>
        <v>"Edward",</v>
      </c>
    </row>
    <row r="134">
      <c r="A134" s="2" t="s">
        <v>5722</v>
      </c>
      <c r="B134" s="8" t="str">
        <f t="shared" si="1"/>
        <v>"Oscar",</v>
      </c>
    </row>
    <row r="135">
      <c r="A135" s="2" t="s">
        <v>5723</v>
      </c>
      <c r="B135" s="8" t="str">
        <f t="shared" si="1"/>
        <v>"Victor",</v>
      </c>
    </row>
    <row r="136">
      <c r="A136" s="2" t="s">
        <v>5724</v>
      </c>
      <c r="B136" s="8" t="str">
        <f t="shared" si="1"/>
        <v>"Francisco",</v>
      </c>
    </row>
    <row r="137">
      <c r="A137" s="2" t="s">
        <v>5725</v>
      </c>
      <c r="B137" s="8" t="str">
        <f t="shared" si="1"/>
        <v>"Marco",</v>
      </c>
    </row>
    <row r="138">
      <c r="A138" s="2" t="s">
        <v>5726</v>
      </c>
      <c r="B138" s="8" t="str">
        <f t="shared" si="1"/>
        <v>"Ricardo",</v>
      </c>
    </row>
    <row r="139">
      <c r="A139" s="2" t="s">
        <v>5727</v>
      </c>
      <c r="B139" s="8" t="str">
        <f t="shared" si="1"/>
        <v>"Eduardo",</v>
      </c>
    </row>
    <row r="140">
      <c r="A140" s="2" t="s">
        <v>5728</v>
      </c>
      <c r="B140" s="8" t="str">
        <f t="shared" si="1"/>
        <v>"Miguel",</v>
      </c>
    </row>
    <row r="141">
      <c r="A141" s="2" t="s">
        <v>5729</v>
      </c>
      <c r="B141" s="8" t="str">
        <f t="shared" si="1"/>
        <v>"Antonio",</v>
      </c>
    </row>
    <row r="142">
      <c r="A142" s="2" t="s">
        <v>5730</v>
      </c>
      <c r="B142" s="8" t="str">
        <f t="shared" si="1"/>
        <v>"Manuel",</v>
      </c>
    </row>
    <row r="143">
      <c r="A143" s="2" t="s">
        <v>5731</v>
      </c>
      <c r="B143" s="8" t="str">
        <f t="shared" si="1"/>
        <v>"Andres",</v>
      </c>
    </row>
    <row r="144">
      <c r="A144" s="2" t="s">
        <v>5732</v>
      </c>
      <c r="B144" s="8" t="str">
        <f t="shared" si="1"/>
        <v>"Diego",</v>
      </c>
    </row>
    <row r="145">
      <c r="A145" s="2" t="s">
        <v>5733</v>
      </c>
      <c r="B145" s="8" t="str">
        <f t="shared" si="1"/>
        <v>"Armando",</v>
      </c>
    </row>
    <row r="146">
      <c r="A146" s="2" t="s">
        <v>5734</v>
      </c>
      <c r="B146" s="8" t="str">
        <f t="shared" si="1"/>
        <v>"Adrian",</v>
      </c>
    </row>
    <row r="147">
      <c r="A147" s="2" t="s">
        <v>5735</v>
      </c>
      <c r="B147" s="8" t="str">
        <f t="shared" si="1"/>
        <v>"Elijah",</v>
      </c>
    </row>
    <row r="148">
      <c r="A148" s="2" t="s">
        <v>5736</v>
      </c>
      <c r="B148" s="8" t="str">
        <f t="shared" si="1"/>
        <v>"Isaiah",</v>
      </c>
    </row>
    <row r="149">
      <c r="A149" s="2" t="s">
        <v>5737</v>
      </c>
      <c r="B149" s="8" t="str">
        <f t="shared" si="1"/>
        <v>"Jeremiah",</v>
      </c>
    </row>
    <row r="150">
      <c r="A150" s="2" t="s">
        <v>5738</v>
      </c>
      <c r="B150" s="8" t="str">
        <f t="shared" si="1"/>
        <v>"Caleb",</v>
      </c>
    </row>
    <row r="151">
      <c r="A151" s="2" t="s">
        <v>5739</v>
      </c>
      <c r="B151" s="8" t="str">
        <f t="shared" si="1"/>
        <v>"Seth",</v>
      </c>
    </row>
    <row r="152">
      <c r="A152" s="2" t="s">
        <v>5740</v>
      </c>
      <c r="B152" s="8" t="str">
        <f t="shared" si="1"/>
        <v>"Travis",</v>
      </c>
    </row>
    <row r="153">
      <c r="A153" s="2" t="s">
        <v>5741</v>
      </c>
      <c r="B153" s="8" t="str">
        <f t="shared" si="1"/>
        <v>"Jack",</v>
      </c>
    </row>
    <row r="154">
      <c r="A154" s="2" t="s">
        <v>5742</v>
      </c>
      <c r="B154" s="8" t="str">
        <f t="shared" si="1"/>
        <v>"Henry",</v>
      </c>
    </row>
    <row r="155">
      <c r="A155" s="2" t="s">
        <v>5743</v>
      </c>
      <c r="B155" s="8" t="str">
        <f t="shared" si="1"/>
        <v>"Peter",</v>
      </c>
    </row>
    <row r="156">
      <c r="A156" s="2" t="s">
        <v>5744</v>
      </c>
      <c r="B156" s="8" t="str">
        <f t="shared" si="1"/>
        <v>"Martin",</v>
      </c>
    </row>
    <row r="157">
      <c r="A157" s="2" t="s">
        <v>5745</v>
      </c>
      <c r="B157" s="8" t="str">
        <f t="shared" si="1"/>
        <v>"Maxwell",</v>
      </c>
    </row>
    <row r="158">
      <c r="A158" s="2" t="s">
        <v>5746</v>
      </c>
      <c r="B158" s="8" t="str">
        <f t="shared" si="1"/>
        <v>"Owen",</v>
      </c>
    </row>
    <row r="159">
      <c r="A159" s="2" t="s">
        <v>5747</v>
      </c>
      <c r="B159" s="8" t="str">
        <f t="shared" si="1"/>
        <v>"Aiden",</v>
      </c>
    </row>
    <row r="160">
      <c r="A160" s="2" t="s">
        <v>5748</v>
      </c>
      <c r="B160" s="8" t="str">
        <f t="shared" si="1"/>
        <v>"Bryce",</v>
      </c>
    </row>
    <row r="161">
      <c r="A161" s="2" t="s">
        <v>5749</v>
      </c>
      <c r="B161" s="8" t="str">
        <f t="shared" si="1"/>
        <v>"Clinton",</v>
      </c>
    </row>
    <row r="162">
      <c r="A162" s="2" t="s">
        <v>5750</v>
      </c>
      <c r="B162" s="8" t="str">
        <f t="shared" si="1"/>
        <v>"Douglas",</v>
      </c>
    </row>
    <row r="163">
      <c r="A163" s="2" t="s">
        <v>5751</v>
      </c>
      <c r="B163" s="8" t="str">
        <f t="shared" si="1"/>
        <v>"Craig",</v>
      </c>
    </row>
    <row r="164">
      <c r="A164" s="2" t="s">
        <v>5752</v>
      </c>
      <c r="B164" s="8" t="str">
        <f t="shared" si="1"/>
        <v>"Lawrence",</v>
      </c>
    </row>
    <row r="165">
      <c r="A165" s="2" t="s">
        <v>5753</v>
      </c>
      <c r="B165" s="8" t="str">
        <f t="shared" si="1"/>
        <v>"Russell",</v>
      </c>
    </row>
    <row r="166">
      <c r="A166" s="2" t="s">
        <v>5754</v>
      </c>
      <c r="B166" s="8" t="str">
        <f t="shared" si="1"/>
        <v>"Jerome",</v>
      </c>
    </row>
    <row r="167">
      <c r="A167" s="2" t="s">
        <v>5755</v>
      </c>
      <c r="B167" s="8" t="str">
        <f t="shared" si="1"/>
        <v>"Julian",</v>
      </c>
    </row>
    <row r="168">
      <c r="A168" s="2" t="s">
        <v>5756</v>
      </c>
      <c r="B168" s="8" t="str">
        <f t="shared" si="1"/>
        <v>"Vincent",</v>
      </c>
    </row>
    <row r="169">
      <c r="A169" s="2" t="s">
        <v>5757</v>
      </c>
      <c r="B169" s="8" t="str">
        <f t="shared" si="1"/>
        <v>"Joel",</v>
      </c>
    </row>
    <row r="170">
      <c r="A170" s="2" t="s">
        <v>5758</v>
      </c>
      <c r="B170" s="8" t="str">
        <f t="shared" si="1"/>
        <v>"Allen",</v>
      </c>
    </row>
    <row r="171">
      <c r="A171" s="2" t="s">
        <v>5759</v>
      </c>
      <c r="B171" s="8" t="str">
        <f t="shared" si="1"/>
        <v>"Leonard",</v>
      </c>
    </row>
    <row r="172">
      <c r="A172" s="2" t="s">
        <v>5760</v>
      </c>
      <c r="B172" s="8" t="str">
        <f t="shared" si="1"/>
        <v>"Dominic",</v>
      </c>
    </row>
    <row r="173">
      <c r="A173" s="2" t="s">
        <v>5761</v>
      </c>
      <c r="B173" s="8" t="str">
        <f t="shared" si="1"/>
        <v>"Raymond",</v>
      </c>
    </row>
    <row r="174">
      <c r="A174" s="2" t="s">
        <v>5762</v>
      </c>
      <c r="B174" s="8" t="str">
        <f t="shared" si="1"/>
        <v>"Louis",</v>
      </c>
    </row>
    <row r="175">
      <c r="A175" s="2" t="s">
        <v>5763</v>
      </c>
      <c r="B175" s="8" t="str">
        <f t="shared" si="1"/>
        <v>"Albert",</v>
      </c>
    </row>
    <row r="176">
      <c r="A176" s="2" t="s">
        <v>5764</v>
      </c>
      <c r="B176" s="8" t="str">
        <f t="shared" si="1"/>
        <v>"Harold",</v>
      </c>
    </row>
    <row r="177">
      <c r="A177" s="2" t="s">
        <v>5765</v>
      </c>
      <c r="B177" s="8" t="str">
        <f t="shared" si="1"/>
        <v>"Bruce",</v>
      </c>
    </row>
    <row r="178">
      <c r="A178" s="2" t="s">
        <v>5766</v>
      </c>
      <c r="B178" s="8" t="str">
        <f t="shared" si="1"/>
        <v>"Roger",</v>
      </c>
    </row>
    <row r="179">
      <c r="A179" s="2" t="s">
        <v>5767</v>
      </c>
      <c r="B179" s="8" t="str">
        <f t="shared" si="1"/>
        <v>"Walter",</v>
      </c>
    </row>
    <row r="180">
      <c r="A180" s="2" t="s">
        <v>5768</v>
      </c>
      <c r="B180" s="8" t="str">
        <f t="shared" si="1"/>
        <v>"Glenn",</v>
      </c>
    </row>
    <row r="181">
      <c r="A181" s="2" t="s">
        <v>5769</v>
      </c>
      <c r="B181" s="8" t="str">
        <f t="shared" si="1"/>
        <v>"Arthur",</v>
      </c>
    </row>
    <row r="182">
      <c r="A182" s="2" t="s">
        <v>5770</v>
      </c>
      <c r="B182" s="8" t="str">
        <f t="shared" si="1"/>
        <v>"Wayne",</v>
      </c>
    </row>
    <row r="183">
      <c r="A183" s="2" t="s">
        <v>5771</v>
      </c>
      <c r="B183" s="8" t="str">
        <f t="shared" si="1"/>
        <v>"Ronald",</v>
      </c>
    </row>
    <row r="184">
      <c r="A184" s="2" t="s">
        <v>5772</v>
      </c>
      <c r="B184" s="8" t="str">
        <f t="shared" si="1"/>
        <v>"Diana",</v>
      </c>
    </row>
    <row r="185">
      <c r="A185" s="2" t="s">
        <v>5773</v>
      </c>
      <c r="B185" s="8" t="str">
        <f t="shared" si="1"/>
        <v>"Monica",</v>
      </c>
    </row>
    <row r="186">
      <c r="A186" s="2" t="s">
        <v>5774</v>
      </c>
      <c r="B186" s="8" t="str">
        <f t="shared" si="1"/>
        <v>"Teresa",</v>
      </c>
    </row>
    <row r="187">
      <c r="A187" s="2" t="s">
        <v>5775</v>
      </c>
      <c r="B187" s="8" t="str">
        <f t="shared" si="1"/>
        <v>"Shannon",</v>
      </c>
    </row>
    <row r="188">
      <c r="A188" s="2" t="s">
        <v>5776</v>
      </c>
      <c r="B188" s="8" t="str">
        <f t="shared" si="1"/>
        <v>"Heidi",</v>
      </c>
    </row>
    <row r="189">
      <c r="A189" s="2" t="s">
        <v>5777</v>
      </c>
      <c r="B189" s="8" t="str">
        <f t="shared" si="1"/>
        <v>"Cassandra",</v>
      </c>
    </row>
    <row r="190">
      <c r="A190" s="2" t="s">
        <v>5778</v>
      </c>
      <c r="B190" s="8" t="str">
        <f t="shared" si="1"/>
        <v>"Kristen",</v>
      </c>
    </row>
    <row r="191">
      <c r="A191" s="2" t="s">
        <v>5779</v>
      </c>
      <c r="B191" s="8" t="str">
        <f t="shared" si="1"/>
        <v>"Whitney",</v>
      </c>
    </row>
    <row r="192">
      <c r="A192" s="2" t="s">
        <v>5780</v>
      </c>
      <c r="B192" s="8" t="str">
        <f t="shared" si="1"/>
        <v>"Tiffany",</v>
      </c>
    </row>
    <row r="193">
      <c r="A193" s="2" t="s">
        <v>5781</v>
      </c>
      <c r="B193" s="8" t="str">
        <f t="shared" si="1"/>
        <v>"Dana",</v>
      </c>
    </row>
    <row r="194">
      <c r="A194" s="2" t="s">
        <v>5782</v>
      </c>
      <c r="B194" s="8" t="str">
        <f t="shared" si="1"/>
        <v>"Stacy",</v>
      </c>
    </row>
    <row r="195">
      <c r="A195" s="2" t="s">
        <v>5783</v>
      </c>
      <c r="B195" s="8" t="str">
        <f t="shared" si="1"/>
        <v>"Heaven",</v>
      </c>
    </row>
    <row r="196">
      <c r="A196" s="2" t="s">
        <v>5784</v>
      </c>
      <c r="B196" s="8" t="str">
        <f t="shared" si="1"/>
        <v>"Paige",</v>
      </c>
    </row>
    <row r="197">
      <c r="A197" s="2" t="s">
        <v>5785</v>
      </c>
      <c r="B197" s="8" t="str">
        <f t="shared" si="1"/>
        <v>"Jenna",</v>
      </c>
    </row>
    <row r="198">
      <c r="A198" s="2" t="s">
        <v>5786</v>
      </c>
      <c r="B198" s="8" t="str">
        <f t="shared" si="1"/>
        <v>"Holly",</v>
      </c>
    </row>
    <row r="199">
      <c r="A199" s="2" t="s">
        <v>5787</v>
      </c>
      <c r="B199" s="8" t="str">
        <f t="shared" si="1"/>
        <v>"Molly",</v>
      </c>
    </row>
    <row r="200">
      <c r="A200" s="2" t="s">
        <v>5788</v>
      </c>
      <c r="B200" s="8" t="str">
        <f t="shared" si="1"/>
        <v>"Kathleen",</v>
      </c>
    </row>
    <row r="201">
      <c r="A201" s="2" t="s">
        <v>5789</v>
      </c>
      <c r="B201" s="8" t="str">
        <f t="shared" si="1"/>
        <v>"Angela",</v>
      </c>
    </row>
    <row r="202">
      <c r="A202" s="2" t="s">
        <v>5790</v>
      </c>
      <c r="B202" s="8" t="str">
        <f t="shared" si="1"/>
        <v>"Heavenly",</v>
      </c>
    </row>
    <row r="203">
      <c r="A203" s="2" t="s">
        <v>5791</v>
      </c>
      <c r="B203" s="8" t="str">
        <f t="shared" si="1"/>
        <v>"Autumn",</v>
      </c>
    </row>
    <row r="204">
      <c r="A204" s="2" t="s">
        <v>5792</v>
      </c>
      <c r="B204" s="8" t="str">
        <f t="shared" si="1"/>
        <v>"Abel",</v>
      </c>
    </row>
    <row r="205">
      <c r="A205" s="2" t="s">
        <v>5793</v>
      </c>
      <c r="B205" s="8" t="str">
        <f t="shared" si="1"/>
        <v>"Alberto",</v>
      </c>
    </row>
    <row r="206">
      <c r="A206" s="2" t="s">
        <v>5794</v>
      </c>
      <c r="B206" s="8" t="str">
        <f t="shared" si="1"/>
        <v>"Alejandra",</v>
      </c>
    </row>
    <row r="207">
      <c r="A207" s="2" t="s">
        <v>5795</v>
      </c>
      <c r="B207" s="8" t="str">
        <f t="shared" si="1"/>
        <v>"Alfonso",</v>
      </c>
    </row>
    <row r="208">
      <c r="A208" s="2" t="s">
        <v>5796</v>
      </c>
      <c r="B208" s="8" t="str">
        <f t="shared" si="1"/>
        <v>"Alicia",</v>
      </c>
    </row>
    <row r="209">
      <c r="A209" s="2" t="s">
        <v>5797</v>
      </c>
      <c r="B209" s="8" t="str">
        <f t="shared" si="1"/>
        <v>"Allan",</v>
      </c>
    </row>
    <row r="210">
      <c r="A210" s="2" t="s">
        <v>5798</v>
      </c>
      <c r="B210" s="8" t="str">
        <f t="shared" si="1"/>
        <v>"Amelia",</v>
      </c>
    </row>
    <row r="211">
      <c r="A211" s="2" t="s">
        <v>5799</v>
      </c>
      <c r="B211" s="8" t="str">
        <f t="shared" si="1"/>
        <v>"Ana",</v>
      </c>
    </row>
    <row r="212">
      <c r="A212" s="2" t="s">
        <v>5800</v>
      </c>
      <c r="B212" s="8" t="str">
        <f t="shared" si="1"/>
        <v>"André",</v>
      </c>
    </row>
    <row r="213">
      <c r="A213" s="2" t="s">
        <v>5801</v>
      </c>
      <c r="B213" s="8" t="str">
        <f t="shared" si="1"/>
        <v>"Angel",</v>
      </c>
    </row>
    <row r="214">
      <c r="A214" s="2" t="s">
        <v>5802</v>
      </c>
      <c r="B214" s="8" t="str">
        <f t="shared" si="1"/>
        <v>"Anita",</v>
      </c>
    </row>
    <row r="215">
      <c r="A215" s="2" t="s">
        <v>5803</v>
      </c>
      <c r="B215" s="8" t="str">
        <f t="shared" si="1"/>
        <v>"Ann",</v>
      </c>
    </row>
    <row r="216">
      <c r="A216" s="2" t="s">
        <v>5804</v>
      </c>
      <c r="B216" s="8" t="str">
        <f t="shared" si="1"/>
        <v>"Anna",</v>
      </c>
    </row>
    <row r="217">
      <c r="A217" s="2" t="s">
        <v>5805</v>
      </c>
      <c r="B217" s="8" t="str">
        <f t="shared" si="1"/>
        <v>"Anne",</v>
      </c>
    </row>
    <row r="218">
      <c r="A218" s="2" t="s">
        <v>5729</v>
      </c>
      <c r="B218" s="8" t="str">
        <f t="shared" si="1"/>
        <v>"Antonio",</v>
      </c>
    </row>
    <row r="219">
      <c r="A219" s="2" t="s">
        <v>5806</v>
      </c>
      <c r="B219" s="8" t="str">
        <f t="shared" si="1"/>
        <v>"Ariana",</v>
      </c>
    </row>
    <row r="220">
      <c r="A220" s="2" t="s">
        <v>5807</v>
      </c>
      <c r="B220" s="8" t="str">
        <f t="shared" si="1"/>
        <v>"Ariel",</v>
      </c>
    </row>
    <row r="221">
      <c r="A221" s="2" t="s">
        <v>5769</v>
      </c>
      <c r="B221" s="8" t="str">
        <f t="shared" si="1"/>
        <v>"Arthur",</v>
      </c>
    </row>
    <row r="222">
      <c r="A222" s="2" t="s">
        <v>5808</v>
      </c>
      <c r="B222" s="8" t="str">
        <f t="shared" si="1"/>
        <v>"Barbara",</v>
      </c>
    </row>
    <row r="223">
      <c r="A223" s="2" t="s">
        <v>5809</v>
      </c>
      <c r="B223" s="8" t="str">
        <f t="shared" si="1"/>
        <v>"Beatrice",</v>
      </c>
    </row>
    <row r="224">
      <c r="A224" s="2" t="s">
        <v>5810</v>
      </c>
      <c r="B224" s="8" t="str">
        <f t="shared" si="1"/>
        <v>"Belinda",</v>
      </c>
    </row>
    <row r="225">
      <c r="A225" s="2" t="s">
        <v>5811</v>
      </c>
      <c r="B225" s="8" t="str">
        <f t="shared" si="1"/>
        <v>"Bernard",</v>
      </c>
    </row>
    <row r="226">
      <c r="A226" s="2" t="s">
        <v>5812</v>
      </c>
      <c r="B226" s="8" t="str">
        <f t="shared" si="1"/>
        <v>"Bethany",</v>
      </c>
    </row>
    <row r="227">
      <c r="A227" s="2" t="s">
        <v>5813</v>
      </c>
      <c r="B227" s="8" t="str">
        <f t="shared" si="1"/>
        <v>"Bianca",</v>
      </c>
    </row>
    <row r="228">
      <c r="A228" s="2" t="s">
        <v>5814</v>
      </c>
      <c r="B228" s="8" t="str">
        <f t="shared" si="1"/>
        <v>"Brandy",</v>
      </c>
    </row>
    <row r="229">
      <c r="A229" s="2" t="s">
        <v>5815</v>
      </c>
      <c r="B229" s="8" t="str">
        <f t="shared" si="1"/>
        <v>"Brenda",</v>
      </c>
    </row>
    <row r="230">
      <c r="A230" s="2" t="s">
        <v>5816</v>
      </c>
      <c r="B230" s="8" t="str">
        <f t="shared" si="1"/>
        <v>"Brianne",</v>
      </c>
    </row>
    <row r="231">
      <c r="A231" s="2" t="s">
        <v>5817</v>
      </c>
      <c r="B231" s="8" t="str">
        <f t="shared" si="1"/>
        <v>"Candice",</v>
      </c>
    </row>
    <row r="232">
      <c r="A232" s="2" t="s">
        <v>5818</v>
      </c>
      <c r="B232" s="8" t="str">
        <f t="shared" si="1"/>
        <v>"Carla",</v>
      </c>
    </row>
    <row r="233">
      <c r="A233" s="2" t="s">
        <v>5819</v>
      </c>
      <c r="B233" s="8" t="str">
        <f t="shared" si="1"/>
        <v>"Carmen",</v>
      </c>
    </row>
    <row r="234">
      <c r="A234" s="2" t="s">
        <v>5820</v>
      </c>
      <c r="B234" s="8" t="str">
        <f t="shared" si="1"/>
        <v>"Caroline",</v>
      </c>
    </row>
    <row r="235">
      <c r="A235" s="2" t="s">
        <v>5821</v>
      </c>
      <c r="B235" s="8" t="str">
        <f t="shared" si="1"/>
        <v>"Catherine",</v>
      </c>
    </row>
    <row r="236">
      <c r="A236" s="2" t="s">
        <v>5822</v>
      </c>
      <c r="B236" s="8" t="str">
        <f t="shared" si="1"/>
        <v>"Cecilia",</v>
      </c>
    </row>
    <row r="237">
      <c r="A237" s="2" t="s">
        <v>5823</v>
      </c>
      <c r="B237" s="8" t="str">
        <f t="shared" si="1"/>
        <v>"Charlene",</v>
      </c>
    </row>
    <row r="238">
      <c r="A238" s="2" t="s">
        <v>5824</v>
      </c>
      <c r="B238" s="8" t="str">
        <f t="shared" si="1"/>
        <v>"Charlotte",</v>
      </c>
    </row>
    <row r="239">
      <c r="A239" s="2" t="s">
        <v>5825</v>
      </c>
      <c r="B239" s="8" t="str">
        <f t="shared" si="1"/>
        <v>"Chelsea",</v>
      </c>
    </row>
    <row r="240">
      <c r="A240" s="2" t="s">
        <v>5826</v>
      </c>
      <c r="B240" s="8" t="str">
        <f t="shared" si="1"/>
        <v>"Christy",</v>
      </c>
    </row>
    <row r="241">
      <c r="A241" s="2" t="s">
        <v>5827</v>
      </c>
      <c r="B241" s="8" t="str">
        <f t="shared" si="1"/>
        <v>"Clara",</v>
      </c>
    </row>
    <row r="242">
      <c r="A242" s="2" t="s">
        <v>5828</v>
      </c>
      <c r="B242" s="8" t="str">
        <f t="shared" si="1"/>
        <v>"Clarissa",</v>
      </c>
    </row>
    <row r="243">
      <c r="A243" s="2" t="s">
        <v>5829</v>
      </c>
      <c r="B243" s="8" t="str">
        <f t="shared" si="1"/>
        <v>"Claudia",</v>
      </c>
    </row>
    <row r="244">
      <c r="A244" s="2" t="s">
        <v>5830</v>
      </c>
      <c r="B244" s="8" t="str">
        <f t="shared" si="1"/>
        <v>"Colleen",</v>
      </c>
    </row>
    <row r="245">
      <c r="A245" s="2" t="s">
        <v>5831</v>
      </c>
      <c r="B245" s="8" t="str">
        <f t="shared" si="1"/>
        <v>"Cristina",</v>
      </c>
    </row>
    <row r="246">
      <c r="A246" s="2" t="s">
        <v>5832</v>
      </c>
      <c r="B246" s="8" t="str">
        <f t="shared" si="1"/>
        <v>"Cynthia",</v>
      </c>
    </row>
    <row r="247">
      <c r="A247" s="2" t="s">
        <v>5833</v>
      </c>
      <c r="B247" s="8" t="str">
        <f t="shared" si="1"/>
        <v>"Daisy",</v>
      </c>
    </row>
    <row r="248">
      <c r="A248" s="2" t="s">
        <v>5834</v>
      </c>
      <c r="B248" s="8" t="str">
        <f t="shared" si="1"/>
        <v>"Deborah",</v>
      </c>
    </row>
    <row r="249">
      <c r="A249" s="2" t="s">
        <v>5835</v>
      </c>
      <c r="B249" s="8" t="str">
        <f t="shared" si="1"/>
        <v>"Delilah",</v>
      </c>
    </row>
    <row r="250">
      <c r="A250" s="2" t="s">
        <v>5836</v>
      </c>
      <c r="B250" s="8" t="str">
        <f t="shared" si="1"/>
        <v>"Denise",</v>
      </c>
    </row>
    <row r="251">
      <c r="A251" s="2" t="s">
        <v>5837</v>
      </c>
      <c r="B251" s="8" t="str">
        <f t="shared" si="1"/>
        <v>"Desiree",</v>
      </c>
    </row>
    <row r="252">
      <c r="A252" s="2" t="s">
        <v>5772</v>
      </c>
      <c r="B252" s="8" t="str">
        <f t="shared" si="1"/>
        <v>"Diana",</v>
      </c>
    </row>
    <row r="253">
      <c r="A253" s="2" t="s">
        <v>5838</v>
      </c>
      <c r="B253" s="8" t="str">
        <f t="shared" si="1"/>
        <v>"Dominique",</v>
      </c>
    </row>
    <row r="254">
      <c r="A254" s="2" t="s">
        <v>5839</v>
      </c>
      <c r="B254" s="8" t="str">
        <f t="shared" si="1"/>
        <v>"Edgar",</v>
      </c>
    </row>
    <row r="255">
      <c r="A255" s="2" t="s">
        <v>5840</v>
      </c>
      <c r="B255" s="8" t="str">
        <f t="shared" si="1"/>
        <v>"Elena",</v>
      </c>
    </row>
    <row r="256">
      <c r="A256" s="2" t="s">
        <v>5841</v>
      </c>
      <c r="B256" s="8" t="str">
        <f t="shared" si="1"/>
        <v>"Elisa",</v>
      </c>
    </row>
    <row r="257">
      <c r="A257" s="2" t="s">
        <v>5842</v>
      </c>
      <c r="B257" s="8" t="str">
        <f t="shared" si="1"/>
        <v>"Elise",</v>
      </c>
    </row>
    <row r="258">
      <c r="A258" s="2" t="s">
        <v>5843</v>
      </c>
      <c r="B258" s="8" t="str">
        <f t="shared" si="1"/>
        <v>"Eliza",</v>
      </c>
    </row>
    <row r="259">
      <c r="A259" s="2" t="s">
        <v>5844</v>
      </c>
      <c r="B259" s="8" t="str">
        <f t="shared" si="1"/>
        <v>"Elizabeth",</v>
      </c>
    </row>
    <row r="260">
      <c r="A260" s="2" t="s">
        <v>5845</v>
      </c>
      <c r="B260" s="8" t="str">
        <f t="shared" si="1"/>
        <v>"Ella",</v>
      </c>
    </row>
    <row r="261">
      <c r="A261" s="2" t="s">
        <v>5846</v>
      </c>
      <c r="B261" s="8" t="str">
        <f t="shared" si="1"/>
        <v>"Ellen",</v>
      </c>
    </row>
    <row r="262">
      <c r="A262" s="2" t="s">
        <v>5847</v>
      </c>
      <c r="B262" s="8" t="str">
        <f t="shared" si="1"/>
        <v>"Elsa",</v>
      </c>
    </row>
    <row r="263">
      <c r="A263" s="2" t="s">
        <v>5848</v>
      </c>
      <c r="B263" s="8" t="str">
        <f t="shared" si="1"/>
        <v>"Emmanuel",</v>
      </c>
    </row>
    <row r="264">
      <c r="A264" s="2" t="s">
        <v>5849</v>
      </c>
      <c r="B264" s="8" t="str">
        <f t="shared" si="1"/>
        <v>"Erica",</v>
      </c>
    </row>
    <row r="265">
      <c r="A265" s="2" t="s">
        <v>5850</v>
      </c>
      <c r="B265" s="8" t="str">
        <f t="shared" si="1"/>
        <v>"Esmeralda",</v>
      </c>
    </row>
    <row r="266">
      <c r="A266" s="2" t="s">
        <v>5851</v>
      </c>
      <c r="B266" s="8" t="str">
        <f t="shared" si="1"/>
        <v>"Esteban",</v>
      </c>
    </row>
    <row r="267">
      <c r="A267" s="2" t="s">
        <v>5852</v>
      </c>
      <c r="B267" s="8" t="str">
        <f t="shared" si="1"/>
        <v>"Esther",</v>
      </c>
    </row>
    <row r="268">
      <c r="A268" s="2" t="s">
        <v>5853</v>
      </c>
      <c r="B268" s="8" t="str">
        <f t="shared" si="1"/>
        <v>"Evelyn",</v>
      </c>
    </row>
    <row r="269">
      <c r="A269" s="2" t="s">
        <v>5854</v>
      </c>
      <c r="B269" s="8" t="str">
        <f t="shared" si="1"/>
        <v>"Felipe",</v>
      </c>
    </row>
    <row r="270">
      <c r="A270" s="2" t="s">
        <v>5855</v>
      </c>
      <c r="B270" s="8" t="str">
        <f t="shared" si="1"/>
        <v>"Fernando",</v>
      </c>
    </row>
    <row r="271">
      <c r="A271" s="2" t="s">
        <v>5856</v>
      </c>
      <c r="B271" s="8" t="str">
        <f t="shared" si="1"/>
        <v>"Frances",</v>
      </c>
    </row>
    <row r="272">
      <c r="A272" s="2" t="s">
        <v>5857</v>
      </c>
      <c r="B272" s="8" t="str">
        <f t="shared" si="1"/>
        <v>"Francesca",</v>
      </c>
    </row>
    <row r="273">
      <c r="A273" s="2" t="s">
        <v>5858</v>
      </c>
      <c r="B273" s="8" t="str">
        <f t="shared" si="1"/>
        <v>"Frederick",</v>
      </c>
    </row>
    <row r="274">
      <c r="A274" s="2" t="s">
        <v>5859</v>
      </c>
      <c r="B274" s="8" t="str">
        <f t="shared" si="1"/>
        <v>"Gloria",</v>
      </c>
    </row>
    <row r="275">
      <c r="A275" s="2" t="s">
        <v>5860</v>
      </c>
      <c r="B275" s="8" t="str">
        <f t="shared" si="1"/>
        <v>"Guillermo",</v>
      </c>
    </row>
    <row r="276">
      <c r="A276" s="2" t="s">
        <v>5861</v>
      </c>
      <c r="B276" s="8" t="str">
        <f t="shared" si="1"/>
        <v>"Hailey",</v>
      </c>
    </row>
    <row r="277">
      <c r="A277" s="2" t="s">
        <v>5862</v>
      </c>
      <c r="B277" s="8" t="str">
        <f t="shared" si="1"/>
        <v>"Helena",</v>
      </c>
    </row>
    <row r="278">
      <c r="A278" s="2" t="s">
        <v>5863</v>
      </c>
      <c r="B278" s="8" t="str">
        <f t="shared" si="1"/>
        <v>"Irene",</v>
      </c>
    </row>
    <row r="279">
      <c r="A279" s="2" t="s">
        <v>5864</v>
      </c>
      <c r="B279" s="8" t="str">
        <f t="shared" si="1"/>
        <v>"Isabel",</v>
      </c>
    </row>
    <row r="280">
      <c r="A280" s="2" t="s">
        <v>5865</v>
      </c>
      <c r="B280" s="8" t="str">
        <f t="shared" si="1"/>
        <v>"Jacqueline",</v>
      </c>
    </row>
    <row r="281">
      <c r="A281" s="2" t="s">
        <v>5866</v>
      </c>
      <c r="B281" s="8" t="str">
        <f t="shared" si="1"/>
        <v>"Jade",</v>
      </c>
    </row>
    <row r="282">
      <c r="A282" s="2" t="s">
        <v>5867</v>
      </c>
      <c r="B282" s="8" t="str">
        <f t="shared" si="1"/>
        <v>"Janet",</v>
      </c>
    </row>
    <row r="283">
      <c r="A283" s="2" t="s">
        <v>5868</v>
      </c>
      <c r="B283" s="8" t="str">
        <f t="shared" si="1"/>
        <v>"Janice",</v>
      </c>
    </row>
    <row r="284">
      <c r="A284" s="2" t="s">
        <v>5869</v>
      </c>
      <c r="B284" s="8" t="str">
        <f t="shared" si="1"/>
        <v>"Jean",</v>
      </c>
    </row>
    <row r="285">
      <c r="A285" s="2" t="s">
        <v>5870</v>
      </c>
      <c r="B285" s="8" t="str">
        <f t="shared" si="1"/>
        <v>"Jillian",</v>
      </c>
    </row>
    <row r="286">
      <c r="A286" s="2" t="s">
        <v>5871</v>
      </c>
      <c r="B286" s="8" t="str">
        <f t="shared" si="1"/>
        <v>"Joanna",</v>
      </c>
    </row>
    <row r="287">
      <c r="A287" s="2" t="s">
        <v>5872</v>
      </c>
      <c r="B287" s="8" t="str">
        <f t="shared" si="1"/>
        <v>"Joanne",</v>
      </c>
    </row>
    <row r="288">
      <c r="A288" s="2" t="s">
        <v>5873</v>
      </c>
      <c r="B288" s="8" t="str">
        <f t="shared" si="1"/>
        <v>"Jocelyn",</v>
      </c>
    </row>
    <row r="289">
      <c r="A289" s="2" t="s">
        <v>5874</v>
      </c>
      <c r="B289" s="8" t="str">
        <f t="shared" si="1"/>
        <v>"Joyce",</v>
      </c>
    </row>
    <row r="290">
      <c r="A290" s="2" t="s">
        <v>5875</v>
      </c>
      <c r="B290" s="8" t="str">
        <f t="shared" si="1"/>
        <v>"Judith",</v>
      </c>
    </row>
    <row r="291">
      <c r="A291" s="2" t="s">
        <v>5876</v>
      </c>
      <c r="B291" s="8" t="str">
        <f t="shared" si="1"/>
        <v>"Julia",</v>
      </c>
    </row>
    <row r="292">
      <c r="A292" s="2" t="s">
        <v>5877</v>
      </c>
      <c r="B292" s="8" t="str">
        <f t="shared" si="1"/>
        <v>"Karen",</v>
      </c>
    </row>
    <row r="293">
      <c r="A293" s="2" t="s">
        <v>5878</v>
      </c>
      <c r="B293" s="8" t="str">
        <f t="shared" si="1"/>
        <v>"Karina",</v>
      </c>
    </row>
    <row r="294">
      <c r="A294" s="2" t="s">
        <v>5879</v>
      </c>
      <c r="B294" s="8" t="str">
        <f t="shared" si="1"/>
        <v>"Karla",</v>
      </c>
    </row>
    <row r="295">
      <c r="A295" s="2" t="s">
        <v>5880</v>
      </c>
      <c r="B295" s="8" t="str">
        <f t="shared" si="1"/>
        <v>"Kathryn",</v>
      </c>
    </row>
    <row r="296">
      <c r="A296" s="2" t="s">
        <v>5881</v>
      </c>
      <c r="B296" s="8" t="str">
        <f t="shared" si="1"/>
        <v>"Kristina",</v>
      </c>
    </row>
    <row r="297">
      <c r="A297" s="2" t="s">
        <v>5882</v>
      </c>
      <c r="B297" s="8" t="str">
        <f t="shared" si="1"/>
        <v>"Lara",</v>
      </c>
    </row>
    <row r="298">
      <c r="A298" s="2" t="s">
        <v>5883</v>
      </c>
      <c r="B298" s="8" t="str">
        <f t="shared" si="1"/>
        <v>"Laura",</v>
      </c>
    </row>
    <row r="299">
      <c r="A299" s="2" t="s">
        <v>5884</v>
      </c>
      <c r="B299" s="8" t="str">
        <f t="shared" si="1"/>
        <v>"Laurenzo",</v>
      </c>
    </row>
    <row r="300">
      <c r="A300" s="2" t="s">
        <v>5885</v>
      </c>
      <c r="B300" s="8" t="str">
        <f t="shared" si="1"/>
        <v>"Leah",</v>
      </c>
    </row>
    <row r="301">
      <c r="A301" s="2" t="s">
        <v>5886</v>
      </c>
      <c r="B301" s="8" t="str">
        <f t="shared" si="1"/>
        <v>"Leslie",</v>
      </c>
    </row>
    <row r="302">
      <c r="A302" s="2" t="s">
        <v>5887</v>
      </c>
      <c r="B302" s="8" t="str">
        <f t="shared" si="1"/>
        <v>"Liliana",</v>
      </c>
    </row>
    <row r="303">
      <c r="A303" s="2" t="s">
        <v>5888</v>
      </c>
      <c r="B303" s="8" t="str">
        <f t="shared" si="1"/>
        <v>"Lorena",</v>
      </c>
    </row>
    <row r="304">
      <c r="A304" s="2" t="s">
        <v>5889</v>
      </c>
      <c r="B304" s="8" t="str">
        <f t="shared" si="1"/>
        <v>"Lorraine",</v>
      </c>
    </row>
    <row r="305">
      <c r="A305" s="2" t="s">
        <v>5890</v>
      </c>
      <c r="B305" s="8" t="str">
        <f t="shared" si="1"/>
        <v>"Lucia",</v>
      </c>
    </row>
    <row r="306">
      <c r="A306" s="2" t="s">
        <v>5891</v>
      </c>
      <c r="B306" s="8" t="str">
        <f t="shared" si="1"/>
        <v>"Luisana",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</cols>
  <sheetData>
    <row r="1">
      <c r="A1" s="1" t="s">
        <v>5892</v>
      </c>
    </row>
    <row r="2">
      <c r="A2" s="11" t="str">
        <f>IFERROR(__xludf.DUMMYFUNCTION("FLATTEN('Accounts from first 50 keywords'!B2:B512, 'Accounts From the 402 others'!B2:B2849,'Accounts thing + place combo'!B2:B1271,'Dior specific accounts'!B2:B790,'accounts media and journilism'!B2:B1890,'accounts first names'!B2:B716)"),"agentrix212.ai")</f>
        <v>agentrix212.ai</v>
      </c>
    </row>
    <row r="3">
      <c r="A3" s="8" t="str">
        <f>IFERROR(__xludf.DUMMYFUNCTION("""COMPUTED_VALUE"""),"aidafreediving")</f>
        <v>aidafreediving</v>
      </c>
    </row>
    <row r="4">
      <c r="A4" s="11" t="str">
        <f>IFERROR(__xludf.DUMMYFUNCTION("""COMPUTED_VALUE"""),"evolving.ai")</f>
        <v>evolving.ai</v>
      </c>
    </row>
    <row r="5">
      <c r="A5" s="11" t="str">
        <f>IFERROR(__xludf.DUMMYFUNCTION("""COMPUTED_VALUE"""),"babababy.mv")</f>
        <v>babababy.mv</v>
      </c>
    </row>
    <row r="6">
      <c r="A6" s="8" t="str">
        <f>IFERROR(__xludf.DUMMYFUNCTION("""COMPUTED_VALUE"""),"baby.food.bible")</f>
        <v>baby.food.bible</v>
      </c>
    </row>
    <row r="7">
      <c r="A7" s="8" t="str">
        <f>IFERROR(__xludf.DUMMYFUNCTION("""COMPUTED_VALUE"""),"just.baby")</f>
        <v>just.baby</v>
      </c>
    </row>
    <row r="8">
      <c r="A8" s="8" t="str">
        <f>IFERROR(__xludf.DUMMYFUNCTION("""COMPUTED_VALUE"""),"keem")</f>
        <v>keem</v>
      </c>
    </row>
    <row r="9">
      <c r="A9" s="8" t="str">
        <f>IFERROR(__xludf.DUMMYFUNCTION("""COMPUTED_VALUE"""),"lilbaby")</f>
        <v>lilbaby</v>
      </c>
    </row>
    <row r="10">
      <c r="A10" s="8" t="str">
        <f>IFERROR(__xludf.DUMMYFUNCTION("""COMPUTED_VALUE"""),"barcelona")</f>
        <v>barcelona</v>
      </c>
    </row>
    <row r="11">
      <c r="A11" s="8" t="str">
        <f>IFERROR(__xludf.DUMMYFUNCTION("""COMPUTED_VALUE"""),"barcelona.families1")</f>
        <v>barcelona.families1</v>
      </c>
    </row>
    <row r="12">
      <c r="A12" s="8" t="str">
        <f>IFERROR(__xludf.DUMMYFUNCTION("""COMPUTED_VALUE"""),"barcelonasc")</f>
        <v>barcelonasc</v>
      </c>
    </row>
    <row r="13">
      <c r="A13" s="8" t="str">
        <f>IFERROR(__xludf.DUMMYFUNCTION("""COMPUTED_VALUE"""),"barcelona.travelers")</f>
        <v>barcelona.travelers</v>
      </c>
    </row>
    <row r="14">
      <c r="A14" s="8" t="str">
        <f>IFERROR(__xludf.DUMMYFUNCTION("""COMPUTED_VALUE"""),"barcelonawinebar")</f>
        <v>barcelonawinebar</v>
      </c>
    </row>
    <row r="15">
      <c r="A15" s="8" t="str">
        <f>IFERROR(__xludf.DUMMYFUNCTION("""COMPUTED_VALUE"""),"barcelonaxir")</f>
        <v>barcelonaxir</v>
      </c>
    </row>
    <row r="16">
      <c r="A16" s="8" t="str">
        <f>IFERROR(__xludf.DUMMYFUNCTION("""COMPUTED_VALUE"""),"barselona.media")</f>
        <v>barselona.media</v>
      </c>
    </row>
    <row r="17">
      <c r="A17" s="8" t="str">
        <f>IFERROR(__xludf.DUMMYFUNCTION("""COMPUTED_VALUE"""),"fcbarcelona")</f>
        <v>fcbarcelona</v>
      </c>
    </row>
    <row r="18">
      <c r="A18" s="8" t="str">
        <f>IFERROR(__xludf.DUMMYFUNCTION("""COMPUTED_VALUE"""),"fcbarcelonab")</f>
        <v>fcbarcelonab</v>
      </c>
    </row>
    <row r="19">
      <c r="A19" s="8" t="str">
        <f>IFERROR(__xludf.DUMMYFUNCTION("""COMPUTED_VALUE"""),"fcbfemeni")</f>
        <v>fcbfemeni</v>
      </c>
    </row>
    <row r="20">
      <c r="A20" s="8" t="str">
        <f>IFERROR(__xludf.DUMMYFUNCTION("""COMPUTED_VALUE"""),"fcbmasia")</f>
        <v>fcbmasia</v>
      </c>
    </row>
    <row r="21">
      <c r="A21" s="8" t="str">
        <f>IFERROR(__xludf.DUMMYFUNCTION("""COMPUTED_VALUE"""),"mukbarcelona")</f>
        <v>mukbarcelona</v>
      </c>
    </row>
    <row r="22">
      <c r="A22" s="8" t="str">
        <f>IFERROR(__xludf.DUMMYFUNCTION("""COMPUTED_VALUE"""),"unibarcelona")</f>
        <v>unibarcelona</v>
      </c>
    </row>
    <row r="23">
      <c r="A23" s="8" t="str">
        <f>IFERROR(__xludf.DUMMYFUNCTION("""COMPUTED_VALUE"""),"visitbarcelona")</f>
        <v>visitbarcelona</v>
      </c>
    </row>
    <row r="24">
      <c r="A24" s="8" t="str">
        <f>IFERROR(__xludf.DUMMYFUNCTION("""COMPUTED_VALUE"""),"wbarcelona")</f>
        <v>wbarcelona</v>
      </c>
    </row>
    <row r="25">
      <c r="A25" s="8" t="str">
        <f>IFERROR(__xludf.DUMMYFUNCTION("""COMPUTED_VALUE"""),"basketball")</f>
        <v>basketball</v>
      </c>
    </row>
    <row r="26">
      <c r="A26" s="8" t="str">
        <f>IFERROR(__xludf.DUMMYFUNCTION("""COMPUTED_VALUE"""),"basketballcoverage")</f>
        <v>basketballcoverage</v>
      </c>
    </row>
    <row r="27">
      <c r="A27" s="8" t="str">
        <f>IFERROR(__xludf.DUMMYFUNCTION("""COMPUTED_VALUE"""),"basketball_korea")</f>
        <v>basketball_korea</v>
      </c>
    </row>
    <row r="28">
      <c r="A28" s="8" t="str">
        <f>IFERROR(__xludf.DUMMYFUNCTION("""COMPUTED_VALUE"""),"basketballnz")</f>
        <v>basketballnz</v>
      </c>
    </row>
    <row r="29">
      <c r="A29" s="8" t="str">
        <f>IFERROR(__xludf.DUMMYFUNCTION("""COMPUTED_VALUE"""),"basketballwives")</f>
        <v>basketballwives</v>
      </c>
    </row>
    <row r="30">
      <c r="A30" s="8" t="str">
        <f>IFERROR(__xludf.DUMMYFUNCTION("""COMPUTED_VALUE"""),"canadabasketball")</f>
        <v>canadabasketball</v>
      </c>
    </row>
    <row r="31">
      <c r="A31" s="8" t="str">
        <f>IFERROR(__xludf.DUMMYFUNCTION("""COMPUTED_VALUE"""),"dbb_basketball")</f>
        <v>dbb_basketball</v>
      </c>
    </row>
    <row r="32">
      <c r="A32" s="8" t="str">
        <f>IFERROR(__xludf.DUMMYFUNCTION("""COMPUTED_VALUE"""),"flowgamebasketball")</f>
        <v>flowgamebasketball</v>
      </c>
    </row>
    <row r="33">
      <c r="A33" s="8" t="str">
        <f>IFERROR(__xludf.DUMMYFUNCTION("""COMPUTED_VALUE"""),"gbbasketball")</f>
        <v>gbbasketball</v>
      </c>
    </row>
    <row r="34">
      <c r="A34" s="8" t="str">
        <f>IFERROR(__xludf.DUMMYFUNCTION("""COMPUTED_VALUE"""),"lsubasketball")</f>
        <v>lsubasketball</v>
      </c>
    </row>
    <row r="35">
      <c r="A35" s="8" t="str">
        <f>IFERROR(__xludf.DUMMYFUNCTION("""COMPUTED_VALUE"""),"ltu.basketball")</f>
        <v>ltu.basketball</v>
      </c>
    </row>
    <row r="36">
      <c r="A36" s="8" t="str">
        <f>IFERROR(__xludf.DUMMYFUNCTION("""COMPUTED_VALUE"""),"msbasketball1")</f>
        <v>msbasketball1</v>
      </c>
    </row>
    <row r="37">
      <c r="A37" s="8" t="str">
        <f>IFERROR(__xludf.DUMMYFUNCTION("""COMPUTED_VALUE"""),"nikebasketball")</f>
        <v>nikebasketball</v>
      </c>
    </row>
    <row r="38">
      <c r="A38" s="8" t="str">
        <f>IFERROR(__xludf.DUMMYFUNCTION("""COMPUTED_VALUE"""),"realmadridbasket")</f>
        <v>realmadridbasket</v>
      </c>
    </row>
    <row r="39">
      <c r="A39" s="8" t="str">
        <f>IFERROR(__xludf.DUMMYFUNCTION("""COMPUTED_VALUE"""),"smubasketball")</f>
        <v>smubasketball</v>
      </c>
    </row>
    <row r="40">
      <c r="A40" s="8" t="str">
        <f>IFERROR(__xludf.DUMMYFUNCTION("""COMPUTED_VALUE"""),"unc_basketball")</f>
        <v>unc_basketball</v>
      </c>
    </row>
    <row r="41">
      <c r="A41" s="8" t="str">
        <f>IFERROR(__xludf.DUMMYFUNCTION("""COMPUTED_VALUE"""),"uncwbasketball")</f>
        <v>uncwbasketball</v>
      </c>
    </row>
    <row r="42">
      <c r="A42" s="8" t="str">
        <f>IFERROR(__xludf.DUMMYFUNCTION("""COMPUTED_VALUE"""),"usabasketball")</f>
        <v>usabasketball</v>
      </c>
    </row>
    <row r="43">
      <c r="A43" s="8" t="str">
        <f>IFERROR(__xludf.DUMMYFUNCTION("""COMPUTED_VALUE"""),"brunchandsoca")</f>
        <v>brunchandsoca</v>
      </c>
    </row>
    <row r="44">
      <c r="A44" s="8" t="str">
        <f>IFERROR(__xludf.DUMMYFUNCTION("""COMPUTED_VALUE"""),"brunchbcn")</f>
        <v>brunchbcn</v>
      </c>
    </row>
    <row r="45">
      <c r="A45" s="8" t="str">
        <f>IFERROR(__xludf.DUMMYFUNCTION("""COMPUTED_VALUE"""),"brunchmadrid_")</f>
        <v>brunchmadrid_</v>
      </c>
    </row>
    <row r="46">
      <c r="A46" s="11" t="str">
        <f>IFERROR(__xludf.DUMMYFUNCTION("""COMPUTED_VALUE"""),"brunch.us")</f>
        <v>brunch.us</v>
      </c>
    </row>
    <row r="47">
      <c r="A47" s="8" t="str">
        <f>IFERROR(__xludf.DUMMYFUNCTION("""COMPUTED_VALUE"""),"brunchweb")</f>
        <v>brunchweb</v>
      </c>
    </row>
    <row r="48">
      <c r="A48" s="8" t="str">
        <f>IFERROR(__xludf.DUMMYFUNCTION("""COMPUTED_VALUE"""),"brunchwithbabs")</f>
        <v>brunchwithbabs</v>
      </c>
    </row>
    <row r="49">
      <c r="A49" s="8" t="str">
        <f>IFERROR(__xludf.DUMMYFUNCTION("""COMPUTED_VALUE"""),"davidbroncano")</f>
        <v>davidbroncano</v>
      </c>
    </row>
    <row r="50">
      <c r="A50" s="8" t="str">
        <f>IFERROR(__xludf.DUMMYFUNCTION("""COMPUTED_VALUE"""),"labronca")</f>
        <v>labronca</v>
      </c>
    </row>
    <row r="51">
      <c r="A51" s="8" t="str">
        <f>IFERROR(__xludf.DUMMYFUNCTION("""COMPUTED_VALUE"""),"lachicadelbrunch")</f>
        <v>lachicadelbrunch</v>
      </c>
    </row>
    <row r="52">
      <c r="A52" s="8" t="str">
        <f>IFERROR(__xludf.DUMMYFUNCTION("""COMPUTED_VALUE"""),"nola_brunchsa")</f>
        <v>nola_brunchsa</v>
      </c>
    </row>
    <row r="53">
      <c r="A53" s="8" t="str">
        <f>IFERROR(__xludf.DUMMYFUNCTION("""COMPUTED_VALUE"""),"nyc_brunchbabe")</f>
        <v>nyc_brunchbabe</v>
      </c>
    </row>
    <row r="54">
      <c r="A54" s="8" t="str">
        <f>IFERROR(__xludf.DUMMYFUNCTION("""COMPUTED_VALUE"""),"ojardim.sp")</f>
        <v>ojardim.sp</v>
      </c>
    </row>
    <row r="55">
      <c r="A55" s="8" t="str">
        <f>IFERROR(__xludf.DUMMYFUNCTION("""COMPUTED_VALUE"""),"theboxstreetsocial")</f>
        <v>theboxstreetsocial</v>
      </c>
    </row>
    <row r="56">
      <c r="A56" s="8" t="str">
        <f>IFERROR(__xludf.DUMMYFUNCTION("""COMPUTED_VALUE"""),"thebrunchguy__")</f>
        <v>thebrunchguy__</v>
      </c>
    </row>
    <row r="57">
      <c r="A57" s="8" t="str">
        <f>IFERROR(__xludf.DUMMYFUNCTION("""COMPUTED_VALUE"""),"cats_of_instagram")</f>
        <v>cats_of_instagram</v>
      </c>
    </row>
    <row r="58">
      <c r="A58" s="8" t="str">
        <f>IFERROR(__xludf.DUMMYFUNCTION("""COMPUTED_VALUE"""),"dojacat")</f>
        <v>dojacat</v>
      </c>
    </row>
    <row r="59">
      <c r="A59" s="8" t="str">
        <f>IFERROR(__xludf.DUMMYFUNCTION("""COMPUTED_VALUE"""),"algonova_indonesia")</f>
        <v>algonova_indonesia</v>
      </c>
    </row>
    <row r="60">
      <c r="A60" s="8" t="str">
        <f>IFERROR(__xludf.DUMMYFUNCTION("""COMPUTED_VALUE"""),"coding")</f>
        <v>coding</v>
      </c>
    </row>
    <row r="61">
      <c r="A61" s="8" t="str">
        <f>IFERROR(__xludf.DUMMYFUNCTION("""COMPUTED_VALUE"""),"codingastrology_")</f>
        <v>codingastrology_</v>
      </c>
    </row>
    <row r="62">
      <c r="A62" s="8" t="str">
        <f>IFERROR(__xludf.DUMMYFUNCTION("""COMPUTED_VALUE"""),"codingbenz")</f>
        <v>codingbenz</v>
      </c>
    </row>
    <row r="63">
      <c r="A63" s="8" t="str">
        <f>IFERROR(__xludf.DUMMYFUNCTION("""COMPUTED_VALUE"""),"coding_dev_")</f>
        <v>coding_dev_</v>
      </c>
    </row>
    <row r="64">
      <c r="A64" s="8" t="str">
        <f>IFERROR(__xludf.DUMMYFUNCTION("""COMPUTED_VALUE"""),"coding_guru47")</f>
        <v>coding_guru47</v>
      </c>
    </row>
    <row r="65">
      <c r="A65" s="8" t="str">
        <f>IFERROR(__xludf.DUMMYFUNCTION("""COMPUTED_VALUE"""),"coding.kitty")</f>
        <v>coding.kitty</v>
      </c>
    </row>
    <row r="66">
      <c r="A66" s="11" t="str">
        <f>IFERROR(__xludf.DUMMYFUNCTION("""COMPUTED_VALUE"""),"codingmermaid.ai")</f>
        <v>codingmermaid.ai</v>
      </c>
    </row>
    <row r="67">
      <c r="A67" s="8" t="str">
        <f>IFERROR(__xludf.DUMMYFUNCTION("""COMPUTED_VALUE"""),"codingnumerology")</f>
        <v>codingnumerology</v>
      </c>
    </row>
    <row r="68">
      <c r="A68" s="8" t="str">
        <f>IFERROR(__xludf.DUMMYFUNCTION("""COMPUTED_VALUE"""),"the_coding_wizard")</f>
        <v>the_coding_wizard</v>
      </c>
    </row>
    <row r="69">
      <c r="A69" s="8" t="str">
        <f>IFERROR(__xludf.DUMMYFUNCTION("""COMPUTED_VALUE"""),"ctcurlyhairsalon")</f>
        <v>ctcurlyhairsalon</v>
      </c>
    </row>
    <row r="70">
      <c r="A70" s="8" t="str">
        <f>IFERROR(__xludf.DUMMYFUNCTION("""COMPUTED_VALUE"""),"curlsbybebonia")</f>
        <v>curlsbybebonia</v>
      </c>
    </row>
    <row r="71">
      <c r="A71" s="8" t="str">
        <f>IFERROR(__xludf.DUMMYFUNCTION("""COMPUTED_VALUE"""),"curl.talk")</f>
        <v>curl.talk</v>
      </c>
    </row>
    <row r="72">
      <c r="A72" s="8" t="str">
        <f>IFERROR(__xludf.DUMMYFUNCTION("""COMPUTED_VALUE"""),"curly__hair__17")</f>
        <v>curly__hair__17</v>
      </c>
    </row>
    <row r="73">
      <c r="A73" s="8" t="str">
        <f>IFERROR(__xludf.DUMMYFUNCTION("""COMPUTED_VALUE"""),"curlyhairbae")</f>
        <v>curlyhairbae</v>
      </c>
    </row>
    <row r="74">
      <c r="A74" s="8" t="str">
        <f>IFERROR(__xludf.DUMMYFUNCTION("""COMPUTED_VALUE"""),"curly.hair.boo")</f>
        <v>curly.hair.boo</v>
      </c>
    </row>
    <row r="75">
      <c r="A75" s="8" t="str">
        <f>IFERROR(__xludf.DUMMYFUNCTION("""COMPUTED_VALUE"""),"curlyhair.coo")</f>
        <v>curlyhair.coo</v>
      </c>
    </row>
    <row r="76">
      <c r="A76" s="8" t="str">
        <f>IFERROR(__xludf.DUMMYFUNCTION("""COMPUTED_VALUE"""),"curlyhair.go")</f>
        <v>curlyhair.go</v>
      </c>
    </row>
    <row r="77">
      <c r="A77" s="8" t="str">
        <f>IFERROR(__xludf.DUMMYFUNCTION("""COMPUTED_VALUE"""),"curlyhairniyahfp")</f>
        <v>curlyhairniyahfp</v>
      </c>
    </row>
    <row r="78">
      <c r="A78" s="8" t="str">
        <f>IFERROR(__xludf.DUMMYFUNCTION("""COMPUTED_VALUE"""),"fuzzycurls_")</f>
        <v>fuzzycurls_</v>
      </c>
    </row>
    <row r="79">
      <c r="A79" s="8" t="str">
        <f>IFERROR(__xludf.DUMMYFUNCTION("""COMPUTED_VALUE"""),"ingecurls")</f>
        <v>ingecurls</v>
      </c>
    </row>
    <row r="80">
      <c r="A80" s="8" t="str">
        <f>IFERROR(__xludf.DUMMYFUNCTION("""COMPUTED_VALUE"""),"magic_hair_curly")</f>
        <v>magic_hair_curly</v>
      </c>
    </row>
    <row r="81">
      <c r="A81" s="8" t="str">
        <f>IFERROR(__xludf.DUMMYFUNCTION("""COMPUTED_VALUE"""),"mundo_de_rizos")</f>
        <v>mundo_de_rizos</v>
      </c>
    </row>
    <row r="82">
      <c r="A82" s="8" t="str">
        <f>IFERROR(__xludf.DUMMYFUNCTION("""COMPUTED_VALUE"""),"adogsjourneymovie")</f>
        <v>adogsjourneymovie</v>
      </c>
    </row>
    <row r="83">
      <c r="A83" s="8" t="str">
        <f>IFERROR(__xludf.DUMMYFUNCTION("""COMPUTED_VALUE"""),"dogs")</f>
        <v>dogs</v>
      </c>
    </row>
    <row r="84">
      <c r="A84" s="8" t="str">
        <f>IFERROR(__xludf.DUMMYFUNCTION("""COMPUTED_VALUE"""),"dogsinapileband")</f>
        <v>dogsinapileband</v>
      </c>
    </row>
    <row r="85">
      <c r="A85" s="8" t="str">
        <f>IFERROR(__xludf.DUMMYFUNCTION("""COMPUTED_VALUE"""),"dogs.loversu")</f>
        <v>dogs.loversu</v>
      </c>
    </row>
    <row r="86">
      <c r="A86" s="8" t="str">
        <f>IFERROR(__xludf.DUMMYFUNCTION("""COMPUTED_VALUE"""),"dogs.loveru")</f>
        <v>dogs.loveru</v>
      </c>
    </row>
    <row r="87">
      <c r="A87" s="8" t="str">
        <f>IFERROR(__xludf.DUMMYFUNCTION("""COMPUTED_VALUE"""),"doodledogsclub")</f>
        <v>doodledogsclub</v>
      </c>
    </row>
    <row r="88">
      <c r="A88" s="8" t="str">
        <f>IFERROR(__xludf.DUMMYFUNCTION("""COMPUTED_VALUE"""),"goodlydogs")</f>
        <v>goodlydogs</v>
      </c>
    </row>
    <row r="89">
      <c r="A89" s="8" t="str">
        <f>IFERROR(__xludf.DUMMYFUNCTION("""COMPUTED_VALUE"""),"hatsukoi_dogs")</f>
        <v>hatsukoi_dogs</v>
      </c>
    </row>
    <row r="90">
      <c r="A90" s="8" t="str">
        <f>IFERROR(__xludf.DUMMYFUNCTION("""COMPUTED_VALUE"""),"pawffinity")</f>
        <v>pawffinity</v>
      </c>
    </row>
    <row r="91">
      <c r="A91" s="8" t="str">
        <f>IFERROR(__xludf.DUMMYFUNCTION("""COMPUTED_VALUE"""),"thefaithfulanimal")</f>
        <v>thefaithfulanimal</v>
      </c>
    </row>
    <row r="92">
      <c r="A92" s="8" t="str">
        <f>IFERROR(__xludf.DUMMYFUNCTION("""COMPUTED_VALUE"""),"buriecommerce")</f>
        <v>buriecommerce</v>
      </c>
    </row>
    <row r="93">
      <c r="A93" s="8" t="str">
        <f>IFERROR(__xludf.DUMMYFUNCTION("""COMPUTED_VALUE"""),"ecommerce")</f>
        <v>ecommerce</v>
      </c>
    </row>
    <row r="94">
      <c r="A94" s="8" t="str">
        <f>IFERROR(__xludf.DUMMYFUNCTION("""COMPUTED_VALUE"""),"efficommerce")</f>
        <v>efficommerce</v>
      </c>
    </row>
    <row r="95">
      <c r="A95" s="8" t="str">
        <f>IFERROR(__xludf.DUMMYFUNCTION("""COMPUTED_VALUE"""),"giorgiaccolla")</f>
        <v>giorgiaccolla</v>
      </c>
    </row>
    <row r="96">
      <c r="A96" s="8" t="str">
        <f>IFERROR(__xludf.DUMMYFUNCTION("""COMPUTED_VALUE"""),"guilherme.mornatti")</f>
        <v>guilherme.mornatti</v>
      </c>
    </row>
    <row r="97">
      <c r="A97" s="8" t="str">
        <f>IFERROR(__xludf.DUMMYFUNCTION("""COMPUTED_VALUE"""),"hemant_ecom")</f>
        <v>hemant_ecom</v>
      </c>
    </row>
    <row r="98">
      <c r="A98" s="8" t="str">
        <f>IFERROR(__xludf.DUMMYFUNCTION("""COMPUTED_VALUE"""),"pandoriumdigital")</f>
        <v>pandoriumdigital</v>
      </c>
    </row>
    <row r="99">
      <c r="A99" s="8" t="str">
        <f>IFERROR(__xludf.DUMMYFUNCTION("""COMPUTED_VALUE"""),"saqenza")</f>
        <v>saqenza</v>
      </c>
    </row>
    <row r="100">
      <c r="A100" s="8" t="str">
        <f>IFERROR(__xludf.DUMMYFUNCTION("""COMPUTED_VALUE"""),"saraeffi_")</f>
        <v>saraeffi_</v>
      </c>
    </row>
    <row r="101">
      <c r="A101" s="8" t="str">
        <f>IFERROR(__xludf.DUMMYFUNCTION("""COMPUTED_VALUE"""),"adidasfootball")</f>
        <v>adidasfootball</v>
      </c>
    </row>
    <row r="102">
      <c r="A102" s="8" t="str">
        <f>IFERROR(__xludf.DUMMYFUNCTION("""COMPUTED_VALUE"""),"brfootball")</f>
        <v>brfootball</v>
      </c>
    </row>
    <row r="103">
      <c r="A103" s="8" t="str">
        <f>IFERROR(__xludf.DUMMYFUNCTION("""COMPUTED_VALUE"""),"efootball")</f>
        <v>efootball</v>
      </c>
    </row>
    <row r="104">
      <c r="A104" s="8" t="str">
        <f>IFERROR(__xludf.DUMMYFUNCTION("""COMPUTED_VALUE"""),"football")</f>
        <v>football</v>
      </c>
    </row>
    <row r="105">
      <c r="A105" s="8" t="str">
        <f>IFERROR(__xludf.DUMMYFUNCTION("""COMPUTED_VALUE"""),"footballforever")</f>
        <v>footballforever</v>
      </c>
    </row>
    <row r="106">
      <c r="A106" s="8" t="str">
        <f>IFERROR(__xludf.DUMMYFUNCTION("""COMPUTED_VALUE"""),"fsufootball")</f>
        <v>fsufootball</v>
      </c>
    </row>
    <row r="107">
      <c r="A107" s="8" t="str">
        <f>IFERROR(__xludf.DUMMYFUNCTION("""COMPUTED_VALUE"""),"kufootball")</f>
        <v>kufootball</v>
      </c>
    </row>
    <row r="108">
      <c r="A108" s="8" t="str">
        <f>IFERROR(__xludf.DUMMYFUNCTION("""COMPUTED_VALUE"""),"liverpoolfc")</f>
        <v>liverpoolfc</v>
      </c>
    </row>
    <row r="109">
      <c r="A109" s="8" t="str">
        <f>IFERROR(__xludf.DUMMYFUNCTION("""COMPUTED_VALUE"""),"lsufootball")</f>
        <v>lsufootball</v>
      </c>
    </row>
    <row r="110">
      <c r="A110" s="8" t="str">
        <f>IFERROR(__xludf.DUMMYFUNCTION("""COMPUTED_VALUE"""),"ndfootball")</f>
        <v>ndfootball</v>
      </c>
    </row>
    <row r="111">
      <c r="A111" s="8" t="str">
        <f>IFERROR(__xludf.DUMMYFUNCTION("""COMPUTED_VALUE"""),"nikefootball")</f>
        <v>nikefootball</v>
      </c>
    </row>
    <row r="112">
      <c r="A112" s="8" t="str">
        <f>IFERROR(__xludf.DUMMYFUNCTION("""COMPUTED_VALUE"""),"psufootballdaily")</f>
        <v>psufootballdaily</v>
      </c>
    </row>
    <row r="113">
      <c r="A113" s="8" t="str">
        <f>IFERROR(__xludf.DUMMYFUNCTION("""COMPUTED_VALUE"""),"uncfootball")</f>
        <v>uncfootball</v>
      </c>
    </row>
    <row r="114">
      <c r="A114" s="8" t="str">
        <f>IFERROR(__xludf.DUMMYFUNCTION("""COMPUTED_VALUE"""),"agusfortnite2008")</f>
        <v>agusfortnite2008</v>
      </c>
    </row>
    <row r="115">
      <c r="A115" s="8" t="str">
        <f>IFERROR(__xludf.DUMMYFUNCTION("""COMPUTED_VALUE"""),"fncompetitive")</f>
        <v>fncompetitive</v>
      </c>
    </row>
    <row r="116">
      <c r="A116" s="8" t="str">
        <f>IFERROR(__xludf.DUMMYFUNCTION("""COMPUTED_VALUE"""),"fnfestival")</f>
        <v>fnfestival</v>
      </c>
    </row>
    <row r="117">
      <c r="A117" s="8" t="str">
        <f>IFERROR(__xludf.DUMMYFUNCTION("""COMPUTED_VALUE"""),"forrtnite")</f>
        <v>forrtnite</v>
      </c>
    </row>
    <row r="118">
      <c r="A118" s="8" t="str">
        <f>IFERROR(__xludf.DUMMYFUNCTION("""COMPUTED_VALUE"""),"fortnite")</f>
        <v>fortnite</v>
      </c>
    </row>
    <row r="119">
      <c r="A119" s="8" t="str">
        <f>IFERROR(__xludf.DUMMYFUNCTION("""COMPUTED_VALUE"""),"fortnitebrfeed")</f>
        <v>fortnitebrfeed</v>
      </c>
    </row>
    <row r="120">
      <c r="A120" s="8" t="str">
        <f>IFERROR(__xludf.DUMMYFUNCTION("""COMPUTED_VALUE"""),"fortnitees")</f>
        <v>fortnitees</v>
      </c>
    </row>
    <row r="121">
      <c r="A121" s="8" t="str">
        <f>IFERROR(__xludf.DUMMYFUNCTION("""COMPUTED_VALUE"""),"fortnitejp")</f>
        <v>fortnitejp</v>
      </c>
    </row>
    <row r="122">
      <c r="A122" s="8" t="str">
        <f>IFERROR(__xludf.DUMMYFUNCTION("""COMPUTED_VALUE"""),"fortnitelatam")</f>
        <v>fortnitelatam</v>
      </c>
    </row>
    <row r="123">
      <c r="A123" s="8" t="str">
        <f>IFERROR(__xludf.DUMMYFUNCTION("""COMPUTED_VALUE"""),"best_home_gadgets")</f>
        <v>best_home_gadgets</v>
      </c>
    </row>
    <row r="124">
      <c r="A124" s="8" t="str">
        <f>IFERROR(__xludf.DUMMYFUNCTION("""COMPUTED_VALUE"""),"buythegadgets")</f>
        <v>buythegadgets</v>
      </c>
    </row>
    <row r="125">
      <c r="A125" s="8" t="str">
        <f>IFERROR(__xludf.DUMMYFUNCTION("""COMPUTED_VALUE"""),"daily_unique_gadgets")</f>
        <v>daily_unique_gadgets</v>
      </c>
    </row>
    <row r="126">
      <c r="A126" s="8" t="str">
        <f>IFERROR(__xludf.DUMMYFUNCTION("""COMPUTED_VALUE"""),"enggadgets")</f>
        <v>enggadgets</v>
      </c>
    </row>
    <row r="127">
      <c r="A127" s="8" t="str">
        <f>IFERROR(__xludf.DUMMYFUNCTION("""COMPUTED_VALUE"""),"futuristic__modern_tech")</f>
        <v>futuristic__modern_tech</v>
      </c>
    </row>
    <row r="128">
      <c r="A128" s="8" t="str">
        <f>IFERROR(__xludf.DUMMYFUNCTION("""COMPUTED_VALUE"""),"gadgets")</f>
        <v>gadgets</v>
      </c>
    </row>
    <row r="129">
      <c r="A129" s="8" t="str">
        <f>IFERROR(__xludf.DUMMYFUNCTION("""COMPUTED_VALUE"""),"gadgetsbim")</f>
        <v>gadgetsbim</v>
      </c>
    </row>
    <row r="130">
      <c r="A130" s="8" t="str">
        <f>IFERROR(__xludf.DUMMYFUNCTION("""COMPUTED_VALUE"""),"gadgetstrip")</f>
        <v>gadgetstrip</v>
      </c>
    </row>
    <row r="131">
      <c r="A131" s="8" t="str">
        <f>IFERROR(__xludf.DUMMYFUNCTION("""COMPUTED_VALUE"""),"home.gadgets1")</f>
        <v>home.gadgets1</v>
      </c>
    </row>
    <row r="132">
      <c r="A132" s="8" t="str">
        <f>IFERROR(__xludf.DUMMYFUNCTION("""COMPUTED_VALUE"""),"macabregadgets")</f>
        <v>macabregadgets</v>
      </c>
    </row>
    <row r="133">
      <c r="A133" s="8" t="str">
        <f>IFERROR(__xludf.DUMMYFUNCTION("""COMPUTED_VALUE"""),"noocx.gadgets")</f>
        <v>noocx.gadgets</v>
      </c>
    </row>
    <row r="134">
      <c r="A134" s="8" t="str">
        <f>IFERROR(__xludf.DUMMYFUNCTION("""COMPUTED_VALUE"""),"omg.gadget")</f>
        <v>omg.gadget</v>
      </c>
    </row>
    <row r="135">
      <c r="A135" s="8" t="str">
        <f>IFERROR(__xludf.DUMMYFUNCTION("""COMPUTED_VALUE"""),"rising.tech")</f>
        <v>rising.tech</v>
      </c>
    </row>
    <row r="136">
      <c r="A136" s="8" t="str">
        <f>IFERROR(__xludf.DUMMYFUNCTION("""COMPUTED_VALUE"""),"smarthomegadgetss")</f>
        <v>smarthomegadgetss</v>
      </c>
    </row>
    <row r="137">
      <c r="A137" s="8" t="str">
        <f>IFERROR(__xludf.DUMMYFUNCTION("""COMPUTED_VALUE"""),"theamazing_gadgets")</f>
        <v>theamazing_gadgets</v>
      </c>
    </row>
    <row r="138">
      <c r="A138" s="8" t="str">
        <f>IFERROR(__xludf.DUMMYFUNCTION("""COMPUTED_VALUE"""),"unique__gadgets.india")</f>
        <v>unique__gadgets.india</v>
      </c>
    </row>
    <row r="139">
      <c r="A139" s="8" t="str">
        <f>IFERROR(__xludf.DUMMYFUNCTION("""COMPUTED_VALUE"""),"xtechnation")</f>
        <v>xtechnation</v>
      </c>
    </row>
    <row r="140">
      <c r="A140" s="8" t="str">
        <f>IFERROR(__xludf.DUMMYFUNCTION("""COMPUTED_VALUE"""),"fantech_esports")</f>
        <v>fantech_esports</v>
      </c>
    </row>
    <row r="141">
      <c r="A141" s="8" t="str">
        <f>IFERROR(__xludf.DUMMYFUNCTION("""COMPUTED_VALUE"""),"gaming")</f>
        <v>gaming</v>
      </c>
    </row>
    <row r="142">
      <c r="A142" s="8" t="str">
        <f>IFERROR(__xludf.DUMMYFUNCTION("""COMPUTED_VALUE"""),"gaminghousetz")</f>
        <v>gaminghousetz</v>
      </c>
    </row>
    <row r="143">
      <c r="A143" s="8" t="str">
        <f>IFERROR(__xludf.DUMMYFUNCTION("""COMPUTED_VALUE"""),"gaming_storeccs")</f>
        <v>gaming_storeccs</v>
      </c>
    </row>
    <row r="144">
      <c r="A144" s="8" t="str">
        <f>IFERROR(__xludf.DUMMYFUNCTION("""COMPUTED_VALUE"""),"gamingzar")</f>
        <v>gamingzar</v>
      </c>
    </row>
    <row r="145">
      <c r="A145" s="8" t="str">
        <f>IFERROR(__xludf.DUMMYFUNCTION("""COMPUTED_VALUE"""),"houseofgaming")</f>
        <v>houseofgaming</v>
      </c>
    </row>
    <row r="146">
      <c r="A146" s="8" t="str">
        <f>IFERROR(__xludf.DUMMYFUNCTION("""COMPUTED_VALUE"""),"mathys_gaming")</f>
        <v>mathys_gaming</v>
      </c>
    </row>
    <row r="147">
      <c r="A147" s="8" t="str">
        <f>IFERROR(__xludf.DUMMYFUNCTION("""COMPUTED_VALUE"""),"arloguitar")</f>
        <v>arloguitar</v>
      </c>
    </row>
    <row r="148">
      <c r="A148" s="8" t="str">
        <f>IFERROR(__xludf.DUMMYFUNCTION("""COMPUTED_VALUE"""),"guitar")</f>
        <v>guitar</v>
      </c>
    </row>
    <row r="149">
      <c r="A149" s="8" t="str">
        <f>IFERROR(__xludf.DUMMYFUNCTION("""COMPUTED_VALUE"""),"guitaraz0")</f>
        <v>guitaraz0</v>
      </c>
    </row>
    <row r="150">
      <c r="A150" s="8" t="str">
        <f>IFERROR(__xludf.DUMMYFUNCTION("""COMPUTED_VALUE"""),"guitarcenter")</f>
        <v>guitarcenter</v>
      </c>
    </row>
    <row r="151">
      <c r="A151" s="8" t="str">
        <f>IFERROR(__xludf.DUMMYFUNCTION("""COMPUTED_VALUE"""),"guitarsecret")</f>
        <v>guitarsecret</v>
      </c>
    </row>
    <row r="152">
      <c r="A152" s="8" t="str">
        <f>IFERROR(__xludf.DUMMYFUNCTION("""COMPUTED_VALUE"""),"guitarworldmagazine")</f>
        <v>guitarworldmagazine</v>
      </c>
    </row>
    <row r="153">
      <c r="A153" s="8" t="str">
        <f>IFERROR(__xludf.DUMMYFUNCTION("""COMPUTED_VALUE"""),"lz.guitar")</f>
        <v>lz.guitar</v>
      </c>
    </row>
    <row r="154">
      <c r="A154" s="8" t="str">
        <f>IFERROR(__xludf.DUMMYFUNCTION("""COMPUTED_VALUE"""),"matteomancuso.guitar")</f>
        <v>matteomancuso.guitar</v>
      </c>
    </row>
    <row r="155">
      <c r="A155" s="8" t="str">
        <f>IFERROR(__xludf.DUMMYFUNCTION("""COMPUTED_VALUE"""),"strumlogic")</f>
        <v>strumlogic</v>
      </c>
    </row>
    <row r="156">
      <c r="A156" s="8" t="str">
        <f>IFERROR(__xludf.DUMMYFUNCTION("""COMPUTED_VALUE"""),"gymcabin")</f>
        <v>gymcabin</v>
      </c>
    </row>
    <row r="157">
      <c r="A157" s="8" t="str">
        <f>IFERROR(__xludf.DUMMYFUNCTION("""COMPUTED_VALUE"""),"gym.legends")</f>
        <v>gym.legends</v>
      </c>
    </row>
    <row r="158">
      <c r="A158" s="8" t="str">
        <f>IFERROR(__xludf.DUMMYFUNCTION("""COMPUTED_VALUE"""),"gymmemesandmotivation")</f>
        <v>gymmemesandmotivation</v>
      </c>
    </row>
    <row r="159">
      <c r="A159" s="8" t="str">
        <f>IFERROR(__xludf.DUMMYFUNCTION("""COMPUTED_VALUE"""),"gym_motiivatiion")</f>
        <v>gym_motiivatiion</v>
      </c>
    </row>
    <row r="160">
      <c r="A160" s="8" t="str">
        <f>IFERROR(__xludf.DUMMYFUNCTION("""COMPUTED_VALUE"""),"gymmotivation")</f>
        <v>gymmotivation</v>
      </c>
    </row>
    <row r="161">
      <c r="A161" s="8" t="str">
        <f>IFERROR(__xludf.DUMMYFUNCTION("""COMPUTED_VALUE"""),"gym_motivation_0.2")</f>
        <v>gym_motivation_0.2</v>
      </c>
    </row>
    <row r="162">
      <c r="A162" s="8" t="str">
        <f>IFERROR(__xludf.DUMMYFUNCTION("""COMPUTED_VALUE"""),"gym_motivation021")</f>
        <v>gym_motivation021</v>
      </c>
    </row>
    <row r="163">
      <c r="A163" s="8" t="str">
        <f>IFERROR(__xludf.DUMMYFUNCTION("""COMPUTED_VALUE"""),"gym__motivation__10")</f>
        <v>gym__motivation__10</v>
      </c>
    </row>
    <row r="164">
      <c r="A164" s="8" t="str">
        <f>IFERROR(__xludf.DUMMYFUNCTION("""COMPUTED_VALUE"""),"gym_motivation_64k")</f>
        <v>gym_motivation_64k</v>
      </c>
    </row>
    <row r="165">
      <c r="A165" s="8" t="str">
        <f>IFERROR(__xludf.DUMMYFUNCTION("""COMPUTED_VALUE"""),"gym_online")</f>
        <v>gym_online</v>
      </c>
    </row>
    <row r="166">
      <c r="A166" s="8" t="str">
        <f>IFERROR(__xludf.DUMMYFUNCTION("""COMPUTED_VALUE"""),"gym_workout_club")</f>
        <v>gym_workout_club</v>
      </c>
    </row>
    <row r="167">
      <c r="A167" s="8" t="str">
        <f>IFERROR(__xludf.DUMMYFUNCTION("""COMPUTED_VALUE"""),"trinityfitnessforwomen")</f>
        <v>trinityfitnessforwomen</v>
      </c>
    </row>
    <row r="168">
      <c r="A168" s="8" t="str">
        <f>IFERROR(__xludf.DUMMYFUNCTION("""COMPUTED_VALUE"""),"agathem.illustration")</f>
        <v>agathem.illustration</v>
      </c>
    </row>
    <row r="169">
      <c r="A169" s="8" t="str">
        <f>IFERROR(__xludf.DUMMYFUNCTION("""COMPUTED_VALUE"""),"aishrillustrations")</f>
        <v>aishrillustrations</v>
      </c>
    </row>
    <row r="170">
      <c r="A170" s="8" t="str">
        <f>IFERROR(__xludf.DUMMYFUNCTION("""COMPUTED_VALUE"""),"artguide_illustration")</f>
        <v>artguide_illustration</v>
      </c>
    </row>
    <row r="171">
      <c r="A171" s="8" t="str">
        <f>IFERROR(__xludf.DUMMYFUNCTION("""COMPUTED_VALUE"""),"hnicholsillustration")</f>
        <v>hnicholsillustration</v>
      </c>
    </row>
    <row r="172">
      <c r="A172" s="8" t="str">
        <f>IFERROR(__xludf.DUMMYFUNCTION("""COMPUTED_VALUE"""),"illustration_best")</f>
        <v>illustration_best</v>
      </c>
    </row>
    <row r="173">
      <c r="A173" s="8" t="str">
        <f>IFERROR(__xludf.DUMMYFUNCTION("""COMPUTED_VALUE"""),"lucyclaireillustration")</f>
        <v>lucyclaireillustration</v>
      </c>
    </row>
    <row r="174">
      <c r="A174" s="8" t="str">
        <f>IFERROR(__xludf.DUMMYFUNCTION("""COMPUTED_VALUE"""),"neg_illustration")</f>
        <v>neg_illustration</v>
      </c>
    </row>
    <row r="175">
      <c r="A175" s="8" t="str">
        <f>IFERROR(__xludf.DUMMYFUNCTION("""COMPUTED_VALUE"""),"os.illustration")</f>
        <v>os.illustration</v>
      </c>
    </row>
    <row r="176">
      <c r="A176" s="8" t="str">
        <f>IFERROR(__xludf.DUMMYFUNCTION("""COMPUTED_VALUE"""),"rem.illustrations")</f>
        <v>rem.illustrations</v>
      </c>
    </row>
    <row r="177">
      <c r="A177" s="8" t="str">
        <f>IFERROR(__xludf.DUMMYFUNCTION("""COMPUTED_VALUE"""),"womenofillustration")</f>
        <v>womenofillustration</v>
      </c>
    </row>
    <row r="178">
      <c r="A178" s="8" t="str">
        <f>IFERROR(__xludf.DUMMYFUNCTION("""COMPUTED_VALUE"""),"ceos.circle")</f>
        <v>ceos.circle</v>
      </c>
    </row>
    <row r="179">
      <c r="A179" s="8" t="str">
        <f>IFERROR(__xludf.DUMMYFUNCTION("""COMPUTED_VALUE"""),"delyannethemoneycoach")</f>
        <v>delyannethemoneycoach</v>
      </c>
    </row>
    <row r="180">
      <c r="A180" s="8" t="str">
        <f>IFERROR(__xludf.DUMMYFUNCTION("""COMPUTED_VALUE"""),"goodstudent_investing")</f>
        <v>goodstudent_investing</v>
      </c>
    </row>
    <row r="181">
      <c r="A181" s="8" t="str">
        <f>IFERROR(__xludf.DUMMYFUNCTION("""COMPUTED_VALUE"""),"ianbuildswealth")</f>
        <v>ianbuildswealth</v>
      </c>
    </row>
    <row r="182">
      <c r="A182" s="8" t="str">
        <f>IFERROR(__xludf.DUMMYFUNCTION("""COMPUTED_VALUE"""),"investing")</f>
        <v>investing</v>
      </c>
    </row>
    <row r="183">
      <c r="A183" s="8" t="str">
        <f>IFERROR(__xludf.DUMMYFUNCTION("""COMPUTED_VALUE"""),"_investing")</f>
        <v>_investing</v>
      </c>
    </row>
    <row r="184">
      <c r="A184" s="8" t="str">
        <f>IFERROR(__xludf.DUMMYFUNCTION("""COMPUTED_VALUE"""),"investing.asesores")</f>
        <v>investing.asesores</v>
      </c>
    </row>
    <row r="185">
      <c r="A185" s="8" t="str">
        <f>IFERROR(__xludf.DUMMYFUNCTION("""COMPUTED_VALUE"""),"investingcom")</f>
        <v>investingcom</v>
      </c>
    </row>
    <row r="186">
      <c r="A186" s="8" t="str">
        <f>IFERROR(__xludf.DUMMYFUNCTION("""COMPUTED_VALUE"""),"investingmentors")</f>
        <v>investingmentors</v>
      </c>
    </row>
    <row r="187">
      <c r="A187" s="8" t="str">
        <f>IFERROR(__xludf.DUMMYFUNCTION("""COMPUTED_VALUE"""),"investingportal")</f>
        <v>investingportal</v>
      </c>
    </row>
    <row r="188">
      <c r="A188" s="8" t="str">
        <f>IFERROR(__xludf.DUMMYFUNCTION("""COMPUTED_VALUE"""),"passioninvesting")</f>
        <v>passioninvesting</v>
      </c>
    </row>
    <row r="189">
      <c r="A189" s="8" t="str">
        <f>IFERROR(__xludf.DUMMYFUNCTION("""COMPUTED_VALUE"""),"pivotben")</f>
        <v>pivotben</v>
      </c>
    </row>
    <row r="190">
      <c r="A190" s="8" t="str">
        <f>IFERROR(__xludf.DUMMYFUNCTION("""COMPUTED_VALUE"""),"shesonthemoneyaus")</f>
        <v>shesonthemoneyaus</v>
      </c>
    </row>
    <row r="191">
      <c r="A191" s="8" t="str">
        <f>IFERROR(__xludf.DUMMYFUNCTION("""COMPUTED_VALUE"""),"stock_masters_")</f>
        <v>stock_masters_</v>
      </c>
    </row>
    <row r="192">
      <c r="A192" s="8" t="str">
        <f>IFERROR(__xludf.DUMMYFUNCTION("""COMPUTED_VALUE"""),"stocksandsavings")</f>
        <v>stocksandsavings</v>
      </c>
    </row>
    <row r="193">
      <c r="A193" s="8" t="str">
        <f>IFERROR(__xludf.DUMMYFUNCTION("""COMPUTED_VALUE"""),"thelegacyinvestingshow")</f>
        <v>thelegacyinvestingshow</v>
      </c>
    </row>
    <row r="194">
      <c r="A194" s="8" t="str">
        <f>IFERROR(__xludf.DUMMYFUNCTION("""COMPUTED_VALUE"""),"girl_group1111")</f>
        <v>girl_group1111</v>
      </c>
    </row>
    <row r="195">
      <c r="A195" s="8" t="str">
        <f>IFERROR(__xludf.DUMMYFUNCTION("""COMPUTED_VALUE"""),"kpop.armpit.nation")</f>
        <v>kpop.armpit.nation</v>
      </c>
    </row>
    <row r="196">
      <c r="A196" s="8" t="str">
        <f>IFERROR(__xludf.DUMMYFUNCTION("""COMPUTED_VALUE"""),"kpopdemonhuntersnetflix")</f>
        <v>kpopdemonhuntersnetflix</v>
      </c>
    </row>
    <row r="197">
      <c r="A197" s="8" t="str">
        <f>IFERROR(__xludf.DUMMYFUNCTION("""COMPUTED_VALUE"""),"kpopdemonhuntrs")</f>
        <v>kpopdemonhuntrs</v>
      </c>
    </row>
    <row r="198">
      <c r="A198" s="8" t="str">
        <f>IFERROR(__xludf.DUMMYFUNCTION("""COMPUTED_VALUE"""),"kpopredict")</f>
        <v>kpopredict</v>
      </c>
    </row>
    <row r="199">
      <c r="A199" s="8" t="str">
        <f>IFERROR(__xludf.DUMMYFUNCTION("""COMPUTED_VALUE"""),"kpopunderground")</f>
        <v>kpopunderground</v>
      </c>
    </row>
    <row r="200">
      <c r="A200" s="8" t="str">
        <f>IFERROR(__xludf.DUMMYFUNCTION("""COMPUTED_VALUE"""),"k_pop.viral")</f>
        <v>k_pop.viral</v>
      </c>
    </row>
    <row r="201">
      <c r="A201" s="8" t="str">
        <f>IFERROR(__xludf.DUMMYFUNCTION("""COMPUTED_VALUE"""),"livenation.kpop")</f>
        <v>livenation.kpop</v>
      </c>
    </row>
    <row r="202">
      <c r="A202" s="8" t="str">
        <f>IFERROR(__xludf.DUMMYFUNCTION("""COMPUTED_VALUE"""),"panncafe")</f>
        <v>panncafe</v>
      </c>
    </row>
    <row r="203">
      <c r="A203" s="8" t="str">
        <f>IFERROR(__xludf.DUMMYFUNCTION("""COMPUTED_VALUE"""),"thektea")</f>
        <v>thektea</v>
      </c>
    </row>
    <row r="204">
      <c r="A204" s="8" t="str">
        <f>IFERROR(__xludf.DUMMYFUNCTION("""COMPUTED_VALUE"""),"fwee_makeup_jp")</f>
        <v>fwee_makeup_jp</v>
      </c>
    </row>
    <row r="205">
      <c r="A205" s="8" t="str">
        <f>IFERROR(__xludf.DUMMYFUNCTION("""COMPUTED_VALUE"""),"idoshohat_makeup")</f>
        <v>idoshohat_makeup</v>
      </c>
    </row>
    <row r="206">
      <c r="A206" s="8" t="str">
        <f>IFERROR(__xludf.DUMMYFUNCTION("""COMPUTED_VALUE"""),"j_make_up")</f>
        <v>j_make_up</v>
      </c>
    </row>
    <row r="207">
      <c r="A207" s="8" t="str">
        <f>IFERROR(__xludf.DUMMYFUNCTION("""COMPUTED_VALUE"""),"lorin_sh_makeupartist")</f>
        <v>lorin_sh_makeupartist</v>
      </c>
    </row>
    <row r="208">
      <c r="A208" s="8" t="str">
        <f>IFERROR(__xludf.DUMMYFUNCTION("""COMPUTED_VALUE"""),"makeup")</f>
        <v>makeup</v>
      </c>
    </row>
    <row r="209">
      <c r="A209" s="8" t="str">
        <f>IFERROR(__xludf.DUMMYFUNCTION("""COMPUTED_VALUE"""),"makeupforever")</f>
        <v>makeupforever</v>
      </c>
    </row>
    <row r="210">
      <c r="A210" s="8" t="str">
        <f>IFERROR(__xludf.DUMMYFUNCTION("""COMPUTED_VALUE"""),"makeupsface")</f>
        <v>makeupsface</v>
      </c>
    </row>
    <row r="211">
      <c r="A211" s="8" t="str">
        <f>IFERROR(__xludf.DUMMYFUNCTION("""COMPUTED_VALUE"""),"makeupstore")</f>
        <v>makeupstore</v>
      </c>
    </row>
    <row r="212">
      <c r="A212" s="8" t="str">
        <f>IFERROR(__xludf.DUMMYFUNCTION("""COMPUTED_VALUE"""),"makeupwlp")</f>
        <v>makeupwlp</v>
      </c>
    </row>
    <row r="213">
      <c r="A213" s="8" t="str">
        <f>IFERROR(__xludf.DUMMYFUNCTION("""COMPUTED_VALUE"""),"orpazzohar_makeup")</f>
        <v>orpazzohar_makeup</v>
      </c>
    </row>
    <row r="214">
      <c r="A214" s="8" t="str">
        <f>IFERROR(__xludf.DUMMYFUNCTION("""COMPUTED_VALUE"""),"rcmamakeup")</f>
        <v>rcmamakeup</v>
      </c>
    </row>
    <row r="215">
      <c r="A215" s="8" t="str">
        <f>IFERROR(__xludf.DUMMYFUNCTION("""COMPUTED_VALUE"""),"rikiperetzmakeup")</f>
        <v>rikiperetzmakeup</v>
      </c>
    </row>
    <row r="216">
      <c r="A216" s="8" t="str">
        <f>IFERROR(__xludf.DUMMYFUNCTION("""COMPUTED_VALUE"""),"tali_moas_makeup")</f>
        <v>tali_moas_makeup</v>
      </c>
    </row>
    <row r="217">
      <c r="A217" s="8" t="str">
        <f>IFERROR(__xludf.DUMMYFUNCTION("""COMPUTED_VALUE"""),"comedyslam")</f>
        <v>comedyslam</v>
      </c>
    </row>
    <row r="218">
      <c r="A218" s="8" t="str">
        <f>IFERROR(__xludf.DUMMYFUNCTION("""COMPUTED_VALUE"""),"fruitsnacks")</f>
        <v>fruitsnacks</v>
      </c>
    </row>
    <row r="219">
      <c r="A219" s="8" t="str">
        <f>IFERROR(__xludf.DUMMYFUNCTION("""COMPUTED_VALUE"""),"greatbritish.memes")</f>
        <v>greatbritish.memes</v>
      </c>
    </row>
    <row r="220">
      <c r="A220" s="8" t="str">
        <f>IFERROR(__xludf.DUMMYFUNCTION("""COMPUTED_VALUE"""),"hoodmemeclub")</f>
        <v>hoodmemeclub</v>
      </c>
    </row>
    <row r="221">
      <c r="A221" s="8" t="str">
        <f>IFERROR(__xludf.DUMMYFUNCTION("""COMPUTED_VALUE"""),"ight")</f>
        <v>ight</v>
      </c>
    </row>
    <row r="222">
      <c r="A222" s="8" t="str">
        <f>IFERROR(__xludf.DUMMYFUNCTION("""COMPUTED_VALUE"""),"memegod")</f>
        <v>memegod</v>
      </c>
    </row>
    <row r="223">
      <c r="A223" s="8" t="str">
        <f>IFERROR(__xludf.DUMMYFUNCTION("""COMPUTED_VALUE"""),"meme.ig")</f>
        <v>meme.ig</v>
      </c>
    </row>
    <row r="224">
      <c r="A224" s="8" t="str">
        <f>IFERROR(__xludf.DUMMYFUNCTION("""COMPUTED_VALUE"""),"memes")</f>
        <v>memes</v>
      </c>
    </row>
    <row r="225">
      <c r="A225" s="8" t="str">
        <f>IFERROR(__xludf.DUMMYFUNCTION("""COMPUTED_VALUE"""),"memesbrasil")</f>
        <v>memesbrasil</v>
      </c>
    </row>
    <row r="226">
      <c r="A226" s="8" t="str">
        <f>IFERROR(__xludf.DUMMYFUNCTION("""COMPUTED_VALUE"""),"memes_by_oke")</f>
        <v>memes_by_oke</v>
      </c>
    </row>
    <row r="227">
      <c r="A227" s="8" t="str">
        <f>IFERROR(__xludf.DUMMYFUNCTION("""COMPUTED_VALUE"""),"memescollect")</f>
        <v>memescollect</v>
      </c>
    </row>
    <row r="228">
      <c r="A228" s="8" t="str">
        <f>IFERROR(__xludf.DUMMYFUNCTION("""COMPUTED_VALUE"""),"memezar")</f>
        <v>memezar</v>
      </c>
    </row>
    <row r="229">
      <c r="A229" s="8" t="str">
        <f>IFERROR(__xludf.DUMMYFUNCTION("""COMPUTED_VALUE"""),"slams")</f>
        <v>slams</v>
      </c>
    </row>
    <row r="230">
      <c r="A230" s="8" t="str">
        <f>IFERROR(__xludf.DUMMYFUNCTION("""COMPUTED_VALUE"""),"uncrustable.memess")</f>
        <v>uncrustable.memess</v>
      </c>
    </row>
    <row r="231">
      <c r="A231" s="8" t="str">
        <f>IFERROR(__xludf.DUMMYFUNCTION("""COMPUTED_VALUE"""),"aminecraftmovie")</f>
        <v>aminecraftmovie</v>
      </c>
    </row>
    <row r="232">
      <c r="A232" s="11" t="str">
        <f>IFERROR(__xludf.DUMMYFUNCTION("""COMPUTED_VALUE"""),"anilan.dublaj.uz")</f>
        <v>anilan.dublaj.uz</v>
      </c>
    </row>
    <row r="233">
      <c r="A233" s="11" t="str">
        <f>IFERROR(__xludf.DUMMYFUNCTION("""COMPUTED_VALUE"""),"crafters.mc")</f>
        <v>crafters.mc</v>
      </c>
    </row>
    <row r="234">
      <c r="A234" s="8" t="str">
        <f>IFERROR(__xludf.DUMMYFUNCTION("""COMPUTED_VALUE"""),"minecraft")</f>
        <v>minecraft</v>
      </c>
    </row>
    <row r="235">
      <c r="A235" s="8" t="str">
        <f>IFERROR(__xludf.DUMMYFUNCTION("""COMPUTED_VALUE"""),"minecraftbuilddecoration")</f>
        <v>minecraftbuilddecoration</v>
      </c>
    </row>
    <row r="236">
      <c r="A236" s="8" t="str">
        <f>IFERROR(__xludf.DUMMYFUNCTION("""COMPUTED_VALUE"""),"minecraft.ice2025")</f>
        <v>minecraft.ice2025</v>
      </c>
    </row>
    <row r="237">
      <c r="A237" s="8" t="str">
        <f>IFERROR(__xludf.DUMMYFUNCTION("""COMPUTED_VALUE"""),"lnsta.nails")</f>
        <v>lnsta.nails</v>
      </c>
    </row>
    <row r="238">
      <c r="A238" s="8" t="str">
        <f>IFERROR(__xludf.DUMMYFUNCTION("""COMPUTED_VALUE"""),"minea.nails")</f>
        <v>minea.nails</v>
      </c>
    </row>
    <row r="239">
      <c r="A239" s="8" t="str">
        <f>IFERROR(__xludf.DUMMYFUNCTION("""COMPUTED_VALUE"""),"nails")</f>
        <v>nails</v>
      </c>
    </row>
    <row r="240">
      <c r="A240" s="8" t="str">
        <f>IFERROR(__xludf.DUMMYFUNCTION("""COMPUTED_VALUE"""),"actress_devotee7")</f>
        <v>actress_devotee7</v>
      </c>
    </row>
    <row r="241">
      <c r="A241" s="8" t="str">
        <f>IFERROR(__xludf.DUMMYFUNCTION("""COMPUTED_VALUE"""),"ebrusootds")</f>
        <v>ebrusootds</v>
      </c>
    </row>
    <row r="242">
      <c r="A242" s="8" t="str">
        <f>IFERROR(__xludf.DUMMYFUNCTION("""COMPUTED_VALUE"""),"mili2gram___")</f>
        <v>mili2gram___</v>
      </c>
    </row>
    <row r="243">
      <c r="A243" s="8" t="str">
        <f>IFERROR(__xludf.DUMMYFUNCTION("""COMPUTED_VALUE"""),"onl_ootd_")</f>
        <v>onl_ootd_</v>
      </c>
    </row>
    <row r="244">
      <c r="A244" s="8" t="str">
        <f>IFERROR(__xludf.DUMMYFUNCTION("""COMPUTED_VALUE"""),"ootd")</f>
        <v>ootd</v>
      </c>
    </row>
    <row r="245">
      <c r="A245" s="8" t="str">
        <f>IFERROR(__xludf.DUMMYFUNCTION("""COMPUTED_VALUE"""),"ootd_balqishumaira77")</f>
        <v>ootd_balqishumaira77</v>
      </c>
    </row>
    <row r="246">
      <c r="A246" s="8" t="str">
        <f>IFERROR(__xludf.DUMMYFUNCTION("""COMPUTED_VALUE"""),"ootdbychelle")</f>
        <v>ootdbychelle</v>
      </c>
    </row>
    <row r="247">
      <c r="A247" s="8" t="str">
        <f>IFERROR(__xludf.DUMMYFUNCTION("""COMPUTED_VALUE"""),"ootdfash")</f>
        <v>ootdfash</v>
      </c>
    </row>
    <row r="248">
      <c r="A248" s="8" t="str">
        <f>IFERROR(__xludf.DUMMYFUNCTION("""COMPUTED_VALUE"""),"ootdgals")</f>
        <v>ootdgals</v>
      </c>
    </row>
    <row r="249">
      <c r="A249" s="8" t="str">
        <f>IFERROR(__xludf.DUMMYFUNCTION("""COMPUTED_VALUE"""),"ootd_girls_club")</f>
        <v>ootd_girls_club</v>
      </c>
    </row>
    <row r="250">
      <c r="A250" s="8" t="str">
        <f>IFERROR(__xludf.DUMMYFUNCTION("""COMPUTED_VALUE"""),"ootd.labubu")</f>
        <v>ootd.labubu</v>
      </c>
    </row>
    <row r="251">
      <c r="A251" s="8" t="str">
        <f>IFERROR(__xludf.DUMMYFUNCTION("""COMPUTED_VALUE"""),"ootdmagazine")</f>
        <v>ootdmagazine</v>
      </c>
    </row>
    <row r="252">
      <c r="A252" s="8" t="str">
        <f>IFERROR(__xludf.DUMMYFUNCTION("""COMPUTED_VALUE"""),"ootdpie")</f>
        <v>ootdpie</v>
      </c>
    </row>
    <row r="253">
      <c r="A253" s="8" t="str">
        <f>IFERROR(__xludf.DUMMYFUNCTION("""COMPUTED_VALUE"""),"ootdsubmit")</f>
        <v>ootdsubmit</v>
      </c>
    </row>
    <row r="254">
      <c r="A254" s="8" t="str">
        <f>IFERROR(__xludf.DUMMYFUNCTION("""COMPUTED_VALUE"""),"outfitdailyoo")</f>
        <v>outfitdailyoo</v>
      </c>
    </row>
    <row r="255">
      <c r="A255" s="8" t="str">
        <f>IFERROR(__xludf.DUMMYFUNCTION("""COMPUTED_VALUE"""),"zeagoo.official")</f>
        <v>zeagoo.official</v>
      </c>
    </row>
    <row r="256">
      <c r="A256" s="8" t="str">
        <f>IFERROR(__xludf.DUMMYFUNCTION("""COMPUTED_VALUE"""),"a_painting_a_day_")</f>
        <v>a_painting_a_day_</v>
      </c>
    </row>
    <row r="257">
      <c r="A257" s="8" t="str">
        <f>IFERROR(__xludf.DUMMYFUNCTION("""COMPUTED_VALUE"""),"daily_paintings")</f>
        <v>daily_paintings</v>
      </c>
    </row>
    <row r="258">
      <c r="A258" s="8" t="str">
        <f>IFERROR(__xludf.DUMMYFUNCTION("""COMPUTED_VALUE"""),"painters.paintings")</f>
        <v>painters.paintings</v>
      </c>
    </row>
    <row r="259">
      <c r="A259" s="8" t="str">
        <f>IFERROR(__xludf.DUMMYFUNCTION("""COMPUTED_VALUE"""),"painting_hq")</f>
        <v>painting_hq</v>
      </c>
    </row>
    <row r="260">
      <c r="A260" s="8" t="str">
        <f>IFERROR(__xludf.DUMMYFUNCTION("""COMPUTED_VALUE"""),"rca_painting")</f>
        <v>rca_painting</v>
      </c>
    </row>
    <row r="261">
      <c r="A261" s="8" t="str">
        <f>IFERROR(__xludf.DUMMYFUNCTION("""COMPUTED_VALUE"""),"calmparentingpodcast")</f>
        <v>calmparentingpodcast</v>
      </c>
    </row>
    <row r="262">
      <c r="A262" s="8" t="str">
        <f>IFERROR(__xludf.DUMMYFUNCTION("""COMPUTED_VALUE"""),"curious.parenting")</f>
        <v>curious.parenting</v>
      </c>
    </row>
    <row r="263">
      <c r="A263" s="8" t="str">
        <f>IFERROR(__xludf.DUMMYFUNCTION("""COMPUTED_VALUE"""),"dr.organicmommy")</f>
        <v>dr.organicmommy</v>
      </c>
    </row>
    <row r="264">
      <c r="A264" s="8" t="str">
        <f>IFERROR(__xludf.DUMMYFUNCTION("""COMPUTED_VALUE"""),"hearty_app")</f>
        <v>hearty_app</v>
      </c>
    </row>
    <row r="265">
      <c r="A265" s="8" t="str">
        <f>IFERROR(__xludf.DUMMYFUNCTION("""COMPUTED_VALUE"""),"insideparenting")</f>
        <v>insideparenting</v>
      </c>
    </row>
    <row r="266">
      <c r="A266" s="8" t="str">
        <f>IFERROR(__xludf.DUMMYFUNCTION("""COMPUTED_VALUE"""),"modernparentsguide")</f>
        <v>modernparentsguide</v>
      </c>
    </row>
    <row r="267">
      <c r="A267" s="8" t="str">
        <f>IFERROR(__xludf.DUMMYFUNCTION("""COMPUTED_VALUE"""),"natural_born_parenting")</f>
        <v>natural_born_parenting</v>
      </c>
    </row>
    <row r="268">
      <c r="A268" s="8" t="str">
        <f>IFERROR(__xludf.DUMMYFUNCTION("""COMPUTED_VALUE"""),"nurturedfirst")</f>
        <v>nurturedfirst</v>
      </c>
    </row>
    <row r="269">
      <c r="A269" s="8" t="str">
        <f>IFERROR(__xludf.DUMMYFUNCTION("""COMPUTED_VALUE"""),"parentfocus")</f>
        <v>parentfocus</v>
      </c>
    </row>
    <row r="270">
      <c r="A270" s="8" t="str">
        <f>IFERROR(__xludf.DUMMYFUNCTION("""COMPUTED_VALUE"""),"parenting")</f>
        <v>parenting</v>
      </c>
    </row>
    <row r="271">
      <c r="A271" s="8" t="str">
        <f>IFERROR(__xludf.DUMMYFUNCTION("""COMPUTED_VALUE"""),"parentinghell")</f>
        <v>parentinghell</v>
      </c>
    </row>
    <row r="272">
      <c r="A272" s="8" t="str">
        <f>IFERROR(__xludf.DUMMYFUNCTION("""COMPUTED_VALUE"""),"parenting_pathways__")</f>
        <v>parenting_pathways__</v>
      </c>
    </row>
    <row r="273">
      <c r="A273" s="8" t="str">
        <f>IFERROR(__xludf.DUMMYFUNCTION("""COMPUTED_VALUE"""),"parentingteensandtweens")</f>
        <v>parentingteensandtweens</v>
      </c>
    </row>
    <row r="274">
      <c r="A274" s="8" t="str">
        <f>IFERROR(__xludf.DUMMYFUNCTION("""COMPUTED_VALUE"""),"parentingtranslator")</f>
        <v>parentingtranslator</v>
      </c>
    </row>
    <row r="275">
      <c r="A275" s="8" t="str">
        <f>IFERROR(__xludf.DUMMYFUNCTION("""COMPUTED_VALUE"""),"parenting.unlocked")</f>
        <v>parenting.unlocked</v>
      </c>
    </row>
    <row r="276">
      <c r="A276" s="8" t="str">
        <f>IFERROR(__xludf.DUMMYFUNCTION("""COMPUTED_VALUE"""),"parentingyouthsports")</f>
        <v>parentingyouthsports</v>
      </c>
    </row>
    <row r="277">
      <c r="A277" s="8" t="str">
        <f>IFERROR(__xludf.DUMMYFUNCTION("""COMPUTED_VALUE"""),"readysetparent")</f>
        <v>readysetparent</v>
      </c>
    </row>
    <row r="278">
      <c r="A278" s="8" t="str">
        <f>IFERROR(__xludf.DUMMYFUNCTION("""COMPUTED_VALUE"""),"themompsychologist")</f>
        <v>themompsychologist</v>
      </c>
    </row>
    <row r="279">
      <c r="A279" s="8" t="str">
        <f>IFERROR(__xludf.DUMMYFUNCTION("""COMPUTED_VALUE"""),"theparentingemporium")</f>
        <v>theparentingemporium</v>
      </c>
    </row>
    <row r="280">
      <c r="A280" s="8" t="str">
        <f>IFERROR(__xludf.DUMMYFUNCTION("""COMPUTED_VALUE"""),"labaia.paris")</f>
        <v>labaia.paris</v>
      </c>
    </row>
    <row r="281">
      <c r="A281" s="8" t="str">
        <f>IFERROR(__xludf.DUMMYFUNCTION("""COMPUTED_VALUE"""),"lamour.olya")</f>
        <v>lamour.olya</v>
      </c>
    </row>
    <row r="282">
      <c r="A282" s="8" t="str">
        <f>IFERROR(__xludf.DUMMYFUNCTION("""COMPUTED_VALUE"""),"paris")</f>
        <v>paris</v>
      </c>
    </row>
    <row r="283">
      <c r="A283" s="8" t="str">
        <f>IFERROR(__xludf.DUMMYFUNCTION("""COMPUTED_VALUE"""),"paris.explore")</f>
        <v>paris.explore</v>
      </c>
    </row>
    <row r="284">
      <c r="A284" s="8" t="str">
        <f>IFERROR(__xludf.DUMMYFUNCTION("""COMPUTED_VALUE"""),"parisfashionweek")</f>
        <v>parisfashionweek</v>
      </c>
    </row>
    <row r="285">
      <c r="A285" s="8" t="str">
        <f>IFERROR(__xludf.DUMMYFUNCTION("""COMPUTED_VALUE"""),"parishilton")</f>
        <v>parishilton</v>
      </c>
    </row>
    <row r="286">
      <c r="A286" s="8" t="str">
        <f>IFERROR(__xludf.DUMMYFUNCTION("""COMPUTED_VALUE"""),"parisjackson")</f>
        <v>parisjackson</v>
      </c>
    </row>
    <row r="287">
      <c r="A287" s="8" t="str">
        <f>IFERROR(__xludf.DUMMYFUNCTION("""COMPUTED_VALUE"""),"parissecret")</f>
        <v>parissecret</v>
      </c>
    </row>
    <row r="288">
      <c r="A288" s="8" t="str">
        <f>IFERROR(__xludf.DUMMYFUNCTION("""COMPUTED_VALUE"""),"psg")</f>
        <v>psg</v>
      </c>
    </row>
    <row r="289">
      <c r="A289" s="8" t="str">
        <f>IFERROR(__xludf.DUMMYFUNCTION("""COMPUTED_VALUE"""),"velvet_dinner")</f>
        <v>velvet_dinner</v>
      </c>
    </row>
    <row r="290">
      <c r="A290" s="8" t="str">
        <f>IFERROR(__xludf.DUMMYFUNCTION("""COMPUTED_VALUE"""),"ad.parody")</f>
        <v>ad.parody</v>
      </c>
    </row>
    <row r="291">
      <c r="A291" s="8" t="str">
        <f>IFERROR(__xludf.DUMMYFUNCTION("""COMPUTED_VALUE"""),"nflparody")</f>
        <v>nflparody</v>
      </c>
    </row>
    <row r="292">
      <c r="A292" s="8" t="str">
        <f>IFERROR(__xludf.DUMMYFUNCTION("""COMPUTED_VALUE"""),"parody_ceo")</f>
        <v>parody_ceo</v>
      </c>
    </row>
    <row r="293">
      <c r="A293" s="8" t="str">
        <f>IFERROR(__xludf.DUMMYFUNCTION("""COMPUTED_VALUE"""),"xyzparody")</f>
        <v>xyzparody</v>
      </c>
    </row>
    <row r="294">
      <c r="A294" s="8" t="str">
        <f>IFERROR(__xludf.DUMMYFUNCTION("""COMPUTED_VALUE"""),"peta")</f>
        <v>peta</v>
      </c>
    </row>
    <row r="295">
      <c r="A295" s="8" t="str">
        <f>IFERROR(__xludf.DUMMYFUNCTION("""COMPUTED_VALUE"""),"peterdinklage")</f>
        <v>peterdinklage</v>
      </c>
    </row>
    <row r="296">
      <c r="A296" s="8" t="str">
        <f>IFERROR(__xludf.DUMMYFUNCTION("""COMPUTED_VALUE"""),"pete_sabo")</f>
        <v>pete_sabo</v>
      </c>
    </row>
    <row r="297">
      <c r="A297" s="8" t="str">
        <f>IFERROR(__xludf.DUMMYFUNCTION("""COMPUTED_VALUE"""),"pet_fiestas")</f>
        <v>pet_fiestas</v>
      </c>
    </row>
    <row r="298">
      <c r="A298" s="8" t="str">
        <f>IFERROR(__xludf.DUMMYFUNCTION("""COMPUTED_VALUE"""),"pets")</f>
        <v>pets</v>
      </c>
    </row>
    <row r="299">
      <c r="A299" s="8" t="str">
        <f>IFERROR(__xludf.DUMMYFUNCTION("""COMPUTED_VALUE"""),"petsmart")</f>
        <v>petsmart</v>
      </c>
    </row>
    <row r="300">
      <c r="A300" s="8" t="str">
        <f>IFERROR(__xludf.DUMMYFUNCTION("""COMPUTED_VALUE"""),"petwithit")</f>
        <v>petwithit</v>
      </c>
    </row>
    <row r="301">
      <c r="A301" s="8" t="str">
        <f>IFERROR(__xludf.DUMMYFUNCTION("""COMPUTED_VALUE"""),"benessrd")</f>
        <v>benessrd</v>
      </c>
    </row>
    <row r="302">
      <c r="A302" s="8" t="str">
        <f>IFERROR(__xludf.DUMMYFUNCTION("""COMPUTED_VALUE"""),"clubpilates")</f>
        <v>clubpilates</v>
      </c>
    </row>
    <row r="303">
      <c r="A303" s="8" t="str">
        <f>IFERROR(__xludf.DUMMYFUNCTION("""COMPUTED_VALUE"""),"o2pilateshk")</f>
        <v>o2pilateshk</v>
      </c>
    </row>
    <row r="304">
      <c r="A304" s="8" t="str">
        <f>IFERROR(__xludf.DUMMYFUNCTION("""COMPUTED_VALUE"""),"paola_pilates")</f>
        <v>paola_pilates</v>
      </c>
    </row>
    <row r="305">
      <c r="A305" s="8" t="str">
        <f>IFERROR(__xludf.DUMMYFUNCTION("""COMPUTED_VALUE"""),"pilatesmarcelapedraza")</f>
        <v>pilatesmarcelapedraza</v>
      </c>
    </row>
    <row r="306">
      <c r="A306" s="8" t="str">
        <f>IFERROR(__xludf.DUMMYFUNCTION("""COMPUTED_VALUE"""),"sipilates")</f>
        <v>sipilates</v>
      </c>
    </row>
    <row r="307">
      <c r="A307" s="8" t="str">
        <f>IFERROR(__xludf.DUMMYFUNCTION("""COMPUTED_VALUE"""),"wall.pilates")</f>
        <v>wall.pilates</v>
      </c>
    </row>
    <row r="308">
      <c r="A308" s="8" t="str">
        <f>IFERROR(__xludf.DUMMYFUNCTION("""COMPUTED_VALUE"""),"yoga_senses_pilates")</f>
        <v>yoga_senses_pilates</v>
      </c>
    </row>
    <row r="309">
      <c r="A309" s="8" t="str">
        <f>IFERROR(__xludf.DUMMYFUNCTION("""COMPUTED_VALUE"""),"14.rap")</f>
        <v>14.rap</v>
      </c>
    </row>
    <row r="310">
      <c r="A310" s="8" t="str">
        <f>IFERROR(__xludf.DUMMYFUNCTION("""COMPUTED_VALUE"""),"atlantarapnews")</f>
        <v>atlantarapnews</v>
      </c>
    </row>
    <row r="311">
      <c r="A311" s="8" t="str">
        <f>IFERROR(__xludf.DUMMYFUNCTION("""COMPUTED_VALUE"""),"rap")</f>
        <v>rap</v>
      </c>
    </row>
    <row r="312">
      <c r="A312" s="8" t="str">
        <f>IFERROR(__xludf.DUMMYFUNCTION("""COMPUTED_VALUE"""),"rapcaviar")</f>
        <v>rapcaviar</v>
      </c>
    </row>
    <row r="313">
      <c r="A313" s="8" t="str">
        <f>IFERROR(__xludf.DUMMYFUNCTION("""COMPUTED_VALUE"""),"rap.dab")</f>
        <v>rap.dab</v>
      </c>
    </row>
    <row r="314">
      <c r="A314" s="8" t="str">
        <f>IFERROR(__xludf.DUMMYFUNCTION("""COMPUTED_VALUE"""),"rapeton")</f>
        <v>rapeton</v>
      </c>
    </row>
    <row r="315">
      <c r="A315" s="8" t="str">
        <f>IFERROR(__xludf.DUMMYFUNCTION("""COMPUTED_VALUE"""),"rapgrowing")</f>
        <v>rapgrowing</v>
      </c>
    </row>
    <row r="316">
      <c r="A316" s="8" t="str">
        <f>IFERROR(__xludf.DUMMYFUNCTION("""COMPUTED_VALUE"""),"raphinha")</f>
        <v>raphinha</v>
      </c>
    </row>
    <row r="317">
      <c r="A317" s="8" t="str">
        <f>IFERROR(__xludf.DUMMYFUNCTION("""COMPUTED_VALUE"""),"raphmb_")</f>
        <v>raphmb_</v>
      </c>
    </row>
    <row r="318">
      <c r="A318" s="8" t="str">
        <f>IFERROR(__xludf.DUMMYFUNCTION("""COMPUTED_VALUE"""),"rap_house_official")</f>
        <v>rap_house_official</v>
      </c>
    </row>
    <row r="319">
      <c r="A319" s="8" t="str">
        <f>IFERROR(__xludf.DUMMYFUNCTION("""COMPUTED_VALUE"""),"rapmusic")</f>
        <v>rapmusic</v>
      </c>
    </row>
    <row r="320">
      <c r="A320" s="8" t="str">
        <f>IFERROR(__xludf.DUMMYFUNCTION("""COMPUTED_VALUE"""),"rapnieuwstv")</f>
        <v>rapnieuwstv</v>
      </c>
    </row>
    <row r="321">
      <c r="A321" s="8" t="str">
        <f>IFERROR(__xludf.DUMMYFUNCTION("""COMPUTED_VALUE"""),"raptors")</f>
        <v>raptors</v>
      </c>
    </row>
    <row r="322">
      <c r="A322" s="8" t="str">
        <f>IFERROR(__xludf.DUMMYFUNCTION("""COMPUTED_VALUE"""),"rapxfit")</f>
        <v>rapxfit</v>
      </c>
    </row>
    <row r="323">
      <c r="A323" s="8" t="str">
        <f>IFERROR(__xludf.DUMMYFUNCTION("""COMPUTED_VALUE"""),"5minute.recipes.official")</f>
        <v>5minute.recipes.official</v>
      </c>
    </row>
    <row r="324">
      <c r="A324" s="8" t="str">
        <f>IFERROR(__xludf.DUMMYFUNCTION("""COMPUTED_VALUE"""),"airfryer_recipes")</f>
        <v>airfryer_recipes</v>
      </c>
    </row>
    <row r="325">
      <c r="A325" s="8" t="str">
        <f>IFERROR(__xludf.DUMMYFUNCTION("""COMPUTED_VALUE"""),"easyfamilyrecipes")</f>
        <v>easyfamilyrecipes</v>
      </c>
    </row>
    <row r="326">
      <c r="A326" s="8" t="str">
        <f>IFERROR(__xludf.DUMMYFUNCTION("""COMPUTED_VALUE"""),"fitgreenmind")</f>
        <v>fitgreenmind</v>
      </c>
    </row>
    <row r="327">
      <c r="A327" s="8" t="str">
        <f>IFERROR(__xludf.DUMMYFUNCTION("""COMPUTED_VALUE"""),"fitness_recipes")</f>
        <v>fitness_recipes</v>
      </c>
    </row>
    <row r="328">
      <c r="A328" s="8" t="str">
        <f>IFERROR(__xludf.DUMMYFUNCTION("""COMPUTED_VALUE"""),"foodyeating")</f>
        <v>foodyeating</v>
      </c>
    </row>
    <row r="329">
      <c r="A329" s="8" t="str">
        <f>IFERROR(__xludf.DUMMYFUNCTION("""COMPUTED_VALUE"""),"gymratrecipes")</f>
        <v>gymratrecipes</v>
      </c>
    </row>
    <row r="330">
      <c r="A330" s="8" t="str">
        <f>IFERROR(__xludf.DUMMYFUNCTION("""COMPUTED_VALUE"""),"healthygirlkitchen")</f>
        <v>healthygirlkitchen</v>
      </c>
    </row>
    <row r="331">
      <c r="A331" s="8" t="str">
        <f>IFERROR(__xludf.DUMMYFUNCTION("""COMPUTED_VALUE"""),"melissajorealrecipes")</f>
        <v>melissajorealrecipes</v>
      </c>
    </row>
    <row r="332">
      <c r="A332" s="8" t="str">
        <f>IFERROR(__xludf.DUMMYFUNCTION("""COMPUTED_VALUE"""),"mintsrecipes")</f>
        <v>mintsrecipes</v>
      </c>
    </row>
    <row r="333">
      <c r="A333" s="8" t="str">
        <f>IFERROR(__xludf.DUMMYFUNCTION("""COMPUTED_VALUE"""),"purewowrecipes")</f>
        <v>purewowrecipes</v>
      </c>
    </row>
    <row r="334">
      <c r="A334" s="11" t="str">
        <f>IFERROR(__xludf.DUMMYFUNCTION("""COMPUTED_VALUE"""),"quickrecipes.us")</f>
        <v>quickrecipes.us</v>
      </c>
    </row>
    <row r="335">
      <c r="A335" s="8" t="str">
        <f>IFERROR(__xludf.DUMMYFUNCTION("""COMPUTED_VALUE"""),"recipesbyvictoria")</f>
        <v>recipesbyvictoria</v>
      </c>
    </row>
    <row r="336">
      <c r="A336" s="8" t="str">
        <f>IFERROR(__xludf.DUMMYFUNCTION("""COMPUTED_VALUE"""),"recxipes")</f>
        <v>recxipes</v>
      </c>
    </row>
    <row r="337">
      <c r="A337" s="8" t="str">
        <f>IFERROR(__xludf.DUMMYFUNCTION("""COMPUTED_VALUE"""),"skinnytaste")</f>
        <v>skinnytaste</v>
      </c>
    </row>
    <row r="338">
      <c r="A338" s="8" t="str">
        <f>IFERROR(__xludf.DUMMYFUNCTION("""COMPUTED_VALUE"""),"stealth_health_recipes")</f>
        <v>stealth_health_recipes</v>
      </c>
    </row>
    <row r="339">
      <c r="A339" s="8" t="str">
        <f>IFERROR(__xludf.DUMMYFUNCTION("""COMPUTED_VALUE"""),"tiffy.cooks")</f>
        <v>tiffy.cooks</v>
      </c>
    </row>
    <row r="340">
      <c r="A340" s="8" t="str">
        <f>IFERROR(__xludf.DUMMYFUNCTION("""COMPUTED_VALUE"""),"wellplated")</f>
        <v>wellplated</v>
      </c>
    </row>
    <row r="341">
      <c r="A341" s="8" t="str">
        <f>IFERROR(__xludf.DUMMYFUNCTION("""COMPUTED_VALUE"""),"whole30recipes")</f>
        <v>whole30recipes</v>
      </c>
    </row>
    <row r="342">
      <c r="A342" s="8" t="str">
        <f>IFERROR(__xludf.DUMMYFUNCTION("""COMPUTED_VALUE"""),"adidasrunning")</f>
        <v>adidasrunning</v>
      </c>
    </row>
    <row r="343">
      <c r="A343" s="8" t="str">
        <f>IFERROR(__xludf.DUMMYFUNCTION("""COMPUTED_VALUE"""),"gorun.inc")</f>
        <v>gorun.inc</v>
      </c>
    </row>
    <row r="344">
      <c r="A344" s="8" t="str">
        <f>IFERROR(__xludf.DUMMYFUNCTION("""COMPUTED_VALUE"""),"milerrunning")</f>
        <v>milerrunning</v>
      </c>
    </row>
    <row r="345">
      <c r="A345" s="8" t="str">
        <f>IFERROR(__xludf.DUMMYFUNCTION("""COMPUTED_VALUE"""),"nbrorunning")</f>
        <v>nbrorunning</v>
      </c>
    </row>
    <row r="346">
      <c r="A346" s="8" t="str">
        <f>IFERROR(__xludf.DUMMYFUNCTION("""COMPUTED_VALUE"""),"nikerunning")</f>
        <v>nikerunning</v>
      </c>
    </row>
    <row r="347">
      <c r="A347" s="8" t="str">
        <f>IFERROR(__xludf.DUMMYFUNCTION("""COMPUTED_VALUE"""),"running")</f>
        <v>running</v>
      </c>
    </row>
    <row r="348">
      <c r="A348" s="8" t="str">
        <f>IFERROR(__xludf.DUMMYFUNCTION("""COMPUTED_VALUE"""),"running_dept")</f>
        <v>running_dept</v>
      </c>
    </row>
    <row r="349">
      <c r="A349" s="8" t="str">
        <f>IFERROR(__xludf.DUMMYFUNCTION("""COMPUTED_VALUE"""),"running.igg")</f>
        <v>running.igg</v>
      </c>
    </row>
    <row r="350">
      <c r="A350" s="8" t="str">
        <f>IFERROR(__xludf.DUMMYFUNCTION("""COMPUTED_VALUE"""),"runningmemesz")</f>
        <v>runningmemesz</v>
      </c>
    </row>
    <row r="351">
      <c r="A351" s="8" t="str">
        <f>IFERROR(__xludf.DUMMYFUNCTION("""COMPUTED_VALUE"""),"runningterritory")</f>
        <v>runningterritory</v>
      </c>
    </row>
    <row r="352">
      <c r="A352" s="8" t="str">
        <f>IFERROR(__xludf.DUMMYFUNCTION("""COMPUTED_VALUE"""),"worlderunners")</f>
        <v>worlderunners</v>
      </c>
    </row>
    <row r="353">
      <c r="A353" s="8" t="str">
        <f>IFERROR(__xludf.DUMMYFUNCTION("""COMPUTED_VALUE"""),"dailysingingcontent")</f>
        <v>dailysingingcontent</v>
      </c>
    </row>
    <row r="354">
      <c r="A354" s="8" t="str">
        <f>IFERROR(__xludf.DUMMYFUNCTION("""COMPUTED_VALUE"""),"indian_singing__")</f>
        <v>indian_singing__</v>
      </c>
    </row>
    <row r="355">
      <c r="A355" s="8" t="str">
        <f>IFERROR(__xludf.DUMMYFUNCTION("""COMPUTED_VALUE"""),"indian_singing_1")</f>
        <v>indian_singing_1</v>
      </c>
    </row>
    <row r="356">
      <c r="A356" s="8" t="str">
        <f>IFERROR(__xludf.DUMMYFUNCTION("""COMPUTED_VALUE"""),"indian_singing_2")</f>
        <v>indian_singing_2</v>
      </c>
    </row>
    <row r="357">
      <c r="A357" s="8" t="str">
        <f>IFERROR(__xludf.DUMMYFUNCTION("""COMPUTED_VALUE"""),"indian_singing.7")</f>
        <v>indian_singing.7</v>
      </c>
    </row>
    <row r="358">
      <c r="A358" s="8" t="str">
        <f>IFERROR(__xludf.DUMMYFUNCTION("""COMPUTED_VALUE"""),"mekayla.singing")</f>
        <v>mekayla.singing</v>
      </c>
    </row>
    <row r="359">
      <c r="A359" s="8" t="str">
        <f>IFERROR(__xludf.DUMMYFUNCTION("""COMPUTED_VALUE"""),"narossingingpizza")</f>
        <v>narossingingpizza</v>
      </c>
    </row>
    <row r="360">
      <c r="A360" s="8" t="str">
        <f>IFERROR(__xludf.DUMMYFUNCTION("""COMPUTED_VALUE"""),"onedayofsinging.daily")</f>
        <v>onedayofsinging.daily</v>
      </c>
    </row>
    <row r="361">
      <c r="A361" s="8" t="str">
        <f>IFERROR(__xludf.DUMMYFUNCTION("""COMPUTED_VALUE"""),"singing")</f>
        <v>singing</v>
      </c>
    </row>
    <row r="362">
      <c r="A362" s="8" t="str">
        <f>IFERROR(__xludf.DUMMYFUNCTION("""COMPUTED_VALUE"""),"singingandteaching")</f>
        <v>singingandteaching</v>
      </c>
    </row>
    <row r="363">
      <c r="A363" s="8" t="str">
        <f>IFERROR(__xludf.DUMMYFUNCTION("""COMPUTED_VALUE"""),"singingchefkunal")</f>
        <v>singingchefkunal</v>
      </c>
    </row>
    <row r="364">
      <c r="A364" s="8" t="str">
        <f>IFERROR(__xludf.DUMMYFUNCTION("""COMPUTED_VALUE"""),"singingdentist")</f>
        <v>singingdentist</v>
      </c>
    </row>
    <row r="365">
      <c r="A365" s="8" t="str">
        <f>IFERROR(__xludf.DUMMYFUNCTION("""COMPUTED_VALUE"""),"singingslp")</f>
        <v>singingslp</v>
      </c>
    </row>
    <row r="366">
      <c r="A366" s="8" t="str">
        <f>IFERROR(__xludf.DUMMYFUNCTION("""COMPUTED_VALUE"""),"theesingingbarber")</f>
        <v>theesingingbarber</v>
      </c>
    </row>
    <row r="367">
      <c r="A367" s="8" t="str">
        <f>IFERROR(__xludf.DUMMYFUNCTION("""COMPUTED_VALUE"""),"dvinitiskincare")</f>
        <v>dvinitiskincare</v>
      </c>
    </row>
    <row r="368">
      <c r="A368" s="8" t="str">
        <f>IFERROR(__xludf.DUMMYFUNCTION("""COMPUTED_VALUE"""),"eltamdskincare")</f>
        <v>eltamdskincare</v>
      </c>
    </row>
    <row r="369">
      <c r="A369" s="8" t="str">
        <f>IFERROR(__xludf.DUMMYFUNCTION("""COMPUTED_VALUE"""),"moogooskincare")</f>
        <v>moogooskincare</v>
      </c>
    </row>
    <row r="370">
      <c r="A370" s="8" t="str">
        <f>IFERROR(__xludf.DUMMYFUNCTION("""COMPUTED_VALUE"""),"qvskincare")</f>
        <v>qvskincare</v>
      </c>
    </row>
    <row r="371">
      <c r="A371" s="8" t="str">
        <f>IFERROR(__xludf.DUMMYFUNCTION("""COMPUTED_VALUE"""),"skincare")</f>
        <v>skincare</v>
      </c>
    </row>
    <row r="372">
      <c r="A372" s="8" t="str">
        <f>IFERROR(__xludf.DUMMYFUNCTION("""COMPUTED_VALUE"""),"skincaregem")</f>
        <v>skincaregem</v>
      </c>
    </row>
    <row r="373">
      <c r="A373" s="8" t="str">
        <f>IFERROR(__xludf.DUMMYFUNCTION("""COMPUTED_VALUE"""),"skincarejohn")</f>
        <v>skincarejohn</v>
      </c>
    </row>
    <row r="374">
      <c r="A374" s="8" t="str">
        <f>IFERROR(__xludf.DUMMYFUNCTION("""COMPUTED_VALUE"""),"skincare.rebeca")</f>
        <v>skincare.rebeca</v>
      </c>
    </row>
    <row r="375">
      <c r="A375" s="8" t="str">
        <f>IFERROR(__xludf.DUMMYFUNCTION("""COMPUTED_VALUE"""),"skincare.shop.64")</f>
        <v>skincare.shop.64</v>
      </c>
    </row>
    <row r="376">
      <c r="A376" s="8" t="str">
        <f>IFERROR(__xludf.DUMMYFUNCTION("""COMPUTED_VALUE"""),"skinnationbeauty")</f>
        <v>skinnationbeauty</v>
      </c>
    </row>
    <row r="377">
      <c r="A377" s="8" t="str">
        <f>IFERROR(__xludf.DUMMYFUNCTION("""COMPUTED_VALUE"""),"tracyhudsonskincare")</f>
        <v>tracyhudsonskincare</v>
      </c>
    </row>
    <row r="378">
      <c r="A378" s="8" t="str">
        <f>IFERROR(__xludf.DUMMYFUNCTION("""COMPUTED_VALUE"""),"xskincare")</f>
        <v>xskincare</v>
      </c>
    </row>
    <row r="379">
      <c r="A379" s="8" t="str">
        <f>IFERROR(__xludf.DUMMYFUNCTION("""COMPUTED_VALUE"""),"yelleskincare")</f>
        <v>yelleskincare</v>
      </c>
    </row>
    <row r="380">
      <c r="A380" s="8" t="str">
        <f>IFERROR(__xludf.DUMMYFUNCTION("""COMPUTED_VALUE"""),"ccstandup")</f>
        <v>ccstandup</v>
      </c>
    </row>
    <row r="381">
      <c r="A381" s="8" t="str">
        <f>IFERROR(__xludf.DUMMYFUNCTION("""COMPUTED_VALUE"""),"sahnastandup")</f>
        <v>sahnastandup</v>
      </c>
    </row>
    <row r="382">
      <c r="A382" s="8" t="str">
        <f>IFERROR(__xludf.DUMMYFUNCTION("""COMPUTED_VALUE"""),"standup_america")</f>
        <v>standup_america</v>
      </c>
    </row>
    <row r="383">
      <c r="A383" s="8" t="str">
        <f>IFERROR(__xludf.DUMMYFUNCTION("""COMPUTED_VALUE"""),"standupcomedy.zone")</f>
        <v>standupcomedy.zone</v>
      </c>
    </row>
    <row r="384">
      <c r="A384" s="8" t="str">
        <f>IFERROR(__xludf.DUMMYFUNCTION("""COMPUTED_VALUE"""),"standupfa")</f>
        <v>standupfa</v>
      </c>
    </row>
    <row r="385">
      <c r="A385" s="8" t="str">
        <f>IFERROR(__xludf.DUMMYFUNCTION("""COMPUTED_VALUE"""),"standupharu")</f>
        <v>standupharu</v>
      </c>
    </row>
    <row r="386">
      <c r="A386" s="8" t="str">
        <f>IFERROR(__xludf.DUMMYFUNCTION("""COMPUTED_VALUE"""),"stand_up_hm_")</f>
        <v>stand_up_hm_</v>
      </c>
    </row>
    <row r="387">
      <c r="A387" s="8" t="str">
        <f>IFERROR(__xludf.DUMMYFUNCTION("""COMPUTED_VALUE"""),"standuplair")</f>
        <v>standuplair</v>
      </c>
    </row>
    <row r="388">
      <c r="A388" s="8" t="str">
        <f>IFERROR(__xludf.DUMMYFUNCTION("""COMPUTED_VALUE"""),"standupny")</f>
        <v>standupny</v>
      </c>
    </row>
    <row r="389">
      <c r="A389" s="8" t="str">
        <f>IFERROR(__xludf.DUMMYFUNCTION("""COMPUTED_VALUE"""),"standup.only")</f>
        <v>standup.only</v>
      </c>
    </row>
    <row r="390">
      <c r="A390" s="8" t="str">
        <f>IFERROR(__xludf.DUMMYFUNCTION("""COMPUTED_VALUE"""),"standupovka")</f>
        <v>standupovka</v>
      </c>
    </row>
    <row r="391">
      <c r="A391" s="8" t="str">
        <f>IFERROR(__xludf.DUMMYFUNCTION("""COMPUTED_VALUE"""),"standupper7")</f>
        <v>standupper7</v>
      </c>
    </row>
    <row r="392">
      <c r="A392" s="8" t="str">
        <f>IFERROR(__xludf.DUMMYFUNCTION("""COMPUTED_VALUE"""),"standuppshow")</f>
        <v>standuppshow</v>
      </c>
    </row>
    <row r="393">
      <c r="A393" s="8" t="str">
        <f>IFERROR(__xludf.DUMMYFUNCTION("""COMPUTED_VALUE"""),"standupsh0w")</f>
        <v>standupsh0w</v>
      </c>
    </row>
    <row r="394">
      <c r="A394" s="8" t="str">
        <f>IFERROR(__xludf.DUMMYFUNCTION("""COMPUTED_VALUE"""),"standupsnippets")</f>
        <v>standupsnippets</v>
      </c>
    </row>
    <row r="395">
      <c r="A395" s="8" t="str">
        <f>IFERROR(__xludf.DUMMYFUNCTION("""COMPUTED_VALUE"""),"standup_tnt")</f>
        <v>standup_tnt</v>
      </c>
    </row>
    <row r="396">
      <c r="A396" s="8" t="str">
        <f>IFERROR(__xludf.DUMMYFUNCTION("""COMPUTED_VALUE"""),"eu_startups")</f>
        <v>eu_startups</v>
      </c>
    </row>
    <row r="397">
      <c r="A397" s="8" t="str">
        <f>IFERROR(__xludf.DUMMYFUNCTION("""COMPUTED_VALUE"""),"startups")</f>
        <v>startups</v>
      </c>
    </row>
    <row r="398">
      <c r="A398" s="8" t="str">
        <f>IFERROR(__xludf.DUMMYFUNCTION("""COMPUTED_VALUE"""),"startupsbrazil")</f>
        <v>startupsbrazil</v>
      </c>
    </row>
    <row r="399">
      <c r="A399" s="11" t="str">
        <f>IFERROR(__xludf.DUMMYFUNCTION("""COMPUTED_VALUE"""),"startups.com.br")</f>
        <v>startups.com.br</v>
      </c>
    </row>
    <row r="400">
      <c r="A400" s="8" t="str">
        <f>IFERROR(__xludf.DUMMYFUNCTION("""COMPUTED_VALUE"""),"startupselfie_official")</f>
        <v>startupselfie_official</v>
      </c>
    </row>
    <row r="401">
      <c r="A401" s="8" t="str">
        <f>IFERROR(__xludf.DUMMYFUNCTION("""COMPUTED_VALUE"""),"startups_media")</f>
        <v>startups_media</v>
      </c>
    </row>
    <row r="402">
      <c r="A402" s="8" t="str">
        <f>IFERROR(__xludf.DUMMYFUNCTION("""COMPUTED_VALUE"""),"startupstalkindia")</f>
        <v>startupstalkindia</v>
      </c>
    </row>
    <row r="403">
      <c r="A403" s="8" t="str">
        <f>IFERROR(__xludf.DUMMYFUNCTION("""COMPUTED_VALUE"""),"bkstreetart")</f>
        <v>bkstreetart</v>
      </c>
    </row>
    <row r="404">
      <c r="A404" s="8" t="str">
        <f>IFERROR(__xludf.DUMMYFUNCTION("""COMPUTED_VALUE"""),"globalstreetart")</f>
        <v>globalstreetart</v>
      </c>
    </row>
    <row r="405">
      <c r="A405" s="8" t="str">
        <f>IFERROR(__xludf.DUMMYFUNCTION("""COMPUTED_VALUE"""),"karcocha_street_art")</f>
        <v>karcocha_street_art</v>
      </c>
    </row>
    <row r="406">
      <c r="A406" s="8" t="str">
        <f>IFERROR(__xludf.DUMMYFUNCTION("""COMPUTED_VALUE"""),"londonstreetart")</f>
        <v>londonstreetart</v>
      </c>
    </row>
    <row r="407">
      <c r="A407" s="8" t="str">
        <f>IFERROR(__xludf.DUMMYFUNCTION("""COMPUTED_VALUE"""),"streetart")</f>
        <v>streetart</v>
      </c>
    </row>
    <row r="408">
      <c r="A408" s="8" t="str">
        <f>IFERROR(__xludf.DUMMYFUNCTION("""COMPUTED_VALUE"""),"streetartglobe")</f>
        <v>streetartglobe</v>
      </c>
    </row>
    <row r="409">
      <c r="A409" s="8" t="str">
        <f>IFERROR(__xludf.DUMMYFUNCTION("""COMPUTED_VALUE"""),"streetartnews")</f>
        <v>streetartnews</v>
      </c>
    </row>
    <row r="410">
      <c r="A410" s="8" t="str">
        <f>IFERROR(__xludf.DUMMYFUNCTION("""COMPUTED_VALUE"""),"streetartnyc")</f>
        <v>streetartnyc</v>
      </c>
    </row>
    <row r="411">
      <c r="A411" s="8" t="str">
        <f>IFERROR(__xludf.DUMMYFUNCTION("""COMPUTED_VALUE"""),"urban_streetart")</f>
        <v>urban_streetart</v>
      </c>
    </row>
    <row r="412">
      <c r="A412" s="8" t="str">
        <f>IFERROR(__xludf.DUMMYFUNCTION("""COMPUTED_VALUE"""),"stfoodcinema")</f>
        <v>stfoodcinema</v>
      </c>
    </row>
    <row r="413">
      <c r="A413" s="8" t="str">
        <f>IFERROR(__xludf.DUMMYFUNCTION("""COMPUTED_VALUE"""),"streetfood.29")</f>
        <v>streetfood.29</v>
      </c>
    </row>
    <row r="414">
      <c r="A414" s="8" t="str">
        <f>IFERROR(__xludf.DUMMYFUNCTION("""COMPUTED_VALUE"""),"street_food_aj")</f>
        <v>street_food_aj</v>
      </c>
    </row>
    <row r="415">
      <c r="A415" s="8" t="str">
        <f>IFERROR(__xludf.DUMMYFUNCTION("""COMPUTED_VALUE"""),"streetfood_ar")</f>
        <v>streetfood_ar</v>
      </c>
    </row>
    <row r="416">
      <c r="A416" s="8" t="str">
        <f>IFERROR(__xludf.DUMMYFUNCTION("""COMPUTED_VALUE"""),"streetfoodfestivalromania")</f>
        <v>streetfoodfestivalromania</v>
      </c>
    </row>
    <row r="417">
      <c r="A417" s="8" t="str">
        <f>IFERROR(__xludf.DUMMYFUNCTION("""COMPUTED_VALUE"""),"street_food_finder_82")</f>
        <v>street_food_finder_82</v>
      </c>
    </row>
    <row r="418">
      <c r="A418" s="8" t="str">
        <f>IFERROR(__xludf.DUMMYFUNCTION("""COMPUTED_VALUE"""),"streetfoodjourn3y")</f>
        <v>streetfoodjourn3y</v>
      </c>
    </row>
    <row r="419">
      <c r="A419" s="8" t="str">
        <f>IFERROR(__xludf.DUMMYFUNCTION("""COMPUTED_VALUE"""),"street_foodnation")</f>
        <v>street_foodnation</v>
      </c>
    </row>
    <row r="420">
      <c r="A420" s="8" t="str">
        <f>IFERROR(__xludf.DUMMYFUNCTION("""COMPUTED_VALUE"""),"streetfood_officiel")</f>
        <v>streetfood_officiel</v>
      </c>
    </row>
    <row r="421">
      <c r="A421" s="8" t="str">
        <f>IFERROR(__xludf.DUMMYFUNCTION("""COMPUTED_VALUE"""),"streetfood.suli")</f>
        <v>streetfood.suli</v>
      </c>
    </row>
    <row r="422">
      <c r="A422" s="8" t="str">
        <f>IFERROR(__xludf.DUMMYFUNCTION("""COMPUTED_VALUE"""),"street_food.uka")</f>
        <v>street_food.uka</v>
      </c>
    </row>
    <row r="423">
      <c r="A423" s="8" t="str">
        <f>IFERROR(__xludf.DUMMYFUNCTION("""COMPUTED_VALUE"""),"minimalstreetstyle")</f>
        <v>minimalstreetstyle</v>
      </c>
    </row>
    <row r="424">
      <c r="A424" s="8" t="str">
        <f>IFERROR(__xludf.DUMMYFUNCTION("""COMPUTED_VALUE"""),"streetstyled")</f>
        <v>streetstyled</v>
      </c>
    </row>
    <row r="425">
      <c r="A425" s="8" t="str">
        <f>IFERROR(__xludf.DUMMYFUNCTION("""COMPUTED_VALUE"""),"streetstyle__daily")</f>
        <v>streetstyle__daily</v>
      </c>
    </row>
    <row r="426">
      <c r="A426" s="8" t="str">
        <f>IFERROR(__xludf.DUMMYFUNCTION("""COMPUTED_VALUE"""),"street.style.hunter")</f>
        <v>street.style.hunter</v>
      </c>
    </row>
    <row r="427">
      <c r="A427" s="8" t="str">
        <f>IFERROR(__xludf.DUMMYFUNCTION("""COMPUTED_VALUE"""),"streetstylemvm")</f>
        <v>streetstylemvm</v>
      </c>
    </row>
    <row r="428">
      <c r="A428" s="8" t="str">
        <f>IFERROR(__xludf.DUMMYFUNCTION("""COMPUTED_VALUE"""),"street_style_paris")</f>
        <v>street_style_paris</v>
      </c>
    </row>
    <row r="429">
      <c r="A429" s="8" t="str">
        <f>IFERROR(__xludf.DUMMYFUNCTION("""COMPUTED_VALUE"""),"street_style_rules")</f>
        <v>street_style_rules</v>
      </c>
    </row>
    <row r="430">
      <c r="A430" s="8" t="str">
        <f>IFERROR(__xludf.DUMMYFUNCTION("""COMPUTED_VALUE"""),"streetstyle.tmr")</f>
        <v>streetstyle.tmr</v>
      </c>
    </row>
    <row r="431">
      <c r="A431" s="8" t="str">
        <f>IFERROR(__xludf.DUMMYFUNCTION("""COMPUTED_VALUE"""),"street_stylew")</f>
        <v>street_stylew</v>
      </c>
    </row>
    <row r="432">
      <c r="A432" s="8" t="str">
        <f>IFERROR(__xludf.DUMMYFUNCTION("""COMPUTED_VALUE"""),"streetstylewu")</f>
        <v>streetstylewu</v>
      </c>
    </row>
    <row r="433">
      <c r="A433" s="8" t="str">
        <f>IFERROR(__xludf.DUMMYFUNCTION("""COMPUTED_VALUE"""),"itftennis")</f>
        <v>itftennis</v>
      </c>
    </row>
    <row r="434">
      <c r="A434" s="8" t="str">
        <f>IFERROR(__xludf.DUMMYFUNCTION("""COMPUTED_VALUE"""),"royalace.tennis.club")</f>
        <v>royalace.tennis.club</v>
      </c>
    </row>
    <row r="435">
      <c r="A435" s="8" t="str">
        <f>IFERROR(__xludf.DUMMYFUNCTION("""COMPUTED_VALUE"""),"tennischannel")</f>
        <v>tennischannel</v>
      </c>
    </row>
    <row r="436">
      <c r="A436" s="8" t="str">
        <f>IFERROR(__xludf.DUMMYFUNCTION("""COMPUTED_VALUE"""),"tenniskafsh")</f>
        <v>tenniskafsh</v>
      </c>
    </row>
    <row r="437">
      <c r="A437" s="8" t="str">
        <f>IFERROR(__xludf.DUMMYFUNCTION("""COMPUTED_VALUE"""),"tennislegend")</f>
        <v>tennislegend</v>
      </c>
    </row>
    <row r="438">
      <c r="A438" s="8" t="str">
        <f>IFERROR(__xludf.DUMMYFUNCTION("""COMPUTED_VALUE"""),"tennis_mira")</f>
        <v>tennis_mira</v>
      </c>
    </row>
    <row r="439">
      <c r="A439" s="8" t="str">
        <f>IFERROR(__xludf.DUMMYFUNCTION("""COMPUTED_VALUE"""),"tennistv")</f>
        <v>tennistv</v>
      </c>
    </row>
    <row r="440">
      <c r="A440" s="8" t="str">
        <f>IFERROR(__xludf.DUMMYFUNCTION("""COMPUTED_VALUE"""),"tenniswithdylan")</f>
        <v>tenniswithdylan</v>
      </c>
    </row>
    <row r="441">
      <c r="A441" s="8" t="str">
        <f>IFERROR(__xludf.DUMMYFUNCTION("""COMPUTED_VALUE"""),"thetennis101")</f>
        <v>thetennis101</v>
      </c>
    </row>
    <row r="442">
      <c r="A442" s="8" t="str">
        <f>IFERROR(__xludf.DUMMYFUNCTION("""COMPUTED_VALUE"""),"wilsontennis")</f>
        <v>wilsontennis</v>
      </c>
    </row>
    <row r="443">
      <c r="A443" s="8" t="str">
        <f>IFERROR(__xludf.DUMMYFUNCTION("""COMPUTED_VALUE"""),"zhengqinwen_tennis")</f>
        <v>zhengqinwen_tennis</v>
      </c>
    </row>
    <row r="444">
      <c r="A444" s="8" t="str">
        <f>IFERROR(__xludf.DUMMYFUNCTION("""COMPUTED_VALUE"""),"toddlerscanread")</f>
        <v>toddlerscanread</v>
      </c>
    </row>
    <row r="445">
      <c r="A445" s="8" t="str">
        <f>IFERROR(__xludf.DUMMYFUNCTION("""COMPUTED_VALUE"""),"toddlers_diapers")</f>
        <v>toddlers_diapers</v>
      </c>
    </row>
    <row r="446">
      <c r="A446" s="8" t="str">
        <f>IFERROR(__xludf.DUMMYFUNCTION("""COMPUTED_VALUE"""),"toddlers_gram")</f>
        <v>toddlers_gram</v>
      </c>
    </row>
    <row r="447">
      <c r="A447" s="8" t="str">
        <f>IFERROR(__xludf.DUMMYFUNCTION("""COMPUTED_VALUE"""),"travelvlogupdate")</f>
        <v>travelvlogupdate</v>
      </c>
    </row>
    <row r="448">
      <c r="A448" s="8" t="str">
        <f>IFERROR(__xludf.DUMMYFUNCTION("""COMPUTED_VALUE"""),"dr.vegan")</f>
        <v>dr.vegan</v>
      </c>
    </row>
    <row r="449">
      <c r="A449" s="8" t="str">
        <f>IFERROR(__xludf.DUMMYFUNCTION("""COMPUTED_VALUE"""),"elavegan")</f>
        <v>elavegan</v>
      </c>
    </row>
    <row r="450">
      <c r="A450" s="8" t="str">
        <f>IFERROR(__xludf.DUMMYFUNCTION("""COMPUTED_VALUE"""),"fabiolavegmamy")</f>
        <v>fabiolavegmamy</v>
      </c>
    </row>
    <row r="451">
      <c r="A451" s="8" t="str">
        <f>IFERROR(__xludf.DUMMYFUNCTION("""COMPUTED_VALUE"""),"pacasveganas")</f>
        <v>pacasveganas</v>
      </c>
    </row>
    <row r="452">
      <c r="A452" s="8" t="str">
        <f>IFERROR(__xludf.DUMMYFUNCTION("""COMPUTED_VALUE"""),"vague.vegan")</f>
        <v>vague.vegan</v>
      </c>
    </row>
    <row r="453">
      <c r="A453" s="8" t="str">
        <f>IFERROR(__xludf.DUMMYFUNCTION("""COMPUTED_VALUE"""),"vegan")</f>
        <v>vegan</v>
      </c>
    </row>
    <row r="454">
      <c r="A454" s="8" t="str">
        <f>IFERROR(__xludf.DUMMYFUNCTION("""COMPUTED_VALUE"""),"veganbunnyelle")</f>
        <v>veganbunnyelle</v>
      </c>
    </row>
    <row r="455">
      <c r="A455" s="8" t="str">
        <f>IFERROR(__xludf.DUMMYFUNCTION("""COMPUTED_VALUE"""),"vegandale")</f>
        <v>vegandale</v>
      </c>
    </row>
    <row r="456">
      <c r="A456" s="8" t="str">
        <f>IFERROR(__xludf.DUMMYFUNCTION("""COMPUTED_VALUE"""),"veganexchangela")</f>
        <v>veganexchangela</v>
      </c>
    </row>
    <row r="457">
      <c r="A457" s="8" t="str">
        <f>IFERROR(__xludf.DUMMYFUNCTION("""COMPUTED_VALUE"""),"vegan.f.t.a")</f>
        <v>vegan.f.t.a</v>
      </c>
    </row>
    <row r="458">
      <c r="A458" s="8" t="str">
        <f>IFERROR(__xludf.DUMMYFUNCTION("""COMPUTED_VALUE"""),"vegan.planvn")</f>
        <v>vegan.planvn</v>
      </c>
    </row>
    <row r="459">
      <c r="A459" s="8" t="str">
        <f>IFERROR(__xludf.DUMMYFUNCTION("""COMPUTED_VALUE"""),"veganrecipesideas")</f>
        <v>veganrecipesideas</v>
      </c>
    </row>
    <row r="460">
      <c r="A460" s="8" t="str">
        <f>IFERROR(__xludf.DUMMYFUNCTION("""COMPUTED_VALUE"""),"vegan_veganfood")</f>
        <v>vegan_veganfood</v>
      </c>
    </row>
    <row r="461">
      <c r="A461" s="8" t="str">
        <f>IFERROR(__xludf.DUMMYFUNCTION("""COMPUTED_VALUE"""),"35_vintage")</f>
        <v>35_vintage</v>
      </c>
    </row>
    <row r="462">
      <c r="A462" s="8" t="str">
        <f>IFERROR(__xludf.DUMMYFUNCTION("""COMPUTED_VALUE"""),"oldvintagecartoons")</f>
        <v>oldvintagecartoons</v>
      </c>
    </row>
    <row r="463">
      <c r="A463" s="8" t="str">
        <f>IFERROR(__xludf.DUMMYFUNCTION("""COMPUTED_VALUE"""),"tabvintage")</f>
        <v>tabvintage</v>
      </c>
    </row>
    <row r="464">
      <c r="A464" s="8" t="str">
        <f>IFERROR(__xludf.DUMMYFUNCTION("""COMPUTED_VALUE"""),"the_vintage_bar")</f>
        <v>the_vintage_bar</v>
      </c>
    </row>
    <row r="465">
      <c r="A465" s="8" t="str">
        <f>IFERROR(__xludf.DUMMYFUNCTION("""COMPUTED_VALUE"""),"viintagedaily")</f>
        <v>viintagedaily</v>
      </c>
    </row>
    <row r="466">
      <c r="A466" s="8" t="str">
        <f>IFERROR(__xludf.DUMMYFUNCTION("""COMPUTED_VALUE"""),"vintage")</f>
        <v>vintage</v>
      </c>
    </row>
    <row r="467">
      <c r="A467" s="8" t="str">
        <f>IFERROR(__xludf.DUMMYFUNCTION("""COMPUTED_VALUE"""),"vintagebazaarpt")</f>
        <v>vintagebazaarpt</v>
      </c>
    </row>
    <row r="468">
      <c r="A468" s="8" t="str">
        <f>IFERROR(__xludf.DUMMYFUNCTION("""COMPUTED_VALUE"""),"vintageculture")</f>
        <v>vintageculture</v>
      </c>
    </row>
    <row r="469">
      <c r="A469" s="8" t="str">
        <f>IFERROR(__xludf.DUMMYFUNCTION("""COMPUTED_VALUE"""),"vintageculturemood")</f>
        <v>vintageculturemood</v>
      </c>
    </row>
    <row r="470">
      <c r="A470" s="8" t="str">
        <f>IFERROR(__xludf.DUMMYFUNCTION("""COMPUTED_VALUE"""),"vintagedisneys")</f>
        <v>vintagedisneys</v>
      </c>
    </row>
    <row r="471">
      <c r="A471" s="8" t="str">
        <f>IFERROR(__xludf.DUMMYFUNCTION("""COMPUTED_VALUE"""),"vintage.dreamings")</f>
        <v>vintage.dreamings</v>
      </c>
    </row>
    <row r="472">
      <c r="A472" s="8" t="str">
        <f>IFERROR(__xludf.DUMMYFUNCTION("""COMPUTED_VALUE"""),"vintagefantasymag")</f>
        <v>vintagefantasymag</v>
      </c>
    </row>
    <row r="473">
      <c r="A473" s="8" t="str">
        <f>IFERROR(__xludf.DUMMYFUNCTION("""COMPUTED_VALUE"""),"vintagemodern")</f>
        <v>vintagemodern</v>
      </c>
    </row>
    <row r="474">
      <c r="A474" s="8" t="str">
        <f>IFERROR(__xludf.DUMMYFUNCTION("""COMPUTED_VALUE"""),"wanderlust")</f>
        <v>wanderlust</v>
      </c>
    </row>
    <row r="475">
      <c r="A475" s="8" t="str">
        <f>IFERROR(__xludf.DUMMYFUNCTION("""COMPUTED_VALUE"""),"wanderlustmag")</f>
        <v>wanderlustmag</v>
      </c>
    </row>
    <row r="476">
      <c r="A476" s="11" t="str">
        <f>IFERROR(__xludf.DUMMYFUNCTION("""COMPUTED_VALUE"""),"wanderlust.nl")</f>
        <v>wanderlust.nl</v>
      </c>
    </row>
    <row r="477">
      <c r="A477" s="8" t="str">
        <f>IFERROR(__xludf.DUMMYFUNCTION("""COMPUTED_VALUE"""),"wanderlustparis")</f>
        <v>wanderlustparis</v>
      </c>
    </row>
    <row r="478">
      <c r="A478" s="8" t="str">
        <f>IFERROR(__xludf.DUMMYFUNCTION("""COMPUTED_VALUE"""),"wanderlust_ufficiale")</f>
        <v>wanderlust_ufficiale</v>
      </c>
    </row>
    <row r="479">
      <c r="A479" s="8" t="str">
        <f>IFERROR(__xludf.DUMMYFUNCTION("""COMPUTED_VALUE"""),"beyond_the_wildlife")</f>
        <v>beyond_the_wildlife</v>
      </c>
    </row>
    <row r="480">
      <c r="A480" s="8" t="str">
        <f>IFERROR(__xludf.DUMMYFUNCTION("""COMPUTED_VALUE"""),"birds.wildlife.nature")</f>
        <v>birds.wildlife.nature</v>
      </c>
    </row>
    <row r="481">
      <c r="A481" s="8" t="str">
        <f>IFERROR(__xludf.DUMMYFUNCTION("""COMPUTED_VALUE"""),"maysasantoro")</f>
        <v>maysasantoro</v>
      </c>
    </row>
    <row r="482">
      <c r="A482" s="8" t="str">
        <f>IFERROR(__xludf.DUMMYFUNCTION("""COMPUTED_VALUE"""),"nhm_wpy")</f>
        <v>nhm_wpy</v>
      </c>
    </row>
    <row r="483">
      <c r="A483" s="8" t="str">
        <f>IFERROR(__xludf.DUMMYFUNCTION("""COMPUTED_VALUE"""),"servalwildlife")</f>
        <v>servalwildlife</v>
      </c>
    </row>
    <row r="484">
      <c r="A484" s="8" t="str">
        <f>IFERROR(__xludf.DUMMYFUNCTION("""COMPUTED_VALUE"""),"wildlife")</f>
        <v>wildlife</v>
      </c>
    </row>
    <row r="485">
      <c r="A485" s="8" t="str">
        <f>IFERROR(__xludf.DUMMYFUNCTION("""COMPUTED_VALUE"""),"wildlife.ayush")</f>
        <v>wildlife.ayush</v>
      </c>
    </row>
    <row r="486">
      <c r="A486" s="8" t="str">
        <f>IFERROR(__xludf.DUMMYFUNCTION("""COMPUTED_VALUE"""),"wildlife.barbie")</f>
        <v>wildlife.barbie</v>
      </c>
    </row>
    <row r="487">
      <c r="A487" s="8" t="str">
        <f>IFERROR(__xludf.DUMMYFUNCTION("""COMPUTED_VALUE"""),"wildlife.geo")</f>
        <v>wildlife.geo</v>
      </c>
    </row>
    <row r="488">
      <c r="A488" s="8" t="str">
        <f>IFERROR(__xludf.DUMMYFUNCTION("""COMPUTED_VALUE"""),"wildlifeloverss_")</f>
        <v>wildlifeloverss_</v>
      </c>
    </row>
    <row r="489">
      <c r="A489" s="8" t="str">
        <f>IFERROR(__xludf.DUMMYFUNCTION("""COMPUTED_VALUE"""),"wildlife.report")</f>
        <v>wildlife.report</v>
      </c>
    </row>
    <row r="490">
      <c r="A490" s="8" t="str">
        <f>IFERROR(__xludf.DUMMYFUNCTION("""COMPUTED_VALUE"""),"wildliferescuers")</f>
        <v>wildliferescuers</v>
      </c>
    </row>
    <row r="491">
      <c r="A491" s="8" t="str">
        <f>IFERROR(__xludf.DUMMYFUNCTION("""COMPUTED_VALUE"""),"wildlife.safari")</f>
        <v>wildlife.safari</v>
      </c>
    </row>
    <row r="492">
      <c r="A492" s="8" t="str">
        <f>IFERROR(__xludf.DUMMYFUNCTION("""COMPUTED_VALUE"""),"world_wildlife")</f>
        <v>world_wildlife</v>
      </c>
    </row>
    <row r="493">
      <c r="A493" s="8" t="str">
        <f>IFERROR(__xludf.DUMMYFUNCTION("""COMPUTED_VALUE"""),"bellyworkout")</f>
        <v>bellyworkout</v>
      </c>
    </row>
    <row r="494">
      <c r="A494" s="8" t="str">
        <f>IFERROR(__xludf.DUMMYFUNCTION("""COMPUTED_VALUE"""),"fitonomyapp")</f>
        <v>fitonomyapp</v>
      </c>
    </row>
    <row r="495">
      <c r="A495" s="8" t="str">
        <f>IFERROR(__xludf.DUMMYFUNCTION("""COMPUTED_VALUE"""),"lisafiittworkouts")</f>
        <v>lisafiittworkouts</v>
      </c>
    </row>
    <row r="496">
      <c r="A496" s="8" t="str">
        <f>IFERROR(__xludf.DUMMYFUNCTION("""COMPUTED_VALUE"""),"madfit.ig")</f>
        <v>madfit.ig</v>
      </c>
    </row>
    <row r="497">
      <c r="A497" s="8" t="str">
        <f>IFERROR(__xludf.DUMMYFUNCTION("""COMPUTED_VALUE"""),"m.fitworkout")</f>
        <v>m.fitworkout</v>
      </c>
    </row>
    <row r="498">
      <c r="A498" s="8" t="str">
        <f>IFERROR(__xludf.DUMMYFUNCTION("""COMPUTED_VALUE"""),"workout")</f>
        <v>workout</v>
      </c>
    </row>
    <row r="499">
      <c r="A499" s="8" t="str">
        <f>IFERROR(__xludf.DUMMYFUNCTION("""COMPUTED_VALUE"""),"work_out_221")</f>
        <v>work_out_221</v>
      </c>
    </row>
    <row r="500">
      <c r="A500" s="8" t="str">
        <f>IFERROR(__xludf.DUMMYFUNCTION("""COMPUTED_VALUE"""),"workout_athletics")</f>
        <v>workout_athletics</v>
      </c>
    </row>
    <row r="501">
      <c r="A501" s="8" t="str">
        <f>IFERROR(__xludf.DUMMYFUNCTION("""COMPUTED_VALUE"""),"workout.ecu")</f>
        <v>workout.ecu</v>
      </c>
    </row>
    <row r="502">
      <c r="A502" s="8" t="str">
        <f>IFERROR(__xludf.DUMMYFUNCTION("""COMPUTED_VALUE"""),"workoutguidemansgym")</f>
        <v>workoutguidemansgym</v>
      </c>
    </row>
    <row r="503">
      <c r="A503" s="8" t="str">
        <f>IFERROR(__xludf.DUMMYFUNCTION("""COMPUTED_VALUE"""),"workout_landlord")</f>
        <v>workout_landlord</v>
      </c>
    </row>
    <row r="504">
      <c r="A504" s="11" t="str">
        <f>IFERROR(__xludf.DUMMYFUNCTION("""COMPUTED_VALUE"""),"workoutonline.se")</f>
        <v>workoutonline.se</v>
      </c>
    </row>
    <row r="505">
      <c r="A505" s="8" t="str">
        <f>IFERROR(__xludf.DUMMYFUNCTION("""COMPUTED_VALUE"""),"workoutsbychristina")</f>
        <v>workoutsbychristina</v>
      </c>
    </row>
    <row r="506">
      <c r="A506" s="8" t="str">
        <f>IFERROR(__xludf.DUMMYFUNCTION("""COMPUTED_VALUE"""),"workoutwithgina")</f>
        <v>workoutwithgina</v>
      </c>
    </row>
    <row r="507">
      <c r="A507" s="8" t="str">
        <f>IFERROR(__xludf.DUMMYFUNCTION("""COMPUTED_VALUE"""),"wrokout_helper")</f>
        <v>wrokout_helper</v>
      </c>
    </row>
    <row r="508">
      <c r="A508" s="8" t="str">
        <f>IFERROR(__xludf.DUMMYFUNCTION("""COMPUTED_VALUE"""),"aloyoga")</f>
        <v>aloyoga</v>
      </c>
    </row>
    <row r="509">
      <c r="A509" s="8" t="str">
        <f>IFERROR(__xludf.DUMMYFUNCTION("""COMPUTED_VALUE"""),"dailyyogaforfitness")</f>
        <v>dailyyogaforfitness</v>
      </c>
    </row>
    <row r="510">
      <c r="A510" s="8" t="str">
        <f>IFERROR(__xludf.DUMMYFUNCTION("""COMPUTED_VALUE"""),"flex.yoga_")</f>
        <v>flex.yoga_</v>
      </c>
    </row>
    <row r="511">
      <c r="A511" s="8" t="str">
        <f>IFERROR(__xludf.DUMMYFUNCTION("""COMPUTED_VALUE"""),"yoga")</f>
        <v>yoga</v>
      </c>
    </row>
    <row r="512">
      <c r="A512" s="8" t="str">
        <f>IFERROR(__xludf.DUMMYFUNCTION("""COMPUTED_VALUE"""),"yogawithkatharine")</f>
        <v>yogawithkatharine</v>
      </c>
    </row>
    <row r="513">
      <c r="A513" s="8" t="str">
        <f>IFERROR(__xludf.DUMMYFUNCTION("""COMPUTED_VALUE"""),"3d.artist.yaghoubi")</f>
        <v>3d.artist.yaghoubi</v>
      </c>
    </row>
    <row r="514">
      <c r="A514" s="8" t="str">
        <f>IFERROR(__xludf.DUMMYFUNCTION("""COMPUTED_VALUE"""),"3dbox_ec")</f>
        <v>3dbox_ec</v>
      </c>
    </row>
    <row r="515">
      <c r="A515" s="8" t="str">
        <f>IFERROR(__xludf.DUMMYFUNCTION("""COMPUTED_VALUE"""),"3d_diy")</f>
        <v>3d_diy</v>
      </c>
    </row>
    <row r="516">
      <c r="A516" s="8" t="str">
        <f>IFERROR(__xludf.DUMMYFUNCTION("""COMPUTED_VALUE"""),"3dgolfdecoded")</f>
        <v>3dgolfdecoded</v>
      </c>
    </row>
    <row r="517">
      <c r="A517" s="8" t="str">
        <f>IFERROR(__xludf.DUMMYFUNCTION("""COMPUTED_VALUE"""),"3dmake3d")</f>
        <v>3dmake3d</v>
      </c>
    </row>
    <row r="518">
      <c r="A518" s="8" t="str">
        <f>IFERROR(__xludf.DUMMYFUNCTION("""COMPUTED_VALUE"""),"rodzombie")</f>
        <v>rodzombie</v>
      </c>
    </row>
    <row r="519">
      <c r="A519" s="8" t="str">
        <f>IFERROR(__xludf.DUMMYFUNCTION("""COMPUTED_VALUE"""),"zeoh.3d")</f>
        <v>zeoh.3d</v>
      </c>
    </row>
    <row r="520">
      <c r="A520" s="8" t="str">
        <f>IFERROR(__xludf.DUMMYFUNCTION("""COMPUTED_VALUE"""),"burgaofficial")</f>
        <v>burgaofficial</v>
      </c>
    </row>
    <row r="521">
      <c r="A521" s="8" t="str">
        <f>IFERROR(__xludf.DUMMYFUNCTION("""COMPUTED_VALUE"""),"by_nino_accessories")</f>
        <v>by_nino_accessories</v>
      </c>
    </row>
    <row r="522">
      <c r="A522" s="8" t="str">
        <f>IFERROR(__xludf.DUMMYFUNCTION("""COMPUTED_VALUE"""),"gh_accessories__")</f>
        <v>gh_accessories__</v>
      </c>
    </row>
    <row r="523">
      <c r="A523" s="8" t="str">
        <f>IFERROR(__xludf.DUMMYFUNCTION("""COMPUTED_VALUE"""),"hairaccessories_bynancy")</f>
        <v>hairaccessories_bynancy</v>
      </c>
    </row>
    <row r="524">
      <c r="A524" s="8" t="str">
        <f>IFERROR(__xludf.DUMMYFUNCTION("""COMPUTED_VALUE"""),"inaya_accessories")</f>
        <v>inaya_accessories</v>
      </c>
    </row>
    <row r="525">
      <c r="A525" s="8" t="str">
        <f>IFERROR(__xludf.DUMMYFUNCTION("""COMPUTED_VALUE"""),"madine.accessories")</f>
        <v>madine.accessories</v>
      </c>
    </row>
    <row r="526">
      <c r="A526" s="8" t="str">
        <f>IFERROR(__xludf.DUMMYFUNCTION("""COMPUTED_VALUE"""),"manissaaccessories")</f>
        <v>manissaaccessories</v>
      </c>
    </row>
    <row r="527">
      <c r="A527" s="8" t="str">
        <f>IFERROR(__xludf.DUMMYFUNCTION("""COMPUTED_VALUE"""),"mauve_accessories")</f>
        <v>mauve_accessories</v>
      </c>
    </row>
    <row r="528">
      <c r="A528" s="8" t="str">
        <f>IFERROR(__xludf.DUMMYFUNCTION("""COMPUTED_VALUE"""),"sisters_accessories_2")</f>
        <v>sisters_accessories_2</v>
      </c>
    </row>
    <row r="529">
      <c r="A529" s="8" t="str">
        <f>IFERROR(__xludf.DUMMYFUNCTION("""COMPUTED_VALUE"""),"zaaq_accessories")</f>
        <v>zaaq_accessories</v>
      </c>
    </row>
    <row r="530">
      <c r="A530" s="8" t="str">
        <f>IFERROR(__xludf.DUMMYFUNCTION("""COMPUTED_VALUE"""),"adventure")</f>
        <v>adventure</v>
      </c>
    </row>
    <row r="531">
      <c r="A531" s="8" t="str">
        <f>IFERROR(__xludf.DUMMYFUNCTION("""COMPUTED_VALUE"""),"adventurernat")</f>
        <v>adventurernat</v>
      </c>
    </row>
    <row r="532">
      <c r="A532" s="8" t="str">
        <f>IFERROR(__xludf.DUMMYFUNCTION("""COMPUTED_VALUE"""),"magazine.of.adventure")</f>
        <v>magazine.of.adventure</v>
      </c>
    </row>
    <row r="533">
      <c r="A533" s="8" t="str">
        <f>IFERROR(__xludf.DUMMYFUNCTION("""COMPUTED_VALUE"""),"mr_adventure_comedy")</f>
        <v>mr_adventure_comedy</v>
      </c>
    </row>
    <row r="534">
      <c r="A534" s="8" t="str">
        <f>IFERROR(__xludf.DUMMYFUNCTION("""COMPUTED_VALUE"""),"suka__adventure")</f>
        <v>suka__adventure</v>
      </c>
    </row>
    <row r="535">
      <c r="A535" s="8" t="str">
        <f>IFERROR(__xludf.DUMMYFUNCTION("""COMPUTED_VALUE"""),"animal_facts_11")</f>
        <v>animal_facts_11</v>
      </c>
    </row>
    <row r="536">
      <c r="A536" s="8" t="str">
        <f>IFERROR(__xludf.DUMMYFUNCTION("""COMPUTED_VALUE"""),"sadanimalfacts")</f>
        <v>sadanimalfacts</v>
      </c>
    </row>
    <row r="537">
      <c r="A537" s="8" t="str">
        <f>IFERROR(__xludf.DUMMYFUNCTION("""COMPUTED_VALUE"""),"theanimal_facts")</f>
        <v>theanimal_facts</v>
      </c>
    </row>
    <row r="538">
      <c r="A538" s="8" t="str">
        <f>IFERROR(__xludf.DUMMYFUNCTION("""COMPUTED_VALUE"""),"acfanimalrescueofficial")</f>
        <v>acfanimalrescueofficial</v>
      </c>
    </row>
    <row r="539">
      <c r="A539" s="8" t="str">
        <f>IFERROR(__xludf.DUMMYFUNCTION("""COMPUTED_VALUE"""),"animal_rescue32")</f>
        <v>animal_rescue32</v>
      </c>
    </row>
    <row r="540">
      <c r="A540" s="8" t="str">
        <f>IFERROR(__xludf.DUMMYFUNCTION("""COMPUTED_VALUE"""),"animal_rescue_fot")</f>
        <v>animal_rescue_fot</v>
      </c>
    </row>
    <row r="541">
      <c r="A541" s="8" t="str">
        <f>IFERROR(__xludf.DUMMYFUNCTION("""COMPUTED_VALUE"""),"animal_rescue_funds")</f>
        <v>animal_rescue_funds</v>
      </c>
    </row>
    <row r="542">
      <c r="A542" s="8" t="str">
        <f>IFERROR(__xludf.DUMMYFUNCTION("""COMPUTED_VALUE"""),"animal_rescue_nikola")</f>
        <v>animal_rescue_nikola</v>
      </c>
    </row>
    <row r="543">
      <c r="A543" s="8" t="str">
        <f>IFERROR(__xludf.DUMMYFUNCTION("""COMPUTED_VALUE"""),"animal_rescue_serbia")</f>
        <v>animal_rescue_serbia</v>
      </c>
    </row>
    <row r="544">
      <c r="A544" s="8" t="str">
        <f>IFERROR(__xludf.DUMMYFUNCTION("""COMPUTED_VALUE"""),"animalrescuesofia")</f>
        <v>animalrescuesofia</v>
      </c>
    </row>
    <row r="545">
      <c r="A545" s="8" t="str">
        <f>IFERROR(__xludf.DUMMYFUNCTION("""COMPUTED_VALUE"""),"arlboston")</f>
        <v>arlboston</v>
      </c>
    </row>
    <row r="546">
      <c r="A546" s="8" t="str">
        <f>IFERROR(__xludf.DUMMYFUNCTION("""COMPUTED_VALUE"""),"fundacionanimalrescue")</f>
        <v>fundacionanimalrescue</v>
      </c>
    </row>
    <row r="547">
      <c r="A547" s="8" t="str">
        <f>IFERROR(__xludf.DUMMYFUNCTION("""COMPUTED_VALUE"""),"international_animal_rescue")</f>
        <v>international_animal_rescue</v>
      </c>
    </row>
    <row r="548">
      <c r="A548" s="8" t="str">
        <f>IFERROR(__xludf.DUMMYFUNCTION("""COMPUTED_VALUE"""),"jfkanimalrescueandshelter")</f>
        <v>jfkanimalrescueandshelter</v>
      </c>
    </row>
    <row r="549">
      <c r="A549" s="8" t="str">
        <f>IFERROR(__xludf.DUMMYFUNCTION("""COMPUTED_VALUE"""),"manytearsrescue")</f>
        <v>manytearsrescue</v>
      </c>
    </row>
    <row r="550">
      <c r="A550" s="8" t="str">
        <f>IFERROR(__xludf.DUMMYFUNCTION("""COMPUTED_VALUE"""),"tricountyanimalrescuefl")</f>
        <v>tricountyanimalrescuefl</v>
      </c>
    </row>
    <row r="551">
      <c r="A551" s="8" t="str">
        <f>IFERROR(__xludf.DUMMYFUNCTION("""COMPUTED_VALUE"""),"wiseanimalrescue")</f>
        <v>wiseanimalrescue</v>
      </c>
    </row>
    <row r="552">
      <c r="A552" s="8" t="str">
        <f>IFERROR(__xludf.DUMMYFUNCTION("""COMPUTED_VALUE"""),"animation")</f>
        <v>animation</v>
      </c>
    </row>
    <row r="553">
      <c r="A553" s="8" t="str">
        <f>IFERROR(__xludf.DUMMYFUNCTION("""COMPUTED_VALUE"""),"animationixx")</f>
        <v>animationixx</v>
      </c>
    </row>
    <row r="554">
      <c r="A554" s="8" t="str">
        <f>IFERROR(__xludf.DUMMYFUNCTION("""COMPUTED_VALUE"""),"animation_media2")</f>
        <v>animation_media2</v>
      </c>
    </row>
    <row r="555">
      <c r="A555" s="8" t="str">
        <f>IFERROR(__xludf.DUMMYFUNCTION("""COMPUTED_VALUE"""),"animationstoryy")</f>
        <v>animationstoryy</v>
      </c>
    </row>
    <row r="556">
      <c r="A556" s="8" t="str">
        <f>IFERROR(__xludf.DUMMYFUNCTION("""COMPUTED_VALUE"""),"animation_webs")</f>
        <v>animation_webs</v>
      </c>
    </row>
    <row r="557">
      <c r="A557" s="8" t="str">
        <f>IFERROR(__xludf.DUMMYFUNCTION("""COMPUTED_VALUE"""),"branimations1")</f>
        <v>branimations1</v>
      </c>
    </row>
    <row r="558">
      <c r="A558" s="8" t="str">
        <f>IFERROR(__xludf.DUMMYFUNCTION("""COMPUTED_VALUE"""),"disneyanimation")</f>
        <v>disneyanimation</v>
      </c>
    </row>
    <row r="559">
      <c r="A559" s="8" t="str">
        <f>IFERROR(__xludf.DUMMYFUNCTION("""COMPUTED_VALUE"""),"healthytooniverse")</f>
        <v>healthytooniverse</v>
      </c>
    </row>
    <row r="560">
      <c r="A560" s="8" t="str">
        <f>IFERROR(__xludf.DUMMYFUNCTION("""COMPUTED_VALUE"""),"humoranimations0")</f>
        <v>humoranimations0</v>
      </c>
    </row>
    <row r="561">
      <c r="A561" s="8" t="str">
        <f>IFERROR(__xludf.DUMMYFUNCTION("""COMPUTED_VALUE"""),"jaiden_animations")</f>
        <v>jaiden_animations</v>
      </c>
    </row>
    <row r="562">
      <c r="A562" s="8" t="str">
        <f>IFERROR(__xludf.DUMMYFUNCTION("""COMPUTED_VALUE"""),"surgicalanimation")</f>
        <v>surgicalanimation</v>
      </c>
    </row>
    <row r="563">
      <c r="A563" s="8" t="str">
        <f>IFERROR(__xludf.DUMMYFUNCTION("""COMPUTED_VALUE"""),"toei_animation")</f>
        <v>toei_animation</v>
      </c>
    </row>
    <row r="564">
      <c r="A564" s="8" t="str">
        <f>IFERROR(__xludf.DUMMYFUNCTION("""COMPUTED_VALUE"""),"ani_mationstudio")</f>
        <v>ani_mationstudio</v>
      </c>
    </row>
    <row r="565">
      <c r="A565" s="8" t="str">
        <f>IFERROR(__xludf.DUMMYFUNCTION("""COMPUTED_VALUE"""),"animationstudio387")</f>
        <v>animationstudio387</v>
      </c>
    </row>
    <row r="566">
      <c r="A566" s="8" t="str">
        <f>IFERROR(__xludf.DUMMYFUNCTION("""COMPUTED_VALUE"""),"gonbadcaboud")</f>
        <v>gonbadcaboud</v>
      </c>
    </row>
    <row r="567">
      <c r="A567" s="8" t="str">
        <f>IFERROR(__xludf.DUMMYFUNCTION("""COMPUTED_VALUE"""),"apexaddicts")</f>
        <v>apexaddicts</v>
      </c>
    </row>
    <row r="568">
      <c r="A568" s="8" t="str">
        <f>IFERROR(__xludf.DUMMYFUNCTION("""COMPUTED_VALUE"""),"apexlegends")</f>
        <v>apexlegends</v>
      </c>
    </row>
    <row r="569">
      <c r="A569" s="11" t="str">
        <f>IFERROR(__xludf.DUMMYFUNCTION("""COMPUTED_VALUE"""),"apexlegends.co")</f>
        <v>apexlegends.co</v>
      </c>
    </row>
    <row r="570">
      <c r="A570" s="8" t="str">
        <f>IFERROR(__xludf.DUMMYFUNCTION("""COMPUTED_VALUE"""),"apexlegendsgame")</f>
        <v>apexlegendsgame</v>
      </c>
    </row>
    <row r="571">
      <c r="A571" s="11" t="str">
        <f>IFERROR(__xludf.DUMMYFUNCTION("""COMPUTED_VALUE"""),"apex.legends.sa")</f>
        <v>apex.legends.sa</v>
      </c>
    </row>
    <row r="572">
      <c r="A572" s="8" t="str">
        <f>IFERROR(__xludf.DUMMYFUNCTION("""COMPUTED_VALUE"""),"playapex")</f>
        <v>playapex</v>
      </c>
    </row>
    <row r="573">
      <c r="A573" s="8" t="str">
        <f>IFERROR(__xludf.DUMMYFUNCTION("""COMPUTED_VALUE"""),"artificalintelligenceupdates")</f>
        <v>artificalintelligenceupdates</v>
      </c>
    </row>
    <row r="574">
      <c r="A574" s="8" t="str">
        <f>IFERROR(__xludf.DUMMYFUNCTION("""COMPUTED_VALUE"""),"artificial.intelligence16")</f>
        <v>artificial.intelligence16</v>
      </c>
    </row>
    <row r="575">
      <c r="A575" s="11" t="str">
        <f>IFERROR(__xludf.DUMMYFUNCTION("""COMPUTED_VALUE"""),"artificialintelligence.co")</f>
        <v>artificialintelligence.co</v>
      </c>
    </row>
    <row r="576">
      <c r="A576" s="8" t="str">
        <f>IFERROR(__xludf.DUMMYFUNCTION("""COMPUTED_VALUE"""),"artificialintelligencecountry")</f>
        <v>artificialintelligencecountry</v>
      </c>
    </row>
    <row r="577">
      <c r="A577" s="8" t="str">
        <f>IFERROR(__xludf.DUMMYFUNCTION("""COMPUTED_VALUE"""),"artificialintelligenceee")</f>
        <v>artificialintelligenceee</v>
      </c>
    </row>
    <row r="578">
      <c r="A578" s="8" t="str">
        <f>IFERROR(__xludf.DUMMYFUNCTION("""COMPUTED_VALUE"""),"artificialintelligencefacts")</f>
        <v>artificialintelligencefacts</v>
      </c>
    </row>
    <row r="579">
      <c r="A579" s="11" t="str">
        <f>IFERROR(__xludf.DUMMYFUNCTION("""COMPUTED_VALUE"""),"artificialintelligencenews.in")</f>
        <v>artificialintelligencenews.in</v>
      </c>
    </row>
    <row r="580">
      <c r="A580" s="8" t="str">
        <f>IFERROR(__xludf.DUMMYFUNCTION("""COMPUTED_VALUE"""),"artificialintelligencewing")</f>
        <v>artificialintelligencewing</v>
      </c>
    </row>
    <row r="581">
      <c r="A581" s="8" t="str">
        <f>IFERROR(__xludf.DUMMYFUNCTION("""COMPUTED_VALUE"""),"artificial_intelligence_zone")</f>
        <v>artificial_intelligence_zone</v>
      </c>
    </row>
    <row r="582">
      <c r="A582" s="8" t="str">
        <f>IFERROR(__xludf.DUMMYFUNCTION("""COMPUTED_VALUE"""),"chatgptricks")</f>
        <v>chatgptricks</v>
      </c>
    </row>
    <row r="583">
      <c r="A583" s="8" t="str">
        <f>IFERROR(__xludf.DUMMYFUNCTION("""COMPUTED_VALUE"""),"dailyprompter")</f>
        <v>dailyprompter</v>
      </c>
    </row>
    <row r="584">
      <c r="A584" s="11" t="str">
        <f>IFERROR(__xludf.DUMMYFUNCTION("""COMPUTED_VALUE"""),"eluna.ai")</f>
        <v>eluna.ai</v>
      </c>
    </row>
    <row r="585">
      <c r="A585" s="8" t="str">
        <f>IFERROR(__xludf.DUMMYFUNCTION("""COMPUTED_VALUE"""),"getintoai")</f>
        <v>getintoai</v>
      </c>
    </row>
    <row r="586">
      <c r="A586" s="11" t="str">
        <f>IFERROR(__xludf.DUMMYFUNCTION("""COMPUTED_VALUE"""),"power.ai")</f>
        <v>power.ai</v>
      </c>
    </row>
    <row r="587">
      <c r="A587" s="8" t="str">
        <f>IFERROR(__xludf.DUMMYFUNCTION("""COMPUTED_VALUE"""),"yourchatgptguide")</f>
        <v>yourchatgptguide</v>
      </c>
    </row>
    <row r="588">
      <c r="A588" s="8" t="str">
        <f>IFERROR(__xludf.DUMMYFUNCTION("""COMPUTED_VALUE"""),"giraf_art")</f>
        <v>giraf_art</v>
      </c>
    </row>
    <row r="589">
      <c r="A589" s="8" t="str">
        <f>IFERROR(__xludf.DUMMYFUNCTION("""COMPUTED_VALUE"""),"asmr")</f>
        <v>asmr</v>
      </c>
    </row>
    <row r="590">
      <c r="A590" s="8" t="str">
        <f>IFERROR(__xludf.DUMMYFUNCTION("""COMPUTED_VALUE"""),"asmr.a9")</f>
        <v>asmr.a9</v>
      </c>
    </row>
    <row r="591">
      <c r="A591" s="8" t="str">
        <f>IFERROR(__xludf.DUMMYFUNCTION("""COMPUTED_VALUE"""),"asmrjade_yt")</f>
        <v>asmrjade_yt</v>
      </c>
    </row>
    <row r="592">
      <c r="A592" s="8" t="str">
        <f>IFERROR(__xludf.DUMMYFUNCTION("""COMPUTED_VALUE"""),"celainesasmr")</f>
        <v>celainesasmr</v>
      </c>
    </row>
    <row r="593">
      <c r="A593" s="8" t="str">
        <f>IFERROR(__xludf.DUMMYFUNCTION("""COMPUTED_VALUE"""),"dajaasmr")</f>
        <v>dajaasmr</v>
      </c>
    </row>
    <row r="594">
      <c r="A594" s="8" t="str">
        <f>IFERROR(__xludf.DUMMYFUNCTION("""COMPUTED_VALUE"""),"daridrea_asmr")</f>
        <v>daridrea_asmr</v>
      </c>
    </row>
    <row r="595">
      <c r="A595" s="8" t="str">
        <f>IFERROR(__xludf.DUMMYFUNCTION("""COMPUTED_VALUE"""),"ivybasmr")</f>
        <v>ivybasmr</v>
      </c>
    </row>
    <row r="596">
      <c r="A596" s="8" t="str">
        <f>IFERROR(__xludf.DUMMYFUNCTION("""COMPUTED_VALUE"""),"jojo_asmr_")</f>
        <v>jojo_asmr_</v>
      </c>
    </row>
    <row r="597">
      <c r="A597" s="8" t="str">
        <f>IFERROR(__xludf.DUMMYFUNCTION("""COMPUTED_VALUE"""),"kevin.asmr_")</f>
        <v>kevin.asmr_</v>
      </c>
    </row>
    <row r="598">
      <c r="A598" s="8" t="str">
        <f>IFERROR(__xludf.DUMMYFUNCTION("""COMPUTED_VALUE"""),"lisandra_asmr")</f>
        <v>lisandra_asmr</v>
      </c>
    </row>
    <row r="599">
      <c r="A599" s="8" t="str">
        <f>IFERROR(__xludf.DUMMYFUNCTION("""COMPUTED_VALUE"""),"mariams_asmr")</f>
        <v>mariams_asmr</v>
      </c>
    </row>
    <row r="600">
      <c r="A600" s="8" t="str">
        <f>IFERROR(__xludf.DUMMYFUNCTION("""COMPUTED_VALUE"""),"raccoon.asmr")</f>
        <v>raccoon.asmr</v>
      </c>
    </row>
    <row r="601">
      <c r="A601" s="8" t="str">
        <f>IFERROR(__xludf.DUMMYFUNCTION("""COMPUTED_VALUE"""),"rebeccas.asmr")</f>
        <v>rebeccas.asmr</v>
      </c>
    </row>
    <row r="602">
      <c r="A602" s="8" t="str">
        <f>IFERROR(__xludf.DUMMYFUNCTION("""COMPUTED_VALUE"""),"safespaceasmr")</f>
        <v>safespaceasmr</v>
      </c>
    </row>
    <row r="603">
      <c r="A603" s="8" t="str">
        <f>IFERROR(__xludf.DUMMYFUNCTION("""COMPUTED_VALUE"""),"sleep_asmrtist")</f>
        <v>sleep_asmrtist</v>
      </c>
    </row>
    <row r="604">
      <c r="A604" s="8" t="str">
        <f>IFERROR(__xludf.DUMMYFUNCTION("""COMPUTED_VALUE"""),"tom.asmr")</f>
        <v>tom.asmr</v>
      </c>
    </row>
    <row r="605">
      <c r="A605" s="8" t="str">
        <f>IFERROR(__xludf.DUMMYFUNCTION("""COMPUTED_VALUE"""),"whispering.willow.asmr")</f>
        <v>whispering.willow.asmr</v>
      </c>
    </row>
    <row r="606">
      <c r="A606" s="8" t="str">
        <f>IFERROR(__xludf.DUMMYFUNCTION("""COMPUTED_VALUE"""),"zenheads_asmr")</f>
        <v>zenheads_asmr</v>
      </c>
    </row>
    <row r="607">
      <c r="A607" s="8" t="str">
        <f>IFERROR(__xludf.DUMMYFUNCTION("""COMPUTED_VALUE"""),"augmentedxreality")</f>
        <v>augmentedxreality</v>
      </c>
    </row>
    <row r="608">
      <c r="A608" s="8" t="str">
        <f>IFERROR(__xludf.DUMMYFUNCTION("""COMPUTED_VALUE"""),"backcountry_foodie")</f>
        <v>backcountry_foodie</v>
      </c>
    </row>
    <row r="609">
      <c r="A609" s="8" t="str">
        <f>IFERROR(__xludf.DUMMYFUNCTION("""COMPUTED_VALUE"""),"backpacking")</f>
        <v>backpacking</v>
      </c>
    </row>
    <row r="610">
      <c r="A610" s="8" t="str">
        <f>IFERROR(__xludf.DUMMYFUNCTION("""COMPUTED_VALUE"""),"backpackingkitty")</f>
        <v>backpackingkitty</v>
      </c>
    </row>
    <row r="611">
      <c r="A611" s="8" t="str">
        <f>IFERROR(__xludf.DUMMYFUNCTION("""COMPUTED_VALUE"""),"backpackinglight")</f>
        <v>backpackinglight</v>
      </c>
    </row>
    <row r="612">
      <c r="A612" s="8" t="str">
        <f>IFERROR(__xludf.DUMMYFUNCTION("""COMPUTED_VALUE"""),"backpackingluis")</f>
        <v>backpackingluis</v>
      </c>
    </row>
    <row r="613">
      <c r="A613" s="8" t="str">
        <f>IFERROR(__xludf.DUMMYFUNCTION("""COMPUTED_VALUE"""),"backpackingpr")</f>
        <v>backpackingpr</v>
      </c>
    </row>
    <row r="614">
      <c r="A614" s="8" t="str">
        <f>IFERROR(__xludf.DUMMYFUNCTION("""COMPUTED_VALUE"""),"backpacking_russia")</f>
        <v>backpacking_russia</v>
      </c>
    </row>
    <row r="615">
      <c r="A615" s="8" t="str">
        <f>IFERROR(__xludf.DUMMYFUNCTION("""COMPUTED_VALUE"""),"dominiquetravelsss")</f>
        <v>dominiquetravelsss</v>
      </c>
    </row>
    <row r="616">
      <c r="A616" s="8" t="str">
        <f>IFERROR(__xludf.DUMMYFUNCTION("""COMPUTED_VALUE"""),"erinexploring_")</f>
        <v>erinexploring_</v>
      </c>
    </row>
    <row r="617">
      <c r="A617" s="8" t="str">
        <f>IFERROR(__xludf.DUMMYFUNCTION("""COMPUTED_VALUE"""),"kalihikes")</f>
        <v>kalihikes</v>
      </c>
    </row>
    <row r="618">
      <c r="A618" s="8" t="str">
        <f>IFERROR(__xludf.DUMMYFUNCTION("""COMPUTED_VALUE"""),"piaeliza")</f>
        <v>piaeliza</v>
      </c>
    </row>
    <row r="619">
      <c r="A619" s="8" t="str">
        <f>IFERROR(__xludf.DUMMYFUNCTION("""COMPUTED_VALUE"""),"thebackpackingmom")</f>
        <v>thebackpackingmom</v>
      </c>
    </row>
    <row r="620">
      <c r="A620" s="8" t="str">
        <f>IFERROR(__xludf.DUMMYFUNCTION("""COMPUTED_VALUE"""),"_thehungryhiker")</f>
        <v>_thehungryhiker</v>
      </c>
    </row>
    <row r="621">
      <c r="A621" s="8" t="str">
        <f>IFERROR(__xludf.DUMMYFUNCTION("""COMPUTED_VALUE"""),"withthemurfs")</f>
        <v>withthemurfs</v>
      </c>
    </row>
    <row r="622">
      <c r="A622" s="8" t="str">
        <f>IFERROR(__xludf.DUMMYFUNCTION("""COMPUTED_VALUE"""),"badminton_ak")</f>
        <v>badminton_ak</v>
      </c>
    </row>
    <row r="623">
      <c r="A623" s="8" t="str">
        <f>IFERROR(__xludf.DUMMYFUNCTION("""COMPUTED_VALUE"""),"badminton.blood")</f>
        <v>badminton.blood</v>
      </c>
    </row>
    <row r="624">
      <c r="A624" s="8" t="str">
        <f>IFERROR(__xludf.DUMMYFUNCTION("""COMPUTED_VALUE"""),"badmintonmalaysia._")</f>
        <v>badmintonmalaysia._</v>
      </c>
    </row>
    <row r="625">
      <c r="A625" s="8" t="str">
        <f>IFERROR(__xludf.DUMMYFUNCTION("""COMPUTED_VALUE"""),"badmintonmumbai")</f>
        <v>badmintonmumbai</v>
      </c>
    </row>
    <row r="626">
      <c r="A626" s="8" t="str">
        <f>IFERROR(__xludf.DUMMYFUNCTION("""COMPUTED_VALUE"""),"badvinton")</f>
        <v>badvinton</v>
      </c>
    </row>
    <row r="627">
      <c r="A627" s="8" t="str">
        <f>IFERROR(__xludf.DUMMYFUNCTION("""COMPUTED_VALUE"""),"fuzionsbadminton")</f>
        <v>fuzionsbadminton</v>
      </c>
    </row>
    <row r="628">
      <c r="A628" s="8" t="str">
        <f>IFERROR(__xludf.DUMMYFUNCTION("""COMPUTED_VALUE"""),"sgbadminton")</f>
        <v>sgbadminton</v>
      </c>
    </row>
    <row r="629">
      <c r="A629" s="8" t="str">
        <f>IFERROR(__xludf.DUMMYFUNCTION("""COMPUTED_VALUE"""),"thebadmintonzonehq")</f>
        <v>thebadmintonzonehq</v>
      </c>
    </row>
    <row r="630">
      <c r="A630" s="8" t="str">
        <f>IFERROR(__xludf.DUMMYFUNCTION("""COMPUTED_VALUE"""),"baking")</f>
        <v>baking</v>
      </c>
    </row>
    <row r="631">
      <c r="A631" s="8" t="str">
        <f>IFERROR(__xludf.DUMMYFUNCTION("""COMPUTED_VALUE"""),"bakingbossbabe")</f>
        <v>bakingbossbabe</v>
      </c>
    </row>
    <row r="632">
      <c r="A632" s="8" t="str">
        <f>IFERROR(__xludf.DUMMYFUNCTION("""COMPUTED_VALUE"""),"baking_buddyy")</f>
        <v>baking_buddyy</v>
      </c>
    </row>
    <row r="633">
      <c r="A633" s="8" t="str">
        <f>IFERROR(__xludf.DUMMYFUNCTION("""COMPUTED_VALUE"""),"bakingthursdays")</f>
        <v>bakingthursdays</v>
      </c>
    </row>
    <row r="634">
      <c r="A634" s="8" t="str">
        <f>IFERROR(__xludf.DUMMYFUNCTION("""COMPUTED_VALUE"""),"bakingwithblondie")</f>
        <v>bakingwithblondie</v>
      </c>
    </row>
    <row r="635">
      <c r="A635" s="8" t="str">
        <f>IFERROR(__xludf.DUMMYFUNCTION("""COMPUTED_VALUE"""),"bakingwithstephy")</f>
        <v>bakingwithstephy</v>
      </c>
    </row>
    <row r="636">
      <c r="A636" s="8" t="str">
        <f>IFERROR(__xludf.DUMMYFUNCTION("""COMPUTED_VALUE"""),"fooduice.baking")</f>
        <v>fooduice.baking</v>
      </c>
    </row>
    <row r="637">
      <c r="A637" s="8" t="str">
        <f>IFERROR(__xludf.DUMMYFUNCTION("""COMPUTED_VALUE"""),"natashas_baking")</f>
        <v>natashas_baking</v>
      </c>
    </row>
    <row r="638">
      <c r="A638" s="8" t="str">
        <f>IFERROR(__xludf.DUMMYFUNCTION("""COMPUTED_VALUE"""),"passionforbaking")</f>
        <v>passionforbaking</v>
      </c>
    </row>
    <row r="639">
      <c r="A639" s="8" t="str">
        <f>IFERROR(__xludf.DUMMYFUNCTION("""COMPUTED_VALUE"""),"teakandthyme")</f>
        <v>teakandthyme</v>
      </c>
    </row>
    <row r="640">
      <c r="A640" s="8" t="str">
        <f>IFERROR(__xludf.DUMMYFUNCTION("""COMPUTED_VALUE"""),"thebakingprincess._")</f>
        <v>thebakingprincess._</v>
      </c>
    </row>
    <row r="641">
      <c r="A641" s="8" t="str">
        <f>IFERROR(__xludf.DUMMYFUNCTION("""COMPUTED_VALUE"""),"bali")</f>
        <v>bali</v>
      </c>
    </row>
    <row r="642">
      <c r="A642" s="8" t="str">
        <f>IFERROR(__xludf.DUMMYFUNCTION("""COMPUTED_VALUE"""),"balialdn")</f>
        <v>balialdn</v>
      </c>
    </row>
    <row r="643">
      <c r="A643" s="8" t="str">
        <f>IFERROR(__xludf.DUMMYFUNCTION("""COMPUTED_VALUE"""),"balibody")</f>
        <v>balibody</v>
      </c>
    </row>
    <row r="644">
      <c r="A644" s="8" t="str">
        <f>IFERROR(__xludf.DUMMYFUNCTION("""COMPUTED_VALUE"""),"bali.indonesia.explore")</f>
        <v>bali.indonesia.explore</v>
      </c>
    </row>
    <row r="645">
      <c r="A645" s="8" t="str">
        <f>IFERROR(__xludf.DUMMYFUNCTION("""COMPUTED_VALUE"""),"bali.sunnypeople")</f>
        <v>bali.sunnypeople</v>
      </c>
    </row>
    <row r="646">
      <c r="A646" s="8" t="str">
        <f>IFERROR(__xludf.DUMMYFUNCTION("""COMPUTED_VALUE"""),"di_diianaa")</f>
        <v>di_diianaa</v>
      </c>
    </row>
    <row r="647">
      <c r="A647" s="8" t="str">
        <f>IFERROR(__xludf.DUMMYFUNCTION("""COMPUTED_VALUE"""),"jepunbalitr")</f>
        <v>jepunbalitr</v>
      </c>
    </row>
    <row r="648">
      <c r="A648" s="11" t="str">
        <f>IFERROR(__xludf.DUMMYFUNCTION("""COMPUTED_VALUE"""),"barbecue.az")</f>
        <v>barbecue.az</v>
      </c>
    </row>
    <row r="649">
      <c r="A649" s="8" t="str">
        <f>IFERROR(__xludf.DUMMYFUNCTION("""COMPUTED_VALUE"""),"barbecuemafia")</f>
        <v>barbecuemafia</v>
      </c>
    </row>
    <row r="650">
      <c r="A650" s="8" t="str">
        <f>IFERROR(__xludf.DUMMYFUNCTION("""COMPUTED_VALUE"""),"barbecue.tour")</f>
        <v>barbecue.tour</v>
      </c>
    </row>
    <row r="651">
      <c r="A651" s="8" t="str">
        <f>IFERROR(__xludf.DUMMYFUNCTION("""COMPUTED_VALUE"""),"bark_barbecue")</f>
        <v>bark_barbecue</v>
      </c>
    </row>
    <row r="652">
      <c r="A652" s="8" t="str">
        <f>IFERROR(__xludf.DUMMYFUNCTION("""COMPUTED_VALUE"""),"bbqdelights")</f>
        <v>bbqdelights</v>
      </c>
    </row>
    <row r="653">
      <c r="A653" s="8" t="str">
        <f>IFERROR(__xludf.DUMMYFUNCTION("""COMPUTED_VALUE"""),"dinehallaz")</f>
        <v>dinehallaz</v>
      </c>
    </row>
    <row r="654">
      <c r="A654" s="8" t="str">
        <f>IFERROR(__xludf.DUMMYFUNCTION("""COMPUTED_VALUE"""),"grillcityabuja")</f>
        <v>grillcityabuja</v>
      </c>
    </row>
    <row r="655">
      <c r="A655" s="8" t="str">
        <f>IFERROR(__xludf.DUMMYFUNCTION("""COMPUTED_VALUE"""),"hantablebarbecue")</f>
        <v>hantablebarbecue</v>
      </c>
    </row>
    <row r="656">
      <c r="A656" s="8" t="str">
        <f>IFERROR(__xludf.DUMMYFUNCTION("""COMPUTED_VALUE"""),"ilmondodelbarbecue")</f>
        <v>ilmondodelbarbecue</v>
      </c>
    </row>
    <row r="657">
      <c r="A657" s="8" t="str">
        <f>IFERROR(__xludf.DUMMYFUNCTION("""COMPUTED_VALUE"""),"kings_barbecue")</f>
        <v>kings_barbecue</v>
      </c>
    </row>
    <row r="658">
      <c r="A658" s="8" t="str">
        <f>IFERROR(__xludf.DUMMYFUNCTION("""COMPUTED_VALUE"""),"melt_slow_smoked_barbecue")</f>
        <v>melt_slow_smoked_barbecue</v>
      </c>
    </row>
    <row r="659">
      <c r="A659" s="8" t="str">
        <f>IFERROR(__xludf.DUMMYFUNCTION("""COMPUTED_VALUE"""),"terryblacks_bbq")</f>
        <v>terryblacks_bbq</v>
      </c>
    </row>
    <row r="660">
      <c r="A660" s="8" t="str">
        <f>IFERROR(__xludf.DUMMYFUNCTION("""COMPUTED_VALUE"""),"barber")</f>
        <v>barber</v>
      </c>
    </row>
    <row r="661">
      <c r="A661" s="8" t="str">
        <f>IFERROR(__xludf.DUMMYFUNCTION("""COMPUTED_VALUE"""),"celestebarber")</f>
        <v>celestebarber</v>
      </c>
    </row>
    <row r="662">
      <c r="A662" s="8" t="str">
        <f>IFERROR(__xludf.DUMMYFUNCTION("""COMPUTED_VALUE"""),"elboribarber")</f>
        <v>elboribarber</v>
      </c>
    </row>
    <row r="663">
      <c r="A663" s="8" t="str">
        <f>IFERROR(__xludf.DUMMYFUNCTION("""COMPUTED_VALUE"""),"only_barber_promotion")</f>
        <v>only_barber_promotion</v>
      </c>
    </row>
    <row r="664">
      <c r="A664" s="8" t="str">
        <f>IFERROR(__xludf.DUMMYFUNCTION("""COMPUTED_VALUE"""),"pesar.barber")</f>
        <v>pesar.barber</v>
      </c>
    </row>
    <row r="665">
      <c r="A665" s="8" t="str">
        <f>IFERROR(__xludf.DUMMYFUNCTION("""COMPUTED_VALUE"""),"stjamesbarbershop")</f>
        <v>stjamesbarbershop</v>
      </c>
    </row>
    <row r="666">
      <c r="A666" s="8" t="str">
        <f>IFERROR(__xludf.DUMMYFUNCTION("""COMPUTED_VALUE"""),"xanjjj")</f>
        <v>xanjjj</v>
      </c>
    </row>
    <row r="667">
      <c r="A667" s="8" t="str">
        <f>IFERROR(__xludf.DUMMYFUNCTION("""COMPUTED_VALUE"""),"barber_hani_")</f>
        <v>barber_hani_</v>
      </c>
    </row>
    <row r="668">
      <c r="A668" s="8" t="str">
        <f>IFERROR(__xludf.DUMMYFUNCTION("""COMPUTED_VALUE"""),"barber__shop__99")</f>
        <v>barber__shop__99</v>
      </c>
    </row>
    <row r="669">
      <c r="A669" s="8" t="str">
        <f>IFERROR(__xludf.DUMMYFUNCTION("""COMPUTED_VALUE"""),"barbershop_co")</f>
        <v>barbershop_co</v>
      </c>
    </row>
    <row r="670">
      <c r="A670" s="8" t="str">
        <f>IFERROR(__xludf.DUMMYFUNCTION("""COMPUTED_VALUE"""),"barbershophaircutdaily")</f>
        <v>barbershophaircutdaily</v>
      </c>
    </row>
    <row r="671">
      <c r="A671" s="8" t="str">
        <f>IFERROR(__xludf.DUMMYFUNCTION("""COMPUTED_VALUE"""),"barbershop_unclechill")</f>
        <v>barbershop_unclechill</v>
      </c>
    </row>
    <row r="672">
      <c r="A672" s="8" t="str">
        <f>IFERROR(__xludf.DUMMYFUNCTION("""COMPUTED_VALUE"""),"heirbarbershop")</f>
        <v>heirbarbershop</v>
      </c>
    </row>
    <row r="673">
      <c r="A673" s="8" t="str">
        <f>IFERROR(__xludf.DUMMYFUNCTION("""COMPUTED_VALUE"""),"m3barbershop_dubai")</f>
        <v>m3barbershop_dubai</v>
      </c>
    </row>
    <row r="674">
      <c r="A674" s="8" t="str">
        <f>IFERROR(__xludf.DUMMYFUNCTION("""COMPUTED_VALUE"""),"the.premium.barbershop")</f>
        <v>the.premium.barbershop</v>
      </c>
    </row>
    <row r="675">
      <c r="A675" s="8" t="str">
        <f>IFERROR(__xludf.DUMMYFUNCTION("""COMPUTED_VALUE"""),"1baseballtv")</f>
        <v>1baseballtv</v>
      </c>
    </row>
    <row r="676">
      <c r="A676" s="8" t="str">
        <f>IFERROR(__xludf.DUMMYFUNCTION("""COMPUTED_VALUE"""),"baseball")</f>
        <v>baseball</v>
      </c>
    </row>
    <row r="677">
      <c r="A677" s="8" t="str">
        <f>IFERROR(__xludf.DUMMYFUNCTION("""COMPUTED_VALUE"""),"baseballdugout")</f>
        <v>baseballdugout</v>
      </c>
    </row>
    <row r="678">
      <c r="A678" s="8" t="str">
        <f>IFERROR(__xludf.DUMMYFUNCTION("""COMPUTED_VALUE"""),"baseballforbaddies")</f>
        <v>baseballforbaddies</v>
      </c>
    </row>
    <row r="679">
      <c r="A679" s="8" t="str">
        <f>IFERROR(__xludf.DUMMYFUNCTION("""COMPUTED_VALUE"""),"baseballlaxtar")</f>
        <v>baseballlaxtar</v>
      </c>
    </row>
    <row r="680">
      <c r="A680" s="8" t="str">
        <f>IFERROR(__xludf.DUMMYFUNCTION("""COMPUTED_VALUE"""),"baseball_lifestyle101")</f>
        <v>baseball_lifestyle101</v>
      </c>
    </row>
    <row r="681">
      <c r="A681" s="8" t="str">
        <f>IFERROR(__xludf.DUMMYFUNCTION("""COMPUTED_VALUE"""),"baseball_player_latinos")</f>
        <v>baseball_player_latinos</v>
      </c>
    </row>
    <row r="682">
      <c r="A682" s="8" t="str">
        <f>IFERROR(__xludf.DUMMYFUNCTION("""COMPUTED_VALUE"""),"bobabreubaseballacademy53")</f>
        <v>bobabreubaseballacademy53</v>
      </c>
    </row>
    <row r="683">
      <c r="A683" s="8" t="str">
        <f>IFERROR(__xludf.DUMMYFUNCTION("""COMPUTED_VALUE"""),"kbz_baseball")</f>
        <v>kbz_baseball</v>
      </c>
    </row>
    <row r="684">
      <c r="A684" s="8" t="str">
        <f>IFERROR(__xludf.DUMMYFUNCTION("""COMPUTED_VALUE"""),"kubaseball")</f>
        <v>kubaseball</v>
      </c>
    </row>
    <row r="685">
      <c r="A685" s="8" t="str">
        <f>IFERROR(__xludf.DUMMYFUNCTION("""COMPUTED_VALUE"""),"mbcbaseballtonight")</f>
        <v>mbcbaseballtonight</v>
      </c>
    </row>
    <row r="686">
      <c r="A686" s="8" t="str">
        <f>IFERROR(__xludf.DUMMYFUNCTION("""COMPUTED_VALUE"""),"midlandbasebal")</f>
        <v>midlandbasebal</v>
      </c>
    </row>
    <row r="687">
      <c r="A687" s="8" t="str">
        <f>IFERROR(__xludf.DUMMYFUNCTION("""COMPUTED_VALUE"""),"samsunglions_baseballclub")</f>
        <v>samsunglions_baseballclub</v>
      </c>
    </row>
    <row r="688">
      <c r="A688" s="8" t="str">
        <f>IFERROR(__xludf.DUMMYFUNCTION("""COMPUTED_VALUE"""),"talkinbaseball_")</f>
        <v>talkinbaseball_</v>
      </c>
    </row>
    <row r="689">
      <c r="A689" s="8" t="str">
        <f>IFERROR(__xludf.DUMMYFUNCTION("""COMPUTED_VALUE"""),"texasbaseball")</f>
        <v>texasbaseball</v>
      </c>
    </row>
    <row r="690">
      <c r="A690" s="8" t="str">
        <f>IFERROR(__xludf.DUMMYFUNCTION("""COMPUTED_VALUE"""),"usabaseball")</f>
        <v>usabaseball</v>
      </c>
    </row>
    <row r="691">
      <c r="A691" s="8" t="str">
        <f>IFERROR(__xludf.DUMMYFUNCTION("""COMPUTED_VALUE"""),"barrabeachtz")</f>
        <v>barrabeachtz</v>
      </c>
    </row>
    <row r="692">
      <c r="A692" s="8" t="str">
        <f>IFERROR(__xludf.DUMMYFUNCTION("""COMPUTED_VALUE"""),"barstoolbeachhouse")</f>
        <v>barstoolbeachhouse</v>
      </c>
    </row>
    <row r="693">
      <c r="A693" s="8" t="str">
        <f>IFERROR(__xludf.DUMMYFUNCTION("""COMPUTED_VALUE"""),"beaccchhoussse")</f>
        <v>beaccchhoussse</v>
      </c>
    </row>
    <row r="694">
      <c r="A694" s="8" t="str">
        <f>IFERROR(__xludf.DUMMYFUNCTION("""COMPUTED_VALUE"""),"beach")</f>
        <v>beach</v>
      </c>
    </row>
    <row r="695">
      <c r="A695" s="8" t="str">
        <f>IFERROR(__xludf.DUMMYFUNCTION("""COMPUTED_VALUE"""),"beachplumfarm")</f>
        <v>beachplumfarm</v>
      </c>
    </row>
    <row r="696">
      <c r="A696" s="8" t="str">
        <f>IFERROR(__xludf.DUMMYFUNCTION("""COMPUTED_VALUE"""),"beachreadsandbubbly")</f>
        <v>beachreadsandbubbly</v>
      </c>
    </row>
    <row r="697">
      <c r="A697" s="8" t="str">
        <f>IFERROR(__xludf.DUMMYFUNCTION("""COMPUTED_VALUE"""),"beachretreats")</f>
        <v>beachretreats</v>
      </c>
    </row>
    <row r="698">
      <c r="A698" s="8" t="str">
        <f>IFERROR(__xludf.DUMMYFUNCTION("""COMPUTED_VALUE"""),"bebeachdxb")</f>
        <v>bebeachdxb</v>
      </c>
    </row>
    <row r="699">
      <c r="A699" s="8" t="str">
        <f>IFERROR(__xludf.DUMMYFUNCTION("""COMPUTED_VALUE"""),"boma.beach")</f>
        <v>boma.beach</v>
      </c>
    </row>
    <row r="700">
      <c r="A700" s="8" t="str">
        <f>IFERROR(__xludf.DUMMYFUNCTION("""COMPUTED_VALUE"""),"bravococo_beach")</f>
        <v>bravococo_beach</v>
      </c>
    </row>
    <row r="701">
      <c r="A701" s="8" t="str">
        <f>IFERROR(__xludf.DUMMYFUNCTION("""COMPUTED_VALUE"""),"bungalow_beach_resort")</f>
        <v>bungalow_beach_resort</v>
      </c>
    </row>
    <row r="702">
      <c r="A702" s="8" t="str">
        <f>IFERROR(__xludf.DUMMYFUNCTION("""COMPUTED_VALUE"""),"ivybeachcollection")</f>
        <v>ivybeachcollection</v>
      </c>
    </row>
    <row r="703">
      <c r="A703" s="8" t="str">
        <f>IFERROR(__xludf.DUMMYFUNCTION("""COMPUTED_VALUE"""),"rorosbeachbartz")</f>
        <v>rorosbeachbartz</v>
      </c>
    </row>
    <row r="704">
      <c r="A704" s="11" t="str">
        <f>IFERROR(__xludf.DUMMYFUNCTION("""COMPUTED_VALUE"""),"sunnysbeach.mq")</f>
        <v>sunnysbeach.mq</v>
      </c>
    </row>
    <row r="705">
      <c r="A705" s="8" t="str">
        <f>IFERROR(__xludf.DUMMYFUNCTION("""COMPUTED_VALUE"""),"beautyhackcs")</f>
        <v>beautyhackcs</v>
      </c>
    </row>
    <row r="706">
      <c r="A706" s="8" t="str">
        <f>IFERROR(__xludf.DUMMYFUNCTION("""COMPUTED_VALUE"""),"beautyhacks")</f>
        <v>beautyhacks</v>
      </c>
    </row>
    <row r="707">
      <c r="A707" s="8" t="str">
        <f>IFERROR(__xludf.DUMMYFUNCTION("""COMPUTED_VALUE"""),"beautyhacks823")</f>
        <v>beautyhacks823</v>
      </c>
    </row>
    <row r="708">
      <c r="A708" s="8" t="str">
        <f>IFERROR(__xludf.DUMMYFUNCTION("""COMPUTED_VALUE"""),"beauty_hacks.diy")</f>
        <v>beauty_hacks.diy</v>
      </c>
    </row>
    <row r="709">
      <c r="A709" s="8" t="str">
        <f>IFERROR(__xludf.DUMMYFUNCTION("""COMPUTED_VALUE"""),"_beauty__hackss")</f>
        <v>_beauty__hackss</v>
      </c>
    </row>
    <row r="710">
      <c r="A710" s="8" t="str">
        <f>IFERROR(__xludf.DUMMYFUNCTION("""COMPUTED_VALUE"""),"beauty_reviews70")</f>
        <v>beauty_reviews70</v>
      </c>
    </row>
    <row r="711">
      <c r="A711" s="8" t="str">
        <f>IFERROR(__xludf.DUMMYFUNCTION("""COMPUTED_VALUE"""),"beautyroutine08")</f>
        <v>beautyroutine08</v>
      </c>
    </row>
    <row r="712">
      <c r="A712" s="8" t="str">
        <f>IFERROR(__xludf.DUMMYFUNCTION("""COMPUTED_VALUE"""),"ek_beautyroutine")</f>
        <v>ek_beautyroutine</v>
      </c>
    </row>
    <row r="713">
      <c r="A713" s="8" t="str">
        <f>IFERROR(__xludf.DUMMYFUNCTION("""COMPUTED_VALUE"""),"behindthescenes_miami")</f>
        <v>behindthescenes_miami</v>
      </c>
    </row>
    <row r="714">
      <c r="A714" s="8" t="str">
        <f>IFERROR(__xludf.DUMMYFUNCTION("""COMPUTED_VALUE"""),"behindthescenesvibe")</f>
        <v>behindthescenesvibe</v>
      </c>
    </row>
    <row r="715">
      <c r="A715" s="8" t="str">
        <f>IFERROR(__xludf.DUMMYFUNCTION("""COMPUTED_VALUE"""),"audreymieuxvivre.nutrition")</f>
        <v>audreymieuxvivre.nutrition</v>
      </c>
    </row>
    <row r="716">
      <c r="A716" s="8" t="str">
        <f>IFERROR(__xludf.DUMMYFUNCTION("""COMPUTED_VALUE"""),"bien_etre_france")</f>
        <v>bien_etre_france</v>
      </c>
    </row>
    <row r="717">
      <c r="A717" s="8" t="str">
        <f>IFERROR(__xludf.DUMMYFUNCTION("""COMPUTED_VALUE"""),"bienetre.maison")</f>
        <v>bienetre.maison</v>
      </c>
    </row>
    <row r="718">
      <c r="A718" s="8" t="str">
        <f>IFERROR(__xludf.DUMMYFUNCTION("""COMPUTED_VALUE"""),"laboucle_est_bouclee")</f>
        <v>laboucle_est_bouclee</v>
      </c>
    </row>
    <row r="719">
      <c r="A719" s="8" t="str">
        <f>IFERROR(__xludf.DUMMYFUNCTION("""COMPUTED_VALUE"""),"la_roche_perma")</f>
        <v>la_roche_perma</v>
      </c>
    </row>
    <row r="720">
      <c r="A720" s="8" t="str">
        <f>IFERROR(__xludf.DUMMYFUNCTION("""COMPUTED_VALUE"""),"les_tresors_phyto_de_sophie")</f>
        <v>les_tresors_phyto_de_sophie</v>
      </c>
    </row>
    <row r="721">
      <c r="A721" s="8" t="str">
        <f>IFERROR(__xludf.DUMMYFUNCTION("""COMPUTED_VALUE"""),"_piel_kanela")</f>
        <v>_piel_kanela</v>
      </c>
    </row>
    <row r="722">
      <c r="A722" s="8" t="str">
        <f>IFERROR(__xludf.DUMMYFUNCTION("""COMPUTED_VALUE"""),"puissante_")</f>
        <v>puissante_</v>
      </c>
    </row>
    <row r="723">
      <c r="A723" s="8" t="str">
        <f>IFERROR(__xludf.DUMMYFUNCTION("""COMPUTED_VALUE"""),"birds__bees")</f>
        <v>birds__bees</v>
      </c>
    </row>
    <row r="724">
      <c r="A724" s="8" t="str">
        <f>IFERROR(__xludf.DUMMYFUNCTION("""COMPUTED_VALUE"""),"birds.being.birds")</f>
        <v>birds.being.birds</v>
      </c>
    </row>
    <row r="725">
      <c r="A725" s="8" t="str">
        <f>IFERROR(__xludf.DUMMYFUNCTION("""COMPUTED_VALUE"""),"birdseyeviewpod")</f>
        <v>birdseyeviewpod</v>
      </c>
    </row>
    <row r="726">
      <c r="A726" s="8" t="str">
        <f>IFERROR(__xludf.DUMMYFUNCTION("""COMPUTED_VALUE"""),"birds_of_universe")</f>
        <v>birds_of_universe</v>
      </c>
    </row>
    <row r="727">
      <c r="A727" s="8" t="str">
        <f>IFERROR(__xludf.DUMMYFUNCTION("""COMPUTED_VALUE"""),"birds_perfection")</f>
        <v>birds_perfection</v>
      </c>
    </row>
    <row r="728">
      <c r="A728" s="8" t="str">
        <f>IFERROR(__xludf.DUMMYFUNCTION("""COMPUTED_VALUE"""),"deuxbirds")</f>
        <v>deuxbirds</v>
      </c>
    </row>
    <row r="729">
      <c r="A729" s="8" t="str">
        <f>IFERROR(__xludf.DUMMYFUNCTION("""COMPUTED_VALUE"""),"hatim.birds")</f>
        <v>hatim.birds</v>
      </c>
    </row>
    <row r="730">
      <c r="A730" s="8" t="str">
        <f>IFERROR(__xludf.DUMMYFUNCTION("""COMPUTED_VALUE"""),"help_birds_krd")</f>
        <v>help_birds_krd</v>
      </c>
    </row>
    <row r="731">
      <c r="A731" s="8" t="str">
        <f>IFERROR(__xludf.DUMMYFUNCTION("""COMPUTED_VALUE"""),"sarabirds")</f>
        <v>sarabirds</v>
      </c>
    </row>
    <row r="732">
      <c r="A732" s="8" t="str">
        <f>IFERROR(__xludf.DUMMYFUNCTION("""COMPUTED_VALUE"""),"thebirdspapaya")</f>
        <v>thebirdspapaya</v>
      </c>
    </row>
    <row r="733">
      <c r="A733" s="8" t="str">
        <f>IFERROR(__xludf.DUMMYFUNCTION("""COMPUTED_VALUE"""),"travisbirds")</f>
        <v>travisbirds</v>
      </c>
    </row>
    <row r="734">
      <c r="A734" s="8" t="str">
        <f>IFERROR(__xludf.DUMMYFUNCTION("""COMPUTED_VALUE"""),"aura.boardgames")</f>
        <v>aura.boardgames</v>
      </c>
    </row>
    <row r="735">
      <c r="A735" s="8" t="str">
        <f>IFERROR(__xludf.DUMMYFUNCTION("""COMPUTED_VALUE"""),"board_games_cards_kenya")</f>
        <v>board_games_cards_kenya</v>
      </c>
    </row>
    <row r="736">
      <c r="A736" s="8" t="str">
        <f>IFERROR(__xludf.DUMMYFUNCTION("""COMPUTED_VALUE"""),"boardgamesq8")</f>
        <v>boardgamesq8</v>
      </c>
    </row>
    <row r="737">
      <c r="A737" s="8" t="str">
        <f>IFERROR(__xludf.DUMMYFUNCTION("""COMPUTED_VALUE"""),"boardgameswithcouple")</f>
        <v>boardgameswithcouple</v>
      </c>
    </row>
    <row r="738">
      <c r="A738" s="8" t="str">
        <f>IFERROR(__xludf.DUMMYFUNCTION("""COMPUTED_VALUE"""),"geekandpink")</f>
        <v>geekandpink</v>
      </c>
    </row>
    <row r="739">
      <c r="A739" s="8" t="str">
        <f>IFERROR(__xludf.DUMMYFUNCTION("""COMPUTED_VALUE"""),"jeysagames_")</f>
        <v>jeysagames_</v>
      </c>
    </row>
    <row r="740">
      <c r="A740" s="8" t="str">
        <f>IFERROR(__xludf.DUMMYFUNCTION("""COMPUTED_VALUE"""),"woosung.boardgames")</f>
        <v>woosung.boardgames</v>
      </c>
    </row>
    <row r="741">
      <c r="A741" s="8" t="str">
        <f>IFERROR(__xludf.DUMMYFUNCTION("""COMPUTED_VALUE"""),"8.bodybuilding")</f>
        <v>8.bodybuilding</v>
      </c>
    </row>
    <row r="742">
      <c r="A742" s="8" t="str">
        <f>IFERROR(__xludf.DUMMYFUNCTION("""COMPUTED_VALUE"""),"bodybuilding")</f>
        <v>bodybuilding</v>
      </c>
    </row>
    <row r="743">
      <c r="A743" s="8" t="str">
        <f>IFERROR(__xludf.DUMMYFUNCTION("""COMPUTED_VALUE"""),"body_building_190")</f>
        <v>body_building_190</v>
      </c>
    </row>
    <row r="744">
      <c r="A744" s="8" t="str">
        <f>IFERROR(__xludf.DUMMYFUNCTION("""COMPUTED_VALUE"""),"bodybuildingbs")</f>
        <v>bodybuildingbs</v>
      </c>
    </row>
    <row r="745">
      <c r="A745" s="8" t="str">
        <f>IFERROR(__xludf.DUMMYFUNCTION("""COMPUTED_VALUE"""),"bodybuildingcom")</f>
        <v>bodybuildingcom</v>
      </c>
    </row>
    <row r="746">
      <c r="A746" s="8" t="str">
        <f>IFERROR(__xludf.DUMMYFUNCTION("""COMPUTED_VALUE"""),"bodybuilding.hero")</f>
        <v>bodybuilding.hero</v>
      </c>
    </row>
    <row r="747">
      <c r="A747" s="8" t="str">
        <f>IFERROR(__xludf.DUMMYFUNCTION("""COMPUTED_VALUE"""),"body_buildingheroes")</f>
        <v>body_buildingheroes</v>
      </c>
    </row>
    <row r="748">
      <c r="A748" s="8" t="str">
        <f>IFERROR(__xludf.DUMMYFUNCTION("""COMPUTED_VALUE"""),"bodybuildingnation")</f>
        <v>bodybuildingnation</v>
      </c>
    </row>
    <row r="749">
      <c r="A749" s="8" t="str">
        <f>IFERROR(__xludf.DUMMYFUNCTION("""COMPUTED_VALUE"""),"body_building_russia")</f>
        <v>body_building_russia</v>
      </c>
    </row>
    <row r="750">
      <c r="A750" s="8" t="str">
        <f>IFERROR(__xludf.DUMMYFUNCTION("""COMPUTED_VALUE"""),"fitnesswarriiors")</f>
        <v>fitnesswarriiors</v>
      </c>
    </row>
    <row r="751">
      <c r="A751" s="8" t="str">
        <f>IFERROR(__xludf.DUMMYFUNCTION("""COMPUTED_VALUE"""),"thegoldenbodybuilding")</f>
        <v>thegoldenbodybuilding</v>
      </c>
    </row>
    <row r="752">
      <c r="A752" s="8" t="str">
        <f>IFERROR(__xludf.DUMMYFUNCTION("""COMPUTED_VALUE"""),"book_recommendations_official")</f>
        <v>book_recommendations_official</v>
      </c>
    </row>
    <row r="753">
      <c r="A753" s="8" t="str">
        <f>IFERROR(__xludf.DUMMYFUNCTION("""COMPUTED_VALUE"""),"booktokbookclub")</f>
        <v>booktokbookclub</v>
      </c>
    </row>
    <row r="754">
      <c r="A754" s="8" t="str">
        <f>IFERROR(__xludf.DUMMYFUNCTION("""COMPUTED_VALUE"""),"booktokfrance")</f>
        <v>booktokfrance</v>
      </c>
    </row>
    <row r="755">
      <c r="A755" s="8" t="str">
        <f>IFERROR(__xludf.DUMMYFUNCTION("""COMPUTED_VALUE"""),"booktok.inc")</f>
        <v>booktok.inc</v>
      </c>
    </row>
    <row r="756">
      <c r="A756" s="8" t="str">
        <f>IFERROR(__xludf.DUMMYFUNCTION("""COMPUTED_VALUE"""),"booktokjournal")</f>
        <v>booktokjournal</v>
      </c>
    </row>
    <row r="757">
      <c r="A757" s="8" t="str">
        <f>IFERROR(__xludf.DUMMYFUNCTION("""COMPUTED_VALUE"""),"booktok_reels")</f>
        <v>booktok_reels</v>
      </c>
    </row>
    <row r="758">
      <c r="A758" s="8" t="str">
        <f>IFERROR(__xludf.DUMMYFUNCTION("""COMPUTED_VALUE"""),"booktok.reviews")</f>
        <v>booktok.reviews</v>
      </c>
    </row>
    <row r="759">
      <c r="A759" s="8" t="str">
        <f>IFERROR(__xludf.DUMMYFUNCTION("""COMPUTED_VALUE"""),"leitor.booktok")</f>
        <v>leitor.booktok</v>
      </c>
    </row>
    <row r="760">
      <c r="A760" s="8" t="str">
        <f>IFERROR(__xludf.DUMMYFUNCTION("""COMPUTED_VALUE"""),"meghans.booktok")</f>
        <v>meghans.booktok</v>
      </c>
    </row>
    <row r="761">
      <c r="A761" s="8" t="str">
        <f>IFERROR(__xludf.DUMMYFUNCTION("""COMPUTED_VALUE"""),"webboh.booktokk")</f>
        <v>webboh.booktokk</v>
      </c>
    </row>
    <row r="762">
      <c r="A762" s="8" t="str">
        <f>IFERROR(__xludf.DUMMYFUNCTION("""COMPUTED_VALUE"""),"aliboxingclub420")</f>
        <v>aliboxingclub420</v>
      </c>
    </row>
    <row r="763">
      <c r="A763" s="8" t="str">
        <f>IFERROR(__xludf.DUMMYFUNCTION("""COMPUTED_VALUE"""),"atsboxing")</f>
        <v>atsboxing</v>
      </c>
    </row>
    <row r="764">
      <c r="A764" s="8" t="str">
        <f>IFERROR(__xludf.DUMMYFUNCTION("""COMPUTED_VALUE"""),"boxing")</f>
        <v>boxing</v>
      </c>
    </row>
    <row r="765">
      <c r="A765" s="8" t="str">
        <f>IFERROR(__xludf.DUMMYFUNCTION("""COMPUTED_VALUE"""),"boxingband6")</f>
        <v>boxingband6</v>
      </c>
    </row>
    <row r="766">
      <c r="A766" s="8" t="str">
        <f>IFERROR(__xludf.DUMMYFUNCTION("""COMPUTED_VALUE"""),"boxingego1")</f>
        <v>boxingego1</v>
      </c>
    </row>
    <row r="767">
      <c r="A767" s="8" t="str">
        <f>IFERROR(__xludf.DUMMYFUNCTION("""COMPUTED_VALUE"""),"boxing_fight100")</f>
        <v>boxing_fight100</v>
      </c>
    </row>
    <row r="768">
      <c r="A768" s="8" t="str">
        <f>IFERROR(__xludf.DUMMYFUNCTION("""COMPUTED_VALUE"""),"boxing_is__life")</f>
        <v>boxing_is__life</v>
      </c>
    </row>
    <row r="769">
      <c r="A769" s="8" t="str">
        <f>IFERROR(__xludf.DUMMYFUNCTION("""COMPUTED_VALUE"""),"boxing.media")</f>
        <v>boxing.media</v>
      </c>
    </row>
    <row r="770">
      <c r="A770" s="8" t="str">
        <f>IFERROR(__xludf.DUMMYFUNCTION("""COMPUTED_VALUE"""),"daznboxing")</f>
        <v>daznboxing</v>
      </c>
    </row>
    <row r="771">
      <c r="A771" s="8" t="str">
        <f>IFERROR(__xludf.DUMMYFUNCTION("""COMPUTED_VALUE"""),"dirtyboxing")</f>
        <v>dirtyboxing</v>
      </c>
    </row>
    <row r="772">
      <c r="A772" s="8" t="str">
        <f>IFERROR(__xludf.DUMMYFUNCTION("""COMPUTED_VALUE"""),"gsu_boxing")</f>
        <v>gsu_boxing</v>
      </c>
    </row>
    <row r="773">
      <c r="A773" s="8" t="str">
        <f>IFERROR(__xludf.DUMMYFUNCTION("""COMPUTED_VALUE"""),"murat.boxing")</f>
        <v>murat.boxing</v>
      </c>
    </row>
    <row r="774">
      <c r="A774" s="8" t="str">
        <f>IFERROR(__xludf.DUMMYFUNCTION("""COMPUTED_VALUE"""),"premierboxing")</f>
        <v>premierboxing</v>
      </c>
    </row>
    <row r="775">
      <c r="A775" s="8" t="str">
        <f>IFERROR(__xludf.DUMMYFUNCTION("""COMPUTED_VALUE"""),"qb.boxing")</f>
        <v>qb.boxing</v>
      </c>
    </row>
    <row r="776">
      <c r="A776" s="8" t="str">
        <f>IFERROR(__xludf.DUMMYFUNCTION("""COMPUTED_VALUE"""),"sourceofboxing")</f>
        <v>sourceofboxing</v>
      </c>
    </row>
    <row r="777">
      <c r="A777" s="8" t="str">
        <f>IFERROR(__xludf.DUMMYFUNCTION("""COMPUTED_VALUE"""),"toprank")</f>
        <v>toprank</v>
      </c>
    </row>
    <row r="778">
      <c r="A778" s="8" t="str">
        <f>IFERROR(__xludf.DUMMYFUNCTION("""COMPUTED_VALUE"""),"wbcboxing")</f>
        <v>wbcboxing</v>
      </c>
    </row>
    <row r="779">
      <c r="A779" s="8" t="str">
        <f>IFERROR(__xludf.DUMMYFUNCTION("""COMPUTED_VALUE"""),"amusedesignstudio")</f>
        <v>amusedesignstudio</v>
      </c>
    </row>
    <row r="780">
      <c r="A780" s="8" t="str">
        <f>IFERROR(__xludf.DUMMYFUNCTION("""COMPUTED_VALUE"""),"branding")</f>
        <v>branding</v>
      </c>
    </row>
    <row r="781">
      <c r="A781" s="8" t="str">
        <f>IFERROR(__xludf.DUMMYFUNCTION("""COMPUTED_VALUE"""),"br.and.ing")</f>
        <v>br.and.ing</v>
      </c>
    </row>
    <row r="782">
      <c r="A782" s="8" t="str">
        <f>IFERROR(__xludf.DUMMYFUNCTION("""COMPUTED_VALUE"""),"branding.source")</f>
        <v>branding.source</v>
      </c>
    </row>
    <row r="783">
      <c r="A783" s="8" t="str">
        <f>IFERROR(__xludf.DUMMYFUNCTION("""COMPUTED_VALUE"""),"cacaudesigncreative")</f>
        <v>cacaudesigncreative</v>
      </c>
    </row>
    <row r="784">
      <c r="A784" s="8" t="str">
        <f>IFERROR(__xludf.DUMMYFUNCTION("""COMPUTED_VALUE"""),"erinondemand")</f>
        <v>erinondemand</v>
      </c>
    </row>
    <row r="785">
      <c r="A785" s="8" t="str">
        <f>IFERROR(__xludf.DUMMYFUNCTION("""COMPUTED_VALUE"""),"excelbranding")</f>
        <v>excelbranding</v>
      </c>
    </row>
    <row r="786">
      <c r="A786" s="11" t="str">
        <f>IFERROR(__xludf.DUMMYFUNCTION("""COMPUTED_VALUE"""),"logos.ai")</f>
        <v>logos.ai</v>
      </c>
    </row>
    <row r="787">
      <c r="A787" s="8" t="str">
        <f>IFERROR(__xludf.DUMMYFUNCTION("""COMPUTED_VALUE"""),"markaworks")</f>
        <v>markaworks</v>
      </c>
    </row>
    <row r="788">
      <c r="A788" s="8" t="str">
        <f>IFERROR(__xludf.DUMMYFUNCTION("""COMPUTED_VALUE"""),"reputeforge")</f>
        <v>reputeforge</v>
      </c>
    </row>
    <row r="789">
      <c r="A789" s="8" t="str">
        <f>IFERROR(__xludf.DUMMYFUNCTION("""COMPUTED_VALUE"""),"thehouseof.social")</f>
        <v>thehouseof.social</v>
      </c>
    </row>
    <row r="790">
      <c r="A790" s="8" t="str">
        <f>IFERROR(__xludf.DUMMYFUNCTION("""COMPUTED_VALUE"""),"thesocialpaige")</f>
        <v>thesocialpaige</v>
      </c>
    </row>
    <row r="791">
      <c r="A791" s="8" t="str">
        <f>IFERROR(__xludf.DUMMYFUNCTION("""COMPUTED_VALUE"""),"welovebranding")</f>
        <v>welovebranding</v>
      </c>
    </row>
    <row r="792">
      <c r="A792" s="8" t="str">
        <f>IFERROR(__xludf.DUMMYFUNCTION("""COMPUTED_VALUE"""),"bobalubasv")</f>
        <v>bobalubasv</v>
      </c>
    </row>
    <row r="793">
      <c r="A793" s="11" t="str">
        <f>IFERROR(__xludf.DUMMYFUNCTION("""COMPUTED_VALUE"""),"bubblebar.al")</f>
        <v>bubblebar.al</v>
      </c>
    </row>
    <row r="794">
      <c r="A794" s="11" t="str">
        <f>IFERROR(__xludf.DUMMYFUNCTION("""COMPUTED_VALUE"""),"bubble_bliss.tj")</f>
        <v>bubble_bliss.tj</v>
      </c>
    </row>
    <row r="795">
      <c r="A795" s="8" t="str">
        <f>IFERROR(__xludf.DUMMYFUNCTION("""COMPUTED_VALUE"""),"bubbleteaandcigarettes")</f>
        <v>bubbleteaandcigarettes</v>
      </c>
    </row>
    <row r="796">
      <c r="A796" s="8" t="str">
        <f>IFERROR(__xludf.DUMMYFUNCTION("""COMPUTED_VALUE"""),"bubble_tea_drinkss")</f>
        <v>bubble_tea_drinkss</v>
      </c>
    </row>
    <row r="797">
      <c r="A797" s="8" t="str">
        <f>IFERROR(__xludf.DUMMYFUNCTION("""COMPUTED_VALUE"""),"bubbleteagye")</f>
        <v>bubbleteagye</v>
      </c>
    </row>
    <row r="798">
      <c r="A798" s="8" t="str">
        <f>IFERROR(__xludf.DUMMYFUNCTION("""COMPUTED_VALUE"""),"bubble.teale")</f>
        <v>bubble.teale</v>
      </c>
    </row>
    <row r="799">
      <c r="A799" s="11" t="str">
        <f>IFERROR(__xludf.DUMMYFUNCTION("""COMPUTED_VALUE"""),"bubble.tea.ua")</f>
        <v>bubble.tea.ua</v>
      </c>
    </row>
    <row r="800">
      <c r="A800" s="8" t="str">
        <f>IFERROR(__xludf.DUMMYFUNCTION("""COMPUTED_VALUE"""),"tudo_bubbletea")</f>
        <v>tudo_bubbletea</v>
      </c>
    </row>
    <row r="801">
      <c r="A801" s="8" t="str">
        <f>IFERROR(__xludf.DUMMYFUNCTION("""COMPUTED_VALUE"""),"budgettravel")</f>
        <v>budgettravel</v>
      </c>
    </row>
    <row r="802">
      <c r="A802" s="8" t="str">
        <f>IFERROR(__xludf.DUMMYFUNCTION("""COMPUTED_VALUE"""),"budget_travel_bangalore")</f>
        <v>budget_travel_bangalore</v>
      </c>
    </row>
    <row r="803">
      <c r="A803" s="8" t="str">
        <f>IFERROR(__xludf.DUMMYFUNCTION("""COMPUTED_VALUE"""),"budgettravelcommunity")</f>
        <v>budgettravelcommunity</v>
      </c>
    </row>
    <row r="804">
      <c r="A804" s="11" t="str">
        <f>IFERROR(__xludf.DUMMYFUNCTION("""COMPUTED_VALUE"""),"budget.travel.hr")</f>
        <v>budget.travel.hr</v>
      </c>
    </row>
    <row r="805">
      <c r="A805" s="8" t="str">
        <f>IFERROR(__xludf.DUMMYFUNCTION("""COMPUTED_VALUE"""),"budget.travel.ireland")</f>
        <v>budget.travel.ireland</v>
      </c>
    </row>
    <row r="806">
      <c r="A806" s="8" t="str">
        <f>IFERROR(__xludf.DUMMYFUNCTION("""COMPUTED_VALUE"""),"budget_traveller_01")</f>
        <v>budget_traveller_01</v>
      </c>
    </row>
    <row r="807">
      <c r="A807" s="8" t="str">
        <f>IFERROR(__xludf.DUMMYFUNCTION("""COMPUTED_VALUE"""),"budget_traveller_tour")</f>
        <v>budget_traveller_tour</v>
      </c>
    </row>
    <row r="808">
      <c r="A808" s="8" t="str">
        <f>IFERROR(__xludf.DUMMYFUNCTION("""COMPUTED_VALUE"""),"globetrotadventures")</f>
        <v>globetrotadventures</v>
      </c>
    </row>
    <row r="809">
      <c r="A809" s="8" t="str">
        <f>IFERROR(__xludf.DUMMYFUNCTION("""COMPUTED_VALUE"""),"business_grow_1")</f>
        <v>business_grow_1</v>
      </c>
    </row>
    <row r="810">
      <c r="A810" s="8" t="str">
        <f>IFERROR(__xludf.DUMMYFUNCTION("""COMPUTED_VALUE"""),"business__growth0")</f>
        <v>business__growth0</v>
      </c>
    </row>
    <row r="811">
      <c r="A811" s="8" t="str">
        <f>IFERROR(__xludf.DUMMYFUNCTION("""COMPUTED_VALUE"""),"business__growth__01")</f>
        <v>business__growth__01</v>
      </c>
    </row>
    <row r="812">
      <c r="A812" s="8" t="str">
        <f>IFERROR(__xludf.DUMMYFUNCTION("""COMPUTED_VALUE"""),"business_growth_mantra")</f>
        <v>business_growth_mantra</v>
      </c>
    </row>
    <row r="813">
      <c r="A813" s="8" t="str">
        <f>IFERROR(__xludf.DUMMYFUNCTION("""COMPUTED_VALUE"""),"businessgrowthmentor")</f>
        <v>businessgrowthmentor</v>
      </c>
    </row>
    <row r="814">
      <c r="A814" s="8" t="str">
        <f>IFERROR(__xludf.DUMMYFUNCTION("""COMPUTED_VALUE"""),"businessgrowthsquare")</f>
        <v>businessgrowthsquare</v>
      </c>
    </row>
    <row r="815">
      <c r="A815" s="8" t="str">
        <f>IFERROR(__xludf.DUMMYFUNCTION("""COMPUTED_VALUE"""),"business__message")</f>
        <v>business__message</v>
      </c>
    </row>
    <row r="816">
      <c r="A816" s="8" t="str">
        <f>IFERROR(__xludf.DUMMYFUNCTION("""COMPUTED_VALUE"""),"daily_business4u")</f>
        <v>daily_business4u</v>
      </c>
    </row>
    <row r="817">
      <c r="A817" s="11" t="str">
        <f>IFERROR(__xludf.DUMMYFUNCTION("""COMPUTED_VALUE"""),"mentorship.ai")</f>
        <v>mentorship.ai</v>
      </c>
    </row>
    <row r="818">
      <c r="A818" s="8" t="str">
        <f>IFERROR(__xludf.DUMMYFUNCTION("""COMPUTED_VALUE"""),"andreabusinesshacks")</f>
        <v>andreabusinesshacks</v>
      </c>
    </row>
    <row r="819">
      <c r="A819" s="8" t="str">
        <f>IFERROR(__xludf.DUMMYFUNCTION("""COMPUTED_VALUE"""),"business_hacks4u")</f>
        <v>business_hacks4u</v>
      </c>
    </row>
    <row r="820">
      <c r="A820" s="8" t="str">
        <f>IFERROR(__xludf.DUMMYFUNCTION("""COMPUTED_VALUE"""),"businessman.hacks")</f>
        <v>businessman.hacks</v>
      </c>
    </row>
    <row r="821">
      <c r="A821" s="8" t="str">
        <f>IFERROR(__xludf.DUMMYFUNCTION("""COMPUTED_VALUE"""),"she.talks.business")</f>
        <v>she.talks.business</v>
      </c>
    </row>
    <row r="822">
      <c r="A822" s="8" t="str">
        <f>IFERROR(__xludf.DUMMYFUNCTION("""COMPUTED_VALUE"""),"thebusinesshacks")</f>
        <v>thebusinesshacks</v>
      </c>
    </row>
    <row r="823">
      <c r="A823" s="8" t="str">
        <f>IFERROR(__xludf.DUMMYFUNCTION("""COMPUTED_VALUE"""),"barelcairo")</f>
        <v>barelcairo</v>
      </c>
    </row>
    <row r="824">
      <c r="A824" s="8" t="str">
        <f>IFERROR(__xludf.DUMMYFUNCTION("""COMPUTED_VALUE"""),"cairo")</f>
        <v>cairo</v>
      </c>
    </row>
    <row r="825">
      <c r="A825" s="8" t="str">
        <f>IFERROR(__xludf.DUMMYFUNCTION("""COMPUTED_VALUE"""),"cairo.jewellery")</f>
        <v>cairo.jewellery</v>
      </c>
    </row>
    <row r="826">
      <c r="A826" s="8" t="str">
        <f>IFERROR(__xludf.DUMMYFUNCTION("""COMPUTED_VALUE"""),"cairokee")</f>
        <v>cairokee</v>
      </c>
    </row>
    <row r="827">
      <c r="A827" s="8" t="str">
        <f>IFERROR(__xludf.DUMMYFUNCTION("""COMPUTED_VALUE"""),"cairo__lc")</f>
        <v>cairo__lc</v>
      </c>
    </row>
    <row r="828">
      <c r="A828" s="8" t="str">
        <f>IFERROR(__xludf.DUMMYFUNCTION("""COMPUTED_VALUE"""),"cineelcairo")</f>
        <v>cineelcairo</v>
      </c>
    </row>
    <row r="829">
      <c r="A829" s="8" t="str">
        <f>IFERROR(__xludf.DUMMYFUNCTION("""COMPUTED_VALUE"""),"shiba.cairo")</f>
        <v>shiba.cairo</v>
      </c>
    </row>
    <row r="830">
      <c r="A830" s="8" t="str">
        <f>IFERROR(__xludf.DUMMYFUNCTION("""COMPUTED_VALUE"""),"thisiscairo")</f>
        <v>thisiscairo</v>
      </c>
    </row>
    <row r="831">
      <c r="A831" s="8" t="str">
        <f>IFERROR(__xludf.DUMMYFUNCTION("""COMPUTED_VALUE"""),"aljneibi1455")</f>
        <v>aljneibi1455</v>
      </c>
    </row>
    <row r="832">
      <c r="A832" s="8" t="str">
        <f>IFERROR(__xludf.DUMMYFUNCTION("""COMPUTED_VALUE"""),"andry_strong")</f>
        <v>andry_strong</v>
      </c>
    </row>
    <row r="833">
      <c r="A833" s="8" t="str">
        <f>IFERROR(__xludf.DUMMYFUNCTION("""COMPUTED_VALUE"""),"calisthenics_4evr")</f>
        <v>calisthenics_4evr</v>
      </c>
    </row>
    <row r="834">
      <c r="A834" s="8" t="str">
        <f>IFERROR(__xludf.DUMMYFUNCTION("""COMPUTED_VALUE"""),"calisthenics.academy")</f>
        <v>calisthenics.academy</v>
      </c>
    </row>
    <row r="835">
      <c r="A835" s="8" t="str">
        <f>IFERROR(__xludf.DUMMYFUNCTION("""COMPUTED_VALUE"""),"calisthenics.bypaulina")</f>
        <v>calisthenics.bypaulina</v>
      </c>
    </row>
    <row r="836">
      <c r="A836" s="8" t="str">
        <f>IFERROR(__xludf.DUMMYFUNCTION("""COMPUTED_VALUE"""),"calisthenics_state")</f>
        <v>calisthenics_state</v>
      </c>
    </row>
    <row r="837">
      <c r="A837" s="8" t="str">
        <f>IFERROR(__xludf.DUMMYFUNCTION("""COMPUTED_VALUE"""),"calisthenicsty")</f>
        <v>calisthenicsty</v>
      </c>
    </row>
    <row r="838">
      <c r="A838" s="8" t="str">
        <f>IFERROR(__xludf.DUMMYFUNCTION("""COMPUTED_VALUE"""),"calisthncs")</f>
        <v>calisthncs</v>
      </c>
    </row>
    <row r="839">
      <c r="A839" s="8" t="str">
        <f>IFERROR(__xludf.DUMMYFUNCTION("""COMPUTED_VALUE"""),"ctcalisthenics")</f>
        <v>ctcalisthenics</v>
      </c>
    </row>
    <row r="840">
      <c r="A840" s="8" t="str">
        <f>IFERROR(__xludf.DUMMYFUNCTION("""COMPUTED_VALUE"""),"drillsthenics")</f>
        <v>drillsthenics</v>
      </c>
    </row>
    <row r="841">
      <c r="A841" s="8" t="str">
        <f>IFERROR(__xludf.DUMMYFUNCTION("""COMPUTED_VALUE"""),"hybrid.calisthenics")</f>
        <v>hybrid.calisthenics</v>
      </c>
    </row>
    <row r="842">
      <c r="A842" s="8" t="str">
        <f>IFERROR(__xludf.DUMMYFUNCTION("""COMPUTED_VALUE"""),"learn_calisthenics")</f>
        <v>learn_calisthenics</v>
      </c>
    </row>
    <row r="843">
      <c r="A843" s="8" t="str">
        <f>IFERROR(__xludf.DUMMYFUNCTION("""COMPUTED_VALUE"""),"littletfitness")</f>
        <v>littletfitness</v>
      </c>
    </row>
    <row r="844">
      <c r="A844" s="8" t="str">
        <f>IFERROR(__xludf.DUMMYFUNCTION("""COMPUTED_VALUE"""),"start_calisthenics")</f>
        <v>start_calisthenics</v>
      </c>
    </row>
    <row r="845">
      <c r="A845" s="8" t="str">
        <f>IFERROR(__xludf.DUMMYFUNCTION("""COMPUTED_VALUE"""),"annerobincallig")</f>
        <v>annerobincallig</v>
      </c>
    </row>
    <row r="846">
      <c r="A846" s="8" t="str">
        <f>IFERROR(__xludf.DUMMYFUNCTION("""COMPUTED_VALUE"""),"bahr.calligraphy")</f>
        <v>bahr.calligraphy</v>
      </c>
    </row>
    <row r="847">
      <c r="A847" s="8" t="str">
        <f>IFERROR(__xludf.DUMMYFUNCTION("""COMPUTED_VALUE"""),"calligkatrina")</f>
        <v>calligkatrina</v>
      </c>
    </row>
    <row r="848">
      <c r="A848" s="8" t="str">
        <f>IFERROR(__xludf.DUMMYFUNCTION("""COMPUTED_VALUE"""),"calligraphilic")</f>
        <v>calligraphilic</v>
      </c>
    </row>
    <row r="849">
      <c r="A849" s="8" t="str">
        <f>IFERROR(__xludf.DUMMYFUNCTION("""COMPUTED_VALUE"""),"calligraphy.by.maya")</f>
        <v>calligraphy.by.maya</v>
      </c>
    </row>
    <row r="850">
      <c r="A850" s="8" t="str">
        <f>IFERROR(__xludf.DUMMYFUNCTION("""COMPUTED_VALUE"""),"calligraphymasters")</f>
        <v>calligraphymasters</v>
      </c>
    </row>
    <row r="851">
      <c r="A851" s="8" t="str">
        <f>IFERROR(__xludf.DUMMYFUNCTION("""COMPUTED_VALUE"""),"calligraphyti_")</f>
        <v>calligraphyti_</v>
      </c>
    </row>
    <row r="852">
      <c r="A852" s="8" t="str">
        <f>IFERROR(__xludf.DUMMYFUNCTION("""COMPUTED_VALUE"""),"calligraphyvideoa")</f>
        <v>calligraphyvideoa</v>
      </c>
    </row>
    <row r="853">
      <c r="A853" s="8" t="str">
        <f>IFERROR(__xludf.DUMMYFUNCTION("""COMPUTED_VALUE"""),"craftirisy")</f>
        <v>craftirisy</v>
      </c>
    </row>
    <row r="854">
      <c r="A854" s="8" t="str">
        <f>IFERROR(__xludf.DUMMYFUNCTION("""COMPUTED_VALUE"""),"nhuandaocalligraphy")</f>
        <v>nhuandaocalligraphy</v>
      </c>
    </row>
    <row r="855">
      <c r="A855" s="8" t="str">
        <f>IFERROR(__xludf.DUMMYFUNCTION("""COMPUTED_VALUE"""),"tjcalligraphy")</f>
        <v>tjcalligraphy</v>
      </c>
    </row>
    <row r="856">
      <c r="A856" s="8" t="str">
        <f>IFERROR(__xludf.DUMMYFUNCTION("""COMPUTED_VALUE"""),"blackops7intel")</f>
        <v>blackops7intel</v>
      </c>
    </row>
    <row r="857">
      <c r="A857" s="8" t="str">
        <f>IFERROR(__xludf.DUMMYFUNCTION("""COMPUTED_VALUE"""),"callofduty")</f>
        <v>callofduty</v>
      </c>
    </row>
    <row r="858">
      <c r="A858" s="11" t="str">
        <f>IFERROR(__xludf.DUMMYFUNCTION("""COMPUTED_VALUE"""),"callofduty.ar")</f>
        <v>callofduty.ar</v>
      </c>
    </row>
    <row r="859">
      <c r="A859" s="8" t="str">
        <f>IFERROR(__xludf.DUMMYFUNCTION("""COMPUTED_VALUE"""),"callofdutyara")</f>
        <v>callofdutyara</v>
      </c>
    </row>
    <row r="860">
      <c r="A860" s="8" t="str">
        <f>IFERROR(__xludf.DUMMYFUNCTION("""COMPUTED_VALUE"""),"callofdutybrasil")</f>
        <v>callofdutybrasil</v>
      </c>
    </row>
    <row r="861">
      <c r="A861" s="8" t="str">
        <f>IFERROR(__xludf.DUMMYFUNCTION("""COMPUTED_VALUE"""),"callofdutyde")</f>
        <v>callofdutyde</v>
      </c>
    </row>
    <row r="862">
      <c r="A862" s="8" t="str">
        <f>IFERROR(__xludf.DUMMYFUNCTION("""COMPUTED_VALUE"""),"callofdutyes")</f>
        <v>callofdutyes</v>
      </c>
    </row>
    <row r="863">
      <c r="A863" s="8" t="str">
        <f>IFERROR(__xludf.DUMMYFUNCTION("""COMPUTED_VALUE"""),"callofdutyfr")</f>
        <v>callofdutyfr</v>
      </c>
    </row>
    <row r="864">
      <c r="A864" s="8" t="str">
        <f>IFERROR(__xludf.DUMMYFUNCTION("""COMPUTED_VALUE"""),"callofdutyit")</f>
        <v>callofdutyit</v>
      </c>
    </row>
    <row r="865">
      <c r="A865" s="8" t="str">
        <f>IFERROR(__xludf.DUMMYFUNCTION("""COMPUTED_VALUE"""),"callofdutylatam")</f>
        <v>callofdutylatam</v>
      </c>
    </row>
    <row r="866">
      <c r="A866" s="8" t="str">
        <f>IFERROR(__xludf.DUMMYFUNCTION("""COMPUTED_VALUE"""),"callofdutymobile")</f>
        <v>callofdutymobile</v>
      </c>
    </row>
    <row r="867">
      <c r="A867" s="8" t="str">
        <f>IFERROR(__xludf.DUMMYFUNCTION("""COMPUTED_VALUE"""),"callofdutymobilelatam")</f>
        <v>callofdutymobilelatam</v>
      </c>
    </row>
    <row r="868">
      <c r="A868" s="11" t="str">
        <f>IFERROR(__xludf.DUMMYFUNCTION("""COMPUTED_VALUE"""),"callofduty.om")</f>
        <v>callofduty.om</v>
      </c>
    </row>
    <row r="869">
      <c r="A869" s="8" t="str">
        <f>IFERROR(__xludf.DUMMYFUNCTION("""COMPUTED_VALUE"""),"cod_esports")</f>
        <v>cod_esports</v>
      </c>
    </row>
    <row r="870">
      <c r="A870" s="8" t="str">
        <f>IFERROR(__xludf.DUMMYFUNCTION("""COMPUTED_VALUE"""),"codleague")</f>
        <v>codleague</v>
      </c>
    </row>
    <row r="871">
      <c r="A871" s="8" t="str">
        <f>IFERROR(__xludf.DUMMYFUNCTION("""COMPUTED_VALUE"""),"codm.vng.games")</f>
        <v>codm.vng.games</v>
      </c>
    </row>
    <row r="872">
      <c r="A872" s="8" t="str">
        <f>IFERROR(__xludf.DUMMYFUNCTION("""COMPUTED_VALUE"""),"playcodmesports")</f>
        <v>playcodmesports</v>
      </c>
    </row>
    <row r="873">
      <c r="A873" s="8" t="str">
        <f>IFERROR(__xludf.DUMMYFUNCTION("""COMPUTED_VALUE"""),"aranglamping")</f>
        <v>aranglamping</v>
      </c>
    </row>
    <row r="874">
      <c r="A874" s="8" t="str">
        <f>IFERROR(__xludf.DUMMYFUNCTION("""COMPUTED_VALUE"""),"camping")</f>
        <v>camping</v>
      </c>
    </row>
    <row r="875">
      <c r="A875" s="8" t="str">
        <f>IFERROR(__xludf.DUMMYFUNCTION("""COMPUTED_VALUE"""),"campingazespana")</f>
        <v>campingazespana</v>
      </c>
    </row>
    <row r="876">
      <c r="A876" s="8" t="str">
        <f>IFERROR(__xludf.DUMMYFUNCTION("""COMPUTED_VALUE"""),"campingfailss")</f>
        <v>campingfailss</v>
      </c>
    </row>
    <row r="877">
      <c r="A877" s="8" t="str">
        <f>IFERROR(__xludf.DUMMYFUNCTION("""COMPUTED_VALUE"""),"campingkayla")</f>
        <v>campingkayla</v>
      </c>
    </row>
    <row r="878">
      <c r="A878" s="8" t="str">
        <f>IFERROR(__xludf.DUMMYFUNCTION("""COMPUTED_VALUE"""),"campingmuineira")</f>
        <v>campingmuineira</v>
      </c>
    </row>
    <row r="879">
      <c r="A879" s="8" t="str">
        <f>IFERROR(__xludf.DUMMYFUNCTION("""COMPUTED_VALUE"""),"camping_turiscampo")</f>
        <v>camping_turiscampo</v>
      </c>
    </row>
    <row r="880">
      <c r="A880" s="8" t="str">
        <f>IFERROR(__xludf.DUMMYFUNCTION("""COMPUTED_VALUE"""),"campingwithdogs")</f>
        <v>campingwithdogs</v>
      </c>
    </row>
    <row r="881">
      <c r="A881" s="8" t="str">
        <f>IFERROR(__xludf.DUMMYFUNCTION("""COMPUTED_VALUE"""),"campingworld")</f>
        <v>campingworld</v>
      </c>
    </row>
    <row r="882">
      <c r="A882" s="8" t="str">
        <f>IFERROR(__xludf.DUMMYFUNCTION("""COMPUTED_VALUE"""),"campingworldstadium")</f>
        <v>campingworldstadium</v>
      </c>
    </row>
    <row r="883">
      <c r="A883" s="8" t="str">
        <f>IFERROR(__xludf.DUMMYFUNCTION("""COMPUTED_VALUE"""),"haileyoutside")</f>
        <v>haileyoutside</v>
      </c>
    </row>
    <row r="884">
      <c r="A884" s="8" t="str">
        <f>IFERROR(__xludf.DUMMYFUNCTION("""COMPUTED_VALUE"""),"letscamptogether")</f>
        <v>letscamptogether</v>
      </c>
    </row>
    <row r="885">
      <c r="A885" s="8" t="str">
        <f>IFERROR(__xludf.DUMMYFUNCTION("""COMPUTED_VALUE"""),"ryu_camping_")</f>
        <v>ryu_camping_</v>
      </c>
    </row>
    <row r="886">
      <c r="A886" s="8" t="str">
        <f>IFERROR(__xludf.DUMMYFUNCTION("""COMPUTED_VALUE"""),"vanlifezone")</f>
        <v>vanlifezone</v>
      </c>
    </row>
    <row r="887">
      <c r="A887" s="8" t="str">
        <f>IFERROR(__xludf.DUMMYFUNCTION("""COMPUTED_VALUE"""),"capsule_wardrobe_diary")</f>
        <v>capsule_wardrobe_diary</v>
      </c>
    </row>
    <row r="888">
      <c r="A888" s="8" t="str">
        <f>IFERROR(__xludf.DUMMYFUNCTION("""COMPUTED_VALUE"""),"capsulewardrobemen")</f>
        <v>capsulewardrobemen</v>
      </c>
    </row>
    <row r="889">
      <c r="A889" s="8" t="str">
        <f>IFERROR(__xludf.DUMMYFUNCTION("""COMPUTED_VALUE"""),"capsulewardrobeplanning")</f>
        <v>capsulewardrobeplanning</v>
      </c>
    </row>
    <row r="890">
      <c r="A890" s="8" t="str">
        <f>IFERROR(__xludf.DUMMYFUNCTION("""COMPUTED_VALUE"""),"capsulewd_")</f>
        <v>capsulewd_</v>
      </c>
    </row>
    <row r="891">
      <c r="A891" s="8" t="str">
        <f>IFERROR(__xludf.DUMMYFUNCTION("""COMPUTED_VALUE"""),"larytales")</f>
        <v>larytales</v>
      </c>
    </row>
    <row r="892">
      <c r="A892" s="8" t="str">
        <f>IFERROR(__xludf.DUMMYFUNCTION("""COMPUTED_VALUE"""),"stylewithmechristamarie")</f>
        <v>stylewithmechristamarie</v>
      </c>
    </row>
    <row r="893">
      <c r="A893" s="8" t="str">
        <f>IFERROR(__xludf.DUMMYFUNCTION("""COMPUTED_VALUE"""),"useless_dk")</f>
        <v>useless_dk</v>
      </c>
    </row>
    <row r="894">
      <c r="A894" s="8" t="str">
        <f>IFERROR(__xludf.DUMMYFUNCTION("""COMPUTED_VALUE"""),"withalexstyle")</f>
        <v>withalexstyle</v>
      </c>
    </row>
    <row r="895">
      <c r="A895" s="8" t="str">
        <f>IFERROR(__xludf.DUMMYFUNCTION("""COMPUTED_VALUE"""),"advicewitherin")</f>
        <v>advicewitherin</v>
      </c>
    </row>
    <row r="896">
      <c r="A896" s="8" t="str">
        <f>IFERROR(__xludf.DUMMYFUNCTION("""COMPUTED_VALUE"""),"career_bishnu")</f>
        <v>career_bishnu</v>
      </c>
    </row>
    <row r="897">
      <c r="A897" s="8" t="str">
        <f>IFERROR(__xludf.DUMMYFUNCTION("""COMPUTED_VALUE"""),"careercontessa")</f>
        <v>careercontessa</v>
      </c>
    </row>
    <row r="898">
      <c r="A898" s="8" t="str">
        <f>IFERROR(__xludf.DUMMYFUNCTION("""COMPUTED_VALUE"""),"cda_ipb")</f>
        <v>cda_ipb</v>
      </c>
    </row>
    <row r="899">
      <c r="A899" s="8" t="str">
        <f>IFERROR(__xludf.DUMMYFUNCTION("""COMPUTED_VALUE"""),"bodegacatsofinstagram")</f>
        <v>bodegacatsofinstagram</v>
      </c>
    </row>
    <row r="900">
      <c r="A900" s="8" t="str">
        <f>IFERROR(__xludf.DUMMYFUNCTION("""COMPUTED_VALUE"""),"catfans")</f>
        <v>catfans</v>
      </c>
    </row>
    <row r="901">
      <c r="A901" s="8" t="str">
        <f>IFERROR(__xludf.DUMMYFUNCTION("""COMPUTED_VALUE"""),"catofworlds")</f>
        <v>catofworlds</v>
      </c>
    </row>
    <row r="902">
      <c r="A902" s="8" t="str">
        <f>IFERROR(__xludf.DUMMYFUNCTION("""COMPUTED_VALUE"""),"catsofinstagram")</f>
        <v>catsofinstagram</v>
      </c>
    </row>
    <row r="903">
      <c r="A903" s="8" t="str">
        <f>IFERROR(__xludf.DUMMYFUNCTION("""COMPUTED_VALUE"""),"cats_of_instagram")</f>
        <v>cats_of_instagram</v>
      </c>
    </row>
    <row r="904">
      <c r="A904" s="8" t="str">
        <f>IFERROR(__xludf.DUMMYFUNCTION("""COMPUTED_VALUE"""),"cats_of_world_")</f>
        <v>cats_of_world_</v>
      </c>
    </row>
    <row r="905">
      <c r="A905" s="8" t="str">
        <f>IFERROR(__xludf.DUMMYFUNCTION("""COMPUTED_VALUE"""),"catsofyear")</f>
        <v>catsofyear</v>
      </c>
    </row>
    <row r="906">
      <c r="A906" s="8" t="str">
        <f>IFERROR(__xludf.DUMMYFUNCTION("""COMPUTED_VALUE"""),"dailycatclub")</f>
        <v>dailycatclub</v>
      </c>
    </row>
    <row r="907">
      <c r="A907" s="8" t="str">
        <f>IFERROR(__xludf.DUMMYFUNCTION("""COMPUTED_VALUE"""),"chocolate")</f>
        <v>chocolate</v>
      </c>
    </row>
    <row r="908">
      <c r="A908" s="8" t="str">
        <f>IFERROR(__xludf.DUMMYFUNCTION("""COMPUTED_VALUE"""),"discotecachocolate")</f>
        <v>discotecachocolate</v>
      </c>
    </row>
    <row r="909">
      <c r="A909" s="8" t="str">
        <f>IFERROR(__xludf.DUMMYFUNCTION("""COMPUTED_VALUE"""),"nwchocolate")</f>
        <v>nwchocolate</v>
      </c>
    </row>
    <row r="910">
      <c r="A910" s="8" t="str">
        <f>IFERROR(__xludf.DUMMYFUNCTION("""COMPUTED_VALUE"""),"bestofclassicalpiano")</f>
        <v>bestofclassicalpiano</v>
      </c>
    </row>
    <row r="911">
      <c r="A911" s="8" t="str">
        <f>IFERROR(__xludf.DUMMYFUNCTION("""COMPUTED_VALUE"""),"classicalaf")</f>
        <v>classicalaf</v>
      </c>
    </row>
    <row r="912">
      <c r="A912" s="8" t="str">
        <f>IFERROR(__xludf.DUMMYFUNCTION("""COMPUTED_VALUE"""),"classical_conversations")</f>
        <v>classical_conversations</v>
      </c>
    </row>
    <row r="913">
      <c r="A913" s="8" t="str">
        <f>IFERROR(__xludf.DUMMYFUNCTION("""COMPUTED_VALUE"""),"classicallearner")</f>
        <v>classicallearner</v>
      </c>
    </row>
    <row r="914">
      <c r="A914" s="8" t="str">
        <f>IFERROR(__xludf.DUMMYFUNCTION("""COMPUTED_VALUE"""),"classical_mahler3512")</f>
        <v>classical_mahler3512</v>
      </c>
    </row>
    <row r="915">
      <c r="A915" s="8" t="str">
        <f>IFERROR(__xludf.DUMMYFUNCTION("""COMPUTED_VALUE"""),"classicalsarcasm")</f>
        <v>classicalsarcasm</v>
      </c>
    </row>
    <row r="916">
      <c r="A916" s="8" t="str">
        <f>IFERROR(__xludf.DUMMYFUNCTION("""COMPUTED_VALUE"""),"classicalshits")</f>
        <v>classicalshits</v>
      </c>
    </row>
    <row r="917">
      <c r="A917" s="8" t="str">
        <f>IFERROR(__xludf.DUMMYFUNCTION("""COMPUTED_VALUE"""),"classicalvines")</f>
        <v>classicalvines</v>
      </c>
    </row>
    <row r="918">
      <c r="A918" s="8" t="str">
        <f>IFERROR(__xludf.DUMMYFUNCTION("""COMPUTED_VALUE"""),"classicast_")</f>
        <v>classicast_</v>
      </c>
    </row>
    <row r="919">
      <c r="A919" s="8" t="str">
        <f>IFERROR(__xludf.DUMMYFUNCTION("""COMPUTED_VALUE"""),"pwa.pilatesapp")</f>
        <v>pwa.pilatesapp</v>
      </c>
    </row>
    <row r="920">
      <c r="A920" s="8" t="str">
        <f>IFERROR(__xludf.DUMMYFUNCTION("""COMPUTED_VALUE"""),"domesticdaydreams")</f>
        <v>domesticdaydreams</v>
      </c>
    </row>
    <row r="921">
      <c r="A921" s="8" t="str">
        <f>IFERROR(__xludf.DUMMYFUNCTION("""COMPUTED_VALUE"""),"jillcomesclean")</f>
        <v>jillcomesclean</v>
      </c>
    </row>
    <row r="922">
      <c r="A922" s="8" t="str">
        <f>IFERROR(__xludf.DUMMYFUNCTION("""COMPUTED_VALUE"""),"coding.life")</f>
        <v>coding.life</v>
      </c>
    </row>
    <row r="923">
      <c r="A923" s="8" t="str">
        <f>IFERROR(__xludf.DUMMYFUNCTION("""COMPUTED_VALUE"""),"blackdropcoffeechile")</f>
        <v>blackdropcoffeechile</v>
      </c>
    </row>
    <row r="924">
      <c r="A924" s="8" t="str">
        <f>IFERROR(__xludf.DUMMYFUNCTION("""COMPUTED_VALUE"""),"coffee_house_co")</f>
        <v>coffee_house_co</v>
      </c>
    </row>
    <row r="925">
      <c r="A925" s="8" t="str">
        <f>IFERROR(__xludf.DUMMYFUNCTION("""COMPUTED_VALUE"""),"coffee_lovers_at_heart")</f>
        <v>coffee_lovers_at_heart</v>
      </c>
    </row>
    <row r="926">
      <c r="A926" s="8" t="str">
        <f>IFERROR(__xludf.DUMMYFUNCTION("""COMPUTED_VALUE"""),"colattao")</f>
        <v>colattao</v>
      </c>
    </row>
    <row r="927">
      <c r="A927" s="8" t="str">
        <f>IFERROR(__xludf.DUMMYFUNCTION("""COMPUTED_VALUE"""),"issi.coffee")</f>
        <v>issi.coffee</v>
      </c>
    </row>
    <row r="928">
      <c r="A928" s="8" t="str">
        <f>IFERROR(__xludf.DUMMYFUNCTION("""COMPUTED_VALUE"""),"thecoffeeparty")</f>
        <v>thecoffeeparty</v>
      </c>
    </row>
    <row r="929">
      <c r="A929" s="8" t="str">
        <f>IFERROR(__xludf.DUMMYFUNCTION("""COMPUTED_VALUE"""),"tsilicoffeeshop6")</f>
        <v>tsilicoffeeshop6</v>
      </c>
    </row>
    <row r="930">
      <c r="A930" s="8" t="str">
        <f>IFERROR(__xludf.DUMMYFUNCTION("""COMPUTED_VALUE"""),"yourcoffeedude")</f>
        <v>yourcoffeedude</v>
      </c>
    </row>
    <row r="931">
      <c r="A931" s="8" t="str">
        <f>IFERROR(__xludf.DUMMYFUNCTION("""COMPUTED_VALUE"""),"yourcoffeedude")</f>
        <v>yourcoffeedude</v>
      </c>
    </row>
    <row r="932">
      <c r="A932" s="8" t="str">
        <f>IFERROR(__xludf.DUMMYFUNCTION("""COMPUTED_VALUE"""),"comedy")</f>
        <v>comedy</v>
      </c>
    </row>
    <row r="933">
      <c r="A933" s="8" t="str">
        <f>IFERROR(__xludf.DUMMYFUNCTION("""COMPUTED_VALUE"""),"comedybyday")</f>
        <v>comedybyday</v>
      </c>
    </row>
    <row r="934">
      <c r="A934" s="8" t="str">
        <f>IFERROR(__xludf.DUMMYFUNCTION("""COMPUTED_VALUE"""),"comedycentral")</f>
        <v>comedycentral</v>
      </c>
    </row>
    <row r="935">
      <c r="A935" s="8" t="str">
        <f>IFERROR(__xludf.DUMMYFUNCTION("""COMPUTED_VALUE"""),"comedycentralla")</f>
        <v>comedycentralla</v>
      </c>
    </row>
    <row r="936">
      <c r="A936" s="8" t="str">
        <f>IFERROR(__xludf.DUMMYFUNCTION("""COMPUTED_VALUE"""),"comedyclubru")</f>
        <v>comedyclubru</v>
      </c>
    </row>
    <row r="937">
      <c r="A937" s="11" t="str">
        <f>IFERROR(__xludf.DUMMYFUNCTION("""COMPUTED_VALUE"""),"comedy.com")</f>
        <v>comedy.com</v>
      </c>
    </row>
    <row r="938">
      <c r="A938" s="8" t="str">
        <f>IFERROR(__xludf.DUMMYFUNCTION("""COMPUTED_VALUE"""),"comedy_restobar")</f>
        <v>comedy_restobar</v>
      </c>
    </row>
    <row r="939">
      <c r="A939" s="8" t="str">
        <f>IFERROR(__xludf.DUMMYFUNCTION("""COMPUTED_VALUE"""),"comedyslam")</f>
        <v>comedyslam</v>
      </c>
    </row>
    <row r="940">
      <c r="A940" s="8" t="str">
        <f>IFERROR(__xludf.DUMMYFUNCTION("""COMPUTED_VALUE"""),"funpostingdaily")</f>
        <v>funpostingdaily</v>
      </c>
    </row>
    <row r="941">
      <c r="A941" s="8" t="str">
        <f>IFERROR(__xludf.DUMMYFUNCTION("""COMPUTED_VALUE"""),"gw_comedy")</f>
        <v>gw_comedy</v>
      </c>
    </row>
    <row r="942">
      <c r="A942" s="8" t="str">
        <f>IFERROR(__xludf.DUMMYFUNCTION("""COMPUTED_VALUE"""),"inscomedy")</f>
        <v>inscomedy</v>
      </c>
    </row>
    <row r="943">
      <c r="A943" s="8" t="str">
        <f>IFERROR(__xludf.DUMMYFUNCTION("""COMPUTED_VALUE"""),"mikescomedy")</f>
        <v>mikescomedy</v>
      </c>
    </row>
    <row r="944">
      <c r="A944" s="8" t="str">
        <f>IFERROR(__xludf.DUMMYFUNCTION("""COMPUTED_VALUE"""),"nicocapone.comedy")</f>
        <v>nicocapone.comedy</v>
      </c>
    </row>
    <row r="945">
      <c r="A945" s="8" t="str">
        <f>IFERROR(__xludf.DUMMYFUNCTION("""COMPUTED_VALUE"""),"rscomedy")</f>
        <v>rscomedy</v>
      </c>
    </row>
    <row r="946">
      <c r="A946" s="8" t="str">
        <f>IFERROR(__xludf.DUMMYFUNCTION("""COMPUTED_VALUE"""),"rui.comedy")</f>
        <v>rui.comedy</v>
      </c>
    </row>
    <row r="947">
      <c r="A947" s="8" t="str">
        <f>IFERROR(__xludf.DUMMYFUNCTION("""COMPUTED_VALUE"""),"thecomedycab")</f>
        <v>thecomedycab</v>
      </c>
    </row>
    <row r="948">
      <c r="A948" s="8" t="str">
        <f>IFERROR(__xludf.DUMMYFUNCTION("""COMPUTED_VALUE"""),"thecomedystore")</f>
        <v>thecomedystore</v>
      </c>
    </row>
    <row r="949">
      <c r="A949" s="8" t="str">
        <f>IFERROR(__xludf.DUMMYFUNCTION("""COMPUTED_VALUE"""),"comedy_bites01")</f>
        <v>comedy_bites01</v>
      </c>
    </row>
    <row r="950">
      <c r="A950" s="8" t="str">
        <f>IFERROR(__xludf.DUMMYFUNCTION("""COMPUTED_VALUE"""),"comfort_foodies_")</f>
        <v>comfort_foodies_</v>
      </c>
    </row>
    <row r="951">
      <c r="A951" s="8" t="str">
        <f>IFERROR(__xludf.DUMMYFUNCTION("""COMPUTED_VALUE"""),"comfort.food_mm")</f>
        <v>comfort.food_mm</v>
      </c>
    </row>
    <row r="952">
      <c r="A952" s="8" t="str">
        <f>IFERROR(__xludf.DUMMYFUNCTION("""COMPUTED_VALUE"""),"comfort_food.recipes")</f>
        <v>comfort_food.recipes</v>
      </c>
    </row>
    <row r="953">
      <c r="A953" s="8" t="str">
        <f>IFERROR(__xludf.DUMMYFUNCTION("""COMPUTED_VALUE"""),"abbeyroadmdp")</f>
        <v>abbeyroadmdp</v>
      </c>
    </row>
    <row r="954">
      <c r="A954" s="8" t="str">
        <f>IFERROR(__xludf.DUMMYFUNCTION("""COMPUTED_VALUE"""),"beloinconcertshow")</f>
        <v>beloinconcertshow</v>
      </c>
    </row>
    <row r="955">
      <c r="A955" s="8" t="str">
        <f>IFERROR(__xludf.DUMMYFUNCTION("""COMPUTED_VALUE"""),"c4concerthouse")</f>
        <v>c4concerthouse</v>
      </c>
    </row>
    <row r="956">
      <c r="A956" s="8" t="str">
        <f>IFERROR(__xludf.DUMMYFUNCTION("""COMPUTED_VALUE"""),"candlelight.concerts")</f>
        <v>candlelight.concerts</v>
      </c>
    </row>
    <row r="957">
      <c r="A957" s="8" t="str">
        <f>IFERROR(__xludf.DUMMYFUNCTION("""COMPUTED_VALUE"""),"cinema.in.concert")</f>
        <v>cinema.in.concert</v>
      </c>
    </row>
    <row r="958">
      <c r="A958" s="8" t="str">
        <f>IFERROR(__xludf.DUMMYFUNCTION("""COMPUTED_VALUE"""),"concert")</f>
        <v>concert</v>
      </c>
    </row>
    <row r="959">
      <c r="A959" s="8" t="str">
        <f>IFERROR(__xludf.DUMMYFUNCTION("""COMPUTED_VALUE"""),"concertcrap")</f>
        <v>concertcrap</v>
      </c>
    </row>
    <row r="960">
      <c r="A960" s="8" t="str">
        <f>IFERROR(__xludf.DUMMYFUNCTION("""COMPUTED_VALUE"""),"concertipop")</f>
        <v>concertipop</v>
      </c>
    </row>
    <row r="961">
      <c r="A961" s="8" t="str">
        <f>IFERROR(__xludf.DUMMYFUNCTION("""COMPUTED_VALUE"""),"concertmusicfestival")</f>
        <v>concertmusicfestival</v>
      </c>
    </row>
    <row r="962">
      <c r="A962" s="8" t="str">
        <f>IFERROR(__xludf.DUMMYFUNCTION("""COMPUTED_VALUE"""),"iranconcertofficial")</f>
        <v>iranconcertofficial</v>
      </c>
    </row>
    <row r="963">
      <c r="A963" s="8" t="str">
        <f>IFERROR(__xludf.DUMMYFUNCTION("""COMPUTED_VALUE"""),"la.concerts")</f>
        <v>la.concerts</v>
      </c>
    </row>
    <row r="964">
      <c r="A964" s="8" t="str">
        <f>IFERROR(__xludf.DUMMYFUNCTION("""COMPUTED_VALUE"""),"livenation")</f>
        <v>livenation</v>
      </c>
    </row>
    <row r="965">
      <c r="A965" s="8" t="str">
        <f>IFERROR(__xludf.DUMMYFUNCTION("""COMPUTED_VALUE"""),"sdconcerts")</f>
        <v>sdconcerts</v>
      </c>
    </row>
    <row r="966">
      <c r="A966" s="8" t="str">
        <f>IFERROR(__xludf.DUMMYFUNCTION("""COMPUTED_VALUE"""),"tstheerastourfilm")</f>
        <v>tstheerastourfilm</v>
      </c>
    </row>
    <row r="967">
      <c r="A967" s="8" t="str">
        <f>IFERROR(__xludf.DUMMYFUNCTION("""COMPUTED_VALUE"""),"concert.moscow")</f>
        <v>concert.moscow</v>
      </c>
    </row>
    <row r="968">
      <c r="A968" s="8" t="str">
        <f>IFERROR(__xludf.DUMMYFUNCTION("""COMPUTED_VALUE"""),"africansafariconservation")</f>
        <v>africansafariconservation</v>
      </c>
    </row>
    <row r="969">
      <c r="A969" s="8" t="str">
        <f>IFERROR(__xludf.DUMMYFUNCTION("""COMPUTED_VALUE"""),"conservationcanines")</f>
        <v>conservationcanines</v>
      </c>
    </row>
    <row r="970">
      <c r="A970" s="8" t="str">
        <f>IFERROR(__xludf.DUMMYFUNCTION("""COMPUTED_VALUE"""),"conservationfisheries")</f>
        <v>conservationfisheries</v>
      </c>
    </row>
    <row r="971">
      <c r="A971" s="8" t="str">
        <f>IFERROR(__xludf.DUMMYFUNCTION("""COMPUTED_VALUE"""),"conservationflorida")</f>
        <v>conservationflorida</v>
      </c>
    </row>
    <row r="972">
      <c r="A972" s="8" t="str">
        <f>IFERROR(__xludf.DUMMYFUNCTION("""COMPUTED_VALUE"""),"conservation_kate")</f>
        <v>conservation_kate</v>
      </c>
    </row>
    <row r="973">
      <c r="A973" s="8" t="str">
        <f>IFERROR(__xludf.DUMMYFUNCTION("""COMPUTED_VALUE"""),"conservationorg")</f>
        <v>conservationorg</v>
      </c>
    </row>
    <row r="974">
      <c r="A974" s="8" t="str">
        <f>IFERROR(__xludf.DUMMYFUNCTION("""COMPUTED_VALUE"""),"ggconservation")</f>
        <v>ggconservation</v>
      </c>
    </row>
    <row r="975">
      <c r="A975" s="8" t="str">
        <f>IFERROR(__xludf.DUMMYFUNCTION("""COMPUTED_VALUE"""),"iiconservation")</f>
        <v>iiconservation</v>
      </c>
    </row>
    <row r="976">
      <c r="A976" s="8" t="str">
        <f>IFERROR(__xludf.DUMMYFUNCTION("""COMPUTED_VALUE"""),"osaconservation")</f>
        <v>osaconservation</v>
      </c>
    </row>
    <row r="977">
      <c r="A977" s="8" t="str">
        <f>IFERROR(__xludf.DUMMYFUNCTION("""COMPUTED_VALUE"""),"posterconservation")</f>
        <v>posterconservation</v>
      </c>
    </row>
    <row r="978">
      <c r="A978" s="8" t="str">
        <f>IFERROR(__xludf.DUMMYFUNCTION("""COMPUTED_VALUE"""),"thewcs")</f>
        <v>thewcs</v>
      </c>
    </row>
    <row r="979">
      <c r="A979" s="8" t="str">
        <f>IFERROR(__xludf.DUMMYFUNCTION("""COMPUTED_VALUE"""),"console_jocuri_romania")</f>
        <v>console_jocuri_romania</v>
      </c>
    </row>
    <row r="980">
      <c r="A980" s="8" t="str">
        <f>IFERROR(__xludf.DUMMYFUNCTION("""COMPUTED_VALUE"""),"gaurav1337_")</f>
        <v>gaurav1337_</v>
      </c>
    </row>
    <row r="981">
      <c r="A981" s="8" t="str">
        <f>IFERROR(__xludf.DUMMYFUNCTION("""COMPUTED_VALUE"""),"lojagrinelstore")</f>
        <v>lojagrinelstore</v>
      </c>
    </row>
    <row r="982">
      <c r="A982" s="8" t="str">
        <f>IFERROR(__xludf.DUMMYFUNCTION("""COMPUTED_VALUE"""),"myhigh_loja")</f>
        <v>myhigh_loja</v>
      </c>
    </row>
    <row r="983">
      <c r="A983" s="8" t="str">
        <f>IFERROR(__xludf.DUMMYFUNCTION("""COMPUTED_VALUE"""),"thgamesusados")</f>
        <v>thgamesusados</v>
      </c>
    </row>
    <row r="984">
      <c r="A984" s="8" t="str">
        <f>IFERROR(__xludf.DUMMYFUNCTION("""COMPUTED_VALUE"""),"andrescooking")</f>
        <v>andrescooking</v>
      </c>
    </row>
    <row r="985">
      <c r="A985" s="8" t="str">
        <f>IFERROR(__xludf.DUMMYFUNCTION("""COMPUTED_VALUE"""),"cooking")</f>
        <v>cooking</v>
      </c>
    </row>
    <row r="986">
      <c r="A986" s="8" t="str">
        <f>IFERROR(__xludf.DUMMYFUNCTION("""COMPUTED_VALUE"""),"cookingforgains_")</f>
        <v>cookingforgains_</v>
      </c>
    </row>
    <row r="987">
      <c r="A987" s="8" t="str">
        <f>IFERROR(__xludf.DUMMYFUNCTION("""COMPUTED_VALUE"""),"cookinginthemidwest")</f>
        <v>cookinginthemidwest</v>
      </c>
    </row>
    <row r="988">
      <c r="A988" s="8" t="str">
        <f>IFERROR(__xludf.DUMMYFUNCTION("""COMPUTED_VALUE"""),"cookingnutri")</f>
        <v>cookingnutri</v>
      </c>
    </row>
    <row r="989">
      <c r="A989" s="8" t="str">
        <f>IFERROR(__xludf.DUMMYFUNCTION("""COMPUTED_VALUE"""),"cooking_warda")</f>
        <v>cooking_warda</v>
      </c>
    </row>
    <row r="990">
      <c r="A990" s="8" t="str">
        <f>IFERROR(__xludf.DUMMYFUNCTION("""COMPUTED_VALUE"""),"cookingwith_darryl")</f>
        <v>cookingwith_darryl</v>
      </c>
    </row>
    <row r="991">
      <c r="A991" s="8" t="str">
        <f>IFERROR(__xludf.DUMMYFUNCTION("""COMPUTED_VALUE"""),"cookingwithdestiny")</f>
        <v>cookingwithdestiny</v>
      </c>
    </row>
    <row r="992">
      <c r="A992" s="8" t="str">
        <f>IFERROR(__xludf.DUMMYFUNCTION("""COMPUTED_VALUE"""),"cooking_with_fire___")</f>
        <v>cooking_with_fire___</v>
      </c>
    </row>
    <row r="993">
      <c r="A993" s="8" t="str">
        <f>IFERROR(__xludf.DUMMYFUNCTION("""COMPUTED_VALUE"""),"cookingwithkian")</f>
        <v>cookingwithkian</v>
      </c>
    </row>
    <row r="994">
      <c r="A994" s="8" t="str">
        <f>IFERROR(__xludf.DUMMYFUNCTION("""COMPUTED_VALUE"""),"cookingwithlynja")</f>
        <v>cookingwithlynja</v>
      </c>
    </row>
    <row r="995">
      <c r="A995" s="8" t="str">
        <f>IFERROR(__xludf.DUMMYFUNCTION("""COMPUTED_VALUE"""),"katia_cooking_")</f>
        <v>katia_cooking_</v>
      </c>
    </row>
    <row r="996">
      <c r="A996" s="8" t="str">
        <f>IFERROR(__xludf.DUMMYFUNCTION("""COMPUTED_VALUE"""),"nytcooking")</f>
        <v>nytcooking</v>
      </c>
    </row>
    <row r="997">
      <c r="A997" s="8" t="str">
        <f>IFERROR(__xludf.DUMMYFUNCTION("""COMPUTED_VALUE"""),"rb_cooking")</f>
        <v>rb_cooking</v>
      </c>
    </row>
    <row r="998">
      <c r="A998" s="8" t="str">
        <f>IFERROR(__xludf.DUMMYFUNCTION("""COMPUTED_VALUE"""),"cosmetiques_bfk")</f>
        <v>cosmetiques_bfk</v>
      </c>
    </row>
    <row r="999">
      <c r="A999" s="8" t="str">
        <f>IFERROR(__xludf.DUMMYFUNCTION("""COMPUTED_VALUE"""),"cosmetiques_msili_ain_benian")</f>
        <v>cosmetiques_msili_ain_benian</v>
      </c>
    </row>
    <row r="1000">
      <c r="A1000" s="8" t="str">
        <f>IFERROR(__xludf.DUMMYFUNCTION("""COMPUTED_VALUE"""),"cosmetiques_outh")</f>
        <v>cosmetiques_outh</v>
      </c>
    </row>
    <row r="1001">
      <c r="A1001" s="8" t="str">
        <f>IFERROR(__xludf.DUMMYFUNCTION("""COMPUTED_VALUE"""),"cossmy_tique")</f>
        <v>cossmy_tique</v>
      </c>
    </row>
    <row r="1002">
      <c r="A1002" s="8" t="str">
        <f>IFERROR(__xludf.DUMMYFUNCTION("""COMPUTED_VALUE"""),"echfak_cosmetiques")</f>
        <v>echfak_cosmetiques</v>
      </c>
    </row>
    <row r="1003">
      <c r="A1003" s="8" t="str">
        <f>IFERROR(__xludf.DUMMYFUNCTION("""COMPUTED_VALUE"""),"rb.cosmetique_")</f>
        <v>rb.cosmetique_</v>
      </c>
    </row>
    <row r="1004">
      <c r="A1004" s="8" t="str">
        <f>IFERROR(__xludf.DUMMYFUNCTION("""COMPUTED_VALUE"""),"coverartmatters")</f>
        <v>coverartmatters</v>
      </c>
    </row>
    <row r="1005">
      <c r="A1005" s="8" t="str">
        <f>IFERROR(__xludf.DUMMYFUNCTION("""COMPUTED_VALUE"""),"cover_me_id")</f>
        <v>cover_me_id</v>
      </c>
    </row>
    <row r="1006">
      <c r="A1006" s="8" t="str">
        <f>IFERROR(__xludf.DUMMYFUNCTION("""COMPUTED_VALUE"""),"coverthreeathletics")</f>
        <v>coverthreeathletics</v>
      </c>
    </row>
    <row r="1007">
      <c r="A1007" s="8" t="str">
        <f>IFERROR(__xludf.DUMMYFUNCTION("""COMPUTED_VALUE"""),"covery_eg")</f>
        <v>covery_eg</v>
      </c>
    </row>
    <row r="1008">
      <c r="A1008" s="8" t="str">
        <f>IFERROR(__xludf.DUMMYFUNCTION("""COMPUTED_VALUE"""),"hqdis_cover")</f>
        <v>hqdis_cover</v>
      </c>
    </row>
    <row r="1009">
      <c r="A1009" s="8" t="str">
        <f>IFERROR(__xludf.DUMMYFUNCTION("""COMPUTED_VALUE"""),"indo.musiccover")</f>
        <v>indo.musiccover</v>
      </c>
    </row>
    <row r="1010">
      <c r="A1010" s="8" t="str">
        <f>IFERROR(__xludf.DUMMYFUNCTION("""COMPUTED_VALUE"""),"one.day.one.cover")</f>
        <v>one.day.one.cover</v>
      </c>
    </row>
    <row r="1011">
      <c r="A1011" s="8" t="str">
        <f>IFERROR(__xludf.DUMMYFUNCTION("""COMPUTED_VALUE"""),"otabek_cover1")</f>
        <v>otabek_cover1</v>
      </c>
    </row>
    <row r="1012">
      <c r="A1012" s="8" t="str">
        <f>IFERROR(__xludf.DUMMYFUNCTION("""COMPUTED_VALUE"""),"craft__ideas__")</f>
        <v>craft__ideas__</v>
      </c>
    </row>
    <row r="1013">
      <c r="A1013" s="8" t="str">
        <f>IFERROR(__xludf.DUMMYFUNCTION("""COMPUTED_VALUE"""),"craftideas2088")</f>
        <v>craftideas2088</v>
      </c>
    </row>
    <row r="1014">
      <c r="A1014" s="8" t="str">
        <f>IFERROR(__xludf.DUMMYFUNCTION("""COMPUTED_VALUE"""),"paper_craft_ideas_")</f>
        <v>paper_craft_ideas_</v>
      </c>
    </row>
    <row r="1015">
      <c r="A1015" s="8" t="str">
        <f>IFERROR(__xludf.DUMMYFUNCTION("""COMPUTED_VALUE"""),"2211_crafts")</f>
        <v>2211_crafts</v>
      </c>
    </row>
    <row r="1016">
      <c r="A1016" s="8" t="str">
        <f>IFERROR(__xludf.DUMMYFUNCTION("""COMPUTED_VALUE"""),"5.min.crafts")</f>
        <v>5.min.crafts</v>
      </c>
    </row>
    <row r="1017">
      <c r="A1017" s="8" t="str">
        <f>IFERROR(__xludf.DUMMYFUNCTION("""COMPUTED_VALUE"""),"crafts.feed")</f>
        <v>crafts.feed</v>
      </c>
    </row>
    <row r="1018">
      <c r="A1018" s="8" t="str">
        <f>IFERROR(__xludf.DUMMYFUNCTION("""COMPUTED_VALUE"""),"crafts_inspire")</f>
        <v>crafts_inspire</v>
      </c>
    </row>
    <row r="1019">
      <c r="A1019" s="8" t="str">
        <f>IFERROR(__xludf.DUMMYFUNCTION("""COMPUTED_VALUE"""),"craftsmagazine")</f>
        <v>craftsmagazine</v>
      </c>
    </row>
    <row r="1020">
      <c r="A1020" s="8" t="str">
        <f>IFERROR(__xludf.DUMMYFUNCTION("""COMPUTED_VALUE"""),"craftspells")</f>
        <v>craftspells</v>
      </c>
    </row>
    <row r="1021">
      <c r="A1021" s="8" t="str">
        <f>IFERROR(__xludf.DUMMYFUNCTION("""COMPUTED_VALUE"""),"girlcraftss")</f>
        <v>girlcraftss</v>
      </c>
    </row>
    <row r="1022">
      <c r="A1022" s="8" t="str">
        <f>IFERROR(__xludf.DUMMYFUNCTION("""COMPUTED_VALUE"""),"karocrafts")</f>
        <v>karocrafts</v>
      </c>
    </row>
    <row r="1023">
      <c r="A1023" s="8" t="str">
        <f>IFERROR(__xludf.DUMMYFUNCTION("""COMPUTED_VALUE"""),"packs_and_crafts_")</f>
        <v>packs_and_crafts_</v>
      </c>
    </row>
    <row r="1024">
      <c r="A1024" s="11" t="str">
        <f>IFERROR(__xludf.DUMMYFUNCTION("""COMPUTED_VALUE"""),"paper.crafts.in")</f>
        <v>paper.crafts.in</v>
      </c>
    </row>
    <row r="1025">
      <c r="A1025" s="8" t="str">
        <f>IFERROR(__xludf.DUMMYFUNCTION("""COMPUTED_VALUE"""),"tokyocrafts_jp")</f>
        <v>tokyocrafts_jp</v>
      </c>
    </row>
    <row r="1026">
      <c r="A1026" s="8" t="str">
        <f>IFERROR(__xludf.DUMMYFUNCTION("""COMPUTED_VALUE"""),"creativeprocessdiy")</f>
        <v>creativeprocessdiy</v>
      </c>
    </row>
    <row r="1027">
      <c r="A1027" s="8" t="str">
        <f>IFERROR(__xludf.DUMMYFUNCTION("""COMPUTED_VALUE"""),"crossfit")</f>
        <v>crossfit</v>
      </c>
    </row>
    <row r="1028">
      <c r="A1028" s="8" t="str">
        <f>IFERROR(__xludf.DUMMYFUNCTION("""COMPUTED_VALUE"""),"crossfitespana")</f>
        <v>crossfitespana</v>
      </c>
    </row>
    <row r="1029">
      <c r="A1029" s="8" t="str">
        <f>IFERROR(__xludf.DUMMYFUNCTION("""COMPUTED_VALUE"""),"crossfit_fitnes_club")</f>
        <v>crossfit_fitnes_club</v>
      </c>
    </row>
    <row r="1030">
      <c r="A1030" s="8" t="str">
        <f>IFERROR(__xludf.DUMMYFUNCTION("""COMPUTED_VALUE"""),"crossfitgames")</f>
        <v>crossfitgames</v>
      </c>
    </row>
    <row r="1031">
      <c r="A1031" s="8" t="str">
        <f>IFERROR(__xludf.DUMMYFUNCTION("""COMPUTED_VALUE"""),"crossfitgoals")</f>
        <v>crossfitgoals</v>
      </c>
    </row>
    <row r="1032">
      <c r="A1032" s="8" t="str">
        <f>IFERROR(__xludf.DUMMYFUNCTION("""COMPUTED_VALUE"""),"invictus_fitness")</f>
        <v>invictus_fitness</v>
      </c>
    </row>
    <row r="1033">
      <c r="A1033" s="8" t="str">
        <f>IFERROR(__xludf.DUMMYFUNCTION("""COMPUTED_VALUE"""),"lapizarradelcoach")</f>
        <v>lapizarradelcoach</v>
      </c>
    </row>
    <row r="1034">
      <c r="A1034" s="8" t="str">
        <f>IFERROR(__xludf.DUMMYFUNCTION("""COMPUTED_VALUE"""),"mj.crossfit")</f>
        <v>mj.crossfit</v>
      </c>
    </row>
    <row r="1035">
      <c r="A1035" s="8" t="str">
        <f>IFERROR(__xludf.DUMMYFUNCTION("""COMPUTED_VALUE"""),"rhinobox_")</f>
        <v>rhinobox_</v>
      </c>
    </row>
    <row r="1036">
      <c r="A1036" s="8" t="str">
        <f>IFERROR(__xludf.DUMMYFUNCTION("""COMPUTED_VALUE"""),"thecrossfitmayhem")</f>
        <v>thecrossfitmayhem</v>
      </c>
    </row>
    <row r="1037">
      <c r="A1037" s="8" t="str">
        <f>IFERROR(__xludf.DUMMYFUNCTION("""COMPUTED_VALUE"""),"crypto_banter")</f>
        <v>crypto_banter</v>
      </c>
    </row>
    <row r="1038">
      <c r="A1038" s="8" t="str">
        <f>IFERROR(__xludf.DUMMYFUNCTION("""COMPUTED_VALUE"""),"crypto_byk")</f>
        <v>crypto_byk</v>
      </c>
    </row>
    <row r="1039">
      <c r="A1039" s="8" t="str">
        <f>IFERROR(__xludf.DUMMYFUNCTION("""COMPUTED_VALUE"""),"cryptocomofficial")</f>
        <v>cryptocomofficial</v>
      </c>
    </row>
    <row r="1040">
      <c r="A1040" s="8" t="str">
        <f>IFERROR(__xludf.DUMMYFUNCTION("""COMPUTED_VALUE"""),"cryptodaily")</f>
        <v>cryptodaily</v>
      </c>
    </row>
    <row r="1041">
      <c r="A1041" s="8" t="str">
        <f>IFERROR(__xludf.DUMMYFUNCTION("""COMPUTED_VALUE"""),"crypto.dreams")</f>
        <v>crypto.dreams</v>
      </c>
    </row>
    <row r="1042">
      <c r="A1042" s="8" t="str">
        <f>IFERROR(__xludf.DUMMYFUNCTION("""COMPUTED_VALUE"""),"cryptonary")</f>
        <v>cryptonary</v>
      </c>
    </row>
    <row r="1043">
      <c r="A1043" s="8" t="str">
        <f>IFERROR(__xludf.DUMMYFUNCTION("""COMPUTED_VALUE"""),"cryptopump_signals_")</f>
        <v>cryptopump_signals_</v>
      </c>
    </row>
    <row r="1044">
      <c r="A1044" s="8" t="str">
        <f>IFERROR(__xludf.DUMMYFUNCTION("""COMPUTED_VALUE"""),"intelligentcryptocurrency")</f>
        <v>intelligentcryptocurrency</v>
      </c>
    </row>
    <row r="1045">
      <c r="A1045" s="8" t="str">
        <f>IFERROR(__xludf.DUMMYFUNCTION("""COMPUTED_VALUE"""),"coingecko")</f>
        <v>coingecko</v>
      </c>
    </row>
    <row r="1046">
      <c r="A1046" s="8" t="str">
        <f>IFERROR(__xludf.DUMMYFUNCTION("""COMPUTED_VALUE"""),"cryptoworld2020")</f>
        <v>cryptoworld2020</v>
      </c>
    </row>
    <row r="1047">
      <c r="A1047" s="8" t="str">
        <f>IFERROR(__xludf.DUMMYFUNCTION("""COMPUTED_VALUE"""),"intelligentcryptocurrency")</f>
        <v>intelligentcryptocurrency</v>
      </c>
    </row>
    <row r="1048">
      <c r="A1048" s="8" t="str">
        <f>IFERROR(__xludf.DUMMYFUNCTION("""COMPUTED_VALUE"""),"its_crypto_currency_")</f>
        <v>its_crypto_currency_</v>
      </c>
    </row>
    <row r="1049">
      <c r="A1049" s="8" t="str">
        <f>IFERROR(__xludf.DUMMYFUNCTION("""COMPUTED_VALUE"""),"thegccoin")</f>
        <v>thegccoin</v>
      </c>
    </row>
    <row r="1050">
      <c r="A1050" s="8" t="str">
        <f>IFERROR(__xludf.DUMMYFUNCTION("""COMPUTED_VALUE"""),"acewitdaspade")</f>
        <v>acewitdaspade</v>
      </c>
    </row>
    <row r="1051">
      <c r="A1051" s="11" t="str">
        <f>IFERROR(__xludf.DUMMYFUNCTION("""COMPUTED_VALUE"""),"addielamarr.sh")</f>
        <v>addielamarr.sh</v>
      </c>
    </row>
    <row r="1052">
      <c r="A1052" s="8" t="str">
        <f>IFERROR(__xludf.DUMMYFUNCTION("""COMPUTED_VALUE"""),"cisagov")</f>
        <v>cisagov</v>
      </c>
    </row>
    <row r="1053">
      <c r="A1053" s="8" t="str">
        <f>IFERROR(__xludf.DUMMYFUNCTION("""COMPUTED_VALUE"""),"_.cybersecurity_")</f>
        <v>_.cybersecurity_</v>
      </c>
    </row>
    <row r="1054">
      <c r="A1054" s="8" t="str">
        <f>IFERROR(__xludf.DUMMYFUNCTION("""COMPUTED_VALUE"""),"cybersecurity_01")</f>
        <v>cybersecurity_01</v>
      </c>
    </row>
    <row r="1055">
      <c r="A1055" s="8" t="str">
        <f>IFERROR(__xludf.DUMMYFUNCTION("""COMPUTED_VALUE"""),"cybersecurity_career")</f>
        <v>cybersecurity_career</v>
      </c>
    </row>
    <row r="1056">
      <c r="A1056" s="8" t="str">
        <f>IFERROR(__xludf.DUMMYFUNCTION("""COMPUTED_VALUE"""),"cybersecuritygirl")</f>
        <v>cybersecuritygirl</v>
      </c>
    </row>
    <row r="1057">
      <c r="A1057" s="8" t="str">
        <f>IFERROR(__xludf.DUMMYFUNCTION("""COMPUTED_VALUE"""),"cybersecurityhub")</f>
        <v>cybersecurityhub</v>
      </c>
    </row>
    <row r="1058">
      <c r="A1058" s="8" t="str">
        <f>IFERROR(__xludf.DUMMYFUNCTION("""COMPUTED_VALUE"""),"cybersecurityup")</f>
        <v>cybersecurityup</v>
      </c>
    </row>
    <row r="1059">
      <c r="A1059" s="8" t="str">
        <f>IFERROR(__xludf.DUMMYFUNCTION("""COMPUTED_VALUE"""),"cyberwithben")</f>
        <v>cyberwithben</v>
      </c>
    </row>
    <row r="1060">
      <c r="A1060" s="8" t="str">
        <f>IFERROR(__xludf.DUMMYFUNCTION("""COMPUTED_VALUE"""),"hack_snack")</f>
        <v>hack_snack</v>
      </c>
    </row>
    <row r="1061">
      <c r="A1061" s="8" t="str">
        <f>IFERROR(__xludf.DUMMYFUNCTION("""COMPUTED_VALUE"""),"hackwithpratik")</f>
        <v>hackwithpratik</v>
      </c>
    </row>
    <row r="1062">
      <c r="A1062" s="8" t="str">
        <f>IFERROR(__xludf.DUMMYFUNCTION("""COMPUTED_VALUE"""),"thecybersecuritybabe")</f>
        <v>thecybersecuritybabe</v>
      </c>
    </row>
    <row r="1063">
      <c r="A1063" s="8" t="str">
        <f>IFERROR(__xludf.DUMMYFUNCTION("""COMPUTED_VALUE"""),"bestcycling")</f>
        <v>bestcycling</v>
      </c>
    </row>
    <row r="1064">
      <c r="A1064" s="8" t="str">
        <f>IFERROR(__xludf.DUMMYFUNCTION("""COMPUTED_VALUE"""),"cyclingbears")</f>
        <v>cyclingbears</v>
      </c>
    </row>
    <row r="1065">
      <c r="A1065" s="8" t="str">
        <f>IFERROR(__xludf.DUMMYFUNCTION("""COMPUTED_VALUE"""),"cyclingbrat")</f>
        <v>cyclingbrat</v>
      </c>
    </row>
    <row r="1066">
      <c r="A1066" s="8" t="str">
        <f>IFERROR(__xludf.DUMMYFUNCTION("""COMPUTED_VALUE"""),"cyclingdeath")</f>
        <v>cyclingdeath</v>
      </c>
    </row>
    <row r="1067">
      <c r="A1067" s="8" t="str">
        <f>IFERROR(__xludf.DUMMYFUNCTION("""COMPUTED_VALUE"""),"cyclingfrogcbd")</f>
        <v>cyclingfrogcbd</v>
      </c>
    </row>
    <row r="1068">
      <c r="A1068" s="8" t="str">
        <f>IFERROR(__xludf.DUMMYFUNCTION("""COMPUTED_VALUE"""),"cyclingnews_feed")</f>
        <v>cyclingnews_feed</v>
      </c>
    </row>
    <row r="1069">
      <c r="A1069" s="8" t="str">
        <f>IFERROR(__xludf.DUMMYFUNCTION("""COMPUTED_VALUE"""),"cycling.sina")</f>
        <v>cycling.sina</v>
      </c>
    </row>
    <row r="1070">
      <c r="A1070" s="8" t="str">
        <f>IFERROR(__xludf.DUMMYFUNCTION("""COMPUTED_VALUE"""),"cyclingspy")</f>
        <v>cyclingspy</v>
      </c>
    </row>
    <row r="1071">
      <c r="A1071" s="8" t="str">
        <f>IFERROR(__xludf.DUMMYFUNCTION("""COMPUTED_VALUE"""),"cyclingstigram")</f>
        <v>cyclingstigram</v>
      </c>
    </row>
    <row r="1072">
      <c r="A1072" s="8" t="str">
        <f>IFERROR(__xludf.DUMMYFUNCTION("""COMPUTED_VALUE"""),"cyclingweeklymagazine")</f>
        <v>cyclingweeklymagazine</v>
      </c>
    </row>
    <row r="1073">
      <c r="A1073" s="8" t="str">
        <f>IFERROR(__xludf.DUMMYFUNCTION("""COMPUTED_VALUE"""),"globalcyclingnetwork")</f>
        <v>globalcyclingnetwork</v>
      </c>
    </row>
    <row r="1074">
      <c r="A1074" s="8" t="str">
        <f>IFERROR(__xludf.DUMMYFUNCTION("""COMPUTED_VALUE"""),"tntsportscycling")</f>
        <v>tntsportscycling</v>
      </c>
    </row>
    <row r="1075">
      <c r="A1075" s="8" t="str">
        <f>IFERROR(__xludf.DUMMYFUNCTION("""COMPUTED_VALUE"""),"uci_cycling")</f>
        <v>uci_cycling</v>
      </c>
    </row>
    <row r="1076">
      <c r="A1076" s="8" t="str">
        <f>IFERROR(__xludf.DUMMYFUNCTION("""COMPUTED_VALUE"""),"usacycling")</f>
        <v>usacycling</v>
      </c>
    </row>
    <row r="1077">
      <c r="A1077" s="8" t="str">
        <f>IFERROR(__xludf.DUMMYFUNCTION("""COMPUTED_VALUE"""),"dadlifejason")</f>
        <v>dadlifejason</v>
      </c>
    </row>
    <row r="1078">
      <c r="A1078" s="8" t="str">
        <f>IFERROR(__xludf.DUMMYFUNCTION("""COMPUTED_VALUE"""),"tsa")</f>
        <v>tsa</v>
      </c>
    </row>
    <row r="1079">
      <c r="A1079" s="8" t="str">
        <f>IFERROR(__xludf.DUMMYFUNCTION("""COMPUTED_VALUE"""),"dailycardsinspiration")</f>
        <v>dailycardsinspiration</v>
      </c>
    </row>
    <row r="1080">
      <c r="A1080" s="8" t="str">
        <f>IFERROR(__xludf.DUMMYFUNCTION("""COMPUTED_VALUE"""),"daily_inspiration65")</f>
        <v>daily_inspiration65</v>
      </c>
    </row>
    <row r="1081">
      <c r="A1081" s="8" t="str">
        <f>IFERROR(__xludf.DUMMYFUNCTION("""COMPUTED_VALUE"""),"daily_inspiration926")</f>
        <v>daily_inspiration926</v>
      </c>
    </row>
    <row r="1082">
      <c r="A1082" s="8" t="str">
        <f>IFERROR(__xludf.DUMMYFUNCTION("""COMPUTED_VALUE"""),"daily_inspirational_")</f>
        <v>daily_inspirational_</v>
      </c>
    </row>
    <row r="1083">
      <c r="A1083" s="8" t="str">
        <f>IFERROR(__xludf.DUMMYFUNCTION("""COMPUTED_VALUE"""),"daily_inspirationalhub")</f>
        <v>daily_inspirationalhub</v>
      </c>
    </row>
    <row r="1084">
      <c r="A1084" s="8" t="str">
        <f>IFERROR(__xludf.DUMMYFUNCTION("""COMPUTED_VALUE"""),"daily_inspirational_thought")</f>
        <v>daily_inspirational_thought</v>
      </c>
    </row>
    <row r="1085">
      <c r="A1085" s="8" t="str">
        <f>IFERROR(__xludf.DUMMYFUNCTION("""COMPUTED_VALUE"""),"hennainspire")</f>
        <v>hennainspire</v>
      </c>
    </row>
    <row r="1086">
      <c r="A1086" s="8" t="str">
        <f>IFERROR(__xludf.DUMMYFUNCTION("""COMPUTED_VALUE"""),"bwbyaz")</f>
        <v>bwbyaz</v>
      </c>
    </row>
    <row r="1087">
      <c r="A1087" s="8" t="str">
        <f>IFERROR(__xludf.DUMMYFUNCTION("""COMPUTED_VALUE"""),"caryslouisebrandon")</f>
        <v>caryslouisebrandon</v>
      </c>
    </row>
    <row r="1088">
      <c r="A1088" s="8" t="str">
        <f>IFERROR(__xludf.DUMMYFUNCTION("""COMPUTED_VALUE"""),"daily_outfit_share")</f>
        <v>daily_outfit_share</v>
      </c>
    </row>
    <row r="1089">
      <c r="A1089" s="8" t="str">
        <f>IFERROR(__xludf.DUMMYFUNCTION("""COMPUTED_VALUE"""),"dailyoutfits.ks")</f>
        <v>dailyoutfits.ks</v>
      </c>
    </row>
    <row r="1090">
      <c r="A1090" s="8" t="str">
        <f>IFERROR(__xludf.DUMMYFUNCTION("""COMPUTED_VALUE"""),"daily__outfitt")</f>
        <v>daily__outfitt</v>
      </c>
    </row>
    <row r="1091">
      <c r="A1091" s="8" t="str">
        <f>IFERROR(__xludf.DUMMYFUNCTION("""COMPUTED_VALUE"""),"summerjadestyle")</f>
        <v>summerjadestyle</v>
      </c>
    </row>
    <row r="1092">
      <c r="A1092" s="8" t="str">
        <f>IFERROR(__xludf.DUMMYFUNCTION("""COMPUTED_VALUE"""),"bhabhi.pari")</f>
        <v>bhabhi.pari</v>
      </c>
    </row>
    <row r="1093">
      <c r="A1093" s="8" t="str">
        <f>IFERROR(__xludf.DUMMYFUNCTION("""COMPUTED_VALUE"""),"daily_vlog_2424")</f>
        <v>daily_vlog_2424</v>
      </c>
    </row>
    <row r="1094">
      <c r="A1094" s="8" t="str">
        <f>IFERROR(__xludf.DUMMYFUNCTION("""COMPUTED_VALUE"""),"vlog_world_01")</f>
        <v>vlog_world_01</v>
      </c>
    </row>
    <row r="1095">
      <c r="A1095" s="8" t="str">
        <f>IFERROR(__xludf.DUMMYFUNCTION("""COMPUTED_VALUE"""),"dance")</f>
        <v>dance</v>
      </c>
    </row>
    <row r="1096">
      <c r="A1096" s="8" t="str">
        <f>IFERROR(__xludf.DUMMYFUNCTION("""COMPUTED_VALUE"""),"dancegavindance")</f>
        <v>dancegavindance</v>
      </c>
    </row>
    <row r="1097">
      <c r="A1097" s="8" t="str">
        <f>IFERROR(__xludf.DUMMYFUNCTION("""COMPUTED_VALUE"""),"dancejoy")</f>
        <v>dancejoy</v>
      </c>
    </row>
    <row r="1098">
      <c r="A1098" s="8" t="str">
        <f>IFERROR(__xludf.DUMMYFUNCTION("""COMPUTED_VALUE"""),"dancemomstv")</f>
        <v>dancemomstv</v>
      </c>
    </row>
    <row r="1099">
      <c r="A1099" s="8" t="str">
        <f>IFERROR(__xludf.DUMMYFUNCTION("""COMPUTED_VALUE"""),"dancemovestudio")</f>
        <v>dancemovestudio</v>
      </c>
    </row>
    <row r="1100">
      <c r="A1100" s="8" t="str">
        <f>IFERROR(__xludf.DUMMYFUNCTION("""COMPUTED_VALUE"""),"dance.y.dance")</f>
        <v>dance.y.dance</v>
      </c>
    </row>
    <row r="1101">
      <c r="A1101" s="8" t="str">
        <f>IFERROR(__xludf.DUMMYFUNCTION("""COMPUTED_VALUE"""),"harmony_dance_studio")</f>
        <v>harmony_dance_studio</v>
      </c>
    </row>
    <row r="1102">
      <c r="A1102" s="8" t="str">
        <f>IFERROR(__xludf.DUMMYFUNCTION("""COMPUTED_VALUE"""),"nadjamarina.dance")</f>
        <v>nadjamarina.dance</v>
      </c>
    </row>
    <row r="1103">
      <c r="A1103" s="8" t="str">
        <f>IFERROR(__xludf.DUMMYFUNCTION("""COMPUTED_VALUE"""),"q_dance")</f>
        <v>q_dance</v>
      </c>
    </row>
    <row r="1104">
      <c r="A1104" s="8" t="str">
        <f>IFERROR(__xludf.DUMMYFUNCTION("""COMPUTED_VALUE"""),"bosschickdanceworkout")</f>
        <v>bosschickdanceworkout</v>
      </c>
    </row>
    <row r="1105">
      <c r="A1105" s="8" t="str">
        <f>IFERROR(__xludf.DUMMYFUNCTION("""COMPUTED_VALUE"""),"kukuwafitness")</f>
        <v>kukuwafitness</v>
      </c>
    </row>
    <row r="1106">
      <c r="A1106" s="8" t="str">
        <f>IFERROR(__xludf.DUMMYFUNCTION("""COMPUTED_VALUE"""),"vanessadanceworkout")</f>
        <v>vanessadanceworkout</v>
      </c>
    </row>
    <row r="1107">
      <c r="A1107" s="8" t="str">
        <f>IFERROR(__xludf.DUMMYFUNCTION("""COMPUTED_VALUE"""),"data_science__")</f>
        <v>data_science__</v>
      </c>
    </row>
    <row r="1108">
      <c r="A1108" s="8" t="str">
        <f>IFERROR(__xludf.DUMMYFUNCTION("""COMPUTED_VALUE"""),"data.science")</f>
        <v>data.science</v>
      </c>
    </row>
    <row r="1109">
      <c r="A1109" s="8" t="str">
        <f>IFERROR(__xludf.DUMMYFUNCTION("""COMPUTED_VALUE"""),"data.science.beginners")</f>
        <v>data.science.beginners</v>
      </c>
    </row>
    <row r="1110">
      <c r="A1110" s="8" t="str">
        <f>IFERROR(__xludf.DUMMYFUNCTION("""COMPUTED_VALUE"""),"datasciencebrain")</f>
        <v>datasciencebrain</v>
      </c>
    </row>
    <row r="1111">
      <c r="A1111" s="8" t="str">
        <f>IFERROR(__xludf.DUMMYFUNCTION("""COMPUTED_VALUE"""),"datascienceindo")</f>
        <v>datascienceindo</v>
      </c>
    </row>
    <row r="1112">
      <c r="A1112" s="8" t="str">
        <f>IFERROR(__xludf.DUMMYFUNCTION("""COMPUTED_VALUE"""),"data_science_learn")</f>
        <v>data_science_learn</v>
      </c>
    </row>
    <row r="1113">
      <c r="A1113" s="8" t="str">
        <f>IFERROR(__xludf.DUMMYFUNCTION("""COMPUTED_VALUE"""),"datasciencepe")</f>
        <v>datasciencepe</v>
      </c>
    </row>
    <row r="1114">
      <c r="A1114" s="8" t="str">
        <f>IFERROR(__xludf.DUMMYFUNCTION("""COMPUTED_VALUE"""),"datasciencepocket")</f>
        <v>datasciencepocket</v>
      </c>
    </row>
    <row r="1115">
      <c r="A1115" s="8" t="str">
        <f>IFERROR(__xludf.DUMMYFUNCTION("""COMPUTED_VALUE"""),"dsacademybr")</f>
        <v>dsacademybr</v>
      </c>
    </row>
    <row r="1116">
      <c r="A1116" s="8" t="str">
        <f>IFERROR(__xludf.DUMMYFUNCTION("""COMPUTED_VALUE"""),"meglovesdata")</f>
        <v>meglovesdata</v>
      </c>
    </row>
    <row r="1117">
      <c r="A1117" s="8" t="str">
        <f>IFERROR(__xludf.DUMMYFUNCTION("""COMPUTED_VALUE"""),"the.datascience.gal")</f>
        <v>the.datascience.gal</v>
      </c>
    </row>
    <row r="1118">
      <c r="A1118" s="8" t="str">
        <f>IFERROR(__xludf.DUMMYFUNCTION("""COMPUTED_VALUE"""),"architectanddesign")</f>
        <v>architectanddesign</v>
      </c>
    </row>
    <row r="1119">
      <c r="A1119" s="8" t="str">
        <f>IFERROR(__xludf.DUMMYFUNCTION("""COMPUTED_VALUE"""),"base_design")</f>
        <v>base_design</v>
      </c>
    </row>
    <row r="1120">
      <c r="A1120" s="8" t="str">
        <f>IFERROR(__xludf.DUMMYFUNCTION("""COMPUTED_VALUE"""),"caffe_design")</f>
        <v>caffe_design</v>
      </c>
    </row>
    <row r="1121">
      <c r="A1121" s="8" t="str">
        <f>IFERROR(__xludf.DUMMYFUNCTION("""COMPUTED_VALUE"""),"design")</f>
        <v>design</v>
      </c>
    </row>
    <row r="1122">
      <c r="A1122" s="8" t="str">
        <f>IFERROR(__xludf.DUMMYFUNCTION("""COMPUTED_VALUE"""),"designmilk")</f>
        <v>designmilk</v>
      </c>
    </row>
    <row r="1123">
      <c r="A1123" s="8" t="str">
        <f>IFERROR(__xludf.DUMMYFUNCTION("""COMPUTED_VALUE"""),"design.only")</f>
        <v>design.only</v>
      </c>
    </row>
    <row r="1124">
      <c r="A1124" s="8" t="str">
        <f>IFERROR(__xludf.DUMMYFUNCTION("""COMPUTED_VALUE"""),"designoostende")</f>
        <v>designoostende</v>
      </c>
    </row>
    <row r="1125">
      <c r="A1125" s="8" t="str">
        <f>IFERROR(__xludf.DUMMYFUNCTION("""COMPUTED_VALUE"""),"diellzadesign_")</f>
        <v>diellzadesign_</v>
      </c>
    </row>
    <row r="1126">
      <c r="A1126" s="8" t="str">
        <f>IFERROR(__xludf.DUMMYFUNCTION("""COMPUTED_VALUE"""),"haydesign")</f>
        <v>haydesign</v>
      </c>
    </row>
    <row r="1127">
      <c r="A1127" s="8" t="str">
        <f>IFERROR(__xludf.DUMMYFUNCTION("""COMPUTED_VALUE"""),"interiordesignmag")</f>
        <v>interiordesignmag</v>
      </c>
    </row>
    <row r="1128">
      <c r="A1128" s="8" t="str">
        <f>IFERROR(__xludf.DUMMYFUNCTION("""COMPUTED_VALUE"""),"moonsol.design")</f>
        <v>moonsol.design</v>
      </c>
    </row>
    <row r="1129">
      <c r="A1129" s="8" t="str">
        <f>IFERROR(__xludf.DUMMYFUNCTION("""COMPUTED_VALUE"""),"notable__design")</f>
        <v>notable__design</v>
      </c>
    </row>
    <row r="1130">
      <c r="A1130" s="8" t="str">
        <f>IFERROR(__xludf.DUMMYFUNCTION("""COMPUTED_VALUE"""),"dedesserts")</f>
        <v>dedesserts</v>
      </c>
    </row>
    <row r="1131">
      <c r="A1131" s="8" t="str">
        <f>IFERROR(__xludf.DUMMYFUNCTION("""COMPUTED_VALUE"""),"dessert.s")</f>
        <v>dessert.s</v>
      </c>
    </row>
    <row r="1132">
      <c r="A1132" s="8" t="str">
        <f>IFERROR(__xludf.DUMMYFUNCTION("""COMPUTED_VALUE"""),"dessert_sy")</f>
        <v>dessert_sy</v>
      </c>
    </row>
    <row r="1133">
      <c r="A1133" s="8" t="str">
        <f>IFERROR(__xludf.DUMMYFUNCTION("""COMPUTED_VALUE"""),"dollys.desserts")</f>
        <v>dollys.desserts</v>
      </c>
    </row>
    <row r="1134">
      <c r="A1134" s="8" t="str">
        <f>IFERROR(__xludf.DUMMYFUNCTION("""COMPUTED_VALUE"""),"gigi.desserts")</f>
        <v>gigi.desserts</v>
      </c>
    </row>
    <row r="1135">
      <c r="A1135" s="8" t="str">
        <f>IFERROR(__xludf.DUMMYFUNCTION("""COMPUTED_VALUE"""),"littledessertshop")</f>
        <v>littledessertshop</v>
      </c>
    </row>
    <row r="1136">
      <c r="A1136" s="8" t="str">
        <f>IFERROR(__xludf.DUMMYFUNCTION("""COMPUTED_VALUE"""),"stephs_desserts")</f>
        <v>stephs_desserts</v>
      </c>
    </row>
    <row r="1137">
      <c r="A1137" s="8" t="str">
        <f>IFERROR(__xludf.DUMMYFUNCTION("""COMPUTED_VALUE"""),"avoccatt_art")</f>
        <v>avoccatt_art</v>
      </c>
    </row>
    <row r="1138">
      <c r="A1138" s="8" t="str">
        <f>IFERROR(__xludf.DUMMYFUNCTION("""COMPUTED_VALUE"""),"cyborg.digitalart")</f>
        <v>cyborg.digitalart</v>
      </c>
    </row>
    <row r="1139">
      <c r="A1139" s="8" t="str">
        <f>IFERROR(__xludf.DUMMYFUNCTION("""COMPUTED_VALUE"""),"darya.mist.art")</f>
        <v>darya.mist.art</v>
      </c>
    </row>
    <row r="1140">
      <c r="A1140" s="8" t="str">
        <f>IFERROR(__xludf.DUMMYFUNCTION("""COMPUTED_VALUE"""),"digiartprod")</f>
        <v>digiartprod</v>
      </c>
    </row>
    <row r="1141">
      <c r="A1141" s="8" t="str">
        <f>IFERROR(__xludf.DUMMYFUNCTION("""COMPUTED_VALUE"""),"digitalartistery")</f>
        <v>digitalartistery</v>
      </c>
    </row>
    <row r="1142">
      <c r="A1142" s="8" t="str">
        <f>IFERROR(__xludf.DUMMYFUNCTION("""COMPUTED_VALUE"""),"digital.art.junky")</f>
        <v>digital.art.junky</v>
      </c>
    </row>
    <row r="1143">
      <c r="A1143" s="8" t="str">
        <f>IFERROR(__xludf.DUMMYFUNCTION("""COMPUTED_VALUE"""),"digitalartsensei")</f>
        <v>digitalartsensei</v>
      </c>
    </row>
    <row r="1144">
      <c r="A1144" s="8" t="str">
        <f>IFERROR(__xludf.DUMMYFUNCTION("""COMPUTED_VALUE"""),"digitally.art")</f>
        <v>digitally.art</v>
      </c>
    </row>
    <row r="1145">
      <c r="A1145" s="8" t="str">
        <f>IFERROR(__xludf.DUMMYFUNCTION("""COMPUTED_VALUE"""),"madie_arts")</f>
        <v>madie_arts</v>
      </c>
    </row>
    <row r="1146">
      <c r="A1146" s="8" t="str">
        <f>IFERROR(__xludf.DUMMYFUNCTION("""COMPUTED_VALUE"""),"nois7")</f>
        <v>nois7</v>
      </c>
    </row>
    <row r="1147">
      <c r="A1147" s="8" t="str">
        <f>IFERROR(__xludf.DUMMYFUNCTION("""COMPUTED_VALUE"""),"thisprocreate")</f>
        <v>thisprocreate</v>
      </c>
    </row>
    <row r="1148">
      <c r="A1148" s="8" t="str">
        <f>IFERROR(__xludf.DUMMYFUNCTION("""COMPUTED_VALUE"""),"bakyt_abdishov")</f>
        <v>bakyt_abdishov</v>
      </c>
    </row>
    <row r="1149">
      <c r="A1149" s="8" t="str">
        <f>IFERROR(__xludf.DUMMYFUNCTION("""COMPUTED_VALUE"""),"daisystraveldiaries")</f>
        <v>daisystraveldiaries</v>
      </c>
    </row>
    <row r="1150">
      <c r="A1150" s="8" t="str">
        <f>IFERROR(__xludf.DUMMYFUNCTION("""COMPUTED_VALUE"""),"_digital_nomad")</f>
        <v>_digital_nomad</v>
      </c>
    </row>
    <row r="1151">
      <c r="A1151" s="8" t="str">
        <f>IFERROR(__xludf.DUMMYFUNCTION("""COMPUTED_VALUE"""),"digitalnomad_dz")</f>
        <v>digitalnomad_dz</v>
      </c>
    </row>
    <row r="1152">
      <c r="A1152" s="11" t="str">
        <f>IFERROR(__xludf.DUMMYFUNCTION("""COMPUTED_VALUE"""),"digital.nomad.info")</f>
        <v>digital.nomad.info</v>
      </c>
    </row>
    <row r="1153">
      <c r="A1153" s="8" t="str">
        <f>IFERROR(__xludf.DUMMYFUNCTION("""COMPUTED_VALUE"""),"digitalnomadpov")</f>
        <v>digitalnomadpov</v>
      </c>
    </row>
    <row r="1154">
      <c r="A1154" s="8" t="str">
        <f>IFERROR(__xludf.DUMMYFUNCTION("""COMPUTED_VALUE"""),"doch_severa")</f>
        <v>doch_severa</v>
      </c>
    </row>
    <row r="1155">
      <c r="A1155" s="8" t="str">
        <f>IFERROR(__xludf.DUMMYFUNCTION("""COMPUTED_VALUE"""),"jaden.versluis")</f>
        <v>jaden.versluis</v>
      </c>
    </row>
    <row r="1156">
      <c r="A1156" s="8" t="str">
        <f>IFERROR(__xludf.DUMMYFUNCTION("""COMPUTED_VALUE"""),"maryamdigitalnomad")</f>
        <v>maryamdigitalnomad</v>
      </c>
    </row>
    <row r="1157">
      <c r="A1157" s="8" t="str">
        <f>IFERROR(__xludf.DUMMYFUNCTION("""COMPUTED_VALUE"""),"mynomadfarm")</f>
        <v>mynomadfarm</v>
      </c>
    </row>
    <row r="1158">
      <c r="A1158" s="8" t="str">
        <f>IFERROR(__xludf.DUMMYFUNCTION("""COMPUTED_VALUE"""),"nomacollectivehq")</f>
        <v>nomacollectivehq</v>
      </c>
    </row>
    <row r="1159">
      <c r="A1159" s="8" t="str">
        <f>IFERROR(__xludf.DUMMYFUNCTION("""COMPUTED_VALUE"""),"digitalpainting_art")</f>
        <v>digitalpainting_art</v>
      </c>
    </row>
    <row r="1160">
      <c r="A1160" s="8" t="str">
        <f>IFERROR(__xludf.DUMMYFUNCTION("""COMPUTED_VALUE"""),"digitalpaintingschool")</f>
        <v>digitalpaintingschool</v>
      </c>
    </row>
    <row r="1161">
      <c r="A1161" s="8" t="str">
        <f>IFERROR(__xludf.DUMMYFUNCTION("""COMPUTED_VALUE"""),"digital_painting_thangam_art")</f>
        <v>digital_painting_thangam_art</v>
      </c>
    </row>
    <row r="1162">
      <c r="A1162" s="8" t="str">
        <f>IFERROR(__xludf.DUMMYFUNCTION("""COMPUTED_VALUE"""),"diy.amazing.diy")</f>
        <v>diy.amazing.diy</v>
      </c>
    </row>
    <row r="1163">
      <c r="A1163" s="8" t="str">
        <f>IFERROR(__xludf.DUMMYFUNCTION("""COMPUTED_VALUE"""),"diy.malennachzahlen")</f>
        <v>diy.malennachzahlen</v>
      </c>
    </row>
    <row r="1164">
      <c r="A1164" s="8" t="str">
        <f>IFERROR(__xludf.DUMMYFUNCTION("""COMPUTED_VALUE"""),"hairs.diy")</f>
        <v>hairs.diy</v>
      </c>
    </row>
    <row r="1165">
      <c r="A1165" s="8" t="str">
        <f>IFERROR(__xludf.DUMMYFUNCTION("""COMPUTED_VALUE"""),"hellostoredediy")</f>
        <v>hellostoredediy</v>
      </c>
    </row>
    <row r="1166">
      <c r="A1166" s="8" t="str">
        <f>IFERROR(__xludf.DUMMYFUNCTION("""COMPUTED_VALUE"""),"diy_fashion_collection")</f>
        <v>diy_fashion_collection</v>
      </c>
    </row>
    <row r="1167">
      <c r="A1167" s="8" t="str">
        <f>IFERROR(__xludf.DUMMYFUNCTION("""COMPUTED_VALUE"""),"diy_fashion_collection2")</f>
        <v>diy_fashion_collection2</v>
      </c>
    </row>
    <row r="1168">
      <c r="A1168" s="8" t="str">
        <f>IFERROR(__xludf.DUMMYFUNCTION("""COMPUTED_VALUE"""),"diyfshop")</f>
        <v>diyfshop</v>
      </c>
    </row>
    <row r="1169">
      <c r="A1169" s="8" t="str">
        <f>IFERROR(__xludf.DUMMYFUNCTION("""COMPUTED_VALUE"""),"jgw_atelier")</f>
        <v>jgw_atelier</v>
      </c>
    </row>
    <row r="1170">
      <c r="A1170" s="8" t="str">
        <f>IFERROR(__xludf.DUMMYFUNCTION("""COMPUTED_VALUE"""),"angelarosehome")</f>
        <v>angelarosehome</v>
      </c>
    </row>
    <row r="1171">
      <c r="A1171" s="8" t="str">
        <f>IFERROR(__xludf.DUMMYFUNCTION("""COMPUTED_VALUE"""),"athomewithvee_")</f>
        <v>athomewithvee_</v>
      </c>
    </row>
    <row r="1172">
      <c r="A1172" s="8" t="str">
        <f>IFERROR(__xludf.DUMMYFUNCTION("""COMPUTED_VALUE"""),"barefoot___wanderer")</f>
        <v>barefoot___wanderer</v>
      </c>
    </row>
    <row r="1173">
      <c r="A1173" s="8" t="str">
        <f>IFERROR(__xludf.DUMMYFUNCTION("""COMPUTED_VALUE"""),"cozydiyhome")</f>
        <v>cozydiyhome</v>
      </c>
    </row>
    <row r="1174">
      <c r="A1174" s="8" t="str">
        <f>IFERROR(__xludf.DUMMYFUNCTION("""COMPUTED_VALUE"""),"delineateyourdwelling")</f>
        <v>delineateyourdwelling</v>
      </c>
    </row>
    <row r="1175">
      <c r="A1175" s="8" t="str">
        <f>IFERROR(__xludf.DUMMYFUNCTION("""COMPUTED_VALUE"""),"diy_homdecor")</f>
        <v>diy_homdecor</v>
      </c>
    </row>
    <row r="1176">
      <c r="A1176" s="8" t="str">
        <f>IFERROR(__xludf.DUMMYFUNCTION("""COMPUTED_VALUE"""),"fromhousetohomediy")</f>
        <v>fromhousetohomediy</v>
      </c>
    </row>
    <row r="1177">
      <c r="A1177" s="8" t="str">
        <f>IFERROR(__xludf.DUMMYFUNCTION("""COMPUTED_VALUE"""),"houseandhens")</f>
        <v>houseandhens</v>
      </c>
    </row>
    <row r="1178">
      <c r="A1178" s="8" t="str">
        <f>IFERROR(__xludf.DUMMYFUNCTION("""COMPUTED_VALUE"""),"huntersofhappiness")</f>
        <v>huntersofhappiness</v>
      </c>
    </row>
    <row r="1179">
      <c r="A1179" s="8" t="str">
        <f>IFERROR(__xludf.DUMMYFUNCTION("""COMPUTED_VALUE"""),"spetrichhome")</f>
        <v>spetrichhome</v>
      </c>
    </row>
    <row r="1180">
      <c r="A1180" s="8" t="str">
        <f>IFERROR(__xludf.DUMMYFUNCTION("""COMPUTED_VALUE"""),"swayandsarahbuild")</f>
        <v>swayandsarahbuild</v>
      </c>
    </row>
    <row r="1181">
      <c r="A1181" s="8" t="str">
        <f>IFERROR(__xludf.DUMMYFUNCTION("""COMPUTED_VALUE"""),"therenegadehome")</f>
        <v>therenegadehome</v>
      </c>
    </row>
    <row r="1182">
      <c r="A1182" s="8" t="str">
        <f>IFERROR(__xludf.DUMMYFUNCTION("""COMPUTED_VALUE"""),"diyprojects_")</f>
        <v>diyprojects_</v>
      </c>
    </row>
    <row r="1183">
      <c r="A1183" s="8" t="str">
        <f>IFERROR(__xludf.DUMMYFUNCTION("""COMPUTED_VALUE"""),"diyprojectsdotcom")</f>
        <v>diyprojectsdotcom</v>
      </c>
    </row>
    <row r="1184">
      <c r="A1184" s="8" t="str">
        <f>IFERROR(__xludf.DUMMYFUNCTION("""COMPUTED_VALUE"""),"akademiks")</f>
        <v>akademiks</v>
      </c>
    </row>
    <row r="1185">
      <c r="A1185" s="8" t="str">
        <f>IFERROR(__xludf.DUMMYFUNCTION("""COMPUTED_VALUE"""),"mishdj")</f>
        <v>mishdj</v>
      </c>
    </row>
    <row r="1186">
      <c r="A1186" s="11" t="str">
        <f>IFERROR(__xludf.DUMMYFUNCTION("""COMPUTED_VALUE"""),"promill.dj")</f>
        <v>promill.dj</v>
      </c>
    </row>
    <row r="1187">
      <c r="A1187" s="8" t="str">
        <f>IFERROR(__xludf.DUMMYFUNCTION("""COMPUTED_VALUE"""),"dogslifestagram")</f>
        <v>dogslifestagram</v>
      </c>
    </row>
    <row r="1188">
      <c r="A1188" s="8" t="str">
        <f>IFERROR(__xludf.DUMMYFUNCTION("""COMPUTED_VALUE"""),"dogsofinstagram")</f>
        <v>dogsofinstagram</v>
      </c>
    </row>
    <row r="1189">
      <c r="A1189" s="8" t="str">
        <f>IFERROR(__xludf.DUMMYFUNCTION("""COMPUTED_VALUE"""),"instadogclubs")</f>
        <v>instadogclubs</v>
      </c>
    </row>
    <row r="1190">
      <c r="A1190" s="8" t="str">
        <f>IFERROR(__xludf.DUMMYFUNCTION("""COMPUTED_VALUE"""),"dropship.india")</f>
        <v>dropship.india</v>
      </c>
    </row>
    <row r="1191">
      <c r="A1191" s="8" t="str">
        <f>IFERROR(__xludf.DUMMYFUNCTION("""COMPUTED_VALUE"""),"dropshiping.masters")</f>
        <v>dropshiping.masters</v>
      </c>
    </row>
    <row r="1192">
      <c r="A1192" s="8" t="str">
        <f>IFERROR(__xludf.DUMMYFUNCTION("""COMPUTED_VALUE"""),"dropshipping.products")</f>
        <v>dropshipping.products</v>
      </c>
    </row>
    <row r="1193">
      <c r="A1193" s="8" t="str">
        <f>IFERROR(__xludf.DUMMYFUNCTION("""COMPUTED_VALUE"""),"ecombomb17")</f>
        <v>ecombomb17</v>
      </c>
    </row>
    <row r="1194">
      <c r="A1194" s="8" t="str">
        <f>IFERROR(__xludf.DUMMYFUNCTION("""COMPUTED_VALUE"""),"ecomcadeee")</f>
        <v>ecomcadeee</v>
      </c>
    </row>
    <row r="1195">
      <c r="A1195" s="8" t="str">
        <f>IFERROR(__xludf.DUMMYFUNCTION("""COMPUTED_VALUE"""),"getrichorgetdrunktrying")</f>
        <v>getrichorgetdrunktrying</v>
      </c>
    </row>
    <row r="1196">
      <c r="A1196" s="8" t="str">
        <f>IFERROR(__xludf.DUMMYFUNCTION("""COMPUTED_VALUE"""),"klerybaron")</f>
        <v>klerybaron</v>
      </c>
    </row>
    <row r="1197">
      <c r="A1197" s="8" t="str">
        <f>IFERROR(__xludf.DUMMYFUNCTION("""COMPUTED_VALUE"""),"netododrop")</f>
        <v>netododrop</v>
      </c>
    </row>
    <row r="1198">
      <c r="A1198" s="8" t="str">
        <f>IFERROR(__xludf.DUMMYFUNCTION("""COMPUTED_VALUE"""),"urbanhouse.ok")</f>
        <v>urbanhouse.ok</v>
      </c>
    </row>
    <row r="1199">
      <c r="A1199" s="8" t="str">
        <f>IFERROR(__xludf.DUMMYFUNCTION("""COMPUTED_VALUE"""),"winning_products_")</f>
        <v>winning_products_</v>
      </c>
    </row>
    <row r="1200">
      <c r="A1200" s="8" t="str">
        <f>IFERROR(__xludf.DUMMYFUNCTION("""COMPUTED_VALUE"""),"drumsheds")</f>
        <v>drumsheds</v>
      </c>
    </row>
    <row r="1201">
      <c r="A1201" s="8" t="str">
        <f>IFERROR(__xludf.DUMMYFUNCTION("""COMPUTED_VALUE"""),"drumstick")</f>
        <v>drumstick</v>
      </c>
    </row>
    <row r="1202">
      <c r="A1202" s="8" t="str">
        <f>IFERROR(__xludf.DUMMYFUNCTION("""COMPUTED_VALUE"""),"dwdrums")</f>
        <v>dwdrums</v>
      </c>
    </row>
    <row r="1203">
      <c r="A1203" s="8" t="str">
        <f>IFERROR(__xludf.DUMMYFUNCTION("""COMPUTED_VALUE"""),"gretschdrums")</f>
        <v>gretschdrums</v>
      </c>
    </row>
    <row r="1204">
      <c r="A1204" s="8" t="str">
        <f>IFERROR(__xludf.DUMMYFUNCTION("""COMPUTED_VALUE"""),"mapexdrums")</f>
        <v>mapexdrums</v>
      </c>
    </row>
    <row r="1205">
      <c r="A1205" s="8" t="str">
        <f>IFERROR(__xludf.DUMMYFUNCTION("""COMPUTED_VALUE"""),"ovyonthedrums")</f>
        <v>ovyonthedrums</v>
      </c>
    </row>
    <row r="1206">
      <c r="A1206" s="8" t="str">
        <f>IFERROR(__xludf.DUMMYFUNCTION("""COMPUTED_VALUE"""),"sjcdrums")</f>
        <v>sjcdrums</v>
      </c>
    </row>
    <row r="1207">
      <c r="A1207" s="8" t="str">
        <f>IFERROR(__xludf.DUMMYFUNCTION("""COMPUTED_VALUE"""),"coach_emanuela_dubai")</f>
        <v>coach_emanuela_dubai</v>
      </c>
    </row>
    <row r="1208">
      <c r="A1208" s="8" t="str">
        <f>IFERROR(__xludf.DUMMYFUNCTION("""COMPUTED_VALUE"""),"dubai")</f>
        <v>dubai</v>
      </c>
    </row>
    <row r="1209">
      <c r="A1209" s="8" t="str">
        <f>IFERROR(__xludf.DUMMYFUNCTION("""COMPUTED_VALUE"""),"dubailifestyle")</f>
        <v>dubailifestyle</v>
      </c>
    </row>
    <row r="1210">
      <c r="A1210" s="8" t="str">
        <f>IFERROR(__xludf.DUMMYFUNCTION("""COMPUTED_VALUE"""),"dubai.travelers")</f>
        <v>dubai.travelers</v>
      </c>
    </row>
    <row r="1211">
      <c r="A1211" s="8" t="str">
        <f>IFERROR(__xludf.DUMMYFUNCTION("""COMPUTED_VALUE"""),"dubai.uae.dxb")</f>
        <v>dubai.uae.dxb</v>
      </c>
    </row>
    <row r="1212">
      <c r="A1212" s="8" t="str">
        <f>IFERROR(__xludf.DUMMYFUNCTION("""COMPUTED_VALUE"""),"lovindubai")</f>
        <v>lovindubai</v>
      </c>
    </row>
    <row r="1213">
      <c r="A1213" s="8" t="str">
        <f>IFERROR(__xludf.DUMMYFUNCTION("""COMPUTED_VALUE"""),"mydubai")</f>
        <v>mydubai</v>
      </c>
    </row>
    <row r="1214">
      <c r="A1214" s="8" t="str">
        <f>IFERROR(__xludf.DUMMYFUNCTION("""COMPUTED_VALUE"""),"safa_dubai")</f>
        <v>safa_dubai</v>
      </c>
    </row>
    <row r="1215">
      <c r="A1215" s="8" t="str">
        <f>IFERROR(__xludf.DUMMYFUNCTION("""COMPUTED_VALUE"""),"timeoutdubai")</f>
        <v>timeoutdubai</v>
      </c>
    </row>
    <row r="1216">
      <c r="A1216" s="8" t="str">
        <f>IFERROR(__xludf.DUMMYFUNCTION("""COMPUTED_VALUE"""),"untoldfestivaldubai")</f>
        <v>untoldfestivaldubai</v>
      </c>
    </row>
    <row r="1217">
      <c r="A1217" s="8" t="str">
        <f>IFERROR(__xludf.DUMMYFUNCTION("""COMPUTED_VALUE"""),"ushuaiadubai")</f>
        <v>ushuaiadubai</v>
      </c>
    </row>
    <row r="1218">
      <c r="A1218" s="8" t="str">
        <f>IFERROR(__xludf.DUMMYFUNCTION("""COMPUTED_VALUE"""),"xdubai")</f>
        <v>xdubai</v>
      </c>
    </row>
    <row r="1219">
      <c r="A1219" s="8" t="str">
        <f>IFERROR(__xludf.DUMMYFUNCTION("""COMPUTED_VALUE"""),"avanieco")</f>
        <v>avanieco</v>
      </c>
    </row>
    <row r="1220">
      <c r="A1220" s="8" t="str">
        <f>IFERROR(__xludf.DUMMYFUNCTION("""COMPUTED_VALUE"""),"ecofriendlybharat")</f>
        <v>ecofriendlybharat</v>
      </c>
    </row>
    <row r="1221">
      <c r="A1221" s="8" t="str">
        <f>IFERROR(__xludf.DUMMYFUNCTION("""COMPUTED_VALUE"""),"espaco_up")</f>
        <v>espaco_up</v>
      </c>
    </row>
    <row r="1222">
      <c r="A1222" s="8" t="str">
        <f>IFERROR(__xludf.DUMMYFUNCTION("""COMPUTED_VALUE"""),"theshavestfrance")</f>
        <v>theshavestfrance</v>
      </c>
    </row>
    <row r="1223">
      <c r="A1223" s="8" t="str">
        <f>IFERROR(__xludf.DUMMYFUNCTION("""COMPUTED_VALUE"""),"trele_morele_design")</f>
        <v>trele_morele_design</v>
      </c>
    </row>
    <row r="1224">
      <c r="A1224" s="8" t="str">
        <f>IFERROR(__xludf.DUMMYFUNCTION("""COMPUTED_VALUE"""),"vivaia_official")</f>
        <v>vivaia_official</v>
      </c>
    </row>
    <row r="1225">
      <c r="A1225" s="8" t="str">
        <f>IFERROR(__xludf.DUMMYFUNCTION("""COMPUTED_VALUE"""),"edm")</f>
        <v>edm</v>
      </c>
    </row>
    <row r="1226">
      <c r="A1226" s="8" t="str">
        <f>IFERROR(__xludf.DUMMYFUNCTION("""COMPUTED_VALUE"""),"edm_maniac")</f>
        <v>edm_maniac</v>
      </c>
    </row>
    <row r="1227">
      <c r="A1227" s="8" t="str">
        <f>IFERROR(__xludf.DUMMYFUNCTION("""COMPUTED_VALUE"""),"edmnew")</f>
        <v>edmnew</v>
      </c>
    </row>
    <row r="1228">
      <c r="A1228" s="8" t="str">
        <f>IFERROR(__xludf.DUMMYFUNCTION("""COMPUTED_VALUE"""),"_edmondx")</f>
        <v>_edmondx</v>
      </c>
    </row>
    <row r="1229">
      <c r="A1229" s="8" t="str">
        <f>IFERROR(__xludf.DUMMYFUNCTION("""COMPUTED_VALUE"""),"edmresidence")</f>
        <v>edmresidence</v>
      </c>
    </row>
    <row r="1230">
      <c r="A1230" s="8" t="str">
        <f>IFERROR(__xludf.DUMMYFUNCTION("""COMPUTED_VALUE"""),"edmtrain")</f>
        <v>edmtrain</v>
      </c>
    </row>
    <row r="1231">
      <c r="A1231" s="11" t="str">
        <f>IFERROR(__xludf.DUMMYFUNCTION("""COMPUTED_VALUE"""),"edm.us")</f>
        <v>edm.us</v>
      </c>
    </row>
    <row r="1232">
      <c r="A1232" s="8" t="str">
        <f>IFERROR(__xludf.DUMMYFUNCTION("""COMPUTED_VALUE"""),"ecomtushar")</f>
        <v>ecomtushar</v>
      </c>
    </row>
    <row r="1233">
      <c r="A1233" s="8" t="str">
        <f>IFERROR(__xludf.DUMMYFUNCTION("""COMPUTED_VALUE"""),"entrepreneur")</f>
        <v>entrepreneur</v>
      </c>
    </row>
    <row r="1234">
      <c r="A1234" s="8" t="str">
        <f>IFERROR(__xludf.DUMMYFUNCTION("""COMPUTED_VALUE"""),"entrepreneurbeingentrepreneur")</f>
        <v>entrepreneurbeingentrepreneur</v>
      </c>
    </row>
    <row r="1235">
      <c r="A1235" s="8" t="str">
        <f>IFERROR(__xludf.DUMMYFUNCTION("""COMPUTED_VALUE"""),"entrepreneurbible")</f>
        <v>entrepreneurbible</v>
      </c>
    </row>
    <row r="1236">
      <c r="A1236" s="8" t="str">
        <f>IFERROR(__xludf.DUMMYFUNCTION("""COMPUTED_VALUE"""),"entrepreneurind")</f>
        <v>entrepreneurind</v>
      </c>
    </row>
    <row r="1237">
      <c r="A1237" s="8" t="str">
        <f>IFERROR(__xludf.DUMMYFUNCTION("""COMPUTED_VALUE"""),"entrepreneurscom")</f>
        <v>entrepreneurscom</v>
      </c>
    </row>
    <row r="1238">
      <c r="A1238" s="8" t="str">
        <f>IFERROR(__xludf.DUMMYFUNCTION("""COMPUTED_VALUE"""),"entrepreneurshipfacts")</f>
        <v>entrepreneurshipfacts</v>
      </c>
    </row>
    <row r="1239">
      <c r="A1239" s="8" t="str">
        <f>IFERROR(__xludf.DUMMYFUNCTION("""COMPUTED_VALUE"""),"entrepreneurshipquote")</f>
        <v>entrepreneurshipquote</v>
      </c>
    </row>
    <row r="1240">
      <c r="A1240" s="8" t="str">
        <f>IFERROR(__xludf.DUMMYFUNCTION("""COMPUTED_VALUE"""),"entrepreneursindia")</f>
        <v>entrepreneursindia</v>
      </c>
    </row>
    <row r="1241">
      <c r="A1241" s="8" t="str">
        <f>IFERROR(__xludf.DUMMYFUNCTION("""COMPUTED_VALUE"""),"entrepreneursonig")</f>
        <v>entrepreneursonig</v>
      </c>
    </row>
    <row r="1242">
      <c r="A1242" s="8" t="str">
        <f>IFERROR(__xludf.DUMMYFUNCTION("""COMPUTED_VALUE"""),"entrepreneursorg")</f>
        <v>entrepreneursorg</v>
      </c>
    </row>
    <row r="1243">
      <c r="A1243" s="8" t="str">
        <f>IFERROR(__xludf.DUMMYFUNCTION("""COMPUTED_VALUE"""),"entrepreneursquote")</f>
        <v>entrepreneursquote</v>
      </c>
    </row>
    <row r="1244">
      <c r="A1244" s="8" t="str">
        <f>IFERROR(__xludf.DUMMYFUNCTION("""COMPUTED_VALUE"""),"entreprenur")</f>
        <v>entreprenur</v>
      </c>
    </row>
    <row r="1245">
      <c r="A1245" s="8" t="str">
        <f>IFERROR(__xludf.DUMMYFUNCTION("""COMPUTED_VALUE"""),"howtobeentrepreneur")</f>
        <v>howtobeentrepreneur</v>
      </c>
    </row>
    <row r="1246">
      <c r="A1246" s="8" t="str">
        <f>IFERROR(__xludf.DUMMYFUNCTION("""COMPUTED_VALUE"""),"thebusinesshacks")</f>
        <v>thebusinesshacks</v>
      </c>
    </row>
    <row r="1247">
      <c r="A1247" s="8" t="str">
        <f>IFERROR(__xludf.DUMMYFUNCTION("""COMPUTED_VALUE"""),"billionairedirector")</f>
        <v>billionairedirector</v>
      </c>
    </row>
    <row r="1248">
      <c r="A1248" s="8" t="str">
        <f>IFERROR(__xludf.DUMMYFUNCTION("""COMPUTED_VALUE"""),"entrepreneurdominate")</f>
        <v>entrepreneurdominate</v>
      </c>
    </row>
    <row r="1249">
      <c r="A1249" s="8" t="str">
        <f>IFERROR(__xludf.DUMMYFUNCTION("""COMPUTED_VALUE"""),"entrepreneur.dose")</f>
        <v>entrepreneur.dose</v>
      </c>
    </row>
    <row r="1250">
      <c r="A1250" s="8" t="str">
        <f>IFERROR(__xludf.DUMMYFUNCTION("""COMPUTED_VALUE"""),"entrepreneurship")</f>
        <v>entrepreneurship</v>
      </c>
    </row>
    <row r="1251">
      <c r="A1251" s="8" t="str">
        <f>IFERROR(__xludf.DUMMYFUNCTION("""COMPUTED_VALUE"""),"entrepreneurshipfacts")</f>
        <v>entrepreneurshipfacts</v>
      </c>
    </row>
    <row r="1252">
      <c r="A1252" s="8" t="str">
        <f>IFERROR(__xludf.DUMMYFUNCTION("""COMPUTED_VALUE"""),"entrepreneurshipquote")</f>
        <v>entrepreneurshipquote</v>
      </c>
    </row>
    <row r="1253">
      <c r="A1253" s="8" t="str">
        <f>IFERROR(__xludf.DUMMYFUNCTION("""COMPUTED_VALUE"""),"entreprneurinsights")</f>
        <v>entreprneurinsights</v>
      </c>
    </row>
    <row r="1254">
      <c r="A1254" s="8" t="str">
        <f>IFERROR(__xludf.DUMMYFUNCTION("""COMPUTED_VALUE"""),"fountainofmoney")</f>
        <v>fountainofmoney</v>
      </c>
    </row>
    <row r="1255">
      <c r="A1255" s="8" t="str">
        <f>IFERROR(__xludf.DUMMYFUNCTION("""COMPUTED_VALUE"""),"hustlersnthehood")</f>
        <v>hustlersnthehood</v>
      </c>
    </row>
    <row r="1256">
      <c r="A1256" s="8" t="str">
        <f>IFERROR(__xludf.DUMMYFUNCTION("""COMPUTED_VALUE"""),"hustlingentreprenuers")</f>
        <v>hustlingentreprenuers</v>
      </c>
    </row>
    <row r="1257">
      <c r="A1257" s="8" t="str">
        <f>IFERROR(__xludf.DUMMYFUNCTION("""COMPUTED_VALUE"""),"keyforsuccessmind")</f>
        <v>keyforsuccessmind</v>
      </c>
    </row>
    <row r="1258">
      <c r="A1258" s="8" t="str">
        <f>IFERROR(__xludf.DUMMYFUNCTION("""COMPUTED_VALUE"""),"liveyourimpossible")</f>
        <v>liveyourimpossible</v>
      </c>
    </row>
    <row r="1259">
      <c r="A1259" s="8" t="str">
        <f>IFERROR(__xludf.DUMMYFUNCTION("""COMPUTED_VALUE"""),"millionairessteps")</f>
        <v>millionairessteps</v>
      </c>
    </row>
    <row r="1260">
      <c r="A1260" s="8" t="str">
        <f>IFERROR(__xludf.DUMMYFUNCTION("""COMPUTED_VALUE"""),"outtstanding")</f>
        <v>outtstanding</v>
      </c>
    </row>
    <row r="1261">
      <c r="A1261" s="8" t="str">
        <f>IFERROR(__xludf.DUMMYFUNCTION("""COMPUTED_VALUE"""),"simplyougrow")</f>
        <v>simplyougrow</v>
      </c>
    </row>
    <row r="1262">
      <c r="A1262" s="8" t="str">
        <f>IFERROR(__xludf.DUMMYFUNCTION("""COMPUTED_VALUE"""),"thebusinesshacks")</f>
        <v>thebusinesshacks</v>
      </c>
    </row>
    <row r="1263">
      <c r="A1263" s="8" t="str">
        <f>IFERROR(__xludf.DUMMYFUNCTION("""COMPUTED_VALUE"""),"entrevistabebe")</f>
        <v>entrevistabebe</v>
      </c>
    </row>
    <row r="1264">
      <c r="A1264" s="8" t="str">
        <f>IFERROR(__xludf.DUMMYFUNCTION("""COMPUTED_VALUE"""),"entrevistapol")</f>
        <v>entrevistapol</v>
      </c>
    </row>
    <row r="1265">
      <c r="A1265" s="8" t="str">
        <f>IFERROR(__xludf.DUMMYFUNCTION("""COMPUTED_VALUE"""),"entrevistasec")</f>
        <v>entrevistasec</v>
      </c>
    </row>
    <row r="1266">
      <c r="A1266" s="8" t="str">
        <f>IFERROR(__xludf.DUMMYFUNCTION("""COMPUTED_VALUE"""),"potterentrevista")</f>
        <v>potterentrevista</v>
      </c>
    </row>
    <row r="1267">
      <c r="A1267" s="8" t="str">
        <f>IFERROR(__xludf.DUMMYFUNCTION("""COMPUTED_VALUE"""),"escaladeco")</f>
        <v>escaladeco</v>
      </c>
    </row>
    <row r="1268">
      <c r="A1268" s="11" t="str">
        <f>IFERROR(__xludf.DUMMYFUNCTION("""COMPUTED_VALUE"""),"escalade.id")</f>
        <v>escalade.id</v>
      </c>
    </row>
    <row r="1269">
      <c r="A1269" s="8" t="str">
        <f>IFERROR(__xludf.DUMMYFUNCTION("""COMPUTED_VALUE"""),"escaladeink")</f>
        <v>escaladeink</v>
      </c>
    </row>
    <row r="1270">
      <c r="A1270" s="8" t="str">
        <f>IFERROR(__xludf.DUMMYFUNCTION("""COMPUTED_VALUE"""),"escalade_new")</f>
        <v>escalade_new</v>
      </c>
    </row>
    <row r="1271">
      <c r="A1271" s="8" t="str">
        <f>IFERROR(__xludf.DUMMYFUNCTION("""COMPUTED_VALUE"""),"ffmontagne_escalade")</f>
        <v>ffmontagne_escalade</v>
      </c>
    </row>
    <row r="1272">
      <c r="A1272" s="8" t="str">
        <f>IFERROR(__xludf.DUMMYFUNCTION("""COMPUTED_VALUE"""),"ju_escalade")</f>
        <v>ju_escalade</v>
      </c>
    </row>
    <row r="1273">
      <c r="A1273" s="8" t="str">
        <f>IFERROR(__xludf.DUMMYFUNCTION("""COMPUTED_VALUE"""),"433esports")</f>
        <v>433esports</v>
      </c>
    </row>
    <row r="1274">
      <c r="A1274" s="8" t="str">
        <f>IFERROR(__xludf.DUMMYFUNCTION("""COMPUTED_VALUE"""),"aue.sports")</f>
        <v>aue.sports</v>
      </c>
    </row>
    <row r="1275">
      <c r="A1275" s="8" t="str">
        <f>IFERROR(__xludf.DUMMYFUNCTION("""COMPUTED_VALUE"""),"easportsfc")</f>
        <v>easportsfc</v>
      </c>
    </row>
    <row r="1276">
      <c r="A1276" s="8" t="str">
        <f>IFERROR(__xludf.DUMMYFUNCTION("""COMPUTED_VALUE"""),"easportsufc")</f>
        <v>easportsufc</v>
      </c>
    </row>
    <row r="1277">
      <c r="A1277" s="8" t="str">
        <f>IFERROR(__xludf.DUMMYFUNCTION("""COMPUTED_VALUE"""),"eeisports")</f>
        <v>eeisports</v>
      </c>
    </row>
    <row r="1278">
      <c r="A1278" s="8" t="str">
        <f>IFERROR(__xludf.DUMMYFUNCTION("""COMPUTED_VALUE"""),"esportsfrags")</f>
        <v>esportsfrags</v>
      </c>
    </row>
    <row r="1279">
      <c r="A1279" s="8" t="str">
        <f>IFERROR(__xludf.DUMMYFUNCTION("""COMPUTED_VALUE"""),"g2esports")</f>
        <v>g2esports</v>
      </c>
    </row>
    <row r="1280">
      <c r="A1280" s="8" t="str">
        <f>IFERROR(__xludf.DUMMYFUNCTION("""COMPUTED_VALUE"""),"knd.e.sports")</f>
        <v>knd.e.sports</v>
      </c>
    </row>
    <row r="1281">
      <c r="A1281" s="8" t="str">
        <f>IFERROR(__xludf.DUMMYFUNCTION("""COMPUTED_VALUE"""),"md_esportss")</f>
        <v>md_esportss</v>
      </c>
    </row>
    <row r="1282">
      <c r="A1282" s="8" t="str">
        <f>IFERROR(__xludf.DUMMYFUNCTION("""COMPUTED_VALUE"""),"ulfesports")</f>
        <v>ulfesports</v>
      </c>
    </row>
    <row r="1283">
      <c r="A1283" s="8" t="str">
        <f>IFERROR(__xludf.DUMMYFUNCTION("""COMPUTED_VALUE"""),"exoticpetscv")</f>
        <v>exoticpetscv</v>
      </c>
    </row>
    <row r="1284">
      <c r="A1284" s="8" t="str">
        <f>IFERROR(__xludf.DUMMYFUNCTION("""COMPUTED_VALUE"""),"exoticpetshop701")</f>
        <v>exoticpetshop701</v>
      </c>
    </row>
    <row r="1285">
      <c r="A1285" s="8" t="str">
        <f>IFERROR(__xludf.DUMMYFUNCTION("""COMPUTED_VALUE"""),"exoticpetstoronto")</f>
        <v>exoticpetstoronto</v>
      </c>
    </row>
    <row r="1286">
      <c r="A1286" s="8" t="str">
        <f>IFERROR(__xludf.DUMMYFUNCTION("""COMPUTED_VALUE"""),"njexoticpets")</f>
        <v>njexoticpets</v>
      </c>
    </row>
    <row r="1287">
      <c r="A1287" s="8" t="str">
        <f>IFERROR(__xludf.DUMMYFUNCTION("""COMPUTED_VALUE"""),"amanda.exploring")</f>
        <v>amanda.exploring</v>
      </c>
    </row>
    <row r="1288">
      <c r="A1288" s="8" t="str">
        <f>IFERROR(__xludf.DUMMYFUNCTION("""COMPUTED_VALUE"""),"exploringcostarica")</f>
        <v>exploringcostarica</v>
      </c>
    </row>
    <row r="1289">
      <c r="A1289" s="8" t="str">
        <f>IFERROR(__xludf.DUMMYFUNCTION("""COMPUTED_VALUE"""),"exploring.italy")</f>
        <v>exploring.italy</v>
      </c>
    </row>
    <row r="1290">
      <c r="A1290" s="8" t="str">
        <f>IFERROR(__xludf.DUMMYFUNCTION("""COMPUTED_VALUE"""),"exploringnewzealand")</f>
        <v>exploringnewzealand</v>
      </c>
    </row>
    <row r="1291">
      <c r="A1291" s="8" t="str">
        <f>IFERROR(__xludf.DUMMYFUNCTION("""COMPUTED_VALUE"""),"exploring.therapy")</f>
        <v>exploring.therapy</v>
      </c>
    </row>
    <row r="1292">
      <c r="A1292" s="8" t="str">
        <f>IFERROR(__xludf.DUMMYFUNCTION("""COMPUTED_VALUE"""),"exploringwithgreen")</f>
        <v>exploringwithgreen</v>
      </c>
    </row>
    <row r="1293">
      <c r="A1293" s="8" t="str">
        <f>IFERROR(__xludf.DUMMYFUNCTION("""COMPUTED_VALUE"""),"exploringwithjosh")</f>
        <v>exploringwithjosh</v>
      </c>
    </row>
    <row r="1294">
      <c r="A1294" s="8" t="str">
        <f>IFERROR(__xludf.DUMMYFUNCTION("""COMPUTED_VALUE"""),"fromnewenglandwithkids")</f>
        <v>fromnewenglandwithkids</v>
      </c>
    </row>
    <row r="1295">
      <c r="A1295" s="8" t="str">
        <f>IFERROR(__xludf.DUMMYFUNCTION("""COMPUTED_VALUE"""),"jessicaexploring")</f>
        <v>jessicaexploring</v>
      </c>
    </row>
    <row r="1296">
      <c r="A1296" s="8" t="str">
        <f>IFERROR(__xludf.DUMMYFUNCTION("""COMPUTED_VALUE"""),"raisinglittleshoots")</f>
        <v>raisinglittleshoots</v>
      </c>
    </row>
    <row r="1297">
      <c r="A1297" s="8" t="str">
        <f>IFERROR(__xludf.DUMMYFUNCTION("""COMPUTED_VALUE"""),"riexploring")</f>
        <v>riexploring</v>
      </c>
    </row>
    <row r="1298">
      <c r="A1298" s="8" t="str">
        <f>IFERROR(__xludf.DUMMYFUNCTION("""COMPUTED_VALUE"""),"bringyourkidout")</f>
        <v>bringyourkidout</v>
      </c>
    </row>
    <row r="1299">
      <c r="A1299" s="8" t="str">
        <f>IFERROR(__xludf.DUMMYFUNCTION("""COMPUTED_VALUE"""),"dunnfamilyfun")</f>
        <v>dunnfamilyfun</v>
      </c>
    </row>
    <row r="1300">
      <c r="A1300" s="8" t="str">
        <f>IFERROR(__xludf.DUMMYFUNCTION("""COMPUTED_VALUE"""),"family_fun_0009")</f>
        <v>family_fun_0009</v>
      </c>
    </row>
    <row r="1301">
      <c r="A1301" s="8" t="str">
        <f>IFERROR(__xludf.DUMMYFUNCTION("""COMPUTED_VALUE"""),"familyfun5")</f>
        <v>familyfun5</v>
      </c>
    </row>
    <row r="1302">
      <c r="A1302" s="8" t="str">
        <f>IFERROR(__xludf.DUMMYFUNCTION("""COMPUTED_VALUE"""),"familyfunerbil")</f>
        <v>familyfunerbil</v>
      </c>
    </row>
    <row r="1303">
      <c r="A1303" s="8" t="str">
        <f>IFERROR(__xludf.DUMMYFUNCTION("""COMPUTED_VALUE"""),"familyfunkw")</f>
        <v>familyfunkw</v>
      </c>
    </row>
    <row r="1304">
      <c r="A1304" s="8" t="str">
        <f>IFERROR(__xludf.DUMMYFUNCTION("""COMPUTED_VALUE"""),"familyfunpack")</f>
        <v>familyfunpack</v>
      </c>
    </row>
    <row r="1305">
      <c r="A1305" s="8" t="str">
        <f>IFERROR(__xludf.DUMMYFUNCTION("""COMPUTED_VALUE"""),"familyfunyyc")</f>
        <v>familyfunyyc</v>
      </c>
    </row>
    <row r="1306">
      <c r="A1306" s="8" t="str">
        <f>IFERROR(__xludf.DUMMYFUNCTION("""COMPUTED_VALUE"""),"family.time22")</f>
        <v>family.time22</v>
      </c>
    </row>
    <row r="1307">
      <c r="A1307" s="8" t="str">
        <f>IFERROR(__xludf.DUMMYFUNCTION("""COMPUTED_VALUE"""),"familytimesa")</f>
        <v>familytimesa</v>
      </c>
    </row>
    <row r="1308">
      <c r="A1308" s="8" t="str">
        <f>IFERROR(__xludf.DUMMYFUNCTION("""COMPUTED_VALUE"""),"familycantravel")</f>
        <v>familycantravel</v>
      </c>
    </row>
    <row r="1309">
      <c r="A1309" s="8" t="str">
        <f>IFERROR(__xludf.DUMMYFUNCTION("""COMPUTED_VALUE"""),"lana_family_trip")</f>
        <v>lana_family_trip</v>
      </c>
    </row>
    <row r="1310">
      <c r="A1310" s="8" t="str">
        <f>IFERROR(__xludf.DUMMYFUNCTION("""COMPUTED_VALUE"""),"letstraveltalk")</f>
        <v>letstraveltalk</v>
      </c>
    </row>
    <row r="1311">
      <c r="A1311" s="8" t="str">
        <f>IFERROR(__xludf.DUMMYFUNCTION("""COMPUTED_VALUE"""),"meldrumtravels")</f>
        <v>meldrumtravels</v>
      </c>
    </row>
    <row r="1312">
      <c r="A1312" s="8" t="str">
        <f>IFERROR(__xludf.DUMMYFUNCTION("""COMPUTED_VALUE"""),"nellecreations")</f>
        <v>nellecreations</v>
      </c>
    </row>
    <row r="1313">
      <c r="A1313" s="8" t="str">
        <f>IFERROR(__xludf.DUMMYFUNCTION("""COMPUTED_VALUE"""),"thefamilytravelclub")</f>
        <v>thefamilytravelclub</v>
      </c>
    </row>
    <row r="1314">
      <c r="A1314" s="8" t="str">
        <f>IFERROR(__xludf.DUMMYFUNCTION("""COMPUTED_VALUE"""),"thetravelmum")</f>
        <v>thetravelmum</v>
      </c>
    </row>
    <row r="1315">
      <c r="A1315" s="8" t="str">
        <f>IFERROR(__xludf.DUMMYFUNCTION("""COMPUTED_VALUE"""),"thiswildpassport")</f>
        <v>thiswildpassport</v>
      </c>
    </row>
    <row r="1316">
      <c r="A1316" s="8" t="str">
        <f>IFERROR(__xludf.DUMMYFUNCTION("""COMPUTED_VALUE"""),"vancitywild")</f>
        <v>vancitywild</v>
      </c>
    </row>
    <row r="1317">
      <c r="A1317" s="8" t="str">
        <f>IFERROR(__xludf.DUMMYFUNCTION("""COMPUTED_VALUE"""),"familyvlogs_")</f>
        <v>familyvlogs_</v>
      </c>
    </row>
    <row r="1318">
      <c r="A1318" s="8" t="str">
        <f>IFERROR(__xludf.DUMMYFUNCTION("""COMPUTED_VALUE"""),"family_vlog_video_")</f>
        <v>family_vlog_video_</v>
      </c>
    </row>
    <row r="1319">
      <c r="A1319" s="8" t="str">
        <f>IFERROR(__xludf.DUMMYFUNCTION("""COMPUTED_VALUE"""),"ilovefarmanimals")</f>
        <v>ilovefarmanimals</v>
      </c>
    </row>
    <row r="1320">
      <c r="A1320" s="8" t="str">
        <f>IFERROR(__xludf.DUMMYFUNCTION("""COMPUTED_VALUE"""),"duzzledress")</f>
        <v>duzzledress</v>
      </c>
    </row>
    <row r="1321">
      <c r="A1321" s="8" t="str">
        <f>IFERROR(__xludf.DUMMYFUNCTION("""COMPUTED_VALUE"""),"fashaion2024")</f>
        <v>fashaion2024</v>
      </c>
    </row>
    <row r="1322">
      <c r="A1322" s="8" t="str">
        <f>IFERROR(__xludf.DUMMYFUNCTION("""COMPUTED_VALUE"""),"fashionartdiy")</f>
        <v>fashionartdiy</v>
      </c>
    </row>
    <row r="1323">
      <c r="A1323" s="8" t="str">
        <f>IFERROR(__xludf.DUMMYFUNCTION("""COMPUTED_VALUE"""),"fashion_tips_9")</f>
        <v>fashion_tips_9</v>
      </c>
    </row>
    <row r="1324">
      <c r="A1324" s="8" t="str">
        <f>IFERROR(__xludf.DUMMYFUNCTION("""COMPUTED_VALUE"""),"fashiontipssahil")</f>
        <v>fashiontipssahil</v>
      </c>
    </row>
    <row r="1325">
      <c r="A1325" s="8" t="str">
        <f>IFERROR(__xludf.DUMMYFUNCTION("""COMPUTED_VALUE"""),"petitelife_incolors")</f>
        <v>petitelife_incolors</v>
      </c>
    </row>
    <row r="1326">
      <c r="A1326" s="8" t="str">
        <f>IFERROR(__xludf.DUMMYFUNCTION("""COMPUTED_VALUE"""),"tjasmineee_")</f>
        <v>tjasmineee_</v>
      </c>
    </row>
    <row r="1327">
      <c r="A1327" s="8" t="str">
        <f>IFERROR(__xludf.DUMMYFUNCTION("""COMPUTED_VALUE"""),"a.fashiontrends")</f>
        <v>a.fashiontrends</v>
      </c>
    </row>
    <row r="1328">
      <c r="A1328" s="8" t="str">
        <f>IFERROR(__xludf.DUMMYFUNCTION("""COMPUTED_VALUE"""),"f.a.s.h.i.o.n__t.r.e.n.d.s")</f>
        <v>f.a.s.h.i.o.n__t.r.e.n.d.s</v>
      </c>
    </row>
    <row r="1329">
      <c r="A1329" s="8" t="str">
        <f>IFERROR(__xludf.DUMMYFUNCTION("""COMPUTED_VALUE"""),"_fashion_trends_0")</f>
        <v>_fashion_trends_0</v>
      </c>
    </row>
    <row r="1330">
      <c r="A1330" s="8" t="str">
        <f>IFERROR(__xludf.DUMMYFUNCTION("""COMPUTED_VALUE"""),"fashion__trends09")</f>
        <v>fashion__trends09</v>
      </c>
    </row>
    <row r="1331">
      <c r="A1331" s="8" t="str">
        <f>IFERROR(__xludf.DUMMYFUNCTION("""COMPUTED_VALUE"""),"fashion.trends4u")</f>
        <v>fashion.trends4u</v>
      </c>
    </row>
    <row r="1332">
      <c r="A1332" s="8" t="str">
        <f>IFERROR(__xludf.DUMMYFUNCTION("""COMPUTED_VALUE"""),"fashion_trends86")</f>
        <v>fashion_trends86</v>
      </c>
    </row>
    <row r="1333">
      <c r="A1333" s="8" t="str">
        <f>IFERROR(__xludf.DUMMYFUNCTION("""COMPUTED_VALUE"""),"elementsfestival")</f>
        <v>elementsfestival</v>
      </c>
    </row>
    <row r="1334">
      <c r="A1334" s="8" t="str">
        <f>IFERROR(__xludf.DUMMYFUNCTION("""COMPUTED_VALUE"""),"elfestivaldevina")</f>
        <v>elfestivaldevina</v>
      </c>
    </row>
    <row r="1335">
      <c r="A1335" s="8" t="str">
        <f>IFERROR(__xludf.DUMMYFUNCTION("""COMPUTED_VALUE"""),"evolutions_festival")</f>
        <v>evolutions_festival</v>
      </c>
    </row>
    <row r="1336">
      <c r="A1336" s="8" t="str">
        <f>IFERROR(__xludf.DUMMYFUNCTION("""COMPUTED_VALUE"""),"festereopicnic")</f>
        <v>festereopicnic</v>
      </c>
    </row>
    <row r="1337">
      <c r="A1337" s="8" t="str">
        <f>IFERROR(__xludf.DUMMYFUNCTION("""COMPUTED_VALUE"""),"hive_festival")</f>
        <v>hive_festival</v>
      </c>
    </row>
    <row r="1338">
      <c r="A1338" s="8" t="str">
        <f>IFERROR(__xludf.DUMMYFUNCTION("""COMPUTED_VALUE"""),"nologofestival")</f>
        <v>nologofestival</v>
      </c>
    </row>
    <row r="1339">
      <c r="A1339" s="8" t="str">
        <f>IFERROR(__xludf.DUMMYFUNCTION("""COMPUTED_VALUE"""),"parklife_festival")</f>
        <v>parklife_festival</v>
      </c>
    </row>
    <row r="1340">
      <c r="A1340" s="8" t="str">
        <f>IFERROR(__xludf.DUMMYFUNCTION("""COMPUTED_VALUE"""),"shifted_festival")</f>
        <v>shifted_festival</v>
      </c>
    </row>
    <row r="1341">
      <c r="A1341" s="8" t="str">
        <f>IFERROR(__xludf.DUMMYFUNCTION("""COMPUTED_VALUE"""),"submersionfestival")</f>
        <v>submersionfestival</v>
      </c>
    </row>
    <row r="1342">
      <c r="A1342" s="8" t="str">
        <f>IFERROR(__xludf.DUMMYFUNCTION("""COMPUTED_VALUE"""),"tiendafestival")</f>
        <v>tiendafestival</v>
      </c>
    </row>
    <row r="1343">
      <c r="A1343" s="8" t="str">
        <f>IFERROR(__xludf.DUMMYFUNCTION("""COMPUTED_VALUE"""),"filmatic")</f>
        <v>filmatic</v>
      </c>
    </row>
    <row r="1344">
      <c r="A1344" s="8" t="str">
        <f>IFERROR(__xludf.DUMMYFUNCTION("""COMPUTED_VALUE"""),"filmthusiast")</f>
        <v>filmthusiast</v>
      </c>
    </row>
    <row r="1345">
      <c r="A1345" s="8" t="str">
        <f>IFERROR(__xludf.DUMMYFUNCTION("""COMPUTED_VALUE"""),"handsonfilm")</f>
        <v>handsonfilm</v>
      </c>
    </row>
    <row r="1346">
      <c r="A1346" s="11" t="str">
        <f>IFERROR(__xludf.DUMMYFUNCTION("""COMPUTED_VALUE"""),"kukaj.to")</f>
        <v>kukaj.to</v>
      </c>
    </row>
    <row r="1347">
      <c r="A1347" s="8" t="str">
        <f>IFERROR(__xludf.DUMMYFUNCTION("""COMPUTED_VALUE"""),"thefilmthusiasts")</f>
        <v>thefilmthusiasts</v>
      </c>
    </row>
    <row r="1348">
      <c r="A1348" s="8" t="str">
        <f>IFERROR(__xludf.DUMMYFUNCTION("""COMPUTED_VALUE"""),"thefilmzone")</f>
        <v>thefilmzone</v>
      </c>
    </row>
    <row r="1349">
      <c r="A1349" s="8" t="str">
        <f>IFERROR(__xludf.DUMMYFUNCTION("""COMPUTED_VALUE"""),"valvey_film")</f>
        <v>valvey_film</v>
      </c>
    </row>
    <row r="1350">
      <c r="A1350" s="8" t="str">
        <f>IFERROR(__xludf.DUMMYFUNCTION("""COMPUTED_VALUE"""),"budgetdog")</f>
        <v>budgetdog</v>
      </c>
    </row>
    <row r="1351">
      <c r="A1351" s="8" t="str">
        <f>IFERROR(__xludf.DUMMYFUNCTION("""COMPUTED_VALUE"""),"dmj_finance")</f>
        <v>dmj_finance</v>
      </c>
    </row>
    <row r="1352">
      <c r="A1352" s="8" t="str">
        <f>IFERROR(__xludf.DUMMYFUNCTION("""COMPUTED_VALUE"""),"finance_god")</f>
        <v>finance_god</v>
      </c>
    </row>
    <row r="1353">
      <c r="A1353" s="8" t="str">
        <f>IFERROR(__xludf.DUMMYFUNCTION("""COMPUTED_VALUE"""),"finance_god_trading")</f>
        <v>finance_god_trading</v>
      </c>
    </row>
    <row r="1354">
      <c r="A1354" s="8" t="str">
        <f>IFERROR(__xludf.DUMMYFUNCTION("""COMPUTED_VALUE"""),"financegoldenera")</f>
        <v>financegoldenera</v>
      </c>
    </row>
    <row r="1355">
      <c r="A1355" s="8" t="str">
        <f>IFERROR(__xludf.DUMMYFUNCTION("""COMPUTED_VALUE"""),"financeguypeter")</f>
        <v>financeguypeter</v>
      </c>
    </row>
    <row r="1356">
      <c r="A1356" s="8" t="str">
        <f>IFERROR(__xludf.DUMMYFUNCTION("""COMPUTED_VALUE"""),"_financetalks")</f>
        <v>_financetalks</v>
      </c>
    </row>
    <row r="1357">
      <c r="A1357" s="8" t="str">
        <f>IFERROR(__xludf.DUMMYFUNCTION("""COMPUTED_VALUE"""),"hoseini.finance")</f>
        <v>hoseini.finance</v>
      </c>
    </row>
    <row r="1358">
      <c r="A1358" s="11" t="str">
        <f>IFERROR(__xludf.DUMMYFUNCTION("""COMPUTED_VALUE"""),"indianfinance.in")</f>
        <v>indianfinance.in</v>
      </c>
    </row>
    <row r="1359">
      <c r="A1359" s="8" t="str">
        <f>IFERROR(__xludf.DUMMYFUNCTION("""COMPUTED_VALUE"""),"laurent.cosmos.finance")</f>
        <v>laurent.cosmos.finance</v>
      </c>
    </row>
    <row r="1360">
      <c r="A1360" s="8" t="str">
        <f>IFERROR(__xludf.DUMMYFUNCTION("""COMPUTED_VALUE"""),"shewolfeofwallstreet")</f>
        <v>shewolfeofwallstreet</v>
      </c>
    </row>
    <row r="1361">
      <c r="A1361" s="8" t="str">
        <f>IFERROR(__xludf.DUMMYFUNCTION("""COMPUTED_VALUE"""),"startingfinance")</f>
        <v>startingfinance</v>
      </c>
    </row>
    <row r="1362">
      <c r="A1362" s="8" t="str">
        <f>IFERROR(__xludf.DUMMYFUNCTION("""COMPUTED_VALUE"""),"themarkethustle")</f>
        <v>themarkethustle</v>
      </c>
    </row>
    <row r="1363">
      <c r="A1363" s="8" t="str">
        <f>IFERROR(__xludf.DUMMYFUNCTION("""COMPUTED_VALUE"""),"worldyfinance")</f>
        <v>worldyfinance</v>
      </c>
    </row>
    <row r="1364">
      <c r="A1364" s="8" t="str">
        <f>IFERROR(__xludf.DUMMYFUNCTION("""COMPUTED_VALUE"""),"yahoofinance")</f>
        <v>yahoofinance</v>
      </c>
    </row>
    <row r="1365">
      <c r="A1365" s="8" t="str">
        <f>IFERROR(__xludf.DUMMYFUNCTION("""COMPUTED_VALUE"""),"youraveragefinancebro")</f>
        <v>youraveragefinancebro</v>
      </c>
    </row>
    <row r="1366">
      <c r="A1366" s="8" t="str">
        <f>IFERROR(__xludf.DUMMYFUNCTION("""COMPUTED_VALUE"""),"your_finance_brother")</f>
        <v>your_finance_brother</v>
      </c>
    </row>
    <row r="1367">
      <c r="A1367" s="8" t="str">
        <f>IFERROR(__xludf.DUMMYFUNCTION("""COMPUTED_VALUE"""),"zarch_finance")</f>
        <v>zarch_finance</v>
      </c>
    </row>
    <row r="1368">
      <c r="A1368" s="8" t="str">
        <f>IFERROR(__xludf.DUMMYFUNCTION("""COMPUTED_VALUE"""),"fi.freedomtoday")</f>
        <v>fi.freedomtoday</v>
      </c>
    </row>
    <row r="1369">
      <c r="A1369" s="8" t="str">
        <f>IFERROR(__xludf.DUMMYFUNCTION("""COMPUTED_VALUE"""),"financial_freedom0115")</f>
        <v>financial_freedom0115</v>
      </c>
    </row>
    <row r="1370">
      <c r="A1370" s="11" t="str">
        <f>IFERROR(__xludf.DUMMYFUNCTION("""COMPUTED_VALUE"""),"financialfreedom.us")</f>
        <v>financialfreedom.us</v>
      </c>
    </row>
    <row r="1371">
      <c r="A1371" s="8" t="str">
        <f>IFERROR(__xludf.DUMMYFUNCTION("""COMPUTED_VALUE"""),"yourfinancepal")</f>
        <v>yourfinancepal</v>
      </c>
    </row>
    <row r="1372">
      <c r="A1372" s="8" t="str">
        <f>IFERROR(__xludf.DUMMYFUNCTION("""COMPUTED_VALUE"""),"fitness_challenge_l")</f>
        <v>fitness_challenge_l</v>
      </c>
    </row>
    <row r="1373">
      <c r="A1373" s="8" t="str">
        <f>IFERROR(__xludf.DUMMYFUNCTION("""COMPUTED_VALUE"""),"_runtheedge_")</f>
        <v>_runtheedge_</v>
      </c>
    </row>
    <row r="1374">
      <c r="A1374" s="8" t="str">
        <f>IFERROR(__xludf.DUMMYFUNCTION("""COMPUTED_VALUE"""),"f1tness_goals")</f>
        <v>f1tness_goals</v>
      </c>
    </row>
    <row r="1375">
      <c r="A1375" s="8" t="str">
        <f>IFERROR(__xludf.DUMMYFUNCTION("""COMPUTED_VALUE"""),"fitness_goals._____")</f>
        <v>fitness_goals._____</v>
      </c>
    </row>
    <row r="1376">
      <c r="A1376" s="8" t="str">
        <f>IFERROR(__xludf.DUMMYFUNCTION("""COMPUTED_VALUE"""),"fitness_goals_ig_")</f>
        <v>fitness_goals_ig_</v>
      </c>
    </row>
    <row r="1377">
      <c r="A1377" s="8" t="str">
        <f>IFERROR(__xludf.DUMMYFUNCTION("""COMPUTED_VALUE"""),"fiftyfitnessjourney")</f>
        <v>fiftyfitnessjourney</v>
      </c>
    </row>
    <row r="1378">
      <c r="A1378" s="8" t="str">
        <f>IFERROR(__xludf.DUMMYFUNCTION("""COMPUTED_VALUE"""),"igfitnessjourney")</f>
        <v>igfitnessjourney</v>
      </c>
    </row>
    <row r="1379">
      <c r="A1379" s="8" t="str">
        <f>IFERROR(__xludf.DUMMYFUNCTION("""COMPUTED_VALUE"""),"ig_fitnessjourney")</f>
        <v>ig_fitnessjourney</v>
      </c>
    </row>
    <row r="1380">
      <c r="A1380" s="8" t="str">
        <f>IFERROR(__xludf.DUMMYFUNCTION("""COMPUTED_VALUE"""),"ig__fitnessjourney")</f>
        <v>ig__fitnessjourney</v>
      </c>
    </row>
    <row r="1381">
      <c r="A1381" s="8" t="str">
        <f>IFERROR(__xludf.DUMMYFUNCTION("""COMPUTED_VALUE"""),"ig_fitnessjourneyy")</f>
        <v>ig_fitnessjourneyy</v>
      </c>
    </row>
    <row r="1382">
      <c r="A1382" s="8" t="str">
        <f>IFERROR(__xludf.DUMMYFUNCTION("""COMPUTED_VALUE"""),"maris.fitnessjourney")</f>
        <v>maris.fitnessjourney</v>
      </c>
    </row>
    <row r="1383">
      <c r="A1383" s="8" t="str">
        <f>IFERROR(__xludf.DUMMYFUNCTION("""COMPUTED_VALUE"""),"ayya_flowers_tm")</f>
        <v>ayya_flowers_tm</v>
      </c>
    </row>
    <row r="1384">
      <c r="A1384" s="8" t="str">
        <f>IFERROR(__xludf.DUMMYFUNCTION("""COMPUTED_VALUE"""),"flowers")</f>
        <v>flowers</v>
      </c>
    </row>
    <row r="1385">
      <c r="A1385" s="8" t="str">
        <f>IFERROR(__xludf.DUMMYFUNCTION("""COMPUTED_VALUE"""),"flowers.accessories_")</f>
        <v>flowers.accessories_</v>
      </c>
    </row>
    <row r="1386">
      <c r="A1386" s="8" t="str">
        <f>IFERROR(__xludf.DUMMYFUNCTION("""COMPUTED_VALUE"""),"loft.flowers")</f>
        <v>loft.flowers</v>
      </c>
    </row>
    <row r="1387">
      <c r="A1387" s="8" t="str">
        <f>IFERROR(__xludf.DUMMYFUNCTION("""COMPUTED_VALUE"""),"whynot.flowers")</f>
        <v>whynot.flowers</v>
      </c>
    </row>
    <row r="1388">
      <c r="A1388" s="8" t="str">
        <f>IFERROR(__xludf.DUMMYFUNCTION("""COMPUTED_VALUE"""),"x.flowers4")</f>
        <v>x.flowers4</v>
      </c>
    </row>
    <row r="1389">
      <c r="A1389" s="8" t="str">
        <f>IFERROR(__xludf.DUMMYFUNCTION("""COMPUTED_VALUE"""),"f00d__art")</f>
        <v>f00d__art</v>
      </c>
    </row>
    <row r="1390">
      <c r="A1390" s="8" t="str">
        <f>IFERROR(__xludf.DUMMYFUNCTION("""COMPUTED_VALUE"""),"foodartchefs")</f>
        <v>foodartchefs</v>
      </c>
    </row>
    <row r="1391">
      <c r="A1391" s="8" t="str">
        <f>IFERROR(__xludf.DUMMYFUNCTION("""COMPUTED_VALUE"""),"food.art_officiel")</f>
        <v>food.art_officiel</v>
      </c>
    </row>
    <row r="1392">
      <c r="A1392" s="8" t="str">
        <f>IFERROR(__xludf.DUMMYFUNCTION("""COMPUTED_VALUE"""),"foodartproject")</f>
        <v>foodartproject</v>
      </c>
    </row>
    <row r="1393">
      <c r="A1393" s="8" t="str">
        <f>IFERROR(__xludf.DUMMYFUNCTION("""COMPUTED_VALUE"""),"foodartstore")</f>
        <v>foodartstore</v>
      </c>
    </row>
    <row r="1394">
      <c r="A1394" s="8" t="str">
        <f>IFERROR(__xludf.DUMMYFUNCTION("""COMPUTED_VALUE"""),"foodatory")</f>
        <v>foodatory</v>
      </c>
    </row>
    <row r="1395">
      <c r="A1395" s="8" t="str">
        <f>IFERROR(__xludf.DUMMYFUNCTION("""COMPUTED_VALUE"""),"foodchallengesisters")</f>
        <v>foodchallengesisters</v>
      </c>
    </row>
    <row r="1396">
      <c r="A1396" s="8" t="str">
        <f>IFERROR(__xludf.DUMMYFUNCTION("""COMPUTED_VALUE"""),"foodiegirltour")</f>
        <v>foodiegirltour</v>
      </c>
    </row>
    <row r="1397">
      <c r="A1397" s="8" t="str">
        <f>IFERROR(__xludf.DUMMYFUNCTION("""COMPUTED_VALUE"""),"___foodtour")</f>
        <v>___foodtour</v>
      </c>
    </row>
    <row r="1398">
      <c r="A1398" s="8" t="str">
        <f>IFERROR(__xludf.DUMMYFUNCTION("""COMPUTED_VALUE"""),"foodtourgdl")</f>
        <v>foodtourgdl</v>
      </c>
    </row>
    <row r="1399">
      <c r="A1399" s="8" t="str">
        <f>IFERROR(__xludf.DUMMYFUNCTION("""COMPUTED_VALUE"""),"foodtour_la")</f>
        <v>foodtour_la</v>
      </c>
    </row>
    <row r="1400">
      <c r="A1400" s="8" t="str">
        <f>IFERROR(__xludf.DUMMYFUNCTION("""COMPUTED_VALUE"""),"foodtour_nyc")</f>
        <v>foodtour_nyc</v>
      </c>
    </row>
    <row r="1401">
      <c r="A1401" s="8" t="str">
        <f>IFERROR(__xludf.DUMMYFUNCTION("""COMPUTED_VALUE"""),"foodtoursaigon")</f>
        <v>foodtoursaigon</v>
      </c>
    </row>
    <row r="1402">
      <c r="A1402" s="8" t="str">
        <f>IFERROR(__xludf.DUMMYFUNCTION("""COMPUTED_VALUE"""),"no_diet_club")</f>
        <v>no_diet_club</v>
      </c>
    </row>
    <row r="1403">
      <c r="A1403" s="8" t="str">
        <f>IFERROR(__xludf.DUMMYFUNCTION("""COMPUTED_VALUE"""),"dzen.forest")</f>
        <v>dzen.forest</v>
      </c>
    </row>
    <row r="1404">
      <c r="A1404" s="8" t="str">
        <f>IFERROR(__xludf.DUMMYFUNCTION("""COMPUTED_VALUE"""),"forest")</f>
        <v>forest</v>
      </c>
    </row>
    <row r="1405">
      <c r="A1405" s="8" t="str">
        <f>IFERROR(__xludf.DUMMYFUNCTION("""COMPUTED_VALUE"""),"forestinkclothing")</f>
        <v>forestinkclothing</v>
      </c>
    </row>
    <row r="1406">
      <c r="A1406" s="8" t="str">
        <f>IFERROR(__xludf.DUMMYFUNCTION("""COMPUTED_VALUE"""),"forest_park95")</f>
        <v>forest_park95</v>
      </c>
    </row>
    <row r="1407">
      <c r="A1407" s="8" t="str">
        <f>IFERROR(__xludf.DUMMYFUNCTION("""COMPUTED_VALUE"""),"officialnffc")</f>
        <v>officialnffc</v>
      </c>
    </row>
    <row r="1408">
      <c r="A1408" s="8" t="str">
        <f>IFERROR(__xludf.DUMMYFUNCTION("""COMPUTED_VALUE"""),"la_frenchcuisine")</f>
        <v>la_frenchcuisine</v>
      </c>
    </row>
    <row r="1409">
      <c r="A1409" s="8" t="str">
        <f>IFERROR(__xludf.DUMMYFUNCTION("""COMPUTED_VALUE"""),"epicfunnypage")</f>
        <v>epicfunnypage</v>
      </c>
    </row>
    <row r="1410">
      <c r="A1410" s="8" t="str">
        <f>IFERROR(__xludf.DUMMYFUNCTION("""COMPUTED_VALUE"""),"funny")</f>
        <v>funny</v>
      </c>
    </row>
    <row r="1411">
      <c r="A1411" s="8" t="str">
        <f>IFERROR(__xludf.DUMMYFUNCTION("""COMPUTED_VALUE"""),"funnyhoodvidz")</f>
        <v>funnyhoodvidz</v>
      </c>
    </row>
    <row r="1412">
      <c r="A1412" s="11" t="str">
        <f>IFERROR(__xludf.DUMMYFUNCTION("""COMPUTED_VALUE"""),"funny.jobs")</f>
        <v>funny.jobs</v>
      </c>
    </row>
    <row r="1413">
      <c r="A1413" s="8" t="str">
        <f>IFERROR(__xludf.DUMMYFUNCTION("""COMPUTED_VALUE"""),"funny.li.1")</f>
        <v>funny.li.1</v>
      </c>
    </row>
    <row r="1414">
      <c r="A1414" s="8" t="str">
        <f>IFERROR(__xludf.DUMMYFUNCTION("""COMPUTED_VALUE"""),"funnysalesman")</f>
        <v>funnysalesman</v>
      </c>
    </row>
    <row r="1415">
      <c r="A1415" s="8" t="str">
        <f>IFERROR(__xludf.DUMMYFUNCTION("""COMPUTED_VALUE"""),"funny.animal_2025")</f>
        <v>funny.animal_2025</v>
      </c>
    </row>
    <row r="1416">
      <c r="A1416" s="8" t="str">
        <f>IFERROR(__xludf.DUMMYFUNCTION("""COMPUTED_VALUE"""),"funny.animals_1")</f>
        <v>funny.animals_1</v>
      </c>
    </row>
    <row r="1417">
      <c r="A1417" s="8" t="str">
        <f>IFERROR(__xludf.DUMMYFUNCTION("""COMPUTED_VALUE"""),"funny.animals1_")</f>
        <v>funny.animals1_</v>
      </c>
    </row>
    <row r="1418">
      <c r="A1418" s="8" t="str">
        <f>IFERROR(__xludf.DUMMYFUNCTION("""COMPUTED_VALUE"""),"funny_animals_6")</f>
        <v>funny_animals_6</v>
      </c>
    </row>
    <row r="1419">
      <c r="A1419" s="8" t="str">
        <f>IFERROR(__xludf.DUMMYFUNCTION("""COMPUTED_VALUE"""),"funnyanimalsdoingstuff")</f>
        <v>funnyanimalsdoingstuff</v>
      </c>
    </row>
    <row r="1420">
      <c r="A1420" s="8" t="str">
        <f>IFERROR(__xludf.DUMMYFUNCTION("""COMPUTED_VALUE"""),"funnyanimalshub_")</f>
        <v>funnyanimalshub_</v>
      </c>
    </row>
    <row r="1421">
      <c r="A1421" s="8" t="str">
        <f>IFERROR(__xludf.DUMMYFUNCTION("""COMPUTED_VALUE"""),"funny_animals_l8l")</f>
        <v>funny_animals_l8l</v>
      </c>
    </row>
    <row r="1422">
      <c r="A1422" s="8" t="str">
        <f>IFERROR(__xludf.DUMMYFUNCTION("""COMPUTED_VALUE"""),"funny_animalss_2")</f>
        <v>funny_animalss_2</v>
      </c>
    </row>
    <row r="1423">
      <c r="A1423" s="8" t="str">
        <f>IFERROR(__xludf.DUMMYFUNCTION("""COMPUTED_VALUE"""),"funny_animals.videos")</f>
        <v>funny_animals.videos</v>
      </c>
    </row>
    <row r="1424">
      <c r="A1424" s="8" t="str">
        <f>IFERROR(__xludf.DUMMYFUNCTION("""COMPUTED_VALUE"""),"funnyanimals_videos")</f>
        <v>funnyanimals_videos</v>
      </c>
    </row>
    <row r="1425">
      <c r="A1425" s="8" t="str">
        <f>IFERROR(__xludf.DUMMYFUNCTION("""COMPUTED_VALUE"""),"funnyhoodanimals")</f>
        <v>funnyhoodanimals</v>
      </c>
    </row>
    <row r="1426">
      <c r="A1426" s="8" t="str">
        <f>IFERROR(__xludf.DUMMYFUNCTION("""COMPUTED_VALUE"""),"theanimalsbeingfunny")</f>
        <v>theanimalsbeingfunny</v>
      </c>
    </row>
    <row r="1427">
      <c r="A1427" s="8" t="str">
        <f>IFERROR(__xludf.DUMMYFUNCTION("""COMPUTED_VALUE"""),"funny.kiddsss")</f>
        <v>funny.kiddsss</v>
      </c>
    </row>
    <row r="1428">
      <c r="A1428" s="8" t="str">
        <f>IFERROR(__xludf.DUMMYFUNCTION("""COMPUTED_VALUE"""),"funnykidsbaku")</f>
        <v>funnykidsbaku</v>
      </c>
    </row>
    <row r="1429">
      <c r="A1429" s="8" t="str">
        <f>IFERROR(__xludf.DUMMYFUNCTION("""COMPUTED_VALUE"""),"funny_kids_moments")</f>
        <v>funny_kids_moments</v>
      </c>
    </row>
    <row r="1430">
      <c r="A1430" s="8" t="str">
        <f>IFERROR(__xludf.DUMMYFUNCTION("""COMPUTED_VALUE"""),"futuristic.25")</f>
        <v>futuristic.25</v>
      </c>
    </row>
    <row r="1431">
      <c r="A1431" s="8" t="str">
        <f>IFERROR(__xludf.DUMMYFUNCTION("""COMPUTED_VALUE"""),"futuretech")</f>
        <v>futuretech</v>
      </c>
    </row>
    <row r="1432">
      <c r="A1432" s="8" t="str">
        <f>IFERROR(__xludf.DUMMYFUNCTION("""COMPUTED_VALUE"""),"future_tech595")</f>
        <v>future_tech595</v>
      </c>
    </row>
    <row r="1433">
      <c r="A1433" s="8" t="str">
        <f>IFERROR(__xludf.DUMMYFUNCTION("""COMPUTED_VALUE"""),"futuretech.exe")</f>
        <v>futuretech.exe</v>
      </c>
    </row>
    <row r="1434">
      <c r="A1434" s="8" t="str">
        <f>IFERROR(__xludf.DUMMYFUNCTION("""COMPUTED_VALUE"""),"futuretechphone")</f>
        <v>futuretechphone</v>
      </c>
    </row>
    <row r="1435">
      <c r="A1435" s="8" t="str">
        <f>IFERROR(__xludf.DUMMYFUNCTION("""COMPUTED_VALUE"""),"gadgetmaxs")</f>
        <v>gadgetmaxs</v>
      </c>
    </row>
    <row r="1436">
      <c r="A1436" s="8" t="str">
        <f>IFERROR(__xludf.DUMMYFUNCTION("""COMPUTED_VALUE"""),"game_developer_unity")</f>
        <v>game_developer_unity</v>
      </c>
    </row>
    <row r="1437">
      <c r="A1437" s="11" t="str">
        <f>IFERROR(__xludf.DUMMYFUNCTION("""COMPUTED_VALUE"""),"gamedev.tv")</f>
        <v>gamedev.tv</v>
      </c>
    </row>
    <row r="1438">
      <c r="A1438" s="8" t="str">
        <f>IFERROR(__xludf.DUMMYFUNCTION("""COMPUTED_VALUE"""),"thegamedevclub")</f>
        <v>thegamedevclub</v>
      </c>
    </row>
    <row r="1439">
      <c r="A1439" s="8" t="str">
        <f>IFERROR(__xludf.DUMMYFUNCTION("""COMPUTED_VALUE"""),"gameplayspixels")</f>
        <v>gameplayspixels</v>
      </c>
    </row>
    <row r="1440">
      <c r="A1440" s="8" t="str">
        <f>IFERROR(__xludf.DUMMYFUNCTION("""COMPUTED_VALUE"""),"gamesweplay")</f>
        <v>gamesweplay</v>
      </c>
    </row>
    <row r="1441">
      <c r="A1441" s="8" t="str">
        <f>IFERROR(__xludf.DUMMYFUNCTION("""COMPUTED_VALUE"""),"fluidgame")</f>
        <v>fluidgame</v>
      </c>
    </row>
    <row r="1442">
      <c r="A1442" s="8" t="str">
        <f>IFERROR(__xludf.DUMMYFUNCTION("""COMPUTED_VALUE"""),"gamingzar")</f>
        <v>gamingzar</v>
      </c>
    </row>
    <row r="1443">
      <c r="A1443" s="8" t="str">
        <f>IFERROR(__xludf.DUMMYFUNCTION("""COMPUTED_VALUE"""),"dopegamingsetup")</f>
        <v>dopegamingsetup</v>
      </c>
    </row>
    <row r="1444">
      <c r="A1444" s="8" t="str">
        <f>IFERROR(__xludf.DUMMYFUNCTION("""COMPUTED_VALUE"""),"gamin_setups")</f>
        <v>gamin_setups</v>
      </c>
    </row>
    <row r="1445">
      <c r="A1445" s="8" t="str">
        <f>IFERROR(__xludf.DUMMYFUNCTION("""COMPUTED_VALUE"""),"playstation_n3rd")</f>
        <v>playstation_n3rd</v>
      </c>
    </row>
    <row r="1446">
      <c r="A1446" s="8" t="str">
        <f>IFERROR(__xludf.DUMMYFUNCTION("""COMPUTED_VALUE"""),"burpeegardening")</f>
        <v>burpeegardening</v>
      </c>
    </row>
    <row r="1447">
      <c r="A1447" s="8" t="str">
        <f>IFERROR(__xludf.DUMMYFUNCTION("""COMPUTED_VALUE"""),"epicgardening")</f>
        <v>epicgardening</v>
      </c>
    </row>
    <row r="1448">
      <c r="A1448" s="8" t="str">
        <f>IFERROR(__xludf.DUMMYFUNCTION("""COMPUTED_VALUE"""),"epicgardeningteam")</f>
        <v>epicgardeningteam</v>
      </c>
    </row>
    <row r="1449">
      <c r="A1449" s="8" t="str">
        <f>IFERROR(__xludf.DUMMYFUNCTION("""COMPUTED_VALUE"""),"gardening")</f>
        <v>gardening</v>
      </c>
    </row>
    <row r="1450">
      <c r="A1450" s="8" t="str">
        <f>IFERROR(__xludf.DUMMYFUNCTION("""COMPUTED_VALUE"""),"gardening6886")</f>
        <v>gardening6886</v>
      </c>
    </row>
    <row r="1451">
      <c r="A1451" s="8" t="str">
        <f>IFERROR(__xludf.DUMMYFUNCTION("""COMPUTED_VALUE"""),"gardening.999")</f>
        <v>gardening.999</v>
      </c>
    </row>
    <row r="1452">
      <c r="A1452" s="8" t="str">
        <f>IFERROR(__xludf.DUMMYFUNCTION("""COMPUTED_VALUE"""),"_gardening_for_beginner_")</f>
        <v>_gardening_for_beginner_</v>
      </c>
    </row>
    <row r="1453">
      <c r="A1453" s="8" t="str">
        <f>IFERROR(__xludf.DUMMYFUNCTION("""COMPUTED_VALUE"""),"gardening_tips68")</f>
        <v>gardening_tips68</v>
      </c>
    </row>
    <row r="1454">
      <c r="A1454" s="8" t="str">
        <f>IFERROR(__xludf.DUMMYFUNCTION("""COMPUTED_VALUE"""),"gardening.tipss")</f>
        <v>gardening.tipss</v>
      </c>
    </row>
    <row r="1455">
      <c r="A1455" s="8" t="str">
        <f>IFERROR(__xludf.DUMMYFUNCTION("""COMPUTED_VALUE"""),"gardeninguk18")</f>
        <v>gardeninguk18</v>
      </c>
    </row>
    <row r="1456">
      <c r="A1456" s="8" t="str">
        <f>IFERROR(__xludf.DUMMYFUNCTION("""COMPUTED_VALUE"""),"gardeningwithgoo")</f>
        <v>gardeningwithgoo</v>
      </c>
    </row>
    <row r="1457">
      <c r="A1457" s="8" t="str">
        <f>IFERROR(__xludf.DUMMYFUNCTION("""COMPUTED_VALUE"""),"gardeningwithmom_")</f>
        <v>gardeningwithmom_</v>
      </c>
    </row>
    <row r="1458">
      <c r="A1458" s="8" t="str">
        <f>IFERROR(__xludf.DUMMYFUNCTION("""COMPUTED_VALUE"""),"learngardning")</f>
        <v>learngardning</v>
      </c>
    </row>
    <row r="1459">
      <c r="A1459" s="8" t="str">
        <f>IFERROR(__xludf.DUMMYFUNCTION("""COMPUTED_VALUE"""),"man_about_gardening")</f>
        <v>man_about_gardening</v>
      </c>
    </row>
    <row r="1460">
      <c r="A1460" s="8" t="str">
        <f>IFERROR(__xludf.DUMMYFUNCTION("""COMPUTED_VALUE"""),"morethangardening")</f>
        <v>morethangardening</v>
      </c>
    </row>
    <row r="1461">
      <c r="A1461" s="8" t="str">
        <f>IFERROR(__xludf.DUMMYFUNCTION("""COMPUTED_VALUE"""),"phsgardening")</f>
        <v>phsgardening</v>
      </c>
    </row>
    <row r="1462">
      <c r="A1462" s="8" t="str">
        <f>IFERROR(__xludf.DUMMYFUNCTION("""COMPUTED_VALUE"""),"thegardeninggrant")</f>
        <v>thegardeninggrant</v>
      </c>
    </row>
    <row r="1463">
      <c r="A1463" s="8" t="str">
        <f>IFERROR(__xludf.DUMMYFUNCTION("""COMPUTED_VALUE"""),"thehappygardeninglife")</f>
        <v>thehappygardeninglife</v>
      </c>
    </row>
    <row r="1464">
      <c r="A1464" s="8" t="str">
        <f>IFERROR(__xludf.DUMMYFUNCTION("""COMPUTED_VALUE"""),"youcandoitgardening")</f>
        <v>youcandoitgardening</v>
      </c>
    </row>
    <row r="1465">
      <c r="A1465" s="8" t="str">
        <f>IFERROR(__xludf.DUMMYFUNCTION("""COMPUTED_VALUE"""),"gardenlifearg")</f>
        <v>gardenlifearg</v>
      </c>
    </row>
    <row r="1466">
      <c r="A1466" s="8" t="str">
        <f>IFERROR(__xludf.DUMMYFUNCTION("""COMPUTED_VALUE"""),"gardenoflife")</f>
        <v>gardenoflife</v>
      </c>
    </row>
    <row r="1467">
      <c r="A1467" s="8" t="str">
        <f>IFERROR(__xludf.DUMMYFUNCTION("""COMPUTED_VALUE"""),"makse.life")</f>
        <v>makse.life</v>
      </c>
    </row>
    <row r="1468">
      <c r="A1468" s="8" t="str">
        <f>IFERROR(__xludf.DUMMYFUNCTION("""COMPUTED_VALUE"""),"planwithlaken")</f>
        <v>planwithlaken</v>
      </c>
    </row>
    <row r="1469">
      <c r="A1469" s="11" t="str">
        <f>IFERROR(__xludf.DUMMYFUNCTION("""COMPUTED_VALUE"""),"augusta.gp")</f>
        <v>augusta.gp</v>
      </c>
    </row>
    <row r="1470">
      <c r="A1470" s="8" t="str">
        <f>IFERROR(__xludf.DUMMYFUNCTION("""COMPUTED_VALUE"""),"golf")</f>
        <v>golf</v>
      </c>
    </row>
    <row r="1471">
      <c r="A1471" s="8" t="str">
        <f>IFERROR(__xludf.DUMMYFUNCTION("""COMPUTED_VALUE"""),"golfchannel")</f>
        <v>golfchannel</v>
      </c>
    </row>
    <row r="1472">
      <c r="A1472" s="8" t="str">
        <f>IFERROR(__xludf.DUMMYFUNCTION("""COMPUTED_VALUE"""),"golf_com")</f>
        <v>golf_com</v>
      </c>
    </row>
    <row r="1473">
      <c r="A1473" s="8" t="str">
        <f>IFERROR(__xludf.DUMMYFUNCTION("""COMPUTED_VALUE"""),"golfcuties")</f>
        <v>golfcuties</v>
      </c>
    </row>
    <row r="1474">
      <c r="A1474" s="8" t="str">
        <f>IFERROR(__xludf.DUMMYFUNCTION("""COMPUTED_VALUE"""),"golfdigest")</f>
        <v>golfdigest</v>
      </c>
    </row>
    <row r="1475">
      <c r="A1475" s="8" t="str">
        <f>IFERROR(__xludf.DUMMYFUNCTION("""COMPUTED_VALUE"""),"golf_gods")</f>
        <v>golf_gods</v>
      </c>
    </row>
    <row r="1476">
      <c r="A1476" s="8" t="str">
        <f>IFERROR(__xludf.DUMMYFUNCTION("""COMPUTED_VALUE"""),"golfnewzealand_")</f>
        <v>golfnewzealand_</v>
      </c>
    </row>
    <row r="1477">
      <c r="A1477" s="8" t="str">
        <f>IFERROR(__xludf.DUMMYFUNCTION("""COMPUTED_VALUE"""),"golf_q_coach")</f>
        <v>golf_q_coach</v>
      </c>
    </row>
    <row r="1478">
      <c r="A1478" s="8" t="str">
        <f>IFERROR(__xludf.DUMMYFUNCTION("""COMPUTED_VALUE"""),"golfwang")</f>
        <v>golfwang</v>
      </c>
    </row>
    <row r="1479">
      <c r="A1479" s="8" t="str">
        <f>IFERROR(__xludf.DUMMYFUNCTION("""COMPUTED_VALUE"""),"lefleur")</f>
        <v>lefleur</v>
      </c>
    </row>
    <row r="1480">
      <c r="A1480" s="8" t="str">
        <f>IFERROR(__xludf.DUMMYFUNCTION("""COMPUTED_VALUE"""),"skysportsgolf")</f>
        <v>skysportsgolf</v>
      </c>
    </row>
    <row r="1481">
      <c r="A1481" s="8" t="str">
        <f>IFERROR(__xludf.DUMMYFUNCTION("""COMPUTED_VALUE"""),"tittiesgolf")</f>
        <v>tittiesgolf</v>
      </c>
    </row>
    <row r="1482">
      <c r="A1482" s="8" t="str">
        <f>IFERROR(__xludf.DUMMYFUNCTION("""COMPUTED_VALUE"""),"tubes_ange_golflife")</f>
        <v>tubes_ange_golflife</v>
      </c>
    </row>
    <row r="1483">
      <c r="A1483" s="8" t="str">
        <f>IFERROR(__xludf.DUMMYFUNCTION("""COMPUTED_VALUE"""),"usga")</f>
        <v>usga</v>
      </c>
    </row>
    <row r="1484">
      <c r="A1484" s="8" t="str">
        <f>IFERROR(__xludf.DUMMYFUNCTION("""COMPUTED_VALUE"""),"ziregolf")</f>
        <v>ziregolf</v>
      </c>
    </row>
    <row r="1485">
      <c r="A1485" s="8" t="str">
        <f>IFERROR(__xludf.DUMMYFUNCTION("""COMPUTED_VALUE"""),"1up_crew_official")</f>
        <v>1up_crew_official</v>
      </c>
    </row>
    <row r="1486">
      <c r="A1486" s="8" t="str">
        <f>IFERROR(__xludf.DUMMYFUNCTION("""COMPUTED_VALUE"""),"graff.0ne")</f>
        <v>graff.0ne</v>
      </c>
    </row>
    <row r="1487">
      <c r="A1487" s="8" t="str">
        <f>IFERROR(__xludf.DUMMYFUNCTION("""COMPUTED_VALUE"""),"graffiti")</f>
        <v>graffiti</v>
      </c>
    </row>
    <row r="1488">
      <c r="A1488" s="8" t="str">
        <f>IFERROR(__xludf.DUMMYFUNCTION("""COMPUTED_VALUE"""),"gra.ffi.ti_")</f>
        <v>gra.ffi.ti_</v>
      </c>
    </row>
    <row r="1489">
      <c r="A1489" s="8" t="str">
        <f>IFERROR(__xludf.DUMMYFUNCTION("""COMPUTED_VALUE"""),"graffiti.alphabet_")</f>
        <v>graffiti.alphabet_</v>
      </c>
    </row>
    <row r="1490">
      <c r="A1490" s="8" t="str">
        <f>IFERROR(__xludf.DUMMYFUNCTION("""COMPUTED_VALUE"""),"graffitibydave")</f>
        <v>graffitibydave</v>
      </c>
    </row>
    <row r="1491">
      <c r="A1491" s="8" t="str">
        <f>IFERROR(__xludf.DUMMYFUNCTION("""COMPUTED_VALUE"""),"graffiti_legends")</f>
        <v>graffiti_legends</v>
      </c>
    </row>
    <row r="1492">
      <c r="A1492" s="8" t="str">
        <f>IFERROR(__xludf.DUMMYFUNCTION("""COMPUTED_VALUE"""),"graffiti.skills")</f>
        <v>graffiti.skills</v>
      </c>
    </row>
    <row r="1493">
      <c r="A1493" s="8" t="str">
        <f>IFERROR(__xludf.DUMMYFUNCTION("""COMPUTED_VALUE"""),"graffiti_vm")</f>
        <v>graffiti_vm</v>
      </c>
    </row>
    <row r="1494">
      <c r="A1494" s="8" t="str">
        <f>IFERROR(__xludf.DUMMYFUNCTION("""COMPUTED_VALUE"""),"graffiti.wildstyle")</f>
        <v>graffiti.wildstyle</v>
      </c>
    </row>
    <row r="1495">
      <c r="A1495" s="8" t="str">
        <f>IFERROR(__xludf.DUMMYFUNCTION("""COMPUTED_VALUE"""),"muralgraffitis")</f>
        <v>muralgraffitis</v>
      </c>
    </row>
    <row r="1496">
      <c r="A1496" s="8" t="str">
        <f>IFERROR(__xludf.DUMMYFUNCTION("""COMPUTED_VALUE"""),"museumofgraffiti")</f>
        <v>museumofgraffiti</v>
      </c>
    </row>
    <row r="1497">
      <c r="A1497" s="8" t="str">
        <f>IFERROR(__xludf.DUMMYFUNCTION("""COMPUTED_VALUE"""),"passivecrime")</f>
        <v>passivecrime</v>
      </c>
    </row>
    <row r="1498">
      <c r="A1498" s="8" t="str">
        <f>IFERROR(__xludf.DUMMYFUNCTION("""COMPUTED_VALUE"""),"pornograffiti")</f>
        <v>pornograffiti</v>
      </c>
    </row>
    <row r="1499">
      <c r="A1499" s="8" t="str">
        <f>IFERROR(__xludf.DUMMYFUNCTION("""COMPUTED_VALUE"""),"grwm246")</f>
        <v>grwm246</v>
      </c>
    </row>
    <row r="1500">
      <c r="A1500" s="8" t="str">
        <f>IFERROR(__xludf.DUMMYFUNCTION("""COMPUTED_VALUE"""),"grwmcosmetics")</f>
        <v>grwmcosmetics</v>
      </c>
    </row>
    <row r="1501">
      <c r="A1501" s="8" t="str">
        <f>IFERROR(__xludf.DUMMYFUNCTION("""COMPUTED_VALUE"""),"grwm_haul_auri_noemi_")</f>
        <v>grwm_haul_auri_noemi_</v>
      </c>
    </row>
    <row r="1502">
      <c r="A1502" s="8" t="str">
        <f>IFERROR(__xludf.DUMMYFUNCTION("""COMPUTED_VALUE"""),"grwm.haya")</f>
        <v>grwm.haya</v>
      </c>
    </row>
    <row r="1503">
      <c r="A1503" s="8" t="str">
        <f>IFERROR(__xludf.DUMMYFUNCTION("""COMPUTED_VALUE"""),"grwm._isaaa")</f>
        <v>grwm._isaaa</v>
      </c>
    </row>
    <row r="1504">
      <c r="A1504" s="8" t="str">
        <f>IFERROR(__xludf.DUMMYFUNCTION("""COMPUTED_VALUE"""),"life.w.bex")</f>
        <v>life.w.bex</v>
      </c>
    </row>
    <row r="1505">
      <c r="A1505" s="8" t="str">
        <f>IFERROR(__xludf.DUMMYFUNCTION("""COMPUTED_VALUE"""),"mashylkins_s")</f>
        <v>mashylkins_s</v>
      </c>
    </row>
    <row r="1506">
      <c r="A1506" s="8" t="str">
        <f>IFERROR(__xludf.DUMMYFUNCTION("""COMPUTED_VALUE"""),"andreaaragon_hairstyle")</f>
        <v>andreaaragon_hairstyle</v>
      </c>
    </row>
    <row r="1507">
      <c r="A1507" s="8" t="str">
        <f>IFERROR(__xludf.DUMMYFUNCTION("""COMPUTED_VALUE"""),"boys_hairs_style")</f>
        <v>boys_hairs_style</v>
      </c>
    </row>
    <row r="1508">
      <c r="A1508" s="8" t="str">
        <f>IFERROR(__xludf.DUMMYFUNCTION("""COMPUTED_VALUE"""),"edges_curlyys")</f>
        <v>edges_curlyys</v>
      </c>
    </row>
    <row r="1509">
      <c r="A1509" s="8" t="str">
        <f>IFERROR(__xludf.DUMMYFUNCTION("""COMPUTED_VALUE"""),"hairmanstyles")</f>
        <v>hairmanstyles</v>
      </c>
    </row>
    <row r="1510">
      <c r="A1510" s="8" t="str">
        <f>IFERROR(__xludf.DUMMYFUNCTION("""COMPUTED_VALUE"""),"hairstyleguys")</f>
        <v>hairstyleguys</v>
      </c>
    </row>
    <row r="1511">
      <c r="A1511" s="8" t="str">
        <f>IFERROR(__xludf.DUMMYFUNCTION("""COMPUTED_VALUE"""),"hairstyle_jihye")</f>
        <v>hairstyle_jihye</v>
      </c>
    </row>
    <row r="1512">
      <c r="A1512" s="8" t="str">
        <f>IFERROR(__xludf.DUMMYFUNCTION("""COMPUTED_VALUE"""),"hairstylemens")</f>
        <v>hairstylemens</v>
      </c>
    </row>
    <row r="1513">
      <c r="A1513" s="8" t="str">
        <f>IFERROR(__xludf.DUMMYFUNCTION("""COMPUTED_VALUE"""),"hairstyle_story")</f>
        <v>hairstyle_story</v>
      </c>
    </row>
    <row r="1514">
      <c r="A1514" s="8" t="str">
        <f>IFERROR(__xludf.DUMMYFUNCTION("""COMPUTED_VALUE"""),"inspirehairstyles")</f>
        <v>inspirehairstyles</v>
      </c>
    </row>
    <row r="1515">
      <c r="A1515" s="8" t="str">
        <f>IFERROR(__xludf.DUMMYFUNCTION("""COMPUTED_VALUE"""),"mens_hairstyle")</f>
        <v>mens_hairstyle</v>
      </c>
    </row>
    <row r="1516">
      <c r="A1516" s="8" t="str">
        <f>IFERROR(__xludf.DUMMYFUNCTION("""COMPUTED_VALUE"""),"menshairstylegoals")</f>
        <v>menshairstylegoals</v>
      </c>
    </row>
    <row r="1517">
      <c r="A1517" s="8" t="str">
        <f>IFERROR(__xludf.DUMMYFUNCTION("""COMPUTED_VALUE"""),"mr.rus.hairstyle")</f>
        <v>mr.rus.hairstyle</v>
      </c>
    </row>
    <row r="1518">
      <c r="A1518" s="8" t="str">
        <f>IFERROR(__xludf.DUMMYFUNCTION("""COMPUTED_VALUE"""),"poppy_hairstyles")</f>
        <v>poppy_hairstyles</v>
      </c>
    </row>
    <row r="1519">
      <c r="A1519" s="8" t="str">
        <f>IFERROR(__xludf.DUMMYFUNCTION("""COMPUTED_VALUE"""),"style_hair_tips_")</f>
        <v>style_hair_tips_</v>
      </c>
    </row>
    <row r="1520">
      <c r="A1520" s="8" t="str">
        <f>IFERROR(__xludf.DUMMYFUNCTION("""COMPUTED_VALUE"""),"allmodernhair")</f>
        <v>allmodernhair</v>
      </c>
    </row>
    <row r="1521">
      <c r="A1521" s="8" t="str">
        <f>IFERROR(__xludf.DUMMYFUNCTION("""COMPUTED_VALUE"""),"hair.killa")</f>
        <v>hair.killa</v>
      </c>
    </row>
    <row r="1522">
      <c r="A1522" s="8" t="str">
        <f>IFERROR(__xludf.DUMMYFUNCTION("""COMPUTED_VALUE"""),"hairs")</f>
        <v>hairs</v>
      </c>
    </row>
    <row r="1523">
      <c r="A1523" s="8" t="str">
        <f>IFERROR(__xludf.DUMMYFUNCTION("""COMPUTED_VALUE"""),"hairs.diy")</f>
        <v>hairs.diy</v>
      </c>
    </row>
    <row r="1524">
      <c r="A1524" s="8" t="str">
        <f>IFERROR(__xludf.DUMMYFUNCTION("""COMPUTED_VALUE"""),"hairtuber")</f>
        <v>hairtuber</v>
      </c>
    </row>
    <row r="1525">
      <c r="A1525" s="8" t="str">
        <f>IFERROR(__xludf.DUMMYFUNCTION("""COMPUTED_VALUE"""),"hairtutorials")</f>
        <v>hairtutorials</v>
      </c>
    </row>
    <row r="1526">
      <c r="A1526" s="8" t="str">
        <f>IFERROR(__xludf.DUMMYFUNCTION("""COMPUTED_VALUE"""),"hair_tutorials")</f>
        <v>hair_tutorials</v>
      </c>
    </row>
    <row r="1527">
      <c r="A1527" s="8" t="str">
        <f>IFERROR(__xludf.DUMMYFUNCTION("""COMPUTED_VALUE"""),"hair.tutorials.and.lifestyle")</f>
        <v>hair.tutorials.and.lifestyle</v>
      </c>
    </row>
    <row r="1528">
      <c r="A1528" s="8" t="str">
        <f>IFERROR(__xludf.DUMMYFUNCTION("""COMPUTED_VALUE"""),"howtohair")</f>
        <v>howtohair</v>
      </c>
    </row>
    <row r="1529">
      <c r="A1529" s="8" t="str">
        <f>IFERROR(__xludf.DUMMYFUNCTION("""COMPUTED_VALUE"""),"afroyla.handbags")</f>
        <v>afroyla.handbags</v>
      </c>
    </row>
    <row r="1530">
      <c r="A1530" s="8" t="str">
        <f>IFERROR(__xludf.DUMMYFUNCTION("""COMPUTED_VALUE"""),"christieshandbags")</f>
        <v>christieshandbags</v>
      </c>
    </row>
    <row r="1531">
      <c r="A1531" s="8" t="str">
        <f>IFERROR(__xludf.DUMMYFUNCTION("""COMPUTED_VALUE"""),"clutcheeet")</f>
        <v>clutcheeet</v>
      </c>
    </row>
    <row r="1532">
      <c r="A1532" s="8" t="str">
        <f>IFERROR(__xludf.DUMMYFUNCTION("""COMPUTED_VALUE"""),"dallasdesignerhandbags")</f>
        <v>dallasdesignerhandbags</v>
      </c>
    </row>
    <row r="1533">
      <c r="A1533" s="8" t="str">
        <f>IFERROR(__xludf.DUMMYFUNCTION("""COMPUTED_VALUE"""),"elahandbags")</f>
        <v>elahandbags</v>
      </c>
    </row>
    <row r="1534">
      <c r="A1534" s="8" t="str">
        <f>IFERROR(__xludf.DUMMYFUNCTION("""COMPUTED_VALUE"""),"handbagsbymoksh")</f>
        <v>handbagsbymoksh</v>
      </c>
    </row>
    <row r="1535">
      <c r="A1535" s="8" t="str">
        <f>IFERROR(__xludf.DUMMYFUNCTION("""COMPUTED_VALUE"""),"_haute_sauce_")</f>
        <v>_haute_sauce_</v>
      </c>
    </row>
    <row r="1536">
      <c r="A1536" s="8" t="str">
        <f>IFERROR(__xludf.DUMMYFUNCTION("""COMPUTED_VALUE"""),"hollyclosetcase")</f>
        <v>hollyclosetcase</v>
      </c>
    </row>
    <row r="1537">
      <c r="A1537" s="8" t="str">
        <f>IFERROR(__xludf.DUMMYFUNCTION("""COMPUTED_VALUE"""),"house_of_.handbags")</f>
        <v>house_of_.handbags</v>
      </c>
    </row>
    <row r="1538">
      <c r="A1538" s="8" t="str">
        <f>IFERROR(__xludf.DUMMYFUNCTION("""COMPUTED_VALUE"""),"keekshandbags")</f>
        <v>keekshandbags</v>
      </c>
    </row>
    <row r="1539">
      <c r="A1539" s="8" t="str">
        <f>IFERROR(__xludf.DUMMYFUNCTION("""COMPUTED_VALUE"""),"sarahharanuk")</f>
        <v>sarahharanuk</v>
      </c>
    </row>
    <row r="1540">
      <c r="A1540" s="8" t="str">
        <f>IFERROR(__xludf.DUMMYFUNCTION("""COMPUTED_VALUE"""),"shopbeachhaus")</f>
        <v>shopbeachhaus</v>
      </c>
    </row>
    <row r="1541">
      <c r="A1541" s="8" t="str">
        <f>IFERROR(__xludf.DUMMYFUNCTION("""COMPUTED_VALUE"""),"tanandloom")</f>
        <v>tanandloom</v>
      </c>
    </row>
    <row r="1542">
      <c r="A1542" s="8" t="str">
        <f>IFERROR(__xludf.DUMMYFUNCTION("""COMPUTED_VALUE"""),"grwm_haul_auri_noemi_")</f>
        <v>grwm_haul_auri_noemi_</v>
      </c>
    </row>
    <row r="1543">
      <c r="A1543" s="8" t="str">
        <f>IFERROR(__xludf.DUMMYFUNCTION("""COMPUTED_VALUE"""),"haul")</f>
        <v>haul</v>
      </c>
    </row>
    <row r="1544">
      <c r="A1544" s="8" t="str">
        <f>IFERROR(__xludf.DUMMYFUNCTION("""COMPUTED_VALUE"""),"haul_now")</f>
        <v>haul_now</v>
      </c>
    </row>
    <row r="1545">
      <c r="A1545" s="8" t="str">
        <f>IFERROR(__xludf.DUMMYFUNCTION("""COMPUTED_VALUE"""),"haul.pack")</f>
        <v>haul.pack</v>
      </c>
    </row>
    <row r="1546">
      <c r="A1546" s="8" t="str">
        <f>IFERROR(__xludf.DUMMYFUNCTION("""COMPUTED_VALUE"""),"haulswithmiaa")</f>
        <v>haulswithmiaa</v>
      </c>
    </row>
    <row r="1547">
      <c r="A1547" s="8" t="str">
        <f>IFERROR(__xludf.DUMMYFUNCTION("""COMPUTED_VALUE"""),"uhaul")</f>
        <v>uhaul</v>
      </c>
    </row>
    <row r="1548">
      <c r="A1548" s="8" t="str">
        <f>IFERROR(__xludf.DUMMYFUNCTION("""COMPUTED_VALUE"""),"wavy_boats")</f>
        <v>wavy_boats</v>
      </c>
    </row>
    <row r="1549">
      <c r="A1549" s="8" t="str">
        <f>IFERROR(__xludf.DUMMYFUNCTION("""COMPUTED_VALUE"""),"ye_haul")</f>
        <v>ye_haul</v>
      </c>
    </row>
    <row r="1550">
      <c r="A1550" s="8" t="str">
        <f>IFERROR(__xludf.DUMMYFUNCTION("""COMPUTED_VALUE"""),"haute_couture_bride")</f>
        <v>haute_couture_bride</v>
      </c>
    </row>
    <row r="1551">
      <c r="A1551" s="11" t="str">
        <f>IFERROR(__xludf.DUMMYFUNCTION("""COMPUTED_VALUE"""),"hautecouture.cc")</f>
        <v>hautecouture.cc</v>
      </c>
    </row>
    <row r="1552">
      <c r="A1552" s="8" t="str">
        <f>IFERROR(__xludf.DUMMYFUNCTION("""COMPUTED_VALUE"""),"haute.couture.jana")</f>
        <v>haute.couture.jana</v>
      </c>
    </row>
    <row r="1553">
      <c r="A1553" s="8" t="str">
        <f>IFERROR(__xludf.DUMMYFUNCTION("""COMPUTED_VALUE"""),"haute_couture_jewellery")</f>
        <v>haute_couture_jewellery</v>
      </c>
    </row>
    <row r="1554">
      <c r="A1554" s="8" t="str">
        <f>IFERROR(__xludf.DUMMYFUNCTION("""COMPUTED_VALUE"""),"hautecoutureweek")</f>
        <v>hautecoutureweek</v>
      </c>
    </row>
    <row r="1555">
      <c r="A1555" s="8" t="str">
        <f>IFERROR(__xludf.DUMMYFUNCTION("""COMPUTED_VALUE"""),"instahautecouture")</f>
        <v>instahautecouture</v>
      </c>
    </row>
    <row r="1556">
      <c r="A1556" s="8" t="str">
        <f>IFERROR(__xludf.DUMMYFUNCTION("""COMPUTED_VALUE"""),"mla_couture1")</f>
        <v>mla_couture1</v>
      </c>
    </row>
    <row r="1557">
      <c r="A1557" s="8" t="str">
        <f>IFERROR(__xludf.DUMMYFUNCTION("""COMPUTED_VALUE"""),"nh_hautecouture")</f>
        <v>nh_hautecouture</v>
      </c>
    </row>
    <row r="1558">
      <c r="A1558" s="8" t="str">
        <f>IFERROR(__xludf.DUMMYFUNCTION("""COMPUTED_VALUE"""),"eatinghealthyfeed")</f>
        <v>eatinghealthyfeed</v>
      </c>
    </row>
    <row r="1559">
      <c r="A1559" s="8" t="str">
        <f>IFERROR(__xludf.DUMMYFUNCTION("""COMPUTED_VALUE"""),"eatinghealthygram")</f>
        <v>eatinghealthygram</v>
      </c>
    </row>
    <row r="1560">
      <c r="A1560" s="8" t="str">
        <f>IFERROR(__xludf.DUMMYFUNCTION("""COMPUTED_VALUE"""),"eatinghealthymag")</f>
        <v>eatinghealthymag</v>
      </c>
    </row>
    <row r="1561">
      <c r="A1561" s="8" t="str">
        <f>IFERROR(__xludf.DUMMYFUNCTION("""COMPUTED_VALUE"""),"eatinghealthytoday")</f>
        <v>eatinghealthytoday</v>
      </c>
    </row>
    <row r="1562">
      <c r="A1562" s="8" t="str">
        <f>IFERROR(__xludf.DUMMYFUNCTION("""COMPUTED_VALUE"""),"healthyeating")</f>
        <v>healthyeating</v>
      </c>
    </row>
    <row r="1563">
      <c r="A1563" s="8" t="str">
        <f>IFERROR(__xludf.DUMMYFUNCTION("""COMPUTED_VALUE"""),"healthyeatingfeed")</f>
        <v>healthyeatingfeed</v>
      </c>
    </row>
    <row r="1564">
      <c r="A1564" s="8" t="str">
        <f>IFERROR(__xludf.DUMMYFUNCTION("""COMPUTED_VALUE"""),"healthy_eating_habit")</f>
        <v>healthy_eating_habit</v>
      </c>
    </row>
    <row r="1565">
      <c r="A1565" s="8" t="str">
        <f>IFERROR(__xludf.DUMMYFUNCTION("""COMPUTED_VALUE"""),"healthyeatingme")</f>
        <v>healthyeatingme</v>
      </c>
    </row>
    <row r="1566">
      <c r="A1566" s="8" t="str">
        <f>IFERROR(__xludf.DUMMYFUNCTION("""COMPUTED_VALUE"""),"healthy_eating_today_")</f>
        <v>healthy_eating_today_</v>
      </c>
    </row>
    <row r="1567">
      <c r="A1567" s="8" t="str">
        <f>IFERROR(__xludf.DUMMYFUNCTION("""COMPUTED_VALUE"""),"healthyeating.today")</f>
        <v>healthyeating.today</v>
      </c>
    </row>
    <row r="1568">
      <c r="A1568" s="8" t="str">
        <f>IFERROR(__xludf.DUMMYFUNCTION("""COMPUTED_VALUE"""),"healthymealgram")</f>
        <v>healthymealgram</v>
      </c>
    </row>
    <row r="1569">
      <c r="A1569" s="8" t="str">
        <f>IFERROR(__xludf.DUMMYFUNCTION("""COMPUTED_VALUE"""),"healthyy_eating1")</f>
        <v>healthyy_eating1</v>
      </c>
    </row>
    <row r="1570">
      <c r="A1570" s="8" t="str">
        <f>IFERROR(__xludf.DUMMYFUNCTION("""COMPUTED_VALUE"""),"genuinely.healthy")</f>
        <v>genuinely.healthy</v>
      </c>
    </row>
    <row r="1571">
      <c r="A1571" s="8" t="str">
        <f>IFERROR(__xludf.DUMMYFUNCTION("""COMPUTED_VALUE"""),"healthy_lifestyle0023")</f>
        <v>healthy_lifestyle0023</v>
      </c>
    </row>
    <row r="1572">
      <c r="A1572" s="8" t="str">
        <f>IFERROR(__xludf.DUMMYFUNCTION("""COMPUTED_VALUE"""),"healthy.lifestyle_17")</f>
        <v>healthy.lifestyle_17</v>
      </c>
    </row>
    <row r="1573">
      <c r="A1573" s="8" t="str">
        <f>IFERROR(__xludf.DUMMYFUNCTION("""COMPUTED_VALUE"""),"healthy_lifestyle.34")</f>
        <v>healthy_lifestyle.34</v>
      </c>
    </row>
    <row r="1574">
      <c r="A1574" s="8" t="str">
        <f>IFERROR(__xludf.DUMMYFUNCTION("""COMPUTED_VALUE"""),"healthy_lifestyle_community")</f>
        <v>healthy_lifestyle_community</v>
      </c>
    </row>
    <row r="1575">
      <c r="A1575" s="8" t="str">
        <f>IFERROR(__xludf.DUMMYFUNCTION("""COMPUTED_VALUE"""),"healthy_lifestyle__community")</f>
        <v>healthy_lifestyle__community</v>
      </c>
    </row>
    <row r="1576">
      <c r="A1576" s="8" t="str">
        <f>IFERROR(__xludf.DUMMYFUNCTION("""COMPUTED_VALUE"""),"healthylifestyle.elisaarroyo")</f>
        <v>healthylifestyle.elisaarroyo</v>
      </c>
    </row>
    <row r="1577">
      <c r="A1577" s="8" t="str">
        <f>IFERROR(__xludf.DUMMYFUNCTION("""COMPUTED_VALUE"""),"healthy_lifestyle_rola")</f>
        <v>healthy_lifestyle_rola</v>
      </c>
    </row>
    <row r="1578">
      <c r="A1578" s="8" t="str">
        <f>IFERROR(__xludf.DUMMYFUNCTION("""COMPUTED_VALUE"""),"healthy_style72")</f>
        <v>healthy_style72</v>
      </c>
    </row>
    <row r="1579">
      <c r="A1579" s="8" t="str">
        <f>IFERROR(__xludf.DUMMYFUNCTION("""COMPUTED_VALUE"""),"stayhealthy_.lifestyle__")</f>
        <v>stayhealthy_.lifestyle__</v>
      </c>
    </row>
    <row r="1580">
      <c r="A1580" s="8" t="str">
        <f>IFERROR(__xludf.DUMMYFUNCTION("""COMPUTED_VALUE"""),"timeinvestors")</f>
        <v>timeinvestors</v>
      </c>
    </row>
    <row r="1581">
      <c r="A1581" s="8" t="str">
        <f>IFERROR(__xludf.DUMMYFUNCTION("""COMPUTED_VALUE"""),"courtneydblack")</f>
        <v>courtneydblack</v>
      </c>
    </row>
    <row r="1582">
      <c r="A1582" s="8" t="str">
        <f>IFERROR(__xludf.DUMMYFUNCTION("""COMPUTED_VALUE"""),"courtneydblack")</f>
        <v>courtneydblack</v>
      </c>
    </row>
    <row r="1583">
      <c r="A1583" s="8" t="str">
        <f>IFERROR(__xludf.DUMMYFUNCTION("""COMPUTED_VALUE"""),"doctorbowl")</f>
        <v>doctorbowl</v>
      </c>
    </row>
    <row r="1584">
      <c r="A1584" s="8" t="str">
        <f>IFERROR(__xludf.DUMMYFUNCTION("""COMPUTED_VALUE"""),"doctorbowl")</f>
        <v>doctorbowl</v>
      </c>
    </row>
    <row r="1585">
      <c r="A1585" s="8" t="str">
        <f>IFERROR(__xludf.DUMMYFUNCTION("""COMPUTED_VALUE"""),"fitfoodieselma")</f>
        <v>fitfoodieselma</v>
      </c>
    </row>
    <row r="1586">
      <c r="A1586" s="8" t="str">
        <f>IFERROR(__xludf.DUMMYFUNCTION("""COMPUTED_VALUE"""),"fitfoodieselma")</f>
        <v>fitfoodieselma</v>
      </c>
    </row>
    <row r="1587">
      <c r="A1587" s="8" t="str">
        <f>IFERROR(__xludf.DUMMYFUNCTION("""COMPUTED_VALUE"""),"fithealthyrecipes")</f>
        <v>fithealthyrecipes</v>
      </c>
    </row>
    <row r="1588">
      <c r="A1588" s="8" t="str">
        <f>IFERROR(__xludf.DUMMYFUNCTION("""COMPUTED_VALUE"""),"fithealthyrecipes")</f>
        <v>fithealthyrecipes</v>
      </c>
    </row>
    <row r="1589">
      <c r="A1589" s="8" t="str">
        <f>IFERROR(__xludf.DUMMYFUNCTION("""COMPUTED_VALUE"""),"healthy_floflo")</f>
        <v>healthy_floflo</v>
      </c>
    </row>
    <row r="1590">
      <c r="A1590" s="8" t="str">
        <f>IFERROR(__xludf.DUMMYFUNCTION("""COMPUTED_VALUE"""),"healthygirlkitchen")</f>
        <v>healthygirlkitchen</v>
      </c>
    </row>
    <row r="1591">
      <c r="A1591" s="8" t="str">
        <f>IFERROR(__xludf.DUMMYFUNCTION("""COMPUTED_VALUE"""),"healthygirlkitchen")</f>
        <v>healthygirlkitchen</v>
      </c>
    </row>
    <row r="1592">
      <c r="A1592" s="8" t="str">
        <f>IFERROR(__xludf.DUMMYFUNCTION("""COMPUTED_VALUE"""),"healthyminutemeals")</f>
        <v>healthyminutemeals</v>
      </c>
    </row>
    <row r="1593">
      <c r="A1593" s="8" t="str">
        <f>IFERROR(__xludf.DUMMYFUNCTION("""COMPUTED_VALUE"""),"healthyminutemeals")</f>
        <v>healthyminutemeals</v>
      </c>
    </row>
    <row r="1594">
      <c r="A1594" s="11" t="str">
        <f>IFERROR(__xludf.DUMMYFUNCTION("""COMPUTED_VALUE"""),"heartinabowl.co")</f>
        <v>heartinabowl.co</v>
      </c>
    </row>
    <row r="1595">
      <c r="A1595" s="11" t="str">
        <f>IFERROR(__xludf.DUMMYFUNCTION("""COMPUTED_VALUE"""),"heartinabowl.co")</f>
        <v>heartinabowl.co</v>
      </c>
    </row>
    <row r="1596">
      <c r="A1596" s="8" t="str">
        <f>IFERROR(__xludf.DUMMYFUNCTION("""COMPUTED_VALUE"""),"jazzleaf_")</f>
        <v>jazzleaf_</v>
      </c>
    </row>
    <row r="1597">
      <c r="A1597" s="8" t="str">
        <f>IFERROR(__xludf.DUMMYFUNCTION("""COMPUTED_VALUE"""),"learnlively")</f>
        <v>learnlively</v>
      </c>
    </row>
    <row r="1598">
      <c r="A1598" s="8" t="str">
        <f>IFERROR(__xludf.DUMMYFUNCTION("""COMPUTED_VALUE"""),"meal.recipess")</f>
        <v>meal.recipess</v>
      </c>
    </row>
    <row r="1599">
      <c r="A1599" s="8" t="str">
        <f>IFERROR(__xludf.DUMMYFUNCTION("""COMPUTED_VALUE"""),"nutrition_planet")</f>
        <v>nutrition_planet</v>
      </c>
    </row>
    <row r="1600">
      <c r="A1600" s="8" t="str">
        <f>IFERROR(__xludf.DUMMYFUNCTION("""COMPUTED_VALUE"""),"selfloverecipes.ig")</f>
        <v>selfloverecipes.ig</v>
      </c>
    </row>
    <row r="1601">
      <c r="A1601" s="8" t="str">
        <f>IFERROR(__xludf.DUMMYFUNCTION("""COMPUTED_VALUE"""),"skinnytaste")</f>
        <v>skinnytaste</v>
      </c>
    </row>
    <row r="1602">
      <c r="A1602" s="8" t="str">
        <f>IFERROR(__xludf.DUMMYFUNCTION("""COMPUTED_VALUE"""),"skinnytaste")</f>
        <v>skinnytaste</v>
      </c>
    </row>
    <row r="1603">
      <c r="A1603" s="8" t="str">
        <f>IFERROR(__xludf.DUMMYFUNCTION("""COMPUTED_VALUE"""),"tastyhealthy_recipes")</f>
        <v>tastyhealthy_recipes</v>
      </c>
    </row>
    <row r="1604">
      <c r="A1604" s="8" t="str">
        <f>IFERROR(__xludf.DUMMYFUNCTION("""COMPUTED_VALUE"""),"thedishonhealthy")</f>
        <v>thedishonhealthy</v>
      </c>
    </row>
    <row r="1605">
      <c r="A1605" s="8" t="str">
        <f>IFERROR(__xludf.DUMMYFUNCTION("""COMPUTED_VALUE"""),"thehealthy_version")</f>
        <v>thehealthy_version</v>
      </c>
    </row>
    <row r="1606">
      <c r="A1606" s="8" t="str">
        <f>IFERROR(__xludf.DUMMYFUNCTION("""COMPUTED_VALUE"""),"thehealthy_version")</f>
        <v>thehealthy_version</v>
      </c>
    </row>
    <row r="1607">
      <c r="A1607" s="8" t="str">
        <f>IFERROR(__xludf.DUMMYFUNCTION("""COMPUTED_VALUE"""),"thepracticalprep")</f>
        <v>thepracticalprep</v>
      </c>
    </row>
    <row r="1608">
      <c r="A1608" s="8" t="str">
        <f>IFERROR(__xludf.DUMMYFUNCTION("""COMPUTED_VALUE"""),"veganmonarchy")</f>
        <v>veganmonarchy</v>
      </c>
    </row>
    <row r="1609">
      <c r="A1609" s="8" t="str">
        <f>IFERROR(__xludf.DUMMYFUNCTION("""COMPUTED_VALUE"""),"whole.30.family")</f>
        <v>whole.30.family</v>
      </c>
    </row>
    <row r="1610">
      <c r="A1610" s="8" t="str">
        <f>IFERROR(__xludf.DUMMYFUNCTION("""COMPUTED_VALUE"""),"_hidden.gems__")</f>
        <v>_hidden.gems__</v>
      </c>
    </row>
    <row r="1611">
      <c r="A1611" s="8" t="str">
        <f>IFERROR(__xludf.DUMMYFUNCTION("""COMPUTED_VALUE"""),"hiddengems.bylove")</f>
        <v>hiddengems.bylove</v>
      </c>
    </row>
    <row r="1612">
      <c r="A1612" s="11" t="str">
        <f>IFERROR(__xludf.DUMMYFUNCTION("""COMPUTED_VALUE"""),"hiddengems.me")</f>
        <v>hiddengems.me</v>
      </c>
    </row>
    <row r="1613">
      <c r="A1613" s="8" t="str">
        <f>IFERROR(__xludf.DUMMYFUNCTION("""COMPUTED_VALUE"""),"hiddenjemmmig")</f>
        <v>hiddenjemmmig</v>
      </c>
    </row>
    <row r="1614">
      <c r="A1614" s="8" t="str">
        <f>IFERROR(__xludf.DUMMYFUNCTION("""COMPUTED_VALUE"""),"hiddenukgems")</f>
        <v>hiddenukgems</v>
      </c>
    </row>
    <row r="1615">
      <c r="A1615" s="8" t="str">
        <f>IFERROR(__xludf.DUMMYFUNCTION("""COMPUTED_VALUE"""),"london_hiddengems")</f>
        <v>london_hiddengems</v>
      </c>
    </row>
    <row r="1616">
      <c r="A1616" s="8" t="str">
        <f>IFERROR(__xludf.DUMMYFUNCTION("""COMPUTED_VALUE"""),"ukhiddengems")</f>
        <v>ukhiddengems</v>
      </c>
    </row>
    <row r="1617">
      <c r="A1617" s="8" t="str">
        <f>IFERROR(__xludf.DUMMYFUNCTION("""COMPUTED_VALUE"""),"vietnam.hiddengems")</f>
        <v>vietnam.hiddengems</v>
      </c>
    </row>
    <row r="1618">
      <c r="A1618" s="8" t="str">
        <f>IFERROR(__xludf.DUMMYFUNCTION("""COMPUTED_VALUE"""),"elizabeth_zolotova")</f>
        <v>elizabeth_zolotova</v>
      </c>
    </row>
    <row r="1619">
      <c r="A1619" s="8" t="str">
        <f>IFERROR(__xludf.DUMMYFUNCTION("""COMPUTED_VALUE"""),"high_heels.100pc.sexy")</f>
        <v>high_heels.100pc.sexy</v>
      </c>
    </row>
    <row r="1620">
      <c r="A1620" s="8" t="str">
        <f>IFERROR(__xludf.DUMMYFUNCTION("""COMPUTED_VALUE"""),"highheelsandcartwheels")</f>
        <v>highheelsandcartwheels</v>
      </c>
    </row>
    <row r="1621">
      <c r="A1621" s="8" t="str">
        <f>IFERROR(__xludf.DUMMYFUNCTION("""COMPUTED_VALUE"""),"highheelsart")</f>
        <v>highheelsart</v>
      </c>
    </row>
    <row r="1622">
      <c r="A1622" s="8" t="str">
        <f>IFERROR(__xludf.DUMMYFUNCTION("""COMPUTED_VALUE"""),"highheels_by_fusswolfgang")</f>
        <v>highheels_by_fusswolfgang</v>
      </c>
    </row>
    <row r="1623">
      <c r="A1623" s="8" t="str">
        <f>IFERROR(__xludf.DUMMYFUNCTION("""COMPUTED_VALUE"""),"high.heels_convention")</f>
        <v>high.heels_convention</v>
      </c>
    </row>
    <row r="1624">
      <c r="A1624" s="11" t="str">
        <f>IFERROR(__xludf.DUMMYFUNCTION("""COMPUTED_VALUE"""),"highheels.ru")</f>
        <v>highheels.ru</v>
      </c>
    </row>
    <row r="1625">
      <c r="A1625" s="8" t="str">
        <f>IFERROR(__xludf.DUMMYFUNCTION("""COMPUTED_VALUE"""),"high_heelss_")</f>
        <v>high_heelss_</v>
      </c>
    </row>
    <row r="1626">
      <c r="A1626" s="8" t="str">
        <f>IFERROR(__xludf.DUMMYFUNCTION("""COMPUTED_VALUE"""),"high.heelsshoes")</f>
        <v>high.heelsshoes</v>
      </c>
    </row>
    <row r="1627">
      <c r="A1627" s="8" t="str">
        <f>IFERROR(__xludf.DUMMYFUNCTION("""COMPUTED_VALUE"""),"high.heels.shoes")</f>
        <v>high.heels.shoes</v>
      </c>
    </row>
    <row r="1628">
      <c r="A1628" s="8" t="str">
        <f>IFERROR(__xludf.DUMMYFUNCTION("""COMPUTED_VALUE"""),"high_heels_work_daily")</f>
        <v>high_heels_work_daily</v>
      </c>
    </row>
    <row r="1629">
      <c r="A1629" s="8" t="str">
        <f>IFERROR(__xludf.DUMMYFUNCTION("""COMPUTED_VALUE"""),"onlyskyhighheels")</f>
        <v>onlyskyhighheels</v>
      </c>
    </row>
    <row r="1630">
      <c r="A1630" s="8" t="str">
        <f>IFERROR(__xludf.DUMMYFUNCTION("""COMPUTED_VALUE"""),"skyhigh_heels")</f>
        <v>skyhigh_heels</v>
      </c>
    </row>
    <row r="1631">
      <c r="A1631" s="8" t="str">
        <f>IFERROR(__xludf.DUMMYFUNCTION("""COMPUTED_VALUE"""),"thegirlinskyhighheels")</f>
        <v>thegirlinskyhighheels</v>
      </c>
    </row>
    <row r="1632">
      <c r="A1632" s="8" t="str">
        <f>IFERROR(__xludf.DUMMYFUNCTION("""COMPUTED_VALUE"""),"hiitacademia")</f>
        <v>hiitacademia</v>
      </c>
    </row>
    <row r="1633">
      <c r="A1633" s="8" t="str">
        <f>IFERROR(__xludf.DUMMYFUNCTION("""COMPUTED_VALUE"""),"hiit.academia")</f>
        <v>hiit.academia</v>
      </c>
    </row>
    <row r="1634">
      <c r="A1634" s="8" t="str">
        <f>IFERROR(__xludf.DUMMYFUNCTION("""COMPUTED_VALUE"""),"hiit_fitwear")</f>
        <v>hiit_fitwear</v>
      </c>
    </row>
    <row r="1635">
      <c r="A1635" s="8" t="str">
        <f>IFERROR(__xludf.DUMMYFUNCTION("""COMPUTED_VALUE"""),"hiitlouv")</f>
        <v>hiitlouv</v>
      </c>
    </row>
    <row r="1636">
      <c r="A1636" s="8" t="str">
        <f>IFERROR(__xludf.DUMMYFUNCTION("""COMPUTED_VALUE"""),"thestudio.perth")</f>
        <v>thestudio.perth</v>
      </c>
    </row>
    <row r="1637">
      <c r="A1637" s="8" t="str">
        <f>IFERROR(__xludf.DUMMYFUNCTION("""COMPUTED_VALUE"""),"2f.hiking")</f>
        <v>2f.hiking</v>
      </c>
    </row>
    <row r="1638">
      <c r="A1638" s="8" t="str">
        <f>IFERROR(__xludf.DUMMYFUNCTION("""COMPUTED_VALUE"""),"hiking_of_insta")</f>
        <v>hiking_of_insta</v>
      </c>
    </row>
    <row r="1639">
      <c r="A1639" s="8" t="str">
        <f>IFERROR(__xludf.DUMMYFUNCTION("""COMPUTED_VALUE"""),"hiking_vibe99")</f>
        <v>hiking_vibe99</v>
      </c>
    </row>
    <row r="1640">
      <c r="A1640" s="8" t="str">
        <f>IFERROR(__xludf.DUMMYFUNCTION("""COMPUTED_VALUE"""),"sarah_hiking")</f>
        <v>sarah_hiking</v>
      </c>
    </row>
    <row r="1641">
      <c r="A1641" s="8" t="str">
        <f>IFERROR(__xludf.DUMMYFUNCTION("""COMPUTED_VALUE"""),"tanner.price_")</f>
        <v>tanner.price_</v>
      </c>
    </row>
    <row r="1642">
      <c r="A1642" s="11" t="str">
        <f>IFERROR(__xludf.DUMMYFUNCTION("""COMPUTED_VALUE"""),"coolrap.tv")</f>
        <v>coolrap.tv</v>
      </c>
    </row>
    <row r="1643">
      <c r="A1643" s="8" t="str">
        <f>IFERROR(__xludf.DUMMYFUNCTION("""COMPUTED_VALUE"""),"hip_hop_ankit_")</f>
        <v>hip_hop_ankit_</v>
      </c>
    </row>
    <row r="1644">
      <c r="A1644" s="8" t="str">
        <f>IFERROR(__xludf.DUMMYFUNCTION("""COMPUTED_VALUE"""),"hiphopcaption")</f>
        <v>hiphopcaption</v>
      </c>
    </row>
    <row r="1645">
      <c r="A1645" s="8" t="str">
        <f>IFERROR(__xludf.DUMMYFUNCTION("""COMPUTED_VALUE"""),"hiphopde")</f>
        <v>hiphopde</v>
      </c>
    </row>
    <row r="1646">
      <c r="A1646" s="8" t="str">
        <f>IFERROR(__xludf.DUMMYFUNCTION("""COMPUTED_VALUE"""),"hip_hop.era")</f>
        <v>hip_hop.era</v>
      </c>
    </row>
    <row r="1647">
      <c r="A1647" s="8" t="str">
        <f>IFERROR(__xludf.DUMMYFUNCTION("""COMPUTED_VALUE"""),"hiphopofthe90s")</f>
        <v>hiphopofthe90s</v>
      </c>
    </row>
    <row r="1648">
      <c r="A1648" s="8" t="str">
        <f>IFERROR(__xludf.DUMMYFUNCTION("""COMPUTED_VALUE"""),"hip_hop_store01")</f>
        <v>hip_hop_store01</v>
      </c>
    </row>
    <row r="1649">
      <c r="A1649" s="8" t="str">
        <f>IFERROR(__xludf.DUMMYFUNCTION("""COMPUTED_VALUE"""),"hiphoptvoriginal")</f>
        <v>hiphoptvoriginal</v>
      </c>
    </row>
    <row r="1650">
      <c r="A1650" s="8" t="str">
        <f>IFERROR(__xludf.DUMMYFUNCTION("""COMPUTED_VALUE"""),"hiphopzije")</f>
        <v>hiphopzije</v>
      </c>
    </row>
    <row r="1651">
      <c r="A1651" s="8" t="str">
        <f>IFERROR(__xludf.DUMMYFUNCTION("""COMPUTED_VALUE"""),"hungria_oficial")</f>
        <v>hungria_oficial</v>
      </c>
    </row>
    <row r="1652">
      <c r="A1652" s="8" t="str">
        <f>IFERROR(__xludf.DUMMYFUNCTION("""COMPUTED_VALUE"""),"museuhiphoprs")</f>
        <v>museuhiphoprs</v>
      </c>
    </row>
    <row r="1653">
      <c r="A1653" s="8" t="str">
        <f>IFERROR(__xludf.DUMMYFUNCTION("""COMPUTED_VALUE"""),"thehiphopwolf")</f>
        <v>thehiphopwolf</v>
      </c>
    </row>
    <row r="1654">
      <c r="A1654" s="8" t="str">
        <f>IFERROR(__xludf.DUMMYFUNCTION("""COMPUTED_VALUE"""),"worldstar")</f>
        <v>worldstar</v>
      </c>
    </row>
    <row r="1655">
      <c r="A1655" s="8" t="str">
        <f>IFERROR(__xludf.DUMMYFUNCTION("""COMPUTED_VALUE"""),"hockeycanada")</f>
        <v>hockeycanada</v>
      </c>
    </row>
    <row r="1656">
      <c r="A1656" s="8" t="str">
        <f>IFERROR(__xludf.DUMMYFUNCTION("""COMPUTED_VALUE"""),"hockey_fra")</f>
        <v>hockey_fra</v>
      </c>
    </row>
    <row r="1657">
      <c r="A1657" s="8" t="str">
        <f>IFERROR(__xludf.DUMMYFUNCTION("""COMPUTED_VALUE"""),"hockeystickman")</f>
        <v>hockeystickman</v>
      </c>
    </row>
    <row r="1658">
      <c r="A1658" s="8" t="str">
        <f>IFERROR(__xludf.DUMMYFUNCTION("""COMPUTED_VALUE"""),"usahockey")</f>
        <v>usahockey</v>
      </c>
    </row>
    <row r="1659">
      <c r="A1659" s="8" t="str">
        <f>IFERROR(__xludf.DUMMYFUNCTION("""COMPUTED_VALUE"""),"dilijan_holiday_home")</f>
        <v>dilijan_holiday_home</v>
      </c>
    </row>
    <row r="1660">
      <c r="A1660" s="8" t="str">
        <f>IFERROR(__xludf.DUMMYFUNCTION("""COMPUTED_VALUE"""),"holiday")</f>
        <v>holiday</v>
      </c>
    </row>
    <row r="1661">
      <c r="A1661" s="8" t="str">
        <f>IFERROR(__xludf.DUMMYFUNCTION("""COMPUTED_VALUE"""),"holidaygym")</f>
        <v>holidaygym</v>
      </c>
    </row>
    <row r="1662">
      <c r="A1662" s="8" t="str">
        <f>IFERROR(__xludf.DUMMYFUNCTION("""COMPUTED_VALUE"""),"holidayinnperth")</f>
        <v>holidayinnperth</v>
      </c>
    </row>
    <row r="1663">
      <c r="A1663" s="8" t="str">
        <f>IFERROR(__xludf.DUMMYFUNCTION("""COMPUTED_VALUE"""),"holidayinnsd")</f>
        <v>holidayinnsd</v>
      </c>
    </row>
    <row r="1664">
      <c r="A1664" s="8" t="str">
        <f>IFERROR(__xludf.DUMMYFUNCTION("""COMPUTED_VALUE"""),"holiday__paris")</f>
        <v>holiday__paris</v>
      </c>
    </row>
    <row r="1665">
      <c r="A1665" s="8" t="str">
        <f>IFERROR(__xludf.DUMMYFUNCTION("""COMPUTED_VALUE"""),"holidayplatform")</f>
        <v>holidayplatform</v>
      </c>
    </row>
    <row r="1666">
      <c r="A1666" s="8" t="str">
        <f>IFERROR(__xludf.DUMMYFUNCTION("""COMPUTED_VALUE"""),"med.holidaycar")</f>
        <v>med.holidaycar</v>
      </c>
    </row>
    <row r="1667">
      <c r="A1667" s="8" t="str">
        <f>IFERROR(__xludf.DUMMYFUNCTION("""COMPUTED_VALUE"""),"ryanholiday")</f>
        <v>ryanholiday</v>
      </c>
    </row>
    <row r="1668">
      <c r="A1668" s="8" t="str">
        <f>IFERROR(__xludf.DUMMYFUNCTION("""COMPUTED_VALUE"""),"bakingtosurvive_")</f>
        <v>bakingtosurvive_</v>
      </c>
    </row>
    <row r="1669">
      <c r="A1669" s="8" t="str">
        <f>IFERROR(__xludf.DUMMYFUNCTION("""COMPUTED_VALUE"""),"homebakingdayusa")</f>
        <v>homebakingdayusa</v>
      </c>
    </row>
    <row r="1670">
      <c r="A1670" s="8" t="str">
        <f>IFERROR(__xludf.DUMMYFUNCTION("""COMPUTED_VALUE"""),"home_baking_vladikavkaz")</f>
        <v>home_baking_vladikavkaz</v>
      </c>
    </row>
    <row r="1671">
      <c r="A1671" s="8" t="str">
        <f>IFERROR(__xludf.DUMMYFUNCTION("""COMPUTED_VALUE"""),"homebrewingexperience")</f>
        <v>homebrewingexperience</v>
      </c>
    </row>
    <row r="1672">
      <c r="A1672" s="8" t="str">
        <f>IFERROR(__xludf.DUMMYFUNCTION("""COMPUTED_VALUE"""),"homebrewinglovers")</f>
        <v>homebrewinglovers</v>
      </c>
    </row>
    <row r="1673">
      <c r="A1673" s="8" t="str">
        <f>IFERROR(__xludf.DUMMYFUNCTION("""COMPUTED_VALUE"""),"homebrewingonly")</f>
        <v>homebrewingonly</v>
      </c>
    </row>
    <row r="1674">
      <c r="A1674" s="8" t="str">
        <f>IFERROR(__xludf.DUMMYFUNCTION("""COMPUTED_VALUE"""),"am.homedecor")</f>
        <v>am.homedecor</v>
      </c>
    </row>
    <row r="1675">
      <c r="A1675" s="11" t="str">
        <f>IFERROR(__xludf.DUMMYFUNCTION("""COMPUTED_VALUE"""),"arredato.do")</f>
        <v>arredato.do</v>
      </c>
    </row>
    <row r="1676">
      <c r="A1676" s="8" t="str">
        <f>IFERROR(__xludf.DUMMYFUNCTION("""COMPUTED_VALUE"""),"becominghomebody")</f>
        <v>becominghomebody</v>
      </c>
    </row>
    <row r="1677">
      <c r="A1677" s="8" t="str">
        <f>IFERROR(__xludf.DUMMYFUNCTION("""COMPUTED_VALUE"""),"beehomedecordr")</f>
        <v>beehomedecordr</v>
      </c>
    </row>
    <row r="1678">
      <c r="A1678" s="8" t="str">
        <f>IFERROR(__xludf.DUMMYFUNCTION("""COMPUTED_VALUE"""),"cortinajerd")</f>
        <v>cortinajerd</v>
      </c>
    </row>
    <row r="1679">
      <c r="A1679" s="8" t="str">
        <f>IFERROR(__xludf.DUMMYFUNCTION("""COMPUTED_VALUE"""),"decor.snippets")</f>
        <v>decor.snippets</v>
      </c>
    </row>
    <row r="1680">
      <c r="A1680" s="8" t="str">
        <f>IFERROR(__xludf.DUMMYFUNCTION("""COMPUTED_VALUE"""),"_designhomedecor")</f>
        <v>_designhomedecor</v>
      </c>
    </row>
    <row r="1681">
      <c r="A1681" s="8" t="str">
        <f>IFERROR(__xludf.DUMMYFUNCTION("""COMPUTED_VALUE"""),"homedecor_byka")</f>
        <v>homedecor_byka</v>
      </c>
    </row>
    <row r="1682">
      <c r="A1682" s="8" t="str">
        <f>IFERROR(__xludf.DUMMYFUNCTION("""COMPUTED_VALUE"""),"home_decor_daily")</f>
        <v>home_decor_daily</v>
      </c>
    </row>
    <row r="1683">
      <c r="A1683" s="8" t="str">
        <f>IFERROR(__xludf.DUMMYFUNCTION("""COMPUTED_VALUE"""),"homedecor_em")</f>
        <v>homedecor_em</v>
      </c>
    </row>
    <row r="1684">
      <c r="A1684" s="8" t="str">
        <f>IFERROR(__xludf.DUMMYFUNCTION("""COMPUTED_VALUE"""),"home_decorrd")</f>
        <v>home_decorrd</v>
      </c>
    </row>
    <row r="1685">
      <c r="A1685" s="8" t="str">
        <f>IFERROR(__xludf.DUMMYFUNCTION("""COMPUTED_VALUE"""),"inspire_me_home_decor")</f>
        <v>inspire_me_home_decor</v>
      </c>
    </row>
    <row r="1686">
      <c r="A1686" s="8" t="str">
        <f>IFERROR(__xludf.DUMMYFUNCTION("""COMPUTED_VALUE"""),"jensgatheringnest")</f>
        <v>jensgatheringnest</v>
      </c>
    </row>
    <row r="1687">
      <c r="A1687" s="8" t="str">
        <f>IFERROR(__xludf.DUMMYFUNCTION("""COMPUTED_VALUE"""),"kinsey_walsh")</f>
        <v>kinsey_walsh</v>
      </c>
    </row>
    <row r="1688">
      <c r="A1688" s="8" t="str">
        <f>IFERROR(__xludf.DUMMYFUNCTION("""COMPUTED_VALUE"""),"myhomelydecors")</f>
        <v>myhomelydecors</v>
      </c>
    </row>
    <row r="1689">
      <c r="A1689" s="8" t="str">
        <f>IFERROR(__xludf.DUMMYFUNCTION("""COMPUTED_VALUE"""),"ori.home.decor")</f>
        <v>ori.home.decor</v>
      </c>
    </row>
    <row r="1690">
      <c r="A1690" s="8" t="str">
        <f>IFERROR(__xludf.DUMMYFUNCTION("""COMPUTED_VALUE"""),"popsofcolorlifestyle")</f>
        <v>popsofcolorlifestyle</v>
      </c>
    </row>
    <row r="1691">
      <c r="A1691" s="8" t="str">
        <f>IFERROR(__xludf.DUMMYFUNCTION("""COMPUTED_VALUE"""),"sagephillipshome")</f>
        <v>sagephillipshome</v>
      </c>
    </row>
    <row r="1692">
      <c r="A1692" s="8" t="str">
        <f>IFERROR(__xludf.DUMMYFUNCTION("""COMPUTED_VALUE"""),"trellishomedecor")</f>
        <v>trellishomedecor</v>
      </c>
    </row>
    <row r="1693">
      <c r="A1693" s="8" t="str">
        <f>IFERROR(__xludf.DUMMYFUNCTION("""COMPUTED_VALUE"""),"velvet_rd")</f>
        <v>velvet_rd</v>
      </c>
    </row>
    <row r="1694">
      <c r="A1694" s="8" t="str">
        <f>IFERROR(__xludf.DUMMYFUNCTION("""COMPUTED_VALUE"""),"home.fitness09")</f>
        <v>home.fitness09</v>
      </c>
    </row>
    <row r="1695">
      <c r="A1695" s="8" t="str">
        <f>IFERROR(__xludf.DUMMYFUNCTION("""COMPUTED_VALUE"""),"home_fitness72")</f>
        <v>home_fitness72</v>
      </c>
    </row>
    <row r="1696">
      <c r="A1696" s="8" t="str">
        <f>IFERROR(__xludf.DUMMYFUNCTION("""COMPUTED_VALUE"""),"home_fitness_code")</f>
        <v>home_fitness_code</v>
      </c>
    </row>
    <row r="1697">
      <c r="A1697" s="8" t="str">
        <f>IFERROR(__xludf.DUMMYFUNCTION("""COMPUTED_VALUE"""),"london_fitness_guy")</f>
        <v>london_fitness_guy</v>
      </c>
    </row>
    <row r="1698">
      <c r="A1698" s="8" t="str">
        <f>IFERROR(__xludf.DUMMYFUNCTION("""COMPUTED_VALUE"""),"homeandgarden")</f>
        <v>homeandgarden</v>
      </c>
    </row>
    <row r="1699">
      <c r="A1699" s="8" t="str">
        <f>IFERROR(__xludf.DUMMYFUNCTION("""COMPUTED_VALUE"""),"homeandgardendecomx")</f>
        <v>homeandgardendecomx</v>
      </c>
    </row>
    <row r="1700">
      <c r="A1700" s="8" t="str">
        <f>IFERROR(__xludf.DUMMYFUNCTION("""COMPUTED_VALUE"""),"home_garden_br")</f>
        <v>home_garden_br</v>
      </c>
    </row>
    <row r="1701">
      <c r="A1701" s="8" t="str">
        <f>IFERROR(__xludf.DUMMYFUNCTION("""COMPUTED_VALUE"""),"homegardenyt")</f>
        <v>homegardenyt</v>
      </c>
    </row>
    <row r="1702">
      <c r="A1702" s="8" t="str">
        <f>IFERROR(__xludf.DUMMYFUNCTION("""COMPUTED_VALUE"""),"homes_")</f>
        <v>homes_</v>
      </c>
    </row>
    <row r="1703">
      <c r="A1703" s="8" t="str">
        <f>IFERROR(__xludf.DUMMYFUNCTION("""COMPUTED_VALUE"""),"patinahomeandgarden")</f>
        <v>patinahomeandgarden</v>
      </c>
    </row>
    <row r="1704">
      <c r="A1704" s="8" t="str">
        <f>IFERROR(__xludf.DUMMYFUNCTION("""COMPUTED_VALUE"""),"do_it_with_hewitt")</f>
        <v>do_it_with_hewitt</v>
      </c>
    </row>
    <row r="1705">
      <c r="A1705" s="8" t="str">
        <f>IFERROR(__xludf.DUMMYFUNCTION("""COMPUTED_VALUE"""),"home_organization.1")</f>
        <v>home_organization.1</v>
      </c>
    </row>
    <row r="1706">
      <c r="A1706" s="8" t="str">
        <f>IFERROR(__xludf.DUMMYFUNCTION("""COMPUTED_VALUE"""),"homerevolution_")</f>
        <v>homerevolution_</v>
      </c>
    </row>
    <row r="1707">
      <c r="A1707" s="8" t="str">
        <f>IFERROR(__xludf.DUMMYFUNCTION("""COMPUTED_VALUE"""),"jillcomesclean")</f>
        <v>jillcomesclean</v>
      </c>
    </row>
    <row r="1708">
      <c r="A1708" s="8" t="str">
        <f>IFERROR(__xludf.DUMMYFUNCTION("""COMPUTED_VALUE"""),"organizewithkylie")</f>
        <v>organizewithkylie</v>
      </c>
    </row>
    <row r="1709">
      <c r="A1709" s="8" t="str">
        <f>IFERROR(__xludf.DUMMYFUNCTION("""COMPUTED_VALUE"""),"organizingways1")</f>
        <v>organizingways1</v>
      </c>
    </row>
    <row r="1710">
      <c r="A1710" s="8" t="str">
        <f>IFERROR(__xludf.DUMMYFUNCTION("""COMPUTED_VALUE"""),"reset_your_nest")</f>
        <v>reset_your_nest</v>
      </c>
    </row>
    <row r="1711">
      <c r="A1711" s="8" t="str">
        <f>IFERROR(__xludf.DUMMYFUNCTION("""COMPUTED_VALUE"""),"smart_home_organization")</f>
        <v>smart_home_organization</v>
      </c>
    </row>
    <row r="1712">
      <c r="A1712" s="8" t="str">
        <f>IFERROR(__xludf.DUMMYFUNCTION("""COMPUTED_VALUE"""),"thatorganizedhome")</f>
        <v>thatorganizedhome</v>
      </c>
    </row>
    <row r="1713">
      <c r="A1713" s="8" t="str">
        <f>IFERROR(__xludf.DUMMYFUNCTION("""COMPUTED_VALUE"""),"thetidycitrus")</f>
        <v>thetidycitrus</v>
      </c>
    </row>
    <row r="1714">
      <c r="A1714" s="8" t="str">
        <f>IFERROR(__xludf.DUMMYFUNCTION("""COMPUTED_VALUE"""),"tidystylehome")</f>
        <v>tidystylehome</v>
      </c>
    </row>
    <row r="1715">
      <c r="A1715" s="8" t="str">
        <f>IFERROR(__xludf.DUMMYFUNCTION("""COMPUTED_VALUE"""),"coach.latif")</f>
        <v>coach.latif</v>
      </c>
    </row>
    <row r="1716">
      <c r="A1716" s="8" t="str">
        <f>IFERROR(__xludf.DUMMYFUNCTION("""COMPUTED_VALUE"""),"courtneydblack")</f>
        <v>courtneydblack</v>
      </c>
    </row>
    <row r="1717">
      <c r="A1717" s="8" t="str">
        <f>IFERROR(__xludf.DUMMYFUNCTION("""COMPUTED_VALUE"""),"fitonomyapp")</f>
        <v>fitonomyapp</v>
      </c>
    </row>
    <row r="1718">
      <c r="A1718" s="8" t="str">
        <f>IFERROR(__xludf.DUMMYFUNCTION("""COMPUTED_VALUE"""),"healthfitnessguide_")</f>
        <v>healthfitnessguide_</v>
      </c>
    </row>
    <row r="1719">
      <c r="A1719" s="8" t="str">
        <f>IFERROR(__xludf.DUMMYFUNCTION("""COMPUTED_VALUE"""),"home.exercises")</f>
        <v>home.exercises</v>
      </c>
    </row>
    <row r="1720">
      <c r="A1720" s="8" t="str">
        <f>IFERROR(__xludf.DUMMYFUNCTION("""COMPUTED_VALUE"""),"homeworkoutday")</f>
        <v>homeworkoutday</v>
      </c>
    </row>
    <row r="1721">
      <c r="A1721" s="8" t="str">
        <f>IFERROR(__xludf.DUMMYFUNCTION("""COMPUTED_VALUE"""),"homeworkouts_4u")</f>
        <v>homeworkouts_4u</v>
      </c>
    </row>
    <row r="1722">
      <c r="A1722" s="8" t="str">
        <f>IFERROR(__xludf.DUMMYFUNCTION("""COMPUTED_VALUE"""),"homeworkoutttt")</f>
        <v>homeworkoutttt</v>
      </c>
    </row>
    <row r="1723">
      <c r="A1723" s="8" t="str">
        <f>IFERROR(__xludf.DUMMYFUNCTION("""COMPUTED_VALUE"""),"homeworkout_videos_")</f>
        <v>homeworkout_videos_</v>
      </c>
    </row>
    <row r="1724">
      <c r="A1724" s="8" t="str">
        <f>IFERROR(__xludf.DUMMYFUNCTION("""COMPUTED_VALUE"""),"homeworkoutvideos_")</f>
        <v>homeworkoutvideos_</v>
      </c>
    </row>
    <row r="1725">
      <c r="A1725" s="8" t="str">
        <f>IFERROR(__xludf.DUMMYFUNCTION("""COMPUTED_VALUE"""),"katb_fit")</f>
        <v>katb_fit</v>
      </c>
    </row>
    <row r="1726">
      <c r="A1726" s="8" t="str">
        <f>IFERROR(__xludf.DUMMYFUNCTION("""COMPUTED_VALUE"""),"khushi.workout")</f>
        <v>khushi.workout</v>
      </c>
    </row>
    <row r="1727">
      <c r="A1727" s="8" t="str">
        <f>IFERROR(__xludf.DUMMYFUNCTION("""COMPUTED_VALUE"""),"__candicewebster__")</f>
        <v>__candicewebster__</v>
      </c>
    </row>
    <row r="1728">
      <c r="A1728" s="8" t="str">
        <f>IFERROR(__xludf.DUMMYFUNCTION("""COMPUTED_VALUE"""),"horselegant")</f>
        <v>horselegant</v>
      </c>
    </row>
    <row r="1729">
      <c r="A1729" s="8" t="str">
        <f>IFERROR(__xludf.DUMMYFUNCTION("""COMPUTED_VALUE"""),"horses")</f>
        <v>horses</v>
      </c>
    </row>
    <row r="1730">
      <c r="A1730" s="8" t="str">
        <f>IFERROR(__xludf.DUMMYFUNCTION("""COMPUTED_VALUE"""),"horsesoldierbourbon")</f>
        <v>horsesoldierbourbon</v>
      </c>
    </row>
    <row r="1731">
      <c r="A1731" s="8" t="str">
        <f>IFERROR(__xludf.DUMMYFUNCTION("""COMPUTED_VALUE"""),"horsesplanet")</f>
        <v>horsesplanet</v>
      </c>
    </row>
    <row r="1732">
      <c r="A1732" s="8" t="str">
        <f>IFERROR(__xludf.DUMMYFUNCTION("""COMPUTED_VALUE"""),"hsbresort")</f>
        <v>hsbresort</v>
      </c>
    </row>
    <row r="1733">
      <c r="A1733" s="8" t="str">
        <f>IFERROR(__xludf.DUMMYFUNCTION("""COMPUTED_VALUE"""),"victoria__wk")</f>
        <v>victoria__wk</v>
      </c>
    </row>
    <row r="1734">
      <c r="A1734" s="8" t="str">
        <f>IFERROR(__xludf.DUMMYFUNCTION("""COMPUTED_VALUE"""),"wildhorsesfestival")</f>
        <v>wildhorsesfestival</v>
      </c>
    </row>
    <row r="1735">
      <c r="A1735" s="8" t="str">
        <f>IFERROR(__xludf.DUMMYFUNCTION("""COMPUTED_VALUE"""),"adictosdelhumor")</f>
        <v>adictosdelhumor</v>
      </c>
    </row>
    <row r="1736">
      <c r="A1736" s="8" t="str">
        <f>IFERROR(__xludf.DUMMYFUNCTION("""COMPUTED_VALUE"""),"allandeivisonmemes")</f>
        <v>allandeivisonmemes</v>
      </c>
    </row>
    <row r="1737">
      <c r="A1737" s="8" t="str">
        <f>IFERROR(__xludf.DUMMYFUNCTION("""COMPUTED_VALUE"""),"bestofhumors")</f>
        <v>bestofhumors</v>
      </c>
    </row>
    <row r="1738">
      <c r="A1738" s="8" t="str">
        <f>IFERROR(__xludf.DUMMYFUNCTION("""COMPUTED_VALUE"""),"dalgona.humor")</f>
        <v>dalgona.humor</v>
      </c>
    </row>
    <row r="1739">
      <c r="A1739" s="8" t="str">
        <f>IFERROR(__xludf.DUMMYFUNCTION("""COMPUTED_VALUE"""),"darkhumor")</f>
        <v>darkhumor</v>
      </c>
    </row>
    <row r="1740">
      <c r="A1740" s="8" t="str">
        <f>IFERROR(__xludf.DUMMYFUNCTION("""COMPUTED_VALUE"""),"humor")</f>
        <v>humor</v>
      </c>
    </row>
    <row r="1741">
      <c r="A1741" s="8" t="str">
        <f>IFERROR(__xludf.DUMMYFUNCTION("""COMPUTED_VALUE"""),"humoranimations0")</f>
        <v>humoranimations0</v>
      </c>
    </row>
    <row r="1742">
      <c r="A1742" s="8" t="str">
        <f>IFERROR(__xludf.DUMMYFUNCTION("""COMPUTED_VALUE"""),"humorbagel")</f>
        <v>humorbagel</v>
      </c>
    </row>
    <row r="1743">
      <c r="A1743" s="8" t="str">
        <f>IFERROR(__xludf.DUMMYFUNCTION("""COMPUTED_VALUE"""),"humor_funfuning")</f>
        <v>humor_funfuning</v>
      </c>
    </row>
    <row r="1744">
      <c r="A1744" s="8" t="str">
        <f>IFERROR(__xludf.DUMMYFUNCTION("""COMPUTED_VALUE"""),"igor_humor")</f>
        <v>igor_humor</v>
      </c>
    </row>
    <row r="1745">
      <c r="A1745" s="8" t="str">
        <f>IFERROR(__xludf.DUMMYFUNCTION("""COMPUTED_VALUE"""),"menshumor")</f>
        <v>menshumor</v>
      </c>
    </row>
    <row r="1746">
      <c r="A1746" s="8" t="str">
        <f>IFERROR(__xludf.DUMMYFUNCTION("""COMPUTED_VALUE"""),"sandiegohumor")</f>
        <v>sandiegohumor</v>
      </c>
    </row>
    <row r="1747">
      <c r="A1747" s="8" t="str">
        <f>IFERROR(__xludf.DUMMYFUNCTION("""COMPUTED_VALUE"""),"indianfood121")</f>
        <v>indianfood121</v>
      </c>
    </row>
    <row r="1748">
      <c r="A1748" s="8" t="str">
        <f>IFERROR(__xludf.DUMMYFUNCTION("""COMPUTED_VALUE"""),"indian__food_hub")</f>
        <v>indian__food_hub</v>
      </c>
    </row>
    <row r="1749">
      <c r="A1749" s="8" t="str">
        <f>IFERROR(__xludf.DUMMYFUNCTION("""COMPUTED_VALUE"""),"indian__food__recipes")</f>
        <v>indian__food__recipes</v>
      </c>
    </row>
    <row r="1750">
      <c r="A1750" s="8" t="str">
        <f>IFERROR(__xludf.DUMMYFUNCTION("""COMPUTED_VALUE"""),"indian_tasty_food")</f>
        <v>indian_tasty_food</v>
      </c>
    </row>
    <row r="1751">
      <c r="A1751" s="8" t="str">
        <f>IFERROR(__xludf.DUMMYFUNCTION("""COMPUTED_VALUE"""),"foroindierocks")</f>
        <v>foroindierocks</v>
      </c>
    </row>
    <row r="1752">
      <c r="A1752" s="8" t="str">
        <f>IFERROR(__xludf.DUMMYFUNCTION("""COMPUTED_VALUE"""),"indie505_")</f>
        <v>indie505_</v>
      </c>
    </row>
    <row r="1753">
      <c r="A1753" s="8" t="str">
        <f>IFERROR(__xludf.DUMMYFUNCTION("""COMPUTED_VALUE"""),"indiebeachpampelonne")</f>
        <v>indiebeachpampelonne</v>
      </c>
    </row>
    <row r="1754">
      <c r="A1754" s="8" t="str">
        <f>IFERROR(__xludf.DUMMYFUNCTION("""COMPUTED_VALUE"""),"indie.cafe")</f>
        <v>indie.cafe</v>
      </c>
    </row>
    <row r="1755">
      <c r="A1755" s="8" t="str">
        <f>IFERROR(__xludf.DUMMYFUNCTION("""COMPUTED_VALUE"""),"indieclubargentina")</f>
        <v>indieclubargentina</v>
      </c>
    </row>
    <row r="1756">
      <c r="A1756" s="8" t="str">
        <f>IFERROR(__xludf.DUMMYFUNCTION("""COMPUTED_VALUE"""),"indieclubcervia")</f>
        <v>indieclubcervia</v>
      </c>
    </row>
    <row r="1757">
      <c r="A1757" s="8" t="str">
        <f>IFERROR(__xludf.DUMMYFUNCTION("""COMPUTED_VALUE"""),"indiefolks")</f>
        <v>indiefolks</v>
      </c>
    </row>
    <row r="1758">
      <c r="A1758" s="8" t="str">
        <f>IFERROR(__xludf.DUMMYFUNCTION("""COMPUTED_VALUE"""),"indie_home")</f>
        <v>indie_home</v>
      </c>
    </row>
    <row r="1759">
      <c r="A1759" s="8" t="str">
        <f>IFERROR(__xludf.DUMMYFUNCTION("""COMPUTED_VALUE"""),"indiehoy")</f>
        <v>indiehoy</v>
      </c>
    </row>
    <row r="1760">
      <c r="A1760" s="8" t="str">
        <f>IFERROR(__xludf.DUMMYFUNCTION("""COMPUTED_VALUE"""),"indie_italy")</f>
        <v>indie_italy</v>
      </c>
    </row>
    <row r="1761">
      <c r="A1761" s="8" t="str">
        <f>IFERROR(__xludf.DUMMYFUNCTION("""COMPUTED_VALUE"""),"indiemagazine")</f>
        <v>indiemagazine</v>
      </c>
    </row>
    <row r="1762">
      <c r="A1762" s="8" t="str">
        <f>IFERROR(__xludf.DUMMYFUNCTION("""COMPUTED_VALUE"""),"indiemags")</f>
        <v>indiemags</v>
      </c>
    </row>
    <row r="1763">
      <c r="A1763" s="8" t="str">
        <f>IFERROR(__xludf.DUMMYFUNCTION("""COMPUTED_VALUE"""),"indiemen_")</f>
        <v>indiemen_</v>
      </c>
    </row>
    <row r="1764">
      <c r="A1764" s="8" t="str">
        <f>IFERROR(__xludf.DUMMYFUNCTION("""COMPUTED_VALUE"""),"indierocksmagazine")</f>
        <v>indierocksmagazine</v>
      </c>
    </row>
    <row r="1765">
      <c r="A1765" s="8" t="str">
        <f>IFERROR(__xludf.DUMMYFUNCTION("""COMPUTED_VALUE"""),"indiewire")</f>
        <v>indiewire</v>
      </c>
    </row>
    <row r="1766">
      <c r="A1766" s="8" t="str">
        <f>IFERROR(__xludf.DUMMYFUNCTION("""COMPUTED_VALUE"""),"_itsindiegold")</f>
        <v>_itsindiegold</v>
      </c>
    </row>
    <row r="1767">
      <c r="A1767" s="8" t="str">
        <f>IFERROR(__xludf.DUMMYFUNCTION("""COMPUTED_VALUE"""),"indiegamesart")</f>
        <v>indiegamesart</v>
      </c>
    </row>
    <row r="1768">
      <c r="A1768" s="8" t="str">
        <f>IFERROR(__xludf.DUMMYFUNCTION("""COMPUTED_VALUE"""),"indiegamespotlights")</f>
        <v>indiegamespotlights</v>
      </c>
    </row>
    <row r="1769">
      <c r="A1769" s="8" t="str">
        <f>IFERROR(__xludf.DUMMYFUNCTION("""COMPUTED_VALUE"""),"amazoninfluencerprogram")</f>
        <v>amazoninfluencerprogram</v>
      </c>
    </row>
    <row r="1770">
      <c r="A1770" s="8" t="str">
        <f>IFERROR(__xludf.DUMMYFUNCTION("""COMPUTED_VALUE"""),"cubanbabiieats")</f>
        <v>cubanbabiieats</v>
      </c>
    </row>
    <row r="1771">
      <c r="A1771" s="8" t="str">
        <f>IFERROR(__xludf.DUMMYFUNCTION("""COMPUTED_VALUE"""),"emilypellegrini")</f>
        <v>emilypellegrini</v>
      </c>
    </row>
    <row r="1772">
      <c r="A1772" s="8" t="str">
        <f>IFERROR(__xludf.DUMMYFUNCTION("""COMPUTED_VALUE"""),"emily.yoo_")</f>
        <v>emily.yoo_</v>
      </c>
    </row>
    <row r="1773">
      <c r="A1773" s="8" t="str">
        <f>IFERROR(__xludf.DUMMYFUNCTION("""COMPUTED_VALUE"""),"influencer")</f>
        <v>influencer</v>
      </c>
    </row>
    <row r="1774">
      <c r="A1774" s="8" t="str">
        <f>IFERROR(__xludf.DUMMYFUNCTION("""COMPUTED_VALUE"""),"influencericono_")</f>
        <v>influencericono_</v>
      </c>
    </row>
    <row r="1775">
      <c r="A1775" s="11" t="str">
        <f>IFERROR(__xludf.DUMMYFUNCTION("""COMPUTED_VALUE"""),"influencermarketing.ar")</f>
        <v>influencermarketing.ar</v>
      </c>
    </row>
    <row r="1776">
      <c r="A1776" s="8" t="str">
        <f>IFERROR(__xludf.DUMMYFUNCTION("""COMPUTED_VALUE"""),"influencersinthewild")</f>
        <v>influencersinthewild</v>
      </c>
    </row>
    <row r="1777">
      <c r="A1777" s="8" t="str">
        <f>IFERROR(__xludf.DUMMYFUNCTION("""COMPUTED_VALUE"""),"loopingpark")</f>
        <v>loopingpark</v>
      </c>
    </row>
    <row r="1778">
      <c r="A1778" s="8" t="str">
        <f>IFERROR(__xludf.DUMMYFUNCTION("""COMPUTED_VALUE"""),"theresesorenes")</f>
        <v>theresesorenes</v>
      </c>
    </row>
    <row r="1779">
      <c r="A1779" s="8" t="str">
        <f>IFERROR(__xludf.DUMMYFUNCTION("""COMPUTED_VALUE"""),"babyroom.inspiration")</f>
        <v>babyroom.inspiration</v>
      </c>
    </row>
    <row r="1780">
      <c r="A1780" s="8" t="str">
        <f>IFERROR(__xludf.DUMMYFUNCTION("""COMPUTED_VALUE"""),"goal.cast")</f>
        <v>goal.cast</v>
      </c>
    </row>
    <row r="1781">
      <c r="A1781" s="8" t="str">
        <f>IFERROR(__xludf.DUMMYFUNCTION("""COMPUTED_VALUE"""),"gyminspirationpage")</f>
        <v>gyminspirationpage</v>
      </c>
    </row>
    <row r="1782">
      <c r="A1782" s="8" t="str">
        <f>IFERROR(__xludf.DUMMYFUNCTION("""COMPUTED_VALUE"""),"inspirationation00")</f>
        <v>inspirationation00</v>
      </c>
    </row>
    <row r="1783">
      <c r="A1783" s="8" t="str">
        <f>IFERROR(__xludf.DUMMYFUNCTION("""COMPUTED_VALUE"""),"inspirationbyblanca")</f>
        <v>inspirationbyblanca</v>
      </c>
    </row>
    <row r="1784">
      <c r="A1784" s="8" t="str">
        <f>IFERROR(__xludf.DUMMYFUNCTION("""COMPUTED_VALUE"""),"inspiration.hz")</f>
        <v>inspiration.hz</v>
      </c>
    </row>
    <row r="1785">
      <c r="A1785" s="8" t="str">
        <f>IFERROR(__xludf.DUMMYFUNCTION("""COMPUTED_VALUE"""),"mindsetoftherich")</f>
        <v>mindsetoftherich</v>
      </c>
    </row>
    <row r="1786">
      <c r="A1786" s="8" t="str">
        <f>IFERROR(__xludf.DUMMYFUNCTION("""COMPUTED_VALUE"""),"sissyshome")</f>
        <v>sissyshome</v>
      </c>
    </row>
    <row r="1787">
      <c r="A1787" s="8" t="str">
        <f>IFERROR(__xludf.DUMMYFUNCTION("""COMPUTED_VALUE"""),"spiritualinspiration1")</f>
        <v>spiritualinspiration1</v>
      </c>
    </row>
    <row r="1788">
      <c r="A1788" s="8" t="str">
        <f>IFERROR(__xludf.DUMMYFUNCTION("""COMPUTED_VALUE"""),"stylemefresh")</f>
        <v>stylemefresh</v>
      </c>
    </row>
    <row r="1789">
      <c r="A1789" s="8" t="str">
        <f>IFERROR(__xludf.DUMMYFUNCTION("""COMPUTED_VALUE"""),"weddingdecorinspiration")</f>
        <v>weddingdecorinspiration</v>
      </c>
    </row>
    <row r="1790">
      <c r="A1790" s="8" t="str">
        <f>IFERROR(__xludf.DUMMYFUNCTION("""COMPUTED_VALUE"""),"pavan_realestate")</f>
        <v>pavan_realestate</v>
      </c>
    </row>
    <row r="1791">
      <c r="A1791" s="8" t="str">
        <f>IFERROR(__xludf.DUMMYFUNCTION("""COMPUTED_VALUE"""),"share_bazar_tips")</f>
        <v>share_bazar_tips</v>
      </c>
    </row>
    <row r="1792">
      <c r="A1792" s="8" t="str">
        <f>IFERROR(__xludf.DUMMYFUNCTION("""COMPUTED_VALUE"""),"destinazione_istanbul")</f>
        <v>destinazione_istanbul</v>
      </c>
    </row>
    <row r="1793">
      <c r="A1793" s="8" t="str">
        <f>IFERROR(__xludf.DUMMYFUNCTION("""COMPUTED_VALUE"""),"emreciftcio")</f>
        <v>emreciftcio</v>
      </c>
    </row>
    <row r="1794">
      <c r="A1794" s="8" t="str">
        <f>IFERROR(__xludf.DUMMYFUNCTION("""COMPUTED_VALUE"""),"go__istanbul")</f>
        <v>go__istanbul</v>
      </c>
    </row>
    <row r="1795">
      <c r="A1795" s="8" t="str">
        <f>IFERROR(__xludf.DUMMYFUNCTION("""COMPUTED_VALUE"""),"hairofistanbul")</f>
        <v>hairofistanbul</v>
      </c>
    </row>
    <row r="1796">
      <c r="A1796" s="8" t="str">
        <f>IFERROR(__xludf.DUMMYFUNCTION("""COMPUTED_VALUE"""),"hammasiga_istanbul_aybdor")</f>
        <v>hammasiga_istanbul_aybdor</v>
      </c>
    </row>
    <row r="1797">
      <c r="A1797" s="8" t="str">
        <f>IFERROR(__xludf.DUMMYFUNCTION("""COMPUTED_VALUE"""),"istanbul")</f>
        <v>istanbul</v>
      </c>
    </row>
    <row r="1798">
      <c r="A1798" s="8" t="str">
        <f>IFERROR(__xludf.DUMMYFUNCTION("""COMPUTED_VALUE"""),"istanbul.belle")</f>
        <v>istanbul.belle</v>
      </c>
    </row>
    <row r="1799">
      <c r="A1799" s="8" t="str">
        <f>IFERROR(__xludf.DUMMYFUNCTION("""COMPUTED_VALUE"""),"istanbul_bride_jo")</f>
        <v>istanbul_bride_jo</v>
      </c>
    </row>
    <row r="1800">
      <c r="A1800" s="8" t="str">
        <f>IFERROR(__xludf.DUMMYFUNCTION("""COMPUTED_VALUE"""),"istanbul.etkinlik")</f>
        <v>istanbul.etkinlik</v>
      </c>
    </row>
    <row r="1801">
      <c r="A1801" s="8" t="str">
        <f>IFERROR(__xludf.DUMMYFUNCTION("""COMPUTED_VALUE"""),"istanbul.ev1")</f>
        <v>istanbul.ev1</v>
      </c>
    </row>
    <row r="1802">
      <c r="A1802" s="8" t="str">
        <f>IFERROR(__xludf.DUMMYFUNCTION("""COMPUTED_VALUE"""),"nidua_istanbul")</f>
        <v>nidua_istanbul</v>
      </c>
    </row>
    <row r="1803">
      <c r="A1803" s="8" t="str">
        <f>IFERROR(__xludf.DUMMYFUNCTION("""COMPUTED_VALUE"""),"serefvural_istanbul")</f>
        <v>serefvural_istanbul</v>
      </c>
    </row>
    <row r="1804">
      <c r="A1804" s="8" t="str">
        <f>IFERROR(__xludf.DUMMYFUNCTION("""COMPUTED_VALUE"""),"viki_in_istanbul")</f>
        <v>viki_in_istanbul</v>
      </c>
    </row>
    <row r="1805">
      <c r="A1805" s="8" t="str">
        <f>IFERROR(__xludf.DUMMYFUNCTION("""COMPUTED_VALUE"""),"ahungryitalian")</f>
        <v>ahungryitalian</v>
      </c>
    </row>
    <row r="1806">
      <c r="A1806" s="8" t="str">
        <f>IFERROR(__xludf.DUMMYFUNCTION("""COMPUTED_VALUE"""),"italian_food")</f>
        <v>italian_food</v>
      </c>
    </row>
    <row r="1807">
      <c r="A1807" s="8" t="str">
        <f>IFERROR(__xludf.DUMMYFUNCTION("""COMPUTED_VALUE"""),"italianfooddaily")</f>
        <v>italianfooddaily</v>
      </c>
    </row>
    <row r="1808">
      <c r="A1808" s="8" t="str">
        <f>IFERROR(__xludf.DUMMYFUNCTION("""COMPUTED_VALUE"""),"italianfoodtherapy")</f>
        <v>italianfoodtherapy</v>
      </c>
    </row>
    <row r="1809">
      <c r="A1809" s="8" t="str">
        <f>IFERROR(__xludf.DUMMYFUNCTION("""COMPUTED_VALUE"""),"vincenzosplate")</f>
        <v>vincenzosplate</v>
      </c>
    </row>
    <row r="1810">
      <c r="A1810" s="8" t="str">
        <f>IFERROR(__xludf.DUMMYFUNCTION("""COMPUTED_VALUE"""),"japanese.foods_")</f>
        <v>japanese.foods_</v>
      </c>
    </row>
    <row r="1811">
      <c r="A1811" s="8" t="str">
        <f>IFERROR(__xludf.DUMMYFUNCTION("""COMPUTED_VALUE"""),"osaka_japanesefood")</f>
        <v>osaka_japanesefood</v>
      </c>
    </row>
    <row r="1812">
      <c r="A1812" s="8" t="str">
        <f>IFERROR(__xludf.DUMMYFUNCTION("""COMPUTED_VALUE"""),"shumiyajp")</f>
        <v>shumiyajp</v>
      </c>
    </row>
    <row r="1813">
      <c r="A1813" s="8" t="str">
        <f>IFERROR(__xludf.DUMMYFUNCTION("""COMPUTED_VALUE"""),"coding.stella")</f>
        <v>coding.stella</v>
      </c>
    </row>
    <row r="1814">
      <c r="A1814" s="8" t="str">
        <f>IFERROR(__xludf.DUMMYFUNCTION("""COMPUTED_VALUE"""),"javascript.js")</f>
        <v>javascript.js</v>
      </c>
    </row>
    <row r="1815">
      <c r="A1815" s="8" t="str">
        <f>IFERROR(__xludf.DUMMYFUNCTION("""COMPUTED_VALUE"""),"javascriptmastery")</f>
        <v>javascriptmastery</v>
      </c>
    </row>
    <row r="1816">
      <c r="A1816" s="8" t="str">
        <f>IFERROR(__xludf.DUMMYFUNCTION("""COMPUTED_VALUE"""),"javascript.tips")</f>
        <v>javascript.tips</v>
      </c>
    </row>
    <row r="1817">
      <c r="A1817" s="8" t="str">
        <f>IFERROR(__xludf.DUMMYFUNCTION("""COMPUTED_VALUE"""),"antarajj")</f>
        <v>antarajj</v>
      </c>
    </row>
    <row r="1818">
      <c r="A1818" s="8" t="str">
        <f>IFERROR(__xludf.DUMMYFUNCTION("""COMPUTED_VALUE"""),"artofjiujitsu")</f>
        <v>artofjiujitsu</v>
      </c>
    </row>
    <row r="1819">
      <c r="A1819" s="8" t="str">
        <f>IFERROR(__xludf.DUMMYFUNCTION("""COMPUTED_VALUE"""),"gordonlovesjiujitsu")</f>
        <v>gordonlovesjiujitsu</v>
      </c>
    </row>
    <row r="1820">
      <c r="A1820" s="8" t="str">
        <f>IFERROR(__xludf.DUMMYFUNCTION("""COMPUTED_VALUE"""),"jiujitsucon")</f>
        <v>jiujitsucon</v>
      </c>
    </row>
    <row r="1821">
      <c r="A1821" s="8" t="str">
        <f>IFERROR(__xludf.DUMMYFUNCTION("""COMPUTED_VALUE"""),"jiujitsufive_o")</f>
        <v>jiujitsufive_o</v>
      </c>
    </row>
    <row r="1822">
      <c r="A1822" s="8" t="str">
        <f>IFERROR(__xludf.DUMMYFUNCTION("""COMPUTED_VALUE"""),"jiu_jitsu_girls_")</f>
        <v>jiu_jitsu_girls_</v>
      </c>
    </row>
    <row r="1823">
      <c r="A1823" s="8" t="str">
        <f>IFERROR(__xludf.DUMMYFUNCTION("""COMPUTED_VALUE"""),"jiu_jitsu_lifestyle")</f>
        <v>jiu_jitsu_lifestyle</v>
      </c>
    </row>
    <row r="1824">
      <c r="A1824" s="8" t="str">
        <f>IFERROR(__xludf.DUMMYFUNCTION("""COMPUTED_VALUE"""),"jiu_jitsu_page_")</f>
        <v>jiu_jitsu_page_</v>
      </c>
    </row>
    <row r="1825">
      <c r="A1825" s="8" t="str">
        <f>IFERROR(__xludf.DUMMYFUNCTION("""COMPUTED_VALUE"""),"jiu_jitsu_reels")</f>
        <v>jiu_jitsu_reels</v>
      </c>
    </row>
    <row r="1826">
      <c r="A1826" s="8" t="str">
        <f>IFERROR(__xludf.DUMMYFUNCTION("""COMPUTED_VALUE"""),"jiu_jitsuwomen")</f>
        <v>jiu_jitsuwomen</v>
      </c>
    </row>
    <row r="1827">
      <c r="A1827" s="8" t="str">
        <f>IFERROR(__xludf.DUMMYFUNCTION("""COMPUTED_VALUE"""),"koraijiujitsu")</f>
        <v>koraijiujitsu</v>
      </c>
    </row>
    <row r="1828">
      <c r="A1828" s="8" t="str">
        <f>IFERROR(__xludf.DUMMYFUNCTION("""COMPUTED_VALUE"""),"ambitiouslyalexa")</f>
        <v>ambitiouslyalexa</v>
      </c>
    </row>
    <row r="1829">
      <c r="A1829" s="8" t="str">
        <f>IFERROR(__xludf.DUMMYFUNCTION("""COMPUTED_VALUE"""),"happycreativity_")</f>
        <v>happycreativity_</v>
      </c>
    </row>
    <row r="1830">
      <c r="A1830" s="8" t="str">
        <f>IFERROR(__xludf.DUMMYFUNCTION("""COMPUTED_VALUE"""),"irene.martinho")</f>
        <v>irene.martinho</v>
      </c>
    </row>
    <row r="1831">
      <c r="A1831" s="8" t="str">
        <f>IFERROR(__xludf.DUMMYFUNCTION("""COMPUTED_VALUE"""),"journalingdani")</f>
        <v>journalingdani</v>
      </c>
    </row>
    <row r="1832">
      <c r="A1832" s="8" t="str">
        <f>IFERROR(__xludf.DUMMYFUNCTION("""COMPUTED_VALUE"""),"journaling_faith_")</f>
        <v>journaling_faith_</v>
      </c>
    </row>
    <row r="1833">
      <c r="A1833" s="8" t="str">
        <f>IFERROR(__xludf.DUMMYFUNCTION("""COMPUTED_VALUE"""),"journalinghome")</f>
        <v>journalinghome</v>
      </c>
    </row>
    <row r="1834">
      <c r="A1834" s="8" t="str">
        <f>IFERROR(__xludf.DUMMYFUNCTION("""COMPUTED_VALUE"""),"journaling__tips")</f>
        <v>journaling__tips</v>
      </c>
    </row>
    <row r="1835">
      <c r="A1835" s="8" t="str">
        <f>IFERROR(__xludf.DUMMYFUNCTION("""COMPUTED_VALUE"""),"kaylees.bible.journaling")</f>
        <v>kaylees.bible.journaling</v>
      </c>
    </row>
    <row r="1836">
      <c r="A1836" s="8" t="str">
        <f>IFERROR(__xludf.DUMMYFUNCTION("""COMPUTED_VALUE"""),"natashainyourphone")</f>
        <v>natashainyourphone</v>
      </c>
    </row>
    <row r="1837">
      <c r="A1837" s="8" t="str">
        <f>IFERROR(__xludf.DUMMYFUNCTION("""COMPUTED_VALUE"""),"paperwrldshop")</f>
        <v>paperwrldshop</v>
      </c>
    </row>
    <row r="1838">
      <c r="A1838" s="8" t="str">
        <f>IFERROR(__xludf.DUMMYFUNCTION("""COMPUTED_VALUE"""),"peekmybook")</f>
        <v>peekmybook</v>
      </c>
    </row>
    <row r="1839">
      <c r="A1839" s="8" t="str">
        <f>IFERROR(__xludf.DUMMYFUNCTION("""COMPUTED_VALUE"""),"jpopmanga")</f>
        <v>jpopmanga</v>
      </c>
    </row>
    <row r="1840">
      <c r="A1840" s="8" t="str">
        <f>IFERROR(__xludf.DUMMYFUNCTION("""COMPUTED_VALUE"""),"karatecombat")</f>
        <v>karatecombat</v>
      </c>
    </row>
    <row r="1841">
      <c r="A1841" s="8" t="str">
        <f>IFERROR(__xludf.DUMMYFUNCTION("""COMPUTED_VALUE"""),"karate_hoseinabadi")</f>
        <v>karate_hoseinabadi</v>
      </c>
    </row>
    <row r="1842">
      <c r="A1842" s="8" t="str">
        <f>IFERROR(__xludf.DUMMYFUNCTION("""COMPUTED_VALUE"""),"karatehottiemma")</f>
        <v>karatehottiemma</v>
      </c>
    </row>
    <row r="1843">
      <c r="A1843" s="8" t="str">
        <f>IFERROR(__xludf.DUMMYFUNCTION("""COMPUTED_VALUE"""),"karate__ins")</f>
        <v>karate__ins</v>
      </c>
    </row>
    <row r="1844">
      <c r="A1844" s="8" t="str">
        <f>IFERROR(__xludf.DUMMYFUNCTION("""COMPUTED_VALUE"""),"karate.jewels")</f>
        <v>karate.jewels</v>
      </c>
    </row>
    <row r="1845">
      <c r="A1845" s="8" t="str">
        <f>IFERROR(__xludf.DUMMYFUNCTION("""COMPUTED_VALUE"""),"karatekidmovie")</f>
        <v>karatekidmovie</v>
      </c>
    </row>
    <row r="1846">
      <c r="A1846" s="8" t="str">
        <f>IFERROR(__xludf.DUMMYFUNCTION("""COMPUTED_VALUE"""),"karate_thug")</f>
        <v>karate_thug</v>
      </c>
    </row>
    <row r="1847">
      <c r="A1847" s="8" t="str">
        <f>IFERROR(__xludf.DUMMYFUNCTION("""COMPUTED_VALUE"""),"karate_world__")</f>
        <v>karate_world__</v>
      </c>
    </row>
    <row r="1848">
      <c r="A1848" s="8" t="str">
        <f>IFERROR(__xludf.DUMMYFUNCTION("""COMPUTED_VALUE"""),"thekarateshrimp")</f>
        <v>thekarateshrimp</v>
      </c>
    </row>
    <row r="1849">
      <c r="A1849" s="8" t="str">
        <f>IFERROR(__xludf.DUMMYFUNCTION("""COMPUTED_VALUE"""),"keto_adapted")</f>
        <v>keto_adapted</v>
      </c>
    </row>
    <row r="1850">
      <c r="A1850" s="8" t="str">
        <f>IFERROR(__xludf.DUMMYFUNCTION("""COMPUTED_VALUE"""),"keto_bhaii")</f>
        <v>keto_bhaii</v>
      </c>
    </row>
    <row r="1851">
      <c r="A1851" s="8" t="str">
        <f>IFERROR(__xludf.DUMMYFUNCTION("""COMPUTED_VALUE"""),"keto.diet.recipe_")</f>
        <v>keto.diet.recipe_</v>
      </c>
    </row>
    <row r="1852">
      <c r="A1852" s="8" t="str">
        <f>IFERROR(__xludf.DUMMYFUNCTION("""COMPUTED_VALUE"""),"keto_dr_chauchard")</f>
        <v>keto_dr_chauchard</v>
      </c>
    </row>
    <row r="1853">
      <c r="A1853" s="8" t="str">
        <f>IFERROR(__xludf.DUMMYFUNCTION("""COMPUTED_VALUE"""),"ketofitjanet")</f>
        <v>ketofitjanet</v>
      </c>
    </row>
    <row r="1854">
      <c r="A1854" s="8" t="str">
        <f>IFERROR(__xludf.DUMMYFUNCTION("""COMPUTED_VALUE"""),"ketogrid")</f>
        <v>ketogrid</v>
      </c>
    </row>
    <row r="1855">
      <c r="A1855" s="8" t="str">
        <f>IFERROR(__xludf.DUMMYFUNCTION("""COMPUTED_VALUE"""),"keto_iraq_")</f>
        <v>keto_iraq_</v>
      </c>
    </row>
    <row r="1856">
      <c r="A1856" s="8" t="str">
        <f>IFERROR(__xludf.DUMMYFUNCTION("""COMPUTED_VALUE"""),"ketomadesimple")</f>
        <v>ketomadesimple</v>
      </c>
    </row>
    <row r="1857">
      <c r="A1857" s="8" t="str">
        <f>IFERROR(__xludf.DUMMYFUNCTION("""COMPUTED_VALUE"""),"ketomealrecipe")</f>
        <v>ketomealrecipe</v>
      </c>
    </row>
    <row r="1858">
      <c r="A1858" s="8" t="str">
        <f>IFERROR(__xludf.DUMMYFUNCTION("""COMPUTED_VALUE"""),"keto.recipes_")</f>
        <v>keto.recipes_</v>
      </c>
    </row>
    <row r="1859">
      <c r="A1859" s="8" t="str">
        <f>IFERROR(__xludf.DUMMYFUNCTION("""COMPUTED_VALUE"""),"keto_s_ermenkova")</f>
        <v>keto_s_ermenkova</v>
      </c>
    </row>
    <row r="1860">
      <c r="A1860" s="8" t="str">
        <f>IFERROR(__xludf.DUMMYFUNCTION("""COMPUTED_VALUE"""),"ketosnackz")</f>
        <v>ketosnackz</v>
      </c>
    </row>
    <row r="1861">
      <c r="A1861" s="8" t="str">
        <f>IFERROR(__xludf.DUMMYFUNCTION("""COMPUTED_VALUE"""),"keto_vivian")</f>
        <v>keto_vivian</v>
      </c>
    </row>
    <row r="1862">
      <c r="A1862" s="8" t="str">
        <f>IFERROR(__xludf.DUMMYFUNCTION("""COMPUTED_VALUE"""),"lowcarb_alice")</f>
        <v>lowcarb_alice</v>
      </c>
    </row>
    <row r="1863">
      <c r="A1863" s="8" t="str">
        <f>IFERROR(__xludf.DUMMYFUNCTION("""COMPUTED_VALUE"""),"eattherainbow_kids")</f>
        <v>eattherainbow_kids</v>
      </c>
    </row>
    <row r="1864">
      <c r="A1864" s="8" t="str">
        <f>IFERROR(__xludf.DUMMYFUNCTION("""COMPUTED_VALUE"""),"kidfriendlymaryland")</f>
        <v>kidfriendlymaryland</v>
      </c>
    </row>
    <row r="1865">
      <c r="A1865" s="8" t="str">
        <f>IFERROR(__xludf.DUMMYFUNCTION("""COMPUTED_VALUE"""),"kidfriendly.meals")</f>
        <v>kidfriendly.meals</v>
      </c>
    </row>
    <row r="1866">
      <c r="A1866" s="8" t="str">
        <f>IFERROR(__xludf.DUMMYFUNCTION("""COMPUTED_VALUE"""),"kid.friendly.pdx")</f>
        <v>kid.friendly.pdx</v>
      </c>
    </row>
    <row r="1867">
      <c r="A1867" s="8" t="str">
        <f>IFERROR(__xludf.DUMMYFUNCTION("""COMPUTED_VALUE"""),"kidfriendlyphilly")</f>
        <v>kidfriendlyphilly</v>
      </c>
    </row>
    <row r="1868">
      <c r="A1868" s="8" t="str">
        <f>IFERROR(__xludf.DUMMYFUNCTION("""COMPUTED_VALUE"""),"kidfriendlystays")</f>
        <v>kidfriendlystays</v>
      </c>
    </row>
    <row r="1869">
      <c r="A1869" s="8" t="str">
        <f>IFERROR(__xludf.DUMMYFUNCTION("""COMPUTED_VALUE"""),"momscoveries")</f>
        <v>momscoveries</v>
      </c>
    </row>
    <row r="1870">
      <c r="A1870" s="8" t="str">
        <f>IFERROR(__xludf.DUMMYFUNCTION("""COMPUTED_VALUE"""),"my_kids_lick_the_bowl")</f>
        <v>my_kids_lick_the_bowl</v>
      </c>
    </row>
    <row r="1871">
      <c r="A1871" s="8" t="str">
        <f>IFERROR(__xludf.DUMMYFUNCTION("""COMPUTED_VALUE"""),"keep.kids.busy")</f>
        <v>keep.kids.busy</v>
      </c>
    </row>
    <row r="1872">
      <c r="A1872" s="8" t="str">
        <f>IFERROR(__xludf.DUMMYFUNCTION("""COMPUTED_VALUE"""),"kids_activities_56")</f>
        <v>kids_activities_56</v>
      </c>
    </row>
    <row r="1873">
      <c r="A1873" s="8" t="str">
        <f>IFERROR(__xludf.DUMMYFUNCTION("""COMPUTED_VALUE"""),"kidsactivitiesblog")</f>
        <v>kidsactivitiesblog</v>
      </c>
    </row>
    <row r="1874">
      <c r="A1874" s="8" t="str">
        <f>IFERROR(__xludf.DUMMYFUNCTION("""COMPUTED_VALUE"""),"kids_activities_dz")</f>
        <v>kids_activities_dz</v>
      </c>
    </row>
    <row r="1875">
      <c r="A1875" s="8" t="str">
        <f>IFERROR(__xludf.DUMMYFUNCTION("""COMPUTED_VALUE"""),"heather.happykidskitchen")</f>
        <v>heather.happykidskitchen</v>
      </c>
    </row>
    <row r="1876">
      <c r="A1876" s="8" t="str">
        <f>IFERROR(__xludf.DUMMYFUNCTION("""COMPUTED_VALUE"""),"kidscookingclub")</f>
        <v>kidscookingclub</v>
      </c>
    </row>
    <row r="1877">
      <c r="A1877" s="8" t="str">
        <f>IFERROR(__xludf.DUMMYFUNCTION("""COMPUTED_VALUE"""),"kids_cookinging")</f>
        <v>kids_cookinging</v>
      </c>
    </row>
    <row r="1878">
      <c r="A1878" s="8" t="str">
        <f>IFERROR(__xludf.DUMMYFUNCTION("""COMPUTED_VALUE"""),"tovlajr")</f>
        <v>tovlajr</v>
      </c>
    </row>
    <row r="1879">
      <c r="A1879" s="8" t="str">
        <f>IFERROR(__xludf.DUMMYFUNCTION("""COMPUTED_VALUE"""),"cats_presidency")</f>
        <v>cats_presidency</v>
      </c>
    </row>
    <row r="1880">
      <c r="A1880" s="8" t="str">
        <f>IFERROR(__xludf.DUMMYFUNCTION("""COMPUTED_VALUE"""),"clan_real.kittens_oficial")</f>
        <v>clan_real.kittens_oficial</v>
      </c>
    </row>
    <row r="1881">
      <c r="A1881" s="8" t="str">
        <f>IFERROR(__xludf.DUMMYFUNCTION("""COMPUTED_VALUE"""),"erinkittens")</f>
        <v>erinkittens</v>
      </c>
    </row>
    <row r="1882">
      <c r="A1882" s="8" t="str">
        <f>IFERROR(__xludf.DUMMYFUNCTION("""COMPUTED_VALUE"""),"fosterkittendiary")</f>
        <v>fosterkittendiary</v>
      </c>
    </row>
    <row r="1883">
      <c r="A1883" s="8" t="str">
        <f>IFERROR(__xludf.DUMMYFUNCTION("""COMPUTED_VALUE"""),"kitten_shan")</f>
        <v>kitten_shan</v>
      </c>
    </row>
    <row r="1884">
      <c r="A1884" s="8" t="str">
        <f>IFERROR(__xludf.DUMMYFUNCTION("""COMPUTED_VALUE"""),"kittensneeze")</f>
        <v>kittensneeze</v>
      </c>
    </row>
    <row r="1885">
      <c r="A1885" s="8" t="str">
        <f>IFERROR(__xludf.DUMMYFUNCTION("""COMPUTED_VALUE"""),"kittens.puppies.cuties")</f>
        <v>kittens.puppies.cuties</v>
      </c>
    </row>
    <row r="1886">
      <c r="A1886" s="8" t="str">
        <f>IFERROR(__xludf.DUMMYFUNCTION("""COMPUTED_VALUE"""),"kittens_q8")</f>
        <v>kittens_q8</v>
      </c>
    </row>
    <row r="1887">
      <c r="A1887" s="8" t="str">
        <f>IFERROR(__xludf.DUMMYFUNCTION("""COMPUTED_VALUE"""),"kittens_toshkentn1")</f>
        <v>kittens_toshkentn1</v>
      </c>
    </row>
    <row r="1888">
      <c r="A1888" s="8" t="str">
        <f>IFERROR(__xludf.DUMMYFUNCTION("""COMPUTED_VALUE"""),"kittens_uz")</f>
        <v>kittens_uz</v>
      </c>
    </row>
    <row r="1889">
      <c r="A1889" s="8" t="str">
        <f>IFERROR(__xludf.DUMMYFUNCTION("""COMPUTED_VALUE"""),"thatcatspage")</f>
        <v>thatcatspage</v>
      </c>
    </row>
    <row r="1890">
      <c r="A1890" s="8" t="str">
        <f>IFERROR(__xludf.DUMMYFUNCTION("""COMPUTED_VALUE"""),"dakgalbi_resto")</f>
        <v>dakgalbi_resto</v>
      </c>
    </row>
    <row r="1891">
      <c r="A1891" s="8" t="str">
        <f>IFERROR(__xludf.DUMMYFUNCTION("""COMPUTED_VALUE"""),"eden_table")</f>
        <v>eden_table</v>
      </c>
    </row>
    <row r="1892">
      <c r="A1892" s="8" t="str">
        <f>IFERROR(__xludf.DUMMYFUNCTION("""COMPUTED_VALUE"""),"koreanfood")</f>
        <v>koreanfood</v>
      </c>
    </row>
    <row r="1893">
      <c r="A1893" s="8" t="str">
        <f>IFERROR(__xludf.DUMMYFUNCTION("""COMPUTED_VALUE"""),"korean_foodman")</f>
        <v>korean_foodman</v>
      </c>
    </row>
    <row r="1894">
      <c r="A1894" s="8" t="str">
        <f>IFERROR(__xludf.DUMMYFUNCTION("""COMPUTED_VALUE"""),"korean_food_om_")</f>
        <v>korean_food_om_</v>
      </c>
    </row>
    <row r="1895">
      <c r="A1895" s="8" t="str">
        <f>IFERROR(__xludf.DUMMYFUNCTION("""COMPUTED_VALUE"""),"korean_food_recipe")</f>
        <v>korean_food_recipe</v>
      </c>
    </row>
    <row r="1896">
      <c r="A1896" s="8" t="str">
        <f>IFERROR(__xludf.DUMMYFUNCTION("""COMPUTED_VALUE"""),"foxterradesign")</f>
        <v>foxterradesign</v>
      </c>
    </row>
    <row r="1897">
      <c r="A1897" s="8" t="str">
        <f>IFERROR(__xludf.DUMMYFUNCTION("""COMPUTED_VALUE"""),"gardenstudiodesign")</f>
        <v>gardenstudiodesign</v>
      </c>
    </row>
    <row r="1898">
      <c r="A1898" s="8" t="str">
        <f>IFERROR(__xludf.DUMMYFUNCTION("""COMPUTED_VALUE"""),"giuliogroebert")</f>
        <v>giuliogroebert</v>
      </c>
    </row>
    <row r="1899">
      <c r="A1899" s="8" t="str">
        <f>IFERROR(__xludf.DUMMYFUNCTION("""COMPUTED_VALUE"""),"greengenielandscapes")</f>
        <v>greengenielandscapes</v>
      </c>
    </row>
    <row r="1900">
      <c r="A1900" s="8" t="str">
        <f>IFERROR(__xludf.DUMMYFUNCTION("""COMPUTED_VALUE"""),"hhobby_landscape")</f>
        <v>hhobby_landscape</v>
      </c>
    </row>
    <row r="1901">
      <c r="A1901" s="8" t="str">
        <f>IFERROR(__xludf.DUMMYFUNCTION("""COMPUTED_VALUE"""),"landscapes")</f>
        <v>landscapes</v>
      </c>
    </row>
    <row r="1902">
      <c r="A1902" s="8" t="str">
        <f>IFERROR(__xludf.DUMMYFUNCTION("""COMPUTED_VALUE"""),"landscapes_sisiswiss")</f>
        <v>landscapes_sisiswiss</v>
      </c>
    </row>
    <row r="1903">
      <c r="A1903" s="8" t="str">
        <f>IFERROR(__xludf.DUMMYFUNCTION("""COMPUTED_VALUE"""),"landscape.stories.magazine")</f>
        <v>landscape.stories.magazine</v>
      </c>
    </row>
    <row r="1904">
      <c r="A1904" s="8" t="str">
        <f>IFERROR(__xludf.DUMMYFUNCTION("""COMPUTED_VALUE"""),"landscapetattoo_oberkampf")</f>
        <v>landscapetattoo_oberkampf</v>
      </c>
    </row>
    <row r="1905">
      <c r="A1905" s="8" t="str">
        <f>IFERROR(__xludf.DUMMYFUNCTION("""COMPUTED_VALUE"""),"maah.landscape")</f>
        <v>maah.landscape</v>
      </c>
    </row>
    <row r="1906">
      <c r="A1906" s="8" t="str">
        <f>IFERROR(__xludf.DUMMYFUNCTION("""COMPUTED_VALUE"""),"poorfazel_landscape_design")</f>
        <v>poorfazel_landscape_design</v>
      </c>
    </row>
    <row r="1907">
      <c r="A1907" s="8" t="str">
        <f>IFERROR(__xludf.DUMMYFUNCTION("""COMPUTED_VALUE"""),"terremoto_landscape")</f>
        <v>terremoto_landscape</v>
      </c>
    </row>
    <row r="1908">
      <c r="A1908" s="8" t="str">
        <f>IFERROR(__xludf.DUMMYFUNCTION("""COMPUTED_VALUE"""),"viveloelqui")</f>
        <v>viveloelqui</v>
      </c>
    </row>
    <row r="1909">
      <c r="A1909" s="8" t="str">
        <f>IFERROR(__xludf.DUMMYFUNCTION("""COMPUTED_VALUE"""),"laugh")</f>
        <v>laugh</v>
      </c>
    </row>
    <row r="1910">
      <c r="A1910" s="8" t="str">
        <f>IFERROR(__xludf.DUMMYFUNCTION("""COMPUTED_VALUE"""),"laughfactoryhw")</f>
        <v>laughfactoryhw</v>
      </c>
    </row>
    <row r="1911">
      <c r="A1911" s="8" t="str">
        <f>IFERROR(__xludf.DUMMYFUNCTION("""COMPUTED_VALUE"""),"laughmail")</f>
        <v>laughmail</v>
      </c>
    </row>
    <row r="1912">
      <c r="A1912" s="8" t="str">
        <f>IFERROR(__xludf.DUMMYFUNCTION("""COMPUTED_VALUE"""),"laugh_of_artist")</f>
        <v>laugh_of_artist</v>
      </c>
    </row>
    <row r="1913">
      <c r="A1913" s="8" t="str">
        <f>IFERROR(__xludf.DUMMYFUNCTION("""COMPUTED_VALUE"""),"workmemesoffical")</f>
        <v>workmemesoffical</v>
      </c>
    </row>
    <row r="1914">
      <c r="A1914" s="8" t="str">
        <f>IFERROR(__xludf.DUMMYFUNCTION("""COMPUTED_VALUE"""),"laura.herde")</f>
        <v>laura.herde</v>
      </c>
    </row>
    <row r="1915">
      <c r="A1915" s="8" t="str">
        <f>IFERROR(__xludf.DUMMYFUNCTION("""COMPUTED_VALUE"""),"leadershipfirst")</f>
        <v>leadershipfirst</v>
      </c>
    </row>
    <row r="1916">
      <c r="A1916" s="8" t="str">
        <f>IFERROR(__xludf.DUMMYFUNCTION("""COMPUTED_VALUE"""),"leadership_monhla")</f>
        <v>leadership_monhla</v>
      </c>
    </row>
    <row r="1917">
      <c r="A1917" s="8" t="str">
        <f>IFERROR(__xludf.DUMMYFUNCTION("""COMPUTED_VALUE"""),"leadership_ofc")</f>
        <v>leadership_ofc</v>
      </c>
    </row>
    <row r="1918">
      <c r="A1918" s="8" t="str">
        <f>IFERROR(__xludf.DUMMYFUNCTION("""COMPUTED_VALUE"""),"maxwellleadership")</f>
        <v>maxwellleadership</v>
      </c>
    </row>
    <row r="1919">
      <c r="A1919" s="8" t="str">
        <f>IFERROR(__xludf.DUMMYFUNCTION("""COMPUTED_VALUE"""),"pm.leadership")</f>
        <v>pm.leadership</v>
      </c>
    </row>
    <row r="1920">
      <c r="A1920" s="8" t="str">
        <f>IFERROR(__xludf.DUMMYFUNCTION("""COMPUTED_VALUE"""),"thrivewithcass")</f>
        <v>thrivewithcass</v>
      </c>
    </row>
    <row r="1921">
      <c r="A1921" s="8" t="str">
        <f>IFERROR(__xludf.DUMMYFUNCTION("""COMPUTED_VALUE"""),"brokenleague")</f>
        <v>brokenleague</v>
      </c>
    </row>
    <row r="1922">
      <c r="A1922" s="8" t="str">
        <f>IFERROR(__xludf.DUMMYFUNCTION("""COMPUTED_VALUE"""),"juegalol")</f>
        <v>juegalol</v>
      </c>
    </row>
    <row r="1923">
      <c r="A1923" s="8" t="str">
        <f>IFERROR(__xludf.DUMMYFUNCTION("""COMPUTED_VALUE"""),"leaguearabia")</f>
        <v>leaguearabia</v>
      </c>
    </row>
    <row r="1924">
      <c r="A1924" s="8" t="str">
        <f>IFERROR(__xludf.DUMMYFUNCTION("""COMPUTED_VALUE"""),"league_italia")</f>
        <v>league_italia</v>
      </c>
    </row>
    <row r="1925">
      <c r="A1925" s="8" t="str">
        <f>IFERROR(__xludf.DUMMYFUNCTION("""COMPUTED_VALUE"""),"leagueoflegends")</f>
        <v>leagueoflegends</v>
      </c>
    </row>
    <row r="1926">
      <c r="A1926" s="8" t="str">
        <f>IFERROR(__xludf.DUMMYFUNCTION("""COMPUTED_VALUE"""),"leagueoflegendsbrasil")</f>
        <v>leagueoflegendsbrasil</v>
      </c>
    </row>
    <row r="1927">
      <c r="A1927" s="8" t="str">
        <f>IFERROR(__xludf.DUMMYFUNCTION("""COMPUTED_VALUE"""),"leagueoflegendsde")</f>
        <v>leagueoflegendsde</v>
      </c>
    </row>
    <row r="1928">
      <c r="A1928" s="8" t="str">
        <f>IFERROR(__xludf.DUMMYFUNCTION("""COMPUTED_VALUE"""),"leagueoflegendsfr")</f>
        <v>leagueoflegendsfr</v>
      </c>
    </row>
    <row r="1929">
      <c r="A1929" s="8" t="str">
        <f>IFERROR(__xludf.DUMMYFUNCTION("""COMPUTED_VALUE"""),"leagueoflegendsid")</f>
        <v>leagueoflegendsid</v>
      </c>
    </row>
    <row r="1930">
      <c r="A1930" s="8" t="str">
        <f>IFERROR(__xludf.DUMMYFUNCTION("""COMPUTED_VALUE"""),"leagueoflegendskorea")</f>
        <v>leagueoflegendskorea</v>
      </c>
    </row>
    <row r="1931">
      <c r="A1931" s="8" t="str">
        <f>IFERROR(__xludf.DUMMYFUNCTION("""COMPUTED_VALUE"""),"leagueoflegends_polska")</f>
        <v>leagueoflegends_polska</v>
      </c>
    </row>
    <row r="1932">
      <c r="A1932" s="8" t="str">
        <f>IFERROR(__xludf.DUMMYFUNCTION("""COMPUTED_VALUE"""),"leagueofstuckers")</f>
        <v>leagueofstuckers</v>
      </c>
    </row>
    <row r="1933">
      <c r="A1933" s="8" t="str">
        <f>IFERROR(__xludf.DUMMYFUNCTION("""COMPUTED_VALUE"""),"lol_es")</f>
        <v>lol_es</v>
      </c>
    </row>
    <row r="1934">
      <c r="A1934" s="8" t="str">
        <f>IFERROR(__xludf.DUMMYFUNCTION("""COMPUTED_VALUE"""),"lolturkiye")</f>
        <v>lolturkiye</v>
      </c>
    </row>
    <row r="1935">
      <c r="A1935" s="8" t="str">
        <f>IFERROR(__xludf.DUMMYFUNCTION("""COMPUTED_VALUE"""),"playwildrift")</f>
        <v>playwildrift</v>
      </c>
    </row>
    <row r="1936">
      <c r="A1936" s="8" t="str">
        <f>IFERROR(__xludf.DUMMYFUNCTION("""COMPUTED_VALUE"""),"ukleagueoflegends")</f>
        <v>ukleagueoflegends</v>
      </c>
    </row>
    <row r="1937">
      <c r="A1937" s="8" t="str">
        <f>IFERROR(__xludf.DUMMYFUNCTION("""COMPUTED_VALUE"""),"hacksify")</f>
        <v>hacksify</v>
      </c>
    </row>
    <row r="1938">
      <c r="A1938" s="8" t="str">
        <f>IFERROR(__xludf.DUMMYFUNCTION("""COMPUTED_VALUE"""),"lifehacks")</f>
        <v>lifehacks</v>
      </c>
    </row>
    <row r="1939">
      <c r="A1939" s="11" t="str">
        <f>IFERROR(__xludf.DUMMYFUNCTION("""COMPUTED_VALUE"""),"lifehacks.de")</f>
        <v>lifehacks.de</v>
      </c>
    </row>
    <row r="1940">
      <c r="A1940" s="8" t="str">
        <f>IFERROR(__xludf.DUMMYFUNCTION("""COMPUTED_VALUE"""),"life_hacks_labs")</f>
        <v>life_hacks_labs</v>
      </c>
    </row>
    <row r="1941">
      <c r="A1941" s="8" t="str">
        <f>IFERROR(__xludf.DUMMYFUNCTION("""COMPUTED_VALUE"""),"bucataria.localfood")</f>
        <v>bucataria.localfood</v>
      </c>
    </row>
    <row r="1942">
      <c r="A1942" s="8" t="str">
        <f>IFERROR(__xludf.DUMMYFUNCTION("""COMPUTED_VALUE"""),"localfoodstexas")</f>
        <v>localfoodstexas</v>
      </c>
    </row>
    <row r="1943">
      <c r="A1943" s="8" t="str">
        <f>IFERROR(__xludf.DUMMYFUNCTION("""COMPUTED_VALUE"""),"local_life_f")</f>
        <v>local_life_f</v>
      </c>
    </row>
    <row r="1944">
      <c r="A1944" s="8" t="str">
        <f>IFERROR(__xludf.DUMMYFUNCTION("""COMPUTED_VALUE"""),"pawonniang_bali")</f>
        <v>pawonniang_bali</v>
      </c>
    </row>
    <row r="1945">
      <c r="A1945" s="8" t="str">
        <f>IFERROR(__xludf.DUMMYFUNCTION("""COMPUTED_VALUE"""),"clubllondon")</f>
        <v>clubllondon</v>
      </c>
    </row>
    <row r="1946">
      <c r="A1946" s="8" t="str">
        <f>IFERROR(__xludf.DUMMYFUNCTION("""COMPUTED_VALUE"""),"crunch.london")</f>
        <v>crunch.london</v>
      </c>
    </row>
    <row r="1947">
      <c r="A1947" s="8" t="str">
        <f>IFERROR(__xludf.DUMMYFUNCTION("""COMPUTED_VALUE"""),"fuse.london")</f>
        <v>fuse.london</v>
      </c>
    </row>
    <row r="1948">
      <c r="A1948" s="8" t="str">
        <f>IFERROR(__xludf.DUMMYFUNCTION("""COMPUTED_VALUE"""),"jaded_man")</f>
        <v>jaded_man</v>
      </c>
    </row>
    <row r="1949">
      <c r="A1949" s="8" t="str">
        <f>IFERROR(__xludf.DUMMYFUNCTION("""COMPUTED_VALUE"""),"laurenlondon")</f>
        <v>laurenlondon</v>
      </c>
    </row>
    <row r="1950">
      <c r="A1950" s="8" t="str">
        <f>IFERROR(__xludf.DUMMYFUNCTION("""COMPUTED_VALUE"""),"locus.london")</f>
        <v>locus.london</v>
      </c>
    </row>
    <row r="1951">
      <c r="A1951" s="8" t="str">
        <f>IFERROR(__xludf.DUMMYFUNCTION("""COMPUTED_VALUE"""),"london")</f>
        <v>london</v>
      </c>
    </row>
    <row r="1952">
      <c r="A1952" s="8" t="str">
        <f>IFERROR(__xludf.DUMMYFUNCTION("""COMPUTED_VALUE"""),"london.travelers")</f>
        <v>london.travelers</v>
      </c>
    </row>
    <row r="1953">
      <c r="A1953" s="8" t="str">
        <f>IFERROR(__xludf.DUMMYFUNCTION("""COMPUTED_VALUE"""),"london.ukcrime")</f>
        <v>london.ukcrime</v>
      </c>
    </row>
    <row r="1954">
      <c r="A1954" s="8" t="str">
        <f>IFERROR(__xludf.DUMMYFUNCTION("""COMPUTED_VALUE"""),"perplex_london")</f>
        <v>perplex_london</v>
      </c>
    </row>
    <row r="1955">
      <c r="A1955" s="8" t="str">
        <f>IFERROR(__xludf.DUMMYFUNCTION("""COMPUTED_VALUE"""),"russiansinlondon")</f>
        <v>russiansinlondon</v>
      </c>
    </row>
    <row r="1956">
      <c r="A1956" s="8" t="str">
        <f>IFERROR(__xludf.DUMMYFUNCTION("""COMPUTED_VALUE"""),"secret.london")</f>
        <v>secret.london</v>
      </c>
    </row>
    <row r="1957">
      <c r="A1957" s="8" t="str">
        <f>IFERROR(__xludf.DUMMYFUNCTION("""COMPUTED_VALUE"""),"solacelondon")</f>
        <v>solacelondon</v>
      </c>
    </row>
    <row r="1958">
      <c r="A1958" s="8" t="str">
        <f>IFERROR(__xludf.DUMMYFUNCTION("""COMPUTED_VALUE"""),"visitlondon")</f>
        <v>visitlondon</v>
      </c>
    </row>
    <row r="1959">
      <c r="A1959" s="8" t="str">
        <f>IFERROR(__xludf.DUMMYFUNCTION("""COMPUTED_VALUE"""),"alena_sanaeva_designer")</f>
        <v>alena_sanaeva_designer</v>
      </c>
    </row>
    <row r="1960">
      <c r="A1960" s="8" t="str">
        <f>IFERROR(__xludf.DUMMYFUNCTION("""COMPUTED_VALUE"""),"angelesazulesmx")</f>
        <v>angelesazulesmx</v>
      </c>
    </row>
    <row r="1961">
      <c r="A1961" s="8" t="str">
        <f>IFERROR(__xludf.DUMMYFUNCTION("""COMPUTED_VALUE"""),"angels")</f>
        <v>angels</v>
      </c>
    </row>
    <row r="1962">
      <c r="A1962" s="8" t="str">
        <f>IFERROR(__xludf.DUMMYFUNCTION("""COMPUTED_VALUE"""),"btblosangeles")</f>
        <v>btblosangeles</v>
      </c>
    </row>
    <row r="1963">
      <c r="A1963" s="8" t="str">
        <f>IFERROR(__xludf.DUMMYFUNCTION("""COMPUTED_VALUE"""),"chargers")</f>
        <v>chargers</v>
      </c>
    </row>
    <row r="1964">
      <c r="A1964" s="8" t="str">
        <f>IFERROR(__xludf.DUMMYFUNCTION("""COMPUTED_VALUE"""),"dodgers")</f>
        <v>dodgers</v>
      </c>
    </row>
    <row r="1965">
      <c r="A1965" s="8" t="str">
        <f>IFERROR(__xludf.DUMMYFUNCTION("""COMPUTED_VALUE"""),"lafc")</f>
        <v>lafc</v>
      </c>
    </row>
    <row r="1966">
      <c r="A1966" s="8" t="str">
        <f>IFERROR(__xludf.DUMMYFUNCTION("""COMPUTED_VALUE"""),"lakers")</f>
        <v>lakers</v>
      </c>
    </row>
    <row r="1967">
      <c r="A1967" s="8" t="str">
        <f>IFERROR(__xludf.DUMMYFUNCTION("""COMPUTED_VALUE"""),"latimes")</f>
        <v>latimes</v>
      </c>
    </row>
    <row r="1968">
      <c r="A1968" s="8" t="str">
        <f>IFERROR(__xludf.DUMMYFUNCTION("""COMPUTED_VALUE"""),"losangelesapparel")</f>
        <v>losangelesapparel</v>
      </c>
    </row>
    <row r="1969">
      <c r="A1969" s="8" t="str">
        <f>IFERROR(__xludf.DUMMYFUNCTION("""COMPUTED_VALUE"""),"losangelesconfidential")</f>
        <v>losangelesconfidential</v>
      </c>
    </row>
    <row r="1970">
      <c r="A1970" s="8" t="str">
        <f>IFERROR(__xludf.DUMMYFUNCTION("""COMPUTED_VALUE"""),"losangeleskurd")</f>
        <v>losangeleskurd</v>
      </c>
    </row>
    <row r="1971">
      <c r="A1971" s="8" t="str">
        <f>IFERROR(__xludf.DUMMYFUNCTION("""COMPUTED_VALUE"""),"losdodgers")</f>
        <v>losdodgers</v>
      </c>
    </row>
    <row r="1972">
      <c r="A1972" s="8" t="str">
        <f>IFERROR(__xludf.DUMMYFUNCTION("""COMPUTED_VALUE"""),"rams")</f>
        <v>rams</v>
      </c>
    </row>
    <row r="1973">
      <c r="A1973" s="8" t="str">
        <f>IFERROR(__xludf.DUMMYFUNCTION("""COMPUTED_VALUE"""),"dominaluxury_suite")</f>
        <v>dominaluxury_suite</v>
      </c>
    </row>
    <row r="1974">
      <c r="A1974" s="8" t="str">
        <f>IFERROR(__xludf.DUMMYFUNCTION("""COMPUTED_VALUE"""),"insaneluxurylife")</f>
        <v>insaneluxurylife</v>
      </c>
    </row>
    <row r="1975">
      <c r="A1975" s="8" t="str">
        <f>IFERROR(__xludf.DUMMYFUNCTION("""COMPUTED_VALUE"""),"loveluxury")</f>
        <v>loveluxury</v>
      </c>
    </row>
    <row r="1976">
      <c r="A1976" s="8" t="str">
        <f>IFERROR(__xludf.DUMMYFUNCTION("""COMPUTED_VALUE"""),"luxury.escapes")</f>
        <v>luxury.escapes</v>
      </c>
    </row>
    <row r="1977">
      <c r="A1977" s="8" t="str">
        <f>IFERROR(__xludf.DUMMYFUNCTION("""COMPUTED_VALUE"""),"luxury_homes")</f>
        <v>luxury_homes</v>
      </c>
    </row>
    <row r="1978">
      <c r="A1978" s="8" t="str">
        <f>IFERROR(__xludf.DUMMYFUNCTION("""COMPUTED_VALUE"""),"luxurylaw")</f>
        <v>luxurylaw</v>
      </c>
    </row>
    <row r="1979">
      <c r="A1979" s="8" t="str">
        <f>IFERROR(__xludf.DUMMYFUNCTION("""COMPUTED_VALUE"""),"luxurylifestylemagazine")</f>
        <v>luxurylifestylemagazine</v>
      </c>
    </row>
    <row r="1980">
      <c r="A1980" s="8" t="str">
        <f>IFERROR(__xludf.DUMMYFUNCTION("""COMPUTED_VALUE"""),"luxury_listings")</f>
        <v>luxury_listings</v>
      </c>
    </row>
    <row r="1981">
      <c r="A1981" s="8" t="str">
        <f>IFERROR(__xludf.DUMMYFUNCTION("""COMPUTED_VALUE"""),"luxury.residences")</f>
        <v>luxury.residences</v>
      </c>
    </row>
    <row r="1982">
      <c r="A1982" s="8" t="str">
        <f>IFERROR(__xludf.DUMMYFUNCTION("""COMPUTED_VALUE"""),"luxuryworldtraveler")</f>
        <v>luxuryworldtraveler</v>
      </c>
    </row>
    <row r="1983">
      <c r="A1983" s="8" t="str">
        <f>IFERROR(__xludf.DUMMYFUNCTION("""COMPUTED_VALUE"""),"modernluxury")</f>
        <v>modernluxury</v>
      </c>
    </row>
    <row r="1984">
      <c r="A1984" s="8" t="str">
        <f>IFERROR(__xludf.DUMMYFUNCTION("""COMPUTED_VALUE"""),"sydneyluxuryhire_")</f>
        <v>sydneyluxuryhire_</v>
      </c>
    </row>
    <row r="1985">
      <c r="A1985" s="8" t="str">
        <f>IFERROR(__xludf.DUMMYFUNCTION("""COMPUTED_VALUE"""),"theluxfind")</f>
        <v>theluxfind</v>
      </c>
    </row>
    <row r="1986">
      <c r="A1986" s="8" t="str">
        <f>IFERROR(__xludf.DUMMYFUNCTION("""COMPUTED_VALUE"""),"tuxury")</f>
        <v>tuxury</v>
      </c>
    </row>
    <row r="1987">
      <c r="A1987" s="8" t="str">
        <f>IFERROR(__xludf.DUMMYFUNCTION("""COMPUTED_VALUE"""),"birdtravelpr")</f>
        <v>birdtravelpr</v>
      </c>
    </row>
    <row r="1988">
      <c r="A1988" s="8" t="str">
        <f>IFERROR(__xludf.DUMMYFUNCTION("""COMPUTED_VALUE"""),"laxtoluxury")</f>
        <v>laxtoluxury</v>
      </c>
    </row>
    <row r="1989">
      <c r="A1989" s="8" t="str">
        <f>IFERROR(__xludf.DUMMYFUNCTION("""COMPUTED_VALUE"""),"lch.luxurytravel")</f>
        <v>lch.luxurytravel</v>
      </c>
    </row>
    <row r="1990">
      <c r="A1990" s="8" t="str">
        <f>IFERROR(__xludf.DUMMYFUNCTION("""COMPUTED_VALUE"""),"luxurishq")</f>
        <v>luxurishq</v>
      </c>
    </row>
    <row r="1991">
      <c r="A1991" s="8" t="str">
        <f>IFERROR(__xludf.DUMMYFUNCTION("""COMPUTED_VALUE"""),"luxurytravelandhotels")</f>
        <v>luxurytravelandhotels</v>
      </c>
    </row>
    <row r="1992">
      <c r="A1992" s="8" t="str">
        <f>IFERROR(__xludf.DUMMYFUNCTION("""COMPUTED_VALUE"""),"luxurytravelermedia")</f>
        <v>luxurytravelermedia</v>
      </c>
    </row>
    <row r="1993">
      <c r="A1993" s="8" t="str">
        <f>IFERROR(__xludf.DUMMYFUNCTION("""COMPUTED_VALUE"""),"luxurytravelexpert")</f>
        <v>luxurytravelexpert</v>
      </c>
    </row>
    <row r="1994">
      <c r="A1994" s="8" t="str">
        <f>IFERROR(__xludf.DUMMYFUNCTION("""COMPUTED_VALUE"""),"luxurytravelmagazine.vip")</f>
        <v>luxurytravelmagazine.vip</v>
      </c>
    </row>
    <row r="1995">
      <c r="A1995" s="8" t="str">
        <f>IFERROR(__xludf.DUMMYFUNCTION("""COMPUTED_VALUE"""),"luxurytravelwithpoints")</f>
        <v>luxurytravelwithpoints</v>
      </c>
    </row>
    <row r="1996">
      <c r="A1996" s="8" t="str">
        <f>IFERROR(__xludf.DUMMYFUNCTION("""COMPUTED_VALUE"""),"luxury_travely")</f>
        <v>luxury_travely</v>
      </c>
    </row>
    <row r="1997">
      <c r="A1997" s="8" t="str">
        <f>IFERROR(__xludf.DUMMYFUNCTION("""COMPUTED_VALUE"""),"luxuryworldtraveler")</f>
        <v>luxuryworldtraveler</v>
      </c>
    </row>
    <row r="1998">
      <c r="A1998" s="8" t="str">
        <f>IFERROR(__xludf.DUMMYFUNCTION("""COMPUTED_VALUE"""),"mason_rose")</f>
        <v>mason_rose</v>
      </c>
    </row>
    <row r="1999">
      <c r="A1999" s="8" t="str">
        <f>IFERROR(__xludf.DUMMYFUNCTION("""COMPUTED_VALUE"""),"oriontravel_")</f>
        <v>oriontravel_</v>
      </c>
    </row>
    <row r="2000">
      <c r="A2000" s="8" t="str">
        <f>IFERROR(__xludf.DUMMYFUNCTION("""COMPUTED_VALUE"""),"scottdunn_travel")</f>
        <v>scottdunn_travel</v>
      </c>
    </row>
    <row r="2001">
      <c r="A2001" s="8" t="str">
        <f>IFERROR(__xludf.DUMMYFUNCTION("""COMPUTED_VALUE"""),"learn.machinelearning")</f>
        <v>learn.machinelearning</v>
      </c>
    </row>
    <row r="2002">
      <c r="A2002" s="8" t="str">
        <f>IFERROR(__xludf.DUMMYFUNCTION("""COMPUTED_VALUE"""),"machinelearning")</f>
        <v>machinelearning</v>
      </c>
    </row>
    <row r="2003">
      <c r="A2003" s="8" t="str">
        <f>IFERROR(__xludf.DUMMYFUNCTION("""COMPUTED_VALUE"""),"machine_learning_samane")</f>
        <v>machine_learning_samane</v>
      </c>
    </row>
    <row r="2004">
      <c r="A2004" s="8" t="str">
        <f>IFERROR(__xludf.DUMMYFUNCTION("""COMPUTED_VALUE"""),"neuralnine")</f>
        <v>neuralnine</v>
      </c>
    </row>
    <row r="2005">
      <c r="A2005" s="8" t="str">
        <f>IFERROR(__xludf.DUMMYFUNCTION("""COMPUTED_VALUE"""),"ar.makeupartist")</f>
        <v>ar.makeupartist</v>
      </c>
    </row>
    <row r="2006">
      <c r="A2006" s="8" t="str">
        <f>IFERROR(__xludf.DUMMYFUNCTION("""COMPUTED_VALUE"""),"gossmakeupartist")</f>
        <v>gossmakeupartist</v>
      </c>
    </row>
    <row r="2007">
      <c r="A2007" s="8" t="str">
        <f>IFERROR(__xludf.DUMMYFUNCTION("""COMPUTED_VALUE"""),"hellamakeupartist")</f>
        <v>hellamakeupartist</v>
      </c>
    </row>
    <row r="2008">
      <c r="A2008" s="8" t="str">
        <f>IFERROR(__xludf.DUMMYFUNCTION("""COMPUTED_VALUE"""),"khun.lp.makeup")</f>
        <v>khun.lp.makeup</v>
      </c>
    </row>
    <row r="2009">
      <c r="A2009" s="8" t="str">
        <f>IFERROR(__xludf.DUMMYFUNCTION("""COMPUTED_VALUE"""),"lulumakeupartistry")</f>
        <v>lulumakeupartistry</v>
      </c>
    </row>
    <row r="2010">
      <c r="A2010" s="8" t="str">
        <f>IFERROR(__xludf.DUMMYFUNCTION("""COMPUTED_VALUE"""),"makeupby.stella")</f>
        <v>makeupby.stella</v>
      </c>
    </row>
    <row r="2011">
      <c r="A2011" s="8" t="str">
        <f>IFERROR(__xludf.DUMMYFUNCTION("""COMPUTED_VALUE"""),"mukul.makeupartist")</f>
        <v>mukul.makeupartist</v>
      </c>
    </row>
    <row r="2012">
      <c r="A2012" s="8" t="str">
        <f>IFERROR(__xludf.DUMMYFUNCTION("""COMPUTED_VALUE"""),"nihola_hayotova_style")</f>
        <v>nihola_hayotova_style</v>
      </c>
    </row>
    <row r="2013">
      <c r="A2013" s="8" t="str">
        <f>IFERROR(__xludf.DUMMYFUNCTION("""COMPUTED_VALUE"""),"patrickta")</f>
        <v>patrickta</v>
      </c>
    </row>
    <row r="2014">
      <c r="A2014" s="8" t="str">
        <f>IFERROR(__xludf.DUMMYFUNCTION("""COMPUTED_VALUE"""),"shradhaluthra")</f>
        <v>shradhaluthra</v>
      </c>
    </row>
    <row r="2015">
      <c r="A2015" s="8" t="str">
        <f>IFERROR(__xludf.DUMMYFUNCTION("""COMPUTED_VALUE"""),"shrouk.adel_makeupartist")</f>
        <v>shrouk.adel_makeupartist</v>
      </c>
    </row>
    <row r="2016">
      <c r="A2016" s="8" t="str">
        <f>IFERROR(__xludf.DUMMYFUNCTION("""COMPUTED_VALUE"""),"sisymakeupartist")</f>
        <v>sisymakeupartist</v>
      </c>
    </row>
    <row r="2017">
      <c r="A2017" s="8" t="str">
        <f>IFERROR(__xludf.DUMMYFUNCTION("""COMPUTED_VALUE"""),"stylechannel")</f>
        <v>stylechannel</v>
      </c>
    </row>
    <row r="2018">
      <c r="A2018" s="8" t="str">
        <f>IFERROR(__xludf.DUMMYFUNCTION("""COMPUTED_VALUE"""),"amillamaldives")</f>
        <v>amillamaldives</v>
      </c>
    </row>
    <row r="2019">
      <c r="A2019" s="8" t="str">
        <f>IFERROR(__xludf.DUMMYFUNCTION("""COMPUTED_VALUE"""),"cinnamondhonvelimaldives")</f>
        <v>cinnamondhonvelimaldives</v>
      </c>
    </row>
    <row r="2020">
      <c r="A2020" s="8" t="str">
        <f>IFERROR(__xludf.DUMMYFUNCTION("""COMPUTED_VALUE"""),"conrad_maldives")</f>
        <v>conrad_maldives</v>
      </c>
    </row>
    <row r="2021">
      <c r="A2021" s="8" t="str">
        <f>IFERROR(__xludf.DUMMYFUNCTION("""COMPUTED_VALUE"""),"fsmaldives")</f>
        <v>fsmaldives</v>
      </c>
    </row>
    <row r="2022">
      <c r="A2022" s="8" t="str">
        <f>IFERROR(__xludf.DUMMYFUNCTION("""COMPUTED_VALUE"""),"maldives")</f>
        <v>maldives</v>
      </c>
    </row>
    <row r="2023">
      <c r="A2023" s="8" t="str">
        <f>IFERROR(__xludf.DUMMYFUNCTION("""COMPUTED_VALUE"""),"maldives.explore_")</f>
        <v>maldives.explore_</v>
      </c>
    </row>
    <row r="2024">
      <c r="A2024" s="8" t="str">
        <f>IFERROR(__xludf.DUMMYFUNCTION("""COMPUTED_VALUE"""),"maldives.explores")</f>
        <v>maldives.explores</v>
      </c>
    </row>
    <row r="2025">
      <c r="A2025" s="8" t="str">
        <f>IFERROR(__xludf.DUMMYFUNCTION("""COMPUTED_VALUE"""),"maldives.g80")</f>
        <v>maldives.g80</v>
      </c>
    </row>
    <row r="2026">
      <c r="A2026" s="8" t="str">
        <f>IFERROR(__xludf.DUMMYFUNCTION("""COMPUTED_VALUE"""),"maldives_thailand")</f>
        <v>maldives_thailand</v>
      </c>
    </row>
    <row r="2027">
      <c r="A2027" s="8" t="str">
        <f>IFERROR(__xludf.DUMMYFUNCTION("""COMPUTED_VALUE"""),"maldives___travel")</f>
        <v>maldives___travel</v>
      </c>
    </row>
    <row r="2028">
      <c r="A2028" s="8" t="str">
        <f>IFERROR(__xludf.DUMMYFUNCTION("""COMPUTED_VALUE"""),"online.maldives")</f>
        <v>online.maldives</v>
      </c>
    </row>
    <row r="2029">
      <c r="A2029" s="8" t="str">
        <f>IFERROR(__xludf.DUMMYFUNCTION("""COMPUTED_VALUE"""),"ritzcarltonmaldives")</f>
        <v>ritzcarltonmaldives</v>
      </c>
    </row>
    <row r="2030">
      <c r="A2030" s="8" t="str">
        <f>IFERROR(__xludf.DUMMYFUNCTION("""COMPUTED_VALUE"""),"shadowpalmmaldives")</f>
        <v>shadowpalmmaldives</v>
      </c>
    </row>
    <row r="2031">
      <c r="A2031" s="8" t="str">
        <f>IFERROR(__xludf.DUMMYFUNCTION("""COMPUTED_VALUE"""),"so.maldives")</f>
        <v>so.maldives</v>
      </c>
    </row>
    <row r="2032">
      <c r="A2032" s="8" t="str">
        <f>IFERROR(__xludf.DUMMYFUNCTION("""COMPUTED_VALUE"""),"visitmaldives")</f>
        <v>visitmaldives</v>
      </c>
    </row>
    <row r="2033">
      <c r="A2033" s="8" t="str">
        <f>IFERROR(__xludf.DUMMYFUNCTION("""COMPUTED_VALUE"""),"wmaldives")</f>
        <v>wmaldives</v>
      </c>
    </row>
    <row r="2034">
      <c r="A2034" s="8" t="str">
        <f>IFERROR(__xludf.DUMMYFUNCTION("""COMPUTED_VALUE"""),"youandmemaldives")</f>
        <v>youandmemaldives</v>
      </c>
    </row>
    <row r="2035">
      <c r="A2035" s="8" t="str">
        <f>IFERROR(__xludf.DUMMYFUNCTION("""COMPUTED_VALUE"""),"archimarathon")</f>
        <v>archimarathon</v>
      </c>
    </row>
    <row r="2036">
      <c r="A2036" s="8" t="str">
        <f>IFERROR(__xludf.DUMMYFUNCTION("""COMPUTED_VALUE"""),"berlinmarathon")</f>
        <v>berlinmarathon</v>
      </c>
    </row>
    <row r="2037">
      <c r="A2037" s="8" t="str">
        <f>IFERROR(__xludf.DUMMYFUNCTION("""COMPUTED_VALUE"""),"bostonmarathon")</f>
        <v>bostonmarathon</v>
      </c>
    </row>
    <row r="2038">
      <c r="A2038" s="8" t="str">
        <f>IFERROR(__xludf.DUMMYFUNCTION("""COMPUTED_VALUE"""),"cdmarathonhn_oficial")</f>
        <v>cdmarathonhn_oficial</v>
      </c>
    </row>
    <row r="2039">
      <c r="A2039" s="8" t="str">
        <f>IFERROR(__xludf.DUMMYFUNCTION("""COMPUTED_VALUE"""),"franziskaschoebel")</f>
        <v>franziskaschoebel</v>
      </c>
    </row>
    <row r="2040">
      <c r="A2040" s="8" t="str">
        <f>IFERROR(__xludf.DUMMYFUNCTION("""COMPUTED_VALUE"""),"londonmarathon")</f>
        <v>londonmarathon</v>
      </c>
    </row>
    <row r="2041">
      <c r="A2041" s="8" t="str">
        <f>IFERROR(__xludf.DUMMYFUNCTION("""COMPUTED_VALUE"""),"marathonbuoy")</f>
        <v>marathonbuoy</v>
      </c>
    </row>
    <row r="2042">
      <c r="A2042" s="8" t="str">
        <f>IFERROR(__xludf.DUMMYFUNCTION("""COMPUTED_VALUE"""),"marathonburger")</f>
        <v>marathonburger</v>
      </c>
    </row>
    <row r="2043">
      <c r="A2043" s="8" t="str">
        <f>IFERROR(__xludf.DUMMYFUNCTION("""COMPUTED_VALUE"""),"marathondeportes")</f>
        <v>marathondeportes</v>
      </c>
    </row>
    <row r="2044">
      <c r="A2044" s="8" t="str">
        <f>IFERROR(__xludf.DUMMYFUNCTION("""COMPUTED_VALUE"""),"marathon_peru")</f>
        <v>marathon_peru</v>
      </c>
    </row>
    <row r="2045">
      <c r="A2045" s="8" t="str">
        <f>IFERROR(__xludf.DUMMYFUNCTION("""COMPUTED_VALUE"""),"mmusicworks")</f>
        <v>mmusicworks</v>
      </c>
    </row>
    <row r="2046">
      <c r="A2046" s="8" t="str">
        <f>IFERROR(__xludf.DUMMYFUNCTION("""COMPUTED_VALUE"""),"nycmarathon")</f>
        <v>nycmarathon</v>
      </c>
    </row>
    <row r="2047">
      <c r="A2047" s="8" t="str">
        <f>IFERROR(__xludf.DUMMYFUNCTION("""COMPUTED_VALUE"""),"philly_marathon")</f>
        <v>philly_marathon</v>
      </c>
    </row>
    <row r="2048">
      <c r="A2048" s="8" t="str">
        <f>IFERROR(__xludf.DUMMYFUNCTION("""COMPUTED_VALUE"""),"themarathonclothing")</f>
        <v>themarathonclothing</v>
      </c>
    </row>
    <row r="2049">
      <c r="A2049" s="8" t="str">
        <f>IFERROR(__xludf.DUMMYFUNCTION("""COMPUTED_VALUE"""),"thesfmarathon")</f>
        <v>thesfmarathon</v>
      </c>
    </row>
    <row r="2050">
      <c r="A2050" s="8" t="str">
        <f>IFERROR(__xludf.DUMMYFUNCTION("""COMPUTED_VALUE"""),"boring.marketing")</f>
        <v>boring.marketing</v>
      </c>
    </row>
    <row r="2051">
      <c r="A2051" s="8" t="str">
        <f>IFERROR(__xludf.DUMMYFUNCTION("""COMPUTED_VALUE"""),"lookeotuperfil")</f>
        <v>lookeotuperfil</v>
      </c>
    </row>
    <row r="2052">
      <c r="A2052" s="8" t="str">
        <f>IFERROR(__xludf.DUMMYFUNCTION("""COMPUTED_VALUE"""),"madovermarketing_mom")</f>
        <v>madovermarketing_mom</v>
      </c>
    </row>
    <row r="2053">
      <c r="A2053" s="8" t="str">
        <f>IFERROR(__xludf.DUMMYFUNCTION("""COMPUTED_VALUE"""),"marketing")</f>
        <v>marketing</v>
      </c>
    </row>
    <row r="2054">
      <c r="A2054" s="8" t="str">
        <f>IFERROR(__xludf.DUMMYFUNCTION("""COMPUTED_VALUE"""),"marketingconmelissa")</f>
        <v>marketingconmelissa</v>
      </c>
    </row>
    <row r="2055">
      <c r="A2055" s="11" t="str">
        <f>IFERROR(__xludf.DUMMYFUNCTION("""COMPUTED_VALUE"""),"marketingmentor.in")</f>
        <v>marketingmentor.in</v>
      </c>
    </row>
    <row r="2056">
      <c r="A2056" s="11" t="str">
        <f>IFERROR(__xludf.DUMMYFUNCTION("""COMPUTED_VALUE"""),"marketingmind.in")</f>
        <v>marketingmind.in</v>
      </c>
    </row>
    <row r="2057">
      <c r="A2057" s="8" t="str">
        <f>IFERROR(__xludf.DUMMYFUNCTION("""COMPUTED_VALUE"""),"masterhermindset")</f>
        <v>masterhermindset</v>
      </c>
    </row>
    <row r="2058">
      <c r="A2058" s="8" t="str">
        <f>IFERROR(__xludf.DUMMYFUNCTION("""COMPUTED_VALUE"""),"reputeforge")</f>
        <v>reputeforge</v>
      </c>
    </row>
    <row r="2059">
      <c r="A2059" s="8" t="str">
        <f>IFERROR(__xludf.DUMMYFUNCTION("""COMPUTED_VALUE"""),"marketiing.strategy")</f>
        <v>marketiing.strategy</v>
      </c>
    </row>
    <row r="2060">
      <c r="A2060" s="8" t="str">
        <f>IFERROR(__xludf.DUMMYFUNCTION("""COMPUTED_VALUE"""),"market.ing_strategy")</f>
        <v>market.ing_strategy</v>
      </c>
    </row>
    <row r="2061">
      <c r="A2061" s="8" t="str">
        <f>IFERROR(__xludf.DUMMYFUNCTION("""COMPUTED_VALUE"""),"marketing_strategys")</f>
        <v>marketing_strategys</v>
      </c>
    </row>
    <row r="2062">
      <c r="A2062" s="8" t="str">
        <f>IFERROR(__xludf.DUMMYFUNCTION("""COMPUTED_VALUE"""),"rico.incarnati")</f>
        <v>rico.incarnati</v>
      </c>
    </row>
    <row r="2063">
      <c r="A2063" s="8" t="str">
        <f>IFERROR(__xludf.DUMMYFUNCTION("""COMPUTED_VALUE"""),"cammis.mealprep")</f>
        <v>cammis.mealprep</v>
      </c>
    </row>
    <row r="2064">
      <c r="A2064" s="8" t="str">
        <f>IFERROR(__xludf.DUMMYFUNCTION("""COMPUTED_VALUE"""),"how2mealprep")</f>
        <v>how2mealprep</v>
      </c>
    </row>
    <row r="2065">
      <c r="A2065" s="8" t="str">
        <f>IFERROR(__xludf.DUMMYFUNCTION("""COMPUTED_VALUE"""),"marc.mealprep")</f>
        <v>marc.mealprep</v>
      </c>
    </row>
    <row r="2066">
      <c r="A2066" s="8" t="str">
        <f>IFERROR(__xludf.DUMMYFUNCTION("""COMPUTED_VALUE"""),"mealprepchamp")</f>
        <v>mealprepchamp</v>
      </c>
    </row>
    <row r="2067">
      <c r="A2067" s="8" t="str">
        <f>IFERROR(__xludf.DUMMYFUNCTION("""COMPUTED_VALUE"""),"mealprepera")</f>
        <v>mealprepera</v>
      </c>
    </row>
    <row r="2068">
      <c r="A2068" s="8" t="str">
        <f>IFERROR(__xludf.DUMMYFUNCTION("""COMPUTED_VALUE"""),"mealprepgram")</f>
        <v>mealprepgram</v>
      </c>
    </row>
    <row r="2069">
      <c r="A2069" s="8" t="str">
        <f>IFERROR(__xludf.DUMMYFUNCTION("""COMPUTED_VALUE"""),"mealpreponfleek")</f>
        <v>mealpreponfleek</v>
      </c>
    </row>
    <row r="2070">
      <c r="A2070" s="8" t="str">
        <f>IFERROR(__xludf.DUMMYFUNCTION("""COMPUTED_VALUE"""),"mealprepsandmacros")</f>
        <v>mealprepsandmacros</v>
      </c>
    </row>
    <row r="2071">
      <c r="A2071" s="8" t="str">
        <f>IFERROR(__xludf.DUMMYFUNCTION("""COMPUTED_VALUE"""),"mealprepster")</f>
        <v>mealprepster</v>
      </c>
    </row>
    <row r="2072">
      <c r="A2072" s="8" t="str">
        <f>IFERROR(__xludf.DUMMYFUNCTION("""COMPUTED_VALUE"""),"mealprepsundayservice")</f>
        <v>mealprepsundayservice</v>
      </c>
    </row>
    <row r="2073">
      <c r="A2073" s="8" t="str">
        <f>IFERROR(__xludf.DUMMYFUNCTION("""COMPUTED_VALUE"""),"mealpreptutorial")</f>
        <v>mealpreptutorial</v>
      </c>
    </row>
    <row r="2074">
      <c r="A2074" s="8" t="str">
        <f>IFERROR(__xludf.DUMMYFUNCTION("""COMPUTED_VALUE"""),"prepandrally")</f>
        <v>prepandrally</v>
      </c>
    </row>
    <row r="2075">
      <c r="A2075" s="8" t="str">
        <f>IFERROR(__xludf.DUMMYFUNCTION("""COMPUTED_VALUE"""),"sc.mealprep")</f>
        <v>sc.mealprep</v>
      </c>
    </row>
    <row r="2076">
      <c r="A2076" s="8" t="str">
        <f>IFERROR(__xludf.DUMMYFUNCTION("""COMPUTED_VALUE"""),"themealprepking")</f>
        <v>themealprepking</v>
      </c>
    </row>
    <row r="2077">
      <c r="A2077" s="8" t="str">
        <f>IFERROR(__xludf.DUMMYFUNCTION("""COMPUTED_VALUE"""),"thepracticalprep")</f>
        <v>thepracticalprep</v>
      </c>
    </row>
    <row r="2078">
      <c r="A2078" s="8" t="str">
        <f>IFERROR(__xludf.DUMMYFUNCTION("""COMPUTED_VALUE"""),"7mind_meditation_de")</f>
        <v>7mind_meditation_de</v>
      </c>
    </row>
    <row r="2079">
      <c r="A2079" s="8" t="str">
        <f>IFERROR(__xludf.DUMMYFUNCTION("""COMPUTED_VALUE"""),"buddha__meditation")</f>
        <v>buddha__meditation</v>
      </c>
    </row>
    <row r="2080">
      <c r="A2080" s="8" t="str">
        <f>IFERROR(__xludf.DUMMYFUNCTION("""COMPUTED_VALUE"""),"davy_meditation")</f>
        <v>davy_meditation</v>
      </c>
    </row>
    <row r="2081">
      <c r="A2081" s="8" t="str">
        <f>IFERROR(__xludf.DUMMYFUNCTION("""COMPUTED_VALUE"""),"meditation_and_mindfulness")</f>
        <v>meditation_and_mindfulness</v>
      </c>
    </row>
    <row r="2082">
      <c r="A2082" s="8" t="str">
        <f>IFERROR(__xludf.DUMMYFUNCTION("""COMPUTED_VALUE"""),"meditation_mag")</f>
        <v>meditation_mag</v>
      </c>
    </row>
    <row r="2083">
      <c r="A2083" s="8" t="str">
        <f>IFERROR(__xludf.DUMMYFUNCTION("""COMPUTED_VALUE"""),"meditation_mg_")</f>
        <v>meditation_mg_</v>
      </c>
    </row>
    <row r="2084">
      <c r="A2084" s="8" t="str">
        <f>IFERROR(__xludf.DUMMYFUNCTION("""COMPUTED_VALUE"""),"meditationsecrets")</f>
        <v>meditationsecrets</v>
      </c>
    </row>
    <row r="2085">
      <c r="A2085" s="8" t="str">
        <f>IFERROR(__xludf.DUMMYFUNCTION("""COMPUTED_VALUE"""),"meditation.with.eli")</f>
        <v>meditation.with.eli</v>
      </c>
    </row>
    <row r="2086">
      <c r="A2086" s="8" t="str">
        <f>IFERROR(__xludf.DUMMYFUNCTION("""COMPUTED_VALUE"""),"meditationyam")</f>
        <v>meditationyam</v>
      </c>
    </row>
    <row r="2087">
      <c r="A2087" s="8" t="str">
        <f>IFERROR(__xludf.DUMMYFUNCTION("""COMPUTED_VALUE"""),"momeditation")</f>
        <v>momeditation</v>
      </c>
    </row>
    <row r="2088">
      <c r="A2088" s="8" t="str">
        <f>IFERROR(__xludf.DUMMYFUNCTION("""COMPUTED_VALUE"""),"nkbmeditation")</f>
        <v>nkbmeditation</v>
      </c>
    </row>
    <row r="2089">
      <c r="A2089" s="8" t="str">
        <f>IFERROR(__xludf.DUMMYFUNCTION("""COMPUTED_VALUE"""),"prosto.meditation")</f>
        <v>prosto.meditation</v>
      </c>
    </row>
    <row r="2090">
      <c r="A2090" s="8" t="str">
        <f>IFERROR(__xludf.DUMMYFUNCTION("""COMPUTED_VALUE"""),"serenity.meditaction")</f>
        <v>serenity.meditaction</v>
      </c>
    </row>
    <row r="2091">
      <c r="A2091" s="8" t="str">
        <f>IFERROR(__xludf.DUMMYFUNCTION("""COMPUTED_VALUE"""),"shiv_dhun_meditation")</f>
        <v>shiv_dhun_meditation</v>
      </c>
    </row>
    <row r="2092">
      <c r="A2092" s="8" t="str">
        <f>IFERROR(__xludf.DUMMYFUNCTION("""COMPUTED_VALUE"""),"kings_menswear_official")</f>
        <v>kings_menswear_official</v>
      </c>
    </row>
    <row r="2093">
      <c r="A2093" s="8" t="str">
        <f>IFERROR(__xludf.DUMMYFUNCTION("""COMPUTED_VALUE"""),"labelmenswear")</f>
        <v>labelmenswear</v>
      </c>
    </row>
    <row r="2094">
      <c r="A2094" s="8" t="str">
        <f>IFERROR(__xludf.DUMMYFUNCTION("""COMPUTED_VALUE"""),"lessisworestyle")</f>
        <v>lessisworestyle</v>
      </c>
    </row>
    <row r="2095">
      <c r="A2095" s="8" t="str">
        <f>IFERROR(__xludf.DUMMYFUNCTION("""COMPUTED_VALUE"""),"menfashiondeluxe")</f>
        <v>menfashiondeluxe</v>
      </c>
    </row>
    <row r="2096">
      <c r="A2096" s="8" t="str">
        <f>IFERROR(__xludf.DUMMYFUNCTION("""COMPUTED_VALUE"""),"menswear")</f>
        <v>menswear</v>
      </c>
    </row>
    <row r="2097">
      <c r="A2097" s="8" t="str">
        <f>IFERROR(__xludf.DUMMYFUNCTION("""COMPUTED_VALUE"""),"menswearbn")</f>
        <v>menswearbn</v>
      </c>
    </row>
    <row r="2098">
      <c r="A2098" s="8" t="str">
        <f>IFERROR(__xludf.DUMMYFUNCTION("""COMPUTED_VALUE"""),"menswearplease")</f>
        <v>menswearplease</v>
      </c>
    </row>
    <row r="2099">
      <c r="A2099" s="8" t="str">
        <f>IFERROR(__xludf.DUMMYFUNCTION("""COMPUTED_VALUE"""),"moulay_menswear")</f>
        <v>moulay_menswear</v>
      </c>
    </row>
    <row r="2100">
      <c r="A2100" s="8" t="str">
        <f>IFERROR(__xludf.DUMMYFUNCTION("""COMPUTED_VALUE"""),"olivemenswear")</f>
        <v>olivemenswear</v>
      </c>
    </row>
    <row r="2101">
      <c r="A2101" s="8" t="str">
        <f>IFERROR(__xludf.DUMMYFUNCTION("""COMPUTED_VALUE"""),"__smartlook_menswear__")</f>
        <v>__smartlook_menswear__</v>
      </c>
    </row>
    <row r="2102">
      <c r="A2102" s="8" t="str">
        <f>IFERROR(__xludf.DUMMYFUNCTION("""COMPUTED_VALUE"""),"the_boyz_menswear")</f>
        <v>the_boyz_menswear</v>
      </c>
    </row>
    <row r="2103">
      <c r="A2103" s="8" t="str">
        <f>IFERROR(__xludf.DUMMYFUNCTION("""COMPUTED_VALUE"""),"wmenswear")</f>
        <v>wmenswear</v>
      </c>
    </row>
    <row r="2104">
      <c r="A2104" s="8" t="str">
        <f>IFERROR(__xludf.DUMMYFUNCTION("""COMPUTED_VALUE"""),"xq_menswear")</f>
        <v>xq_menswear</v>
      </c>
    </row>
    <row r="2105">
      <c r="A2105" s="8" t="str">
        <f>IFERROR(__xludf.DUMMYFUNCTION("""COMPUTED_VALUE"""),"betterme.mental_health")</f>
        <v>betterme.mental_health</v>
      </c>
    </row>
    <row r="2106">
      <c r="A2106" s="8" t="str">
        <f>IFERROR(__xludf.DUMMYFUNCTION("""COMPUTED_VALUE"""),"fightthroughmentalhealth")</f>
        <v>fightthroughmentalhealth</v>
      </c>
    </row>
    <row r="2107">
      <c r="A2107" s="8" t="str">
        <f>IFERROR(__xludf.DUMMYFUNCTION("""COMPUTED_VALUE"""),"howmental")</f>
        <v>howmental</v>
      </c>
    </row>
    <row r="2108">
      <c r="A2108" s="8" t="str">
        <f>IFERROR(__xludf.DUMMYFUNCTION("""COMPUTED_VALUE"""),"letstalk.mentalhealth")</f>
        <v>letstalk.mentalhealth</v>
      </c>
    </row>
    <row r="2109">
      <c r="A2109" s="8" t="str">
        <f>IFERROR(__xludf.DUMMYFUNCTION("""COMPUTED_VALUE"""),"mental._community")</f>
        <v>mental._community</v>
      </c>
    </row>
    <row r="2110">
      <c r="A2110" s="8" t="str">
        <f>IFERROR(__xludf.DUMMYFUNCTION("""COMPUTED_VALUE"""),"mentalhealthamerica")</f>
        <v>mentalhealthamerica</v>
      </c>
    </row>
    <row r="2111">
      <c r="A2111" s="8" t="str">
        <f>IFERROR(__xludf.DUMMYFUNCTION("""COMPUTED_VALUE"""),"mentalhealthcoalition")</f>
        <v>mentalhealthcoalition</v>
      </c>
    </row>
    <row r="2112">
      <c r="A2112" s="8" t="str">
        <f>IFERROR(__xludf.DUMMYFUNCTION("""COMPUTED_VALUE"""),"mentalhealth_.community")</f>
        <v>mentalhealth_.community</v>
      </c>
    </row>
    <row r="2113">
      <c r="A2113" s="8" t="str">
        <f>IFERROR(__xludf.DUMMYFUNCTION("""COMPUTED_VALUE"""),"mentalhealth_family")</f>
        <v>mentalhealth_family</v>
      </c>
    </row>
    <row r="2114">
      <c r="A2114" s="8" t="str">
        <f>IFERROR(__xludf.DUMMYFUNCTION("""COMPUTED_VALUE"""),"mentalhealthfoundation")</f>
        <v>mentalhealthfoundation</v>
      </c>
    </row>
    <row r="2115">
      <c r="A2115" s="8" t="str">
        <f>IFERROR(__xludf.DUMMYFUNCTION("""COMPUTED_VALUE"""),"mental.health.hub.official")</f>
        <v>mental.health.hub.official</v>
      </c>
    </row>
    <row r="2116">
      <c r="A2116" s="8" t="str">
        <f>IFERROR(__xludf.DUMMYFUNCTION("""COMPUTED_VALUE"""),"mentalhealth_issues")</f>
        <v>mentalhealth_issues</v>
      </c>
    </row>
    <row r="2117">
      <c r="A2117" s="8" t="str">
        <f>IFERROR(__xludf.DUMMYFUNCTION("""COMPUTED_VALUE"""),"mentalhealthmattersph")</f>
        <v>mentalhealthmattersph</v>
      </c>
    </row>
    <row r="2118">
      <c r="A2118" s="8" t="str">
        <f>IFERROR(__xludf.DUMMYFUNCTION("""COMPUTED_VALUE"""),"mental_health_servicess")</f>
        <v>mental_health_servicess</v>
      </c>
    </row>
    <row r="2119">
      <c r="A2119" s="8" t="str">
        <f>IFERROR(__xludf.DUMMYFUNCTION("""COMPUTED_VALUE"""),"mindfulness_.community")</f>
        <v>mindfulness_.community</v>
      </c>
    </row>
    <row r="2120">
      <c r="A2120" s="8" t="str">
        <f>IFERROR(__xludf.DUMMYFUNCTION("""COMPUTED_VALUE"""),"psychologyposts_")</f>
        <v>psychologyposts_</v>
      </c>
    </row>
    <row r="2121">
      <c r="A2121" s="8" t="str">
        <f>IFERROR(__xludf.DUMMYFUNCTION("""COMPUTED_VALUE"""),"selfcare4yu")</f>
        <v>selfcare4yu</v>
      </c>
    </row>
    <row r="2122">
      <c r="A2122" s="8" t="str">
        <f>IFERROR(__xludf.DUMMYFUNCTION("""COMPUTED_VALUE"""),"yourmentalhealthisapriority")</f>
        <v>yourmentalhealthisapriority</v>
      </c>
    </row>
    <row r="2123">
      <c r="A2123" s="8" t="str">
        <f>IFERROR(__xludf.DUMMYFUNCTION("""COMPUTED_VALUE"""),"agavecantinamexicananj")</f>
        <v>agavecantinamexicananj</v>
      </c>
    </row>
    <row r="2124">
      <c r="A2124" s="8" t="str">
        <f>IFERROR(__xludf.DUMMYFUNCTION("""COMPUTED_VALUE"""),"homemade_always")</f>
        <v>homemade_always</v>
      </c>
    </row>
    <row r="2125">
      <c r="A2125" s="8" t="str">
        <f>IFERROR(__xludf.DUMMYFUNCTION("""COMPUTED_VALUE"""),"mexicanfood507")</f>
        <v>mexicanfood507</v>
      </c>
    </row>
    <row r="2126">
      <c r="A2126" s="8" t="str">
        <f>IFERROR(__xludf.DUMMYFUNCTION("""COMPUTED_VALUE"""),"mexicanfoods")</f>
        <v>mexicanfoods</v>
      </c>
    </row>
    <row r="2127">
      <c r="A2127" s="8" t="str">
        <f>IFERROR(__xludf.DUMMYFUNCTION("""COMPUTED_VALUE"""),"taqueriaelviejoncantina")</f>
        <v>taqueriaelviejoncantina</v>
      </c>
    </row>
    <row r="2128">
      <c r="A2128" s="8" t="str">
        <f>IFERROR(__xludf.DUMMYFUNCTION("""COMPUTED_VALUE"""),"__mindful.moments_")</f>
        <v>__mindful.moments_</v>
      </c>
    </row>
    <row r="2129">
      <c r="A2129" s="8" t="str">
        <f>IFERROR(__xludf.DUMMYFUNCTION("""COMPUTED_VALUE"""),"mindfulmomentswithpedro")</f>
        <v>mindfulmomentswithpedro</v>
      </c>
    </row>
    <row r="2130">
      <c r="A2130" s="8" t="str">
        <f>IFERROR(__xludf.DUMMYFUNCTION("""COMPUTED_VALUE"""),"elite.mindsets")</f>
        <v>elite.mindsets</v>
      </c>
    </row>
    <row r="2131">
      <c r="A2131" s="8" t="str">
        <f>IFERROR(__xludf.DUMMYFUNCTION("""COMPUTED_VALUE"""),"gains")</f>
        <v>gains</v>
      </c>
    </row>
    <row r="2132">
      <c r="A2132" s="8" t="str">
        <f>IFERROR(__xludf.DUMMYFUNCTION("""COMPUTED_VALUE"""),"librarymindset")</f>
        <v>librarymindset</v>
      </c>
    </row>
    <row r="2133">
      <c r="A2133" s="8" t="str">
        <f>IFERROR(__xludf.DUMMYFUNCTION("""COMPUTED_VALUE"""),"lifehack.mindset")</f>
        <v>lifehack.mindset</v>
      </c>
    </row>
    <row r="2134">
      <c r="A2134" s="8" t="str">
        <f>IFERROR(__xludf.DUMMYFUNCTION("""COMPUTED_VALUE"""),"mindset")</f>
        <v>mindset</v>
      </c>
    </row>
    <row r="2135">
      <c r="A2135" s="8" t="str">
        <f>IFERROR(__xludf.DUMMYFUNCTION("""COMPUTED_VALUE"""),"mindsetconsciousness")</f>
        <v>mindsetconsciousness</v>
      </c>
    </row>
    <row r="2136">
      <c r="A2136" s="8" t="str">
        <f>IFERROR(__xludf.DUMMYFUNCTION("""COMPUTED_VALUE"""),"mindset.mirage")</f>
        <v>mindset.mirage</v>
      </c>
    </row>
    <row r="2137">
      <c r="A2137" s="8" t="str">
        <f>IFERROR(__xludf.DUMMYFUNCTION("""COMPUTED_VALUE"""),"mindsetofgreatness")</f>
        <v>mindsetofgreatness</v>
      </c>
    </row>
    <row r="2138">
      <c r="A2138" s="8" t="str">
        <f>IFERROR(__xludf.DUMMYFUNCTION("""COMPUTED_VALUE"""),"mindsetofsociety")</f>
        <v>mindsetofsociety</v>
      </c>
    </row>
    <row r="2139">
      <c r="A2139" s="8" t="str">
        <f>IFERROR(__xludf.DUMMYFUNCTION("""COMPUTED_VALUE"""),"mindsetoftherich")</f>
        <v>mindsetoftherich</v>
      </c>
    </row>
    <row r="2140">
      <c r="A2140" s="8" t="str">
        <f>IFERROR(__xludf.DUMMYFUNCTION("""COMPUTED_VALUE"""),"mindsetraptors")</f>
        <v>mindsetraptors</v>
      </c>
    </row>
    <row r="2141">
      <c r="A2141" s="8" t="str">
        <f>IFERROR(__xludf.DUMMYFUNCTION("""COMPUTED_VALUE"""),"mindset.therapy")</f>
        <v>mindset.therapy</v>
      </c>
    </row>
    <row r="2142">
      <c r="A2142" s="8" t="str">
        <f>IFERROR(__xludf.DUMMYFUNCTION("""COMPUTED_VALUE"""),"mindset.unchained")</f>
        <v>mindset.unchained</v>
      </c>
    </row>
    <row r="2143">
      <c r="A2143" s="8" t="str">
        <f>IFERROR(__xludf.DUMMYFUNCTION("""COMPUTED_VALUE"""),"mindsetvibrations")</f>
        <v>mindsetvibrations</v>
      </c>
    </row>
    <row r="2144">
      <c r="A2144" s="8" t="str">
        <f>IFERROR(__xludf.DUMMYFUNCTION("""COMPUTED_VALUE"""),"motivasi.mindset")</f>
        <v>motivasi.mindset</v>
      </c>
    </row>
    <row r="2145">
      <c r="A2145" s="8" t="str">
        <f>IFERROR(__xludf.DUMMYFUNCTION("""COMPUTED_VALUE"""),"motivated.mindset")</f>
        <v>motivated.mindset</v>
      </c>
    </row>
    <row r="2146">
      <c r="A2146" s="8" t="str">
        <f>IFERROR(__xludf.DUMMYFUNCTION("""COMPUTED_VALUE"""),"redelmindset")</f>
        <v>redelmindset</v>
      </c>
    </row>
    <row r="2147">
      <c r="A2147" s="8" t="str">
        <f>IFERROR(__xludf.DUMMYFUNCTION("""COMPUTED_VALUE"""),"stoicmindset0")</f>
        <v>stoicmindset0</v>
      </c>
    </row>
    <row r="2148">
      <c r="A2148" s="8" t="str">
        <f>IFERROR(__xludf.DUMMYFUNCTION("""COMPUTED_VALUE"""),"uimulherao")</f>
        <v>uimulherao</v>
      </c>
    </row>
    <row r="2149">
      <c r="A2149" s="8" t="str">
        <f>IFERROR(__xludf.DUMMYFUNCTION("""COMPUTED_VALUE"""),"mindset._go")</f>
        <v>mindset._go</v>
      </c>
    </row>
    <row r="2150">
      <c r="A2150" s="8" t="str">
        <f>IFERROR(__xludf.DUMMYFUNCTION("""COMPUTED_VALUE"""),"mindsetmatter15")</f>
        <v>mindsetmatter15</v>
      </c>
    </row>
    <row r="2151">
      <c r="A2151" s="8" t="str">
        <f>IFERROR(__xludf.DUMMYFUNCTION("""COMPUTED_VALUE"""),"minimal.irani")</f>
        <v>minimal.irani</v>
      </c>
    </row>
    <row r="2152">
      <c r="A2152" s="8" t="str">
        <f>IFERROR(__xludf.DUMMYFUNCTION("""COMPUTED_VALUE"""),"minimalism")</f>
        <v>minimalism</v>
      </c>
    </row>
    <row r="2153">
      <c r="A2153" s="8" t="str">
        <f>IFERROR(__xludf.DUMMYFUNCTION("""COMPUTED_VALUE"""),"minimalism_brand")</f>
        <v>minimalism_brand</v>
      </c>
    </row>
    <row r="2154">
      <c r="A2154" s="8" t="str">
        <f>IFERROR(__xludf.DUMMYFUNCTION("""COMPUTED_VALUE"""),"minimalism.label")</f>
        <v>minimalism.label</v>
      </c>
    </row>
    <row r="2155">
      <c r="A2155" s="8" t="str">
        <f>IFERROR(__xludf.DUMMYFUNCTION("""COMPUTED_VALUE"""),"minimalismlife")</f>
        <v>minimalismlife</v>
      </c>
    </row>
    <row r="2156">
      <c r="A2156" s="8" t="str">
        <f>IFERROR(__xludf.DUMMYFUNCTION("""COMPUTED_VALUE"""),"minimalismoarchitecture")</f>
        <v>minimalismoarchitecture</v>
      </c>
    </row>
    <row r="2157">
      <c r="A2157" s="8" t="str">
        <f>IFERROR(__xludf.DUMMYFUNCTION("""COMPUTED_VALUE"""),"minimalism_with_mary")</f>
        <v>minimalism_with_mary</v>
      </c>
    </row>
    <row r="2158">
      <c r="A2158" s="8" t="str">
        <f>IFERROR(__xludf.DUMMYFUNCTION("""COMPUTED_VALUE"""),"minimal.mccue")</f>
        <v>minimal.mccue</v>
      </c>
    </row>
    <row r="2159">
      <c r="A2159" s="8" t="str">
        <f>IFERROR(__xludf.DUMMYFUNCTION("""COMPUTED_VALUE"""),"raisingsimple")</f>
        <v>raisingsimple</v>
      </c>
    </row>
    <row r="2160">
      <c r="A2160" s="8" t="str">
        <f>IFERROR(__xludf.DUMMYFUNCTION("""COMPUTED_VALUE"""),"simpleintentional")</f>
        <v>simpleintentional</v>
      </c>
    </row>
    <row r="2161">
      <c r="A2161" s="8" t="str">
        <f>IFERROR(__xludf.DUMMYFUNCTION("""COMPUTED_VALUE"""),"soulminimalist")</f>
        <v>soulminimalist</v>
      </c>
    </row>
    <row r="2162">
      <c r="A2162" s="8" t="str">
        <f>IFERROR(__xludf.DUMMYFUNCTION("""COMPUTED_VALUE"""),"the.minimal.mom")</f>
        <v>the.minimal.mom</v>
      </c>
    </row>
    <row r="2163">
      <c r="A2163" s="8" t="str">
        <f>IFERROR(__xludf.DUMMYFUNCTION("""COMPUTED_VALUE"""),"the.school.of.minimalism")</f>
        <v>the.school.of.minimalism</v>
      </c>
    </row>
    <row r="2164">
      <c r="A2164" s="8" t="str">
        <f>IFERROR(__xludf.DUMMYFUNCTION("""COMPUTED_VALUE"""),"turkgirisimt")</f>
        <v>turkgirisimt</v>
      </c>
    </row>
    <row r="2165">
      <c r="A2165" s="8" t="str">
        <f>IFERROR(__xludf.DUMMYFUNCTION("""COMPUTED_VALUE"""),"theminimalistexperiment")</f>
        <v>theminimalistexperiment</v>
      </c>
    </row>
    <row r="2166">
      <c r="A2166" s="8" t="str">
        <f>IFERROR(__xludf.DUMMYFUNCTION("""COMPUTED_VALUE"""),"espnmma")</f>
        <v>espnmma</v>
      </c>
    </row>
    <row r="2167">
      <c r="A2167" s="8" t="str">
        <f>IFERROR(__xludf.DUMMYFUNCTION("""COMPUTED_VALUE"""),"imperator_mma_")</f>
        <v>imperator_mma_</v>
      </c>
    </row>
    <row r="2168">
      <c r="A2168" s="8" t="str">
        <f>IFERROR(__xludf.DUMMYFUNCTION("""COMPUTED_VALUE"""),"mmaenmarca")</f>
        <v>mmaenmarca</v>
      </c>
    </row>
    <row r="2169">
      <c r="A2169" s="8" t="str">
        <f>IFERROR(__xludf.DUMMYFUNCTION("""COMPUTED_VALUE"""),"mmafighting")</f>
        <v>mmafighting</v>
      </c>
    </row>
    <row r="2170">
      <c r="A2170" s="8" t="str">
        <f>IFERROR(__xludf.DUMMYFUNCTION("""COMPUTED_VALUE"""),"mma.island")</f>
        <v>mma.island</v>
      </c>
    </row>
    <row r="2171">
      <c r="A2171" s="8" t="str">
        <f>IFERROR(__xludf.DUMMYFUNCTION("""COMPUTED_VALUE"""),"mmajunkie")</f>
        <v>mmajunkie</v>
      </c>
    </row>
    <row r="2172">
      <c r="A2172" s="8" t="str">
        <f>IFERROR(__xludf.DUMMYFUNCTION("""COMPUTED_VALUE"""),"mma_respect_")</f>
        <v>mma_respect_</v>
      </c>
    </row>
    <row r="2173">
      <c r="A2173" s="8" t="str">
        <f>IFERROR(__xludf.DUMMYFUNCTION("""COMPUTED_VALUE"""),"mma_russia")</f>
        <v>mma_russia</v>
      </c>
    </row>
    <row r="2174">
      <c r="A2174" s="8" t="str">
        <f>IFERROR(__xludf.DUMMYFUNCTION("""COMPUTED_VALUE"""),"mma_tm")</f>
        <v>mma_tm</v>
      </c>
    </row>
    <row r="2175">
      <c r="A2175" s="8" t="str">
        <f>IFERROR(__xludf.DUMMYFUNCTION("""COMPUTED_VALUE"""),"redcorner.mma")</f>
        <v>redcorner.mma</v>
      </c>
    </row>
    <row r="2176">
      <c r="A2176" s="11" t="str">
        <f>IFERROR(__xludf.DUMMYFUNCTION("""COMPUTED_VALUE"""),"modakwt.co")</f>
        <v>modakwt.co</v>
      </c>
    </row>
    <row r="2177">
      <c r="A2177" s="8" t="str">
        <f>IFERROR(__xludf.DUMMYFUNCTION("""COMPUTED_VALUE"""),"modamania.bahiablanca")</f>
        <v>modamania.bahiablanca</v>
      </c>
    </row>
    <row r="2178">
      <c r="A2178" s="8" t="str">
        <f>IFERROR(__xludf.DUMMYFUNCTION("""COMPUTED_VALUE"""),"modaoperandi")</f>
        <v>modaoperandi</v>
      </c>
    </row>
    <row r="2179">
      <c r="A2179" s="8" t="str">
        <f>IFERROR(__xludf.DUMMYFUNCTION("""COMPUTED_VALUE"""),"moda_osh")</f>
        <v>moda_osh</v>
      </c>
    </row>
    <row r="2180">
      <c r="A2180" s="8" t="str">
        <f>IFERROR(__xludf.DUMMYFUNCTION("""COMPUTED_VALUE"""),"monaalshebil")</f>
        <v>monaalshebil</v>
      </c>
    </row>
    <row r="2181">
      <c r="A2181" s="8" t="str">
        <f>IFERROR(__xludf.DUMMYFUNCTION("""COMPUTED_VALUE"""),"monajafarian")</f>
        <v>monajafarian</v>
      </c>
    </row>
    <row r="2182">
      <c r="A2182" s="8" t="str">
        <f>IFERROR(__xludf.DUMMYFUNCTION("""COMPUTED_VALUE"""),"monathefoodie")</f>
        <v>monathefoodie</v>
      </c>
    </row>
    <row r="2183">
      <c r="A2183" s="8" t="str">
        <f>IFERROR(__xludf.DUMMYFUNCTION("""COMPUTED_VALUE"""),"veronicadiaz")</f>
        <v>veronicadiaz</v>
      </c>
    </row>
    <row r="2184">
      <c r="A2184" s="8" t="str">
        <f>IFERROR(__xludf.DUMMYFUNCTION("""COMPUTED_VALUE"""),"baileyschwartz")</f>
        <v>baileyschwartz</v>
      </c>
    </row>
    <row r="2185">
      <c r="A2185" s="8" t="str">
        <f>IFERROR(__xludf.DUMMYFUNCTION("""COMPUTED_VALUE"""),"house.makes.haven")</f>
        <v>house.makes.haven</v>
      </c>
    </row>
    <row r="2186">
      <c r="A2186" s="8" t="str">
        <f>IFERROR(__xludf.DUMMYFUNCTION("""COMPUTED_VALUE"""),"itsmyrayeraye")</f>
        <v>itsmyrayeraye</v>
      </c>
    </row>
    <row r="2187">
      <c r="A2187" s="8" t="str">
        <f>IFERROR(__xludf.DUMMYFUNCTION("""COMPUTED_VALUE"""),"momlifebrusque")</f>
        <v>momlifebrusque</v>
      </c>
    </row>
    <row r="2188">
      <c r="A2188" s="8" t="str">
        <f>IFERROR(__xludf.DUMMYFUNCTION("""COMPUTED_VALUE"""),"momlife_comics")</f>
        <v>momlife_comics</v>
      </c>
    </row>
    <row r="2189">
      <c r="A2189" s="8" t="str">
        <f>IFERROR(__xludf.DUMMYFUNCTION("""COMPUTED_VALUE"""),"momlife.rehani")</f>
        <v>momlife.rehani</v>
      </c>
    </row>
    <row r="2190">
      <c r="A2190" s="8" t="str">
        <f>IFERROR(__xludf.DUMMYFUNCTION("""COMPUTED_VALUE"""),"momlife.resources")</f>
        <v>momlife.resources</v>
      </c>
    </row>
    <row r="2191">
      <c r="A2191" s="8" t="str">
        <f>IFERROR(__xludf.DUMMYFUNCTION("""COMPUTED_VALUE"""),"momlifewithlaura")</f>
        <v>momlifewithlaura</v>
      </c>
    </row>
    <row r="2192">
      <c r="A2192" s="8" t="str">
        <f>IFERROR(__xludf.DUMMYFUNCTION("""COMPUTED_VALUE"""),"momlife.withmara")</f>
        <v>momlife.withmara</v>
      </c>
    </row>
    <row r="2193">
      <c r="A2193" s="8" t="str">
        <f>IFERROR(__xludf.DUMMYFUNCTION("""COMPUTED_VALUE"""),"momlifeyo")</f>
        <v>momlifeyo</v>
      </c>
    </row>
    <row r="2194">
      <c r="A2194" s="8" t="str">
        <f>IFERROR(__xludf.DUMMYFUNCTION("""COMPUTED_VALUE"""),"shawnaaaaa")</f>
        <v>shawnaaaaa</v>
      </c>
    </row>
    <row r="2195">
      <c r="A2195" s="8" t="str">
        <f>IFERROR(__xludf.DUMMYFUNCTION("""COMPUTED_VALUE"""),"themomroom")</f>
        <v>themomroom</v>
      </c>
    </row>
    <row r="2196">
      <c r="A2196" s="8" t="str">
        <f>IFERROR(__xludf.DUMMYFUNCTION("""COMPUTED_VALUE"""),"dariaxnicole")</f>
        <v>dariaxnicole</v>
      </c>
    </row>
    <row r="2197">
      <c r="A2197" s="8" t="str">
        <f>IFERROR(__xludf.DUMMYFUNCTION("""COMPUTED_VALUE"""),"katiesbliss")</f>
        <v>katiesbliss</v>
      </c>
    </row>
    <row r="2198">
      <c r="A2198" s="8" t="str">
        <f>IFERROR(__xludf.DUMMYFUNCTION("""COMPUTED_VALUE"""),"mom.lifetips")</f>
        <v>mom.lifetips</v>
      </c>
    </row>
    <row r="2199">
      <c r="A2199" s="8" t="str">
        <f>IFERROR(__xludf.DUMMYFUNCTION("""COMPUTED_VALUE"""),"over30momtips")</f>
        <v>over30momtips</v>
      </c>
    </row>
    <row r="2200">
      <c r="A2200" s="8" t="str">
        <f>IFERROR(__xludf.DUMMYFUNCTION("""COMPUTED_VALUE"""),"morningroutineclub")</f>
        <v>morningroutineclub</v>
      </c>
    </row>
    <row r="2201">
      <c r="A2201" s="8" t="str">
        <f>IFERROR(__xludf.DUMMYFUNCTION("""COMPUTED_VALUE"""),"morningroutines")</f>
        <v>morningroutines</v>
      </c>
    </row>
    <row r="2202">
      <c r="A2202" s="8" t="str">
        <f>IFERROR(__xludf.DUMMYFUNCTION("""COMPUTED_VALUE"""),"whatsyourroutine")</f>
        <v>whatsyourroutine</v>
      </c>
    </row>
    <row r="2203">
      <c r="A2203" s="8" t="str">
        <f>IFERROR(__xludf.DUMMYFUNCTION("""COMPUTED_VALUE"""),"advice")</f>
        <v>advice</v>
      </c>
    </row>
    <row r="2204">
      <c r="A2204" s="8" t="str">
        <f>IFERROR(__xludf.DUMMYFUNCTION("""COMPUTED_VALUE"""),"cycasmotivation")</f>
        <v>cycasmotivation</v>
      </c>
    </row>
    <row r="2205">
      <c r="A2205" s="8" t="str">
        <f>IFERROR(__xludf.DUMMYFUNCTION("""COMPUTED_VALUE"""),"djs_motivation")</f>
        <v>djs_motivation</v>
      </c>
    </row>
    <row r="2206">
      <c r="A2206" s="8" t="str">
        <f>IFERROR(__xludf.DUMMYFUNCTION("""COMPUTED_VALUE"""),"gymmotivation")</f>
        <v>gymmotivation</v>
      </c>
    </row>
    <row r="2207">
      <c r="A2207" s="8" t="str">
        <f>IFERROR(__xludf.DUMMYFUNCTION("""COMPUTED_VALUE"""),"hustlingfacts")</f>
        <v>hustlingfacts</v>
      </c>
    </row>
    <row r="2208">
      <c r="A2208" s="8" t="str">
        <f>IFERROR(__xludf.DUMMYFUNCTION("""COMPUTED_VALUE"""),"inspiring.poet")</f>
        <v>inspiring.poet</v>
      </c>
    </row>
    <row r="2209">
      <c r="A2209" s="8" t="str">
        <f>IFERROR(__xludf.DUMMYFUNCTION("""COMPUTED_VALUE"""),"luxurcore")</f>
        <v>luxurcore</v>
      </c>
    </row>
    <row r="2210">
      <c r="A2210" s="8" t="str">
        <f>IFERROR(__xludf.DUMMYFUNCTION("""COMPUTED_VALUE"""),"makaveli_motivation")</f>
        <v>makaveli_motivation</v>
      </c>
    </row>
    <row r="2211">
      <c r="A2211" s="8" t="str">
        <f>IFERROR(__xludf.DUMMYFUNCTION("""COMPUTED_VALUE"""),"mindsethub_")</f>
        <v>mindsethub_</v>
      </c>
    </row>
    <row r="2212">
      <c r="A2212" s="8" t="str">
        <f>IFERROR(__xludf.DUMMYFUNCTION("""COMPUTED_VALUE"""),"motivation_5524")</f>
        <v>motivation_5524</v>
      </c>
    </row>
    <row r="2213">
      <c r="A2213" s="8" t="str">
        <f>IFERROR(__xludf.DUMMYFUNCTION("""COMPUTED_VALUE"""),"motivationaddictzz")</f>
        <v>motivationaddictzz</v>
      </c>
    </row>
    <row r="2214">
      <c r="A2214" s="8" t="str">
        <f>IFERROR(__xludf.DUMMYFUNCTION("""COMPUTED_VALUE"""),"motivationapp")</f>
        <v>motivationapp</v>
      </c>
    </row>
    <row r="2215">
      <c r="A2215" s="8" t="str">
        <f>IFERROR(__xludf.DUMMYFUNCTION("""COMPUTED_VALUE"""),"motivationmafia")</f>
        <v>motivationmafia</v>
      </c>
    </row>
    <row r="2216">
      <c r="A2216" s="8" t="str">
        <f>IFERROR(__xludf.DUMMYFUNCTION("""COMPUTED_VALUE"""),"motivationnovel")</f>
        <v>motivationnovel</v>
      </c>
    </row>
    <row r="2217">
      <c r="A2217" s="8" t="str">
        <f>IFERROR(__xludf.DUMMYFUNCTION("""COMPUTED_VALUE"""),"motivmastery")</f>
        <v>motivmastery</v>
      </c>
    </row>
    <row r="2218">
      <c r="A2218" s="8" t="str">
        <f>IFERROR(__xludf.DUMMYFUNCTION("""COMPUTED_VALUE"""),"world._.motivation")</f>
        <v>world._.motivation</v>
      </c>
    </row>
    <row r="2219">
      <c r="A2219" s="8" t="str">
        <f>IFERROR(__xludf.DUMMYFUNCTION("""COMPUTED_VALUE"""),"maggmountains")</f>
        <v>maggmountains</v>
      </c>
    </row>
    <row r="2220">
      <c r="A2220" s="8" t="str">
        <f>IFERROR(__xludf.DUMMYFUNCTION("""COMPUTED_VALUE"""),"mountainfacts1")</f>
        <v>mountainfacts1</v>
      </c>
    </row>
    <row r="2221">
      <c r="A2221" s="8" t="str">
        <f>IFERROR(__xludf.DUMMYFUNCTION("""COMPUTED_VALUE"""),"mountainmikes")</f>
        <v>mountainmikes</v>
      </c>
    </row>
    <row r="2222">
      <c r="A2222" s="8" t="str">
        <f>IFERROR(__xludf.DUMMYFUNCTION("""COMPUTED_VALUE"""),"mountainsdaughter")</f>
        <v>mountainsdaughter</v>
      </c>
    </row>
    <row r="2223">
      <c r="A2223" s="8" t="str">
        <f>IFERROR(__xludf.DUMMYFUNCTION("""COMPUTED_VALUE"""),"mountainside_made")</f>
        <v>mountainside_made</v>
      </c>
    </row>
    <row r="2224">
      <c r="A2224" s="8" t="str">
        <f>IFERROR(__xludf.DUMMYFUNCTION("""COMPUTED_VALUE"""),"mountains_in_miami")</f>
        <v>mountains_in_miami</v>
      </c>
    </row>
    <row r="2225">
      <c r="A2225" s="8" t="str">
        <f>IFERROR(__xludf.DUMMYFUNCTION("""COMPUTED_VALUE"""),"mountains.trekkingnepal")</f>
        <v>mountains.trekkingnepal</v>
      </c>
    </row>
    <row r="2226">
      <c r="A2226" s="8" t="str">
        <f>IFERROR(__xludf.DUMMYFUNCTION("""COMPUTED_VALUE"""),"mount_greece")</f>
        <v>mount_greece</v>
      </c>
    </row>
    <row r="2227">
      <c r="A2227" s="8" t="str">
        <f>IFERROR(__xludf.DUMMYFUNCTION("""COMPUTED_VALUE"""),"younginthemountains")</f>
        <v>younginthemountains</v>
      </c>
    </row>
    <row r="2228">
      <c r="A2228" s="8" t="str">
        <f>IFERROR(__xludf.DUMMYFUNCTION("""COMPUTED_VALUE"""),"longandmcquade")</f>
        <v>longandmcquade</v>
      </c>
    </row>
    <row r="2229">
      <c r="A2229" s="8" t="str">
        <f>IFERROR(__xludf.DUMMYFUNCTION("""COMPUTED_VALUE"""),"musical_instruments_h")</f>
        <v>musical_instruments_h</v>
      </c>
    </row>
    <row r="2230">
      <c r="A2230" s="8" t="str">
        <f>IFERROR(__xludf.DUMMYFUNCTION("""COMPUTED_VALUE"""),"musiclab.theory")</f>
        <v>musiclab.theory</v>
      </c>
    </row>
    <row r="2231">
      <c r="A2231" s="8" t="str">
        <f>IFERROR(__xludf.DUMMYFUNCTION("""COMPUTED_VALUE"""),"_music_theory")</f>
        <v>_music_theory</v>
      </c>
    </row>
    <row r="2232">
      <c r="A2232" s="8" t="str">
        <f>IFERROR(__xludf.DUMMYFUNCTION("""COMPUTED_VALUE"""),"music.theory.sol")</f>
        <v>music.theory.sol</v>
      </c>
    </row>
    <row r="2233">
      <c r="A2233" s="8" t="str">
        <f>IFERROR(__xludf.DUMMYFUNCTION("""COMPUTED_VALUE"""),"thepianobangers")</f>
        <v>thepianobangers</v>
      </c>
    </row>
    <row r="2234">
      <c r="A2234" s="8" t="str">
        <f>IFERROR(__xludf.DUMMYFUNCTION("""COMPUTED_VALUE"""),"beatkitchenschool")</f>
        <v>beatkitchenschool</v>
      </c>
    </row>
    <row r="2235">
      <c r="A2235" s="8" t="str">
        <f>IFERROR(__xludf.DUMMYFUNCTION("""COMPUTED_VALUE"""),"beatsity")</f>
        <v>beatsity</v>
      </c>
    </row>
    <row r="2236">
      <c r="A2236" s="8" t="str">
        <f>IFERROR(__xludf.DUMMYFUNCTION("""COMPUTED_VALUE"""),"bossmusicproductions")</f>
        <v>bossmusicproductions</v>
      </c>
    </row>
    <row r="2237">
      <c r="A2237" s="8" t="str">
        <f>IFERROR(__xludf.DUMMYFUNCTION("""COMPUTED_VALUE"""),"music.production")</f>
        <v>music.production</v>
      </c>
    </row>
    <row r="2238">
      <c r="A2238" s="8" t="str">
        <f>IFERROR(__xludf.DUMMYFUNCTION("""COMPUTED_VALUE"""),"musictips.academy")</f>
        <v>musictips.academy</v>
      </c>
    </row>
    <row r="2239">
      <c r="A2239" s="8" t="str">
        <f>IFERROR(__xludf.DUMMYFUNCTION("""COMPUTED_VALUE"""),"producerfocus")</f>
        <v>producerfocus</v>
      </c>
    </row>
    <row r="2240">
      <c r="A2240" s="8" t="str">
        <f>IFERROR(__xludf.DUMMYFUNCTION("""COMPUTED_VALUE"""),"productionmusiclive")</f>
        <v>productionmusiclive</v>
      </c>
    </row>
    <row r="2241">
      <c r="A2241" s="8" t="str">
        <f>IFERROR(__xludf.DUMMYFUNCTION("""COMPUTED_VALUE"""),"natural.beauty50")</f>
        <v>natural.beauty50</v>
      </c>
    </row>
    <row r="2242">
      <c r="A2242" s="8" t="str">
        <f>IFERROR(__xludf.DUMMYFUNCTION("""COMPUTED_VALUE"""),"natural_beauty64")</f>
        <v>natural_beauty64</v>
      </c>
    </row>
    <row r="2243">
      <c r="A2243" s="8" t="str">
        <f>IFERROR(__xludf.DUMMYFUNCTION("""COMPUTED_VALUE"""),"naturalrecipes369")</f>
        <v>naturalrecipes369</v>
      </c>
    </row>
    <row r="2244">
      <c r="A2244" s="8" t="str">
        <f>IFERROR(__xludf.DUMMYFUNCTION("""COMPUTED_VALUE"""),"beautiful._.nature22")</f>
        <v>beautiful._.nature22</v>
      </c>
    </row>
    <row r="2245">
      <c r="A2245" s="8" t="str">
        <f>IFERROR(__xludf.DUMMYFUNCTION("""COMPUTED_VALUE"""),"daynightseen")</f>
        <v>daynightseen</v>
      </c>
    </row>
    <row r="2246">
      <c r="A2246" s="8" t="str">
        <f>IFERROR(__xludf.DUMMYFUNCTION("""COMPUTED_VALUE"""),"lovethenature95")</f>
        <v>lovethenature95</v>
      </c>
    </row>
    <row r="2247">
      <c r="A2247" s="8" t="str">
        <f>IFERROR(__xludf.DUMMYFUNCTION("""COMPUTED_VALUE"""),"nature")</f>
        <v>nature</v>
      </c>
    </row>
    <row r="2248">
      <c r="A2248" s="8" t="str">
        <f>IFERROR(__xludf.DUMMYFUNCTION("""COMPUTED_VALUE"""),"nature_collecting_")</f>
        <v>nature_collecting_</v>
      </c>
    </row>
    <row r="2249">
      <c r="A2249" s="8" t="str">
        <f>IFERROR(__xludf.DUMMYFUNCTION("""COMPUTED_VALUE"""),"nature.festt")</f>
        <v>nature.festt</v>
      </c>
    </row>
    <row r="2250">
      <c r="A2250" s="8" t="str">
        <f>IFERROR(__xludf.DUMMYFUNCTION("""COMPUTED_VALUE"""),"natureismetal")</f>
        <v>natureismetal</v>
      </c>
    </row>
    <row r="2251">
      <c r="A2251" s="8" t="str">
        <f>IFERROR(__xludf.DUMMYFUNCTION("""COMPUTED_VALUE"""),"naturejab_")</f>
        <v>naturejab_</v>
      </c>
    </row>
    <row r="2252">
      <c r="A2252" s="8" t="str">
        <f>IFERROR(__xludf.DUMMYFUNCTION("""COMPUTED_VALUE"""),"nature_org")</f>
        <v>nature_org</v>
      </c>
    </row>
    <row r="2253">
      <c r="A2253" s="8" t="str">
        <f>IFERROR(__xludf.DUMMYFUNCTION("""COMPUTED_VALUE"""),"nature_photography_.ig")</f>
        <v>nature_photography_.ig</v>
      </c>
    </row>
    <row r="2254">
      <c r="A2254" s="8" t="str">
        <f>IFERROR(__xludf.DUMMYFUNCTION("""COMPUTED_VALUE"""),"naturesms")</f>
        <v>naturesms</v>
      </c>
    </row>
    <row r="2255">
      <c r="A2255" s="8" t="str">
        <f>IFERROR(__xludf.DUMMYFUNCTION("""COMPUTED_VALUE"""),"naturethecure")</f>
        <v>naturethecure</v>
      </c>
    </row>
    <row r="2256">
      <c r="A2256" s="8" t="str">
        <f>IFERROR(__xludf.DUMMYFUNCTION("""COMPUTED_VALUE"""),"nature._.videos")</f>
        <v>nature._.videos</v>
      </c>
    </row>
    <row r="2257">
      <c r="A2257" s="8" t="str">
        <f>IFERROR(__xludf.DUMMYFUNCTION("""COMPUTED_VALUE"""),"conceptsjpeg")</f>
        <v>conceptsjpeg</v>
      </c>
    </row>
    <row r="2258">
      <c r="A2258" s="8" t="str">
        <f>IFERROR(__xludf.DUMMYFUNCTION("""COMPUTED_VALUE"""),"fact.philes")</f>
        <v>fact.philes</v>
      </c>
    </row>
    <row r="2259">
      <c r="A2259" s="8" t="str">
        <f>IFERROR(__xludf.DUMMYFUNCTION("""COMPUTED_VALUE"""),"creatpix")</f>
        <v>creatpix</v>
      </c>
    </row>
    <row r="2260">
      <c r="A2260" s="8" t="str">
        <f>IFERROR(__xludf.DUMMYFUNCTION("""COMPUTED_VALUE"""),"nature__earth0")</f>
        <v>nature__earth0</v>
      </c>
    </row>
    <row r="2261">
      <c r="A2261" s="8" t="str">
        <f>IFERROR(__xludf.DUMMYFUNCTION("""COMPUTED_VALUE"""),"naturelover_gr")</f>
        <v>naturelover_gr</v>
      </c>
    </row>
    <row r="2262">
      <c r="A2262" s="8" t="str">
        <f>IFERROR(__xludf.DUMMYFUNCTION("""COMPUTED_VALUE"""),"nature_photography_961")</f>
        <v>nature_photography_961</v>
      </c>
    </row>
    <row r="2263">
      <c r="A2263" s="8" t="str">
        <f>IFERROR(__xludf.DUMMYFUNCTION("""COMPUTED_VALUE"""),"nature_walk7")</f>
        <v>nature_walk7</v>
      </c>
    </row>
    <row r="2264">
      <c r="A2264" s="8" t="str">
        <f>IFERROR(__xludf.DUMMYFUNCTION("""COMPUTED_VALUE"""),"naturewalkstudio")</f>
        <v>naturewalkstudio</v>
      </c>
    </row>
    <row r="2265">
      <c r="A2265" s="8" t="str">
        <f>IFERROR(__xludf.DUMMYFUNCTION("""COMPUTED_VALUE"""),"joannsolomonbeauty")</f>
        <v>joannsolomonbeauty</v>
      </c>
    </row>
    <row r="2266">
      <c r="A2266" s="8" t="str">
        <f>IFERROR(__xludf.DUMMYFUNCTION("""COMPUTED_VALUE"""),"newartistspotlight")</f>
        <v>newartistspotlight</v>
      </c>
    </row>
    <row r="2267">
      <c r="A2267" s="8" t="str">
        <f>IFERROR(__xludf.DUMMYFUNCTION("""COMPUTED_VALUE"""),"ashfordsanders")</f>
        <v>ashfordsanders</v>
      </c>
    </row>
    <row r="2268">
      <c r="A2268" s="8" t="str">
        <f>IFERROR(__xludf.DUMMYFUNCTION("""COMPUTED_VALUE"""),"newmusicfriday")</f>
        <v>newmusicfriday</v>
      </c>
    </row>
    <row r="2269">
      <c r="A2269" s="8" t="str">
        <f>IFERROR(__xludf.DUMMYFUNCTION("""COMPUTED_VALUE"""),"rnbmusic")</f>
        <v>rnbmusic</v>
      </c>
    </row>
    <row r="2270">
      <c r="A2270" s="8" t="str">
        <f>IFERROR(__xludf.DUMMYFUNCTION("""COMPUTED_VALUE"""),"wfnm")</f>
        <v>wfnm</v>
      </c>
    </row>
    <row r="2271">
      <c r="A2271" s="8" t="str">
        <f>IFERROR(__xludf.DUMMYFUNCTION("""COMPUTED_VALUE"""),"humansofny")</f>
        <v>humansofny</v>
      </c>
    </row>
    <row r="2272">
      <c r="A2272" s="8" t="str">
        <f>IFERROR(__xludf.DUMMYFUNCTION("""COMPUTED_VALUE"""),"maybelline")</f>
        <v>maybelline</v>
      </c>
    </row>
    <row r="2273">
      <c r="A2273" s="8" t="str">
        <f>IFERROR(__xludf.DUMMYFUNCTION("""COMPUTED_VALUE"""),"mets")</f>
        <v>mets</v>
      </c>
    </row>
    <row r="2274">
      <c r="A2274" s="8" t="str">
        <f>IFERROR(__xludf.DUMMYFUNCTION("""COMPUTED_VALUE"""),"newyorkcity")</f>
        <v>newyorkcity</v>
      </c>
    </row>
    <row r="2275">
      <c r="A2275" s="8" t="str">
        <f>IFERROR(__xludf.DUMMYFUNCTION("""COMPUTED_VALUE"""),"newyorkcity.explore")</f>
        <v>newyorkcity.explore</v>
      </c>
    </row>
    <row r="2276">
      <c r="A2276" s="8" t="str">
        <f>IFERROR(__xludf.DUMMYFUNCTION("""COMPUTED_VALUE"""),"newyorkcityfc")</f>
        <v>newyorkcityfc</v>
      </c>
    </row>
    <row r="2277">
      <c r="A2277" s="8" t="str">
        <f>IFERROR(__xludf.DUMMYFUNCTION("""COMPUTED_VALUE"""),"new_york_city_photo")</f>
        <v>new_york_city_photo</v>
      </c>
    </row>
    <row r="2278">
      <c r="A2278" s="8" t="str">
        <f>IFERROR(__xludf.DUMMYFUNCTION("""COMPUTED_VALUE"""),"newyorkermag")</f>
        <v>newyorkermag</v>
      </c>
    </row>
    <row r="2279">
      <c r="A2279" s="8" t="str">
        <f>IFERROR(__xludf.DUMMYFUNCTION("""COMPUTED_VALUE"""),"nybucketlist")</f>
        <v>nybucketlist</v>
      </c>
    </row>
    <row r="2280">
      <c r="A2280" s="8" t="str">
        <f>IFERROR(__xludf.DUMMYFUNCTION("""COMPUTED_VALUE"""),"nygiants")</f>
        <v>nygiants</v>
      </c>
    </row>
    <row r="2281">
      <c r="A2281" s="8" t="str">
        <f>IFERROR(__xludf.DUMMYFUNCTION("""COMPUTED_VALUE"""),"nyjets")</f>
        <v>nyjets</v>
      </c>
    </row>
    <row r="2282">
      <c r="A2282" s="8" t="str">
        <f>IFERROR(__xludf.DUMMYFUNCTION("""COMPUTED_VALUE"""),"nyknicks")</f>
        <v>nyknicks</v>
      </c>
    </row>
    <row r="2283">
      <c r="A2283" s="8" t="str">
        <f>IFERROR(__xludf.DUMMYFUNCTION("""COMPUTED_VALUE"""),"nymag")</f>
        <v>nymag</v>
      </c>
    </row>
    <row r="2284">
      <c r="A2284" s="8" t="str">
        <f>IFERROR(__xludf.DUMMYFUNCTION("""COMPUTED_VALUE"""),"nypost")</f>
        <v>nypost</v>
      </c>
    </row>
    <row r="2285">
      <c r="A2285" s="8" t="str">
        <f>IFERROR(__xludf.DUMMYFUNCTION("""COMPUTED_VALUE"""),"nyrangers")</f>
        <v>nyrangers</v>
      </c>
    </row>
    <row r="2286">
      <c r="A2286" s="8" t="str">
        <f>IFERROR(__xludf.DUMMYFUNCTION("""COMPUTED_VALUE"""),"nytimes")</f>
        <v>nytimes</v>
      </c>
    </row>
    <row r="2287">
      <c r="A2287" s="8" t="str">
        <f>IFERROR(__xludf.DUMMYFUNCTION("""COMPUTED_VALUE"""),"nyuniversity")</f>
        <v>nyuniversity</v>
      </c>
    </row>
    <row r="2288">
      <c r="A2288" s="8" t="str">
        <f>IFERROR(__xludf.DUMMYFUNCTION("""COMPUTED_VALUE"""),"supremenewyork")</f>
        <v>supremenewyork</v>
      </c>
    </row>
    <row r="2289">
      <c r="A2289" s="8" t="str">
        <f>IFERROR(__xludf.DUMMYFUNCTION("""COMPUTED_VALUE"""),"yankees")</f>
        <v>yankees</v>
      </c>
    </row>
    <row r="2290">
      <c r="A2290" s="8" t="str">
        <f>IFERROR(__xludf.DUMMYFUNCTION("""COMPUTED_VALUE"""),"moneyprenure")</f>
        <v>moneyprenure</v>
      </c>
    </row>
    <row r="2291">
      <c r="A2291" s="8" t="str">
        <f>IFERROR(__xludf.DUMMYFUNCTION("""COMPUTED_VALUE"""),"nft_")</f>
        <v>nft_</v>
      </c>
    </row>
    <row r="2292">
      <c r="A2292" s="8" t="str">
        <f>IFERROR(__xludf.DUMMYFUNCTION("""COMPUTED_VALUE"""),"nft_community")</f>
        <v>nft_community</v>
      </c>
    </row>
    <row r="2293">
      <c r="A2293" s="8" t="str">
        <f>IFERROR(__xludf.DUMMYFUNCTION("""COMPUTED_VALUE"""),"nft_events")</f>
        <v>nft_events</v>
      </c>
    </row>
    <row r="2294">
      <c r="A2294" s="8" t="str">
        <f>IFERROR(__xludf.DUMMYFUNCTION("""COMPUTED_VALUE"""),"nft.magazine")</f>
        <v>nft.magazine</v>
      </c>
    </row>
    <row r="2295">
      <c r="A2295" s="8" t="str">
        <f>IFERROR(__xludf.DUMMYFUNCTION("""COMPUTED_VALUE"""),"nftworld")</f>
        <v>nftworld</v>
      </c>
    </row>
    <row r="2296">
      <c r="A2296" s="8" t="str">
        <f>IFERROR(__xludf.DUMMYFUNCTION("""COMPUTED_VALUE"""),"nftyarabia")</f>
        <v>nftyarabia</v>
      </c>
    </row>
    <row r="2297">
      <c r="A2297" s="8" t="str">
        <f>IFERROR(__xludf.DUMMYFUNCTION("""COMPUTED_VALUE"""),"nfty.y")</f>
        <v>nfty.y</v>
      </c>
    </row>
    <row r="2298">
      <c r="A2298" s="8" t="str">
        <f>IFERROR(__xludf.DUMMYFUNCTION("""COMPUTED_VALUE"""),"payout")</f>
        <v>payout</v>
      </c>
    </row>
    <row r="2299">
      <c r="A2299" s="8" t="str">
        <f>IFERROR(__xludf.DUMMYFUNCTION("""COMPUTED_VALUE"""),"ocean")</f>
        <v>ocean</v>
      </c>
    </row>
    <row r="2300">
      <c r="A2300" s="8" t="str">
        <f>IFERROR(__xludf.DUMMYFUNCTION("""COMPUTED_VALUE"""),"biomon_beauty")</f>
        <v>biomon_beauty</v>
      </c>
    </row>
    <row r="2301">
      <c r="A2301" s="8" t="str">
        <f>IFERROR(__xludf.DUMMYFUNCTION("""COMPUTED_VALUE"""),"innersenseorganicbeauty")</f>
        <v>innersenseorganicbeauty</v>
      </c>
    </row>
    <row r="2302">
      <c r="A2302" s="11" t="str">
        <f>IFERROR(__xludf.DUMMYFUNCTION("""COMPUTED_VALUE"""),"organic.beauty.ae")</f>
        <v>organic.beauty.ae</v>
      </c>
    </row>
    <row r="2303">
      <c r="A2303" s="8" t="str">
        <f>IFERROR(__xludf.DUMMYFUNCTION("""COMPUTED_VALUE"""),"organicbeauty_pk")</f>
        <v>organicbeauty_pk</v>
      </c>
    </row>
    <row r="2304">
      <c r="A2304" s="8" t="str">
        <f>IFERROR(__xludf.DUMMYFUNCTION("""COMPUTED_VALUE"""),"organic.beautyx")</f>
        <v>organic.beautyx</v>
      </c>
    </row>
    <row r="2305">
      <c r="A2305" s="8" t="str">
        <f>IFERROR(__xludf.DUMMYFUNCTION("""COMPUTED_VALUE"""),"arias_organization")</f>
        <v>arias_organization</v>
      </c>
    </row>
    <row r="2306">
      <c r="A2306" s="8" t="str">
        <f>IFERROR(__xludf.DUMMYFUNCTION("""COMPUTED_VALUE"""),"arinsolange")</f>
        <v>arinsolange</v>
      </c>
    </row>
    <row r="2307">
      <c r="A2307" s="8" t="str">
        <f>IFERROR(__xludf.DUMMYFUNCTION("""COMPUTED_VALUE"""),"do_it_with_hewitt")</f>
        <v>do_it_with_hewitt</v>
      </c>
    </row>
    <row r="2308">
      <c r="A2308" s="8" t="str">
        <f>IFERROR(__xludf.DUMMYFUNCTION("""COMPUTED_VALUE"""),"jillcomesclean")</f>
        <v>jillcomesclean</v>
      </c>
    </row>
    <row r="2309">
      <c r="A2309" s="8" t="str">
        <f>IFERROR(__xludf.DUMMYFUNCTION("""COMPUTED_VALUE"""),"organizewithkylie")</f>
        <v>organizewithkylie</v>
      </c>
    </row>
    <row r="2310">
      <c r="A2310" s="8" t="str">
        <f>IFERROR(__xludf.DUMMYFUNCTION("""COMPUTED_VALUE"""),"qrfup.organization")</f>
        <v>qrfup.organization</v>
      </c>
    </row>
    <row r="2311">
      <c r="A2311" s="8" t="str">
        <f>IFERROR(__xludf.DUMMYFUNCTION("""COMPUTED_VALUE"""),"reset_your_nest")</f>
        <v>reset_your_nest</v>
      </c>
    </row>
    <row r="2312">
      <c r="A2312" s="8" t="str">
        <f>IFERROR(__xludf.DUMMYFUNCTION("""COMPUTED_VALUE"""),"somewhatsimpleliving")</f>
        <v>somewhatsimpleliving</v>
      </c>
    </row>
    <row r="2313">
      <c r="A2313" s="8" t="str">
        <f>IFERROR(__xludf.DUMMYFUNCTION("""COMPUTED_VALUE"""),"that.minimalist.mom")</f>
        <v>that.minimalist.mom</v>
      </c>
    </row>
    <row r="2314">
      <c r="A2314" s="8" t="str">
        <f>IFERROR(__xludf.DUMMYFUNCTION("""COMPUTED_VALUE"""),"thatorganizedhome")</f>
        <v>thatorganizedhome</v>
      </c>
    </row>
    <row r="2315">
      <c r="A2315" s="8" t="str">
        <f>IFERROR(__xludf.DUMMYFUNCTION("""COMPUTED_VALUE"""),"trump")</f>
        <v>trump</v>
      </c>
    </row>
    <row r="2316">
      <c r="A2316" s="8" t="str">
        <f>IFERROR(__xludf.DUMMYFUNCTION("""COMPUTED_VALUE"""),"who")</f>
        <v>who</v>
      </c>
    </row>
    <row r="2317">
      <c r="A2317" s="8" t="str">
        <f>IFERROR(__xludf.DUMMYFUNCTION("""COMPUTED_VALUE"""),"alifebetterorganized")</f>
        <v>alifebetterorganized</v>
      </c>
    </row>
    <row r="2318">
      <c r="A2318" s="8" t="str">
        <f>IFERROR(__xludf.DUMMYFUNCTION("""COMPUTED_VALUE"""),"organizedandsimplified4u")</f>
        <v>organizedandsimplified4u</v>
      </c>
    </row>
    <row r="2319">
      <c r="A2319" s="8" t="str">
        <f>IFERROR(__xludf.DUMMYFUNCTION("""COMPUTED_VALUE"""),"organizewithnisa")</f>
        <v>organizewithnisa</v>
      </c>
    </row>
    <row r="2320">
      <c r="A2320" s="8" t="str">
        <f>IFERROR(__xludf.DUMMYFUNCTION("""COMPUTED_VALUE"""),"simplysortedwithdeaks")</f>
        <v>simplysortedwithdeaks</v>
      </c>
    </row>
    <row r="2321">
      <c r="A2321" s="8" t="str">
        <f>IFERROR(__xludf.DUMMYFUNCTION("""COMPUTED_VALUE"""),"barstooloutdoors")</f>
        <v>barstooloutdoors</v>
      </c>
    </row>
    <row r="2322">
      <c r="A2322" s="8" t="str">
        <f>IFERROR(__xludf.DUMMYFUNCTION("""COMPUTED_VALUE"""),"bossmanoutdoors1")</f>
        <v>bossmanoutdoors1</v>
      </c>
    </row>
    <row r="2323">
      <c r="A2323" s="8" t="str">
        <f>IFERROR(__xludf.DUMMYFUNCTION("""COMPUTED_VALUE"""),"danielleoutdoors_")</f>
        <v>danielleoutdoors_</v>
      </c>
    </row>
    <row r="2324">
      <c r="A2324" s="8" t="str">
        <f>IFERROR(__xludf.DUMMYFUNCTION("""COMPUTED_VALUE"""),"denoutdoors")</f>
        <v>denoutdoors</v>
      </c>
    </row>
    <row r="2325">
      <c r="A2325" s="8" t="str">
        <f>IFERROR(__xludf.DUMMYFUNCTION("""COMPUTED_VALUE"""),"earthoutdoors")</f>
        <v>earthoutdoors</v>
      </c>
    </row>
    <row r="2326">
      <c r="A2326" s="8" t="str">
        <f>IFERROR(__xludf.DUMMYFUNCTION("""COMPUTED_VALUE"""),"healingoutdoorsy")</f>
        <v>healingoutdoorsy</v>
      </c>
    </row>
    <row r="2327">
      <c r="A2327" s="8" t="str">
        <f>IFERROR(__xludf.DUMMYFUNCTION("""COMPUTED_VALUE"""),"outdoorskie")</f>
        <v>outdoorskie</v>
      </c>
    </row>
    <row r="2328">
      <c r="A2328" s="8" t="str">
        <f>IFERROR(__xludf.DUMMYFUNCTION("""COMPUTED_VALUE"""),"outdoorswimmer")</f>
        <v>outdoorswimmer</v>
      </c>
    </row>
    <row r="2329">
      <c r="A2329" s="8" t="str">
        <f>IFERROR(__xludf.DUMMYFUNCTION("""COMPUTED_VALUE"""),"outdoors_withrachel")</f>
        <v>outdoors_withrachel</v>
      </c>
    </row>
    <row r="2330">
      <c r="A2330" s="8" t="str">
        <f>IFERROR(__xludf.DUMMYFUNCTION("""COMPUTED_VALUE"""),"outdoorsy")</f>
        <v>outdoorsy</v>
      </c>
    </row>
    <row r="2331">
      <c r="A2331" s="8" t="str">
        <f>IFERROR(__xludf.DUMMYFUNCTION("""COMPUTED_VALUE"""),"sergio_outdoors")</f>
        <v>sergio_outdoors</v>
      </c>
    </row>
    <row r="2332">
      <c r="A2332" s="8" t="str">
        <f>IFERROR(__xludf.DUMMYFUNCTION("""COMPUTED_VALUE"""),"sunoutdoors")</f>
        <v>sunoutdoors</v>
      </c>
    </row>
    <row r="2333">
      <c r="A2333" s="8" t="str">
        <f>IFERROR(__xludf.DUMMYFUNCTION("""COMPUTED_VALUE"""),"walkinggirll")</f>
        <v>walkinggirll</v>
      </c>
    </row>
    <row r="2334">
      <c r="A2334" s="8" t="str">
        <f>IFERROR(__xludf.DUMMYFUNCTION("""COMPUTED_VALUE"""),"paleo")</f>
        <v>paleo</v>
      </c>
    </row>
    <row r="2335">
      <c r="A2335" s="8" t="str">
        <f>IFERROR(__xludf.DUMMYFUNCTION("""COMPUTED_VALUE"""),"paleobull")</f>
        <v>paleobull</v>
      </c>
    </row>
    <row r="2336">
      <c r="A2336" s="8" t="str">
        <f>IFERROR(__xludf.DUMMYFUNCTION("""COMPUTED_VALUE"""),"paleofestival")</f>
        <v>paleofestival</v>
      </c>
    </row>
    <row r="2337">
      <c r="A2337" s="8" t="str">
        <f>IFERROR(__xludf.DUMMYFUNCTION("""COMPUTED_VALUE"""),"paleoforaging")</f>
        <v>paleoforaging</v>
      </c>
    </row>
    <row r="2338">
      <c r="A2338" s="8" t="str">
        <f>IFERROR(__xludf.DUMMYFUNCTION("""COMPUTED_VALUE"""),"paleomg")</f>
        <v>paleomg</v>
      </c>
    </row>
    <row r="2339">
      <c r="A2339" s="8" t="str">
        <f>IFERROR(__xludf.DUMMYFUNCTION("""COMPUTED_VALUE"""),"paleorex")</f>
        <v>paleorex</v>
      </c>
    </row>
    <row r="2340">
      <c r="A2340" s="8" t="str">
        <f>IFERROR(__xludf.DUMMYFUNCTION("""COMPUTED_VALUE"""),"paleorunningmomma")</f>
        <v>paleorunningmomma</v>
      </c>
    </row>
    <row r="2341">
      <c r="A2341" s="8" t="str">
        <f>IFERROR(__xludf.DUMMYFUNCTION("""COMPUTED_VALUE"""),"paleotrophik")</f>
        <v>paleotrophik</v>
      </c>
    </row>
    <row r="2342">
      <c r="A2342" s="8" t="str">
        <f>IFERROR(__xludf.DUMMYFUNCTION("""COMPUTED_VALUE"""),"paleovalley")</f>
        <v>paleovalley</v>
      </c>
    </row>
    <row r="2343">
      <c r="A2343" s="11" t="str">
        <f>IFERROR(__xludf.DUMMYFUNCTION("""COMPUTED_VALUE"""),"homeschoolingideas.in")</f>
        <v>homeschoolingideas.in</v>
      </c>
    </row>
    <row r="2344">
      <c r="A2344" s="8" t="str">
        <f>IFERROR(__xludf.DUMMYFUNCTION("""COMPUTED_VALUE"""),"parentinghackswithmeghna")</f>
        <v>parentinghackswithmeghna</v>
      </c>
    </row>
    <row r="2345">
      <c r="A2345" s="8" t="str">
        <f>IFERROR(__xludf.DUMMYFUNCTION("""COMPUTED_VALUE"""),"parentingtips_triks")</f>
        <v>parentingtips_triks</v>
      </c>
    </row>
    <row r="2346">
      <c r="A2346" s="8" t="str">
        <f>IFERROR(__xludf.DUMMYFUNCTION("""COMPUTED_VALUE"""),"lorenaparkour")</f>
        <v>lorenaparkour</v>
      </c>
    </row>
    <row r="2347">
      <c r="A2347" s="8" t="str">
        <f>IFERROR(__xludf.DUMMYFUNCTION("""COMPUTED_VALUE"""),"olivernordin1")</f>
        <v>olivernordin1</v>
      </c>
    </row>
    <row r="2348">
      <c r="A2348" s="8" t="str">
        <f>IFERROR(__xludf.DUMMYFUNCTION("""COMPUTED_VALUE"""),"parkour_community_1")</f>
        <v>parkour_community_1</v>
      </c>
    </row>
    <row r="2349">
      <c r="A2349" s="8" t="str">
        <f>IFERROR(__xludf.DUMMYFUNCTION("""COMPUTED_VALUE"""),"parkour.jang")</f>
        <v>parkour.jang</v>
      </c>
    </row>
    <row r="2350">
      <c r="A2350" s="8" t="str">
        <f>IFERROR(__xludf.DUMMYFUNCTION("""COMPUTED_VALUE"""),"parkour.ninja")</f>
        <v>parkour.ninja</v>
      </c>
    </row>
    <row r="2351">
      <c r="A2351" s="8" t="str">
        <f>IFERROR(__xludf.DUMMYFUNCTION("""COMPUTED_VALUE"""),"parkourtribeofficial")</f>
        <v>parkourtribeofficial</v>
      </c>
    </row>
    <row r="2352">
      <c r="A2352" s="8" t="str">
        <f>IFERROR(__xludf.DUMMYFUNCTION("""COMPUTED_VALUE"""),"parkourvit")</f>
        <v>parkourvit</v>
      </c>
    </row>
    <row r="2353">
      <c r="A2353" s="8" t="str">
        <f>IFERROR(__xludf.DUMMYFUNCTION("""COMPUTED_VALUE"""),"sportparkour")</f>
        <v>sportparkour</v>
      </c>
    </row>
    <row r="2354">
      <c r="A2354" s="8" t="str">
        <f>IFERROR(__xludf.DUMMYFUNCTION("""COMPUTED_VALUE"""),"storrorparkourpro")</f>
        <v>storrorparkourpro</v>
      </c>
    </row>
    <row r="2355">
      <c r="A2355" s="8" t="str">
        <f>IFERROR(__xludf.DUMMYFUNCTION("""COMPUTED_VALUE"""),"thejasonpaul")</f>
        <v>thejasonpaul</v>
      </c>
    </row>
    <row r="2356">
      <c r="A2356" s="8" t="str">
        <f>IFERROR(__xludf.DUMMYFUNCTION("""COMPUTED_VALUE"""),"whatparkour")</f>
        <v>whatparkour</v>
      </c>
    </row>
    <row r="2357">
      <c r="A2357" s="8" t="str">
        <f>IFERROR(__xludf.DUMMYFUNCTION("""COMPUTED_VALUE"""),"alphawomenenergy")</f>
        <v>alphawomenenergy</v>
      </c>
    </row>
    <row r="2358">
      <c r="A2358" s="8" t="str">
        <f>IFERROR(__xludf.DUMMYFUNCTION("""COMPUTED_VALUE"""),"passiveincomeanna")</f>
        <v>passiveincomeanna</v>
      </c>
    </row>
    <row r="2359">
      <c r="A2359" s="8" t="str">
        <f>IFERROR(__xludf.DUMMYFUNCTION("""COMPUTED_VALUE"""),"passive_income_life_")</f>
        <v>passive_income_life_</v>
      </c>
    </row>
    <row r="2360">
      <c r="A2360" s="8" t="str">
        <f>IFERROR(__xludf.DUMMYFUNCTION("""COMPUTED_VALUE"""),"passive_income_lifestylee")</f>
        <v>passive_income_lifestylee</v>
      </c>
    </row>
    <row r="2361">
      <c r="A2361" s="8" t="str">
        <f>IFERROR(__xludf.DUMMYFUNCTION("""COMPUTED_VALUE"""),"passiveincome.mom")</f>
        <v>passiveincome.mom</v>
      </c>
    </row>
    <row r="2362">
      <c r="A2362" s="8" t="str">
        <f>IFERROR(__xludf.DUMMYFUNCTION("""COMPUTED_VALUE"""),"passiveincomeparidhi")</f>
        <v>passiveincomeparidhi</v>
      </c>
    </row>
    <row r="2363">
      <c r="A2363" s="11" t="str">
        <f>IFERROR(__xludf.DUMMYFUNCTION("""COMPUTED_VALUE"""),"passive_income.us")</f>
        <v>passive_income.us</v>
      </c>
    </row>
    <row r="2364">
      <c r="A2364" s="8" t="str">
        <f>IFERROR(__xludf.DUMMYFUNCTION("""COMPUTED_VALUE"""),"3un4")</f>
        <v>3un4</v>
      </c>
    </row>
    <row r="2365">
      <c r="A2365" s="8" t="str">
        <f>IFERROR(__xludf.DUMMYFUNCTION("""COMPUTED_VALUE"""),"pcgaming")</f>
        <v>pcgaming</v>
      </c>
    </row>
    <row r="2366">
      <c r="A2366" s="8" t="str">
        <f>IFERROR(__xludf.DUMMYFUNCTION("""COMPUTED_VALUE"""),"pcgaming1998")</f>
        <v>pcgaming1998</v>
      </c>
    </row>
    <row r="2367">
      <c r="A2367" s="8" t="str">
        <f>IFERROR(__xludf.DUMMYFUNCTION("""COMPUTED_VALUE"""),"v8j")</f>
        <v>v8j</v>
      </c>
    </row>
    <row r="2368">
      <c r="A2368" s="8" t="str">
        <f>IFERROR(__xludf.DUMMYFUNCTION("""COMPUTED_VALUE"""),"alexperfume.official")</f>
        <v>alexperfume.official</v>
      </c>
    </row>
    <row r="2369">
      <c r="A2369" s="8" t="str">
        <f>IFERROR(__xludf.DUMMYFUNCTION("""COMPUTED_VALUE"""),"dikiy_perfume")</f>
        <v>dikiy_perfume</v>
      </c>
    </row>
    <row r="2370">
      <c r="A2370" s="8" t="str">
        <f>IFERROR(__xludf.DUMMYFUNCTION("""COMPUTED_VALUE"""),"dossierperfumes")</f>
        <v>dossierperfumes</v>
      </c>
    </row>
    <row r="2371">
      <c r="A2371" s="8" t="str">
        <f>IFERROR(__xludf.DUMMYFUNCTION("""COMPUTED_VALUE"""),"godaperfume")</f>
        <v>godaperfume</v>
      </c>
    </row>
    <row r="2372">
      <c r="A2372" s="11" t="str">
        <f>IFERROR(__xludf.DUMMYFUNCTION("""COMPUTED_VALUE"""),"iperfumes.gr")</f>
        <v>iperfumes.gr</v>
      </c>
    </row>
    <row r="2373">
      <c r="A2373" s="8" t="str">
        <f>IFERROR(__xludf.DUMMYFUNCTION("""COMPUTED_VALUE"""),"lattafa_perfumes")</f>
        <v>lattafa_perfumes</v>
      </c>
    </row>
    <row r="2374">
      <c r="A2374" s="8" t="str">
        <f>IFERROR(__xludf.DUMMYFUNCTION("""COMPUTED_VALUE"""),"oilperfumery")</f>
        <v>oilperfumery</v>
      </c>
    </row>
    <row r="2375">
      <c r="A2375" s="8" t="str">
        <f>IFERROR(__xludf.DUMMYFUNCTION("""COMPUTED_VALUE"""),"perfumemotel")</f>
        <v>perfumemotel</v>
      </c>
    </row>
    <row r="2376">
      <c r="A2376" s="8" t="str">
        <f>IFERROR(__xludf.DUMMYFUNCTION("""COMPUTED_VALUE"""),"perfumerism")</f>
        <v>perfumerism</v>
      </c>
    </row>
    <row r="2377">
      <c r="A2377" s="8" t="str">
        <f>IFERROR(__xludf.DUMMYFUNCTION("""COMPUTED_VALUE"""),"ppigmento")</f>
        <v>ppigmento</v>
      </c>
    </row>
    <row r="2378">
      <c r="A2378" s="8" t="str">
        <f>IFERROR(__xludf.DUMMYFUNCTION("""COMPUTED_VALUE"""),"prfm_official")</f>
        <v>prfm_official</v>
      </c>
    </row>
    <row r="2379">
      <c r="A2379" s="8" t="str">
        <f>IFERROR(__xludf.DUMMYFUNCTION("""COMPUTED_VALUE"""),"theperfumeshop")</f>
        <v>theperfumeshop</v>
      </c>
    </row>
    <row r="2380">
      <c r="A2380" s="8" t="str">
        <f>IFERROR(__xludf.DUMMYFUNCTION("""COMPUTED_VALUE"""),"24x7finance")</f>
        <v>24x7finance</v>
      </c>
    </row>
    <row r="2381">
      <c r="A2381" s="8" t="str">
        <f>IFERROR(__xludf.DUMMYFUNCTION("""COMPUTED_VALUE"""),"budgetdog")</f>
        <v>budgetdog</v>
      </c>
    </row>
    <row r="2382">
      <c r="A2382" s="8" t="str">
        <f>IFERROR(__xludf.DUMMYFUNCTION("""COMPUTED_VALUE"""),"casper.capital")</f>
        <v>casper.capital</v>
      </c>
    </row>
    <row r="2383">
      <c r="A2383" s="8" t="str">
        <f>IFERROR(__xludf.DUMMYFUNCTION("""COMPUTED_VALUE"""),"clevergirlfinance")</f>
        <v>clevergirlfinance</v>
      </c>
    </row>
    <row r="2384">
      <c r="A2384" s="8" t="str">
        <f>IFERROR(__xludf.DUMMYFUNCTION("""COMPUTED_VALUE"""),"financewithsanjay")</f>
        <v>financewithsanjay</v>
      </c>
    </row>
    <row r="2385">
      <c r="A2385" s="8" t="str">
        <f>IFERROR(__xludf.DUMMYFUNCTION("""COMPUTED_VALUE"""),"fintalkswithtarun")</f>
        <v>fintalkswithtarun</v>
      </c>
    </row>
    <row r="2386">
      <c r="A2386" s="8" t="str">
        <f>IFERROR(__xludf.DUMMYFUNCTION("""COMPUTED_VALUE"""),"gaurav.mahawar.ig")</f>
        <v>gaurav.mahawar.ig</v>
      </c>
    </row>
    <row r="2387">
      <c r="A2387" s="8" t="str">
        <f>IFERROR(__xludf.DUMMYFUNCTION("""COMPUTED_VALUE"""),"mansa.wlth")</f>
        <v>mansa.wlth</v>
      </c>
    </row>
    <row r="2388">
      <c r="A2388" s="8" t="str">
        <f>IFERROR(__xludf.DUMMYFUNCTION("""COMPUTED_VALUE"""),"millennialindebt")</f>
        <v>millennialindebt</v>
      </c>
    </row>
    <row r="2389">
      <c r="A2389" s="8" t="str">
        <f>IFERROR(__xludf.DUMMYFUNCTION("""COMPUTED_VALUE"""),"personalfinanceclub")</f>
        <v>personalfinanceclub</v>
      </c>
    </row>
    <row r="2390">
      <c r="A2390" s="8" t="str">
        <f>IFERROR(__xludf.DUMMYFUNCTION("""COMPUTED_VALUE"""),"personalfinancegirl")</f>
        <v>personalfinancegirl</v>
      </c>
    </row>
    <row r="2391">
      <c r="A2391" s="8" t="str">
        <f>IFERROR(__xludf.DUMMYFUNCTION("""COMPUTED_VALUE"""),"personalfinancehubtz")</f>
        <v>personalfinancehubtz</v>
      </c>
    </row>
    <row r="2392">
      <c r="A2392" s="8" t="str">
        <f>IFERROR(__xludf.DUMMYFUNCTION("""COMPUTED_VALUE"""),"simplicefinance_")</f>
        <v>simplicefinance_</v>
      </c>
    </row>
    <row r="2393">
      <c r="A2393" s="8" t="str">
        <f>IFERROR(__xludf.DUMMYFUNCTION("""COMPUTED_VALUE"""),"danspetcare")</f>
        <v>danspetcare</v>
      </c>
    </row>
    <row r="2394">
      <c r="A2394" s="8" t="str">
        <f>IFERROR(__xludf.DUMMYFUNCTION("""COMPUTED_VALUE"""),"dogfatherofharlem")</f>
        <v>dogfatherofharlem</v>
      </c>
    </row>
    <row r="2395">
      <c r="A2395" s="8" t="str">
        <f>IFERROR(__xludf.DUMMYFUNCTION("""COMPUTED_VALUE"""),"petcareq88")</f>
        <v>petcareq88</v>
      </c>
    </row>
    <row r="2396">
      <c r="A2396" s="8" t="str">
        <f>IFERROR(__xludf.DUMMYFUNCTION("""COMPUTED_VALUE"""),"pet_care_ua_")</f>
        <v>pet_care_ua_</v>
      </c>
    </row>
    <row r="2397">
      <c r="A2397" s="8" t="str">
        <f>IFERROR(__xludf.DUMMYFUNCTION("""COMPUTED_VALUE"""),"petcare_vet")</f>
        <v>petcare_vet</v>
      </c>
    </row>
    <row r="2398">
      <c r="A2398" s="8" t="str">
        <f>IFERROR(__xludf.DUMMYFUNCTION("""COMPUTED_VALUE"""),"petcareveterinaria")</f>
        <v>petcareveterinaria</v>
      </c>
    </row>
    <row r="2399">
      <c r="A2399" s="8" t="str">
        <f>IFERROR(__xludf.DUMMYFUNCTION("""COMPUTED_VALUE"""),"pet.health.tip")</f>
        <v>pet.health.tip</v>
      </c>
    </row>
    <row r="2400">
      <c r="A2400" s="8" t="str">
        <f>IFERROR(__xludf.DUMMYFUNCTION("""COMPUTED_VALUE"""),"animal_fight_3252")</f>
        <v>animal_fight_3252</v>
      </c>
    </row>
    <row r="2401">
      <c r="A2401" s="8" t="str">
        <f>IFERROR(__xludf.DUMMYFUNCTION("""COMPUTED_VALUE"""),"ayitsphotography")</f>
        <v>ayitsphotography</v>
      </c>
    </row>
    <row r="2402">
      <c r="A2402" s="8" t="str">
        <f>IFERROR(__xludf.DUMMYFUNCTION("""COMPUTED_VALUE"""),"badiu.photography")</f>
        <v>badiu.photography</v>
      </c>
    </row>
    <row r="2403">
      <c r="A2403" s="8" t="str">
        <f>IFERROR(__xludf.DUMMYFUNCTION("""COMPUTED_VALUE"""),"_indian_.photography_")</f>
        <v>_indian_.photography_</v>
      </c>
    </row>
    <row r="2404">
      <c r="A2404" s="8" t="str">
        <f>IFERROR(__xludf.DUMMYFUNCTION("""COMPUTED_VALUE"""),"instaphotographyreels")</f>
        <v>instaphotographyreels</v>
      </c>
    </row>
    <row r="2405">
      <c r="A2405" s="8" t="str">
        <f>IFERROR(__xludf.DUMMYFUNCTION("""COMPUTED_VALUE"""),"photogeekdom")</f>
        <v>photogeekdom</v>
      </c>
    </row>
    <row r="2406">
      <c r="A2406" s="8" t="str">
        <f>IFERROR(__xludf.DUMMYFUNCTION("""COMPUTED_VALUE"""),"photography")</f>
        <v>photography</v>
      </c>
    </row>
    <row r="2407">
      <c r="A2407" s="8" t="str">
        <f>IFERROR(__xludf.DUMMYFUNCTION("""COMPUTED_VALUE"""),"robertirwinphotography")</f>
        <v>robertirwinphotography</v>
      </c>
    </row>
    <row r="2408">
      <c r="A2408" s="8" t="str">
        <f>IFERROR(__xludf.DUMMYFUNCTION("""COMPUTED_VALUE"""),"photography_hacks._")</f>
        <v>photography_hacks._</v>
      </c>
    </row>
    <row r="2409">
      <c r="A2409" s="8" t="str">
        <f>IFERROR(__xludf.DUMMYFUNCTION("""COMPUTED_VALUE"""),"emilio.piano")</f>
        <v>emilio.piano</v>
      </c>
    </row>
    <row r="2410">
      <c r="A2410" s="8" t="str">
        <f>IFERROR(__xludf.DUMMYFUNCTION("""COMPUTED_VALUE"""),"experto.en.piano")</f>
        <v>experto.en.piano</v>
      </c>
    </row>
    <row r="2411">
      <c r="A2411" s="8" t="str">
        <f>IFERROR(__xludf.DUMMYFUNCTION("""COMPUTED_VALUE"""),"faraz_piano")</f>
        <v>faraz_piano</v>
      </c>
    </row>
    <row r="2412">
      <c r="A2412" s="8" t="str">
        <f>IFERROR(__xludf.DUMMYFUNCTION("""COMPUTED_VALUE"""),"jhoony_piano")</f>
        <v>jhoony_piano</v>
      </c>
    </row>
    <row r="2413">
      <c r="A2413" s="8" t="str">
        <f>IFERROR(__xludf.DUMMYFUNCTION("""COMPUTED_VALUE"""),"kassiapiano")</f>
        <v>kassiapiano</v>
      </c>
    </row>
    <row r="2414">
      <c r="A2414" s="8" t="str">
        <f>IFERROR(__xludf.DUMMYFUNCTION("""COMPUTED_VALUE"""),"melody_by_piano")</f>
        <v>melody_by_piano</v>
      </c>
    </row>
    <row r="2415">
      <c r="A2415" s="8" t="str">
        <f>IFERROR(__xludf.DUMMYFUNCTION("""COMPUTED_VALUE"""),"pianofrenchy")</f>
        <v>pianofrenchy</v>
      </c>
    </row>
    <row r="2416">
      <c r="A2416" s="8" t="str">
        <f>IFERROR(__xludf.DUMMYFUNCTION("""COMPUTED_VALUE"""),"pianohub_")</f>
        <v>pianohub_</v>
      </c>
    </row>
    <row r="2417">
      <c r="A2417" s="8" t="str">
        <f>IFERROR(__xludf.DUMMYFUNCTION("""COMPUTED_VALUE"""),"piano.sdq")</f>
        <v>piano.sdq</v>
      </c>
    </row>
    <row r="2418">
      <c r="A2418" s="8" t="str">
        <f>IFERROR(__xludf.DUMMYFUNCTION("""COMPUTED_VALUE"""),"piano_superhuman")</f>
        <v>piano_superhuman</v>
      </c>
    </row>
    <row r="2419">
      <c r="A2419" s="8" t="str">
        <f>IFERROR(__xludf.DUMMYFUNCTION("""COMPUTED_VALUE"""),"thepianoworks")</f>
        <v>thepianoworks</v>
      </c>
    </row>
    <row r="2420">
      <c r="A2420" s="8" t="str">
        <f>IFERROR(__xludf.DUMMYFUNCTION("""COMPUTED_VALUE"""),"toni2piano")</f>
        <v>toni2piano</v>
      </c>
    </row>
    <row r="2421">
      <c r="A2421" s="8" t="str">
        <f>IFERROR(__xludf.DUMMYFUNCTION("""COMPUTED_VALUE"""),"trucos_rapidos_piano")</f>
        <v>trucos_rapidos_piano</v>
      </c>
    </row>
    <row r="2422">
      <c r="A2422" s="8" t="str">
        <f>IFERROR(__xludf.DUMMYFUNCTION("""COMPUTED_VALUE"""),"almondcow")</f>
        <v>almondcow</v>
      </c>
    </row>
    <row r="2423">
      <c r="A2423" s="8" t="str">
        <f>IFERROR(__xludf.DUMMYFUNCTION("""COMPUTED_VALUE"""),"fitgreenmind")</f>
        <v>fitgreenmind</v>
      </c>
    </row>
    <row r="2424">
      <c r="A2424" s="8" t="str">
        <f>IFERROR(__xludf.DUMMYFUNCTION("""COMPUTED_VALUE"""),"pbwhole30")</f>
        <v>pbwhole30</v>
      </c>
    </row>
    <row r="2425">
      <c r="A2425" s="8" t="str">
        <f>IFERROR(__xludf.DUMMYFUNCTION("""COMPUTED_VALUE"""),"plantbaed")</f>
        <v>plantbaed</v>
      </c>
    </row>
    <row r="2426">
      <c r="A2426" s="8" t="str">
        <f>IFERROR(__xludf.DUMMYFUNCTION("""COMPUTED_VALUE"""),"plantbased")</f>
        <v>plantbased</v>
      </c>
    </row>
    <row r="2427">
      <c r="A2427" s="8" t="str">
        <f>IFERROR(__xludf.DUMMYFUNCTION("""COMPUTED_VALUE"""),"plantbasedbre")</f>
        <v>plantbasedbre</v>
      </c>
    </row>
    <row r="2428">
      <c r="A2428" s="8" t="str">
        <f>IFERROR(__xludf.DUMMYFUNCTION("""COMPUTED_VALUE"""),"plantbasedclinic")</f>
        <v>plantbasedclinic</v>
      </c>
    </row>
    <row r="2429">
      <c r="A2429" s="8" t="str">
        <f>IFERROR(__xludf.DUMMYFUNCTION("""COMPUTED_VALUE"""),"plantbasedjuniors")</f>
        <v>plantbasedjuniors</v>
      </c>
    </row>
    <row r="2430">
      <c r="A2430" s="8" t="str">
        <f>IFERROR(__xludf.DUMMYFUNCTION("""COMPUTED_VALUE"""),"plantbasednews")</f>
        <v>plantbasednews</v>
      </c>
    </row>
    <row r="2431">
      <c r="A2431" s="8" t="str">
        <f>IFERROR(__xludf.DUMMYFUNCTION("""COMPUTED_VALUE"""),"plantbasedomnivore")</f>
        <v>plantbasedomnivore</v>
      </c>
    </row>
    <row r="2432">
      <c r="A2432" s="8" t="str">
        <f>IFERROR(__xludf.DUMMYFUNCTION("""COMPUTED_VALUE"""),"plantbasedonabudget")</f>
        <v>plantbasedonabudget</v>
      </c>
    </row>
    <row r="2433">
      <c r="A2433" s="8" t="str">
        <f>IFERROR(__xludf.DUMMYFUNCTION("""COMPUTED_VALUE"""),"plantbasedrd")</f>
        <v>plantbasedrd</v>
      </c>
    </row>
    <row r="2434">
      <c r="A2434" s="8" t="str">
        <f>IFERROR(__xludf.DUMMYFUNCTION("""COMPUTED_VALUE"""),"plantbasedtamika")</f>
        <v>plantbasedtamika</v>
      </c>
    </row>
    <row r="2435">
      <c r="A2435" s="8" t="str">
        <f>IFERROR(__xludf.DUMMYFUNCTION("""COMPUTED_VALUE"""),"plantbasedtreaty")</f>
        <v>plantbasedtreaty</v>
      </c>
    </row>
    <row r="2436">
      <c r="A2436" s="8" t="str">
        <f>IFERROR(__xludf.DUMMYFUNCTION("""COMPUTED_VALUE"""),"tebeautyselfcare")</f>
        <v>tebeautyselfcare</v>
      </c>
    </row>
    <row r="2437">
      <c r="A2437" s="8" t="str">
        <f>IFERROR(__xludf.DUMMYFUNCTION("""COMPUTED_VALUE"""),"thejenjones")</f>
        <v>thejenjones</v>
      </c>
    </row>
    <row r="2438">
      <c r="A2438" s="8" t="str">
        <f>IFERROR(__xludf.DUMMYFUNCTION("""COMPUTED_VALUE"""),"waytohealthkitchen")</f>
        <v>waytohealthkitchen</v>
      </c>
    </row>
    <row r="2439">
      <c r="A2439" s="8" t="str">
        <f>IFERROR(__xludf.DUMMYFUNCTION("""COMPUTED_VALUE"""),"planthooduk")</f>
        <v>planthooduk</v>
      </c>
    </row>
    <row r="2440">
      <c r="A2440" s="8" t="str">
        <f>IFERROR(__xludf.DUMMYFUNCTION("""COMPUTED_VALUE"""),"theplantbasedmeal")</f>
        <v>theplantbasedmeal</v>
      </c>
    </row>
    <row r="2441">
      <c r="A2441" s="8" t="str">
        <f>IFERROR(__xludf.DUMMYFUNCTION("""COMPUTED_VALUE"""),"veganfoodcrazy")</f>
        <v>veganfoodcrazy</v>
      </c>
    </row>
    <row r="2442">
      <c r="A2442" s="8" t="str">
        <f>IFERROR(__xludf.DUMMYFUNCTION("""COMPUTED_VALUE"""),"wholefoodplantbasedmeals")</f>
        <v>wholefoodplantbasedmeals</v>
      </c>
    </row>
    <row r="2443">
      <c r="A2443" s="8" t="str">
        <f>IFERROR(__xludf.DUMMYFUNCTION("""COMPUTED_VALUE"""),"plant_caregiver")</f>
        <v>plant_caregiver</v>
      </c>
    </row>
    <row r="2444">
      <c r="A2444" s="8" t="str">
        <f>IFERROR(__xludf.DUMMYFUNCTION("""COMPUTED_VALUE"""),"plantparentai")</f>
        <v>plantparentai</v>
      </c>
    </row>
    <row r="2445">
      <c r="A2445" s="8" t="str">
        <f>IFERROR(__xludf.DUMMYFUNCTION("""COMPUTED_VALUE"""),"yelleskincare")</f>
        <v>yelleskincare</v>
      </c>
    </row>
    <row r="2446">
      <c r="A2446" s="8" t="str">
        <f>IFERROR(__xludf.DUMMYFUNCTION("""COMPUTED_VALUE"""),"helloplantlover")</f>
        <v>helloplantlover</v>
      </c>
    </row>
    <row r="2447">
      <c r="A2447" s="8" t="str">
        <f>IFERROR(__xludf.DUMMYFUNCTION("""COMPUTED_VALUE"""),"houseofplantlovers")</f>
        <v>houseofplantlovers</v>
      </c>
    </row>
    <row r="2448">
      <c r="A2448" s="8" t="str">
        <f>IFERROR(__xludf.DUMMYFUNCTION("""COMPUTED_VALUE"""),"magdas_garden")</f>
        <v>magdas_garden</v>
      </c>
    </row>
    <row r="2449">
      <c r="A2449" s="11" t="str">
        <f>IFERROR(__xludf.DUMMYFUNCTION("""COMPUTED_VALUE"""),"plantlover.bd")</f>
        <v>plantlover.bd</v>
      </c>
    </row>
    <row r="2450">
      <c r="A2450" s="8" t="str">
        <f>IFERROR(__xludf.DUMMYFUNCTION("""COMPUTED_VALUE"""),"plantreels")</f>
        <v>plantreels</v>
      </c>
    </row>
    <row r="2451">
      <c r="A2451" s="8" t="str">
        <f>IFERROR(__xludf.DUMMYFUNCTION("""COMPUTED_VALUE"""),"soleil.angelique")</f>
        <v>soleil.angelique</v>
      </c>
    </row>
    <row r="2452">
      <c r="A2452" s="8" t="str">
        <f>IFERROR(__xludf.DUMMYFUNCTION("""COMPUTED_VALUE"""),"positive.affirmations")</f>
        <v>positive.affirmations</v>
      </c>
    </row>
    <row r="2453">
      <c r="A2453" s="8" t="str">
        <f>IFERROR(__xludf.DUMMYFUNCTION("""COMPUTED_VALUE"""),"positiveaffirmations101")</f>
        <v>positiveaffirmations101</v>
      </c>
    </row>
    <row r="2454">
      <c r="A2454" s="8" t="str">
        <f>IFERROR(__xludf.DUMMYFUNCTION("""COMPUTED_VALUE"""),"positiveaffirmations11")</f>
        <v>positiveaffirmations11</v>
      </c>
    </row>
    <row r="2455">
      <c r="A2455" s="8" t="str">
        <f>IFERROR(__xludf.DUMMYFUNCTION("""COMPUTED_VALUE"""),"positive.affirmations.4u")</f>
        <v>positive.affirmations.4u</v>
      </c>
    </row>
    <row r="2456">
      <c r="A2456" s="8" t="str">
        <f>IFERROR(__xludf.DUMMYFUNCTION("""COMPUTED_VALUE"""),"posiitive_vibess_")</f>
        <v>posiitive_vibess_</v>
      </c>
    </row>
    <row r="2457">
      <c r="A2457" s="8" t="str">
        <f>IFERROR(__xludf.DUMMYFUNCTION("""COMPUTED_VALUE"""),"positive_vibes1267")</f>
        <v>positive_vibes1267</v>
      </c>
    </row>
    <row r="2458">
      <c r="A2458" s="8" t="str">
        <f>IFERROR(__xludf.DUMMYFUNCTION("""COMPUTED_VALUE"""),"positive_vibes_14")</f>
        <v>positive_vibes_14</v>
      </c>
    </row>
    <row r="2459">
      <c r="A2459" s="8" t="str">
        <f>IFERROR(__xludf.DUMMYFUNCTION("""COMPUTED_VALUE"""),"positivevibes7034")</f>
        <v>positivevibes7034</v>
      </c>
    </row>
    <row r="2460">
      <c r="A2460" s="8" t="str">
        <f>IFERROR(__xludf.DUMMYFUNCTION("""COMPUTED_VALUE"""),"positive_vibes_all_here")</f>
        <v>positive_vibes_all_here</v>
      </c>
    </row>
    <row r="2461">
      <c r="A2461" s="11" t="str">
        <f>IFERROR(__xludf.DUMMYFUNCTION("""COMPUTED_VALUE"""),"positivevibes.id")</f>
        <v>positivevibes.id</v>
      </c>
    </row>
    <row r="2462">
      <c r="A2462" s="8" t="str">
        <f>IFERROR(__xludf.DUMMYFUNCTION("""COMPUTED_VALUE"""),"positive.vibes_m")</f>
        <v>positive.vibes_m</v>
      </c>
    </row>
    <row r="2463">
      <c r="A2463" s="8" t="str">
        <f>IFERROR(__xludf.DUMMYFUNCTION("""COMPUTED_VALUE"""),"positivevibesquotes")</f>
        <v>positivevibesquotes</v>
      </c>
    </row>
    <row r="2464">
      <c r="A2464" s="8" t="str">
        <f>IFERROR(__xludf.DUMMYFUNCTION("""COMPUTED_VALUE"""),"pvoglobal")</f>
        <v>pvoglobal</v>
      </c>
    </row>
    <row r="2465">
      <c r="A2465" s="8" t="str">
        <f>IFERROR(__xludf.DUMMYFUNCTION("""COMPUTED_VALUE"""),"alike_pottery_studio")</f>
        <v>alike_pottery_studio</v>
      </c>
    </row>
    <row r="2466">
      <c r="A2466" s="8" t="str">
        <f>IFERROR(__xludf.DUMMYFUNCTION("""COMPUTED_VALUE"""),"boleslawiec.ceramika")</f>
        <v>boleslawiec.ceramika</v>
      </c>
    </row>
    <row r="2467">
      <c r="A2467" s="8" t="str">
        <f>IFERROR(__xludf.DUMMYFUNCTION("""COMPUTED_VALUE"""),"ermidespottery")</f>
        <v>ermidespottery</v>
      </c>
    </row>
    <row r="2468">
      <c r="A2468" s="8" t="str">
        <f>IFERROR(__xludf.DUMMYFUNCTION("""COMPUTED_VALUE"""),"hi_pottery")</f>
        <v>hi_pottery</v>
      </c>
    </row>
    <row r="2469">
      <c r="A2469" s="8" t="str">
        <f>IFERROR(__xludf.DUMMYFUNCTION("""COMPUTED_VALUE"""),"loveinpottery")</f>
        <v>loveinpottery</v>
      </c>
    </row>
    <row r="2470">
      <c r="A2470" s="8" t="str">
        <f>IFERROR(__xludf.DUMMYFUNCTION("""COMPUTED_VALUE"""),"mypotteryworld")</f>
        <v>mypotteryworld</v>
      </c>
    </row>
    <row r="2471">
      <c r="A2471" s="8" t="str">
        <f>IFERROR(__xludf.DUMMYFUNCTION("""COMPUTED_VALUE"""),"potterybarn")</f>
        <v>potterybarn</v>
      </c>
    </row>
    <row r="2472">
      <c r="A2472" s="8" t="str">
        <f>IFERROR(__xludf.DUMMYFUNCTION("""COMPUTED_VALUE"""),"potterybarnkids")</f>
        <v>potterybarnkids</v>
      </c>
    </row>
    <row r="2473">
      <c r="A2473" s="8" t="str">
        <f>IFERROR(__xludf.DUMMYFUNCTION("""COMPUTED_VALUE"""),"potterybarnteen")</f>
        <v>potterybarnteen</v>
      </c>
    </row>
    <row r="2474">
      <c r="A2474" s="8" t="str">
        <f>IFERROR(__xludf.DUMMYFUNCTION("""COMPUTED_VALUE"""),"pottery.princess2")</f>
        <v>pottery.princess2</v>
      </c>
    </row>
    <row r="2475">
      <c r="A2475" s="8" t="str">
        <f>IFERROR(__xludf.DUMMYFUNCTION("""COMPUTED_VALUE"""),"rootkapottery")</f>
        <v>rootkapottery</v>
      </c>
    </row>
    <row r="2476">
      <c r="A2476" s="8" t="str">
        <f>IFERROR(__xludf.DUMMYFUNCTION("""COMPUTED_VALUE"""),"rv_pottery")</f>
        <v>rv_pottery</v>
      </c>
    </row>
    <row r="2477">
      <c r="A2477" s="8" t="str">
        <f>IFERROR(__xludf.DUMMYFUNCTION("""COMPUTED_VALUE"""),"thepotteryshoplv")</f>
        <v>thepotteryshoplv</v>
      </c>
    </row>
    <row r="2478">
      <c r="A2478" s="8" t="str">
        <f>IFERROR(__xludf.DUMMYFUNCTION("""COMPUTED_VALUE"""),"bsmprank")</f>
        <v>bsmprank</v>
      </c>
    </row>
    <row r="2479">
      <c r="A2479" s="8" t="str">
        <f>IFERROR(__xludf.DUMMYFUNCTION("""COMPUTED_VALUE"""),"funny_prank__call")</f>
        <v>funny_prank__call</v>
      </c>
    </row>
    <row r="2480">
      <c r="A2480" s="8" t="str">
        <f>IFERROR(__xludf.DUMMYFUNCTION("""COMPUTED_VALUE"""),"just_for_prankk")</f>
        <v>just_for_prankk</v>
      </c>
    </row>
    <row r="2481">
      <c r="A2481" s="8" t="str">
        <f>IFERROR(__xludf.DUMMYFUNCTION("""COMPUTED_VALUE"""),"machigoldpranks")</f>
        <v>machigoldpranks</v>
      </c>
    </row>
    <row r="2482">
      <c r="A2482" s="8" t="str">
        <f>IFERROR(__xludf.DUMMYFUNCTION("""COMPUTED_VALUE"""),"marianoprank")</f>
        <v>marianoprank</v>
      </c>
    </row>
    <row r="2483">
      <c r="A2483" s="8" t="str">
        <f>IFERROR(__xludf.DUMMYFUNCTION("""COMPUTED_VALUE"""),"peoplevspranks")</f>
        <v>peoplevspranks</v>
      </c>
    </row>
    <row r="2484">
      <c r="A2484" s="8" t="str">
        <f>IFERROR(__xludf.DUMMYFUNCTION("""COMPUTED_VALUE"""),"prank_calls743")</f>
        <v>prank_calls743</v>
      </c>
    </row>
    <row r="2485">
      <c r="A2485" s="8" t="str">
        <f>IFERROR(__xludf.DUMMYFUNCTION("""COMPUTED_VALUE"""),"prankdisplay")</f>
        <v>prankdisplay</v>
      </c>
    </row>
    <row r="2486">
      <c r="A2486" s="8" t="str">
        <f>IFERROR(__xludf.DUMMYFUNCTION("""COMPUTED_VALUE"""),"prank_in_gf")</f>
        <v>prank_in_gf</v>
      </c>
    </row>
    <row r="2487">
      <c r="A2487" s="8" t="str">
        <f>IFERROR(__xludf.DUMMYFUNCTION("""COMPUTED_VALUE"""),"prankinvasion")</f>
        <v>prankinvasion</v>
      </c>
    </row>
    <row r="2488">
      <c r="A2488" s="8" t="str">
        <f>IFERROR(__xludf.DUMMYFUNCTION("""COMPUTED_VALUE"""),"prank_river")</f>
        <v>prank_river</v>
      </c>
    </row>
    <row r="2489">
      <c r="A2489" s="8" t="str">
        <f>IFERROR(__xludf.DUMMYFUNCTION("""COMPUTED_VALUE"""),"pranksty")</f>
        <v>pranksty</v>
      </c>
    </row>
    <row r="2490">
      <c r="A2490" s="8" t="str">
        <f>IFERROR(__xludf.DUMMYFUNCTION("""COMPUTED_VALUE"""),"sabaprank")</f>
        <v>sabaprank</v>
      </c>
    </row>
    <row r="2491">
      <c r="A2491" s="8" t="str">
        <f>IFERROR(__xludf.DUMMYFUNCTION("""COMPUTED_VALUE"""),"theprankzone")</f>
        <v>theprankzone</v>
      </c>
    </row>
    <row r="2492">
      <c r="A2492" s="8" t="str">
        <f>IFERROR(__xludf.DUMMYFUNCTION("""COMPUTED_VALUE"""),"australianbirthstories")</f>
        <v>australianbirthstories</v>
      </c>
    </row>
    <row r="2493">
      <c r="A2493" s="8" t="str">
        <f>IFERROR(__xludf.DUMMYFUNCTION("""COMPUTED_VALUE"""),"breastfeeding.beauty")</f>
        <v>breastfeeding.beauty</v>
      </c>
    </row>
    <row r="2494">
      <c r="A2494" s="8" t="str">
        <f>IFERROR(__xludf.DUMMYFUNCTION("""COMPUTED_VALUE"""),"doclizziedpt")</f>
        <v>doclizziedpt</v>
      </c>
    </row>
    <row r="2495">
      <c r="A2495" s="8" t="str">
        <f>IFERROR(__xludf.DUMMYFUNCTION("""COMPUTED_VALUE"""),"drsterlingobgyn")</f>
        <v>drsterlingobgyn</v>
      </c>
    </row>
    <row r="2496">
      <c r="A2496" s="8" t="str">
        <f>IFERROR(__xludf.DUMMYFUNCTION("""COMPUTED_VALUE"""),"kimperryco")</f>
        <v>kimperryco</v>
      </c>
    </row>
    <row r="2497">
      <c r="A2497" s="8" t="str">
        <f>IFERROR(__xludf.DUMMYFUNCTION("""COMPUTED_VALUE"""),"lullabyclub")</f>
        <v>lullabyclub</v>
      </c>
    </row>
    <row r="2498">
      <c r="A2498" s="8" t="str">
        <f>IFERROR(__xludf.DUMMYFUNCTION("""COMPUTED_VALUE"""),"mommy.labornurse")</f>
        <v>mommy.labornurse</v>
      </c>
    </row>
    <row r="2499">
      <c r="A2499" s="8" t="str">
        <f>IFERROR(__xludf.DUMMYFUNCTION("""COMPUTED_VALUE"""),"movelikeamotha")</f>
        <v>movelikeamotha</v>
      </c>
    </row>
    <row r="2500">
      <c r="A2500" s="8" t="str">
        <f>IFERROR(__xludf.DUMMYFUNCTION("""COMPUTED_VALUE"""),"pregnancy.advice")</f>
        <v>pregnancy.advice</v>
      </c>
    </row>
    <row r="2501">
      <c r="A2501" s="8" t="str">
        <f>IFERROR(__xludf.DUMMYFUNCTION("""COMPUTED_VALUE"""),"pregnancyafterlosssupport")</f>
        <v>pregnancyafterlosssupport</v>
      </c>
    </row>
    <row r="2502">
      <c r="A2502" s="8" t="str">
        <f>IFERROR(__xludf.DUMMYFUNCTION("""COMPUTED_VALUE"""),"pregnancyandpostpartumtv")</f>
        <v>pregnancyandpostpartumtv</v>
      </c>
    </row>
    <row r="2503">
      <c r="A2503" s="8" t="str">
        <f>IFERROR(__xludf.DUMMYFUNCTION("""COMPUTED_VALUE"""),"pregnancy_birth_and_baby")</f>
        <v>pregnancy_birth_and_baby</v>
      </c>
    </row>
    <row r="2504">
      <c r="A2504" s="8" t="str">
        <f>IFERROR(__xludf.DUMMYFUNCTION("""COMPUTED_VALUE"""),"pregnancy_nutritionist")</f>
        <v>pregnancy_nutritionist</v>
      </c>
    </row>
    <row r="2505">
      <c r="A2505" s="8" t="str">
        <f>IFERROR(__xludf.DUMMYFUNCTION("""COMPUTED_VALUE"""),"pregnancyphotographers")</f>
        <v>pregnancyphotographers</v>
      </c>
    </row>
    <row r="2506">
      <c r="A2506" s="8" t="str">
        <f>IFERROR(__xludf.DUMMYFUNCTION("""COMPUTED_VALUE"""),"pregnancyplus")</f>
        <v>pregnancyplus</v>
      </c>
    </row>
    <row r="2507">
      <c r="A2507" s="8" t="str">
        <f>IFERROR(__xludf.DUMMYFUNCTION("""COMPUTED_VALUE"""),"resultswithbump")</f>
        <v>resultswithbump</v>
      </c>
    </row>
    <row r="2508">
      <c r="A2508" s="8" t="str">
        <f>IFERROR(__xludf.DUMMYFUNCTION("""COMPUTED_VALUE"""),"thebump")</f>
        <v>thebump</v>
      </c>
    </row>
    <row r="2509">
      <c r="A2509" s="8" t="str">
        <f>IFERROR(__xludf.DUMMYFUNCTION("""COMPUTED_VALUE"""),"pregnantlife_babies")</f>
        <v>pregnantlife_babies</v>
      </c>
    </row>
    <row r="2510">
      <c r="A2510" s="8" t="str">
        <f>IFERROR(__xludf.DUMMYFUNCTION("""COMPUTED_VALUE"""),"pregnantlifeguide")</f>
        <v>pregnantlifeguide</v>
      </c>
    </row>
    <row r="2511">
      <c r="A2511" s="8" t="str">
        <f>IFERROR(__xludf.DUMMYFUNCTION("""COMPUTED_VALUE"""),"beproductive")</f>
        <v>beproductive</v>
      </c>
    </row>
    <row r="2512">
      <c r="A2512" s="8" t="str">
        <f>IFERROR(__xludf.DUMMYFUNCTION("""COMPUTED_VALUE"""),"fullfocusco")</f>
        <v>fullfocusco</v>
      </c>
    </row>
    <row r="2513">
      <c r="A2513" s="8" t="str">
        <f>IFERROR(__xludf.DUMMYFUNCTION("""COMPUTED_VALUE"""),"lifeopening")</f>
        <v>lifeopening</v>
      </c>
    </row>
    <row r="2514">
      <c r="A2514" s="8" t="str">
        <f>IFERROR(__xludf.DUMMYFUNCTION("""COMPUTED_VALUE"""),"mindofieva")</f>
        <v>mindofieva</v>
      </c>
    </row>
    <row r="2515">
      <c r="A2515" s="8" t="str">
        <f>IFERROR(__xludf.DUMMYFUNCTION("""COMPUTED_VALUE"""),"officialproductivity")</f>
        <v>officialproductivity</v>
      </c>
    </row>
    <row r="2516">
      <c r="A2516" s="8" t="str">
        <f>IFERROR(__xludf.DUMMYFUNCTION("""COMPUTED_VALUE"""),"productive_pythons")</f>
        <v>productive_pythons</v>
      </c>
    </row>
    <row r="2517">
      <c r="A2517" s="8" t="str">
        <f>IFERROR(__xludf.DUMMYFUNCTION("""COMPUTED_VALUE"""),"productivityathlete")</f>
        <v>productivityathlete</v>
      </c>
    </row>
    <row r="2518">
      <c r="A2518" s="8" t="str">
        <f>IFERROR(__xludf.DUMMYFUNCTION("""COMPUTED_VALUE"""),"productivityboi")</f>
        <v>productivityboi</v>
      </c>
    </row>
    <row r="2519">
      <c r="A2519" s="8" t="str">
        <f>IFERROR(__xludf.DUMMYFUNCTION("""COMPUTED_VALUE"""),"productivitypeek")</f>
        <v>productivitypeek</v>
      </c>
    </row>
    <row r="2520">
      <c r="A2520" s="8" t="str">
        <f>IFERROR(__xludf.DUMMYFUNCTION("""COMPUTED_VALUE"""),"rish.kansal")</f>
        <v>rish.kansal</v>
      </c>
    </row>
    <row r="2521">
      <c r="A2521" s="8" t="str">
        <f>IFERROR(__xludf.DUMMYFUNCTION("""COMPUTED_VALUE"""),"thejennieanderson")</f>
        <v>thejennieanderson</v>
      </c>
    </row>
    <row r="2522">
      <c r="A2522" s="8" t="str">
        <f>IFERROR(__xludf.DUMMYFUNCTION("""COMPUTED_VALUE"""),"theproductivitymethod")</f>
        <v>theproductivitymethod</v>
      </c>
    </row>
    <row r="2523">
      <c r="A2523" s="8" t="str">
        <f>IFERROR(__xludf.DUMMYFUNCTION("""COMPUTED_VALUE"""),"thestudypie")</f>
        <v>thestudypie</v>
      </c>
    </row>
    <row r="2524">
      <c r="A2524" s="8" t="str">
        <f>IFERROR(__xludf.DUMMYFUNCTION("""COMPUTED_VALUE"""),"produ.hacks")</f>
        <v>produ.hacks</v>
      </c>
    </row>
    <row r="2525">
      <c r="A2525" s="8" t="str">
        <f>IFERROR(__xludf.DUMMYFUNCTION("""COMPUTED_VALUE"""),"everythingnaart")</f>
        <v>everythingnaart</v>
      </c>
    </row>
    <row r="2526">
      <c r="A2526" s="8" t="str">
        <f>IFERROR(__xludf.DUMMYFUNCTION("""COMPUTED_VALUE"""),"productivitypeek")</f>
        <v>productivitypeek</v>
      </c>
    </row>
    <row r="2527">
      <c r="A2527" s="8" t="str">
        <f>IFERROR(__xludf.DUMMYFUNCTION("""COMPUTED_VALUE"""),"ilovepdf_official")</f>
        <v>ilovepdf_official</v>
      </c>
    </row>
    <row r="2528">
      <c r="A2528" s="8" t="str">
        <f>IFERROR(__xludf.DUMMYFUNCTION("""COMPUTED_VALUE"""),"java.world")</f>
        <v>java.world</v>
      </c>
    </row>
    <row r="2529">
      <c r="A2529" s="8" t="str">
        <f>IFERROR(__xludf.DUMMYFUNCTION("""COMPUTED_VALUE"""),"kettlebell_programming")</f>
        <v>kettlebell_programming</v>
      </c>
    </row>
    <row r="2530">
      <c r="A2530" s="8" t="str">
        <f>IFERROR(__xludf.DUMMYFUNCTION("""COMPUTED_VALUE"""),"know.programming")</f>
        <v>know.programming</v>
      </c>
    </row>
    <row r="2531">
      <c r="A2531" s="8" t="str">
        <f>IFERROR(__xludf.DUMMYFUNCTION("""COMPUTED_VALUE"""),"programminghero")</f>
        <v>programminghero</v>
      </c>
    </row>
    <row r="2532">
      <c r="A2532" s="8" t="str">
        <f>IFERROR(__xludf.DUMMYFUNCTION("""COMPUTED_VALUE"""),"programmingknow")</f>
        <v>programmingknow</v>
      </c>
    </row>
    <row r="2533">
      <c r="A2533" s="8" t="str">
        <f>IFERROR(__xludf.DUMMYFUNCTION("""COMPUTED_VALUE"""),"programming.shuffle")</f>
        <v>programming.shuffle</v>
      </c>
    </row>
    <row r="2534">
      <c r="A2534" s="8" t="str">
        <f>IFERROR(__xludf.DUMMYFUNCTION("""COMPUTED_VALUE"""),"python.coder_")</f>
        <v>python.coder_</v>
      </c>
    </row>
    <row r="2535">
      <c r="A2535" s="8" t="str">
        <f>IFERROR(__xludf.DUMMYFUNCTION("""COMPUTED_VALUE"""),"debug_code")</f>
        <v>debug_code</v>
      </c>
    </row>
    <row r="2536">
      <c r="A2536" s="8" t="str">
        <f>IFERROR(__xludf.DUMMYFUNCTION("""COMPUTED_VALUE"""),"chowpuppies")</f>
        <v>chowpuppies</v>
      </c>
    </row>
    <row r="2537">
      <c r="A2537" s="8" t="str">
        <f>IFERROR(__xludf.DUMMYFUNCTION("""COMPUTED_VALUE"""),"cutestpuppiesforyou")</f>
        <v>cutestpuppiesforyou</v>
      </c>
    </row>
    <row r="2538">
      <c r="A2538" s="8" t="str">
        <f>IFERROR(__xludf.DUMMYFUNCTION("""COMPUTED_VALUE"""),"dogfunny140")</f>
        <v>dogfunny140</v>
      </c>
    </row>
    <row r="2539">
      <c r="A2539" s="8" t="str">
        <f>IFERROR(__xludf.DUMMYFUNCTION("""COMPUTED_VALUE"""),"justfunnypuppies")</f>
        <v>justfunnypuppies</v>
      </c>
    </row>
    <row r="2540">
      <c r="A2540" s="8" t="str">
        <f>IFERROR(__xludf.DUMMYFUNCTION("""COMPUTED_VALUE"""),"puppiesbetch")</f>
        <v>puppiesbetch</v>
      </c>
    </row>
    <row r="2541">
      <c r="A2541" s="8" t="str">
        <f>IFERROR(__xludf.DUMMYFUNCTION("""COMPUTED_VALUE"""),"puppies.club")</f>
        <v>puppies.club</v>
      </c>
    </row>
    <row r="2542">
      <c r="A2542" s="11" t="str">
        <f>IFERROR(__xludf.DUMMYFUNCTION("""COMPUTED_VALUE"""),"puppies.in")</f>
        <v>puppies.in</v>
      </c>
    </row>
    <row r="2543">
      <c r="A2543" s="8" t="str">
        <f>IFERROR(__xludf.DUMMYFUNCTION("""COMPUTED_VALUE"""),"puppies_pet")</f>
        <v>puppies_pet</v>
      </c>
    </row>
    <row r="2544">
      <c r="A2544" s="8" t="str">
        <f>IFERROR(__xludf.DUMMYFUNCTION("""COMPUTED_VALUE"""),"puppiesyogalosangeles")</f>
        <v>puppiesyogalosangeles</v>
      </c>
    </row>
    <row r="2545">
      <c r="A2545" s="8" t="str">
        <f>IFERROR(__xludf.DUMMYFUNCTION("""COMPUTED_VALUE"""),"puppy.lovrs")</f>
        <v>puppy.lovrs</v>
      </c>
    </row>
    <row r="2546">
      <c r="A2546" s="8" t="str">
        <f>IFERROR(__xludf.DUMMYFUNCTION("""COMPUTED_VALUE"""),"pups")</f>
        <v>pups</v>
      </c>
    </row>
    <row r="2547">
      <c r="A2547" s="8" t="str">
        <f>IFERROR(__xludf.DUMMYFUNCTION("""COMPUTED_VALUE"""),"rollypups.official")</f>
        <v>rollypups.official</v>
      </c>
    </row>
    <row r="2548">
      <c r="A2548" s="11" t="str">
        <f>IFERROR(__xludf.DUMMYFUNCTION("""COMPUTED_VALUE"""),"amozesh.py")</f>
        <v>amozesh.py</v>
      </c>
    </row>
    <row r="2549">
      <c r="A2549" s="8" t="str">
        <f>IFERROR(__xludf.DUMMYFUNCTION("""COMPUTED_VALUE"""),"python.coder_")</f>
        <v>python.coder_</v>
      </c>
    </row>
    <row r="2550">
      <c r="A2550" s="8" t="str">
        <f>IFERROR(__xludf.DUMMYFUNCTION("""COMPUTED_VALUE"""),"python_flowers")</f>
        <v>python_flowers</v>
      </c>
    </row>
    <row r="2551">
      <c r="A2551" s="8" t="str">
        <f>IFERROR(__xludf.DUMMYFUNCTION("""COMPUTED_VALUE"""),"python.hub")</f>
        <v>python.hub</v>
      </c>
    </row>
    <row r="2552">
      <c r="A2552" s="8" t="str">
        <f>IFERROR(__xludf.DUMMYFUNCTION("""COMPUTED_VALUE"""),"pythonlearnerr")</f>
        <v>pythonlearnerr</v>
      </c>
    </row>
    <row r="2553">
      <c r="A2553" s="8" t="str">
        <f>IFERROR(__xludf.DUMMYFUNCTION("""COMPUTED_VALUE"""),"deliciousfitnessmeals")</f>
        <v>deliciousfitnessmeals</v>
      </c>
    </row>
    <row r="2554">
      <c r="A2554" s="8" t="str">
        <f>IFERROR(__xludf.DUMMYFUNCTION("""COMPUTED_VALUE"""),"happy.day.quotes")</f>
        <v>happy.day.quotes</v>
      </c>
    </row>
    <row r="2555">
      <c r="A2555" s="8" t="str">
        <f>IFERROR(__xludf.DUMMYFUNCTION("""COMPUTED_VALUE"""),"hustlereflections")</f>
        <v>hustlereflections</v>
      </c>
    </row>
    <row r="2556">
      <c r="A2556" s="8" t="str">
        <f>IFERROR(__xludf.DUMMYFUNCTION("""COMPUTED_VALUE"""),"hustlingfacts")</f>
        <v>hustlingfacts</v>
      </c>
    </row>
    <row r="2557">
      <c r="A2557" s="8" t="str">
        <f>IFERROR(__xludf.DUMMYFUNCTION("""COMPUTED_VALUE"""),"inspiring.poet")</f>
        <v>inspiring.poet</v>
      </c>
    </row>
    <row r="2558">
      <c r="A2558" s="8" t="str">
        <f>IFERROR(__xludf.DUMMYFUNCTION("""COMPUTED_VALUE"""),"journeyinquote")</f>
        <v>journeyinquote</v>
      </c>
    </row>
    <row r="2559">
      <c r="A2559" s="8" t="str">
        <f>IFERROR(__xludf.DUMMYFUNCTION("""COMPUTED_VALUE"""),"lifequotes_2023")</f>
        <v>lifequotes_2023</v>
      </c>
    </row>
    <row r="2560">
      <c r="A2560" s="8" t="str">
        <f>IFERROR(__xludf.DUMMYFUNCTION("""COMPUTED_VALUE"""),"love.quotes")</f>
        <v>love.quotes</v>
      </c>
    </row>
    <row r="2561">
      <c r="A2561" s="8" t="str">
        <f>IFERROR(__xludf.DUMMYFUNCTION("""COMPUTED_VALUE"""),"moviequotes")</f>
        <v>moviequotes</v>
      </c>
    </row>
    <row r="2562">
      <c r="A2562" s="8" t="str">
        <f>IFERROR(__xludf.DUMMYFUNCTION("""COMPUTED_VALUE"""),"quoteoftheday")</f>
        <v>quoteoftheday</v>
      </c>
    </row>
    <row r="2563">
      <c r="A2563" s="8" t="str">
        <f>IFERROR(__xludf.DUMMYFUNCTION("""COMPUTED_VALUE"""),"quotes")</f>
        <v>quotes</v>
      </c>
    </row>
    <row r="2564">
      <c r="A2564" s="8" t="str">
        <f>IFERROR(__xludf.DUMMYFUNCTION("""COMPUTED_VALUE"""),"quotesbychristie")</f>
        <v>quotesbychristie</v>
      </c>
    </row>
    <row r="2565">
      <c r="A2565" s="8" t="str">
        <f>IFERROR(__xludf.DUMMYFUNCTION("""COMPUTED_VALUE"""),"realnessquote")</f>
        <v>realnessquote</v>
      </c>
    </row>
    <row r="2566">
      <c r="A2566" s="8" t="str">
        <f>IFERROR(__xludf.DUMMYFUNCTION("""COMPUTED_VALUE"""),"hotdudesreading")</f>
        <v>hotdudesreading</v>
      </c>
    </row>
    <row r="2567">
      <c r="A2567" s="8" t="str">
        <f>IFERROR(__xludf.DUMMYFUNCTION("""COMPUTED_VALUE"""),"officialrandl")</f>
        <v>officialrandl</v>
      </c>
    </row>
    <row r="2568">
      <c r="A2568" s="8" t="str">
        <f>IFERROR(__xludf.DUMMYFUNCTION("""COMPUTED_VALUE"""),"reading_rhythms")</f>
        <v>reading_rhythms</v>
      </c>
    </row>
    <row r="2569">
      <c r="A2569" s="8" t="str">
        <f>IFERROR(__xludf.DUMMYFUNCTION("""COMPUTED_VALUE"""),"readingsbooks")</f>
        <v>readingsbooks</v>
      </c>
    </row>
    <row r="2570">
      <c r="A2570" s="8" t="str">
        <f>IFERROR(__xludf.DUMMYFUNCTION("""COMPUTED_VALUE"""),"twins.reading.books")</f>
        <v>twins.reading.books</v>
      </c>
    </row>
    <row r="2571">
      <c r="A2571" s="8" t="str">
        <f>IFERROR(__xludf.DUMMYFUNCTION("""COMPUTED_VALUE"""),"4srealestate")</f>
        <v>4srealestate</v>
      </c>
    </row>
    <row r="2572">
      <c r="A2572" s="8" t="str">
        <f>IFERROR(__xludf.DUMMYFUNCTION("""COMPUTED_VALUE"""),"alasmakhrealestate")</f>
        <v>alasmakhrealestate</v>
      </c>
    </row>
    <row r="2573">
      <c r="A2573" s="8" t="str">
        <f>IFERROR(__xludf.DUMMYFUNCTION("""COMPUTED_VALUE"""),"baliexceptionsales")</f>
        <v>baliexceptionsales</v>
      </c>
    </row>
    <row r="2574">
      <c r="A2574" s="8" t="str">
        <f>IFERROR(__xludf.DUMMYFUNCTION("""COMPUTED_VALUE"""),"billionairehouse")</f>
        <v>billionairehouse</v>
      </c>
    </row>
    <row r="2575">
      <c r="A2575" s="8" t="str">
        <f>IFERROR(__xludf.DUMMYFUNCTION("""COMPUTED_VALUE"""),"heider_realestate")</f>
        <v>heider_realestate</v>
      </c>
    </row>
    <row r="2576">
      <c r="A2576" s="8" t="str">
        <f>IFERROR(__xludf.DUMMYFUNCTION("""COMPUTED_VALUE"""),"kretzfamilyrealestate")</f>
        <v>kretzfamilyrealestate</v>
      </c>
    </row>
    <row r="2577">
      <c r="A2577" s="8" t="str">
        <f>IFERROR(__xludf.DUMMYFUNCTION("""COMPUTED_VALUE"""),"levelrealestate")</f>
        <v>levelrealestate</v>
      </c>
    </row>
    <row r="2578">
      <c r="A2578" s="8" t="str">
        <f>IFERROR(__xludf.DUMMYFUNCTION("""COMPUTED_VALUE"""),"msj_real_estate")</f>
        <v>msj_real_estate</v>
      </c>
    </row>
    <row r="2579">
      <c r="A2579" s="8" t="str">
        <f>IFERROR(__xludf.DUMMYFUNCTION("""COMPUTED_VALUE"""),"realestateband")</f>
        <v>realestateband</v>
      </c>
    </row>
    <row r="2580">
      <c r="A2580" s="8" t="str">
        <f>IFERROR(__xludf.DUMMYFUNCTION("""COMPUTED_VALUE"""),"realestate_gabz")</f>
        <v>realestate_gabz</v>
      </c>
    </row>
    <row r="2581">
      <c r="A2581" s="8" t="str">
        <f>IFERROR(__xludf.DUMMYFUNCTION("""COMPUTED_VALUE"""),"realestateglobal")</f>
        <v>realestateglobal</v>
      </c>
    </row>
    <row r="2582">
      <c r="A2582" s="8" t="str">
        <f>IFERROR(__xludf.DUMMYFUNCTION("""COMPUTED_VALUE"""),"realestateskills")</f>
        <v>realestateskills</v>
      </c>
    </row>
    <row r="2583">
      <c r="A2583" s="11" t="str">
        <f>IFERROR(__xludf.DUMMYFUNCTION("""COMPUTED_VALUE"""),"realestates.tv")</f>
        <v>realestates.tv</v>
      </c>
    </row>
    <row r="2584">
      <c r="A2584" s="8" t="str">
        <f>IFERROR(__xludf.DUMMYFUNCTION("""COMPUTED_VALUE"""),"mallorcamagic")</f>
        <v>mallorcamagic</v>
      </c>
    </row>
    <row r="2585">
      <c r="A2585" s="8" t="str">
        <f>IFERROR(__xludf.DUMMYFUNCTION("""COMPUTED_VALUE"""),"pavan_realestate")</f>
        <v>pavan_realestate</v>
      </c>
    </row>
    <row r="2586">
      <c r="A2586" s="8" t="str">
        <f>IFERROR(__xludf.DUMMYFUNCTION("""COMPUTED_VALUE"""),"vancouver.realestatetips")</f>
        <v>vancouver.realestatetips</v>
      </c>
    </row>
    <row r="2587">
      <c r="A2587" s="8" t="str">
        <f>IFERROR(__xludf.DUMMYFUNCTION("""COMPUTED_VALUE"""),"2amheartbreaks")</f>
        <v>2amheartbreaks</v>
      </c>
    </row>
    <row r="2588">
      <c r="A2588" s="8" t="str">
        <f>IFERROR(__xludf.DUMMYFUNCTION("""COMPUTED_VALUE"""),"3ambreakup")</f>
        <v>3ambreakup</v>
      </c>
    </row>
    <row r="2589">
      <c r="A2589" s="8" t="str">
        <f>IFERROR(__xludf.DUMMYFUNCTION("""COMPUTED_VALUE"""),"advice")</f>
        <v>advice</v>
      </c>
    </row>
    <row r="2590">
      <c r="A2590" s="8" t="str">
        <f>IFERROR(__xludf.DUMMYFUNCTION("""COMPUTED_VALUE"""),"insta.single")</f>
        <v>insta.single</v>
      </c>
    </row>
    <row r="2591">
      <c r="A2591" s="8" t="str">
        <f>IFERROR(__xludf.DUMMYFUNCTION("""COMPUTED_VALUE"""),"pvorelatable")</f>
        <v>pvorelatable</v>
      </c>
    </row>
    <row r="2592">
      <c r="A2592" s="8" t="str">
        <f>IFERROR(__xludf.DUMMYFUNCTION("""COMPUTED_VALUE"""),"relatable")</f>
        <v>relatable</v>
      </c>
    </row>
    <row r="2593">
      <c r="A2593" s="8" t="str">
        <f>IFERROR(__xludf.DUMMYFUNCTION("""COMPUTED_VALUE"""),"relatablegirlspage")</f>
        <v>relatablegirlspage</v>
      </c>
    </row>
    <row r="2594">
      <c r="A2594" s="8" t="str">
        <f>IFERROR(__xludf.DUMMYFUNCTION("""COMPUTED_VALUE"""),"relatablegirlyfeed")</f>
        <v>relatablegirlyfeed</v>
      </c>
    </row>
    <row r="2595">
      <c r="A2595" s="8" t="str">
        <f>IFERROR(__xludf.DUMMYFUNCTION("""COMPUTED_VALUE"""),"relatableinsider")</f>
        <v>relatableinsider</v>
      </c>
    </row>
    <row r="2596">
      <c r="A2596" s="8" t="str">
        <f>IFERROR(__xludf.DUMMYFUNCTION("""COMPUTED_VALUE"""),"relatable_lore")</f>
        <v>relatable_lore</v>
      </c>
    </row>
    <row r="2597">
      <c r="A2597" s="8" t="str">
        <f>IFERROR(__xludf.DUMMYFUNCTION("""COMPUTED_VALUE"""),"relatablelovegoals")</f>
        <v>relatablelovegoals</v>
      </c>
    </row>
    <row r="2598">
      <c r="A2598" s="8" t="str">
        <f>IFERROR(__xludf.DUMMYFUNCTION("""COMPUTED_VALUE"""),"relatable.pepes")</f>
        <v>relatable.pepes</v>
      </c>
    </row>
    <row r="2599">
      <c r="A2599" s="8" t="str">
        <f>IFERROR(__xludf.DUMMYFUNCTION("""COMPUTED_VALUE"""),"relatables")</f>
        <v>relatables</v>
      </c>
    </row>
    <row r="2600">
      <c r="A2600" s="8" t="str">
        <f>IFERROR(__xludf.DUMMYFUNCTION("""COMPUTED_VALUE"""),"relatableworkstuff")</f>
        <v>relatableworkstuff</v>
      </c>
    </row>
    <row r="2601">
      <c r="A2601" s="8" t="str">
        <f>IFERROR(__xludf.DUMMYFUNCTION("""COMPUTED_VALUE"""),"therelatablewall")</f>
        <v>therelatablewall</v>
      </c>
    </row>
    <row r="2602">
      <c r="A2602" s="8" t="str">
        <f>IFERROR(__xludf.DUMMYFUNCTION("""COMPUTED_VALUE"""),"thetinderblog")</f>
        <v>thetinderblog</v>
      </c>
    </row>
    <row r="2603">
      <c r="A2603" s="8" t="str">
        <f>IFERROR(__xludf.DUMMYFUNCTION("""COMPUTED_VALUE"""),"corona__remix")</f>
        <v>corona__remix</v>
      </c>
    </row>
    <row r="2604">
      <c r="A2604" s="8" t="str">
        <f>IFERROR(__xludf.DUMMYFUNCTION("""COMPUTED_VALUE"""),"designersremix")</f>
        <v>designersremix</v>
      </c>
    </row>
    <row r="2605">
      <c r="A2605" s="8" t="str">
        <f>IFERROR(__xludf.DUMMYFUNCTION("""COMPUTED_VALUE"""),"dr.remix")</f>
        <v>dr.remix</v>
      </c>
    </row>
    <row r="2606">
      <c r="A2606" s="8" t="str">
        <f>IFERROR(__xludf.DUMMYFUNCTION("""COMPUTED_VALUE"""),"remix.blender")</f>
        <v>remix.blender</v>
      </c>
    </row>
    <row r="2607">
      <c r="A2607" s="8" t="str">
        <f>IFERROR(__xludf.DUMMYFUNCTION("""COMPUTED_VALUE"""),"remixliving")</f>
        <v>remixliving</v>
      </c>
    </row>
    <row r="2608">
      <c r="A2608" s="8" t="str">
        <f>IFERROR(__xludf.DUMMYFUNCTION("""COMPUTED_VALUE"""),"remixmarketnyc")</f>
        <v>remixmarketnyc</v>
      </c>
    </row>
    <row r="2609">
      <c r="A2609" s="8" t="str">
        <f>IFERROR(__xludf.DUMMYFUNCTION("""COMPUTED_VALUE"""),"remixsando")</f>
        <v>remixsando</v>
      </c>
    </row>
    <row r="2610">
      <c r="A2610" s="8" t="str">
        <f>IFERROR(__xludf.DUMMYFUNCTION("""COMPUTED_VALUE"""),"remixshop.official")</f>
        <v>remixshop.official</v>
      </c>
    </row>
    <row r="2611">
      <c r="A2611" s="8" t="str">
        <f>IFERROR(__xludf.DUMMYFUNCTION("""COMPUTED_VALUE"""),"remix.timee")</f>
        <v>remix.timee</v>
      </c>
    </row>
    <row r="2612">
      <c r="A2612" s="8" t="str">
        <f>IFERROR(__xludf.DUMMYFUNCTION("""COMPUTED_VALUE"""),"remix.tnt")</f>
        <v>remix.tnt</v>
      </c>
    </row>
    <row r="2613">
      <c r="A2613" s="8" t="str">
        <f>IFERROR(__xludf.DUMMYFUNCTION("""COMPUTED_VALUE"""),"remixzoo")</f>
        <v>remixzoo</v>
      </c>
    </row>
    <row r="2614">
      <c r="A2614" s="8" t="str">
        <f>IFERROR(__xludf.DUMMYFUNCTION("""COMPUTED_VALUE"""),"retroconsolesgaming")</f>
        <v>retroconsolesgaming</v>
      </c>
    </row>
    <row r="2615">
      <c r="A2615" s="8" t="str">
        <f>IFERROR(__xludf.DUMMYFUNCTION("""COMPUTED_VALUE"""),"retro_gaming")</f>
        <v>retro_gaming</v>
      </c>
    </row>
    <row r="2616">
      <c r="A2616" s="8" t="str">
        <f>IFERROR(__xludf.DUMMYFUNCTION("""COMPUTED_VALUE"""),"retrogamingdays")</f>
        <v>retrogamingdays</v>
      </c>
    </row>
    <row r="2617">
      <c r="A2617" s="8" t="str">
        <f>IFERROR(__xludf.DUMMYFUNCTION("""COMPUTED_VALUE"""),"retro_gamingpr")</f>
        <v>retro_gamingpr</v>
      </c>
    </row>
    <row r="2618">
      <c r="A2618" s="8" t="str">
        <f>IFERROR(__xludf.DUMMYFUNCTION("""COMPUTED_VALUE"""),"growleyreviews")</f>
        <v>growleyreviews</v>
      </c>
    </row>
    <row r="2619">
      <c r="A2619" s="8" t="str">
        <f>IFERROR(__xludf.DUMMYFUNCTION("""COMPUTED_VALUE"""),"jaskamreviews")</f>
        <v>jaskamreviews</v>
      </c>
    </row>
    <row r="2620">
      <c r="A2620" s="8" t="str">
        <f>IFERROR(__xludf.DUMMYFUNCTION("""COMPUTED_VALUE"""),"mobile_mama_reviews")</f>
        <v>mobile_mama_reviews</v>
      </c>
    </row>
    <row r="2621">
      <c r="A2621" s="8" t="str">
        <f>IFERROR(__xludf.DUMMYFUNCTION("""COMPUTED_VALUE"""),"officialrawreviews")</f>
        <v>officialrawreviews</v>
      </c>
    </row>
    <row r="2622">
      <c r="A2622" s="8" t="str">
        <f>IFERROR(__xludf.DUMMYFUNCTION("""COMPUTED_VALUE"""),"officialstickreviews")</f>
        <v>officialstickreviews</v>
      </c>
    </row>
    <row r="2623">
      <c r="A2623" s="8" t="str">
        <f>IFERROR(__xludf.DUMMYFUNCTION("""COMPUTED_VALUE"""),"ozzymanreviews")</f>
        <v>ozzymanreviews</v>
      </c>
    </row>
    <row r="2624">
      <c r="A2624" s="8" t="str">
        <f>IFERROR(__xludf.DUMMYFUNCTION("""COMPUTED_VALUE"""),"ravingreviews_")</f>
        <v>ravingreviews_</v>
      </c>
    </row>
    <row r="2625">
      <c r="A2625" s="8" t="str">
        <f>IFERROR(__xludf.DUMMYFUNCTION("""COMPUTED_VALUE"""),"reviews_with_naael")</f>
        <v>reviews_with_naael</v>
      </c>
    </row>
    <row r="2626">
      <c r="A2626" s="8" t="str">
        <f>IFERROR(__xludf.DUMMYFUNCTION("""COMPUTED_VALUE"""),"ryansrunningreviews")</f>
        <v>ryansrunningreviews</v>
      </c>
    </row>
    <row r="2627">
      <c r="A2627" s="8" t="str">
        <f>IFERROR(__xludf.DUMMYFUNCTION("""COMPUTED_VALUE"""),"sushisoulmate")</f>
        <v>sushisoulmate</v>
      </c>
    </row>
    <row r="2628">
      <c r="A2628" s="8" t="str">
        <f>IFERROR(__xludf.DUMMYFUNCTION("""COMPUTED_VALUE"""),"roadtrip021")</f>
        <v>roadtrip021</v>
      </c>
    </row>
    <row r="2629">
      <c r="A2629" s="8" t="str">
        <f>IFERROR(__xludf.DUMMYFUNCTION("""COMPUTED_VALUE"""),"road_trip964")</f>
        <v>road_trip964</v>
      </c>
    </row>
    <row r="2630">
      <c r="A2630" s="8" t="str">
        <f>IFERROR(__xludf.DUMMYFUNCTION("""COMPUTED_VALUE"""),"roadtripcolombia")</f>
        <v>roadtripcolombia</v>
      </c>
    </row>
    <row r="2631">
      <c r="A2631" s="8" t="str">
        <f>IFERROR(__xludf.DUMMYFUNCTION("""COMPUTED_VALUE"""),"roadtripmorocco")</f>
        <v>roadtripmorocco</v>
      </c>
    </row>
    <row r="2632">
      <c r="A2632" s="8" t="str">
        <f>IFERROR(__xludf.DUMMYFUNCTION("""COMPUTED_VALUE"""),"roadtrippin")</f>
        <v>roadtrippin</v>
      </c>
    </row>
    <row r="2633">
      <c r="A2633" s="8" t="str">
        <f>IFERROR(__xludf.DUMMYFUNCTION("""COMPUTED_VALUE"""),"roadtriptt")</f>
        <v>roadtriptt</v>
      </c>
    </row>
    <row r="2634">
      <c r="A2634" s="8" t="str">
        <f>IFERROR(__xludf.DUMMYFUNCTION("""COMPUTED_VALUE"""),"roadtrip.viandas")</f>
        <v>roadtrip.viandas</v>
      </c>
    </row>
    <row r="2635">
      <c r="A2635" s="8" t="str">
        <f>IFERROR(__xludf.DUMMYFUNCTION("""COMPUTED_VALUE"""),"daily_roblox_nigga")</f>
        <v>daily_roblox_nigga</v>
      </c>
    </row>
    <row r="2636">
      <c r="A2636" s="8" t="str">
        <f>IFERROR(__xludf.DUMMYFUNCTION("""COMPUTED_VALUE"""),"gamegururoblox")</f>
        <v>gamegururoblox</v>
      </c>
    </row>
    <row r="2637">
      <c r="A2637" s="8" t="str">
        <f>IFERROR(__xludf.DUMMYFUNCTION("""COMPUTED_VALUE"""),"roblox")</f>
        <v>roblox</v>
      </c>
    </row>
    <row r="2638">
      <c r="A2638" s="8" t="str">
        <f>IFERROR(__xludf.DUMMYFUNCTION("""COMPUTED_VALUE"""),"tonka_rbx")</f>
        <v>tonka_rbx</v>
      </c>
    </row>
    <row r="2639">
      <c r="A2639" s="8" t="str">
        <f>IFERROR(__xludf.DUMMYFUNCTION("""COMPUTED_VALUE"""),"beatrockmusic")</f>
        <v>beatrockmusic</v>
      </c>
    </row>
    <row r="2640">
      <c r="A2640" s="8" t="str">
        <f>IFERROR(__xludf.DUMMYFUNCTION("""COMPUTED_VALUE"""),"rockmusic")</f>
        <v>rockmusic</v>
      </c>
    </row>
    <row r="2641">
      <c r="A2641" s="8" t="str">
        <f>IFERROR(__xludf.DUMMYFUNCTION("""COMPUTED_VALUE"""),"rockmusic.ok")</f>
        <v>rockmusic.ok</v>
      </c>
    </row>
    <row r="2642">
      <c r="A2642" s="8" t="str">
        <f>IFERROR(__xludf.DUMMYFUNCTION("""COMPUTED_VALUE"""),"rockmusicreels")</f>
        <v>rockmusicreels</v>
      </c>
    </row>
    <row r="2643">
      <c r="A2643" s="8" t="str">
        <f>IFERROR(__xludf.DUMMYFUNCTION("""COMPUTED_VALUE"""),"rockmusicusa")</f>
        <v>rockmusicusa</v>
      </c>
    </row>
    <row r="2644">
      <c r="A2644" s="8" t="str">
        <f>IFERROR(__xludf.DUMMYFUNCTION("""COMPUTED_VALUE"""),"rock_station0")</f>
        <v>rock_station0</v>
      </c>
    </row>
    <row r="2645">
      <c r="A2645" s="8" t="str">
        <f>IFERROR(__xludf.DUMMYFUNCTION("""COMPUTED_VALUE"""),"rome")</f>
        <v>rome</v>
      </c>
    </row>
    <row r="2646">
      <c r="A2646" s="8" t="str">
        <f>IFERROR(__xludf.DUMMYFUNCTION("""COMPUTED_VALUE"""),"romeflynn")</f>
        <v>romeflynn</v>
      </c>
    </row>
    <row r="2647">
      <c r="A2647" s="8" t="str">
        <f>IFERROR(__xludf.DUMMYFUNCTION("""COMPUTED_VALUE"""),"romeismore")</f>
        <v>romeismore</v>
      </c>
    </row>
    <row r="2648">
      <c r="A2648" s="8" t="str">
        <f>IFERROR(__xludf.DUMMYFUNCTION("""COMPUTED_VALUE"""),"romelo")</f>
        <v>romelo</v>
      </c>
    </row>
    <row r="2649">
      <c r="A2649" s="8" t="str">
        <f>IFERROR(__xludf.DUMMYFUNCTION("""COMPUTED_VALUE"""),"rome_mna")</f>
        <v>rome_mna</v>
      </c>
    </row>
    <row r="2650">
      <c r="A2650" s="8" t="str">
        <f>IFERROR(__xludf.DUMMYFUNCTION("""COMPUTED_VALUE"""),"bokrugby")</f>
        <v>bokrugby</v>
      </c>
    </row>
    <row r="2651">
      <c r="A2651" s="8" t="str">
        <f>IFERROR(__xludf.DUMMYFUNCTION("""COMPUTED_VALUE"""),"condores.rugby")</f>
        <v>condores.rugby</v>
      </c>
    </row>
    <row r="2652">
      <c r="A2652" s="8" t="str">
        <f>IFERROR(__xludf.DUMMYFUNCTION("""COMPUTED_VALUE"""),"englandrugby")</f>
        <v>englandrugby</v>
      </c>
    </row>
    <row r="2653">
      <c r="A2653" s="8" t="str">
        <f>IFERROR(__xludf.DUMMYFUNCTION("""COMPUTED_VALUE"""),"ferugby")</f>
        <v>ferugby</v>
      </c>
    </row>
    <row r="2654">
      <c r="A2654" s="8" t="str">
        <f>IFERROR(__xludf.DUMMYFUNCTION("""COMPUTED_VALUE"""),"francerugby")</f>
        <v>francerugby</v>
      </c>
    </row>
    <row r="2655">
      <c r="A2655" s="8" t="str">
        <f>IFERROR(__xludf.DUMMYFUNCTION("""COMPUTED_VALUE"""),"officialkru")</f>
        <v>officialkru</v>
      </c>
    </row>
    <row r="2656">
      <c r="A2656" s="8" t="str">
        <f>IFERROR(__xludf.DUMMYFUNCTION("""COMPUTED_VALUE"""),"orugby")</f>
        <v>orugby</v>
      </c>
    </row>
    <row r="2657">
      <c r="A2657" s="8" t="str">
        <f>IFERROR(__xludf.DUMMYFUNCTION("""COMPUTED_VALUE"""),"rugby_brexit")</f>
        <v>rugby_brexit</v>
      </c>
    </row>
    <row r="2658">
      <c r="A2658" s="8" t="str">
        <f>IFERROR(__xludf.DUMMYFUNCTION("""COMPUTED_VALUE"""),"rugbypass")</f>
        <v>rugbypass</v>
      </c>
    </row>
    <row r="2659">
      <c r="A2659" s="8" t="str">
        <f>IFERROR(__xludf.DUMMYFUNCTION("""COMPUTED_VALUE"""),"rugbyworldcup")</f>
        <v>rugbyworldcup</v>
      </c>
    </row>
    <row r="2660">
      <c r="A2660" s="8" t="str">
        <f>IFERROR(__xludf.DUMMYFUNCTION("""COMPUTED_VALUE"""),"stadetoulousainrugby")</f>
        <v>stadetoulousainrugby</v>
      </c>
    </row>
    <row r="2661">
      <c r="A2661" s="8" t="str">
        <f>IFERROR(__xludf.DUMMYFUNCTION("""COMPUTED_VALUE"""),"uru_oficial")</f>
        <v>uru_oficial</v>
      </c>
    </row>
    <row r="2662">
      <c r="A2662" s="8" t="str">
        <f>IFERROR(__xludf.DUMMYFUNCTION("""COMPUTED_VALUE"""),"worldrugby")</f>
        <v>worldrugby</v>
      </c>
    </row>
    <row r="2663">
      <c r="A2663" s="8" t="str">
        <f>IFERROR(__xludf.DUMMYFUNCTION("""COMPUTED_VALUE"""),"adidasrunning")</f>
        <v>adidasrunning</v>
      </c>
    </row>
    <row r="2664">
      <c r="A2664" s="8" t="str">
        <f>IFERROR(__xludf.DUMMYFUNCTION("""COMPUTED_VALUE"""),"nikerunning")</f>
        <v>nikerunning</v>
      </c>
    </row>
    <row r="2665">
      <c r="A2665" s="8" t="str">
        <f>IFERROR(__xludf.DUMMYFUNCTION("""COMPUTED_VALUE"""),"runna")</f>
        <v>runna</v>
      </c>
    </row>
    <row r="2666">
      <c r="A2666" s="8" t="str">
        <f>IFERROR(__xludf.DUMMYFUNCTION("""COMPUTED_VALUE"""),"running")</f>
        <v>running</v>
      </c>
    </row>
    <row r="2667">
      <c r="A2667" s="8" t="str">
        <f>IFERROR(__xludf.DUMMYFUNCTION("""COMPUTED_VALUE"""),"runningability")</f>
        <v>runningability</v>
      </c>
    </row>
    <row r="2668">
      <c r="A2668" s="8" t="str">
        <f>IFERROR(__xludf.DUMMYFUNCTION("""COMPUTED_VALUE"""),"running_es")</f>
        <v>running_es</v>
      </c>
    </row>
    <row r="2669">
      <c r="A2669" s="8" t="str">
        <f>IFERROR(__xludf.DUMMYFUNCTION("""COMPUTED_VALUE"""),"runningfervor")</f>
        <v>runningfervor</v>
      </c>
    </row>
    <row r="2670">
      <c r="A2670" s="8" t="str">
        <f>IFERROR(__xludf.DUMMYFUNCTION("""COMPUTED_VALUE"""),"salomonrunning")</f>
        <v>salomonrunning</v>
      </c>
    </row>
    <row r="2671">
      <c r="A2671" s="8" t="str">
        <f>IFERROR(__xludf.DUMMYFUNCTION("""COMPUTED_VALUE"""),"therunningeffect")</f>
        <v>therunningeffect</v>
      </c>
    </row>
    <row r="2672">
      <c r="A2672" s="8" t="str">
        <f>IFERROR(__xludf.DUMMYFUNCTION("""COMPUTED_VALUE"""),"top4running")</f>
        <v>top4running</v>
      </c>
    </row>
    <row r="2673">
      <c r="A2673" s="8" t="str">
        <f>IFERROR(__xludf.DUMMYFUNCTION("""COMPUTED_VALUE"""),"worlderunners")</f>
        <v>worlderunners</v>
      </c>
    </row>
    <row r="2674">
      <c r="A2674" s="8" t="str">
        <f>IFERROR(__xludf.DUMMYFUNCTION("""COMPUTED_VALUE"""),"moral__apostel")</f>
        <v>moral__apostel</v>
      </c>
    </row>
    <row r="2675">
      <c r="A2675" s="8" t="str">
        <f>IFERROR(__xludf.DUMMYFUNCTION("""COMPUTED_VALUE"""),"satired")</f>
        <v>satired</v>
      </c>
    </row>
    <row r="2676">
      <c r="A2676" s="8" t="str">
        <f>IFERROR(__xludf.DUMMYFUNCTION("""COMPUTED_VALUE"""),"satirehub")</f>
        <v>satirehub</v>
      </c>
    </row>
    <row r="2677">
      <c r="A2677" s="8" t="str">
        <f>IFERROR(__xludf.DUMMYFUNCTION("""COMPUTED_VALUE"""),"satiresportsnews")</f>
        <v>satiresportsnews</v>
      </c>
    </row>
    <row r="2678">
      <c r="A2678" s="8" t="str">
        <f>IFERROR(__xludf.DUMMYFUNCTION("""COMPUTED_VALUE"""),"satisfingi")</f>
        <v>satisfingi</v>
      </c>
    </row>
    <row r="2679">
      <c r="A2679" s="8" t="str">
        <f>IFERROR(__xludf.DUMMYFUNCTION("""COMPUTED_VALUE"""),"satisfying_1a1")</f>
        <v>satisfying_1a1</v>
      </c>
    </row>
    <row r="2680">
      <c r="A2680" s="8" t="str">
        <f>IFERROR(__xludf.DUMMYFUNCTION("""COMPUTED_VALUE"""),"satisfying.lawn")</f>
        <v>satisfying.lawn</v>
      </c>
    </row>
    <row r="2681">
      <c r="A2681" s="8" t="str">
        <f>IFERROR(__xludf.DUMMYFUNCTION("""COMPUTED_VALUE"""),"satisfying.slices.asmr")</f>
        <v>satisfying.slices.asmr</v>
      </c>
    </row>
    <row r="2682">
      <c r="A2682" s="8" t="str">
        <f>IFERROR(__xludf.DUMMYFUNCTION("""COMPUTED_VALUE"""),"satisfyingusa")</f>
        <v>satisfyingusa</v>
      </c>
    </row>
    <row r="2683">
      <c r="A2683" s="8" t="str">
        <f>IFERROR(__xludf.DUMMYFUNCTION("""COMPUTED_VALUE"""),"satisfying.video")</f>
        <v>satisfying.video</v>
      </c>
    </row>
    <row r="2684">
      <c r="A2684" s="8" t="str">
        <f>IFERROR(__xludf.DUMMYFUNCTION("""COMPUTED_VALUE"""),"satisfying.x.lips")</f>
        <v>satisfying.x.lips</v>
      </c>
    </row>
    <row r="2685">
      <c r="A2685" s="11" t="str">
        <f>IFERROR(__xludf.DUMMYFUNCTION("""COMPUTED_VALUE"""),"satisfying.xyz")</f>
        <v>satisfying.xyz</v>
      </c>
    </row>
    <row r="2686">
      <c r="A2686" s="8" t="str">
        <f>IFERROR(__xludf.DUMMYFUNCTION("""COMPUTED_VALUE"""),"satisfying_y")</f>
        <v>satisfying_y</v>
      </c>
    </row>
    <row r="2687">
      <c r="A2687" s="8" t="str">
        <f>IFERROR(__xludf.DUMMYFUNCTION("""COMPUTED_VALUE"""),"asaya.sculpture")</f>
        <v>asaya.sculpture</v>
      </c>
    </row>
    <row r="2688">
      <c r="A2688" s="8" t="str">
        <f>IFERROR(__xludf.DUMMYFUNCTION("""COMPUTED_VALUE"""),"bmsculptures")</f>
        <v>bmsculptures</v>
      </c>
    </row>
    <row r="2689">
      <c r="A2689" s="8" t="str">
        <f>IFERROR(__xludf.DUMMYFUNCTION("""COMPUTED_VALUE"""),"customsculpturefactory")</f>
        <v>customsculpturefactory</v>
      </c>
    </row>
    <row r="2690">
      <c r="A2690" s="8" t="str">
        <f>IFERROR(__xludf.DUMMYFUNCTION("""COMPUTED_VALUE"""),"fageras_sculpture")</f>
        <v>fageras_sculpture</v>
      </c>
    </row>
    <row r="2691">
      <c r="A2691" s="8" t="str">
        <f>IFERROR(__xludf.DUMMYFUNCTION("""COMPUTED_VALUE"""),"jack_eagan_sculpture")</f>
        <v>jack_eagan_sculpture</v>
      </c>
    </row>
    <row r="2692">
      <c r="A2692" s="8" t="str">
        <f>IFERROR(__xludf.DUMMYFUNCTION("""COMPUTED_VALUE"""),"jordanspriggsculptures")</f>
        <v>jordanspriggsculptures</v>
      </c>
    </row>
    <row r="2693">
      <c r="A2693" s="8" t="str">
        <f>IFERROR(__xludf.DUMMYFUNCTION("""COMPUTED_VALUE"""),"jt_sculptures")</f>
        <v>jt_sculptures</v>
      </c>
    </row>
    <row r="2694">
      <c r="A2694" s="8" t="str">
        <f>IFERROR(__xludf.DUMMYFUNCTION("""COMPUTED_VALUE"""),"nickbibbysculpture")</f>
        <v>nickbibbysculpture</v>
      </c>
    </row>
    <row r="2695">
      <c r="A2695" s="8" t="str">
        <f>IFERROR(__xludf.DUMMYFUNCTION("""COMPUTED_VALUE"""),"sculpt_artwork")</f>
        <v>sculpt_artwork</v>
      </c>
    </row>
    <row r="2696">
      <c r="A2696" s="8" t="str">
        <f>IFERROR(__xludf.DUMMYFUNCTION("""COMPUTED_VALUE"""),"sculpture_artstudio")</f>
        <v>sculpture_artstudio</v>
      </c>
    </row>
    <row r="2697">
      <c r="A2697" s="8" t="str">
        <f>IFERROR(__xludf.DUMMYFUNCTION("""COMPUTED_VALUE"""),"sculpturecenter")</f>
        <v>sculpturecenter</v>
      </c>
    </row>
    <row r="2698">
      <c r="A2698" s="8" t="str">
        <f>IFERROR(__xludf.DUMMYFUNCTION("""COMPUTED_VALUE"""),"sculptureinthecity")</f>
        <v>sculptureinthecity</v>
      </c>
    </row>
    <row r="2699">
      <c r="A2699" s="8" t="str">
        <f>IFERROR(__xludf.DUMMYFUNCTION("""COMPUTED_VALUE"""),"sculpture_now")</f>
        <v>sculpture_now</v>
      </c>
    </row>
    <row r="2700">
      <c r="A2700" s="8" t="str">
        <f>IFERROR(__xludf.DUMMYFUNCTION("""COMPUTED_VALUE"""),"lookingforgloww")</f>
        <v>lookingforgloww</v>
      </c>
    </row>
    <row r="2701">
      <c r="A2701" s="8" t="str">
        <f>IFERROR(__xludf.DUMMYFUNCTION("""COMPUTED_VALUE"""),"molly.laflare")</f>
        <v>molly.laflare</v>
      </c>
    </row>
    <row r="2702">
      <c r="A2702" s="8" t="str">
        <f>IFERROR(__xludf.DUMMYFUNCTION("""COMPUTED_VALUE"""),"oh.selfcare")</f>
        <v>oh.selfcare</v>
      </c>
    </row>
    <row r="2703">
      <c r="A2703" s="8" t="str">
        <f>IFERROR(__xludf.DUMMYFUNCTION("""COMPUTED_VALUE"""),"selfcare")</f>
        <v>selfcare</v>
      </c>
    </row>
    <row r="2704">
      <c r="A2704" s="8" t="str">
        <f>IFERROR(__xludf.DUMMYFUNCTION("""COMPUTED_VALUE"""),"selfcareforheart")</f>
        <v>selfcareforheart</v>
      </c>
    </row>
    <row r="2705">
      <c r="A2705" s="8" t="str">
        <f>IFERROR(__xludf.DUMMYFUNCTION("""COMPUTED_VALUE"""),"selfcareisanecessity_")</f>
        <v>selfcareisanecessity_</v>
      </c>
    </row>
    <row r="2706">
      <c r="A2706" s="8" t="str">
        <f>IFERROR(__xludf.DUMMYFUNCTION("""COMPUTED_VALUE"""),"selfcareisapriority")</f>
        <v>selfcareisapriority</v>
      </c>
    </row>
    <row r="2707">
      <c r="A2707" s="8" t="str">
        <f>IFERROR(__xludf.DUMMYFUNCTION("""COMPUTED_VALUE"""),"selfcareisforeveryone")</f>
        <v>selfcareisforeveryone</v>
      </c>
    </row>
    <row r="2708">
      <c r="A2708" s="8" t="str">
        <f>IFERROR(__xludf.DUMMYFUNCTION("""COMPUTED_VALUE"""),"selfcarenoon")</f>
        <v>selfcarenoon</v>
      </c>
    </row>
    <row r="2709">
      <c r="A2709" s="8" t="str">
        <f>IFERROR(__xludf.DUMMYFUNCTION("""COMPUTED_VALUE"""),"selfcare.recipe")</f>
        <v>selfcare.recipe</v>
      </c>
    </row>
    <row r="2710">
      <c r="A2710" s="8" t="str">
        <f>IFERROR(__xludf.DUMMYFUNCTION("""COMPUTED_VALUE"""),"selfcarespotlight")</f>
        <v>selfcarespotlight</v>
      </c>
    </row>
    <row r="2711">
      <c r="A2711" s="8" t="str">
        <f>IFERROR(__xludf.DUMMYFUNCTION("""COMPUTED_VALUE"""),"selfcarewithnandu")</f>
        <v>selfcarewithnandu</v>
      </c>
    </row>
    <row r="2712">
      <c r="A2712" s="8" t="str">
        <f>IFERROR(__xludf.DUMMYFUNCTION("""COMPUTED_VALUE"""),"selfcarewithwall")</f>
        <v>selfcarewithwall</v>
      </c>
    </row>
    <row r="2713">
      <c r="A2713" s="8" t="str">
        <f>IFERROR(__xludf.DUMMYFUNCTION("""COMPUTED_VALUE"""),"selfcarexpuffs")</f>
        <v>selfcarexpuffs</v>
      </c>
    </row>
    <row r="2714">
      <c r="A2714" s="8" t="str">
        <f>IFERROR(__xludf.DUMMYFUNCTION("""COMPUTED_VALUE"""),"selfcareisajourney")</f>
        <v>selfcareisajourney</v>
      </c>
    </row>
    <row r="2715">
      <c r="A2715" s="8" t="str">
        <f>IFERROR(__xludf.DUMMYFUNCTION("""COMPUTED_VALUE"""),"lets_improveourselves")</f>
        <v>lets_improveourselves</v>
      </c>
    </row>
    <row r="2716">
      <c r="A2716" s="8" t="str">
        <f>IFERROR(__xludf.DUMMYFUNCTION("""COMPUTED_VALUE"""),"mainlyentrepreneur")</f>
        <v>mainlyentrepreneur</v>
      </c>
    </row>
    <row r="2717">
      <c r="A2717" s="8" t="str">
        <f>IFERROR(__xludf.DUMMYFUNCTION("""COMPUTED_VALUE"""),"moisfearless")</f>
        <v>moisfearless</v>
      </c>
    </row>
    <row r="2718">
      <c r="A2718" s="8" t="str">
        <f>IFERROR(__xludf.DUMMYFUNCTION("""COMPUTED_VALUE"""),"motivatebillionair")</f>
        <v>motivatebillionair</v>
      </c>
    </row>
    <row r="2719">
      <c r="A2719" s="8" t="str">
        <f>IFERROR(__xludf.DUMMYFUNCTION("""COMPUTED_VALUE"""),"motivate.wise")</f>
        <v>motivate.wise</v>
      </c>
    </row>
    <row r="2720">
      <c r="A2720" s="8" t="str">
        <f>IFERROR(__xludf.DUMMYFUNCTION("""COMPUTED_VALUE"""),"reach.potencial")</f>
        <v>reach.potencial</v>
      </c>
    </row>
    <row r="2721">
      <c r="A2721" s="8" t="str">
        <f>IFERROR(__xludf.DUMMYFUNCTION("""COMPUTED_VALUE"""),"self.improvementgrowth")</f>
        <v>self.improvementgrowth</v>
      </c>
    </row>
    <row r="2722">
      <c r="A2722" s="8" t="str">
        <f>IFERROR(__xludf.DUMMYFUNCTION("""COMPUTED_VALUE"""),"selfimprovement.hive")</f>
        <v>selfimprovement.hive</v>
      </c>
    </row>
    <row r="2723">
      <c r="A2723" s="11" t="str">
        <f>IFERROR(__xludf.DUMMYFUNCTION("""COMPUTED_VALUE"""),"selfimprovementtips.in")</f>
        <v>selfimprovementtips.in</v>
      </c>
    </row>
    <row r="2724">
      <c r="A2724" s="8" t="str">
        <f>IFERROR(__xludf.DUMMYFUNCTION("""COMPUTED_VALUE"""),"stoicsandstoicism")</f>
        <v>stoicsandstoicism</v>
      </c>
    </row>
    <row r="2725">
      <c r="A2725" s="8" t="str">
        <f>IFERROR(__xludf.DUMMYFUNCTION("""COMPUTED_VALUE"""),"thatgirlgrow")</f>
        <v>thatgirlgrow</v>
      </c>
    </row>
    <row r="2726">
      <c r="A2726" s="8" t="str">
        <f>IFERROR(__xludf.DUMMYFUNCTION("""COMPUTED_VALUE"""),"ultiself")</f>
        <v>ultiself</v>
      </c>
    </row>
    <row r="2727">
      <c r="A2727" s="8" t="str">
        <f>IFERROR(__xludf.DUMMYFUNCTION("""COMPUTED_VALUE"""),"egg_seoul")</f>
        <v>egg_seoul</v>
      </c>
    </row>
    <row r="2728">
      <c r="A2728" s="8" t="str">
        <f>IFERROR(__xludf.DUMMYFUNCTION("""COMPUTED_VALUE"""),"finz.seoul")</f>
        <v>finz.seoul</v>
      </c>
    </row>
    <row r="2729">
      <c r="A2729" s="8" t="str">
        <f>IFERROR(__xludf.DUMMYFUNCTION("""COMPUTED_VALUE"""),"honeybeeseoul")</f>
        <v>honeybeeseoul</v>
      </c>
    </row>
    <row r="2730">
      <c r="A2730" s="8" t="str">
        <f>IFERROR(__xludf.DUMMYFUNCTION("""COMPUTED_VALUE"""),"mwm_seoul")</f>
        <v>mwm_seoul</v>
      </c>
    </row>
    <row r="2731">
      <c r="A2731" s="8" t="str">
        <f>IFERROR(__xludf.DUMMYFUNCTION("""COMPUTED_VALUE"""),"ofrseoul")</f>
        <v>ofrseoul</v>
      </c>
    </row>
    <row r="2732">
      <c r="A2732" s="8" t="str">
        <f>IFERROR(__xludf.DUMMYFUNCTION("""COMPUTED_VALUE"""),"seoul")</f>
        <v>seoul</v>
      </c>
    </row>
    <row r="2733">
      <c r="A2733" s="8" t="str">
        <f>IFERROR(__xludf.DUMMYFUNCTION("""COMPUTED_VALUE"""),"seoul.go")</f>
        <v>seoul.go</v>
      </c>
    </row>
    <row r="2734">
      <c r="A2734" s="8" t="str">
        <f>IFERROR(__xludf.DUMMYFUNCTION("""COMPUTED_VALUE"""),"_seoulhotplace")</f>
        <v>_seoulhotplace</v>
      </c>
    </row>
    <row r="2735">
      <c r="A2735" s="8" t="str">
        <f>IFERROR(__xludf.DUMMYFUNCTION("""COMPUTED_VALUE"""),"seoul_official")</f>
        <v>seoul_official</v>
      </c>
    </row>
    <row r="2736">
      <c r="A2736" s="8" t="str">
        <f>IFERROR(__xludf.DUMMYFUNCTION("""COMPUTED_VALUE"""),"seoul.southkorea")</f>
        <v>seoul.southkorea</v>
      </c>
    </row>
    <row r="2737">
      <c r="A2737" s="8" t="str">
        <f>IFERROR(__xludf.DUMMYFUNCTION("""COMPUTED_VALUE"""),"unas_seoul")</f>
        <v>unas_seoul</v>
      </c>
    </row>
    <row r="2738">
      <c r="A2738" s="8" t="str">
        <f>IFERROR(__xludf.DUMMYFUNCTION("""COMPUTED_VALUE"""),"zenzero.seoul")</f>
        <v>zenzero.seoul</v>
      </c>
    </row>
    <row r="2739">
      <c r="A2739" s="11" t="str">
        <f>IFERROR(__xludf.DUMMYFUNCTION("""COMPUTED_VALUE"""),"boutique_shopping.id")</f>
        <v>boutique_shopping.id</v>
      </c>
    </row>
    <row r="2740">
      <c r="A2740" s="8" t="str">
        <f>IFERROR(__xludf.DUMMYFUNCTION("""COMPUTED_VALUE"""),"hno.shopping")</f>
        <v>hno.shopping</v>
      </c>
    </row>
    <row r="2741">
      <c r="A2741" s="8" t="str">
        <f>IFERROR(__xludf.DUMMYFUNCTION("""COMPUTED_VALUE"""),"hussin.high.brands")</f>
        <v>hussin.high.brands</v>
      </c>
    </row>
    <row r="2742">
      <c r="A2742" s="8" t="str">
        <f>IFERROR(__xludf.DUMMYFUNCTION("""COMPUTED_VALUE"""),"jooj_shopping")</f>
        <v>jooj_shopping</v>
      </c>
    </row>
    <row r="2743">
      <c r="A2743" s="8" t="str">
        <f>IFERROR(__xludf.DUMMYFUNCTION("""COMPUTED_VALUE"""),"oriundi.shopping")</f>
        <v>oriundi.shopping</v>
      </c>
    </row>
    <row r="2744">
      <c r="A2744" s="8" t="str">
        <f>IFERROR(__xludf.DUMMYFUNCTION("""COMPUTED_VALUE"""),"shopping")</f>
        <v>shopping</v>
      </c>
    </row>
    <row r="2745">
      <c r="A2745" s="8" t="str">
        <f>IFERROR(__xludf.DUMMYFUNCTION("""COMPUTED_VALUE"""),"shopping20cda")</f>
        <v>shopping20cda</v>
      </c>
    </row>
    <row r="2746">
      <c r="A2746" s="8" t="str">
        <f>IFERROR(__xludf.DUMMYFUNCTION("""COMPUTED_VALUE"""),"shoppingaquicg")</f>
        <v>shoppingaquicg</v>
      </c>
    </row>
    <row r="2747">
      <c r="A2747" s="8" t="str">
        <f>IFERROR(__xludf.DUMMYFUNCTION("""COMPUTED_VALUE"""),"shopping.show13")</f>
        <v>shopping.show13</v>
      </c>
    </row>
    <row r="2748">
      <c r="A2748" s="8" t="str">
        <f>IFERROR(__xludf.DUMMYFUNCTION("""COMPUTED_VALUE"""),"shopping.soka")</f>
        <v>shopping.soka</v>
      </c>
    </row>
    <row r="2749">
      <c r="A2749" s="8" t="str">
        <f>IFERROR(__xludf.DUMMYFUNCTION("""COMPUTED_VALUE"""),"shoppingvilavelha")</f>
        <v>shoppingvilavelha</v>
      </c>
    </row>
    <row r="2750">
      <c r="A2750" s="8" t="str">
        <f>IFERROR(__xludf.DUMMYFUNCTION("""COMPUTED_VALUE"""),"shoppingvitoria")</f>
        <v>shoppingvitoria</v>
      </c>
    </row>
    <row r="2751">
      <c r="A2751" s="8" t="str">
        <f>IFERROR(__xludf.DUMMYFUNCTION("""COMPUTED_VALUE"""),"title.shopping")</f>
        <v>title.shopping</v>
      </c>
    </row>
    <row r="2752">
      <c r="A2752" s="8" t="str">
        <f>IFERROR(__xludf.DUMMYFUNCTION("""COMPUTED_VALUE"""),"vogueshopping")</f>
        <v>vogueshopping</v>
      </c>
    </row>
    <row r="2753">
      <c r="A2753" s="8" t="str">
        <f>IFERROR(__xludf.DUMMYFUNCTION("""COMPUTED_VALUE"""),"global.siblings")</f>
        <v>global.siblings</v>
      </c>
    </row>
    <row r="2754">
      <c r="A2754" s="8" t="str">
        <f>IFERROR(__xludf.DUMMYFUNCTION("""COMPUTED_VALUE"""),"_siblingscafe")</f>
        <v>_siblingscafe</v>
      </c>
    </row>
    <row r="2755">
      <c r="A2755" s="8" t="str">
        <f>IFERROR(__xludf.DUMMYFUNCTION("""COMPUTED_VALUE"""),"siblings_kirra")</f>
        <v>siblings_kirra</v>
      </c>
    </row>
    <row r="2756">
      <c r="A2756" s="8" t="str">
        <f>IFERROR(__xludf.DUMMYFUNCTION("""COMPUTED_VALUE"""),"siblingsordating")</f>
        <v>siblingsordating</v>
      </c>
    </row>
    <row r="2757">
      <c r="A2757" s="8" t="str">
        <f>IFERROR(__xludf.DUMMYFUNCTION("""COMPUTED_VALUE"""),"trakul_the_siblings_official")</f>
        <v>trakul_the_siblings_official</v>
      </c>
    </row>
    <row r="2758">
      <c r="A2758" s="11" t="str">
        <f>IFERROR(__xludf.DUMMYFUNCTION("""COMPUTED_VALUE"""),"mr.sidehustle.co")</f>
        <v>mr.sidehustle.co</v>
      </c>
    </row>
    <row r="2759">
      <c r="A2759" s="8" t="str">
        <f>IFERROR(__xludf.DUMMYFUNCTION("""COMPUTED_VALUE"""),"sidehustle_bar")</f>
        <v>sidehustle_bar</v>
      </c>
    </row>
    <row r="2760">
      <c r="A2760" s="8" t="str">
        <f>IFERROR(__xludf.DUMMYFUNCTION("""COMPUTED_VALUE"""),"sidehustlebible")</f>
        <v>sidehustlebible</v>
      </c>
    </row>
    <row r="2761">
      <c r="A2761" s="8" t="str">
        <f>IFERROR(__xludf.DUMMYFUNCTION("""COMPUTED_VALUE"""),"sidehustle_daily")</f>
        <v>sidehustle_daily</v>
      </c>
    </row>
    <row r="2762">
      <c r="A2762" s="8" t="str">
        <f>IFERROR(__xludf.DUMMYFUNCTION("""COMPUTED_VALUE"""),"sidehustleja_")</f>
        <v>sidehustleja_</v>
      </c>
    </row>
    <row r="2763">
      <c r="A2763" s="8" t="str">
        <f>IFERROR(__xludf.DUMMYFUNCTION("""COMPUTED_VALUE"""),"sidehustlelegends")</f>
        <v>sidehustlelegends</v>
      </c>
    </row>
    <row r="2764">
      <c r="A2764" s="8" t="str">
        <f>IFERROR(__xludf.DUMMYFUNCTION("""COMPUTED_VALUE"""),"side.hustlereview")</f>
        <v>side.hustlereview</v>
      </c>
    </row>
    <row r="2765">
      <c r="A2765" s="8" t="str">
        <f>IFERROR(__xludf.DUMMYFUNCTION("""COMPUTED_VALUE"""),"sidehustlesnackbar")</f>
        <v>sidehustlesnackbar</v>
      </c>
    </row>
    <row r="2766">
      <c r="A2766" s="8" t="str">
        <f>IFERROR(__xludf.DUMMYFUNCTION("""COMPUTED_VALUE"""),"womensidehustle")</f>
        <v>womensidehustle</v>
      </c>
    </row>
    <row r="2767">
      <c r="A2767" s="8" t="str">
        <f>IFERROR(__xludf.DUMMYFUNCTION("""COMPUTED_VALUE"""),"cher_massi_")</f>
        <v>cher_massi_</v>
      </c>
    </row>
    <row r="2768">
      <c r="A2768" s="8" t="str">
        <f>IFERROR(__xludf.DUMMYFUNCTION("""COMPUTED_VALUE"""),"pmtsketch")</f>
        <v>pmtsketch</v>
      </c>
    </row>
    <row r="2769">
      <c r="A2769" s="8" t="str">
        <f>IFERROR(__xludf.DUMMYFUNCTION("""COMPUTED_VALUE"""),"sketchatjo")</f>
        <v>sketchatjo</v>
      </c>
    </row>
    <row r="2770">
      <c r="A2770" s="8" t="str">
        <f>IFERROR(__xludf.DUMMYFUNCTION("""COMPUTED_VALUE"""),"sketch_collector")</f>
        <v>sketch_collector</v>
      </c>
    </row>
    <row r="2771">
      <c r="A2771" s="8" t="str">
        <f>IFERROR(__xludf.DUMMYFUNCTION("""COMPUTED_VALUE"""),"sketch_dailydose")</f>
        <v>sketch_dailydose</v>
      </c>
    </row>
    <row r="2772">
      <c r="A2772" s="8" t="str">
        <f>IFERROR(__xludf.DUMMYFUNCTION("""COMPUTED_VALUE"""),"sketches_of_sofia")</f>
        <v>sketches_of_sofia</v>
      </c>
    </row>
    <row r="2773">
      <c r="A2773" s="8" t="str">
        <f>IFERROR(__xludf.DUMMYFUNCTION("""COMPUTED_VALUE"""),"sketchlondon")</f>
        <v>sketchlondon</v>
      </c>
    </row>
    <row r="2774">
      <c r="A2774" s="8" t="str">
        <f>IFERROR(__xludf.DUMMYFUNCTION("""COMPUTED_VALUE"""),"sketchreppinink")</f>
        <v>sketchreppinink</v>
      </c>
    </row>
    <row r="2775">
      <c r="A2775" s="8" t="str">
        <f>IFERROR(__xludf.DUMMYFUNCTION("""COMPUTED_VALUE"""),"skvtch")</f>
        <v>skvtch</v>
      </c>
    </row>
    <row r="2776">
      <c r="A2776" s="8" t="str">
        <f>IFERROR(__xludf.DUMMYFUNCTION("""COMPUTED_VALUE"""),"thesketchreal")</f>
        <v>thesketchreal</v>
      </c>
    </row>
    <row r="2777">
      <c r="A2777" s="8" t="str">
        <f>IFERROR(__xludf.DUMMYFUNCTION("""COMPUTED_VALUE"""),"afterdark_sketchcomedy")</f>
        <v>afterdark_sketchcomedy</v>
      </c>
    </row>
    <row r="2778">
      <c r="A2778" s="8" t="str">
        <f>IFERROR(__xludf.DUMMYFUNCTION("""COMPUTED_VALUE"""),"daily_sketchbook_")</f>
        <v>daily_sketchbook_</v>
      </c>
    </row>
    <row r="2779">
      <c r="A2779" s="8" t="str">
        <f>IFERROR(__xludf.DUMMYFUNCTION("""COMPUTED_VALUE"""),"o_mary__")</f>
        <v>o_mary__</v>
      </c>
    </row>
    <row r="2780">
      <c r="A2780" s="8" t="str">
        <f>IFERROR(__xludf.DUMMYFUNCTION("""COMPUTED_VALUE"""),"sketchedbysiena")</f>
        <v>sketchedbysiena</v>
      </c>
    </row>
    <row r="2781">
      <c r="A2781" s="8" t="str">
        <f>IFERROR(__xludf.DUMMYFUNCTION("""COMPUTED_VALUE"""),"sketching_jeforel")</f>
        <v>sketching_jeforel</v>
      </c>
    </row>
    <row r="2782">
      <c r="A2782" s="8" t="str">
        <f>IFERROR(__xludf.DUMMYFUNCTION("""COMPUTED_VALUE"""),"sketchingscottie")</f>
        <v>sketchingscottie</v>
      </c>
    </row>
    <row r="2783">
      <c r="A2783" s="8" t="str">
        <f>IFERROR(__xludf.DUMMYFUNCTION("""COMPUTED_VALUE"""),"diamondskiing")</f>
        <v>diamondskiing</v>
      </c>
    </row>
    <row r="2784">
      <c r="A2784" s="8" t="str">
        <f>IFERROR(__xludf.DUMMYFUNCTION("""COMPUTED_VALUE"""),"newschoolers")</f>
        <v>newschoolers</v>
      </c>
    </row>
    <row r="2785">
      <c r="A2785" s="8" t="str">
        <f>IFERROR(__xludf.DUMMYFUNCTION("""COMPUTED_VALUE"""),"oakleyskiing")</f>
        <v>oakleyskiing</v>
      </c>
    </row>
    <row r="2786">
      <c r="A2786" s="8" t="str">
        <f>IFERROR(__xludf.DUMMYFUNCTION("""COMPUTED_VALUE"""),"skiing")</f>
        <v>skiing</v>
      </c>
    </row>
    <row r="2787">
      <c r="A2787" s="8" t="str">
        <f>IFERROR(__xludf.DUMMYFUNCTION("""COMPUTED_VALUE"""),"skiingbarbie")</f>
        <v>skiingbarbie</v>
      </c>
    </row>
    <row r="2788">
      <c r="A2788" s="8" t="str">
        <f>IFERROR(__xludf.DUMMYFUNCTION("""COMPUTED_VALUE"""),"skiingcreed")</f>
        <v>skiingcreed</v>
      </c>
    </row>
    <row r="2789">
      <c r="A2789" s="8" t="str">
        <f>IFERROR(__xludf.DUMMYFUNCTION("""COMPUTED_VALUE"""),"skiingiseasy")</f>
        <v>skiingiseasy</v>
      </c>
    </row>
    <row r="2790">
      <c r="A2790" s="8" t="str">
        <f>IFERROR(__xludf.DUMMYFUNCTION("""COMPUTED_VALUE"""),"skiingod")</f>
        <v>skiingod</v>
      </c>
    </row>
    <row r="2791">
      <c r="A2791" s="8" t="str">
        <f>IFERROR(__xludf.DUMMYFUNCTION("""COMPUTED_VALUE"""),"ski_islife")</f>
        <v>ski_islife</v>
      </c>
    </row>
    <row r="2792">
      <c r="A2792" s="8" t="str">
        <f>IFERROR(__xludf.DUMMYFUNCTION("""COMPUTED_VALUE"""),"slopeglobal")</f>
        <v>slopeglobal</v>
      </c>
    </row>
    <row r="2793">
      <c r="A2793" s="8" t="str">
        <f>IFERROR(__xludf.DUMMYFUNCTION("""COMPUTED_VALUE"""),"dreamglowslime")</f>
        <v>dreamglowslime</v>
      </c>
    </row>
    <row r="2794">
      <c r="A2794" s="8" t="str">
        <f>IFERROR(__xludf.DUMMYFUNCTION("""COMPUTED_VALUE"""),"momoslimes_")</f>
        <v>momoslimes_</v>
      </c>
    </row>
    <row r="2795">
      <c r="A2795" s="8" t="str">
        <f>IFERROR(__xludf.DUMMYFUNCTION("""COMPUTED_VALUE"""),"pilotslime")</f>
        <v>pilotslime</v>
      </c>
    </row>
    <row r="2796">
      <c r="A2796" s="8" t="str">
        <f>IFERROR(__xludf.DUMMYFUNCTION("""COMPUTED_VALUE"""),"qqualityslime")</f>
        <v>qqualityslime</v>
      </c>
    </row>
    <row r="2797">
      <c r="A2797" s="8" t="str">
        <f>IFERROR(__xludf.DUMMYFUNCTION("""COMPUTED_VALUE"""),"slime")</f>
        <v>slime</v>
      </c>
    </row>
    <row r="2798">
      <c r="A2798" s="8" t="str">
        <f>IFERROR(__xludf.DUMMYFUNCTION("""COMPUTED_VALUE"""),"slimeballest")</f>
        <v>slimeballest</v>
      </c>
    </row>
    <row r="2799">
      <c r="A2799" s="8" t="str">
        <f>IFERROR(__xludf.DUMMYFUNCTION("""COMPUTED_VALUE"""),"slime_og")</f>
        <v>slime_og</v>
      </c>
    </row>
    <row r="2800">
      <c r="A2800" s="8" t="str">
        <f>IFERROR(__xludf.DUMMYFUNCTION("""COMPUTED_VALUE"""),"slimeraptv")</f>
        <v>slimeraptv</v>
      </c>
    </row>
    <row r="2801">
      <c r="A2801" s="8" t="str">
        <f>IFERROR(__xludf.DUMMYFUNCTION("""COMPUTED_VALUE"""),"slimesito")</f>
        <v>slimesito</v>
      </c>
    </row>
    <row r="2802">
      <c r="A2802" s="8" t="str">
        <f>IFERROR(__xludf.DUMMYFUNCTION("""COMPUTED_VALUE"""),"small.business.mercado")</f>
        <v>small.business.mercado</v>
      </c>
    </row>
    <row r="2803">
      <c r="A2803" s="11" t="str">
        <f>IFERROR(__xludf.DUMMYFUNCTION("""COMPUTED_VALUE"""),"smallbusiness.uk")</f>
        <v>smallbusiness.uk</v>
      </c>
    </row>
    <row r="2804">
      <c r="A2804" s="8" t="str">
        <f>IFERROR(__xludf.DUMMYFUNCTION("""COMPUTED_VALUE"""),"small_bussines_albania")</f>
        <v>small_bussines_albania</v>
      </c>
    </row>
    <row r="2805">
      <c r="A2805" s="8" t="str">
        <f>IFERROR(__xludf.DUMMYFUNCTION("""COMPUTED_VALUE"""),"thesmallbusinessexpo")</f>
        <v>thesmallbusinessexpo</v>
      </c>
    </row>
    <row r="2806">
      <c r="A2806" s="11" t="str">
        <f>IFERROR(__xludf.DUMMYFUNCTION("""COMPUTED_VALUE"""),"smartdevices.ng")</f>
        <v>smartdevices.ng</v>
      </c>
    </row>
    <row r="2807">
      <c r="A2807" s="8" t="str">
        <f>IFERROR(__xludf.DUMMYFUNCTION("""COMPUTED_VALUE"""),"1smart.ho")</f>
        <v>1smart.ho</v>
      </c>
    </row>
    <row r="2808">
      <c r="A2808" s="8" t="str">
        <f>IFERROR(__xludf.DUMMYFUNCTION("""COMPUTED_VALUE"""),"neovegasmarthome")</f>
        <v>neovegasmarthome</v>
      </c>
    </row>
    <row r="2809">
      <c r="A2809" s="8" t="str">
        <f>IFERROR(__xludf.DUMMYFUNCTION("""COMPUTED_VALUE"""),"smarthomedevicesph")</f>
        <v>smarthomedevicesph</v>
      </c>
    </row>
    <row r="2810">
      <c r="A2810" s="8" t="str">
        <f>IFERROR(__xludf.DUMMYFUNCTION("""COMPUTED_VALUE"""),"smarthomees")</f>
        <v>smarthomees</v>
      </c>
    </row>
    <row r="2811">
      <c r="A2811" s="8" t="str">
        <f>IFERROR(__xludf.DUMMYFUNCTION("""COMPUTED_VALUE"""),"smarthomegadgetss")</f>
        <v>smarthomegadgetss</v>
      </c>
    </row>
    <row r="2812">
      <c r="A2812" s="8" t="str">
        <f>IFERROR(__xludf.DUMMYFUNCTION("""COMPUTED_VALUE"""),"smarthomehk")</f>
        <v>smarthomehk</v>
      </c>
    </row>
    <row r="2813">
      <c r="A2813" s="8" t="str">
        <f>IFERROR(__xludf.DUMMYFUNCTION("""COMPUTED_VALUE"""),"smarthome_shv")</f>
        <v>smarthome_shv</v>
      </c>
    </row>
    <row r="2814">
      <c r="A2814" s="8" t="str">
        <f>IFERROR(__xludf.DUMMYFUNCTION("""COMPUTED_VALUE"""),"smarthome.spa")</f>
        <v>smarthome.spa</v>
      </c>
    </row>
    <row r="2815">
      <c r="A2815" s="8" t="str">
        <f>IFERROR(__xludf.DUMMYFUNCTION("""COMPUTED_VALUE"""),"smarthomez")</f>
        <v>smarthomez</v>
      </c>
    </row>
    <row r="2816">
      <c r="A2816" s="8" t="str">
        <f>IFERROR(__xludf.DUMMYFUNCTION("""COMPUTED_VALUE"""),"smartech_om")</f>
        <v>smartech_om</v>
      </c>
    </row>
    <row r="2817">
      <c r="A2817" s="8" t="str">
        <f>IFERROR(__xludf.DUMMYFUNCTION("""COMPUTED_VALUE"""),"smart_tech.__")</f>
        <v>smart_tech.__</v>
      </c>
    </row>
    <row r="2818">
      <c r="A2818" s="8" t="str">
        <f>IFERROR(__xludf.DUMMYFUNCTION("""COMPUTED_VALUE"""),"smart.tech")</f>
        <v>smart.tech</v>
      </c>
    </row>
    <row r="2819">
      <c r="A2819" s="8" t="str">
        <f>IFERROR(__xludf.DUMMYFUNCTION("""COMPUTED_VALUE"""),"smart_tech.05")</f>
        <v>smart_tech.05</v>
      </c>
    </row>
    <row r="2820">
      <c r="A2820" s="11" t="str">
        <f>IFERROR(__xludf.DUMMYFUNCTION("""COMPUTED_VALUE"""),"smarttech.ao")</f>
        <v>smarttech.ao</v>
      </c>
    </row>
    <row r="2821">
      <c r="A2821" s="8" t="str">
        <f>IFERROR(__xludf.DUMMYFUNCTION("""COMPUTED_VALUE"""),"smarttechve")</f>
        <v>smarttechve</v>
      </c>
    </row>
    <row r="2822">
      <c r="A2822" s="8" t="str">
        <f>IFERROR(__xludf.DUMMYFUNCTION("""COMPUTED_VALUE"""),"dentrosuperfoods")</f>
        <v>dentrosuperfoods</v>
      </c>
    </row>
    <row r="2823">
      <c r="A2823" s="8" t="str">
        <f>IFERROR(__xludf.DUMMYFUNCTION("""COMPUTED_VALUE"""),"detox_recipes")</f>
        <v>detox_recipes</v>
      </c>
    </row>
    <row r="2824">
      <c r="A2824" s="8" t="str">
        <f>IFERROR(__xludf.DUMMYFUNCTION("""COMPUTED_VALUE"""),"greensmoothies_daily")</f>
        <v>greensmoothies_daily</v>
      </c>
    </row>
    <row r="2825">
      <c r="A2825" s="8" t="str">
        <f>IFERROR(__xludf.DUMMYFUNCTION("""COMPUTED_VALUE"""),"quecocadas")</f>
        <v>quecocadas</v>
      </c>
    </row>
    <row r="2826">
      <c r="A2826" s="8" t="str">
        <f>IFERROR(__xludf.DUMMYFUNCTION("""COMPUTED_VALUE"""),"smoothies.club")</f>
        <v>smoothies.club</v>
      </c>
    </row>
    <row r="2827">
      <c r="A2827" s="8" t="str">
        <f>IFERROR(__xludf.DUMMYFUNCTION("""COMPUTED_VALUE"""),"smoothiesguide_")</f>
        <v>smoothiesguide_</v>
      </c>
    </row>
    <row r="2828">
      <c r="A2828" s="8" t="str">
        <f>IFERROR(__xludf.DUMMYFUNCTION("""COMPUTED_VALUE"""),"smoothiesofficial")</f>
        <v>smoothiesofficial</v>
      </c>
    </row>
    <row r="2829">
      <c r="A2829" s="8" t="str">
        <f>IFERROR(__xludf.DUMMYFUNCTION("""COMPUTED_VALUE"""),"smoothie_spot")</f>
        <v>smoothie_spot</v>
      </c>
    </row>
    <row r="2830">
      <c r="A2830" s="8" t="str">
        <f>IFERROR(__xludf.DUMMYFUNCTION("""COMPUTED_VALUE"""),"tolivesmoothies")</f>
        <v>tolivesmoothies</v>
      </c>
    </row>
    <row r="2831">
      <c r="A2831" s="8" t="str">
        <f>IFERROR(__xludf.DUMMYFUNCTION("""COMPUTED_VALUE"""),"xanaxsmoothies")</f>
        <v>xanaxsmoothies</v>
      </c>
    </row>
    <row r="2832">
      <c r="A2832" s="8" t="str">
        <f>IFERROR(__xludf.DUMMYFUNCTION("""COMPUTED_VALUE"""),"crabsneakers_")</f>
        <v>crabsneakers_</v>
      </c>
    </row>
    <row r="2833">
      <c r="A2833" s="8" t="str">
        <f>IFERROR(__xludf.DUMMYFUNCTION("""COMPUTED_VALUE"""),"pabuckonagisneaker")</f>
        <v>pabuckonagisneaker</v>
      </c>
    </row>
    <row r="2834">
      <c r="A2834" s="8" t="str">
        <f>IFERROR(__xludf.DUMMYFUNCTION("""COMPUTED_VALUE"""),"sneakercon")</f>
        <v>sneakercon</v>
      </c>
    </row>
    <row r="2835">
      <c r="A2835" s="8" t="str">
        <f>IFERROR(__xludf.DUMMYFUNCTION("""COMPUTED_VALUE"""),"sneakerjagers")</f>
        <v>sneakerjagers</v>
      </c>
    </row>
    <row r="2836">
      <c r="A2836" s="8" t="str">
        <f>IFERROR(__xludf.DUMMYFUNCTION("""COMPUTED_VALUE"""),"sneakernews")</f>
        <v>sneakernews</v>
      </c>
    </row>
    <row r="2837">
      <c r="A2837" s="8" t="str">
        <f>IFERROR(__xludf.DUMMYFUNCTION("""COMPUTED_VALUE"""),"sneakerresellx")</f>
        <v>sneakerresellx</v>
      </c>
    </row>
    <row r="2838">
      <c r="A2838" s="8" t="str">
        <f>IFERROR(__xludf.DUMMYFUNCTION("""COMPUTED_VALUE"""),"sneakers")</f>
        <v>sneakers</v>
      </c>
    </row>
    <row r="2839">
      <c r="A2839" s="8" t="str">
        <f>IFERROR(__xludf.DUMMYFUNCTION("""COMPUTED_VALUE"""),"sneakers_caballito")</f>
        <v>sneakers_caballito</v>
      </c>
    </row>
    <row r="2840">
      <c r="A2840" s="8" t="str">
        <f>IFERROR(__xludf.DUMMYFUNCTION("""COMPUTED_VALUE"""),"sneakers_k20store")</f>
        <v>sneakers_k20store</v>
      </c>
    </row>
    <row r="2841">
      <c r="A2841" s="8" t="str">
        <f>IFERROR(__xludf.DUMMYFUNCTION("""COMPUTED_VALUE"""),"sneakers_shoessa")</f>
        <v>sneakers_shoessa</v>
      </c>
    </row>
    <row r="2842">
      <c r="A2842" s="8" t="str">
        <f>IFERROR(__xludf.DUMMYFUNCTION("""COMPUTED_VALUE"""),"clew_snowboarding")</f>
        <v>clew_snowboarding</v>
      </c>
    </row>
    <row r="2843">
      <c r="A2843" s="8" t="str">
        <f>IFERROR(__xludf.DUMMYFUNCTION("""COMPUTED_VALUE"""),"dc_snowboarding")</f>
        <v>dc_snowboarding</v>
      </c>
    </row>
    <row r="2844">
      <c r="A2844" s="8" t="str">
        <f>IFERROR(__xludf.DUMMYFUNCTION("""COMPUTED_VALUE"""),"k2.snowboarding")</f>
        <v>k2.snowboarding</v>
      </c>
    </row>
    <row r="2845">
      <c r="A2845" s="8" t="str">
        <f>IFERROR(__xludf.DUMMYFUNCTION("""COMPUTED_VALUE"""),"oakleysnowboarding")</f>
        <v>oakleysnowboarding</v>
      </c>
    </row>
    <row r="2846">
      <c r="A2846" s="8" t="str">
        <f>IFERROR(__xludf.DUMMYFUNCTION("""COMPUTED_VALUE"""),"ru_snowboarding")</f>
        <v>ru_snowboarding</v>
      </c>
    </row>
    <row r="2847">
      <c r="A2847" s="8" t="str">
        <f>IFERROR(__xludf.DUMMYFUNCTION("""COMPUTED_VALUE"""),"slopeglobal")</f>
        <v>slopeglobal</v>
      </c>
    </row>
    <row r="2848">
      <c r="A2848" s="8" t="str">
        <f>IFERROR(__xludf.DUMMYFUNCTION("""COMPUTED_VALUE"""),"snowboarding")</f>
        <v>snowboarding</v>
      </c>
    </row>
    <row r="2849">
      <c r="A2849" s="8" t="str">
        <f>IFERROR(__xludf.DUMMYFUNCTION("""COMPUTED_VALUE"""),"snowboarding_4ever_")</f>
        <v>snowboarding_4ever_</v>
      </c>
    </row>
    <row r="2850">
      <c r="A2850" s="8" t="str">
        <f>IFERROR(__xludf.DUMMYFUNCTION("""COMPUTED_VALUE"""),"snowboardinga101")</f>
        <v>snowboardinga101</v>
      </c>
    </row>
    <row r="2851">
      <c r="A2851" s="8" t="str">
        <f>IFERROR(__xludf.DUMMYFUNCTION("""COMPUTED_VALUE"""),"snowboarding.grams")</f>
        <v>snowboarding.grams</v>
      </c>
    </row>
    <row r="2852">
      <c r="A2852" s="8" t="str">
        <f>IFERROR(__xludf.DUMMYFUNCTION("""COMPUTED_VALUE"""),"snowboardings.ig")</f>
        <v>snowboardings.ig</v>
      </c>
    </row>
    <row r="2853">
      <c r="A2853" s="8" t="str">
        <f>IFERROR(__xludf.DUMMYFUNCTION("""COMPUTED_VALUE"""),"snowboarding_sucks")</f>
        <v>snowboarding_sucks</v>
      </c>
    </row>
    <row r="2854">
      <c r="A2854" s="8" t="str">
        <f>IFERROR(__xludf.DUMMYFUNCTION("""COMPUTED_VALUE"""),"snowboardingtosurvive")</f>
        <v>snowboardingtosurvive</v>
      </c>
    </row>
    <row r="2855">
      <c r="A2855" s="8" t="str">
        <f>IFERROR(__xludf.DUMMYFUNCTION("""COMPUTED_VALUE"""),"snowboardinguniverse")</f>
        <v>snowboardinguniverse</v>
      </c>
    </row>
    <row r="2856">
      <c r="A2856" s="8" t="str">
        <f>IFERROR(__xludf.DUMMYFUNCTION("""COMPUTED_VALUE"""),"vanssnow")</f>
        <v>vanssnow</v>
      </c>
    </row>
    <row r="2857">
      <c r="A2857" s="8" t="str">
        <f>IFERROR(__xludf.DUMMYFUNCTION("""COMPUTED_VALUE"""),"foxsoccer")</f>
        <v>foxsoccer</v>
      </c>
    </row>
    <row r="2858">
      <c r="A2858" s="8" t="str">
        <f>IFERROR(__xludf.DUMMYFUNCTION("""COMPUTED_VALUE"""),"prodirectsoccer")</f>
        <v>prodirectsoccer</v>
      </c>
    </row>
    <row r="2859">
      <c r="A2859" s="8" t="str">
        <f>IFERROR(__xludf.DUMMYFUNCTION("""COMPUTED_VALUE"""),"socceraid")</f>
        <v>socceraid</v>
      </c>
    </row>
    <row r="2860">
      <c r="A2860" s="8" t="str">
        <f>IFERROR(__xludf.DUMMYFUNCTION("""COMPUTED_VALUE"""),"soccerbible")</f>
        <v>soccerbible</v>
      </c>
    </row>
    <row r="2861">
      <c r="A2861" s="8" t="str">
        <f>IFERROR(__xludf.DUMMYFUNCTION("""COMPUTED_VALUE"""),"agata.ebbutt")</f>
        <v>agata.ebbutt</v>
      </c>
    </row>
    <row r="2862">
      <c r="A2862" s="8" t="str">
        <f>IFERROR(__xludf.DUMMYFUNCTION("""COMPUTED_VALUE"""),"daisystraveldiaries")</f>
        <v>daisystraveldiaries</v>
      </c>
    </row>
    <row r="2863">
      <c r="A2863" s="8" t="str">
        <f>IFERROR(__xludf.DUMMYFUNCTION("""COMPUTED_VALUE"""),"hey_ciara")</f>
        <v>hey_ciara</v>
      </c>
    </row>
    <row r="2864">
      <c r="A2864" s="8" t="str">
        <f>IFERROR(__xludf.DUMMYFUNCTION("""COMPUTED_VALUE"""),"imartatravels")</f>
        <v>imartatravels</v>
      </c>
    </row>
    <row r="2865">
      <c r="A2865" s="8" t="str">
        <f>IFERROR(__xludf.DUMMYFUNCTION("""COMPUTED_VALUE"""),"kevindroniak")</f>
        <v>kevindroniak</v>
      </c>
    </row>
    <row r="2866">
      <c r="A2866" s="8" t="str">
        <f>IFERROR(__xludf.DUMMYFUNCTION("""COMPUTED_VALUE"""),"solotravelclub")</f>
        <v>solotravelclub</v>
      </c>
    </row>
    <row r="2867">
      <c r="A2867" s="8" t="str">
        <f>IFERROR(__xludf.DUMMYFUNCTION("""COMPUTED_VALUE"""),"solotravelgirlsofficial")</f>
        <v>solotravelgirlsofficial</v>
      </c>
    </row>
    <row r="2868">
      <c r="A2868" s="8" t="str">
        <f>IFERROR(__xludf.DUMMYFUNCTION("""COMPUTED_VALUE"""),"solo_traveling")</f>
        <v>solo_traveling</v>
      </c>
    </row>
    <row r="2869">
      <c r="A2869" s="8" t="str">
        <f>IFERROR(__xludf.DUMMYFUNCTION("""COMPUTED_VALUE"""),"solotravelinstyle")</f>
        <v>solotravelinstyle</v>
      </c>
    </row>
    <row r="2870">
      <c r="A2870" s="8" t="str">
        <f>IFERROR(__xludf.DUMMYFUNCTION("""COMPUTED_VALUE"""),"solotravel.leyla")</f>
        <v>solotravel.leyla</v>
      </c>
    </row>
    <row r="2871">
      <c r="A2871" s="8" t="str">
        <f>IFERROR(__xludf.DUMMYFUNCTION("""COMPUTED_VALUE"""),"travelbubi")</f>
        <v>travelbubi</v>
      </c>
    </row>
    <row r="2872">
      <c r="A2872" s="8" t="str">
        <f>IFERROR(__xludf.DUMMYFUNCTION("""COMPUTED_VALUE"""),"travellingtuesdays")</f>
        <v>travellingtuesdays</v>
      </c>
    </row>
    <row r="2873">
      <c r="A2873" s="8" t="str">
        <f>IFERROR(__xludf.DUMMYFUNCTION("""COMPUTED_VALUE"""),"brilliantvocalists")</f>
        <v>brilliantvocalists</v>
      </c>
    </row>
    <row r="2874">
      <c r="A2874" s="8" t="str">
        <f>IFERROR(__xludf.DUMMYFUNCTION("""COMPUTED_VALUE"""),"songcoversmusic")</f>
        <v>songcoversmusic</v>
      </c>
    </row>
    <row r="2875">
      <c r="A2875" s="8" t="str">
        <f>IFERROR(__xludf.DUMMYFUNCTION("""COMPUTED_VALUE"""),"songcoversofig")</f>
        <v>songcoversofig</v>
      </c>
    </row>
    <row r="2876">
      <c r="A2876" s="8" t="str">
        <f>IFERROR(__xludf.DUMMYFUNCTION("""COMPUTED_VALUE"""),"secretsofhitsongs")</f>
        <v>secretsofhitsongs</v>
      </c>
    </row>
    <row r="2877">
      <c r="A2877" s="8" t="str">
        <f>IFERROR(__xludf.DUMMYFUNCTION("""COMPUTED_VALUE"""),"songwriting_pro")</f>
        <v>songwriting_pro</v>
      </c>
    </row>
    <row r="2878">
      <c r="A2878" s="8" t="str">
        <f>IFERROR(__xludf.DUMMYFUNCTION("""COMPUTED_VALUE"""),"spotifysongwriting")</f>
        <v>spotifysongwriting</v>
      </c>
    </row>
    <row r="2879">
      <c r="A2879" s="8" t="str">
        <f>IFERROR(__xludf.DUMMYFUNCTION("""COMPUTED_VALUE"""),"powerofsfx")</f>
        <v>powerofsfx</v>
      </c>
    </row>
    <row r="2880">
      <c r="A2880" s="8" t="str">
        <f>IFERROR(__xludf.DUMMYFUNCTION("""COMPUTED_VALUE"""),"sounddesigntips")</f>
        <v>sounddesigntips</v>
      </c>
    </row>
    <row r="2881">
      <c r="A2881" s="8" t="str">
        <f>IFERROR(__xludf.DUMMYFUNCTION("""COMPUTED_VALUE"""),"fanasportsdrill")</f>
        <v>fanasportsdrill</v>
      </c>
    </row>
    <row r="2882">
      <c r="A2882" s="8" t="str">
        <f>IFERROR(__xludf.DUMMYFUNCTION("""COMPUTED_VALUE"""),"allsportsnews")</f>
        <v>allsportsnews</v>
      </c>
    </row>
    <row r="2883">
      <c r="A2883" s="8" t="str">
        <f>IFERROR(__xludf.DUMMYFUNCTION("""COMPUTED_VALUE"""),"mnsportnews")</f>
        <v>mnsportnews</v>
      </c>
    </row>
    <row r="2884">
      <c r="A2884" s="8" t="str">
        <f>IFERROR(__xludf.DUMMYFUNCTION("""COMPUTED_VALUE"""),"satiresportsnews")</f>
        <v>satiresportsnews</v>
      </c>
    </row>
    <row r="2885">
      <c r="A2885" s="8" t="str">
        <f>IFERROR(__xludf.DUMMYFUNCTION("""COMPUTED_VALUE"""),"sport_snews001")</f>
        <v>sport_snews001</v>
      </c>
    </row>
    <row r="2886">
      <c r="A2886" s="8" t="str">
        <f>IFERROR(__xludf.DUMMYFUNCTION("""COMPUTED_VALUE"""),"sports_news_egypt")</f>
        <v>sports_news_egypt</v>
      </c>
    </row>
    <row r="2887">
      <c r="A2887" s="8" t="str">
        <f>IFERROR(__xludf.DUMMYFUNCTION("""COMPUTED_VALUE"""),"sportsnews_sn")</f>
        <v>sportsnews_sn</v>
      </c>
    </row>
    <row r="2888">
      <c r="A2888" s="8" t="str">
        <f>IFERROR(__xludf.DUMMYFUNCTION("""COMPUTED_VALUE"""),"sports_training_col")</f>
        <v>sports_training_col</v>
      </c>
    </row>
    <row r="2889">
      <c r="A2889" s="8" t="str">
        <f>IFERROR(__xludf.DUMMYFUNCTION("""COMPUTED_VALUE"""),"stck__mrkt")</f>
        <v>stck__mrkt</v>
      </c>
    </row>
    <row r="2890">
      <c r="A2890" s="8" t="str">
        <f>IFERROR(__xludf.DUMMYFUNCTION("""COMPUTED_VALUE"""),"stock._market__")</f>
        <v>stock._market__</v>
      </c>
    </row>
    <row r="2891">
      <c r="A2891" s="8" t="str">
        <f>IFERROR(__xludf.DUMMYFUNCTION("""COMPUTED_VALUE"""),"stockmarket_boss")</f>
        <v>stockmarket_boss</v>
      </c>
    </row>
    <row r="2892">
      <c r="A2892" s="8" t="str">
        <f>IFERROR(__xludf.DUMMYFUNCTION("""COMPUTED_VALUE"""),"stockmarket.edges")</f>
        <v>stockmarket.edges</v>
      </c>
    </row>
    <row r="2893">
      <c r="A2893" s="8" t="str">
        <f>IFERROR(__xludf.DUMMYFUNCTION("""COMPUTED_VALUE"""),"stock_market_in")</f>
        <v>stock_market_in</v>
      </c>
    </row>
    <row r="2894">
      <c r="A2894" s="8" t="str">
        <f>IFERROR(__xludf.DUMMYFUNCTION("""COMPUTED_VALUE"""),"stockmarket.insight")</f>
        <v>stockmarket.insight</v>
      </c>
    </row>
    <row r="2895">
      <c r="A2895" s="8" t="str">
        <f>IFERROR(__xludf.DUMMYFUNCTION("""COMPUTED_VALUE"""),"stock.market.skills_")</f>
        <v>stock.market.skills_</v>
      </c>
    </row>
    <row r="2896">
      <c r="A2896" s="8" t="str">
        <f>IFERROR(__xludf.DUMMYFUNCTION("""COMPUTED_VALUE"""),"stockmarket_times")</f>
        <v>stockmarket_times</v>
      </c>
    </row>
    <row r="2897">
      <c r="A2897" s="8" t="str">
        <f>IFERROR(__xludf.DUMMYFUNCTION("""COMPUTED_VALUE"""),"stockmarket.tips00")</f>
        <v>stockmarket.tips00</v>
      </c>
    </row>
    <row r="2898">
      <c r="A2898" s="8" t="str">
        <f>IFERROR(__xludf.DUMMYFUNCTION("""COMPUTED_VALUE"""),"stockmarketwolf")</f>
        <v>stockmarketwolf</v>
      </c>
    </row>
    <row r="2899">
      <c r="A2899" s="8" t="str">
        <f>IFERROR(__xludf.DUMMYFUNCTION("""COMPUTED_VALUE"""),"stock_masters_")</f>
        <v>stock_masters_</v>
      </c>
    </row>
    <row r="2900">
      <c r="A2900" s="8" t="str">
        <f>IFERROR(__xludf.DUMMYFUNCTION("""COMPUTED_VALUE"""),"streetwear.stockmarket")</f>
        <v>streetwear.stockmarket</v>
      </c>
    </row>
    <row r="2901">
      <c r="A2901" s="8" t="str">
        <f>IFERROR(__xludf.DUMMYFUNCTION("""COMPUTED_VALUE"""),"thedailystockmarket")</f>
        <v>thedailystockmarket</v>
      </c>
    </row>
    <row r="2902">
      <c r="A2902" s="8" t="str">
        <f>IFERROR(__xludf.DUMMYFUNCTION("""COMPUTED_VALUE"""),"healthy.bharat_")</f>
        <v>healthy.bharat_</v>
      </c>
    </row>
    <row r="2903">
      <c r="A2903" s="8" t="str">
        <f>IFERROR(__xludf.DUMMYFUNCTION("""COMPUTED_VALUE"""),"stock_market_kerala")</f>
        <v>stock_market_kerala</v>
      </c>
    </row>
    <row r="2904">
      <c r="A2904" s="8" t="str">
        <f>IFERROR(__xludf.DUMMYFUNCTION("""COMPUTED_VALUE"""),"stocktradingmemes")</f>
        <v>stocktradingmemes</v>
      </c>
    </row>
    <row r="2905">
      <c r="A2905" s="8" t="str">
        <f>IFERROR(__xludf.DUMMYFUNCTION("""COMPUTED_VALUE"""),"stocktradingpit")</f>
        <v>stocktradingpit</v>
      </c>
    </row>
    <row r="2906">
      <c r="A2906" s="8" t="str">
        <f>IFERROR(__xludf.DUMMYFUNCTION("""COMPUTED_VALUE"""),"dimash_streaming_queen")</f>
        <v>dimash_streaming_queen</v>
      </c>
    </row>
    <row r="2907">
      <c r="A2907" s="8" t="str">
        <f>IFERROR(__xludf.DUMMYFUNCTION("""COMPUTED_VALUE"""),"kickstreaming")</f>
        <v>kickstreaming</v>
      </c>
    </row>
    <row r="2908">
      <c r="A2908" s="8" t="str">
        <f>IFERROR(__xludf.DUMMYFUNCTION("""COMPUTED_VALUE"""),"streamingculture")</f>
        <v>streamingculture</v>
      </c>
    </row>
    <row r="2909">
      <c r="A2909" s="8" t="str">
        <f>IFERROR(__xludf.DUMMYFUNCTION("""COMPUTED_VALUE"""),"streamingkat")</f>
        <v>streamingkat</v>
      </c>
    </row>
    <row r="2910">
      <c r="A2910" s="8" t="str">
        <f>IFERROR(__xludf.DUMMYFUNCTION("""COMPUTED_VALUE"""),"streamingthemagic")</f>
        <v>streamingthemagic</v>
      </c>
    </row>
    <row r="2911">
      <c r="A2911" s="8" t="str">
        <f>IFERROR(__xludf.DUMMYFUNCTION("""COMPUTED_VALUE"""),"streamingurls")</f>
        <v>streamingurls</v>
      </c>
    </row>
    <row r="2912">
      <c r="A2912" s="8" t="str">
        <f>IFERROR(__xludf.DUMMYFUNCTION("""COMPUTED_VALUE"""),"vet_tv")</f>
        <v>vet_tv</v>
      </c>
    </row>
    <row r="2913">
      <c r="A2913" s="8" t="str">
        <f>IFERROR(__xludf.DUMMYFUNCTION("""COMPUTED_VALUE"""),"street.classics")</f>
        <v>street.classics</v>
      </c>
    </row>
    <row r="2914">
      <c r="A2914" s="8" t="str">
        <f>IFERROR(__xludf.DUMMYFUNCTION("""COMPUTED_VALUE"""),"streetphotographybnw")</f>
        <v>streetphotographybnw</v>
      </c>
    </row>
    <row r="2915">
      <c r="A2915" s="11" t="str">
        <f>IFERROR(__xludf.DUMMYFUNCTION("""COMPUTED_VALUE"""),"streetphotographyfrance.fr")</f>
        <v>streetphotographyfrance.fr</v>
      </c>
    </row>
    <row r="2916">
      <c r="A2916" s="8" t="str">
        <f>IFERROR(__xludf.DUMMYFUNCTION("""COMPUTED_VALUE"""),"streetphotographyindia")</f>
        <v>streetphotographyindia</v>
      </c>
    </row>
    <row r="2917">
      <c r="A2917" s="8" t="str">
        <f>IFERROR(__xludf.DUMMYFUNCTION("""COMPUTED_VALUE"""),"streetphotographyindonesia")</f>
        <v>streetphotographyindonesia</v>
      </c>
    </row>
    <row r="2918">
      <c r="A2918" s="8" t="str">
        <f>IFERROR(__xludf.DUMMYFUNCTION("""COMPUTED_VALUE"""),"streetphotographyinternational")</f>
        <v>streetphotographyinternational</v>
      </c>
    </row>
    <row r="2919">
      <c r="A2919" s="8" t="str">
        <f>IFERROR(__xludf.DUMMYFUNCTION("""COMPUTED_VALUE"""),"tengu_ig")</f>
        <v>tengu_ig</v>
      </c>
    </row>
    <row r="2920">
      <c r="A2920" s="8" t="str">
        <f>IFERROR(__xludf.DUMMYFUNCTION("""COMPUTED_VALUE"""),"yyc_street_photography")</f>
        <v>yyc_street_photography</v>
      </c>
    </row>
    <row r="2921">
      <c r="A2921" s="8" t="str">
        <f>IFERROR(__xludf.DUMMYFUNCTION("""COMPUTED_VALUE"""),"01streetwear")</f>
        <v>01streetwear</v>
      </c>
    </row>
    <row r="2922">
      <c r="A2922" s="8" t="str">
        <f>IFERROR(__xludf.DUMMYFUNCTION("""COMPUTED_VALUE"""),"all.streetwear")</f>
        <v>all.streetwear</v>
      </c>
    </row>
    <row r="2923">
      <c r="A2923" s="8" t="str">
        <f>IFERROR(__xludf.DUMMYFUNCTION("""COMPUTED_VALUE"""),"elegance__street.wear")</f>
        <v>elegance__street.wear</v>
      </c>
    </row>
    <row r="2924">
      <c r="A2924" s="8" t="str">
        <f>IFERROR(__xludf.DUMMYFUNCTION("""COMPUTED_VALUE"""),"flawwear")</f>
        <v>flawwear</v>
      </c>
    </row>
    <row r="2925">
      <c r="A2925" s="11" t="str">
        <f>IFERROR(__xludf.DUMMYFUNCTION("""COMPUTED_VALUE"""),"global.streetwear.pe")</f>
        <v>global.streetwear.pe</v>
      </c>
    </row>
    <row r="2926">
      <c r="A2926" s="8" t="str">
        <f>IFERROR(__xludf.DUMMYFUNCTION("""COMPUTED_VALUE"""),"invistastreetwear")</f>
        <v>invistastreetwear</v>
      </c>
    </row>
    <row r="2927">
      <c r="A2927" s="8" t="str">
        <f>IFERROR(__xludf.DUMMYFUNCTION("""COMPUTED_VALUE"""),"oxostreetwear")</f>
        <v>oxostreetwear</v>
      </c>
    </row>
    <row r="2928">
      <c r="A2928" s="8" t="str">
        <f>IFERROR(__xludf.DUMMYFUNCTION("""COMPUTED_VALUE"""),"ozne_streetwear")</f>
        <v>ozne_streetwear</v>
      </c>
    </row>
    <row r="2929">
      <c r="A2929" s="8" t="str">
        <f>IFERROR(__xludf.DUMMYFUNCTION("""COMPUTED_VALUE"""),"sowebloc")</f>
        <v>sowebloc</v>
      </c>
    </row>
    <row r="2930">
      <c r="A2930" s="8" t="str">
        <f>IFERROR(__xludf.DUMMYFUNCTION("""COMPUTED_VALUE"""),"street__wear____")</f>
        <v>street__wear____</v>
      </c>
    </row>
    <row r="2931">
      <c r="A2931" s="8" t="str">
        <f>IFERROR(__xludf.DUMMYFUNCTION("""COMPUTED_VALUE"""),"streetwear9x2indore2")</f>
        <v>streetwear9x2indore2</v>
      </c>
    </row>
    <row r="2932">
      <c r="A2932" s="11" t="str">
        <f>IFERROR(__xludf.DUMMYFUNCTION("""COMPUTED_VALUE"""),"streetwear.cartel.gr")</f>
        <v>streetwear.cartel.gr</v>
      </c>
    </row>
    <row r="2933">
      <c r="A2933" s="8" t="str">
        <f>IFERROR(__xludf.DUMMYFUNCTION("""COMPUTED_VALUE"""),"streetwearkktc")</f>
        <v>streetwearkktc</v>
      </c>
    </row>
    <row r="2934">
      <c r="A2934" s="8" t="str">
        <f>IFERROR(__xludf.DUMMYFUNCTION("""COMPUTED_VALUE"""),"streetwearshoptj")</f>
        <v>streetwearshoptj</v>
      </c>
    </row>
    <row r="2935">
      <c r="A2935" s="8" t="str">
        <f>IFERROR(__xludf.DUMMYFUNCTION("""COMPUTED_VALUE"""),"streetwear.stockmarket")</f>
        <v>streetwear.stockmarket</v>
      </c>
    </row>
    <row r="2936">
      <c r="A2936" s="8" t="str">
        <f>IFERROR(__xludf.DUMMYFUNCTION("""COMPUTED_VALUE"""),"trendsweear")</f>
        <v>trendsweear</v>
      </c>
    </row>
    <row r="2937">
      <c r="A2937" s="8" t="str">
        <f>IFERROR(__xludf.DUMMYFUNCTION("""COMPUTED_VALUE"""),"madeleinenilssons")</f>
        <v>madeleinenilssons</v>
      </c>
    </row>
    <row r="2938">
      <c r="A2938" s="8" t="str">
        <f>IFERROR(__xludf.DUMMYFUNCTION("""COMPUTED_VALUE"""),"p1_training")</f>
        <v>p1_training</v>
      </c>
    </row>
    <row r="2939">
      <c r="A2939" s="8" t="str">
        <f>IFERROR(__xludf.DUMMYFUNCTION("""COMPUTED_VALUE"""),"rpstrength")</f>
        <v>rpstrength</v>
      </c>
    </row>
    <row r="2940">
      <c r="A2940" s="8" t="str">
        <f>IFERROR(__xludf.DUMMYFUNCTION("""COMPUTED_VALUE"""),"simplyfit.bylauren")</f>
        <v>simplyfit.bylauren</v>
      </c>
    </row>
    <row r="2941">
      <c r="A2941" s="8" t="str">
        <f>IFERROR(__xludf.DUMMYFUNCTION("""COMPUTED_VALUE"""),"strength.training.uni")</f>
        <v>strength.training.uni</v>
      </c>
    </row>
    <row r="2942">
      <c r="A2942" s="8" t="str">
        <f>IFERROR(__xludf.DUMMYFUNCTION("""COMPUTED_VALUE"""),"ksyuni_wow")</f>
        <v>ksyuni_wow</v>
      </c>
    </row>
    <row r="2943">
      <c r="A2943" s="8" t="str">
        <f>IFERROR(__xludf.DUMMYFUNCTION("""COMPUTED_VALUE"""),"malova.flex")</f>
        <v>malova.flex</v>
      </c>
    </row>
    <row r="2944">
      <c r="A2944" s="8" t="str">
        <f>IFERROR(__xludf.DUMMYFUNCTION("""COMPUTED_VALUE"""),"mobility_mvmnt")</f>
        <v>mobility_mvmnt</v>
      </c>
    </row>
    <row r="2945">
      <c r="A2945" s="8" t="str">
        <f>IFERROR(__xludf.DUMMYFUNCTION("""COMPUTED_VALUE"""),"nk_stretching")</f>
        <v>nk_stretching</v>
      </c>
    </row>
    <row r="2946">
      <c r="A2946" s="8" t="str">
        <f>IFERROR(__xludf.DUMMYFUNCTION("""COMPUTED_VALUE"""),"purepilates.evn")</f>
        <v>purepilates.evn</v>
      </c>
    </row>
    <row r="2947">
      <c r="A2947" s="11" t="str">
        <f>IFERROR(__xludf.DUMMYFUNCTION("""COMPUTED_VALUE"""),"stretching.ch")</f>
        <v>stretching.ch</v>
      </c>
    </row>
    <row r="2948">
      <c r="A2948" s="8" t="str">
        <f>IFERROR(__xludf.DUMMYFUNCTION("""COMPUTED_VALUE"""),"stretchingexercise")</f>
        <v>stretchingexercise</v>
      </c>
    </row>
    <row r="2949">
      <c r="A2949" s="8" t="str">
        <f>IFERROR(__xludf.DUMMYFUNCTION("""COMPUTED_VALUE"""),"stretchingguru")</f>
        <v>stretchingguru</v>
      </c>
    </row>
    <row r="2950">
      <c r="A2950" s="8" t="str">
        <f>IFERROR(__xludf.DUMMYFUNCTION("""COMPUTED_VALUE"""),"stretchingtina")</f>
        <v>stretchingtina</v>
      </c>
    </row>
    <row r="2951">
      <c r="A2951" s="8" t="str">
        <f>IFERROR(__xludf.DUMMYFUNCTION("""COMPUTED_VALUE"""),"stretchitapp")</f>
        <v>stretchitapp</v>
      </c>
    </row>
    <row r="2952">
      <c r="A2952" s="8" t="str">
        <f>IFERROR(__xludf.DUMMYFUNCTION("""COMPUTED_VALUE"""),"the.flexibility.guy")</f>
        <v>the.flexibility.guy</v>
      </c>
    </row>
    <row r="2953">
      <c r="A2953" s="8" t="str">
        <f>IFERROR(__xludf.DUMMYFUNCTION("""COMPUTED_VALUE"""),"topstretching")</f>
        <v>topstretching</v>
      </c>
    </row>
    <row r="2954">
      <c r="A2954" s="8" t="str">
        <f>IFERROR(__xludf.DUMMYFUNCTION("""COMPUTED_VALUE"""),"tv.stretching")</f>
        <v>tv.stretching</v>
      </c>
    </row>
    <row r="2955">
      <c r="A2955" s="8" t="str">
        <f>IFERROR(__xludf.DUMMYFUNCTION("""COMPUTED_VALUE"""),"zaddymassage")</f>
        <v>zaddymassage</v>
      </c>
    </row>
    <row r="2956">
      <c r="A2956" s="8" t="str">
        <f>IFERROR(__xludf.DUMMYFUNCTION("""COMPUTED_VALUE"""),"803.studio")</f>
        <v>803.studio</v>
      </c>
    </row>
    <row r="2957">
      <c r="A2957" s="8" t="str">
        <f>IFERROR(__xludf.DUMMYFUNCTION("""COMPUTED_VALUE"""),"aym.studio")</f>
        <v>aym.studio</v>
      </c>
    </row>
    <row r="2958">
      <c r="A2958" s="8" t="str">
        <f>IFERROR(__xludf.DUMMYFUNCTION("""COMPUTED_VALUE"""),"studio")</f>
        <v>studio</v>
      </c>
    </row>
    <row r="2959">
      <c r="A2959" s="8" t="str">
        <f>IFERROR(__xludf.DUMMYFUNCTION("""COMPUTED_VALUE"""),"s.studybee")</f>
        <v>s.studybee</v>
      </c>
    </row>
    <row r="2960">
      <c r="A2960" s="8" t="str">
        <f>IFERROR(__xludf.DUMMYFUNCTION("""COMPUTED_VALUE"""),"study_with_me_0000")</f>
        <v>study_with_me_0000</v>
      </c>
    </row>
    <row r="2961">
      <c r="A2961" s="8" t="str">
        <f>IFERROR(__xludf.DUMMYFUNCTION("""COMPUTED_VALUE"""),"studywith.me_22")</f>
        <v>studywith.me_22</v>
      </c>
    </row>
    <row r="2962">
      <c r="A2962" s="8" t="str">
        <f>IFERROR(__xludf.DUMMYFUNCTION("""COMPUTED_VALUE"""),"study_with_me920")</f>
        <v>study_with_me920</v>
      </c>
    </row>
    <row r="2963">
      <c r="A2963" s="8" t="str">
        <f>IFERROR(__xludf.DUMMYFUNCTION("""COMPUTED_VALUE"""),"study.with.me_a")</f>
        <v>study.with.me_a</v>
      </c>
    </row>
    <row r="2964">
      <c r="A2964" s="8" t="str">
        <f>IFERROR(__xludf.DUMMYFUNCTION("""COMPUTED_VALUE"""),"studywithme_bac")</f>
        <v>studywithme_bac</v>
      </c>
    </row>
    <row r="2965">
      <c r="A2965" s="8" t="str">
        <f>IFERROR(__xludf.DUMMYFUNCTION("""COMPUTED_VALUE"""),"study_with_me_s_")</f>
        <v>study_with_me_s_</v>
      </c>
    </row>
    <row r="2966">
      <c r="A2966" s="8" t="str">
        <f>IFERROR(__xludf.DUMMYFUNCTION("""COMPUTED_VALUE"""),"og__success")</f>
        <v>og__success</v>
      </c>
    </row>
    <row r="2967">
      <c r="A2967" s="8" t="str">
        <f>IFERROR(__xludf.DUMMYFUNCTION("""COMPUTED_VALUE"""),"successaddictives")</f>
        <v>successaddictives</v>
      </c>
    </row>
    <row r="2968">
      <c r="A2968" s="8" t="str">
        <f>IFERROR(__xludf.DUMMYFUNCTION("""COMPUTED_VALUE"""),"successcodes")</f>
        <v>successcodes</v>
      </c>
    </row>
    <row r="2969">
      <c r="A2969" s="8" t="str">
        <f>IFERROR(__xludf.DUMMYFUNCTION("""COMPUTED_VALUE"""),"successes")</f>
        <v>successes</v>
      </c>
    </row>
    <row r="2970">
      <c r="A2970" s="8" t="str">
        <f>IFERROR(__xludf.DUMMYFUNCTION("""COMPUTED_VALUE"""),"successgoat")</f>
        <v>successgoat</v>
      </c>
    </row>
    <row r="2971">
      <c r="A2971" s="8" t="str">
        <f>IFERROR(__xludf.DUMMYFUNCTION("""COMPUTED_VALUE"""),"successjuice")</f>
        <v>successjuice</v>
      </c>
    </row>
    <row r="2972">
      <c r="A2972" s="8" t="str">
        <f>IFERROR(__xludf.DUMMYFUNCTION("""COMPUTED_VALUE"""),"successowner")</f>
        <v>successowner</v>
      </c>
    </row>
    <row r="2973">
      <c r="A2973" s="8" t="str">
        <f>IFERROR(__xludf.DUMMYFUNCTION("""COMPUTED_VALUE"""),"successprofessional")</f>
        <v>successprofessional</v>
      </c>
    </row>
    <row r="2974">
      <c r="A2974" s="8" t="str">
        <f>IFERROR(__xludf.DUMMYFUNCTION("""COMPUTED_VALUE"""),"successskill")</f>
        <v>successskill</v>
      </c>
    </row>
    <row r="2975">
      <c r="A2975" s="8" t="str">
        <f>IFERROR(__xludf.DUMMYFUNCTION("""COMPUTED_VALUE"""),"success_spoon")</f>
        <v>success_spoon</v>
      </c>
    </row>
    <row r="2976">
      <c r="A2976" s="8" t="str">
        <f>IFERROR(__xludf.DUMMYFUNCTION("""COMPUTED_VALUE"""),"success__tips")</f>
        <v>success__tips</v>
      </c>
    </row>
    <row r="2977">
      <c r="A2977" s="8" t="str">
        <f>IFERROR(__xludf.DUMMYFUNCTION("""COMPUTED_VALUE"""),"successverse_")</f>
        <v>successverse_</v>
      </c>
    </row>
    <row r="2978">
      <c r="A2978" s="8" t="str">
        <f>IFERROR(__xludf.DUMMYFUNCTION("""COMPUTED_VALUE"""),"successwithattitudes")</f>
        <v>successwithattitudes</v>
      </c>
    </row>
    <row r="2979">
      <c r="A2979" s="8" t="str">
        <f>IFERROR(__xludf.DUMMYFUNCTION("""COMPUTED_VALUE"""),"the.success.club")</f>
        <v>the.success.club</v>
      </c>
    </row>
    <row r="2980">
      <c r="A2980" s="8" t="str">
        <f>IFERROR(__xludf.DUMMYFUNCTION("""COMPUTED_VALUE"""),"versoilsuccesso.ita")</f>
        <v>versoilsuccesso.ita</v>
      </c>
    </row>
    <row r="2981">
      <c r="A2981" s="8" t="str">
        <f>IFERROR(__xludf.DUMMYFUNCTION("""COMPUTED_VALUE"""),"sunrisefestivalpl")</f>
        <v>sunrisefestivalpl</v>
      </c>
    </row>
    <row r="2982">
      <c r="A2982" s="8" t="str">
        <f>IFERROR(__xludf.DUMMYFUNCTION("""COMPUTED_VALUE"""),"sunriseon7")</f>
        <v>sunriseon7</v>
      </c>
    </row>
    <row r="2983">
      <c r="A2983" s="11" t="str">
        <f>IFERROR(__xludf.DUMMYFUNCTION("""COMPUTED_VALUE"""),"sunriseonthereaping.pn")</f>
        <v>sunriseonthereaping.pn</v>
      </c>
    </row>
    <row r="2984">
      <c r="A2984" s="8" t="str">
        <f>IFERROR(__xludf.DUMMYFUNCTION("""COMPUTED_VALUE"""),"sunrisersec")</f>
        <v>sunrisersec</v>
      </c>
    </row>
    <row r="2985">
      <c r="A2985" s="8" t="str">
        <f>IFERROR(__xludf.DUMMYFUNCTION("""COMPUTED_VALUE"""),"sunrise_searcher")</f>
        <v>sunrise_searcher</v>
      </c>
    </row>
    <row r="2986">
      <c r="A2986" s="8" t="str">
        <f>IFERROR(__xludf.DUMMYFUNCTION("""COMPUTED_VALUE"""),"sunrisesocial.philly")</f>
        <v>sunrisesocial.philly</v>
      </c>
    </row>
    <row r="2987">
      <c r="A2987" s="8" t="str">
        <f>IFERROR(__xludf.DUMMYFUNCTION("""COMPUTED_VALUE"""),"girlchill_sunset")</f>
        <v>girlchill_sunset</v>
      </c>
    </row>
    <row r="2988">
      <c r="A2988" s="8" t="str">
        <f>IFERROR(__xludf.DUMMYFUNCTION("""COMPUTED_VALUE"""),"mandalasunset")</f>
        <v>mandalasunset</v>
      </c>
    </row>
    <row r="2989">
      <c r="A2989" s="8" t="str">
        <f>IFERROR(__xludf.DUMMYFUNCTION("""COMPUTED_VALUE"""),"shopsunsetpine")</f>
        <v>shopsunsetpine</v>
      </c>
    </row>
    <row r="2990">
      <c r="A2990" s="8" t="str">
        <f>IFERROR(__xludf.DUMMYFUNCTION("""COMPUTED_VALUE"""),"sunset")</f>
        <v>sunset</v>
      </c>
    </row>
    <row r="2991">
      <c r="A2991" s="8" t="str">
        <f>IFERROR(__xludf.DUMMYFUNCTION("""COMPUTED_VALUE"""),"sunsetdjerba")</f>
        <v>sunsetdjerba</v>
      </c>
    </row>
    <row r="2992">
      <c r="A2992" s="8" t="str">
        <f>IFERROR(__xludf.DUMMYFUNCTION("""COMPUTED_VALUE"""),"sunsetmag")</f>
        <v>sunsetmag</v>
      </c>
    </row>
    <row r="2993">
      <c r="A2993" s="8" t="str">
        <f>IFERROR(__xludf.DUMMYFUNCTION("""COMPUTED_VALUE"""),"sunsetmakeupofficial")</f>
        <v>sunsetmakeupofficial</v>
      </c>
    </row>
    <row r="2994">
      <c r="A2994" s="8" t="str">
        <f>IFERROR(__xludf.DUMMYFUNCTION("""COMPUTED_VALUE"""),"sunsetshutteruk")</f>
        <v>sunsetshutteruk</v>
      </c>
    </row>
    <row r="2995">
      <c r="A2995" s="8" t="str">
        <f>IFERROR(__xludf.DUMMYFUNCTION("""COMPUTED_VALUE"""),"sunset.surfco")</f>
        <v>sunset.surfco</v>
      </c>
    </row>
    <row r="2996">
      <c r="A2996" s="8" t="str">
        <f>IFERROR(__xludf.DUMMYFUNCTION("""COMPUTED_VALUE"""),"sunset_v__")</f>
        <v>sunset_v__</v>
      </c>
    </row>
    <row r="2997">
      <c r="A2997" s="8" t="str">
        <f>IFERROR(__xludf.DUMMYFUNCTION("""COMPUTED_VALUE"""),"the.sunset.jarabacoa")</f>
        <v>the.sunset.jarabacoa</v>
      </c>
    </row>
    <row r="2998">
      <c r="A2998" s="8" t="str">
        <f>IFERROR(__xludf.DUMMYFUNCTION("""COMPUTED_VALUE"""),"redbullsurfing")</f>
        <v>redbullsurfing</v>
      </c>
    </row>
    <row r="2999">
      <c r="A2999" s="8" t="str">
        <f>IFERROR(__xludf.DUMMYFUNCTION("""COMPUTED_VALUE"""),"surfingcow_")</f>
        <v>surfingcow_</v>
      </c>
    </row>
    <row r="3000">
      <c r="A3000" s="8" t="str">
        <f>IFERROR(__xludf.DUMMYFUNCTION("""COMPUTED_VALUE"""),"surfingfordaisy")</f>
        <v>surfingfordaisy</v>
      </c>
    </row>
    <row r="3001">
      <c r="A3001" s="8" t="str">
        <f>IFERROR(__xludf.DUMMYFUNCTION("""COMPUTED_VALUE"""),"surfingsecrets")</f>
        <v>surfingsecrets</v>
      </c>
    </row>
    <row r="3002">
      <c r="A3002" s="8" t="str">
        <f>IFERROR(__xludf.DUMMYFUNCTION("""COMPUTED_VALUE"""),"surfingunlimited")</f>
        <v>surfingunlimited</v>
      </c>
    </row>
    <row r="3003">
      <c r="A3003" s="8" t="str">
        <f>IFERROR(__xludf.DUMMYFUNCTION("""COMPUTED_VALUE"""),"surfingwithnoz")</f>
        <v>surfingwithnoz</v>
      </c>
    </row>
    <row r="3004">
      <c r="A3004" s="8" t="str">
        <f>IFERROR(__xludf.DUMMYFUNCTION("""COMPUTED_VALUE"""),"surfistasiargao")</f>
        <v>surfistasiargao</v>
      </c>
    </row>
    <row r="3005">
      <c r="A3005" s="8" t="str">
        <f>IFERROR(__xludf.DUMMYFUNCTION("""COMPUTED_VALUE"""),"thesurfingpig")</f>
        <v>thesurfingpig</v>
      </c>
    </row>
    <row r="3006">
      <c r="A3006" s="8" t="str">
        <f>IFERROR(__xludf.DUMMYFUNCTION("""COMPUTED_VALUE"""),"fanfarelabel")</f>
        <v>fanfarelabel</v>
      </c>
    </row>
    <row r="3007">
      <c r="A3007" s="8" t="str">
        <f>IFERROR(__xludf.DUMMYFUNCTION("""COMPUTED_VALUE"""),"sustainablebagsandfashion")</f>
        <v>sustainablebagsandfashion</v>
      </c>
    </row>
    <row r="3008">
      <c r="A3008" s="8" t="str">
        <f>IFERROR(__xludf.DUMMYFUNCTION("""COMPUTED_VALUE"""),"sustainablefashionfriend")</f>
        <v>sustainablefashionfriend</v>
      </c>
    </row>
    <row r="3009">
      <c r="A3009" s="8" t="str">
        <f>IFERROR(__xludf.DUMMYFUNCTION("""COMPUTED_VALUE"""),"sustainablefashionstyle")</f>
        <v>sustainablefashionstyle</v>
      </c>
    </row>
    <row r="3010">
      <c r="A3010" s="8" t="str">
        <f>IFERROR(__xludf.DUMMYFUNCTION("""COMPUTED_VALUE"""),"sustainablefashionweek_uk")</f>
        <v>sustainablefashionweek_uk</v>
      </c>
    </row>
    <row r="3011">
      <c r="A3011" s="8" t="str">
        <f>IFERROR(__xludf.DUMMYFUNCTION("""COMPUTED_VALUE"""),"thesustainablefashionforum")</f>
        <v>thesustainablefashionforum</v>
      </c>
    </row>
    <row r="3012">
      <c r="A3012" s="11" t="str">
        <f>IFERROR(__xludf.DUMMYFUNCTION("""COMPUTED_VALUE"""),"banish.au")</f>
        <v>banish.au</v>
      </c>
    </row>
    <row r="3013">
      <c r="A3013" s="8" t="str">
        <f>IFERROR(__xludf.DUMMYFUNCTION("""COMPUTED_VALUE"""),"sambentley")</f>
        <v>sambentley</v>
      </c>
    </row>
    <row r="3014">
      <c r="A3014" s="8" t="str">
        <f>IFERROR(__xludf.DUMMYFUNCTION("""COMPUTED_VALUE"""),"_sustainable.living_")</f>
        <v>_sustainable.living_</v>
      </c>
    </row>
    <row r="3015">
      <c r="A3015" s="8" t="str">
        <f>IFERROR(__xludf.DUMMYFUNCTION("""COMPUTED_VALUE"""),"sustainablelivingkw")</f>
        <v>sustainablelivingkw</v>
      </c>
    </row>
    <row r="3016">
      <c r="A3016" s="8" t="str">
        <f>IFERROR(__xludf.DUMMYFUNCTION("""COMPUTED_VALUE"""),"8bitswimming")</f>
        <v>8bitswimming</v>
      </c>
    </row>
    <row r="3017">
      <c r="A3017" s="8" t="str">
        <f>IFERROR(__xludf.DUMMYFUNCTION("""COMPUTED_VALUE"""),"infantswimmingresource")</f>
        <v>infantswimmingresource</v>
      </c>
    </row>
    <row r="3018">
      <c r="A3018" s="8" t="str">
        <f>IFERROR(__xludf.DUMMYFUNCTION("""COMPUTED_VALUE"""),"sca_swimming")</f>
        <v>sca_swimming</v>
      </c>
    </row>
    <row r="3019">
      <c r="A3019" s="8" t="str">
        <f>IFERROR(__xludf.DUMMYFUNCTION("""COMPUTED_VALUE"""),"swimming")</f>
        <v>swimming</v>
      </c>
    </row>
    <row r="3020">
      <c r="A3020" s="8" t="str">
        <f>IFERROR(__xludf.DUMMYFUNCTION("""COMPUTED_VALUE"""),"swimming5381")</f>
        <v>swimming5381</v>
      </c>
    </row>
    <row r="3021">
      <c r="A3021" s="8" t="str">
        <f>IFERROR(__xludf.DUMMYFUNCTION("""COMPUTED_VALUE"""),"swimmingbrainrot")</f>
        <v>swimmingbrainrot</v>
      </c>
    </row>
    <row r="3022">
      <c r="A3022" s="8" t="str">
        <f>IFERROR(__xludf.DUMMYFUNCTION("""COMPUTED_VALUE"""),"swimmingcanada")</f>
        <v>swimmingcanada</v>
      </c>
    </row>
    <row r="3023">
      <c r="A3023" s="8" t="str">
        <f>IFERROR(__xludf.DUMMYFUNCTION("""COMPUTED_VALUE"""),"swimming_lianma")</f>
        <v>swimming_lianma</v>
      </c>
    </row>
    <row r="3024">
      <c r="A3024" s="8" t="str">
        <f>IFERROR(__xludf.DUMMYFUNCTION("""COMPUTED_VALUE"""),"swimming___paul")</f>
        <v>swimming___paul</v>
      </c>
    </row>
    <row r="3025">
      <c r="A3025" s="8" t="str">
        <f>IFERROR(__xludf.DUMMYFUNCTION("""COMPUTED_VALUE"""),"swimming_roo")</f>
        <v>swimming_roo</v>
      </c>
    </row>
    <row r="3026">
      <c r="A3026" s="8" t="str">
        <f>IFERROR(__xludf.DUMMYFUNCTION("""COMPUTED_VALUE"""),"swimmingworldmag")</f>
        <v>swimmingworldmag</v>
      </c>
    </row>
    <row r="3027">
      <c r="A3027" s="8" t="str">
        <f>IFERROR(__xludf.DUMMYFUNCTION("""COMPUTED_VALUE"""),"swimtogether_pt")</f>
        <v>swimtogether_pt</v>
      </c>
    </row>
    <row r="3028">
      <c r="A3028" s="8" t="str">
        <f>IFERROR(__xludf.DUMMYFUNCTION("""COMPUTED_VALUE"""),"usaswimming")</f>
        <v>usaswimming</v>
      </c>
    </row>
    <row r="3029">
      <c r="A3029" s="8" t="str">
        <f>IFERROR(__xludf.DUMMYFUNCTION("""COMPUTED_VALUE"""),"sydfatty")</f>
        <v>sydfatty</v>
      </c>
    </row>
    <row r="3030">
      <c r="A3030" s="8" t="str">
        <f>IFERROR(__xludf.DUMMYFUNCTION("""COMPUTED_VALUE"""),"sydn4sty")</f>
        <v>sydn4sty</v>
      </c>
    </row>
    <row r="3031">
      <c r="A3031" s="8" t="str">
        <f>IFERROR(__xludf.DUMMYFUNCTION("""COMPUTED_VALUE"""),"sydney")</f>
        <v>sydney</v>
      </c>
    </row>
    <row r="3032">
      <c r="A3032" s="8" t="str">
        <f>IFERROR(__xludf.DUMMYFUNCTION("""COMPUTED_VALUE"""),"sydneyseethal")</f>
        <v>sydneyseethal</v>
      </c>
    </row>
    <row r="3033">
      <c r="A3033" s="8" t="str">
        <f>IFERROR(__xludf.DUMMYFUNCTION("""COMPUTED_VALUE"""),"sydney_sweeney")</f>
        <v>sydney_sweeney</v>
      </c>
    </row>
    <row r="3034">
      <c r="A3034" s="8" t="str">
        <f>IFERROR(__xludf.DUMMYFUNCTION("""COMPUTED_VALUE"""),"learn_tabletennis")</f>
        <v>learn_tabletennis</v>
      </c>
    </row>
    <row r="3035">
      <c r="A3035" s="8" t="str">
        <f>IFERROR(__xludf.DUMMYFUNCTION("""COMPUTED_VALUE"""),"tabletennis__china")</f>
        <v>tabletennis__china</v>
      </c>
    </row>
    <row r="3036">
      <c r="A3036" s="8" t="str">
        <f>IFERROR(__xludf.DUMMYFUNCTION("""COMPUTED_VALUE"""),"tabletenniseng")</f>
        <v>tabletenniseng</v>
      </c>
    </row>
    <row r="3037">
      <c r="A3037" s="8" t="str">
        <f>IFERROR(__xludf.DUMMYFUNCTION("""COMPUTED_VALUE"""),"celes.tattoo")</f>
        <v>celes.tattoo</v>
      </c>
    </row>
    <row r="3038">
      <c r="A3038" s="8" t="str">
        <f>IFERROR(__xludf.DUMMYFUNCTION("""COMPUTED_VALUE"""),"danger_tattoo_art")</f>
        <v>danger_tattoo_art</v>
      </c>
    </row>
    <row r="3039">
      <c r="A3039" s="8" t="str">
        <f>IFERROR(__xludf.DUMMYFUNCTION("""COMPUTED_VALUE"""),"_gabriele_pellerone")</f>
        <v>_gabriele_pellerone</v>
      </c>
    </row>
    <row r="3040">
      <c r="A3040" s="8" t="str">
        <f>IFERROR(__xludf.DUMMYFUNCTION("""COMPUTED_VALUE"""),"gloria_tattoo_art")</f>
        <v>gloria_tattoo_art</v>
      </c>
    </row>
    <row r="3041">
      <c r="A3041" s="8" t="str">
        <f>IFERROR(__xludf.DUMMYFUNCTION("""COMPUTED_VALUE"""),"hptattooart")</f>
        <v>hptattooart</v>
      </c>
    </row>
    <row r="3042">
      <c r="A3042" s="8" t="str">
        <f>IFERROR(__xludf.DUMMYFUNCTION("""COMPUTED_VALUE"""),"juniiortattooart")</f>
        <v>juniiortattooart</v>
      </c>
    </row>
    <row r="3043">
      <c r="A3043" s="8" t="str">
        <f>IFERROR(__xludf.DUMMYFUNCTION("""COMPUTED_VALUE"""),"juninhoart.tattoo")</f>
        <v>juninhoart.tattoo</v>
      </c>
    </row>
    <row r="3044">
      <c r="A3044" s="8" t="str">
        <f>IFERROR(__xludf.DUMMYFUNCTION("""COMPUTED_VALUE"""),"kellytattooartt")</f>
        <v>kellytattooartt</v>
      </c>
    </row>
    <row r="3045">
      <c r="A3045" s="8" t="str">
        <f>IFERROR(__xludf.DUMMYFUNCTION("""COMPUTED_VALUE"""),"markdtattoo")</f>
        <v>markdtattoo</v>
      </c>
    </row>
    <row r="3046">
      <c r="A3046" s="8" t="str">
        <f>IFERROR(__xludf.DUMMYFUNCTION("""COMPUTED_VALUE"""),"tattoo_artist_magzine_")</f>
        <v>tattoo_artist_magzine_</v>
      </c>
    </row>
    <row r="3047">
      <c r="A3047" s="8" t="str">
        <f>IFERROR(__xludf.DUMMYFUNCTION("""COMPUTED_VALUE"""),"504inktattoos")</f>
        <v>504inktattoos</v>
      </c>
    </row>
    <row r="3048">
      <c r="A3048" s="8" t="str">
        <f>IFERROR(__xludf.DUMMYFUNCTION("""COMPUTED_VALUE"""),"lumina_tattoo_studio")</f>
        <v>lumina_tattoo_studio</v>
      </c>
    </row>
    <row r="3049">
      <c r="A3049" s="8" t="str">
        <f>IFERROR(__xludf.DUMMYFUNCTION("""COMPUTED_VALUE"""),"stattoos")</f>
        <v>stattoos</v>
      </c>
    </row>
    <row r="3050">
      <c r="A3050" s="8" t="str">
        <f>IFERROR(__xludf.DUMMYFUNCTION("""COMPUTED_VALUE"""),"suckytattoos")</f>
        <v>suckytattoos</v>
      </c>
    </row>
    <row r="3051">
      <c r="A3051" s="8" t="str">
        <f>IFERROR(__xludf.DUMMYFUNCTION("""COMPUTED_VALUE"""),"tappintatts")</f>
        <v>tappintatts</v>
      </c>
    </row>
    <row r="3052">
      <c r="A3052" s="8" t="str">
        <f>IFERROR(__xludf.DUMMYFUNCTION("""COMPUTED_VALUE"""),"tattooinkspiration")</f>
        <v>tattooinkspiration</v>
      </c>
    </row>
    <row r="3053">
      <c r="A3053" s="8" t="str">
        <f>IFERROR(__xludf.DUMMYFUNCTION("""COMPUTED_VALUE"""),"tattoos")</f>
        <v>tattoos</v>
      </c>
    </row>
    <row r="3054">
      <c r="A3054" s="8" t="str">
        <f>IFERROR(__xludf.DUMMYFUNCTION("""COMPUTED_VALUE"""),"tattoosbyprince")</f>
        <v>tattoosbyprince</v>
      </c>
    </row>
    <row r="3055">
      <c r="A3055" s="8" t="str">
        <f>IFERROR(__xludf.DUMMYFUNCTION("""COMPUTED_VALUE"""),"tattooselection")</f>
        <v>tattooselection</v>
      </c>
    </row>
    <row r="3056">
      <c r="A3056" s="8" t="str">
        <f>IFERROR(__xludf.DUMMYFUNCTION("""COMPUTED_VALUE"""),"tattoosnob")</f>
        <v>tattoosnob</v>
      </c>
    </row>
    <row r="3057">
      <c r="A3057" s="8" t="str">
        <f>IFERROR(__xludf.DUMMYFUNCTION("""COMPUTED_VALUE"""),"tattoos_of_inked")</f>
        <v>tattoos_of_inked</v>
      </c>
    </row>
    <row r="3058">
      <c r="A3058" s="8" t="str">
        <f>IFERROR(__xludf.DUMMYFUNCTION("""COMPUTED_VALUE"""),"tattoos_of_inkedmag")</f>
        <v>tattoos_of_inkedmag</v>
      </c>
    </row>
    <row r="3059">
      <c r="A3059" s="8" t="str">
        <f>IFERROR(__xludf.DUMMYFUNCTION("""COMPUTED_VALUE"""),"tatuaggi_")</f>
        <v>tatuaggi_</v>
      </c>
    </row>
    <row r="3060">
      <c r="A3060" s="8" t="str">
        <f>IFERROR(__xludf.DUMMYFUNCTION("""COMPUTED_VALUE"""),"tatuajespics")</f>
        <v>tatuajespics</v>
      </c>
    </row>
    <row r="3061">
      <c r="A3061" s="8" t="str">
        <f>IFERROR(__xludf.DUMMYFUNCTION("""COMPUTED_VALUE"""),"rising.tech")</f>
        <v>rising.tech</v>
      </c>
    </row>
    <row r="3062">
      <c r="A3062" s="8" t="str">
        <f>IFERROR(__xludf.DUMMYFUNCTION("""COMPUTED_VALUE"""),"techplusgadgets")</f>
        <v>techplusgadgets</v>
      </c>
    </row>
    <row r="3063">
      <c r="A3063" s="8" t="str">
        <f>IFERROR(__xludf.DUMMYFUNCTION("""COMPUTED_VALUE"""),"trendytechreview")</f>
        <v>trendytechreview</v>
      </c>
    </row>
    <row r="3064">
      <c r="A3064" s="8" t="str">
        <f>IFERROR(__xludf.DUMMYFUNCTION("""COMPUTED_VALUE"""),"wa_reviews")</f>
        <v>wa_reviews</v>
      </c>
    </row>
    <row r="3065">
      <c r="A3065" s="8" t="str">
        <f>IFERROR(__xludf.DUMMYFUNCTION("""COMPUTED_VALUE"""),"metal_thrift_")</f>
        <v>metal_thrift_</v>
      </c>
    </row>
    <row r="3066">
      <c r="A3066" s="8" t="str">
        <f>IFERROR(__xludf.DUMMYFUNCTION("""COMPUTED_VALUE"""),"ri.thrift_")</f>
        <v>ri.thrift_</v>
      </c>
    </row>
    <row r="3067">
      <c r="A3067" s="8" t="str">
        <f>IFERROR(__xludf.DUMMYFUNCTION("""COMPUTED_VALUE"""),"thrift2death")</f>
        <v>thrift2death</v>
      </c>
    </row>
    <row r="3068">
      <c r="A3068" s="8" t="str">
        <f>IFERROR(__xludf.DUMMYFUNCTION("""COMPUTED_VALUE"""),"thrift_con")</f>
        <v>thrift_con</v>
      </c>
    </row>
    <row r="3069">
      <c r="A3069" s="8" t="str">
        <f>IFERROR(__xludf.DUMMYFUNCTION("""COMPUTED_VALUE"""),"thrifting")</f>
        <v>thrifting</v>
      </c>
    </row>
    <row r="3070">
      <c r="A3070" s="11" t="str">
        <f>IFERROR(__xludf.DUMMYFUNCTION("""COMPUTED_VALUE"""),"thrift_keeper.ph")</f>
        <v>thrift_keeper.ph</v>
      </c>
    </row>
    <row r="3071">
      <c r="A3071" s="8" t="str">
        <f>IFERROR(__xludf.DUMMYFUNCTION("""COMPUTED_VALUE"""),"thriftntell")</f>
        <v>thriftntell</v>
      </c>
    </row>
    <row r="3072">
      <c r="A3072" s="8" t="str">
        <f>IFERROR(__xludf.DUMMYFUNCTION("""COMPUTED_VALUE"""),"dariaxnicole")</f>
        <v>dariaxnicole</v>
      </c>
    </row>
    <row r="3073">
      <c r="A3073" s="8" t="str">
        <f>IFERROR(__xludf.DUMMYFUNCTION("""COMPUTED_VALUE"""),"educationstartsathome")</f>
        <v>educationstartsathome</v>
      </c>
    </row>
    <row r="3074">
      <c r="A3074" s="8" t="str">
        <f>IFERROR(__xludf.DUMMYFUNCTION("""COMPUTED_VALUE"""),"littleoneslearn")</f>
        <v>littleoneslearn</v>
      </c>
    </row>
    <row r="3075">
      <c r="A3075" s="8" t="str">
        <f>IFERROR(__xludf.DUMMYFUNCTION("""COMPUTED_VALUE"""),"smallstepstoddlers")</f>
        <v>smallstepstoddlers</v>
      </c>
    </row>
    <row r="3076">
      <c r="A3076" s="8" t="str">
        <f>IFERROR(__xludf.DUMMYFUNCTION("""COMPUTED_VALUE"""),"sofiedavisdays")</f>
        <v>sofiedavisdays</v>
      </c>
    </row>
    <row r="3077">
      <c r="A3077" s="8" t="str">
        <f>IFERROR(__xludf.DUMMYFUNCTION("""COMPUTED_VALUE"""),"toddler_activities")</f>
        <v>toddler_activities</v>
      </c>
    </row>
    <row r="3078">
      <c r="A3078" s="8" t="str">
        <f>IFERROR(__xludf.DUMMYFUNCTION("""COMPUTED_VALUE"""),"toddleractivitymom")</f>
        <v>toddleractivitymom</v>
      </c>
    </row>
    <row r="3079">
      <c r="A3079" s="8" t="str">
        <f>IFERROR(__xludf.DUMMYFUNCTION("""COMPUTED_VALUE"""),"withalbinaa")</f>
        <v>withalbinaa</v>
      </c>
    </row>
    <row r="3080">
      <c r="A3080" s="8" t="str">
        <f>IFERROR(__xludf.DUMMYFUNCTION("""COMPUTED_VALUE"""),"theoriginaltokyodrift")</f>
        <v>theoriginaltokyodrift</v>
      </c>
    </row>
    <row r="3081">
      <c r="A3081" s="8" t="str">
        <f>IFERROR(__xludf.DUMMYFUNCTION("""COMPUTED_VALUE"""),"tokyo")</f>
        <v>tokyo</v>
      </c>
    </row>
    <row r="3082">
      <c r="A3082" s="8" t="str">
        <f>IFERROR(__xludf.DUMMYFUNCTION("""COMPUTED_VALUE"""),"tokyo.explores")</f>
        <v>tokyo.explores</v>
      </c>
    </row>
    <row r="3083">
      <c r="A3083" s="8" t="str">
        <f>IFERROR(__xludf.DUMMYFUNCTION("""COMPUTED_VALUE"""),"tokyoghoul")</f>
        <v>tokyoghoul</v>
      </c>
    </row>
    <row r="3084">
      <c r="A3084" s="8" t="str">
        <f>IFERROR(__xludf.DUMMYFUNCTION("""COMPUTED_VALUE"""),"tokyo.oep")</f>
        <v>tokyo.oep</v>
      </c>
    </row>
    <row r="3085">
      <c r="A3085" s="8" t="str">
        <f>IFERROR(__xludf.DUMMYFUNCTION("""COMPUTED_VALUE"""),"tokyorim")</f>
        <v>tokyorim</v>
      </c>
    </row>
    <row r="3086">
      <c r="A3086" s="8" t="str">
        <f>IFERROR(__xludf.DUMMYFUNCTION("""COMPUTED_VALUE"""),"tokyo_sims_")</f>
        <v>tokyo_sims_</v>
      </c>
    </row>
    <row r="3087">
      <c r="A3087" s="8" t="str">
        <f>IFERROR(__xludf.DUMMYFUNCTION("""COMPUTED_VALUE"""),"tokyostylez")</f>
        <v>tokyostylez</v>
      </c>
    </row>
    <row r="3088">
      <c r="A3088" s="8" t="str">
        <f>IFERROR(__xludf.DUMMYFUNCTION("""COMPUTED_VALUE"""),"tokyo_tatami")</f>
        <v>tokyo_tatami</v>
      </c>
    </row>
    <row r="3089">
      <c r="A3089" s="8" t="str">
        <f>IFERROR(__xludf.DUMMYFUNCTION("""COMPUTED_VALUE"""),"tokyo__vanity")</f>
        <v>tokyo__vanity</v>
      </c>
    </row>
    <row r="3090">
      <c r="A3090" s="8" t="str">
        <f>IFERROR(__xludf.DUMMYFUNCTION("""COMPUTED_VALUE"""),"wtaps_tokyo")</f>
        <v>wtaps_tokyo</v>
      </c>
    </row>
    <row r="3091">
      <c r="A3091" s="8" t="str">
        <f>IFERROR(__xludf.DUMMYFUNCTION("""COMPUTED_VALUE"""),"arthur.quantic")</f>
        <v>arthur.quantic</v>
      </c>
    </row>
    <row r="3092">
      <c r="A3092" s="8" t="str">
        <f>IFERROR(__xludf.DUMMYFUNCTION("""COMPUTED_VALUE"""),"daytrading")</f>
        <v>daytrading</v>
      </c>
    </row>
    <row r="3093">
      <c r="A3093" s="8" t="str">
        <f>IFERROR(__xludf.DUMMYFUNCTION("""COMPUTED_VALUE"""),"d.shwchk")</f>
        <v>d.shwchk</v>
      </c>
    </row>
    <row r="3094">
      <c r="A3094" s="8" t="str">
        <f>IFERROR(__xludf.DUMMYFUNCTION("""COMPUTED_VALUE"""),"emwtrading")</f>
        <v>emwtrading</v>
      </c>
    </row>
    <row r="3095">
      <c r="A3095" s="8" t="str">
        <f>IFERROR(__xludf.DUMMYFUNCTION("""COMPUTED_VALUE"""),"gpsotrader")</f>
        <v>gpsotrader</v>
      </c>
    </row>
    <row r="3096">
      <c r="A3096" s="8" t="str">
        <f>IFERROR(__xludf.DUMMYFUNCTION("""COMPUTED_VALUE"""),"laucalderon22")</f>
        <v>laucalderon22</v>
      </c>
    </row>
    <row r="3097">
      <c r="A3097" s="8" t="str">
        <f>IFERROR(__xludf.DUMMYFUNCTION("""COMPUTED_VALUE"""),"levante_trading")</f>
        <v>levante_trading</v>
      </c>
    </row>
    <row r="3098">
      <c r="A3098" s="8" t="str">
        <f>IFERROR(__xludf.DUMMYFUNCTION("""COMPUTED_VALUE"""),"officialpbtrading")</f>
        <v>officialpbtrading</v>
      </c>
    </row>
    <row r="3099">
      <c r="A3099" s="8" t="str">
        <f>IFERROR(__xludf.DUMMYFUNCTION("""COMPUTED_VALUE"""),"relm_27")</f>
        <v>relm_27</v>
      </c>
    </row>
    <row r="3100">
      <c r="A3100" s="8" t="str">
        <f>IFERROR(__xludf.DUMMYFUNCTION("""COMPUTED_VALUE"""),"the.trading.house.show")</f>
        <v>the.trading.house.show</v>
      </c>
    </row>
    <row r="3101">
      <c r="A3101" s="8" t="str">
        <f>IFERROR(__xludf.DUMMYFUNCTION("""COMPUTED_VALUE"""),"trading")</f>
        <v>trading</v>
      </c>
    </row>
    <row r="3102">
      <c r="A3102" s="8" t="str">
        <f>IFERROR(__xludf.DUMMYFUNCTION("""COMPUTED_VALUE"""),"tradingelder")</f>
        <v>tradingelder</v>
      </c>
    </row>
    <row r="3103">
      <c r="A3103" s="8" t="str">
        <f>IFERROR(__xludf.DUMMYFUNCTION("""COMPUTED_VALUE"""),"_trading.motivation_")</f>
        <v>_trading.motivation_</v>
      </c>
    </row>
    <row r="3104">
      <c r="A3104" s="8" t="str">
        <f>IFERROR(__xludf.DUMMYFUNCTION("""COMPUTED_VALUE"""),"trading_raj01")</f>
        <v>trading_raj01</v>
      </c>
    </row>
    <row r="3105">
      <c r="A3105" s="8" t="str">
        <f>IFERROR(__xludf.DUMMYFUNCTION("""COMPUTED_VALUE"""),"tradingview")</f>
        <v>tradingview</v>
      </c>
    </row>
    <row r="3106">
      <c r="A3106" s="8" t="str">
        <f>IFERROR(__xludf.DUMMYFUNCTION("""COMPUTED_VALUE"""),"zql_trading")</f>
        <v>zql_trading</v>
      </c>
    </row>
    <row r="3107">
      <c r="A3107" s="8" t="str">
        <f>IFERROR(__xludf.DUMMYFUNCTION("""COMPUTED_VALUE"""),"natgeotravel")</f>
        <v>natgeotravel</v>
      </c>
    </row>
    <row r="3108">
      <c r="A3108" s="8" t="str">
        <f>IFERROR(__xludf.DUMMYFUNCTION("""COMPUTED_VALUE"""),"nesin_travel_")</f>
        <v>nesin_travel_</v>
      </c>
    </row>
    <row r="3109">
      <c r="A3109" s="8" t="str">
        <f>IFERROR(__xludf.DUMMYFUNCTION("""COMPUTED_VALUE"""),"panicframetravel")</f>
        <v>panicframetravel</v>
      </c>
    </row>
    <row r="3110">
      <c r="A3110" s="8" t="str">
        <f>IFERROR(__xludf.DUMMYFUNCTION("""COMPUTED_VALUE"""),"the_travel_expert")</f>
        <v>the_travel_expert</v>
      </c>
    </row>
    <row r="3111">
      <c r="A3111" s="8" t="str">
        <f>IFERROR(__xludf.DUMMYFUNCTION("""COMPUTED_VALUE"""),"travel")</f>
        <v>travel</v>
      </c>
    </row>
    <row r="3112">
      <c r="A3112" s="8" t="str">
        <f>IFERROR(__xludf.DUMMYFUNCTION("""COMPUTED_VALUE"""),"travelandleisure")</f>
        <v>travelandleisure</v>
      </c>
    </row>
    <row r="3113">
      <c r="A3113" s="8" t="str">
        <f>IFERROR(__xludf.DUMMYFUNCTION("""COMPUTED_VALUE"""),"traveler")</f>
        <v>traveler</v>
      </c>
    </row>
    <row r="3114">
      <c r="A3114" s="8" t="str">
        <f>IFERROR(__xludf.DUMMYFUNCTION("""COMPUTED_VALUE"""),"travel_.nirvana_")</f>
        <v>travel_.nirvana_</v>
      </c>
    </row>
    <row r="3115">
      <c r="A3115" s="8" t="str">
        <f>IFERROR(__xludf.DUMMYFUNCTION("""COMPUTED_VALUE"""),"travel.nirvana_")</f>
        <v>travel.nirvana_</v>
      </c>
    </row>
    <row r="3116">
      <c r="A3116" s="8" t="str">
        <f>IFERROR(__xludf.DUMMYFUNCTION("""COMPUTED_VALUE"""),"travel_place._")</f>
        <v>travel_place._</v>
      </c>
    </row>
    <row r="3117">
      <c r="A3117" s="11" t="str">
        <f>IFERROR(__xludf.DUMMYFUNCTION("""COMPUTED_VALUE"""),"travel.russia.travel")</f>
        <v>travel.russia.travel</v>
      </c>
    </row>
    <row r="3118">
      <c r="A3118" s="8" t="str">
        <f>IFERROR(__xludf.DUMMYFUNCTION("""COMPUTED_VALUE"""),"travel__vibes_")</f>
        <v>travel__vibes_</v>
      </c>
    </row>
    <row r="3119">
      <c r="A3119" s="8" t="str">
        <f>IFERROR(__xludf.DUMMYFUNCTION("""COMPUTED_VALUE"""),"world_of.travel_")</f>
        <v>world_of.travel_</v>
      </c>
    </row>
    <row r="3120">
      <c r="A3120" s="8" t="str">
        <f>IFERROR(__xludf.DUMMYFUNCTION("""COMPUTED_VALUE"""),"yacht_travel")</f>
        <v>yacht_travel</v>
      </c>
    </row>
    <row r="3121">
      <c r="A3121" s="8" t="str">
        <f>IFERROR(__xludf.DUMMYFUNCTION("""COMPUTED_VALUE"""),"floridatravelguide")</f>
        <v>floridatravelguide</v>
      </c>
    </row>
    <row r="3122">
      <c r="A3122" s="8" t="str">
        <f>IFERROR(__xludf.DUMMYFUNCTION("""COMPUTED_VALUE"""),"forbestravelguide")</f>
        <v>forbestravelguide</v>
      </c>
    </row>
    <row r="3123">
      <c r="A3123" s="8" t="str">
        <f>IFERROR(__xludf.DUMMYFUNCTION("""COMPUTED_VALUE"""),"popcorn.paris")</f>
        <v>popcorn.paris</v>
      </c>
    </row>
    <row r="3124">
      <c r="A3124" s="8" t="str">
        <f>IFERROR(__xludf.DUMMYFUNCTION("""COMPUTED_VALUE"""),"syifa_in_switzerland")</f>
        <v>syifa_in_switzerland</v>
      </c>
    </row>
    <row r="3125">
      <c r="A3125" s="11" t="str">
        <f>IFERROR(__xludf.DUMMYFUNCTION("""COMPUTED_VALUE"""),"travelguide.kw")</f>
        <v>travelguide.kw</v>
      </c>
    </row>
    <row r="3126">
      <c r="A3126" s="8" t="str">
        <f>IFERROR(__xludf.DUMMYFUNCTION("""COMPUTED_VALUE"""),"travel_guidenl")</f>
        <v>travel_guidenl</v>
      </c>
    </row>
    <row r="3127">
      <c r="A3127" s="8" t="str">
        <f>IFERROR(__xludf.DUMMYFUNCTION("""COMPUTED_VALUE"""),"travel_guide_raja")</f>
        <v>travel_guide_raja</v>
      </c>
    </row>
    <row r="3128">
      <c r="A3128" s="8" t="str">
        <f>IFERROR(__xludf.DUMMYFUNCTION("""COMPUTED_VALUE"""),"travelguides")</f>
        <v>travelguides</v>
      </c>
    </row>
    <row r="3129">
      <c r="A3129" s="8" t="str">
        <f>IFERROR(__xludf.DUMMYFUNCTION("""COMPUTED_VALUE"""),"travelguidesasheville")</f>
        <v>travelguidesasheville</v>
      </c>
    </row>
    <row r="3130">
      <c r="A3130" s="8" t="str">
        <f>IFERROR(__xludf.DUMMYFUNCTION("""COMPUTED_VALUE"""),"travelhackings")</f>
        <v>travelhackings</v>
      </c>
    </row>
    <row r="3131">
      <c r="A3131" s="8" t="str">
        <f>IFERROR(__xludf.DUMMYFUNCTION("""COMPUTED_VALUE"""),"travelhacksphilippines")</f>
        <v>travelhacksphilippines</v>
      </c>
    </row>
    <row r="3132">
      <c r="A3132" s="8" t="str">
        <f>IFERROR(__xludf.DUMMYFUNCTION("""COMPUTED_VALUE"""),"alex_stead")</f>
        <v>alex_stead</v>
      </c>
    </row>
    <row r="3133">
      <c r="A3133" s="8" t="str">
        <f>IFERROR(__xludf.DUMMYFUNCTION("""COMPUTED_VALUE"""),"ericrubens")</f>
        <v>ericrubens</v>
      </c>
    </row>
    <row r="3134">
      <c r="A3134" s="8" t="str">
        <f>IFERROR(__xludf.DUMMYFUNCTION("""COMPUTED_VALUE"""),"iconic.photographer_ig")</f>
        <v>iconic.photographer_ig</v>
      </c>
    </row>
    <row r="3135">
      <c r="A3135" s="8" t="str">
        <f>IFERROR(__xludf.DUMMYFUNCTION("""COMPUTED_VALUE"""),"jj.trailwalker")</f>
        <v>jj.trailwalker</v>
      </c>
    </row>
    <row r="3136">
      <c r="A3136" s="8" t="str">
        <f>IFERROR(__xludf.DUMMYFUNCTION("""COMPUTED_VALUE"""),"jordhammond")</f>
        <v>jordhammond</v>
      </c>
    </row>
    <row r="3137">
      <c r="A3137" s="8" t="str">
        <f>IFERROR(__xludf.DUMMYFUNCTION("""COMPUTED_VALUE"""),"lateef.photography")</f>
        <v>lateef.photography</v>
      </c>
    </row>
    <row r="3138">
      <c r="A3138" s="8" t="str">
        <f>IFERROR(__xludf.DUMMYFUNCTION("""COMPUTED_VALUE"""),"nomadict")</f>
        <v>nomadict</v>
      </c>
    </row>
    <row r="3139">
      <c r="A3139" s="8" t="str">
        <f>IFERROR(__xludf.DUMMYFUNCTION("""COMPUTED_VALUE"""),"official_photographers_hub")</f>
        <v>official_photographers_hub</v>
      </c>
    </row>
    <row r="3140">
      <c r="A3140" s="8" t="str">
        <f>IFERROR(__xludf.DUMMYFUNCTION("""COMPUTED_VALUE"""),"tom_juenemann")</f>
        <v>tom_juenemann</v>
      </c>
    </row>
    <row r="3141">
      <c r="A3141" s="8" t="str">
        <f>IFERROR(__xludf.DUMMYFUNCTION("""COMPUTED_VALUE"""),"travelfotography_")</f>
        <v>travelfotography_</v>
      </c>
    </row>
    <row r="3142">
      <c r="A3142" s="8" t="str">
        <f>IFERROR(__xludf.DUMMYFUNCTION("""COMPUTED_VALUE"""),"travelphotographeroftheyear")</f>
        <v>travelphotographeroftheyear</v>
      </c>
    </row>
    <row r="3143">
      <c r="A3143" s="8" t="str">
        <f>IFERROR(__xludf.DUMMYFUNCTION("""COMPUTED_VALUE"""),"travel_photography_")</f>
        <v>travel_photography_</v>
      </c>
    </row>
    <row r="3144">
      <c r="A3144" s="8" t="str">
        <f>IFERROR(__xludf.DUMMYFUNCTION("""COMPUTED_VALUE"""),"discover_corfu")</f>
        <v>discover_corfu</v>
      </c>
    </row>
    <row r="3145">
      <c r="A3145" s="8" t="str">
        <f>IFERROR(__xludf.DUMMYFUNCTION("""COMPUTED_VALUE"""),"emsbudgettravel")</f>
        <v>emsbudgettravel</v>
      </c>
    </row>
    <row r="3146">
      <c r="A3146" s="11" t="str">
        <f>IFERROR(__xludf.DUMMYFUNCTION("""COMPUTED_VALUE"""),"lisbon.travel")</f>
        <v>lisbon.travel</v>
      </c>
    </row>
    <row r="3147">
      <c r="A3147" s="8" t="str">
        <f>IFERROR(__xludf.DUMMYFUNCTION("""COMPUTED_VALUE"""),"london.travelers")</f>
        <v>london.travelers</v>
      </c>
    </row>
    <row r="3148">
      <c r="A3148" s="8" t="str">
        <f>IFERROR(__xludf.DUMMYFUNCTION("""COMPUTED_VALUE"""),"passaporte_portugues")</f>
        <v>passaporte_portugues</v>
      </c>
    </row>
    <row r="3149">
      <c r="A3149" s="8" t="str">
        <f>IFERROR(__xludf.DUMMYFUNCTION("""COMPUTED_VALUE"""),"travel2amsterdam")</f>
        <v>travel2amsterdam</v>
      </c>
    </row>
    <row r="3150">
      <c r="A3150" s="8" t="str">
        <f>IFERROR(__xludf.DUMMYFUNCTION("""COMPUTED_VALUE"""),"traveltipsbylaurie")</f>
        <v>traveltipsbylaurie</v>
      </c>
    </row>
    <row r="3151">
      <c r="A3151" s="8" t="str">
        <f>IFERROR(__xludf.DUMMYFUNCTION("""COMPUTED_VALUE"""),"traveltipswithjay")</f>
        <v>traveltipswithjay</v>
      </c>
    </row>
    <row r="3152">
      <c r="A3152" s="8" t="str">
        <f>IFERROR(__xludf.DUMMYFUNCTION("""COMPUTED_VALUE"""),"tsa")</f>
        <v>tsa</v>
      </c>
    </row>
    <row r="3153">
      <c r="A3153" s="8" t="str">
        <f>IFERROR(__xludf.DUMMYFUNCTION("""COMPUTED_VALUE"""),"venturelikevic")</f>
        <v>venturelikevic</v>
      </c>
    </row>
    <row r="3154">
      <c r="A3154" s="8" t="str">
        <f>IFERROR(__xludf.DUMMYFUNCTION("""COMPUTED_VALUE"""),"bossfamilyworkout")</f>
        <v>bossfamilyworkout</v>
      </c>
    </row>
    <row r="3155">
      <c r="A3155" s="8" t="str">
        <f>IFERROR(__xludf.DUMMYFUNCTION("""COMPUTED_VALUE"""),"ckverse_twitch")</f>
        <v>ckverse_twitch</v>
      </c>
    </row>
    <row r="3156">
      <c r="A3156" s="8" t="str">
        <f>IFERROR(__xludf.DUMMYFUNCTION("""COMPUTED_VALUE"""),"dammytwitch")</f>
        <v>dammytwitch</v>
      </c>
    </row>
    <row r="3157">
      <c r="A3157" s="8" t="str">
        <f>IFERROR(__xludf.DUMMYFUNCTION("""COMPUTED_VALUE"""),"deejaytwitch")</f>
        <v>deejaytwitch</v>
      </c>
    </row>
    <row r="3158">
      <c r="A3158" s="8" t="str">
        <f>IFERROR(__xludf.DUMMYFUNCTION("""COMPUTED_VALUE"""),"katha_on_twitch")</f>
        <v>katha_on_twitch</v>
      </c>
    </row>
    <row r="3159">
      <c r="A3159" s="8" t="str">
        <f>IFERROR(__xludf.DUMMYFUNCTION("""COMPUTED_VALUE"""),"sir_twitch_alot")</f>
        <v>sir_twitch_alot</v>
      </c>
    </row>
    <row r="3160">
      <c r="A3160" s="8" t="str">
        <f>IFERROR(__xludf.DUMMYFUNCTION("""COMPUTED_VALUE"""),"tiwtchy.witch")</f>
        <v>tiwtchy.witch</v>
      </c>
    </row>
    <row r="3161">
      <c r="A3161" s="8" t="str">
        <f>IFERROR(__xludf.DUMMYFUNCTION("""COMPUTED_VALUE"""),"twitch")</f>
        <v>twitch</v>
      </c>
    </row>
    <row r="3162">
      <c r="A3162" s="8" t="str">
        <f>IFERROR(__xludf.DUMMYFUNCTION("""COMPUTED_VALUE"""),"twitchettshome")</f>
        <v>twitchettshome</v>
      </c>
    </row>
    <row r="3163">
      <c r="A3163" s="8" t="str">
        <f>IFERROR(__xludf.DUMMYFUNCTION("""COMPUTED_VALUE"""),"twitchhubclips")</f>
        <v>twitchhubclips</v>
      </c>
    </row>
    <row r="3164">
      <c r="A3164" s="8" t="str">
        <f>IFERROR(__xludf.DUMMYFUNCTION("""COMPUTED_VALUE"""),"twitch_kingshakour")</f>
        <v>twitch_kingshakour</v>
      </c>
    </row>
    <row r="3165">
      <c r="A3165" s="8" t="str">
        <f>IFERROR(__xludf.DUMMYFUNCTION("""COMPUTED_VALUE"""),"twitchthis8")</f>
        <v>twitchthis8</v>
      </c>
    </row>
    <row r="3166">
      <c r="A3166" s="8" t="str">
        <f>IFERROR(__xludf.DUMMYFUNCTION("""COMPUTED_VALUE"""),"daisy_burtis")</f>
        <v>daisy_burtis</v>
      </c>
    </row>
    <row r="3167">
      <c r="A3167" s="8" t="str">
        <f>IFERROR(__xludf.DUMMYFUNCTION("""COMPUTED_VALUE"""),"unboxing__24")</f>
        <v>unboxing__24</v>
      </c>
    </row>
    <row r="3168">
      <c r="A3168" s="8" t="str">
        <f>IFERROR(__xludf.DUMMYFUNCTION("""COMPUTED_VALUE"""),"unboxinganimes")</f>
        <v>unboxinganimes</v>
      </c>
    </row>
    <row r="3169">
      <c r="A3169" s="8" t="str">
        <f>IFERROR(__xludf.DUMMYFUNCTION("""COMPUTED_VALUE"""),"unboxingbrosph")</f>
        <v>unboxingbrosph</v>
      </c>
    </row>
    <row r="3170">
      <c r="A3170" s="8" t="str">
        <f>IFERROR(__xludf.DUMMYFUNCTION("""COMPUTED_VALUE"""),"unboxingfails")</f>
        <v>unboxingfails</v>
      </c>
    </row>
    <row r="3171">
      <c r="A3171" s="8" t="str">
        <f>IFERROR(__xludf.DUMMYFUNCTION("""COMPUTED_VALUE"""),"unboxing.japan")</f>
        <v>unboxing.japan</v>
      </c>
    </row>
    <row r="3172">
      <c r="A3172" s="8" t="str">
        <f>IFERROR(__xludf.DUMMYFUNCTION("""COMPUTED_VALUE"""),"unboxingtn")</f>
        <v>unboxingtn</v>
      </c>
    </row>
    <row r="3173">
      <c r="A3173" s="8" t="str">
        <f>IFERROR(__xludf.DUMMYFUNCTION("""COMPUTED_VALUE"""),"cristiana.dantuono")</f>
        <v>cristiana.dantuono</v>
      </c>
    </row>
    <row r="3174">
      <c r="A3174" s="8" t="str">
        <f>IFERROR(__xludf.DUMMYFUNCTION("""COMPUTED_VALUE"""),"fem.upcycling")</f>
        <v>fem.upcycling</v>
      </c>
    </row>
    <row r="3175">
      <c r="A3175" s="8" t="str">
        <f>IFERROR(__xludf.DUMMYFUNCTION("""COMPUTED_VALUE"""),"laeticia_upcycling")</f>
        <v>laeticia_upcycling</v>
      </c>
    </row>
    <row r="3176">
      <c r="A3176" s="8" t="str">
        <f>IFERROR(__xludf.DUMMYFUNCTION("""COMPUTED_VALUE"""),"marine_diogo")</f>
        <v>marine_diogo</v>
      </c>
    </row>
    <row r="3177">
      <c r="A3177" s="8" t="str">
        <f>IFERROR(__xludf.DUMMYFUNCTION("""COMPUTED_VALUE"""),"ns.gblack")</f>
        <v>ns.gblack</v>
      </c>
    </row>
    <row r="3178">
      <c r="A3178" s="8" t="str">
        <f>IFERROR(__xludf.DUMMYFUNCTION("""COMPUTED_VALUE"""),"oficinamuda")</f>
        <v>oficinamuda</v>
      </c>
    </row>
    <row r="3179">
      <c r="A3179" s="11" t="str">
        <f>IFERROR(__xludf.DUMMYFUNCTION("""COMPUTED_VALUE"""),"pablita.com.br")</f>
        <v>pablita.com.br</v>
      </c>
    </row>
    <row r="3180">
      <c r="A3180" s="8" t="str">
        <f>IFERROR(__xludf.DUMMYFUNCTION("""COMPUTED_VALUE"""),"rewovenshop")</f>
        <v>rewovenshop</v>
      </c>
    </row>
    <row r="3181">
      <c r="A3181" s="8" t="str">
        <f>IFERROR(__xludf.DUMMYFUNCTION("""COMPUTED_VALUE"""),"rwrkstudio")</f>
        <v>rwrkstudio</v>
      </c>
    </row>
    <row r="3182">
      <c r="A3182" s="8" t="str">
        <f>IFERROR(__xludf.DUMMYFUNCTION("""COMPUTED_VALUE"""),"the_1of1_")</f>
        <v>the_1of1_</v>
      </c>
    </row>
    <row r="3183">
      <c r="A3183" s="8" t="str">
        <f>IFERROR(__xludf.DUMMYFUNCTION("""COMPUTED_VALUE"""),"theneedlegang")</f>
        <v>theneedlegang</v>
      </c>
    </row>
    <row r="3184">
      <c r="A3184" s="8" t="str">
        <f>IFERROR(__xludf.DUMMYFUNCTION("""COMPUTED_VALUE"""),"thewhitethistle")</f>
        <v>thewhitethistle</v>
      </c>
    </row>
    <row r="3185">
      <c r="A3185" s="8" t="str">
        <f>IFERROR(__xludf.DUMMYFUNCTION("""COMPUTED_VALUE"""),"usecorviva")</f>
        <v>usecorviva</v>
      </c>
    </row>
    <row r="3186">
      <c r="A3186" s="8" t="str">
        <f>IFERROR(__xludf.DUMMYFUNCTION("""COMPUTED_VALUE"""),"asik.berkebun")</f>
        <v>asik.berkebun</v>
      </c>
    </row>
    <row r="3187">
      <c r="A3187" s="8" t="str">
        <f>IFERROR(__xludf.DUMMYFUNCTION("""COMPUTED_VALUE"""),"bestvacations")</f>
        <v>bestvacations</v>
      </c>
    </row>
    <row r="3188">
      <c r="A3188" s="8" t="str">
        <f>IFERROR(__xludf.DUMMYFUNCTION("""COMPUTED_VALUE"""),"ciao.ciao.vacation")</f>
        <v>ciao.ciao.vacation</v>
      </c>
    </row>
    <row r="3189">
      <c r="A3189" s="8" t="str">
        <f>IFERROR(__xludf.DUMMYFUNCTION("""COMPUTED_VALUE"""),"expressionztravels")</f>
        <v>expressionztravels</v>
      </c>
    </row>
    <row r="3190">
      <c r="A3190" s="8" t="str">
        <f>IFERROR(__xludf.DUMMYFUNCTION("""COMPUTED_VALUE"""),"italyadventurer")</f>
        <v>italyadventurer</v>
      </c>
    </row>
    <row r="3191">
      <c r="A3191" s="8" t="str">
        <f>IFERROR(__xludf.DUMMYFUNCTION("""COMPUTED_VALUE"""),"lacampagne_beachresort")</f>
        <v>lacampagne_beachresort</v>
      </c>
    </row>
    <row r="3192">
      <c r="A3192" s="8" t="str">
        <f>IFERROR(__xludf.DUMMYFUNCTION("""COMPUTED_VALUE"""),"the_vacation_shop_official")</f>
        <v>the_vacation_shop_official</v>
      </c>
    </row>
    <row r="3193">
      <c r="A3193" s="8" t="str">
        <f>IFERROR(__xludf.DUMMYFUNCTION("""COMPUTED_VALUE"""),"thevvsofficial")</f>
        <v>thevvsofficial</v>
      </c>
    </row>
    <row r="3194">
      <c r="A3194" s="8" t="str">
        <f>IFERROR(__xludf.DUMMYFUNCTION("""COMPUTED_VALUE"""),"vacation")</f>
        <v>vacation</v>
      </c>
    </row>
    <row r="3195">
      <c r="A3195" s="8" t="str">
        <f>IFERROR(__xludf.DUMMYFUNCTION("""COMPUTED_VALUE"""),"vacation_eg")</f>
        <v>vacation_eg</v>
      </c>
    </row>
    <row r="3196">
      <c r="A3196" s="8" t="str">
        <f>IFERROR(__xludf.DUMMYFUNCTION("""COMPUTED_VALUE"""),"vacationinc")</f>
        <v>vacationinc</v>
      </c>
    </row>
    <row r="3197">
      <c r="A3197" s="8" t="str">
        <f>IFERROR(__xludf.DUMMYFUNCTION("""COMPUTED_VALUE"""),"vacations")</f>
        <v>vacations</v>
      </c>
    </row>
    <row r="3198">
      <c r="A3198" s="8" t="str">
        <f>IFERROR(__xludf.DUMMYFUNCTION("""COMPUTED_VALUE"""),"vacationsband_")</f>
        <v>vacationsband_</v>
      </c>
    </row>
    <row r="3199">
      <c r="A3199" s="8" t="str">
        <f>IFERROR(__xludf.DUMMYFUNCTION("""COMPUTED_VALUE"""),"esvalorant")</f>
        <v>esvalorant</v>
      </c>
    </row>
    <row r="3200">
      <c r="A3200" s="8" t="str">
        <f>IFERROR(__xludf.DUMMYFUNCTION("""COMPUTED_VALUE"""),"t1.valorant")</f>
        <v>t1.valorant</v>
      </c>
    </row>
    <row r="3201">
      <c r="A3201" s="8" t="str">
        <f>IFERROR(__xludf.DUMMYFUNCTION("""COMPUTED_VALUE"""),"valesportsna")</f>
        <v>valesportsna</v>
      </c>
    </row>
    <row r="3202">
      <c r="A3202" s="8" t="str">
        <f>IFERROR(__xludf.DUMMYFUNCTION("""COMPUTED_VALUE"""),"valorant")</f>
        <v>valorant</v>
      </c>
    </row>
    <row r="3203">
      <c r="A3203" s="8" t="str">
        <f>IFERROR(__xludf.DUMMYFUNCTION("""COMPUTED_VALUE"""),"valorantbrasil")</f>
        <v>valorantbrasil</v>
      </c>
    </row>
    <row r="3204">
      <c r="A3204" s="8" t="str">
        <f>IFERROR(__xludf.DUMMYFUNCTION("""COMPUTED_VALUE"""),"valorantde")</f>
        <v>valorantde</v>
      </c>
    </row>
    <row r="3205">
      <c r="A3205" s="8" t="str">
        <f>IFERROR(__xludf.DUMMYFUNCTION("""COMPUTED_VALUE"""),"valorantdose")</f>
        <v>valorantdose</v>
      </c>
    </row>
    <row r="3206">
      <c r="A3206" s="8" t="str">
        <f>IFERROR(__xludf.DUMMYFUNCTION("""COMPUTED_VALUE"""),"valorantesports")</f>
        <v>valorantesports</v>
      </c>
    </row>
    <row r="3207">
      <c r="A3207" s="8" t="str">
        <f>IFERROR(__xludf.DUMMYFUNCTION("""COMPUTED_VALUE"""),"valorantfr")</f>
        <v>valorantfr</v>
      </c>
    </row>
    <row r="3208">
      <c r="A3208" s="8" t="str">
        <f>IFERROR(__xludf.DUMMYFUNCTION("""COMPUTED_VALUE"""),"valorantid")</f>
        <v>valorantid</v>
      </c>
    </row>
    <row r="3209">
      <c r="A3209" s="8" t="str">
        <f>IFERROR(__xludf.DUMMYFUNCTION("""COMPUTED_VALUE"""),"valorantkr")</f>
        <v>valorantkr</v>
      </c>
    </row>
    <row r="3210">
      <c r="A3210" s="8" t="str">
        <f>IFERROR(__xludf.DUMMYFUNCTION("""COMPUTED_VALUE"""),"valorantlatam")</f>
        <v>valorantlatam</v>
      </c>
    </row>
    <row r="3211">
      <c r="A3211" s="8" t="str">
        <f>IFERROR(__xludf.DUMMYFUNCTION("""COMPUTED_VALUE"""),"valorantph")</f>
        <v>valorantph</v>
      </c>
    </row>
    <row r="3212">
      <c r="A3212" s="8" t="str">
        <f>IFERROR(__xludf.DUMMYFUNCTION("""COMPUTED_VALUE"""),"valorantpl")</f>
        <v>valorantpl</v>
      </c>
    </row>
    <row r="3213">
      <c r="A3213" s="8" t="str">
        <f>IFERROR(__xludf.DUMMYFUNCTION("""COMPUTED_VALUE"""),"valorantth")</f>
        <v>valorantth</v>
      </c>
    </row>
    <row r="3214">
      <c r="A3214" s="8" t="str">
        <f>IFERROR(__xludf.DUMMYFUNCTION("""COMPUTED_VALUE"""),"valoranttr")</f>
        <v>valoranttr</v>
      </c>
    </row>
    <row r="3215">
      <c r="A3215" s="8" t="str">
        <f>IFERROR(__xludf.DUMMYFUNCTION("""COMPUTED_VALUE"""),"valoranttw")</f>
        <v>valoranttw</v>
      </c>
    </row>
    <row r="3216">
      <c r="A3216" s="8" t="str">
        <f>IFERROR(__xludf.DUMMYFUNCTION("""COMPUTED_VALUE"""),"valorantvn")</f>
        <v>valorantvn</v>
      </c>
    </row>
    <row r="3217">
      <c r="A3217" s="8" t="str">
        <f>IFERROR(__xludf.DUMMYFUNCTION("""COMPUTED_VALUE"""),"vctpacific")</f>
        <v>vctpacific</v>
      </c>
    </row>
    <row r="3218">
      <c r="A3218" s="8" t="str">
        <f>IFERROR(__xludf.DUMMYFUNCTION("""COMPUTED_VALUE"""),"cook.vegetarian")</f>
        <v>cook.vegetarian</v>
      </c>
    </row>
    <row r="3219">
      <c r="A3219" s="8" t="str">
        <f>IFERROR(__xludf.DUMMYFUNCTION("""COMPUTED_VALUE"""),"deliciousvegetarianvideos")</f>
        <v>deliciousvegetarianvideos</v>
      </c>
    </row>
    <row r="3220">
      <c r="A3220" s="8" t="str">
        <f>IFERROR(__xludf.DUMMYFUNCTION("""COMPUTED_VALUE"""),"emilyontoast")</f>
        <v>emilyontoast</v>
      </c>
    </row>
    <row r="3221">
      <c r="A3221" s="8" t="str">
        <f>IFERROR(__xludf.DUMMYFUNCTION("""COMPUTED_VALUE"""),"flavors_ofmykitchen")</f>
        <v>flavors_ofmykitchen</v>
      </c>
    </row>
    <row r="3222">
      <c r="A3222" s="8" t="str">
        <f>IFERROR(__xludf.DUMMYFUNCTION("""COMPUTED_VALUE"""),"shreyaskitchen2")</f>
        <v>shreyaskitchen2</v>
      </c>
    </row>
    <row r="3223">
      <c r="A3223" s="8" t="str">
        <f>IFERROR(__xludf.DUMMYFUNCTION("""COMPUTED_VALUE"""),"tastyvegetarian")</f>
        <v>tastyvegetarian</v>
      </c>
    </row>
    <row r="3224">
      <c r="A3224" s="8" t="str">
        <f>IFERROR(__xludf.DUMMYFUNCTION("""COMPUTED_VALUE"""),"thehomemadecooking")</f>
        <v>thehomemadecooking</v>
      </c>
    </row>
    <row r="3225">
      <c r="A3225" s="8" t="str">
        <f>IFERROR(__xludf.DUMMYFUNCTION("""COMPUTED_VALUE"""),"vegetarian")</f>
        <v>vegetarian</v>
      </c>
    </row>
    <row r="3226">
      <c r="A3226" s="8" t="str">
        <f>IFERROR(__xludf.DUMMYFUNCTION("""COMPUTED_VALUE"""),"vegetarian_ru")</f>
        <v>vegetarian_ru</v>
      </c>
    </row>
    <row r="3227">
      <c r="A3227" s="8" t="str">
        <f>IFERROR(__xludf.DUMMYFUNCTION("""COMPUTED_VALUE"""),"vegetariansk")</f>
        <v>vegetariansk</v>
      </c>
    </row>
    <row r="3228">
      <c r="A3228" s="8" t="str">
        <f>IFERROR(__xludf.DUMMYFUNCTION("""COMPUTED_VALUE"""),"vegetariantimesmag")</f>
        <v>vegetariantimesmag</v>
      </c>
    </row>
    <row r="3229">
      <c r="A3229" s="8" t="str">
        <f>IFERROR(__xludf.DUMMYFUNCTION("""COMPUTED_VALUE"""),"vidhyasvegetariankitchen")</f>
        <v>vidhyasvegetariankitchen</v>
      </c>
    </row>
    <row r="3230">
      <c r="A3230" s="8" t="str">
        <f>IFERROR(__xludf.DUMMYFUNCTION("""COMPUTED_VALUE"""),"dcard.video")</f>
        <v>dcard.video</v>
      </c>
    </row>
    <row r="3231">
      <c r="A3231" s="8" t="str">
        <f>IFERROR(__xludf.DUMMYFUNCTION("""COMPUTED_VALUE"""),"khamenei_video")</f>
        <v>khamenei_video</v>
      </c>
    </row>
    <row r="3232">
      <c r="A3232" s="8" t="str">
        <f>IFERROR(__xludf.DUMMYFUNCTION("""COMPUTED_VALUE"""),"natt.jongsala")</f>
        <v>natt.jongsala</v>
      </c>
    </row>
    <row r="3233">
      <c r="A3233" s="8" t="str">
        <f>IFERROR(__xludf.DUMMYFUNCTION("""COMPUTED_VALUE"""),"primevideo")</f>
        <v>primevideo</v>
      </c>
    </row>
    <row r="3234">
      <c r="A3234" s="8" t="str">
        <f>IFERROR(__xludf.DUMMYFUNCTION("""COMPUTED_VALUE"""),"primevideobr")</f>
        <v>primevideobr</v>
      </c>
    </row>
    <row r="3235">
      <c r="A3235" s="8" t="str">
        <f>IFERROR(__xludf.DUMMYFUNCTION("""COMPUTED_VALUE"""),"primevideofr")</f>
        <v>primevideofr</v>
      </c>
    </row>
    <row r="3236">
      <c r="A3236" s="8" t="str">
        <f>IFERROR(__xludf.DUMMYFUNCTION("""COMPUTED_VALUE"""),"rkgvideo")</f>
        <v>rkgvideo</v>
      </c>
    </row>
    <row r="3237">
      <c r="A3237" s="8" t="str">
        <f>IFERROR(__xludf.DUMMYFUNCTION("""COMPUTED_VALUE"""),"u2_video")</f>
        <v>u2_video</v>
      </c>
    </row>
    <row r="3238">
      <c r="A3238" s="8" t="str">
        <f>IFERROR(__xludf.DUMMYFUNCTION("""COMPUTED_VALUE"""),"univervideo")</f>
        <v>univervideo</v>
      </c>
    </row>
    <row r="3239">
      <c r="A3239" s="8" t="str">
        <f>IFERROR(__xludf.DUMMYFUNCTION("""COMPUTED_VALUE"""),"video")</f>
        <v>video</v>
      </c>
    </row>
    <row r="3240">
      <c r="A3240" s="8" t="str">
        <f>IFERROR(__xludf.DUMMYFUNCTION("""COMPUTED_VALUE"""),"video_4fun")</f>
        <v>video_4fun</v>
      </c>
    </row>
    <row r="3241">
      <c r="A3241" s="8" t="str">
        <f>IFERROR(__xludf.DUMMYFUNCTION("""COMPUTED_VALUE"""),"video.hohma")</f>
        <v>video.hohma</v>
      </c>
    </row>
    <row r="3242">
      <c r="A3242" s="8" t="str">
        <f>IFERROR(__xludf.DUMMYFUNCTION("""COMPUTED_VALUE"""),"_videojames_ig")</f>
        <v>_videojames_ig</v>
      </c>
    </row>
    <row r="3243">
      <c r="A3243" s="8" t="str">
        <f>IFERROR(__xludf.DUMMYFUNCTION("""COMPUTED_VALUE"""),"video.kek")</f>
        <v>video.kek</v>
      </c>
    </row>
    <row r="3244">
      <c r="A3244" s="8" t="str">
        <f>IFERROR(__xludf.DUMMYFUNCTION("""COMPUTED_VALUE"""),"videolee")</f>
        <v>videolee</v>
      </c>
    </row>
    <row r="3245">
      <c r="A3245" s="8" t="str">
        <f>IFERROR(__xludf.DUMMYFUNCTION("""COMPUTED_VALUE"""),"video_otkr")</f>
        <v>video_otkr</v>
      </c>
    </row>
    <row r="3246">
      <c r="A3246" s="8" t="str">
        <f>IFERROR(__xludf.DUMMYFUNCTION("""COMPUTED_VALUE"""),"vmas")</f>
        <v>vmas</v>
      </c>
    </row>
    <row r="3247">
      <c r="A3247" s="8" t="str">
        <f>IFERROR(__xludf.DUMMYFUNCTION("""COMPUTED_VALUE"""),"wild.video")</f>
        <v>wild.video</v>
      </c>
    </row>
    <row r="3248">
      <c r="A3248" s="8" t="str">
        <f>IFERROR(__xludf.DUMMYFUNCTION("""COMPUTED_VALUE"""),"dj.videogames")</f>
        <v>dj.videogames</v>
      </c>
    </row>
    <row r="3249">
      <c r="A3249" s="8" t="str">
        <f>IFERROR(__xludf.DUMMYFUNCTION("""COMPUTED_VALUE"""),"gamivocom")</f>
        <v>gamivocom</v>
      </c>
    </row>
    <row r="3250">
      <c r="A3250" s="8" t="str">
        <f>IFERROR(__xludf.DUMMYFUNCTION("""COMPUTED_VALUE"""),"videogames")</f>
        <v>videogames</v>
      </c>
    </row>
    <row r="3251">
      <c r="A3251" s="8" t="str">
        <f>IFERROR(__xludf.DUMMYFUNCTION("""COMPUTED_VALUE"""),"videogames4news")</f>
        <v>videogames4news</v>
      </c>
    </row>
    <row r="3252">
      <c r="A3252" s="8" t="str">
        <f>IFERROR(__xludf.DUMMYFUNCTION("""COMPUTED_VALUE"""),"videogamesve")</f>
        <v>videogamesve</v>
      </c>
    </row>
    <row r="3253">
      <c r="A3253" s="8" t="str">
        <f>IFERROR(__xludf.DUMMYFUNCTION("""COMPUTED_VALUE"""),"video_games_view")</f>
        <v>video_games_view</v>
      </c>
    </row>
    <row r="3254">
      <c r="A3254" s="8" t="str">
        <f>IFERROR(__xludf.DUMMYFUNCTION("""COMPUTED_VALUE"""),"dreambeachmedia")</f>
        <v>dreambeachmedia</v>
      </c>
    </row>
    <row r="3255">
      <c r="A3255" s="8" t="str">
        <f>IFERROR(__xludf.DUMMYFUNCTION("""COMPUTED_VALUE"""),"videoproduction1")</f>
        <v>videoproduction1</v>
      </c>
    </row>
    <row r="3256">
      <c r="A3256" s="8" t="str">
        <f>IFERROR(__xludf.DUMMYFUNCTION("""COMPUTED_VALUE"""),"video_production_school")</f>
        <v>video_production_school</v>
      </c>
    </row>
    <row r="3257">
      <c r="A3257" s="8" t="str">
        <f>IFERROR(__xludf.DUMMYFUNCTION("""COMPUTED_VALUE"""),"_vintage.finds")</f>
        <v>_vintage.finds</v>
      </c>
    </row>
    <row r="3258">
      <c r="A3258" s="8" t="str">
        <f>IFERROR(__xludf.DUMMYFUNCTION("""COMPUTED_VALUE"""),"demolaviolinist")</f>
        <v>demolaviolinist</v>
      </c>
    </row>
    <row r="3259">
      <c r="A3259" s="8" t="str">
        <f>IFERROR(__xludf.DUMMYFUNCTION("""COMPUTED_VALUE"""),"dominiquehammonsviolin")</f>
        <v>dominiquehammonsviolin</v>
      </c>
    </row>
    <row r="3260">
      <c r="A3260" s="8" t="str">
        <f>IFERROR(__xludf.DUMMYFUNCTION("""COMPUTED_VALUE"""),"joshuec3")</f>
        <v>joshuec3</v>
      </c>
    </row>
    <row r="3261">
      <c r="A3261" s="8" t="str">
        <f>IFERROR(__xludf.DUMMYFUNCTION("""COMPUTED_VALUE"""),"noemiviolinbarcelona")</f>
        <v>noemiviolinbarcelona</v>
      </c>
    </row>
    <row r="3262">
      <c r="A3262" s="8" t="str">
        <f>IFERROR(__xludf.DUMMYFUNCTION("""COMPUTED_VALUE"""),"raychenviolin")</f>
        <v>raychenviolin</v>
      </c>
    </row>
    <row r="3263">
      <c r="A3263" s="8" t="str">
        <f>IFERROR(__xludf.DUMMYFUNCTION("""COMPUTED_VALUE"""),"theviolinchannel")</f>
        <v>theviolinchannel</v>
      </c>
    </row>
    <row r="3264">
      <c r="A3264" s="8" t="str">
        <f>IFERROR(__xludf.DUMMYFUNCTION("""COMPUTED_VALUE"""),"violin_.boutique")</f>
        <v>violin_.boutique</v>
      </c>
    </row>
    <row r="3265">
      <c r="A3265" s="11" t="str">
        <f>IFERROR(__xludf.DUMMYFUNCTION("""COMPUTED_VALUE"""),"violinia.de")</f>
        <v>violinia.de</v>
      </c>
    </row>
    <row r="3266">
      <c r="A3266" s="8" t="str">
        <f>IFERROR(__xludf.DUMMYFUNCTION("""COMPUTED_VALUE"""),"violinikz")</f>
        <v>violinikz</v>
      </c>
    </row>
    <row r="3267">
      <c r="A3267" s="8" t="str">
        <f>IFERROR(__xludf.DUMMYFUNCTION("""COMPUTED_VALUE"""),"violin.mehdi.habibi")</f>
        <v>violin.mehdi.habibi</v>
      </c>
    </row>
    <row r="3268">
      <c r="A3268" s="8" t="str">
        <f>IFERROR(__xludf.DUMMYFUNCTION("""COMPUTED_VALUE"""),"violin_phonix")</f>
        <v>violin_phonix</v>
      </c>
    </row>
    <row r="3269">
      <c r="A3269" s="8" t="str">
        <f>IFERROR(__xludf.DUMMYFUNCTION("""COMPUTED_VALUE"""),"virtualreality.club")</f>
        <v>virtualreality.club</v>
      </c>
    </row>
    <row r="3270">
      <c r="A3270" s="8" t="str">
        <f>IFERROR(__xludf.DUMMYFUNCTION("""COMPUTED_VALUE"""),"virtual_reality_ma")</f>
        <v>virtual_reality_ma</v>
      </c>
    </row>
    <row r="3271">
      <c r="A3271" s="8" t="str">
        <f>IFERROR(__xludf.DUMMYFUNCTION("""COMPUTED_VALUE"""),"virtualrealityoasis")</f>
        <v>virtualrealityoasis</v>
      </c>
    </row>
    <row r="3272">
      <c r="A3272" s="8" t="str">
        <f>IFERROR(__xludf.DUMMYFUNCTION("""COMPUTED_VALUE"""),"vrworld.ja")</f>
        <v>vrworld.ja</v>
      </c>
    </row>
    <row r="3273">
      <c r="A3273" s="8" t="str">
        <f>IFERROR(__xludf.DUMMYFUNCTION("""COMPUTED_VALUE"""),"afh.sr___")</f>
        <v>afh.sr___</v>
      </c>
    </row>
    <row r="3274">
      <c r="A3274" s="8" t="str">
        <f>IFERROR(__xludf.DUMMYFUNCTION("""COMPUTED_VALUE"""),"blogger_ai_001")</f>
        <v>blogger_ai_001</v>
      </c>
    </row>
    <row r="3275">
      <c r="A3275" s="8" t="str">
        <f>IFERROR(__xludf.DUMMYFUNCTION("""COMPUTED_VALUE"""),"elphick.event.ponies")</f>
        <v>elphick.event.ponies</v>
      </c>
    </row>
    <row r="3276">
      <c r="A3276" s="8" t="str">
        <f>IFERROR(__xludf.DUMMYFUNCTION("""COMPUTED_VALUE"""),"fifis_welsh_ponies")</f>
        <v>fifis_welsh_ponies</v>
      </c>
    </row>
    <row r="3277">
      <c r="A3277" s="8" t="str">
        <f>IFERROR(__xludf.DUMMYFUNCTION("""COMPUTED_VALUE"""),"laurgarage")</f>
        <v>laurgarage</v>
      </c>
    </row>
    <row r="3278">
      <c r="A3278" s="8" t="str">
        <f>IFERROR(__xludf.DUMMYFUNCTION("""COMPUTED_VALUE"""),"melanycmakeup")</f>
        <v>melanycmakeup</v>
      </c>
    </row>
    <row r="3279">
      <c r="A3279" s="8" t="str">
        <f>IFERROR(__xludf.DUMMYFUNCTION("""COMPUTED_VALUE"""),"melibardet")</f>
        <v>melibardet</v>
      </c>
    </row>
    <row r="3280">
      <c r="A3280" s="8" t="str">
        <f>IFERROR(__xludf.DUMMYFUNCTION("""COMPUTED_VALUE"""),"missgerberina")</f>
        <v>missgerberina</v>
      </c>
    </row>
    <row r="3281">
      <c r="A3281" s="8" t="str">
        <f>IFERROR(__xludf.DUMMYFUNCTION("""COMPUTED_VALUE"""),"mkvlogger")</f>
        <v>mkvlogger</v>
      </c>
    </row>
    <row r="3282">
      <c r="A3282" s="8" t="str">
        <f>IFERROR(__xludf.DUMMYFUNCTION("""COMPUTED_VALUE"""),"motoevlogger")</f>
        <v>motoevlogger</v>
      </c>
    </row>
    <row r="3283">
      <c r="A3283" s="8" t="str">
        <f>IFERROR(__xludf.DUMMYFUNCTION("""COMPUTED_VALUE"""),"nicksabroad")</f>
        <v>nicksabroad</v>
      </c>
    </row>
    <row r="3284">
      <c r="A3284" s="8" t="str">
        <f>IFERROR(__xludf.DUMMYFUNCTION("""COMPUTED_VALUE"""),"scouse_vlogger_danielle")</f>
        <v>scouse_vlogger_danielle</v>
      </c>
    </row>
    <row r="3285">
      <c r="A3285" s="8" t="str">
        <f>IFERROR(__xludf.DUMMYFUNCTION("""COMPUTED_VALUE"""),"vk_vlogger1")</f>
        <v>vk_vlogger1</v>
      </c>
    </row>
    <row r="3286">
      <c r="A3286" s="8" t="str">
        <f>IFERROR(__xludf.DUMMYFUNCTION("""COMPUTED_VALUE"""),"vloggerlebahmaduindonesia")</f>
        <v>vloggerlebahmaduindonesia</v>
      </c>
    </row>
    <row r="3287">
      <c r="A3287" s="8" t="str">
        <f>IFERROR(__xludf.DUMMYFUNCTION("""COMPUTED_VALUE"""),"vlogger.pappu_")</f>
        <v>vlogger.pappu_</v>
      </c>
    </row>
    <row r="3288">
      <c r="A3288" s="8" t="str">
        <f>IFERROR(__xludf.DUMMYFUNCTION("""COMPUTED_VALUE"""),"aauvolleyball")</f>
        <v>aauvolleyball</v>
      </c>
    </row>
    <row r="3289">
      <c r="A3289" s="8" t="str">
        <f>IFERROR(__xludf.DUMMYFUNCTION("""COMPUTED_VALUE"""),"kuvolleyball")</f>
        <v>kuvolleyball</v>
      </c>
    </row>
    <row r="3290">
      <c r="A3290" s="8" t="str">
        <f>IFERROR(__xludf.DUMMYFUNCTION("""COMPUTED_VALUE"""),"smuvolleyball")</f>
        <v>smuvolleyball</v>
      </c>
    </row>
    <row r="3291">
      <c r="A3291" s="8" t="str">
        <f>IFERROR(__xludf.DUMMYFUNCTION("""COMPUTED_VALUE"""),"tcuvolleyball")</f>
        <v>tcuvolleyball</v>
      </c>
    </row>
    <row r="3292">
      <c r="A3292" s="8" t="str">
        <f>IFERROR(__xludf.DUMMYFUNCTION("""COMPUTED_VALUE"""),"usavolleyball")</f>
        <v>usavolleyball</v>
      </c>
    </row>
    <row r="3293">
      <c r="A3293" s="8" t="str">
        <f>IFERROR(__xludf.DUMMYFUNCTION("""COMPUTED_VALUE"""),"volleyball")</f>
        <v>volleyball</v>
      </c>
    </row>
    <row r="3294">
      <c r="A3294" s="8" t="str">
        <f>IFERROR(__xludf.DUMMYFUNCTION("""COMPUTED_VALUE"""),"volleyballjunkie")</f>
        <v>volleyballjunkie</v>
      </c>
    </row>
    <row r="3295">
      <c r="A3295" s="8" t="str">
        <f>IFERROR(__xludf.DUMMYFUNCTION("""COMPUTED_VALUE"""),"volleyballworld")</f>
        <v>volleyballworld</v>
      </c>
    </row>
    <row r="3296">
      <c r="A3296" s="8" t="str">
        <f>IFERROR(__xludf.DUMMYFUNCTION("""COMPUTED_VALUE"""),"codingbyibrahim")</f>
        <v>codingbyibrahim</v>
      </c>
    </row>
    <row r="3297">
      <c r="A3297" s="8" t="str">
        <f>IFERROR(__xludf.DUMMYFUNCTION("""COMPUTED_VALUE"""),"learn_web_development")</f>
        <v>learn_web_development</v>
      </c>
    </row>
    <row r="3298">
      <c r="A3298" s="8" t="str">
        <f>IFERROR(__xludf.DUMMYFUNCTION("""COMPUTED_VALUE"""),"webdevelopment657")</f>
        <v>webdevelopment657</v>
      </c>
    </row>
    <row r="3299">
      <c r="A3299" s="8" t="str">
        <f>IFERROR(__xludf.DUMMYFUNCTION("""COMPUTED_VALUE"""),"web_development_legend")</f>
        <v>web_development_legend</v>
      </c>
    </row>
    <row r="3300">
      <c r="A3300" s="8" t="str">
        <f>IFERROR(__xludf.DUMMYFUNCTION("""COMPUTED_VALUE"""),"web_development_wizard")</f>
        <v>web_development_wizard</v>
      </c>
    </row>
    <row r="3301">
      <c r="A3301" s="8" t="str">
        <f>IFERROR(__xludf.DUMMYFUNCTION("""COMPUTED_VALUE"""),"daddywellness")</f>
        <v>daddywellness</v>
      </c>
    </row>
    <row r="3302">
      <c r="A3302" s="8" t="str">
        <f>IFERROR(__xludf.DUMMYFUNCTION("""COMPUTED_VALUE"""),"dlcwellness")</f>
        <v>dlcwellness</v>
      </c>
    </row>
    <row r="3303">
      <c r="A3303" s="8" t="str">
        <f>IFERROR(__xludf.DUMMYFUNCTION("""COMPUTED_VALUE"""),"furry.wellness6")</f>
        <v>furry.wellness6</v>
      </c>
    </row>
    <row r="3304">
      <c r="A3304" s="8" t="str">
        <f>IFERROR(__xludf.DUMMYFUNCTION("""COMPUTED_VALUE"""),"healthsecrets365_")</f>
        <v>healthsecrets365_</v>
      </c>
    </row>
    <row r="3305">
      <c r="A3305" s="8" t="str">
        <f>IFERROR(__xludf.DUMMYFUNCTION("""COMPUTED_VALUE"""),"homewellnessmassage")</f>
        <v>homewellnessmassage</v>
      </c>
    </row>
    <row r="3306">
      <c r="A3306" s="8" t="str">
        <f>IFERROR(__xludf.DUMMYFUNCTION("""COMPUTED_VALUE"""),"idea.wellness")</f>
        <v>idea.wellness</v>
      </c>
    </row>
    <row r="3307">
      <c r="A3307" s="8" t="str">
        <f>IFERROR(__xludf.DUMMYFUNCTION("""COMPUTED_VALUE"""),"joey_wellness")</f>
        <v>joey_wellness</v>
      </c>
    </row>
    <row r="3308">
      <c r="A3308" s="8" t="str">
        <f>IFERROR(__xludf.DUMMYFUNCTION("""COMPUTED_VALUE"""),"kromawellness")</f>
        <v>kromawellness</v>
      </c>
    </row>
    <row r="3309">
      <c r="A3309" s="8" t="str">
        <f>IFERROR(__xludf.DUMMYFUNCTION("""COMPUTED_VALUE"""),"macawellness")</f>
        <v>macawellness</v>
      </c>
    </row>
    <row r="3310">
      <c r="A3310" s="8" t="str">
        <f>IFERROR(__xludf.DUMMYFUNCTION("""COMPUTED_VALUE"""),"qspamiraflores")</f>
        <v>qspamiraflores</v>
      </c>
    </row>
    <row r="3311">
      <c r="A3311" s="8" t="str">
        <f>IFERROR(__xludf.DUMMYFUNCTION("""COMPUTED_VALUE"""),"thewellnessprocesspod")</f>
        <v>thewellnessprocesspod</v>
      </c>
    </row>
    <row r="3312">
      <c r="A3312" s="8" t="str">
        <f>IFERROR(__xludf.DUMMYFUNCTION("""COMPUTED_VALUE"""),"wellnessbyjade")</f>
        <v>wellnessbyjade</v>
      </c>
    </row>
    <row r="3313">
      <c r="A3313" s="8" t="str">
        <f>IFERROR(__xludf.DUMMYFUNCTION("""COMPUTED_VALUE"""),"wellnessmaddie1")</f>
        <v>wellnessmaddie1</v>
      </c>
    </row>
    <row r="3314">
      <c r="A3314" s="8" t="str">
        <f>IFERROR(__xludf.DUMMYFUNCTION("""COMPUTED_VALUE"""),"wellnessrains")</f>
        <v>wellnessrains</v>
      </c>
    </row>
    <row r="3315">
      <c r="A3315" s="8" t="str">
        <f>IFERROR(__xludf.DUMMYFUNCTION("""COMPUTED_VALUE"""),"animalsvault")</f>
        <v>animalsvault</v>
      </c>
    </row>
    <row r="3316">
      <c r="A3316" s="8" t="str">
        <f>IFERROR(__xludf.DUMMYFUNCTION("""COMPUTED_VALUE"""),"wildanimals")</f>
        <v>wildanimals</v>
      </c>
    </row>
    <row r="3317">
      <c r="A3317" s="8" t="str">
        <f>IFERROR(__xludf.DUMMYFUNCTION("""COMPUTED_VALUE"""),"w.i.l.d.a.n.i.m.a.l.s")</f>
        <v>w.i.l.d.a.n.i.m.a.l.s</v>
      </c>
    </row>
    <row r="3318">
      <c r="A3318" s="8" t="str">
        <f>IFERROR(__xludf.DUMMYFUNCTION("""COMPUTED_VALUE"""),"wildanimals097")</f>
        <v>wildanimals097</v>
      </c>
    </row>
    <row r="3319">
      <c r="A3319" s="8" t="str">
        <f>IFERROR(__xludf.DUMMYFUNCTION("""COMPUTED_VALUE"""),"wild_animals2025")</f>
        <v>wild_animals2025</v>
      </c>
    </row>
    <row r="3320">
      <c r="A3320" s="8" t="str">
        <f>IFERROR(__xludf.DUMMYFUNCTION("""COMPUTED_VALUE"""),"wildanimalsanctuary")</f>
        <v>wildanimalsanctuary</v>
      </c>
    </row>
    <row r="3321">
      <c r="A3321" s="8" t="str">
        <f>IFERROR(__xludf.DUMMYFUNCTION("""COMPUTED_VALUE"""),"wild_animalsgram")</f>
        <v>wild_animalsgram</v>
      </c>
    </row>
    <row r="3322">
      <c r="A3322" s="8" t="str">
        <f>IFERROR(__xludf.DUMMYFUNCTION("""COMPUTED_VALUE"""),"wildanimalspro")</f>
        <v>wildanimalspro</v>
      </c>
    </row>
    <row r="3323">
      <c r="A3323" s="8" t="str">
        <f>IFERROR(__xludf.DUMMYFUNCTION("""COMPUTED_VALUE"""),"wildanimalsvid")</f>
        <v>wildanimalsvid</v>
      </c>
    </row>
    <row r="3324">
      <c r="A3324" s="8" t="str">
        <f>IFERROR(__xludf.DUMMYFUNCTION("""COMPUTED_VALUE"""),"wild_animals_world__")</f>
        <v>wild_animals_world__</v>
      </c>
    </row>
    <row r="3325">
      <c r="A3325" s="8" t="str">
        <f>IFERROR(__xludf.DUMMYFUNCTION("""COMPUTED_VALUE"""),"dil_ki_baatein_99_love")</f>
        <v>dil_ki_baatein_99_love</v>
      </c>
    </row>
    <row r="3326">
      <c r="A3326" s="8" t="str">
        <f>IFERROR(__xludf.DUMMYFUNCTION("""COMPUTED_VALUE"""),"wildlife__lover")</f>
        <v>wildlife__lover</v>
      </c>
    </row>
    <row r="3327">
      <c r="A3327" s="8" t="str">
        <f>IFERROR(__xludf.DUMMYFUNCTION("""COMPUTED_VALUE"""),"wildlife_lover_pti")</f>
        <v>wildlife_lover_pti</v>
      </c>
    </row>
    <row r="3328">
      <c r="A3328" s="8" t="str">
        <f>IFERROR(__xludf.DUMMYFUNCTION("""COMPUTED_VALUE"""),"aesthetticoutfits")</f>
        <v>aesthetticoutfits</v>
      </c>
    </row>
    <row r="3329">
      <c r="A3329" s="8" t="str">
        <f>IFERROR(__xludf.DUMMYFUNCTION("""COMPUTED_VALUE"""),"aurelia_womenswear")</f>
        <v>aurelia_womenswear</v>
      </c>
    </row>
    <row r="3330">
      <c r="A3330" s="8" t="str">
        <f>IFERROR(__xludf.DUMMYFUNCTION("""COMPUTED_VALUE"""),"everattireuk")</f>
        <v>everattireuk</v>
      </c>
    </row>
    <row r="3331">
      <c r="A3331" s="8" t="str">
        <f>IFERROR(__xludf.DUMMYFUNCTION("""COMPUTED_VALUE"""),"hotspot_womenswear")</f>
        <v>hotspot_womenswear</v>
      </c>
    </row>
    <row r="3332">
      <c r="A3332" s="8" t="str">
        <f>IFERROR(__xludf.DUMMYFUNCTION("""COMPUTED_VALUE"""),"mavenwomenswear")</f>
        <v>mavenwomenswear</v>
      </c>
    </row>
    <row r="3333">
      <c r="A3333" s="8" t="str">
        <f>IFERROR(__xludf.DUMMYFUNCTION("""COMPUTED_VALUE"""),"meetbernard")</f>
        <v>meetbernard</v>
      </c>
    </row>
    <row r="3334">
      <c r="A3334" s="8" t="str">
        <f>IFERROR(__xludf.DUMMYFUNCTION("""COMPUTED_VALUE"""),"republicwomenswear")</f>
        <v>republicwomenswear</v>
      </c>
    </row>
    <row r="3335">
      <c r="A3335" s="8" t="str">
        <f>IFERROR(__xludf.DUMMYFUNCTION("""COMPUTED_VALUE"""),"shagun_ethnic")</f>
        <v>shagun_ethnic</v>
      </c>
    </row>
    <row r="3336">
      <c r="A3336" s="8" t="str">
        <f>IFERROR(__xludf.DUMMYFUNCTION("""COMPUTED_VALUE"""),"traffygirls")</f>
        <v>traffygirls</v>
      </c>
    </row>
    <row r="3337">
      <c r="A3337" s="8" t="str">
        <f>IFERROR(__xludf.DUMMYFUNCTION("""COMPUTED_VALUE"""),"workoutroutine")</f>
        <v>workoutroutine</v>
      </c>
    </row>
    <row r="3338">
      <c r="A3338" s="8" t="str">
        <f>IFERROR(__xludf.DUMMYFUNCTION("""COMPUTED_VALUE"""),"workoutroutines")</f>
        <v>workoutroutines</v>
      </c>
    </row>
    <row r="3339">
      <c r="A3339" s="8" t="str">
        <f>IFERROR(__xludf.DUMMYFUNCTION("""COMPUTED_VALUE"""),"world_cuisine92")</f>
        <v>world_cuisine92</v>
      </c>
    </row>
    <row r="3340">
      <c r="A3340" s="8" t="str">
        <f>IFERROR(__xludf.DUMMYFUNCTION("""COMPUTED_VALUE"""),"culladiteby")</f>
        <v>culladiteby</v>
      </c>
    </row>
    <row r="3341">
      <c r="A3341" s="8" t="str">
        <f>IFERROR(__xludf.DUMMYFUNCTION("""COMPUTED_VALUE"""),"makeyougreener")</f>
        <v>makeyougreener</v>
      </c>
    </row>
    <row r="3342">
      <c r="A3342" s="8" t="str">
        <f>IFERROR(__xludf.DUMMYFUNCTION("""COMPUTED_VALUE"""),"wastefreeplanet")</f>
        <v>wastefreeplanet</v>
      </c>
    </row>
    <row r="3343">
      <c r="A3343" s="11" t="str">
        <f>IFERROR(__xludf.DUMMYFUNCTION("""COMPUTED_VALUE"""),"zeero.ru")</f>
        <v>zeero.ru</v>
      </c>
    </row>
    <row r="3344">
      <c r="A3344" s="8" t="str">
        <f>IFERROR(__xludf.DUMMYFUNCTION("""COMPUTED_VALUE"""),"zerowastebali")</f>
        <v>zerowastebali</v>
      </c>
    </row>
    <row r="3345">
      <c r="A3345" s="8" t="str">
        <f>IFERROR(__xludf.DUMMYFUNCTION("""COMPUTED_VALUE"""),"zerowastecartel")</f>
        <v>zerowastecartel</v>
      </c>
    </row>
    <row r="3346">
      <c r="A3346" s="8" t="str">
        <f>IFERROR(__xludf.DUMMYFUNCTION("""COMPUTED_VALUE"""),"zerowastedaniel")</f>
        <v>zerowastedaniel</v>
      </c>
    </row>
    <row r="3347">
      <c r="A3347" s="8" t="str">
        <f>IFERROR(__xludf.DUMMYFUNCTION("""COMPUTED_VALUE"""),"zerowastehome")</f>
        <v>zerowastehome</v>
      </c>
    </row>
    <row r="3348">
      <c r="A3348" s="8" t="str">
        <f>IFERROR(__xludf.DUMMYFUNCTION("""COMPUTED_VALUE"""),"zerowastestore")</f>
        <v>zerowastestore</v>
      </c>
    </row>
    <row r="3349">
      <c r="A3349" s="8" t="str">
        <f>IFERROR(__xludf.DUMMYFUNCTION("""COMPUTED_VALUE"""),"myzoomg")</f>
        <v>myzoomg</v>
      </c>
    </row>
    <row r="3350">
      <c r="A3350" s="8" t="str">
        <f>IFERROR(__xludf.DUMMYFUNCTION("""COMPUTED_VALUE"""),"zoofficial")</f>
        <v>zoofficial</v>
      </c>
    </row>
    <row r="3351">
      <c r="A3351" s="8" t="str">
        <f>IFERROR(__xludf.DUMMYFUNCTION("""COMPUTED_VALUE"""),"diana_zumba_fit")</f>
        <v>diana_zumba_fit</v>
      </c>
    </row>
    <row r="3352">
      <c r="A3352" s="8" t="str">
        <f>IFERROR(__xludf.DUMMYFUNCTION("""COMPUTED_VALUE"""),"evde_spor_yapp")</f>
        <v>evde_spor_yapp</v>
      </c>
    </row>
    <row r="3353">
      <c r="A3353" s="8" t="str">
        <f>IFERROR(__xludf.DUMMYFUNCTION("""COMPUTED_VALUE"""),"_gy.2x")</f>
        <v>_gy.2x</v>
      </c>
    </row>
    <row r="3354">
      <c r="A3354" s="8" t="str">
        <f>IFERROR(__xludf.DUMMYFUNCTION("""COMPUTED_VALUE"""),"olesya_zumba")</f>
        <v>olesya_zumba</v>
      </c>
    </row>
    <row r="3355">
      <c r="A3355" s="8" t="str">
        <f>IFERROR(__xludf.DUMMYFUNCTION("""COMPUTED_VALUE"""),"raul_zumba")</f>
        <v>raul_zumba</v>
      </c>
    </row>
    <row r="3356">
      <c r="A3356" s="8" t="str">
        <f>IFERROR(__xludf.DUMMYFUNCTION("""COMPUTED_VALUE"""),"sholpan_zumbafit")</f>
        <v>sholpan_zumbafit</v>
      </c>
    </row>
    <row r="3357">
      <c r="A3357" s="8" t="str">
        <f>IFERROR(__xludf.DUMMYFUNCTION("""COMPUTED_VALUE"""),"zumba")</f>
        <v>zumba</v>
      </c>
    </row>
    <row r="3358">
      <c r="A3358" s="8" t="str">
        <f>IFERROR(__xludf.DUMMYFUNCTION("""COMPUTED_VALUE"""),"zumbabeto")</f>
        <v>zumbabeto</v>
      </c>
    </row>
    <row r="3359">
      <c r="A3359" s="8" t="str">
        <f>IFERROR(__xludf.DUMMYFUNCTION("""COMPUTED_VALUE"""),"zumba.kristin")</f>
        <v>zumba.kristin</v>
      </c>
    </row>
    <row r="3360">
      <c r="A3360" s="8" t="str">
        <f>IFERROR(__xludf.DUMMYFUNCTION("""COMPUTED_VALUE"""),"zumba.suzy")</f>
        <v>zumba.suzy</v>
      </c>
    </row>
    <row r="3361">
      <c r="A3361" s="8" t="str">
        <f>IFERROR(__xludf.DUMMYFUNCTION("""COMPUTED_VALUE"""),"annyko")</f>
        <v>annyko</v>
      </c>
    </row>
    <row r="3362">
      <c r="A3362" s="8" t="str">
        <f>IFERROR(__xludf.DUMMYFUNCTION("""COMPUTED_VALUE"""),"newyorkmakeup_")</f>
        <v>newyorkmakeup_</v>
      </c>
    </row>
    <row r="3363">
      <c r="A3363" s="8" t="str">
        <f>IFERROR(__xludf.DUMMYFUNCTION("""COMPUTED_VALUE"""),"newyorkmakeupacademy")</f>
        <v>newyorkmakeupacademy</v>
      </c>
    </row>
    <row r="3364">
      <c r="A3364" s="8" t="str">
        <f>IFERROR(__xludf.DUMMYFUNCTION("""COMPUTED_VALUE"""),"ramashka_pmu")</f>
        <v>ramashka_pmu</v>
      </c>
    </row>
    <row r="3365">
      <c r="A3365" s="8" t="str">
        <f>IFERROR(__xludf.DUMMYFUNCTION("""COMPUTED_VALUE"""),"romanamakeupnyc")</f>
        <v>romanamakeupnyc</v>
      </c>
    </row>
    <row r="3366">
      <c r="A3366" s="8" t="str">
        <f>IFERROR(__xludf.DUMMYFUNCTION("""COMPUTED_VALUE"""),"ootdnewyork10")</f>
        <v>ootdnewyork10</v>
      </c>
    </row>
    <row r="3367">
      <c r="A3367" s="8" t="str">
        <f>IFERROR(__xludf.DUMMYFUNCTION("""COMPUTED_VALUE"""),"lingskincare")</f>
        <v>lingskincare</v>
      </c>
    </row>
    <row r="3368">
      <c r="A3368" s="8" t="str">
        <f>IFERROR(__xludf.DUMMYFUNCTION("""COMPUTED_VALUE"""),"lyrra.skincare")</f>
        <v>lyrra.skincare</v>
      </c>
    </row>
    <row r="3369">
      <c r="A3369" s="8" t="str">
        <f>IFERROR(__xludf.DUMMYFUNCTION("""COMPUTED_VALUE"""),"skincarenewyork")</f>
        <v>skincarenewyork</v>
      </c>
    </row>
    <row r="3370">
      <c r="A3370" s="8" t="str">
        <f>IFERROR(__xludf.DUMMYFUNCTION("""COMPUTED_VALUE"""),"adletstreet")</f>
        <v>adletstreet</v>
      </c>
    </row>
    <row r="3371">
      <c r="A3371" s="8" t="str">
        <f>IFERROR(__xludf.DUMMYFUNCTION("""COMPUTED_VALUE"""),"trapdollaccessories")</f>
        <v>trapdollaccessories</v>
      </c>
    </row>
    <row r="3372">
      <c r="A3372" s="8" t="str">
        <f>IFERROR(__xludf.DUMMYFUNCTION("""COMPUTED_VALUE"""),"drakehackney")</f>
        <v>drakehackney</v>
      </c>
    </row>
    <row r="3373">
      <c r="A3373" s="8" t="str">
        <f>IFERROR(__xludf.DUMMYFUNCTION("""COMPUTED_VALUE"""),"drakehackney")</f>
        <v>drakehackney</v>
      </c>
    </row>
    <row r="3374">
      <c r="A3374" s="8" t="str">
        <f>IFERROR(__xludf.DUMMYFUNCTION("""COMPUTED_VALUE"""),"d.e.t.u.k")</f>
        <v>d.e.t.u.k</v>
      </c>
    </row>
    <row r="3375">
      <c r="A3375" s="8" t="str">
        <f>IFERROR(__xludf.DUMMYFUNCTION("""COMPUTED_VALUE"""),"ero_stylee")</f>
        <v>ero_stylee</v>
      </c>
    </row>
    <row r="3376">
      <c r="A3376" s="8" t="str">
        <f>IFERROR(__xludf.DUMMYFUNCTION("""COMPUTED_VALUE"""),"__stylesbykay")</f>
        <v>__stylesbykay</v>
      </c>
    </row>
    <row r="3377">
      <c r="A3377" s="8" t="str">
        <f>IFERROR(__xludf.DUMMYFUNCTION("""COMPUTED_VALUE"""),"adiba_make_up")</f>
        <v>adiba_make_up</v>
      </c>
    </row>
    <row r="3378">
      <c r="A3378" s="8" t="str">
        <f>IFERROR(__xludf.DUMMYFUNCTION("""COMPUTED_VALUE"""),"blushandivyevents")</f>
        <v>blushandivyevents</v>
      </c>
    </row>
    <row r="3379">
      <c r="A3379" s="8" t="str">
        <f>IFERROR(__xludf.DUMMYFUNCTION("""COMPUTED_VALUE"""),"diariesofatravelista")</f>
        <v>diariesofatravelista</v>
      </c>
    </row>
    <row r="3380">
      <c r="A3380" s="8" t="str">
        <f>IFERROR(__xludf.DUMMYFUNCTION("""COMPUTED_VALUE"""),"eventsbyamor_")</f>
        <v>eventsbyamor_</v>
      </c>
    </row>
    <row r="3381">
      <c r="A3381" s="8" t="str">
        <f>IFERROR(__xludf.DUMMYFUNCTION("""COMPUTED_VALUE"""),"firstclass_estheticslounge")</f>
        <v>firstclass_estheticslounge</v>
      </c>
    </row>
    <row r="3382">
      <c r="A3382" s="8" t="str">
        <f>IFERROR(__xludf.DUMMYFUNCTION("""COMPUTED_VALUE"""),"losangeles_promotion_")</f>
        <v>losangeles_promotion_</v>
      </c>
    </row>
    <row r="3383">
      <c r="A3383" s="8" t="str">
        <f>IFERROR(__xludf.DUMMYFUNCTION("""COMPUTED_VALUE"""),"luxurynailsbydes")</f>
        <v>luxurynailsbydes</v>
      </c>
    </row>
    <row r="3384">
      <c r="A3384" s="8" t="str">
        <f>IFERROR(__xludf.DUMMYFUNCTION("""COMPUTED_VALUE"""),"milsteinestates")</f>
        <v>milsteinestates</v>
      </c>
    </row>
    <row r="3385">
      <c r="A3385" s="8" t="str">
        <f>IFERROR(__xludf.DUMMYFUNCTION("""COMPUTED_VALUE"""),"tierone.luxury")</f>
        <v>tierone.luxury</v>
      </c>
    </row>
    <row r="3386">
      <c r="A3386" s="8" t="str">
        <f>IFERROR(__xludf.DUMMYFUNCTION("""COMPUTED_VALUE"""),"gildedritual")</f>
        <v>gildedritual</v>
      </c>
    </row>
    <row r="3387">
      <c r="A3387" s="8" t="str">
        <f>IFERROR(__xludf.DUMMYFUNCTION("""COMPUTED_VALUE"""),"habibinewyork")</f>
        <v>habibinewyork</v>
      </c>
    </row>
    <row r="3388">
      <c r="A3388" s="8" t="str">
        <f>IFERROR(__xludf.DUMMYFUNCTION("""COMPUTED_VALUE"""),"luxurylifestylenewyorkcity")</f>
        <v>luxurylifestylenewyorkcity</v>
      </c>
    </row>
    <row r="3389">
      <c r="A3389" s="8" t="str">
        <f>IFERROR(__xludf.DUMMYFUNCTION("""COMPUTED_VALUE"""),"luxury_store.777")</f>
        <v>luxury_store.777</v>
      </c>
    </row>
    <row r="3390">
      <c r="A3390" s="8" t="str">
        <f>IFERROR(__xludf.DUMMYFUNCTION("""COMPUTED_VALUE"""),"madunder.nyc")</f>
        <v>madunder.nyc</v>
      </c>
    </row>
    <row r="3391">
      <c r="A3391" s="8" t="str">
        <f>IFERROR(__xludf.DUMMYFUNCTION("""COMPUTED_VALUE"""),"luxurysanfrancisco")</f>
        <v>luxurysanfrancisco</v>
      </c>
    </row>
    <row r="3392">
      <c r="A3392" s="8" t="str">
        <f>IFERROR(__xludf.DUMMYFUNCTION("""COMPUTED_VALUE"""),"makeup_by_zarina_")</f>
        <v>makeup_by_zarina_</v>
      </c>
    </row>
    <row r="3393">
      <c r="A3393" s="8" t="str">
        <f>IFERROR(__xludf.DUMMYFUNCTION("""COMPUTED_VALUE"""),"m.u.a.katerina")</f>
        <v>m.u.a.katerina</v>
      </c>
    </row>
    <row r="3394">
      <c r="A3394" s="8" t="str">
        <f>IFERROR(__xludf.DUMMYFUNCTION("""COMPUTED_VALUE"""),"angelika.ismailova")</f>
        <v>angelika.ismailova</v>
      </c>
    </row>
    <row r="3395">
      <c r="A3395" s="8" t="str">
        <f>IFERROR(__xludf.DUMMYFUNCTION("""COMPUTED_VALUE"""),"aime_mua")</f>
        <v>aime_mua</v>
      </c>
    </row>
    <row r="3396">
      <c r="A3396" s="8" t="str">
        <f>IFERROR(__xludf.DUMMYFUNCTION("""COMPUTED_VALUE"""),"beauty_by_ayleen")</f>
        <v>beauty_by_ayleen</v>
      </c>
    </row>
    <row r="3397">
      <c r="A3397" s="8" t="str">
        <f>IFERROR(__xludf.DUMMYFUNCTION("""COMPUTED_VALUE"""),"glamby_mani")</f>
        <v>glamby_mani</v>
      </c>
    </row>
    <row r="3398">
      <c r="A3398" s="8" t="str">
        <f>IFERROR(__xludf.DUMMYFUNCTION("""COMPUTED_VALUE"""),"makeup_by_matty")</f>
        <v>makeup_by_matty</v>
      </c>
    </row>
    <row r="3399">
      <c r="A3399" s="8" t="str">
        <f>IFERROR(__xludf.DUMMYFUNCTION("""COMPUTED_VALUE"""),"makeup_bysell")</f>
        <v>makeup_bysell</v>
      </c>
    </row>
    <row r="3400">
      <c r="A3400" s="8" t="str">
        <f>IFERROR(__xludf.DUMMYFUNCTION("""COMPUTED_VALUE"""),"manehglam")</f>
        <v>manehglam</v>
      </c>
    </row>
    <row r="3401">
      <c r="A3401" s="8" t="str">
        <f>IFERROR(__xludf.DUMMYFUNCTION("""COMPUTED_VALUE"""),"anapkamake73")</f>
        <v>anapkamake73</v>
      </c>
    </row>
    <row r="3402">
      <c r="A3402" s="8" t="str">
        <f>IFERROR(__xludf.DUMMYFUNCTION("""COMPUTED_VALUE"""),"makeup.byannabelle")</f>
        <v>makeup.byannabelle</v>
      </c>
    </row>
    <row r="3403">
      <c r="A3403" s="8" t="str">
        <f>IFERROR(__xludf.DUMMYFUNCTION("""COMPUTED_VALUE"""),"lika_linskaya")</f>
        <v>lika_linskaya</v>
      </c>
    </row>
    <row r="3404">
      <c r="A3404" s="8" t="str">
        <f>IFERROR(__xludf.DUMMYFUNCTION("""COMPUTED_VALUE"""),"luxurynailsbydes")</f>
        <v>luxurynailsbydes</v>
      </c>
    </row>
    <row r="3405">
      <c r="A3405" s="8" t="str">
        <f>IFERROR(__xludf.DUMMYFUNCTION("""COMPUTED_VALUE"""),"nailsbycurls")</f>
        <v>nailsbycurls</v>
      </c>
    </row>
    <row r="3406">
      <c r="A3406" s="8" t="str">
        <f>IFERROR(__xludf.DUMMYFUNCTION("""COMPUTED_VALUE"""),"verosnaillab")</f>
        <v>verosnaillab</v>
      </c>
    </row>
    <row r="3407">
      <c r="A3407" s="8" t="str">
        <f>IFERROR(__xludf.DUMMYFUNCTION("""COMPUTED_VALUE"""),"dmitry_turah")</f>
        <v>dmitry_turah</v>
      </c>
    </row>
    <row r="3408">
      <c r="A3408" s="8" t="str">
        <f>IFERROR(__xludf.DUMMYFUNCTION("""COMPUTED_VALUE"""),"nails.by.lana")</f>
        <v>nails.by.lana</v>
      </c>
    </row>
    <row r="3409">
      <c r="A3409" s="8" t="str">
        <f>IFERROR(__xludf.DUMMYFUNCTION("""COMPUTED_VALUE"""),"morenaxartistry")</f>
        <v>morenaxartistry</v>
      </c>
    </row>
    <row r="3410">
      <c r="A3410" s="8" t="str">
        <f>IFERROR(__xludf.DUMMYFUNCTION("""COMPUTED_VALUE"""),"lacasadelperfume_la")</f>
        <v>lacasadelperfume_la</v>
      </c>
    </row>
    <row r="3411">
      <c r="A3411" s="8" t="str">
        <f>IFERROR(__xludf.DUMMYFUNCTION("""COMPUTED_VALUE"""),"sheilacwh")</f>
        <v>sheilacwh</v>
      </c>
    </row>
    <row r="3412">
      <c r="A3412" s="8" t="str">
        <f>IFERROR(__xludf.DUMMYFUNCTION("""COMPUTED_VALUE"""),"arconalosangeles")</f>
        <v>arconalosangeles</v>
      </c>
    </row>
    <row r="3413">
      <c r="A3413" s="8" t="str">
        <f>IFERROR(__xludf.DUMMYFUNCTION("""COMPUTED_VALUE"""),"askcares")</f>
        <v>askcares</v>
      </c>
    </row>
    <row r="3414">
      <c r="A3414" s="8" t="str">
        <f>IFERROR(__xludf.DUMMYFUNCTION("""COMPUTED_VALUE"""),"honeydewyouth")</f>
        <v>honeydewyouth</v>
      </c>
    </row>
    <row r="3415">
      <c r="A3415" s="8" t="str">
        <f>IFERROR(__xludf.DUMMYFUNCTION("""COMPUTED_VALUE"""),"pinnaclemodernskincare")</f>
        <v>pinnaclemodernskincare</v>
      </c>
    </row>
    <row r="3416">
      <c r="A3416" s="8" t="str">
        <f>IFERROR(__xludf.DUMMYFUNCTION("""COMPUTED_VALUE"""),"skincarebycarin")</f>
        <v>skincarebycarin</v>
      </c>
    </row>
    <row r="3417">
      <c r="A3417" s="8" t="str">
        <f>IFERROR(__xludf.DUMMYFUNCTION("""COMPUTED_VALUE"""),"themodernu")</f>
        <v>themodernu</v>
      </c>
    </row>
    <row r="3418">
      <c r="A3418" s="11" t="str">
        <f>IFERROR(__xludf.DUMMYFUNCTION("""COMPUTED_VALUE"""),"sneakerheads.la")</f>
        <v>sneakerheads.la</v>
      </c>
    </row>
    <row r="3419">
      <c r="A3419" s="11" t="str">
        <f>IFERROR(__xludf.DUMMYFUNCTION("""COMPUTED_VALUE"""),"sneakersnstuff.la")</f>
        <v>sneakersnstuff.la</v>
      </c>
    </row>
    <row r="3420">
      <c r="A3420" s="8" t="str">
        <f>IFERROR(__xludf.DUMMYFUNCTION("""COMPUTED_VALUE"""),"sneakersnstuff.nyc")</f>
        <v>sneakersnstuff.nyc</v>
      </c>
    </row>
    <row r="3421">
      <c r="A3421" s="8" t="str">
        <f>IFERROR(__xludf.DUMMYFUNCTION("""COMPUTED_VALUE"""),"sustainablefashionlovers")</f>
        <v>sustainablefashionlovers</v>
      </c>
    </row>
    <row r="3422">
      <c r="A3422" s="8" t="str">
        <f>IFERROR(__xludf.DUMMYFUNCTION("""COMPUTED_VALUE"""),"acaccessoriesmiami")</f>
        <v>acaccessoriesmiami</v>
      </c>
    </row>
    <row r="3423">
      <c r="A3423" s="8" t="str">
        <f>IFERROR(__xludf.DUMMYFUNCTION("""COMPUTED_VALUE"""),"jennifer_johnson_janisch")</f>
        <v>jennifer_johnson_janisch</v>
      </c>
    </row>
    <row r="3424">
      <c r="A3424" s="8" t="str">
        <f>IFERROR(__xludf.DUMMYFUNCTION("""COMPUTED_VALUE"""),"fashion_miami_trends")</f>
        <v>fashion_miami_trends</v>
      </c>
    </row>
    <row r="3425">
      <c r="A3425" s="8" t="str">
        <f>IFERROR(__xludf.DUMMYFUNCTION("""COMPUTED_VALUE"""),"aijana_hairstyle")</f>
        <v>aijana_hairstyle</v>
      </c>
    </row>
    <row r="3426">
      <c r="A3426" s="8" t="str">
        <f>IFERROR(__xludf.DUMMYFUNCTION("""COMPUTED_VALUE"""),"mahabat_beautyusa")</f>
        <v>mahabat_beautyusa</v>
      </c>
    </row>
    <row r="3427">
      <c r="A3427" s="8" t="str">
        <f>IFERROR(__xludf.DUMMYFUNCTION("""COMPUTED_VALUE"""),"titiloizos")</f>
        <v>titiloizos</v>
      </c>
    </row>
    <row r="3428">
      <c r="A3428" s="8" t="str">
        <f>IFERROR(__xludf.DUMMYFUNCTION("""COMPUTED_VALUE"""),"deinekangelina")</f>
        <v>deinekangelina</v>
      </c>
    </row>
    <row r="3429">
      <c r="A3429" s="8" t="str">
        <f>IFERROR(__xludf.DUMMYFUNCTION("""COMPUTED_VALUE"""),"juliaerrera")</f>
        <v>juliaerrera</v>
      </c>
    </row>
    <row r="3430">
      <c r="A3430" s="8" t="str">
        <f>IFERROR(__xludf.DUMMYFUNCTION("""COMPUTED_VALUE"""),"dancedynasty_miami")</f>
        <v>dancedynasty_miami</v>
      </c>
    </row>
    <row r="3431">
      <c r="A3431" s="8" t="str">
        <f>IFERROR(__xludf.DUMMYFUNCTION("""COMPUTED_VALUE"""),"missmari_g")</f>
        <v>missmari_g</v>
      </c>
    </row>
    <row r="3432">
      <c r="A3432" s="8" t="str">
        <f>IFERROR(__xludf.DUMMYFUNCTION("""COMPUTED_VALUE"""),"classyhairbyjess")</f>
        <v>classyhairbyjess</v>
      </c>
    </row>
    <row r="3433">
      <c r="A3433" s="8" t="str">
        <f>IFERROR(__xludf.DUMMYFUNCTION("""COMPUTED_VALUE"""),"luxurytot")</f>
        <v>luxurytot</v>
      </c>
    </row>
    <row r="3434">
      <c r="A3434" s="8" t="str">
        <f>IFERROR(__xludf.DUMMYFUNCTION("""COMPUTED_VALUE"""),"luxurymiami")</f>
        <v>luxurymiami</v>
      </c>
    </row>
    <row r="3435">
      <c r="A3435" s="8" t="str">
        <f>IFERROR(__xludf.DUMMYFUNCTION("""COMPUTED_VALUE"""),"luxury_miami._")</f>
        <v>luxury_miami._</v>
      </c>
    </row>
    <row r="3436">
      <c r="A3436" s="8" t="str">
        <f>IFERROR(__xludf.DUMMYFUNCTION("""COMPUTED_VALUE"""),"luxurypowerhousemiami")</f>
        <v>luxurypowerhousemiami</v>
      </c>
    </row>
    <row r="3437">
      <c r="A3437" s="8" t="str">
        <f>IFERROR(__xludf.DUMMYFUNCTION("""COMPUTED_VALUE"""),"saltluxurymiami")</f>
        <v>saltluxurymiami</v>
      </c>
    </row>
    <row r="3438">
      <c r="A3438" s="8" t="str">
        <f>IFERROR(__xludf.DUMMYFUNCTION("""COMPUTED_VALUE"""),"tonioctaviastyles")</f>
        <v>tonioctaviastyles</v>
      </c>
    </row>
    <row r="3439">
      <c r="A3439" s="8" t="str">
        <f>IFERROR(__xludf.DUMMYFUNCTION("""COMPUTED_VALUE"""),"aigerim.makeupp")</f>
        <v>aigerim.makeupp</v>
      </c>
    </row>
    <row r="3440">
      <c r="A3440" s="8" t="str">
        <f>IFERROR(__xludf.DUMMYFUNCTION("""COMPUTED_VALUE"""),"b.janiamakeupartistry")</f>
        <v>b.janiamakeupartistry</v>
      </c>
    </row>
    <row r="3441">
      <c r="A3441" s="8" t="str">
        <f>IFERROR(__xludf.DUMMYFUNCTION("""COMPUTED_VALUE"""),"kristyle_makeup")</f>
        <v>kristyle_makeup</v>
      </c>
    </row>
    <row r="3442">
      <c r="A3442" s="8" t="str">
        <f>IFERROR(__xludf.DUMMYFUNCTION("""COMPUTED_VALUE"""),"albeauty.mia")</f>
        <v>albeauty.mia</v>
      </c>
    </row>
    <row r="3443">
      <c r="A3443" s="8" t="str">
        <f>IFERROR(__xludf.DUMMYFUNCTION("""COMPUTED_VALUE"""),"elya.belogurova.make_up")</f>
        <v>elya.belogurova.make_up</v>
      </c>
    </row>
    <row r="3444">
      <c r="A3444" s="8" t="str">
        <f>IFERROR(__xludf.DUMMYFUNCTION("""COMPUTED_VALUE"""),"makeupmiami_fl")</f>
        <v>makeupmiami_fl</v>
      </c>
    </row>
    <row r="3445">
      <c r="A3445" s="8" t="str">
        <f>IFERROR(__xludf.DUMMYFUNCTION("""COMPUTED_VALUE"""),"miamimakeupartist")</f>
        <v>miamimakeupartist</v>
      </c>
    </row>
    <row r="3446">
      <c r="A3446" s="8" t="str">
        <f>IFERROR(__xludf.DUMMYFUNCTION("""COMPUTED_VALUE"""),"jollyonthebeatt")</f>
        <v>jollyonthebeatt</v>
      </c>
    </row>
    <row r="3447">
      <c r="A3447" s="8" t="str">
        <f>IFERROR(__xludf.DUMMYFUNCTION("""COMPUTED_VALUE"""),"makeupbyaleees")</f>
        <v>makeupbyaleees</v>
      </c>
    </row>
    <row r="3448">
      <c r="A3448" s="8" t="str">
        <f>IFERROR(__xludf.DUMMYFUNCTION("""COMPUTED_VALUE"""),"makeupbyemana")</f>
        <v>makeupbyemana</v>
      </c>
    </row>
    <row r="3449">
      <c r="A3449" s="8" t="str">
        <f>IFERROR(__xludf.DUMMYFUNCTION("""COMPUTED_VALUE"""),"makeupbynabeelaa")</f>
        <v>makeupbynabeelaa</v>
      </c>
    </row>
    <row r="3450">
      <c r="A3450" s="11" t="str">
        <f>IFERROR(__xludf.DUMMYFUNCTION("""COMPUTED_VALUE"""),"p.didd.it")</f>
        <v>p.didd.it</v>
      </c>
    </row>
    <row r="3451">
      <c r="A3451" s="8" t="str">
        <f>IFERROR(__xludf.DUMMYFUNCTION("""COMPUTED_VALUE"""),"_flawlessdolls")</f>
        <v>_flawlessdolls</v>
      </c>
    </row>
    <row r="3452">
      <c r="A3452" s="8" t="str">
        <f>IFERROR(__xludf.DUMMYFUNCTION("""COMPUTED_VALUE"""),"gianellabrizetti")</f>
        <v>gianellabrizetti</v>
      </c>
    </row>
    <row r="3453">
      <c r="A3453" s="8" t="str">
        <f>IFERROR(__xludf.DUMMYFUNCTION("""COMPUTED_VALUE"""),"glorifiedlooks")</f>
        <v>glorifiedlooks</v>
      </c>
    </row>
    <row r="3454">
      <c r="A3454" s="8" t="str">
        <f>IFERROR(__xludf.DUMMYFUNCTION("""COMPUTED_VALUE"""),"luisdollss")</f>
        <v>luisdollss</v>
      </c>
    </row>
    <row r="3455">
      <c r="A3455" s="8" t="str">
        <f>IFERROR(__xludf.DUMMYFUNCTION("""COMPUTED_VALUE"""),"makeupbydon")</f>
        <v>makeupbydon</v>
      </c>
    </row>
    <row r="3456">
      <c r="A3456" s="8" t="str">
        <f>IFERROR(__xludf.DUMMYFUNCTION("""COMPUTED_VALUE"""),"makeupmiami_fl")</f>
        <v>makeupmiami_fl</v>
      </c>
    </row>
    <row r="3457">
      <c r="A3457" s="8" t="str">
        <f>IFERROR(__xludf.DUMMYFUNCTION("""COMPUTED_VALUE"""),"tc.glamour")</f>
        <v>tc.glamour</v>
      </c>
    </row>
    <row r="3458">
      <c r="A3458" s="8" t="str">
        <f>IFERROR(__xludf.DUMMYFUNCTION("""COMPUTED_VALUE"""),"the.luxuryclub")</f>
        <v>the.luxuryclub</v>
      </c>
    </row>
    <row r="3459">
      <c r="A3459" s="8" t="str">
        <f>IFERROR(__xludf.DUMMYFUNCTION("""COMPUTED_VALUE"""),"vicamakeup")</f>
        <v>vicamakeup</v>
      </c>
    </row>
    <row r="3460">
      <c r="A3460" s="8" t="str">
        <f>IFERROR(__xludf.DUMMYFUNCTION("""COMPUTED_VALUE"""),"classic_menswear_north_miami")</f>
        <v>classic_menswear_north_miami</v>
      </c>
    </row>
    <row r="3461">
      <c r="A3461" s="8" t="str">
        <f>IFERROR(__xludf.DUMMYFUNCTION("""COMPUTED_VALUE"""),"modachicago.gym")</f>
        <v>modachicago.gym</v>
      </c>
    </row>
    <row r="3462">
      <c r="A3462" s="8" t="str">
        <f>IFERROR(__xludf.DUMMYFUNCTION("""COMPUTED_VALUE"""),"modaevents_official")</f>
        <v>modaevents_official</v>
      </c>
    </row>
    <row r="3463">
      <c r="A3463" s="8" t="str">
        <f>IFERROR(__xludf.DUMMYFUNCTION("""COMPUTED_VALUE"""),"mode.miami")</f>
        <v>mode.miami</v>
      </c>
    </row>
    <row r="3464">
      <c r="A3464" s="8" t="str">
        <f>IFERROR(__xludf.DUMMYFUNCTION("""COMPUTED_VALUE"""),"nailschicago.1")</f>
        <v>nailschicago.1</v>
      </c>
    </row>
    <row r="3465">
      <c r="A3465" s="8" t="str">
        <f>IFERROR(__xludf.DUMMYFUNCTION("""COMPUTED_VALUE"""),"ivaniasbeauty_miami")</f>
        <v>ivaniasbeauty_miami</v>
      </c>
    </row>
    <row r="3466">
      <c r="A3466" s="8" t="str">
        <f>IFERROR(__xludf.DUMMYFUNCTION("""COMPUTED_VALUE"""),"miaminailstudio")</f>
        <v>miaminailstudio</v>
      </c>
    </row>
    <row r="3467">
      <c r="A3467" s="8" t="str">
        <f>IFERROR(__xludf.DUMMYFUNCTION("""COMPUTED_VALUE"""),"naildripmiami")</f>
        <v>naildripmiami</v>
      </c>
    </row>
    <row r="3468">
      <c r="A3468" s="8" t="str">
        <f>IFERROR(__xludf.DUMMYFUNCTION("""COMPUTED_VALUE"""),"supernailspa_miami")</f>
        <v>supernailspa_miami</v>
      </c>
    </row>
    <row r="3469">
      <c r="A3469" s="8" t="str">
        <f>IFERROR(__xludf.DUMMYFUNCTION("""COMPUTED_VALUE"""),"margaritanaturalhaircare")</f>
        <v>margaritanaturalhaircare</v>
      </c>
    </row>
    <row r="3470">
      <c r="A3470" s="8" t="str">
        <f>IFERROR(__xludf.DUMMYFUNCTION("""COMPUTED_VALUE"""),"perfumesmiami_")</f>
        <v>perfumesmiami_</v>
      </c>
    </row>
    <row r="3471">
      <c r="A3471" s="8" t="str">
        <f>IFERROR(__xludf.DUMMYFUNCTION("""COMPUTED_VALUE"""),"chicagobestskin")</f>
        <v>chicagobestskin</v>
      </c>
    </row>
    <row r="3472">
      <c r="A3472" s="8" t="str">
        <f>IFERROR(__xludf.DUMMYFUNCTION("""COMPUTED_VALUE"""),"luxskinbar.chicago")</f>
        <v>luxskinbar.chicago</v>
      </c>
    </row>
    <row r="3473">
      <c r="A3473" s="11" t="str">
        <f>IFERROR(__xludf.DUMMYFUNCTION("""COMPUTED_VALUE"""),"mjstyle.me")</f>
        <v>mjstyle.me</v>
      </c>
    </row>
    <row r="3474">
      <c r="A3474" s="8" t="str">
        <f>IFERROR(__xludf.DUMMYFUNCTION("""COMPUTED_VALUE"""),"theconfidencebar")</f>
        <v>theconfidencebar</v>
      </c>
    </row>
    <row r="3475">
      <c r="A3475" s="8" t="str">
        <f>IFERROR(__xludf.DUMMYFUNCTION("""COMPUTED_VALUE"""),"luciagskincare")</f>
        <v>luciagskincare</v>
      </c>
    </row>
    <row r="3476">
      <c r="A3476" s="8" t="str">
        <f>IFERROR(__xludf.DUMMYFUNCTION("""COMPUTED_VALUE"""),"miamimdskincare")</f>
        <v>miamimdskincare</v>
      </c>
    </row>
    <row r="3477">
      <c r="A3477" s="8" t="str">
        <f>IFERROR(__xludf.DUMMYFUNCTION("""COMPUTED_VALUE"""),"skincaremiami.spa")</f>
        <v>skincaremiami.spa</v>
      </c>
    </row>
    <row r="3478">
      <c r="A3478" s="8" t="str">
        <f>IFERROR(__xludf.DUMMYFUNCTION("""COMPUTED_VALUE"""),"dancedynasty_miami")</f>
        <v>dancedynasty_miami</v>
      </c>
    </row>
    <row r="3479">
      <c r="A3479" s="8" t="str">
        <f>IFERROR(__xludf.DUMMYFUNCTION("""COMPUTED_VALUE"""),"buenosairesbarbershop")</f>
        <v>buenosairesbarbershop</v>
      </c>
    </row>
    <row r="3480">
      <c r="A3480" s="8" t="str">
        <f>IFERROR(__xludf.DUMMYFUNCTION("""COMPUTED_VALUE"""),"the.curl.lounge")</f>
        <v>the.curl.lounge</v>
      </c>
    </row>
    <row r="3481">
      <c r="A3481" s="8" t="str">
        <f>IFERROR(__xludf.DUMMYFUNCTION("""COMPUTED_VALUE"""),"lovelygeorgeluxurycandles")</f>
        <v>lovelygeorgeluxurycandles</v>
      </c>
    </row>
    <row r="3482">
      <c r="A3482" s="8" t="str">
        <f>IFERROR(__xludf.DUMMYFUNCTION("""COMPUTED_VALUE"""),"ellybragamakeup")</f>
        <v>ellybragamakeup</v>
      </c>
    </row>
    <row r="3483">
      <c r="A3483" s="8" t="str">
        <f>IFERROR(__xludf.DUMMYFUNCTION("""COMPUTED_VALUE"""),"delyseestoronto")</f>
        <v>delyseestoronto</v>
      </c>
    </row>
    <row r="3484">
      <c r="A3484" s="8" t="str">
        <f>IFERROR(__xludf.DUMMYFUNCTION("""COMPUTED_VALUE"""),"toronto.luxury.houses")</f>
        <v>toronto.luxury.houses</v>
      </c>
    </row>
    <row r="3485">
      <c r="A3485" s="8" t="str">
        <f>IFERROR(__xludf.DUMMYFUNCTION("""COMPUTED_VALUE"""),"irene.makeup.art")</f>
        <v>irene.makeup.art</v>
      </c>
    </row>
    <row r="3486">
      <c r="A3486" s="8" t="str">
        <f>IFERROR(__xludf.DUMMYFUNCTION("""COMPUTED_VALUE"""),"kendrafrenchmakeup")</f>
        <v>kendrafrenchmakeup</v>
      </c>
    </row>
    <row r="3487">
      <c r="A3487" s="8" t="str">
        <f>IFERROR(__xludf.DUMMYFUNCTION("""COMPUTED_VALUE"""),"leenaheravi")</f>
        <v>leenaheravi</v>
      </c>
    </row>
    <row r="3488">
      <c r="A3488" s="8" t="str">
        <f>IFERROR(__xludf.DUMMYFUNCTION("""COMPUTED_VALUE"""),"makeup.buenosaires")</f>
        <v>makeup.buenosaires</v>
      </c>
    </row>
    <row r="3489">
      <c r="A3489" s="8" t="str">
        <f>IFERROR(__xludf.DUMMYFUNCTION("""COMPUTED_VALUE"""),"makeup.dharma")</f>
        <v>makeup.dharma</v>
      </c>
    </row>
    <row r="3490">
      <c r="A3490" s="8" t="str">
        <f>IFERROR(__xludf.DUMMYFUNCTION("""COMPUTED_VALUE"""),"silvanabustos_makeup")</f>
        <v>silvanabustos_makeup</v>
      </c>
    </row>
    <row r="3491">
      <c r="A3491" s="8" t="str">
        <f>IFERROR(__xludf.DUMMYFUNCTION("""COMPUTED_VALUE"""),"gabriellopesmakeup")</f>
        <v>gabriellopesmakeup</v>
      </c>
    </row>
    <row r="3492">
      <c r="A3492" s="8" t="str">
        <f>IFERROR(__xludf.DUMMYFUNCTION("""COMPUTED_VALUE"""),"gabybarbosa_makeup")</f>
        <v>gabybarbosa_makeup</v>
      </c>
    </row>
    <row r="3493">
      <c r="A3493" s="8" t="str">
        <f>IFERROR(__xludf.DUMMYFUNCTION("""COMPUTED_VALUE"""),"ingridmariano.makeup")</f>
        <v>ingridmariano.makeup</v>
      </c>
    </row>
    <row r="3494">
      <c r="A3494" s="8" t="str">
        <f>IFERROR(__xludf.DUMMYFUNCTION("""COMPUTED_VALUE"""),"thifannymakeup")</f>
        <v>thifannymakeup</v>
      </c>
    </row>
    <row r="3495">
      <c r="A3495" s="8" t="str">
        <f>IFERROR(__xludf.DUMMYFUNCTION("""COMPUTED_VALUE"""),"beatrizalissia.makeup")</f>
        <v>beatrizalissia.makeup</v>
      </c>
    </row>
    <row r="3496">
      <c r="A3496" s="8" t="str">
        <f>IFERROR(__xludf.DUMMYFUNCTION("""COMPUTED_VALUE"""),"laris.makeup")</f>
        <v>laris.makeup</v>
      </c>
    </row>
    <row r="3497">
      <c r="A3497" s="8" t="str">
        <f>IFERROR(__xludf.DUMMYFUNCTION("""COMPUTED_VALUE"""),"tailla_makeup")</f>
        <v>tailla_makeup</v>
      </c>
    </row>
    <row r="3498">
      <c r="A3498" s="8" t="str">
        <f>IFERROR(__xludf.DUMMYFUNCTION("""COMPUTED_VALUE"""),"bonika_muah")</f>
        <v>bonika_muah</v>
      </c>
    </row>
    <row r="3499">
      <c r="A3499" s="8" t="str">
        <f>IFERROR(__xludf.DUMMYFUNCTION("""COMPUTED_VALUE"""),"leenaheravi")</f>
        <v>leenaheravi</v>
      </c>
    </row>
    <row r="3500">
      <c r="A3500" s="8" t="str">
        <f>IFERROR(__xludf.DUMMYFUNCTION("""COMPUTED_VALUE"""),"espaciobuenosaires")</f>
        <v>espaciobuenosaires</v>
      </c>
    </row>
    <row r="3501">
      <c r="A3501" s="8" t="str">
        <f>IFERROR(__xludf.DUMMYFUNCTION("""COMPUTED_VALUE"""),"modaurbanabuenosaires")</f>
        <v>modaurbanabuenosaires</v>
      </c>
    </row>
    <row r="3502">
      <c r="A3502" s="8" t="str">
        <f>IFERROR(__xludf.DUMMYFUNCTION("""COMPUTED_VALUE"""),"modernabuenosaires")</f>
        <v>modernabuenosaires</v>
      </c>
    </row>
    <row r="3503">
      <c r="A3503" s="8" t="str">
        <f>IFERROR(__xludf.DUMMYFUNCTION("""COMPUTED_VALUE"""),"boutiquemoca_bonita")</f>
        <v>boutiquemoca_bonita</v>
      </c>
    </row>
    <row r="3504">
      <c r="A3504" s="8" t="str">
        <f>IFERROR(__xludf.DUMMYFUNCTION("""COMPUTED_VALUE"""),"kakariodejaneiro")</f>
        <v>kakariodejaneiro</v>
      </c>
    </row>
    <row r="3505">
      <c r="A3505" s="8" t="str">
        <f>IFERROR(__xludf.DUMMYFUNCTION("""COMPUTED_VALUE"""),"meu_bendito_brecho_")</f>
        <v>meu_bendito_brecho_</v>
      </c>
    </row>
    <row r="3506">
      <c r="A3506" s="8" t="str">
        <f>IFERROR(__xludf.DUMMYFUNCTION("""COMPUTED_VALUE"""),"serenamodabc")</f>
        <v>serenamodabc</v>
      </c>
    </row>
    <row r="3507">
      <c r="A3507" s="8" t="str">
        <f>IFERROR(__xludf.DUMMYFUNCTION("""COMPUTED_VALUE"""),"acfashionstore")</f>
        <v>acfashionstore</v>
      </c>
    </row>
    <row r="3508">
      <c r="A3508" s="8" t="str">
        <f>IFERROR(__xludf.DUMMYFUNCTION("""COMPUTED_VALUE"""),"bailedemode")</f>
        <v>bailedemode</v>
      </c>
    </row>
    <row r="3509">
      <c r="A3509" s="8" t="str">
        <f>IFERROR(__xludf.DUMMYFUNCTION("""COMPUTED_VALUE"""),"closet_lafete")</f>
        <v>closet_lafete</v>
      </c>
    </row>
    <row r="3510">
      <c r="A3510" s="8" t="str">
        <f>IFERROR(__xludf.DUMMYFUNCTION("""COMPUTED_VALUE"""),"modasaopaulo_")</f>
        <v>modasaopaulo_</v>
      </c>
    </row>
    <row r="3511">
      <c r="A3511" s="11" t="str">
        <f>IFERROR(__xludf.DUMMYFUNCTION("""COMPUTED_VALUE"""),"mundolulu.br")</f>
        <v>mundolulu.br</v>
      </c>
    </row>
    <row r="3512">
      <c r="A3512" s="8" t="str">
        <f>IFERROR(__xludf.DUMMYFUNCTION("""COMPUTED_VALUE"""),"chemadame_nails")</f>
        <v>chemadame_nails</v>
      </c>
    </row>
    <row r="3513">
      <c r="A3513" s="8" t="str">
        <f>IFERROR(__xludf.DUMMYFUNCTION("""COMPUTED_VALUE"""),"nails_nachuster")</f>
        <v>nails_nachuster</v>
      </c>
    </row>
    <row r="3514">
      <c r="A3514" s="8" t="str">
        <f>IFERROR(__xludf.DUMMYFUNCTION("""COMPUTED_VALUE"""),"milenas.nail")</f>
        <v>milenas.nail</v>
      </c>
    </row>
    <row r="3515">
      <c r="A3515" s="8" t="str">
        <f>IFERROR(__xludf.DUMMYFUNCTION("""COMPUTED_VALUE"""),"queennailsetobicoke")</f>
        <v>queennailsetobicoke</v>
      </c>
    </row>
    <row r="3516">
      <c r="A3516" s="8" t="str">
        <f>IFERROR(__xludf.DUMMYFUNCTION("""COMPUTED_VALUE"""),"carol.naturalbeauty")</f>
        <v>carol.naturalbeauty</v>
      </c>
    </row>
    <row r="3517">
      <c r="A3517" s="8" t="str">
        <f>IFERROR(__xludf.DUMMYFUNCTION("""COMPUTED_VALUE"""),"ellybragamakeup")</f>
        <v>ellybragamakeup</v>
      </c>
    </row>
    <row r="3518">
      <c r="A3518" s="8" t="str">
        <f>IFERROR(__xludf.DUMMYFUNCTION("""COMPUTED_VALUE"""),"signature_beautylounge")</f>
        <v>signature_beautylounge</v>
      </c>
    </row>
    <row r="3519">
      <c r="A3519" s="8" t="str">
        <f>IFERROR(__xludf.DUMMYFUNCTION("""COMPUTED_VALUE"""),"studio6beauty_")</f>
        <v>studio6beauty_</v>
      </c>
    </row>
    <row r="3520">
      <c r="A3520" s="11" t="str">
        <f>IFERROR(__xludf.DUMMYFUNCTION("""COMPUTED_VALUE"""),"sneakerhead.ba")</f>
        <v>sneakerhead.ba</v>
      </c>
    </row>
    <row r="3521">
      <c r="A3521" s="8" t="str">
        <f>IFERROR(__xludf.DUMMYFUNCTION("""COMPUTED_VALUE"""),"dom_sneakerss")</f>
        <v>dom_sneakerss</v>
      </c>
    </row>
    <row r="3522">
      <c r="A3522" s="8" t="str">
        <f>IFERROR(__xludf.DUMMYFUNCTION("""COMPUTED_VALUE"""),"saopaulo.sneakers")</f>
        <v>saopaulo.sneakers</v>
      </c>
    </row>
    <row r="3523">
      <c r="A3523" s="8" t="str">
        <f>IFERROR(__xludf.DUMMYFUNCTION("""COMPUTED_VALUE"""),"torontosneakers.ok")</f>
        <v>torontosneakers.ok</v>
      </c>
    </row>
    <row r="3524">
      <c r="A3524" s="8" t="str">
        <f>IFERROR(__xludf.DUMMYFUNCTION("""COMPUTED_VALUE"""),"streetstylebuenosaires")</f>
        <v>streetstylebuenosaires</v>
      </c>
    </row>
    <row r="3525">
      <c r="A3525" s="8" t="str">
        <f>IFERROR(__xludf.DUMMYFUNCTION("""COMPUTED_VALUE"""),"westcoast_ropa")</f>
        <v>westcoast_ropa</v>
      </c>
    </row>
    <row r="3526">
      <c r="A3526" s="8" t="str">
        <f>IFERROR(__xludf.DUMMYFUNCTION("""COMPUTED_VALUE"""),"relocationtoronto")</f>
        <v>relocationtoronto</v>
      </c>
    </row>
    <row r="3527">
      <c r="A3527" s="8" t="str">
        <f>IFERROR(__xludf.DUMMYFUNCTION("""COMPUTED_VALUE"""),"sustainable_fashion_business")</f>
        <v>sustainable_fashion_business</v>
      </c>
    </row>
    <row r="3528">
      <c r="A3528" s="8" t="str">
        <f>IFERROR(__xludf.DUMMYFUNCTION("""COMPUTED_VALUE"""),"national_thrift")</f>
        <v>national_thrift</v>
      </c>
    </row>
    <row r="3529">
      <c r="A3529" s="8" t="str">
        <f>IFERROR(__xludf.DUMMYFUNCTION("""COMPUTED_VALUE"""),"desayunos.bogotafr")</f>
        <v>desayunos.bogotafr</v>
      </c>
    </row>
    <row r="3530">
      <c r="A3530" s="8" t="str">
        <f>IFERROR(__xludf.DUMMYFUNCTION("""COMPUTED_VALUE"""),"hemmabogota")</f>
        <v>hemmabogota</v>
      </c>
    </row>
    <row r="3531">
      <c r="A3531" s="8" t="str">
        <f>IFERROR(__xludf.DUMMYFUNCTION("""COMPUTED_VALUE"""),"luxury.bogotaclub")</f>
        <v>luxury.bogotaclub</v>
      </c>
    </row>
    <row r="3532">
      <c r="A3532" s="8" t="str">
        <f>IFERROR(__xludf.DUMMYFUNCTION("""COMPUTED_VALUE"""),"luxurysport_1")</f>
        <v>luxurysport_1</v>
      </c>
    </row>
    <row r="3533">
      <c r="A3533" s="8" t="str">
        <f>IFERROR(__xludf.DUMMYFUNCTION("""COMPUTED_VALUE"""),"bygenesismorales")</f>
        <v>bygenesismorales</v>
      </c>
    </row>
    <row r="3534">
      <c r="A3534" s="8" t="str">
        <f>IFERROR(__xludf.DUMMYFUNCTION("""COMPUTED_VALUE"""),"bogota.esmoda")</f>
        <v>bogota.esmoda</v>
      </c>
    </row>
    <row r="3535">
      <c r="A3535" s="8" t="str">
        <f>IFERROR(__xludf.DUMMYFUNCTION("""COMPUTED_VALUE"""),"angels.nails_studio")</f>
        <v>angels.nails_studio</v>
      </c>
    </row>
    <row r="3536">
      <c r="A3536" s="8" t="str">
        <f>IFERROR(__xludf.DUMMYFUNCTION("""COMPUTED_VALUE"""),"ensueno_nailstudio")</f>
        <v>ensueno_nailstudio</v>
      </c>
    </row>
    <row r="3537">
      <c r="A3537" s="8" t="str">
        <f>IFERROR(__xludf.DUMMYFUNCTION("""COMPUTED_VALUE"""),"bogotaperfume")</f>
        <v>bogotaperfume</v>
      </c>
    </row>
    <row r="3538">
      <c r="A3538" s="8" t="str">
        <f>IFERROR(__xludf.DUMMYFUNCTION("""COMPUTED_VALUE"""),"shoes__bogota__")</f>
        <v>shoes__bogota__</v>
      </c>
    </row>
    <row r="3539">
      <c r="A3539" s="8" t="str">
        <f>IFERROR(__xludf.DUMMYFUNCTION("""COMPUTED_VALUE"""),"slippers_boom")</f>
        <v>slippers_boom</v>
      </c>
    </row>
    <row r="3540">
      <c r="A3540" s="8" t="str">
        <f>IFERROR(__xludf.DUMMYFUNCTION("""COMPUTED_VALUE"""),"goodtimesbogota")</f>
        <v>goodtimesbogota</v>
      </c>
    </row>
    <row r="3541">
      <c r="A3541" s="8" t="str">
        <f>IFERROR(__xludf.DUMMYFUNCTION("""COMPUTED_VALUE"""),"mr_london_accessories_")</f>
        <v>mr_london_accessories_</v>
      </c>
    </row>
    <row r="3542">
      <c r="A3542" s="8" t="str">
        <f>IFERROR(__xludf.DUMMYFUNCTION("""COMPUTED_VALUE"""),"myaccessorieslondon")</f>
        <v>myaccessorieslondon</v>
      </c>
    </row>
    <row r="3543">
      <c r="A3543" s="8" t="str">
        <f>IFERROR(__xludf.DUMMYFUNCTION("""COMPUTED_VALUE"""),"any_di_munich")</f>
        <v>any_di_munich</v>
      </c>
    </row>
    <row r="3544">
      <c r="A3544" s="8" t="str">
        <f>IFERROR(__xludf.DUMMYFUNCTION("""COMPUTED_VALUE"""),"accesorios_santiago25")</f>
        <v>accesorios_santiago25</v>
      </c>
    </row>
    <row r="3545">
      <c r="A3545" s="8" t="str">
        <f>IFERROR(__xludf.DUMMYFUNCTION("""COMPUTED_VALUE"""),"barbershopberlin_")</f>
        <v>barbershopberlin_</v>
      </c>
    </row>
    <row r="3546">
      <c r="A3546" s="11" t="str">
        <f>IFERROR(__xludf.DUMMYFUNCTION("""COMPUTED_VALUE"""),"londonbarbershop.la")</f>
        <v>londonbarbershop.la</v>
      </c>
    </row>
    <row r="3547">
      <c r="A3547" s="8" t="str">
        <f>IFERROR(__xludf.DUMMYFUNCTION("""COMPUTED_VALUE"""),"kreme_paris")</f>
        <v>kreme_paris</v>
      </c>
    </row>
    <row r="3548">
      <c r="A3548" s="8" t="str">
        <f>IFERROR(__xludf.DUMMYFUNCTION("""COMPUTED_VALUE"""),"harley_hp")</f>
        <v>harley_hp</v>
      </c>
    </row>
    <row r="3549">
      <c r="A3549" s="8" t="str">
        <f>IFERROR(__xludf.DUMMYFUNCTION("""COMPUTED_VALUE"""),"swgluxurytrends")</f>
        <v>swgluxurytrends</v>
      </c>
    </row>
    <row r="3550">
      <c r="A3550" s="8" t="str">
        <f>IFERROR(__xludf.DUMMYFUNCTION("""COMPUTED_VALUE"""),"donia_hairstylist75")</f>
        <v>donia_hairstylist75</v>
      </c>
    </row>
    <row r="3551">
      <c r="A3551" s="11" t="str">
        <f>IFERROR(__xludf.DUMMYFUNCTION("""COMPUTED_VALUE"""),"parisa.hairstyle.ae")</f>
        <v>parisa.hairstyle.ae</v>
      </c>
    </row>
    <row r="3552">
      <c r="A3552" s="8" t="str">
        <f>IFERROR(__xludf.DUMMYFUNCTION("""COMPUTED_VALUE"""),"santi.hairstyle")</f>
        <v>santi.hairstyle</v>
      </c>
    </row>
    <row r="3553">
      <c r="A3553" s="8" t="str">
        <f>IFERROR(__xludf.DUMMYFUNCTION("""COMPUTED_VALUE"""),"moyalondon")</f>
        <v>moyalondon</v>
      </c>
    </row>
    <row r="3554">
      <c r="A3554" s="8" t="str">
        <f>IFERROR(__xludf.DUMMYFUNCTION("""COMPUTED_VALUE"""),"lafloreparis")</f>
        <v>lafloreparis</v>
      </c>
    </row>
    <row r="3555">
      <c r="A3555" s="8" t="str">
        <f>IFERROR(__xludf.DUMMYFUNCTION("""COMPUTED_VALUE"""),"haute_coutureparis")</f>
        <v>haute_coutureparis</v>
      </c>
    </row>
    <row r="3556">
      <c r="A3556" s="8" t="str">
        <f>IFERROR(__xludf.DUMMYFUNCTION("""COMPUTED_VALUE"""),"jmc.in.paris")</f>
        <v>jmc.in.paris</v>
      </c>
    </row>
    <row r="3557">
      <c r="A3557" s="8" t="str">
        <f>IFERROR(__xludf.DUMMYFUNCTION("""COMPUTED_VALUE"""),"lametamorphoseofficial")</f>
        <v>lametamorphoseofficial</v>
      </c>
    </row>
    <row r="3558">
      <c r="A3558" s="8" t="str">
        <f>IFERROR(__xludf.DUMMYFUNCTION("""COMPUTED_VALUE"""),"daria_gribanovskaia")</f>
        <v>daria_gribanovskaia</v>
      </c>
    </row>
    <row r="3559">
      <c r="A3559" s="8" t="str">
        <f>IFERROR(__xludf.DUMMYFUNCTION("""COMPUTED_VALUE"""),"amsterdamagadir")</f>
        <v>amsterdamagadir</v>
      </c>
    </row>
    <row r="3560">
      <c r="A3560" s="8" t="str">
        <f>IFERROR(__xludf.DUMMYFUNCTION("""COMPUTED_VALUE"""),"luxurybrand.amsterdam")</f>
        <v>luxurybrand.amsterdam</v>
      </c>
    </row>
    <row r="3561">
      <c r="A3561" s="8" t="str">
        <f>IFERROR(__xludf.DUMMYFUNCTION("""COMPUTED_VALUE"""),"vintage_united")</f>
        <v>vintage_united</v>
      </c>
    </row>
    <row r="3562">
      <c r="A3562" s="8" t="str">
        <f>IFERROR(__xludf.DUMMYFUNCTION("""COMPUTED_VALUE"""),"luxury_escape_berlin")</f>
        <v>luxury_escape_berlin</v>
      </c>
    </row>
    <row r="3563">
      <c r="A3563" s="8" t="str">
        <f>IFERROR(__xludf.DUMMYFUNCTION("""COMPUTED_VALUE"""),"luxurylashes.berlin")</f>
        <v>luxurylashes.berlin</v>
      </c>
    </row>
    <row r="3564">
      <c r="A3564" s="8" t="str">
        <f>IFERROR(__xludf.DUMMYFUNCTION("""COMPUTED_VALUE"""),"luxury.moabit.berlin")</f>
        <v>luxury.moabit.berlin</v>
      </c>
    </row>
    <row r="3565">
      <c r="A3565" s="8" t="str">
        <f>IFERROR(__xludf.DUMMYFUNCTION("""COMPUTED_VALUE"""),"desavarylondon")</f>
        <v>desavarylondon</v>
      </c>
    </row>
    <row r="3566">
      <c r="A3566" s="8" t="str">
        <f>IFERROR(__xludf.DUMMYFUNCTION("""COMPUTED_VALUE"""),"luxurylondonlife")</f>
        <v>luxurylondonlife</v>
      </c>
    </row>
    <row r="3567">
      <c r="A3567" s="8" t="str">
        <f>IFERROR(__xludf.DUMMYFUNCTION("""COMPUTED_VALUE"""),"luxurylondonofficial")</f>
        <v>luxurylondonofficial</v>
      </c>
    </row>
    <row r="3568">
      <c r="A3568" s="8" t="str">
        <f>IFERROR(__xludf.DUMMYFUNCTION("""COMPUTED_VALUE"""),"oddmuselondon")</f>
        <v>oddmuselondon</v>
      </c>
    </row>
    <row r="3569">
      <c r="A3569" s="11" t="str">
        <f>IFERROR(__xludf.DUMMYFUNCTION("""COMPUTED_VALUE"""),"royalrental.co.uk")</f>
        <v>royalrental.co.uk</v>
      </c>
    </row>
    <row r="3570">
      <c r="A3570" s="8" t="str">
        <f>IFERROR(__xludf.DUMMYFUNCTION("""COMPUTED_VALUE"""),"any_di_munich")</f>
        <v>any_di_munich</v>
      </c>
    </row>
    <row r="3571">
      <c r="A3571" s="8" t="str">
        <f>IFERROR(__xludf.DUMMYFUNCTION("""COMPUTED_VALUE"""),"luxurywatchesmunich")</f>
        <v>luxurywatchesmunich</v>
      </c>
    </row>
    <row r="3572">
      <c r="A3572" s="8" t="str">
        <f>IFERROR(__xludf.DUMMYFUNCTION("""COMPUTED_VALUE"""),"as_luxury_paris")</f>
        <v>as_luxury_paris</v>
      </c>
    </row>
    <row r="3573">
      <c r="A3573" s="8" t="str">
        <f>IFERROR(__xludf.DUMMYFUNCTION("""COMPUTED_VALUE"""),"dm_luxury_paris")</f>
        <v>dm_luxury_paris</v>
      </c>
    </row>
    <row r="3574">
      <c r="A3574" s="8" t="str">
        <f>IFERROR(__xludf.DUMMYFUNCTION("""COMPUTED_VALUE"""),"luxuryhotelschool")</f>
        <v>luxuryhotelschool</v>
      </c>
    </row>
    <row r="3575">
      <c r="A3575" s="8" t="str">
        <f>IFERROR(__xludf.DUMMYFUNCTION("""COMPUTED_VALUE"""),"jopluxurydresses")</f>
        <v>jopluxurydresses</v>
      </c>
    </row>
    <row r="3576">
      <c r="A3576" s="8" t="str">
        <f>IFERROR(__xludf.DUMMYFUNCTION("""COMPUTED_VALUE"""),"luxuryclub.sti")</f>
        <v>luxuryclub.sti</v>
      </c>
    </row>
    <row r="3577">
      <c r="A3577" s="8" t="str">
        <f>IFERROR(__xludf.DUMMYFUNCTION("""COMPUTED_VALUE"""),"kimbsbeauty")</f>
        <v>kimbsbeauty</v>
      </c>
    </row>
    <row r="3578">
      <c r="A3578" s="8" t="str">
        <f>IFERROR(__xludf.DUMMYFUNCTION("""COMPUTED_VALUE"""),"makeupstudioamsterdam")</f>
        <v>makeupstudioamsterdam</v>
      </c>
    </row>
    <row r="3579">
      <c r="A3579" s="8" t="str">
        <f>IFERROR(__xludf.DUMMYFUNCTION("""COMPUTED_VALUE"""),"jeyanney")</f>
        <v>jeyanney</v>
      </c>
    </row>
    <row r="3580">
      <c r="A3580" s="8" t="str">
        <f>IFERROR(__xludf.DUMMYFUNCTION("""COMPUTED_VALUE"""),"nencymakeup")</f>
        <v>nencymakeup</v>
      </c>
    </row>
    <row r="3581">
      <c r="A3581" s="8" t="str">
        <f>IFERROR(__xludf.DUMMYFUNCTION("""COMPUTED_VALUE"""),"selinabassi")</f>
        <v>selinabassi</v>
      </c>
    </row>
    <row r="3582">
      <c r="A3582" s="8" t="str">
        <f>IFERROR(__xludf.DUMMYFUNCTION("""COMPUTED_VALUE"""),"iamxcleo")</f>
        <v>iamxcleo</v>
      </c>
    </row>
    <row r="3583">
      <c r="A3583" s="8" t="str">
        <f>IFERROR(__xludf.DUMMYFUNCTION("""COMPUTED_VALUE"""),"neylaglam")</f>
        <v>neylaglam</v>
      </c>
    </row>
    <row r="3584">
      <c r="A3584" s="8" t="str">
        <f>IFERROR(__xludf.DUMMYFUNCTION("""COMPUTED_VALUE"""),"silevko_mua")</f>
        <v>silevko_mua</v>
      </c>
    </row>
    <row r="3585">
      <c r="A3585" s="8" t="str">
        <f>IFERROR(__xludf.DUMMYFUNCTION("""COMPUTED_VALUE"""),"tessmakeup")</f>
        <v>tessmakeup</v>
      </c>
    </row>
    <row r="3586">
      <c r="A3586" s="8" t="str">
        <f>IFERROR(__xludf.DUMMYFUNCTION("""COMPUTED_VALUE"""),"vietcuonghoang")</f>
        <v>vietcuonghoang</v>
      </c>
    </row>
    <row r="3587">
      <c r="A3587" s="8" t="str">
        <f>IFERROR(__xludf.DUMMYFUNCTION("""COMPUTED_VALUE"""),"berliner_makeup")</f>
        <v>berliner_makeup</v>
      </c>
    </row>
    <row r="3588">
      <c r="A3588" s="8" t="str">
        <f>IFERROR(__xludf.DUMMYFUNCTION("""COMPUTED_VALUE"""),"londoncollegeofmakeup")</f>
        <v>londoncollegeofmakeup</v>
      </c>
    </row>
    <row r="3589">
      <c r="A3589" s="8" t="str">
        <f>IFERROR(__xludf.DUMMYFUNCTION("""COMPUTED_VALUE"""),"nencymakeup")</f>
        <v>nencymakeup</v>
      </c>
    </row>
    <row r="3590">
      <c r="A3590" s="8" t="str">
        <f>IFERROR(__xludf.DUMMYFUNCTION("""COMPUTED_VALUE"""),"taishamakeup")</f>
        <v>taishamakeup</v>
      </c>
    </row>
    <row r="3591">
      <c r="A3591" s="8" t="str">
        <f>IFERROR(__xludf.DUMMYFUNCTION("""COMPUTED_VALUE"""),"bogner.makeup.concept")</f>
        <v>bogner.makeup.concept</v>
      </c>
    </row>
    <row r="3592">
      <c r="A3592" s="8" t="str">
        <f>IFERROR(__xludf.DUMMYFUNCTION("""COMPUTED_VALUE"""),"muamunich")</f>
        <v>muamunich</v>
      </c>
    </row>
    <row r="3593">
      <c r="A3593" s="8" t="str">
        <f>IFERROR(__xludf.DUMMYFUNCTION("""COMPUTED_VALUE"""),"makeupparis____")</f>
        <v>makeupparis____</v>
      </c>
    </row>
    <row r="3594">
      <c r="A3594" s="8" t="str">
        <f>IFERROR(__xludf.DUMMYFUNCTION("""COMPUTED_VALUE"""),"santilvmakeup")</f>
        <v>santilvmakeup</v>
      </c>
    </row>
    <row r="3595">
      <c r="A3595" s="8" t="str">
        <f>IFERROR(__xludf.DUMMYFUNCTION("""COMPUTED_VALUE"""),"dailytouchofclass")</f>
        <v>dailytouchofclass</v>
      </c>
    </row>
    <row r="3596">
      <c r="A3596" s="8" t="str">
        <f>IFERROR(__xludf.DUMMYFUNCTION("""COMPUTED_VALUE"""),"illcutz")</f>
        <v>illcutz</v>
      </c>
    </row>
    <row r="3597">
      <c r="A3597" s="8" t="str">
        <f>IFERROR(__xludf.DUMMYFUNCTION("""COMPUTED_VALUE"""),"jacklondon_official")</f>
        <v>jacklondon_official</v>
      </c>
    </row>
    <row r="3598">
      <c r="A3598" s="8" t="str">
        <f>IFERROR(__xludf.DUMMYFUNCTION("""COMPUTED_VALUE"""),"lucientelondon")</f>
        <v>lucientelondon</v>
      </c>
    </row>
    <row r="3599">
      <c r="A3599" s="8" t="str">
        <f>IFERROR(__xludf.DUMMYFUNCTION("""COMPUTED_VALUE"""),"fashionik")</f>
        <v>fashionik</v>
      </c>
    </row>
    <row r="3600">
      <c r="A3600" s="8" t="str">
        <f>IFERROR(__xludf.DUMMYFUNCTION("""COMPUTED_VALUE"""),"moda.berliner")</f>
        <v>moda.berliner</v>
      </c>
    </row>
    <row r="3601">
      <c r="A3601" s="8" t="str">
        <f>IFERROR(__xludf.DUMMYFUNCTION("""COMPUTED_VALUE"""),"lamodalondon")</f>
        <v>lamodalondon</v>
      </c>
    </row>
    <row r="3602">
      <c r="A3602" s="8" t="str">
        <f>IFERROR(__xludf.DUMMYFUNCTION("""COMPUTED_VALUE"""),"modalondon")</f>
        <v>modalondon</v>
      </c>
    </row>
    <row r="3603">
      <c r="A3603" s="8" t="str">
        <f>IFERROR(__xludf.DUMMYFUNCTION("""COMPUTED_VALUE"""),"moda_paris23")</f>
        <v>moda_paris23</v>
      </c>
    </row>
    <row r="3604">
      <c r="A3604" s="8" t="str">
        <f>IFERROR(__xludf.DUMMYFUNCTION("""COMPUTED_VALUE"""),"moda_paris_25")</f>
        <v>moda_paris_25</v>
      </c>
    </row>
    <row r="3605">
      <c r="A3605" s="8" t="str">
        <f>IFERROR(__xludf.DUMMYFUNCTION("""COMPUTED_VALUE"""),"casa_de_moda_santiago")</f>
        <v>casa_de_moda_santiago</v>
      </c>
    </row>
    <row r="3606">
      <c r="A3606" s="8" t="str">
        <f>IFERROR(__xludf.DUMMYFUNCTION("""COMPUTED_VALUE"""),"moda_a_tuspies_santiago")</f>
        <v>moda_a_tuspies_santiago</v>
      </c>
    </row>
    <row r="3607">
      <c r="A3607" s="8" t="str">
        <f>IFERROR(__xludf.DUMMYFUNCTION("""COMPUTED_VALUE"""),"modas_santiago_infantil")</f>
        <v>modas_santiago_infantil</v>
      </c>
    </row>
    <row r="3608">
      <c r="A3608" s="8" t="str">
        <f>IFERROR(__xludf.DUMMYFUNCTION("""COMPUTED_VALUE"""),"modatimasantiago")</f>
        <v>modatimasantiago</v>
      </c>
    </row>
    <row r="3609">
      <c r="A3609" s="8" t="str">
        <f>IFERROR(__xludf.DUMMYFUNCTION("""COMPUTED_VALUE"""),"santiagostorepb")</f>
        <v>santiagostorepb</v>
      </c>
    </row>
    <row r="3610">
      <c r="A3610" s="8" t="str">
        <f>IFERROR(__xludf.DUMMYFUNCTION("""COMPUTED_VALUE"""),"parishouseofbeauty")</f>
        <v>parishouseofbeauty</v>
      </c>
    </row>
    <row r="3611">
      <c r="A3611" s="8" t="str">
        <f>IFERROR(__xludf.DUMMYFUNCTION("""COMPUTED_VALUE"""),"stylehub.london")</f>
        <v>stylehub.london</v>
      </c>
    </row>
    <row r="3612">
      <c r="A3612" s="8" t="str">
        <f>IFERROR(__xludf.DUMMYFUNCTION("""COMPUTED_VALUE"""),"londonorganic")</f>
        <v>londonorganic</v>
      </c>
    </row>
    <row r="3613">
      <c r="A3613" s="8" t="str">
        <f>IFERROR(__xludf.DUMMYFUNCTION("""COMPUTED_VALUE"""),"zetma.paris")</f>
        <v>zetma.paris</v>
      </c>
    </row>
    <row r="3614">
      <c r="A3614" s="8" t="str">
        <f>IFERROR(__xludf.DUMMYFUNCTION("""COMPUTED_VALUE"""),"parisperfume__")</f>
        <v>parisperfume__</v>
      </c>
    </row>
    <row r="3615">
      <c r="A3615" s="11" t="str">
        <f>IFERROR(__xludf.DUMMYFUNCTION("""COMPUTED_VALUE"""),"paris_perfume.kz")</f>
        <v>paris_perfume.kz</v>
      </c>
    </row>
    <row r="3616">
      <c r="A3616" s="11" t="str">
        <f>IFERROR(__xludf.DUMMYFUNCTION("""COMPUTED_VALUE"""),"santiagoperfumes.cl")</f>
        <v>santiagoperfumes.cl</v>
      </c>
    </row>
    <row r="3617">
      <c r="A3617" s="8" t="str">
        <f>IFERROR(__xludf.DUMMYFUNCTION("""COMPUTED_VALUE"""),"mermeberlin")</f>
        <v>mermeberlin</v>
      </c>
    </row>
    <row r="3618">
      <c r="A3618" s="8" t="str">
        <f>IFERROR(__xludf.DUMMYFUNCTION("""COMPUTED_VALUE"""),"blemivivskincarelondon")</f>
        <v>blemivivskincarelondon</v>
      </c>
    </row>
    <row r="3619">
      <c r="A3619" s="11" t="str">
        <f>IFERROR(__xludf.DUMMYFUNCTION("""COMPUTED_VALUE"""),"kokopink.cl")</f>
        <v>kokopink.cl</v>
      </c>
    </row>
    <row r="3620">
      <c r="A3620" s="8" t="str">
        <f>IFERROR(__xludf.DUMMYFUNCTION("""COMPUTED_VALUE"""),"sneakersofberlin")</f>
        <v>sneakersofberlin</v>
      </c>
    </row>
    <row r="3621">
      <c r="A3621" s="8" t="str">
        <f>IFERROR(__xludf.DUMMYFUNCTION("""COMPUTED_VALUE"""),"crimelondon_sneakers")</f>
        <v>crimelondon_sneakers</v>
      </c>
    </row>
    <row r="3622">
      <c r="A3622" s="8" t="str">
        <f>IFERROR(__xludf.DUMMYFUNCTION("""COMPUTED_VALUE"""),"sneakerslondonco")</f>
        <v>sneakerslondonco</v>
      </c>
    </row>
    <row r="3623">
      <c r="A3623" s="8" t="str">
        <f>IFERROR(__xludf.DUMMYFUNCTION("""COMPUTED_VALUE"""),"munichindonesia")</f>
        <v>munichindonesia</v>
      </c>
    </row>
    <row r="3624">
      <c r="A3624" s="8" t="str">
        <f>IFERROR(__xludf.DUMMYFUNCTION("""COMPUTED_VALUE"""),"munichmalaysia")</f>
        <v>munichmalaysia</v>
      </c>
    </row>
    <row r="3625">
      <c r="A3625" s="8" t="str">
        <f>IFERROR(__xludf.DUMMYFUNCTION("""COMPUTED_VALUE"""),"london_street_style")</f>
        <v>london_street_style</v>
      </c>
    </row>
    <row r="3626">
      <c r="A3626" s="8" t="str">
        <f>IFERROR(__xludf.DUMMYFUNCTION("""COMPUTED_VALUE"""),"streetstyle_london")</f>
        <v>streetstyle_london</v>
      </c>
    </row>
    <row r="3627">
      <c r="A3627" s="8" t="str">
        <f>IFERROR(__xludf.DUMMYFUNCTION("""COMPUTED_VALUE"""),"paris.street.style")</f>
        <v>paris.street.style</v>
      </c>
    </row>
    <row r="3628">
      <c r="A3628" s="8" t="str">
        <f>IFERROR(__xludf.DUMMYFUNCTION("""COMPUTED_VALUE"""),"street_style_paris")</f>
        <v>street_style_paris</v>
      </c>
    </row>
    <row r="3629">
      <c r="A3629" s="8" t="str">
        <f>IFERROR(__xludf.DUMMYFUNCTION("""COMPUTED_VALUE"""),"londonstreetwear1")</f>
        <v>londonstreetwear1</v>
      </c>
    </row>
    <row r="3630">
      <c r="A3630" s="11" t="str">
        <f>IFERROR(__xludf.DUMMYFUNCTION("""COMPUTED_VALUE"""),"paris_street.co")</f>
        <v>paris_street.co</v>
      </c>
    </row>
    <row r="3631">
      <c r="A3631" s="8" t="str">
        <f>IFERROR(__xludf.DUMMYFUNCTION("""COMPUTED_VALUE"""),"s.suarez_collection")</f>
        <v>s.suarez_collection</v>
      </c>
    </row>
    <row r="3632">
      <c r="A3632" s="8" t="str">
        <f>IFERROR(__xludf.DUMMYFUNCTION("""COMPUTED_VALUE"""),"ariikestudio")</f>
        <v>ariikestudio</v>
      </c>
    </row>
    <row r="3633">
      <c r="A3633" s="8" t="str">
        <f>IFERROR(__xludf.DUMMYFUNCTION("""COMPUTED_VALUE"""),"birdsonglondon")</f>
        <v>birdsonglondon</v>
      </c>
    </row>
    <row r="3634">
      <c r="A3634" s="8" t="str">
        <f>IFERROR(__xludf.DUMMYFUNCTION("""COMPUTED_VALUE"""),"sustainablefashionlovers")</f>
        <v>sustainablefashionlovers</v>
      </c>
    </row>
    <row r="3635">
      <c r="A3635" s="8" t="str">
        <f>IFERROR(__xludf.DUMMYFUNCTION("""COMPUTED_VALUE"""),"aarabhi.london")</f>
        <v>aarabhi.london</v>
      </c>
    </row>
    <row r="3636">
      <c r="A3636" s="8" t="str">
        <f>IFERROR(__xludf.DUMMYFUNCTION("""COMPUTED_VALUE"""),"ridleylondon")</f>
        <v>ridleylondon</v>
      </c>
    </row>
    <row r="3637">
      <c r="A3637" s="11" t="str">
        <f>IFERROR(__xludf.DUMMYFUNCTION("""COMPUTED_VALUE"""),"barcelonashops.be")</f>
        <v>barcelonashops.be</v>
      </c>
    </row>
    <row r="3638">
      <c r="A3638" s="8" t="str">
        <f>IFERROR(__xludf.DUMMYFUNCTION("""COMPUTED_VALUE"""),"luciag_barcelona")</f>
        <v>luciag_barcelona</v>
      </c>
    </row>
    <row r="3639">
      <c r="A3639" s="8" t="str">
        <f>IFERROR(__xludf.DUMMYFUNCTION("""COMPUTED_VALUE"""),"liviana.lisbon")</f>
        <v>liviana.lisbon</v>
      </c>
    </row>
    <row r="3640">
      <c r="A3640" s="8" t="str">
        <f>IFERROR(__xludf.DUMMYFUNCTION("""COMPUTED_VALUE"""),"amsterdambarbershop.sjo")</f>
        <v>amsterdambarbershop.sjo</v>
      </c>
    </row>
    <row r="3641">
      <c r="A3641" s="8" t="str">
        <f>IFERROR(__xludf.DUMMYFUNCTION("""COMPUTED_VALUE"""),"barbershop_copenhagen")</f>
        <v>barbershop_copenhagen</v>
      </c>
    </row>
    <row r="3642">
      <c r="A3642" s="8" t="str">
        <f>IFERROR(__xludf.DUMMYFUNCTION("""COMPUTED_VALUE"""),"annaraubo")</f>
        <v>annaraubo</v>
      </c>
    </row>
    <row r="3643">
      <c r="A3643" s="8" t="str">
        <f>IFERROR(__xludf.DUMMYFUNCTION("""COMPUTED_VALUE"""),"hairstyleswitjenn")</f>
        <v>hairstyleswitjenn</v>
      </c>
    </row>
    <row r="3644">
      <c r="A3644" s="8" t="str">
        <f>IFERROR(__xludf.DUMMYFUNCTION("""COMPUTED_VALUE"""),"alina.rytikovaa")</f>
        <v>alina.rytikovaa</v>
      </c>
    </row>
    <row r="3645">
      <c r="A3645" s="8" t="str">
        <f>IFERROR(__xludf.DUMMYFUNCTION("""COMPUTED_VALUE"""),"alisha_kova")</f>
        <v>alisha_kova</v>
      </c>
    </row>
    <row r="3646">
      <c r="A3646" s="8" t="str">
        <f>IFERROR(__xludf.DUMMYFUNCTION("""COMPUTED_VALUE"""),"yulyalee")</f>
        <v>yulyalee</v>
      </c>
    </row>
    <row r="3647">
      <c r="A3647" s="8" t="str">
        <f>IFERROR(__xludf.DUMMYFUNCTION("""COMPUTED_VALUE"""),"bhhsbarcelona")</f>
        <v>bhhsbarcelona</v>
      </c>
    </row>
    <row r="3648">
      <c r="A3648" s="8" t="str">
        <f>IFERROR(__xludf.DUMMYFUNCTION("""COMPUTED_VALUE"""),"luxury_dreams_barcelona")</f>
        <v>luxury_dreams_barcelona</v>
      </c>
    </row>
    <row r="3649">
      <c r="A3649" s="8" t="str">
        <f>IFERROR(__xludf.DUMMYFUNCTION("""COMPUTED_VALUE"""),"bhhsmadrid")</f>
        <v>bhhsmadrid</v>
      </c>
    </row>
    <row r="3650">
      <c r="A3650" s="8" t="str">
        <f>IFERROR(__xludf.DUMMYFUNCTION("""COMPUTED_VALUE"""),"luxuryrentals_madrid")</f>
        <v>luxuryrentals_madrid</v>
      </c>
    </row>
    <row r="3651">
      <c r="A3651" s="8" t="str">
        <f>IFERROR(__xludf.DUMMYFUNCTION("""COMPUTED_VALUE"""),"luxurywatchesstockholm")</f>
        <v>luxurywatchesstockholm</v>
      </c>
    </row>
    <row r="3652">
      <c r="A3652" s="8" t="str">
        <f>IFERROR(__xludf.DUMMYFUNCTION("""COMPUTED_VALUE"""),"stockholm_hk")</f>
        <v>stockholm_hk</v>
      </c>
    </row>
    <row r="3653">
      <c r="A3653" s="8" t="str">
        <f>IFERROR(__xludf.DUMMYFUNCTION("""COMPUTED_VALUE"""),"kimbsbeauty")</f>
        <v>kimbsbeauty</v>
      </c>
    </row>
    <row r="3654">
      <c r="A3654" s="8" t="str">
        <f>IFERROR(__xludf.DUMMYFUNCTION("""COMPUTED_VALUE"""),"patrimakeupmadrid")</f>
        <v>patrimakeupmadrid</v>
      </c>
    </row>
    <row r="3655">
      <c r="A3655" s="8" t="str">
        <f>IFERROR(__xludf.DUMMYFUNCTION("""COMPUTED_VALUE"""),"hodmanita")</f>
        <v>hodmanita</v>
      </c>
    </row>
    <row r="3656">
      <c r="A3656" s="8" t="str">
        <f>IFERROR(__xludf.DUMMYFUNCTION("""COMPUTED_VALUE"""),"sartorialistamsterdam")</f>
        <v>sartorialistamsterdam</v>
      </c>
    </row>
    <row r="3657">
      <c r="A3657" s="8" t="str">
        <f>IFERROR(__xludf.DUMMYFUNCTION("""COMPUTED_VALUE"""),"lisboafashionweek")</f>
        <v>lisboafashionweek</v>
      </c>
    </row>
    <row r="3658">
      <c r="A3658" s="8" t="str">
        <f>IFERROR(__xludf.DUMMYFUNCTION("""COMPUTED_VALUE"""),"modalisbon")</f>
        <v>modalisbon</v>
      </c>
    </row>
    <row r="3659">
      <c r="A3659" s="8" t="str">
        <f>IFERROR(__xludf.DUMMYFUNCTION("""COMPUTED_VALUE"""),"moda_madrid_123")</f>
        <v>moda_madrid_123</v>
      </c>
    </row>
    <row r="3660">
      <c r="A3660" s="8" t="str">
        <f>IFERROR(__xludf.DUMMYFUNCTION("""COMPUTED_VALUE"""),"beautynailconcept")</f>
        <v>beautynailconcept</v>
      </c>
    </row>
    <row r="3661">
      <c r="A3661" s="8" t="str">
        <f>IFERROR(__xludf.DUMMYFUNCTION("""COMPUTED_VALUE"""),"duo_._beauty")</f>
        <v>duo_._beauty</v>
      </c>
    </row>
    <row r="3662">
      <c r="A3662" s="8" t="str">
        <f>IFERROR(__xludf.DUMMYFUNCTION("""COMPUTED_VALUE"""),"akrobeauty")</f>
        <v>akrobeauty</v>
      </c>
    </row>
    <row r="3663">
      <c r="A3663" s="8" t="str">
        <f>IFERROR(__xludf.DUMMYFUNCTION("""COMPUTED_VALUE"""),"glam360_beauty")</f>
        <v>glam360_beauty</v>
      </c>
    </row>
    <row r="3664">
      <c r="A3664" s="8" t="str">
        <f>IFERROR(__xludf.DUMMYFUNCTION("""COMPUTED_VALUE"""),"perfumerybarcelona")</f>
        <v>perfumerybarcelona</v>
      </c>
    </row>
    <row r="3665">
      <c r="A3665" s="8" t="str">
        <f>IFERROR(__xludf.DUMMYFUNCTION("""COMPUTED_VALUE"""),"perfumeria__madrid")</f>
        <v>perfumeria__madrid</v>
      </c>
    </row>
    <row r="3666">
      <c r="A3666" s="8" t="str">
        <f>IFERROR(__xludf.DUMMYFUNCTION("""COMPUTED_VALUE"""),"stockholm_perfume")</f>
        <v>stockholm_perfume</v>
      </c>
    </row>
    <row r="3667">
      <c r="A3667" s="8" t="str">
        <f>IFERROR(__xludf.DUMMYFUNCTION("""COMPUTED_VALUE"""),"madridvenek")</f>
        <v>madridvenek</v>
      </c>
    </row>
    <row r="3668">
      <c r="A3668" s="8" t="str">
        <f>IFERROR(__xludf.DUMMYFUNCTION("""COMPUTED_VALUE"""),"limited.trade")</f>
        <v>limited.trade</v>
      </c>
    </row>
    <row r="3669">
      <c r="A3669" s="8" t="str">
        <f>IFERROR(__xludf.DUMMYFUNCTION("""COMPUTED_VALUE"""),"numbersmadrid")</f>
        <v>numbersmadrid</v>
      </c>
    </row>
    <row r="3670">
      <c r="A3670" s="8" t="str">
        <f>IFERROR(__xludf.DUMMYFUNCTION("""COMPUTED_VALUE"""),"sneakersnstuff.sthlm")</f>
        <v>sneakersnstuff.sthlm</v>
      </c>
    </row>
    <row r="3671">
      <c r="A3671" s="8" t="str">
        <f>IFERROR(__xludf.DUMMYFUNCTION("""COMPUTED_VALUE"""),"whatwomenwear_madrid")</f>
        <v>whatwomenwear_madrid</v>
      </c>
    </row>
    <row r="3672">
      <c r="A3672" s="8" t="str">
        <f>IFERROR(__xludf.DUMMYFUNCTION("""COMPUTED_VALUE"""),"lemonadeamsterdam")</f>
        <v>lemonadeamsterdam</v>
      </c>
    </row>
    <row r="3673">
      <c r="A3673" s="8" t="str">
        <f>IFERROR(__xludf.DUMMYFUNCTION("""COMPUTED_VALUE"""),"clomadrid_")</f>
        <v>clomadrid_</v>
      </c>
    </row>
    <row r="3674">
      <c r="A3674" s="11" t="str">
        <f>IFERROR(__xludf.DUMMYFUNCTION("""COMPUTED_VALUE"""),"ourcommonplace.co")</f>
        <v>ourcommonplace.co</v>
      </c>
    </row>
    <row r="3675">
      <c r="A3675" s="8" t="str">
        <f>IFERROR(__xludf.DUMMYFUNCTION("""COMPUTED_VALUE"""),"sustainablefashionmatterz")</f>
        <v>sustainablefashionmatterz</v>
      </c>
    </row>
    <row r="3676">
      <c r="A3676" s="8" t="str">
        <f>IFERROR(__xludf.DUMMYFUNCTION("""COMPUTED_VALUE"""),"sustainablefashionstyle")</f>
        <v>sustainablefashionstyle</v>
      </c>
    </row>
    <row r="3677">
      <c r="A3677" s="8" t="str">
        <f>IFERROR(__xludf.DUMMYFUNCTION("""COMPUTED_VALUE"""),"the.w.s.s")</f>
        <v>the.w.s.s</v>
      </c>
    </row>
    <row r="3678">
      <c r="A3678" s="8" t="str">
        <f>IFERROR(__xludf.DUMMYFUNCTION("""COMPUTED_VALUE"""),"florence_accessories_store")</f>
        <v>florence_accessories_store</v>
      </c>
    </row>
    <row r="3679">
      <c r="A3679" s="8" t="str">
        <f>IFERROR(__xludf.DUMMYFUNCTION("""COMPUTED_VALUE"""),"labo_milano")</f>
        <v>labo_milano</v>
      </c>
    </row>
    <row r="3680">
      <c r="A3680" s="8" t="str">
        <f>IFERROR(__xludf.DUMMYFUNCTION("""COMPUTED_VALUE"""),"milanmore_accessories")</f>
        <v>milanmore_accessories</v>
      </c>
    </row>
    <row r="3681">
      <c r="A3681" s="8" t="str">
        <f>IFERROR(__xludf.DUMMYFUNCTION("""COMPUTED_VALUE"""),"milano.accessories")</f>
        <v>milano.accessories</v>
      </c>
    </row>
    <row r="3682">
      <c r="A3682" s="8" t="str">
        <f>IFERROR(__xludf.DUMMYFUNCTION("""COMPUTED_VALUE"""),"accessories_rome")</f>
        <v>accessories_rome</v>
      </c>
    </row>
    <row r="3683">
      <c r="A3683" s="8" t="str">
        <f>IFERROR(__xludf.DUMMYFUNCTION("""COMPUTED_VALUE"""),"venice__accessories")</f>
        <v>venice__accessories</v>
      </c>
    </row>
    <row r="3684">
      <c r="A3684" s="8" t="str">
        <f>IFERROR(__xludf.DUMMYFUNCTION("""COMPUTED_VALUE"""),"venice__accessories__iq")</f>
        <v>venice__accessories__iq</v>
      </c>
    </row>
    <row r="3685">
      <c r="A3685" s="8" t="str">
        <f>IFERROR(__xludf.DUMMYFUNCTION("""COMPUTED_VALUE"""),"figarosbarbershoplisboa")</f>
        <v>figarosbarbershoplisboa</v>
      </c>
    </row>
    <row r="3686">
      <c r="A3686" s="8" t="str">
        <f>IFERROR(__xludf.DUMMYFUNCTION("""COMPUTED_VALUE"""),"romeos_barbershop")</f>
        <v>romeos_barbershop</v>
      </c>
    </row>
    <row r="3687">
      <c r="A3687" s="8" t="str">
        <f>IFERROR(__xludf.DUMMYFUNCTION("""COMPUTED_VALUE"""),"wfvbs")</f>
        <v>wfvbs</v>
      </c>
    </row>
    <row r="3688">
      <c r="A3688" s="8" t="str">
        <f>IFERROR(__xludf.DUMMYFUNCTION("""COMPUTED_VALUE"""),"curlyhairbobby")</f>
        <v>curlyhairbobby</v>
      </c>
    </row>
    <row r="3689">
      <c r="A3689" s="8" t="str">
        <f>IFERROR(__xludf.DUMMYFUNCTION("""COMPUTED_VALUE"""),"swgluxurytrends")</f>
        <v>swgluxurytrends</v>
      </c>
    </row>
    <row r="3690">
      <c r="A3690" s="8" t="str">
        <f>IFERROR(__xludf.DUMMYFUNCTION("""COMPUTED_VALUE"""),"hairstylesmilan")</f>
        <v>hairstylesmilan</v>
      </c>
    </row>
    <row r="3691">
      <c r="A3691" s="8" t="str">
        <f>IFERROR(__xludf.DUMMYFUNCTION("""COMPUTED_VALUE"""),"vr.hairstyle")</f>
        <v>vr.hairstyle</v>
      </c>
    </row>
    <row r="3692">
      <c r="A3692" s="8" t="str">
        <f>IFERROR(__xludf.DUMMYFUNCTION("""COMPUTED_VALUE"""),"luigimarchiori")</f>
        <v>luigimarchiori</v>
      </c>
    </row>
    <row r="3693">
      <c r="A3693" s="8" t="str">
        <f>IFERROR(__xludf.DUMMYFUNCTION("""COMPUTED_VALUE"""),"flora_by_florence")</f>
        <v>flora_by_florence</v>
      </c>
    </row>
    <row r="3694">
      <c r="A3694" s="8" t="str">
        <f>IFERROR(__xludf.DUMMYFUNCTION("""COMPUTED_VALUE"""),"milandehandbags")</f>
        <v>milandehandbags</v>
      </c>
    </row>
    <row r="3695">
      <c r="A3695" s="8" t="str">
        <f>IFERROR(__xludf.DUMMYFUNCTION("""COMPUTED_VALUE"""),"romerohautecouture")</f>
        <v>romerohautecouture</v>
      </c>
    </row>
    <row r="3696">
      <c r="A3696" s="8" t="str">
        <f>IFERROR(__xludf.DUMMYFUNCTION("""COMPUTED_VALUE"""),"klemihina_ira")</f>
        <v>klemihina_ira</v>
      </c>
    </row>
    <row r="3697">
      <c r="A3697" s="8" t="str">
        <f>IFERROR(__xludf.DUMMYFUNCTION("""COMPUTED_VALUE"""),"fhluxury")</f>
        <v>fhluxury</v>
      </c>
    </row>
    <row r="3698">
      <c r="A3698" s="8" t="str">
        <f>IFERROR(__xludf.DUMMYFUNCTION("""COMPUTED_VALUE"""),"milano_streetstyle")</f>
        <v>milano_streetstyle</v>
      </c>
    </row>
    <row r="3699">
      <c r="A3699" s="8" t="str">
        <f>IFERROR(__xludf.DUMMYFUNCTION("""COMPUTED_VALUE"""),"qebele_kiraye_villa_vs")</f>
        <v>qebele_kiraye_villa_vs</v>
      </c>
    </row>
    <row r="3700">
      <c r="A3700" s="8" t="str">
        <f>IFERROR(__xludf.DUMMYFUNCTION("""COMPUTED_VALUE"""),"venice_luxury1")</f>
        <v>venice_luxury1</v>
      </c>
    </row>
    <row r="3701">
      <c r="A3701" s="8" t="str">
        <f>IFERROR(__xludf.DUMMYFUNCTION("""COMPUTED_VALUE"""),"luxury_cosmetic_vienna")</f>
        <v>luxury_cosmetic_vienna</v>
      </c>
    </row>
    <row r="3702">
      <c r="A3702" s="8" t="str">
        <f>IFERROR(__xludf.DUMMYFUNCTION("""COMPUTED_VALUE"""),"luxury.viennaa")</f>
        <v>luxury.viennaa</v>
      </c>
    </row>
    <row r="3703">
      <c r="A3703" s="8" t="str">
        <f>IFERROR(__xludf.DUMMYFUNCTION("""COMPUTED_VALUE"""),"milana_shamhalova")</f>
        <v>milana_shamhalova</v>
      </c>
    </row>
    <row r="3704">
      <c r="A3704" s="8" t="str">
        <f>IFERROR(__xludf.DUMMYFUNCTION("""COMPUTED_VALUE"""),"pandey_makeup")</f>
        <v>pandey_makeup</v>
      </c>
    </row>
    <row r="3705">
      <c r="A3705" s="8" t="str">
        <f>IFERROR(__xludf.DUMMYFUNCTION("""COMPUTED_VALUE"""),"serban_corina_make_up_artist")</f>
        <v>serban_corina_make_up_artist</v>
      </c>
    </row>
    <row r="3706">
      <c r="A3706" s="8" t="str">
        <f>IFERROR(__xludf.DUMMYFUNCTION("""COMPUTED_VALUE"""),"aidamkup")</f>
        <v>aidamkup</v>
      </c>
    </row>
    <row r="3707">
      <c r="A3707" s="8" t="str">
        <f>IFERROR(__xludf.DUMMYFUNCTION("""COMPUTED_VALUE"""),"makeupbyvalentinapozzi")</f>
        <v>makeupbyvalentinapozzi</v>
      </c>
    </row>
    <row r="3708">
      <c r="A3708" s="8" t="str">
        <f>IFERROR(__xludf.DUMMYFUNCTION("""COMPUTED_VALUE"""),"makeup_milana_k")</f>
        <v>makeup_milana_k</v>
      </c>
    </row>
    <row r="3709">
      <c r="A3709" s="8" t="str">
        <f>IFERROR(__xludf.DUMMYFUNCTION("""COMPUTED_VALUE"""),"annartstyle_makeupandhair")</f>
        <v>annartstyle_makeupandhair</v>
      </c>
    </row>
    <row r="3710">
      <c r="A3710" s="8" t="str">
        <f>IFERROR(__xludf.DUMMYFUNCTION("""COMPUTED_VALUE"""),"di_danielaaa")</f>
        <v>di_danielaaa</v>
      </c>
    </row>
    <row r="3711">
      <c r="A3711" s="8" t="str">
        <f>IFERROR(__xludf.DUMMYFUNCTION("""COMPUTED_VALUE"""),"romewmakeup")</f>
        <v>romewmakeup</v>
      </c>
    </row>
    <row r="3712">
      <c r="A3712" s="8" t="str">
        <f>IFERROR(__xludf.DUMMYFUNCTION("""COMPUTED_VALUE"""),"antonova_makeup")</f>
        <v>antonova_makeup</v>
      </c>
    </row>
    <row r="3713">
      <c r="A3713" s="8" t="str">
        <f>IFERROR(__xludf.DUMMYFUNCTION("""COMPUTED_VALUE"""),"luigimarchiori")</f>
        <v>luigimarchiori</v>
      </c>
    </row>
    <row r="3714">
      <c r="A3714" s="8" t="str">
        <f>IFERROR(__xludf.DUMMYFUNCTION("""COMPUTED_VALUE"""),"somewhereinvienna")</f>
        <v>somewhereinvienna</v>
      </c>
    </row>
    <row r="3715">
      <c r="A3715" s="8" t="str">
        <f>IFERROR(__xludf.DUMMYFUNCTION("""COMPUTED_VALUE"""),"florancemoda")</f>
        <v>florancemoda</v>
      </c>
    </row>
    <row r="3716">
      <c r="A3716" s="8" t="str">
        <f>IFERROR(__xludf.DUMMYFUNCTION("""COMPUTED_VALUE"""),"florence.fashion0")</f>
        <v>florence.fashion0</v>
      </c>
    </row>
    <row r="3717">
      <c r="A3717" s="8" t="str">
        <f>IFERROR(__xludf.DUMMYFUNCTION("""COMPUTED_VALUE"""),"outletflorence")</f>
        <v>outletflorence</v>
      </c>
    </row>
    <row r="3718">
      <c r="A3718" s="8" t="str">
        <f>IFERROR(__xludf.DUMMYFUNCTION("""COMPUTED_VALUE"""),"milanomodamasculina")</f>
        <v>milanomodamasculina</v>
      </c>
    </row>
    <row r="3719">
      <c r="A3719" s="8" t="str">
        <f>IFERROR(__xludf.DUMMYFUNCTION("""COMPUTED_VALUE"""),"moda___milano")</f>
        <v>moda___milano</v>
      </c>
    </row>
    <row r="3720">
      <c r="A3720" s="8" t="str">
        <f>IFERROR(__xludf.DUMMYFUNCTION("""COMPUTED_VALUE"""),"moda_milano_adam_")</f>
        <v>moda_milano_adam_</v>
      </c>
    </row>
    <row r="3721">
      <c r="A3721" s="8" t="str">
        <f>IFERROR(__xludf.DUMMYFUNCTION("""COMPUTED_VALUE"""),"moda__roma42")</f>
        <v>moda__roma42</v>
      </c>
    </row>
    <row r="3722">
      <c r="A3722" s="8" t="str">
        <f>IFERROR(__xludf.DUMMYFUNCTION("""COMPUTED_VALUE"""),"modaromenzi")</f>
        <v>modaromenzi</v>
      </c>
    </row>
    <row r="3723">
      <c r="A3723" s="8" t="str">
        <f>IFERROR(__xludf.DUMMYFUNCTION("""COMPUTED_VALUE"""),"mamvienna")</f>
        <v>mamvienna</v>
      </c>
    </row>
    <row r="3724">
      <c r="A3724" s="8" t="str">
        <f>IFERROR(__xludf.DUMMYFUNCTION("""COMPUTED_VALUE"""),"vienna_modafitness")</f>
        <v>vienna_modafitness</v>
      </c>
    </row>
    <row r="3725">
      <c r="A3725" s="8" t="str">
        <f>IFERROR(__xludf.DUMMYFUNCTION("""COMPUTED_VALUE"""),"florence.perfumes6")</f>
        <v>florence.perfumes6</v>
      </c>
    </row>
    <row r="3726">
      <c r="A3726" s="8" t="str">
        <f>IFERROR(__xludf.DUMMYFUNCTION("""COMPUTED_VALUE"""),"milan.perfume")</f>
        <v>milan.perfume</v>
      </c>
    </row>
    <row r="3727">
      <c r="A3727" s="8" t="str">
        <f>IFERROR(__xludf.DUMMYFUNCTION("""COMPUTED_VALUE"""),"profumi.milann")</f>
        <v>profumi.milann</v>
      </c>
    </row>
    <row r="3728">
      <c r="A3728" s="8" t="str">
        <f>IFERROR(__xludf.DUMMYFUNCTION("""COMPUTED_VALUE"""),"rj_perfume_")</f>
        <v>rj_perfume_</v>
      </c>
    </row>
    <row r="3729">
      <c r="A3729" s="8" t="str">
        <f>IFERROR(__xludf.DUMMYFUNCTION("""COMPUTED_VALUE"""),"roma__perfume")</f>
        <v>roma__perfume</v>
      </c>
    </row>
    <row r="3730">
      <c r="A3730" s="8" t="str">
        <f>IFERROR(__xludf.DUMMYFUNCTION("""COMPUTED_VALUE"""),"vienna_perfume")</f>
        <v>vienna_perfume</v>
      </c>
    </row>
    <row r="3731">
      <c r="A3731" s="8" t="str">
        <f>IFERROR(__xludf.DUMMYFUNCTION("""COMPUTED_VALUE"""),"byflorenceok")</f>
        <v>byflorenceok</v>
      </c>
    </row>
    <row r="3732">
      <c r="A3732" s="8" t="str">
        <f>IFERROR(__xludf.DUMMYFUNCTION("""COMPUTED_VALUE"""),"fb_skintalks")</f>
        <v>fb_skintalks</v>
      </c>
    </row>
    <row r="3733">
      <c r="A3733" s="11" t="str">
        <f>IFERROR(__xludf.DUMMYFUNCTION("""COMPUTED_VALUE"""),"drmilanyskincare.id")</f>
        <v>drmilanyskincare.id</v>
      </c>
    </row>
    <row r="3734">
      <c r="A3734" s="8" t="str">
        <f>IFERROR(__xludf.DUMMYFUNCTION("""COMPUTED_VALUE"""),"romex_skincare")</f>
        <v>romex_skincare</v>
      </c>
    </row>
    <row r="3735">
      <c r="A3735" s="8" t="str">
        <f>IFERROR(__xludf.DUMMYFUNCTION("""COMPUTED_VALUE"""),"pearlbodyvienna")</f>
        <v>pearlbodyvienna</v>
      </c>
    </row>
    <row r="3736">
      <c r="A3736" s="8" t="str">
        <f>IFERROR(__xludf.DUMMYFUNCTION("""COMPUTED_VALUE"""),"milano.sneakers_egy")</f>
        <v>milano.sneakers_egy</v>
      </c>
    </row>
    <row r="3737">
      <c r="A3737" s="8" t="str">
        <f>IFERROR(__xludf.DUMMYFUNCTION("""COMPUTED_VALUE"""),"sneakers_milano_dz")</f>
        <v>sneakers_milano_dz</v>
      </c>
    </row>
    <row r="3738">
      <c r="A3738" s="8" t="str">
        <f>IFERROR(__xludf.DUMMYFUNCTION("""COMPUTED_VALUE"""),"romani.in.rome")</f>
        <v>romani.in.rome</v>
      </c>
    </row>
    <row r="3739">
      <c r="A3739" s="8" t="str">
        <f>IFERROR(__xludf.DUMMYFUNCTION("""COMPUTED_VALUE"""),"streetstyle_rome")</f>
        <v>streetstyle_rome</v>
      </c>
    </row>
    <row r="3740">
      <c r="A3740" s="8" t="str">
        <f>IFERROR(__xludf.DUMMYFUNCTION("""COMPUTED_VALUE"""),"mul_olga")</f>
        <v>mul_olga</v>
      </c>
    </row>
    <row r="3741">
      <c r="A3741" s="8" t="str">
        <f>IFERROR(__xludf.DUMMYFUNCTION("""COMPUTED_VALUE"""),"thriftshopmilano")</f>
        <v>thriftshopmilano</v>
      </c>
    </row>
    <row r="3742">
      <c r="A3742" s="8" t="str">
        <f>IFERROR(__xludf.DUMMYFUNCTION("""COMPUTED_VALUE"""),"vm_liberis_athens")</f>
        <v>vm_liberis_athens</v>
      </c>
    </row>
    <row r="3743">
      <c r="A3743" s="8" t="str">
        <f>IFERROR(__xludf.DUMMYFUNCTION("""COMPUTED_VALUE"""),"barbervienna")</f>
        <v>barbervienna</v>
      </c>
    </row>
    <row r="3744">
      <c r="A3744" s="8" t="str">
        <f>IFERROR(__xludf.DUMMYFUNCTION("""COMPUTED_VALUE"""),"makeuphair.by.anna.k")</f>
        <v>makeuphair.by.anna.k</v>
      </c>
    </row>
    <row r="3745">
      <c r="A3745" s="8" t="str">
        <f>IFERROR(__xludf.DUMMYFUNCTION("""COMPUTED_VALUE"""),"anna.hocc")</f>
        <v>anna.hocc</v>
      </c>
    </row>
    <row r="3746">
      <c r="A3746" s="8" t="str">
        <f>IFERROR(__xludf.DUMMYFUNCTION("""COMPUTED_VALUE"""),"hairstyle_by_natalia_ploskina")</f>
        <v>hairstyle_by_natalia_ploskina</v>
      </c>
    </row>
    <row r="3747">
      <c r="A3747" s="8" t="str">
        <f>IFERROR(__xludf.DUMMYFUNCTION("""COMPUTED_VALUE"""),"k_tyasko")</f>
        <v>k_tyasko</v>
      </c>
    </row>
    <row r="3748">
      <c r="A3748" s="8" t="str">
        <f>IFERROR(__xludf.DUMMYFUNCTION("""COMPUTED_VALUE"""),"monaganzoury_hautecouture")</f>
        <v>monaganzoury_hautecouture</v>
      </c>
    </row>
    <row r="3749">
      <c r="A3749" s="8" t="str">
        <f>IFERROR(__xludf.DUMMYFUNCTION("""COMPUTED_VALUE"""),"mona.gueffrech.hautecouture")</f>
        <v>mona.gueffrech.hautecouture</v>
      </c>
    </row>
    <row r="3750">
      <c r="A3750" s="8" t="str">
        <f>IFERROR(__xludf.DUMMYFUNCTION("""COMPUTED_VALUE"""),"raeygroup")</f>
        <v>raeygroup</v>
      </c>
    </row>
    <row r="3751">
      <c r="A3751" s="8" t="str">
        <f>IFERROR(__xludf.DUMMYFUNCTION("""COMPUTED_VALUE"""),"sofiia.martini")</f>
        <v>sofiia.martini</v>
      </c>
    </row>
    <row r="3752">
      <c r="A3752" s="8" t="str">
        <f>IFERROR(__xludf.DUMMYFUNCTION("""COMPUTED_VALUE"""),"monaco_cars_luxury_")</f>
        <v>monaco_cars_luxury_</v>
      </c>
    </row>
    <row r="3753">
      <c r="A3753" s="8" t="str">
        <f>IFERROR(__xludf.DUMMYFUNCTION("""COMPUTED_VALUE"""),"luxurybagsprague")</f>
        <v>luxurybagsprague</v>
      </c>
    </row>
    <row r="3754">
      <c r="A3754" s="8" t="str">
        <f>IFERROR(__xludf.DUMMYFUNCTION("""COMPUTED_VALUE"""),"veronika_marques_photography")</f>
        <v>veronika_marques_photography</v>
      </c>
    </row>
    <row r="3755">
      <c r="A3755" s="8" t="str">
        <f>IFERROR(__xludf.DUMMYFUNCTION("""COMPUTED_VALUE"""),"widderhotel")</f>
        <v>widderhotel</v>
      </c>
    </row>
    <row r="3756">
      <c r="A3756" s="8" t="str">
        <f>IFERROR(__xludf.DUMMYFUNCTION("""COMPUTED_VALUE"""),"agapimakeupartist")</f>
        <v>agapimakeupartist</v>
      </c>
    </row>
    <row r="3757">
      <c r="A3757" s="8" t="str">
        <f>IFERROR(__xludf.DUMMYFUNCTION("""COMPUTED_VALUE"""),"xrisanthi.mua")</f>
        <v>xrisanthi.mua</v>
      </c>
    </row>
    <row r="3758">
      <c r="A3758" s="8" t="str">
        <f>IFERROR(__xludf.DUMMYFUNCTION("""COMPUTED_VALUE"""),"missd.mua")</f>
        <v>missd.mua</v>
      </c>
    </row>
    <row r="3759">
      <c r="A3759" s="8" t="str">
        <f>IFERROR(__xludf.DUMMYFUNCTION("""COMPUTED_VALUE"""),"makeupbykeyshia")</f>
        <v>makeupbykeyshia</v>
      </c>
    </row>
    <row r="3760">
      <c r="A3760" s="8" t="str">
        <f>IFERROR(__xludf.DUMMYFUNCTION("""COMPUTED_VALUE"""),"svetlichnaya")</f>
        <v>svetlichnaya</v>
      </c>
    </row>
    <row r="3761">
      <c r="A3761" s="8" t="str">
        <f>IFERROR(__xludf.DUMMYFUNCTION("""COMPUTED_VALUE"""),"agapimakeupartist")</f>
        <v>agapimakeupartist</v>
      </c>
    </row>
    <row r="3762">
      <c r="A3762" s="8" t="str">
        <f>IFERROR(__xludf.DUMMYFUNCTION("""COMPUTED_VALUE"""),"evagelia_tsolakou")</f>
        <v>evagelia_tsolakou</v>
      </c>
    </row>
    <row r="3763">
      <c r="A3763" s="8" t="str">
        <f>IFERROR(__xludf.DUMMYFUNCTION("""COMPUTED_VALUE"""),"makeuphair.by.anna.k")</f>
        <v>makeuphair.by.anna.k</v>
      </c>
    </row>
    <row r="3764">
      <c r="A3764" s="8" t="str">
        <f>IFERROR(__xludf.DUMMYFUNCTION("""COMPUTED_VALUE"""),"makeupcannes")</f>
        <v>makeupcannes</v>
      </c>
    </row>
    <row r="3765">
      <c r="A3765" s="8" t="str">
        <f>IFERROR(__xludf.DUMMYFUNCTION("""COMPUTED_VALUE"""),"silevko_mua")</f>
        <v>silevko_mua</v>
      </c>
    </row>
    <row r="3766">
      <c r="A3766" s="8" t="str">
        <f>IFERROR(__xludf.DUMMYFUNCTION("""COMPUTED_VALUE"""),"mihaela_matviychuk_mua")</f>
        <v>mihaela_matviychuk_mua</v>
      </c>
    </row>
    <row r="3767">
      <c r="A3767" s="8" t="str">
        <f>IFERROR(__xludf.DUMMYFUNCTION("""COMPUTED_VALUE"""),"ace_models_athens")</f>
        <v>ace_models_athens</v>
      </c>
    </row>
    <row r="3768">
      <c r="A3768" s="8" t="str">
        <f>IFERROR(__xludf.DUMMYFUNCTION("""COMPUTED_VALUE"""),"monaco_femme")</f>
        <v>monaco_femme</v>
      </c>
    </row>
    <row r="3769">
      <c r="A3769" s="8" t="str">
        <f>IFERROR(__xludf.DUMMYFUNCTION("""COMPUTED_VALUE"""),"zurichmode")</f>
        <v>zurichmode</v>
      </c>
    </row>
    <row r="3770">
      <c r="A3770" s="8" t="str">
        <f>IFERROR(__xludf.DUMMYFUNCTION("""COMPUTED_VALUE"""),"nails_athens_klaoudia")</f>
        <v>nails_athens_klaoudia</v>
      </c>
    </row>
    <row r="3771">
      <c r="A3771" s="8" t="str">
        <f>IFERROR(__xludf.DUMMYFUNCTION("""COMPUTED_VALUE"""),"perfumedprague")</f>
        <v>perfumedprague</v>
      </c>
    </row>
    <row r="3772">
      <c r="A3772" s="8" t="str">
        <f>IFERROR(__xludf.DUMMYFUNCTION("""COMPUTED_VALUE"""),"talitarodriguesmonaco")</f>
        <v>talitarodriguesmonaco</v>
      </c>
    </row>
    <row r="3773">
      <c r="A3773" s="8" t="str">
        <f>IFERROR(__xludf.DUMMYFUNCTION("""COMPUTED_VALUE"""),"sneaker_store_budapest")</f>
        <v>sneaker_store_budapest</v>
      </c>
    </row>
    <row r="3774">
      <c r="A3774" s="8" t="str">
        <f>IFERROR(__xludf.DUMMYFUNCTION("""COMPUTED_VALUE"""),"almo.vintage.prague")</f>
        <v>almo.vintage.prague</v>
      </c>
    </row>
    <row r="3775">
      <c r="A3775" s="8" t="str">
        <f>IFERROR(__xludf.DUMMYFUNCTION("""COMPUTED_VALUE"""),"monaco_street_style")</f>
        <v>monaco_street_style</v>
      </c>
    </row>
    <row r="3776">
      <c r="A3776" s="8" t="str">
        <f>IFERROR(__xludf.DUMMYFUNCTION("""COMPUTED_VALUE"""),"sustainable_fashion_business")</f>
        <v>sustainable_fashion_business</v>
      </c>
    </row>
    <row r="3777">
      <c r="A3777" s="8" t="str">
        <f>IFERROR(__xludf.DUMMYFUNCTION("""COMPUTED_VALUE"""),"home.accessories.istanbul")</f>
        <v>home.accessories.istanbul</v>
      </c>
    </row>
    <row r="3778">
      <c r="A3778" s="8" t="str">
        <f>IFERROR(__xludf.DUMMYFUNCTION("""COMPUTED_VALUE"""),"istanbulaccessories")</f>
        <v>istanbulaccessories</v>
      </c>
    </row>
    <row r="3779">
      <c r="A3779" s="8" t="str">
        <f>IFERROR(__xludf.DUMMYFUNCTION("""COMPUTED_VALUE"""),"barberobeirut")</f>
        <v>barberobeirut</v>
      </c>
    </row>
    <row r="3780">
      <c r="A3780" s="8" t="str">
        <f>IFERROR(__xludf.DUMMYFUNCTION("""COMPUTED_VALUE"""),"beirutoldies")</f>
        <v>beirutoldies</v>
      </c>
    </row>
    <row r="3781">
      <c r="A3781" s="8" t="str">
        <f>IFERROR(__xludf.DUMMYFUNCTION("""COMPUTED_VALUE"""),"starcoiffure_cannes")</f>
        <v>starcoiffure_cannes</v>
      </c>
    </row>
    <row r="3782">
      <c r="A3782" s="8" t="str">
        <f>IFERROR(__xludf.DUMMYFUNCTION("""COMPUTED_VALUE"""),"dubai_curlee")</f>
        <v>dubai_curlee</v>
      </c>
    </row>
    <row r="3783">
      <c r="A3783" s="8" t="str">
        <f>IFERROR(__xludf.DUMMYFUNCTION("""COMPUTED_VALUE"""),"twist_uae")</f>
        <v>twist_uae</v>
      </c>
    </row>
    <row r="3784">
      <c r="A3784" s="8" t="str">
        <f>IFERROR(__xludf.DUMMYFUNCTION("""COMPUTED_VALUE"""),"ltw_beauty")</f>
        <v>ltw_beauty</v>
      </c>
    </row>
    <row r="3785">
      <c r="A3785" s="8" t="str">
        <f>IFERROR(__xludf.DUMMYFUNCTION("""COMPUTED_VALUE"""),"pansy_haute_couture")</f>
        <v>pansy_haute_couture</v>
      </c>
    </row>
    <row r="3786">
      <c r="A3786" s="8" t="str">
        <f>IFERROR(__xludf.DUMMYFUNCTION("""COMPUTED_VALUE"""),"bodify.dubai")</f>
        <v>bodify.dubai</v>
      </c>
    </row>
    <row r="3787">
      <c r="A3787" s="8" t="str">
        <f>IFERROR(__xludf.DUMMYFUNCTION("""COMPUTED_VALUE"""),"iaambaambi")</f>
        <v>iaambaambi</v>
      </c>
    </row>
    <row r="3788">
      <c r="A3788" s="8" t="str">
        <f>IFERROR(__xludf.DUMMYFUNCTION("""COMPUTED_VALUE"""),"mishnya")</f>
        <v>mishnya</v>
      </c>
    </row>
    <row r="3789">
      <c r="A3789" s="8" t="str">
        <f>IFERROR(__xludf.DUMMYFUNCTION("""COMPUTED_VALUE"""),"olya_rian")</f>
        <v>olya_rian</v>
      </c>
    </row>
    <row r="3790">
      <c r="A3790" s="8" t="str">
        <f>IFERROR(__xludf.DUMMYFUNCTION("""COMPUTED_VALUE"""),"sofa_spau")</f>
        <v>sofa_spau</v>
      </c>
    </row>
    <row r="3791">
      <c r="A3791" s="8" t="str">
        <f>IFERROR(__xludf.DUMMYFUNCTION("""COMPUTED_VALUE"""),"beirutimes")</f>
        <v>beirutimes</v>
      </c>
    </row>
    <row r="3792">
      <c r="A3792" s="8" t="str">
        <f>IFERROR(__xludf.DUMMYFUNCTION("""COMPUTED_VALUE"""),"houseofluxury.beirut")</f>
        <v>houseofluxury.beirut</v>
      </c>
    </row>
    <row r="3793">
      <c r="A3793" s="8" t="str">
        <f>IFERROR(__xludf.DUMMYFUNCTION("""COMPUTED_VALUE"""),"prelux.beirut")</f>
        <v>prelux.beirut</v>
      </c>
    </row>
    <row r="3794">
      <c r="A3794" s="8" t="str">
        <f>IFERROR(__xludf.DUMMYFUNCTION("""COMPUTED_VALUE"""),"wristbeirut")</f>
        <v>wristbeirut</v>
      </c>
    </row>
    <row r="3795">
      <c r="A3795" s="8" t="str">
        <f>IFERROR(__xludf.DUMMYFUNCTION("""COMPUTED_VALUE"""),"cannesimpact")</f>
        <v>cannesimpact</v>
      </c>
    </row>
    <row r="3796">
      <c r="A3796" s="8" t="str">
        <f>IFERROR(__xludf.DUMMYFUNCTION("""COMPUTED_VALUE"""),"cannesluxe")</f>
        <v>cannesluxe</v>
      </c>
    </row>
    <row r="3797">
      <c r="A3797" s="8" t="str">
        <f>IFERROR(__xludf.DUMMYFUNCTION("""COMPUTED_VALUE"""),"cannesluxury1")</f>
        <v>cannesluxury1</v>
      </c>
    </row>
    <row r="3798">
      <c r="A3798" s="8" t="str">
        <f>IFERROR(__xludf.DUMMYFUNCTION("""COMPUTED_VALUE"""),"yachtdoyouwant")</f>
        <v>yachtdoyouwant</v>
      </c>
    </row>
    <row r="3799">
      <c r="A3799" s="11" t="str">
        <f>IFERROR(__xludf.DUMMYFUNCTION("""COMPUTED_VALUE"""),"luxurydubai.ae")</f>
        <v>luxurydubai.ae</v>
      </c>
    </row>
    <row r="3800">
      <c r="A3800" s="8" t="str">
        <f>IFERROR(__xludf.DUMMYFUNCTION("""COMPUTED_VALUE"""),"keydreamconciergerie")</f>
        <v>keydreamconciergerie</v>
      </c>
    </row>
    <row r="3801">
      <c r="A3801" s="8" t="str">
        <f>IFERROR(__xludf.DUMMYFUNCTION("""COMPUTED_VALUE"""),"anastasiyaf_makeup")</f>
        <v>anastasiyaf_makeup</v>
      </c>
    </row>
    <row r="3802">
      <c r="A3802" s="8" t="str">
        <f>IFERROR(__xludf.DUMMYFUNCTION("""COMPUTED_VALUE"""),"jouiny_beauty")</f>
        <v>jouiny_beauty</v>
      </c>
    </row>
    <row r="3803">
      <c r="A3803" s="8" t="str">
        <f>IFERROR(__xludf.DUMMYFUNCTION("""COMPUTED_VALUE"""),"afra_feizi")</f>
        <v>afra_feizi</v>
      </c>
    </row>
    <row r="3804">
      <c r="A3804" s="8" t="str">
        <f>IFERROR(__xludf.DUMMYFUNCTION("""COMPUTED_VALUE"""),"aikanova.beauty")</f>
        <v>aikanova.beauty</v>
      </c>
    </row>
    <row r="3805">
      <c r="A3805" s="8" t="str">
        <f>IFERROR(__xludf.DUMMYFUNCTION("""COMPUTED_VALUE"""),"cyranikbeauty")</f>
        <v>cyranikbeauty</v>
      </c>
    </row>
    <row r="3806">
      <c r="A3806" s="8" t="str">
        <f>IFERROR(__xludf.DUMMYFUNCTION("""COMPUTED_VALUE"""),"istanbulmakeupartist")</f>
        <v>istanbulmakeupartist</v>
      </c>
    </row>
    <row r="3807">
      <c r="A3807" s="8" t="str">
        <f>IFERROR(__xludf.DUMMYFUNCTION("""COMPUTED_VALUE"""),"milakurtulusmakeup")</f>
        <v>milakurtulusmakeup</v>
      </c>
    </row>
    <row r="3808">
      <c r="A3808" s="8" t="str">
        <f>IFERROR(__xludf.DUMMYFUNCTION("""COMPUTED_VALUE"""),"sahin_yuliia")</f>
        <v>sahin_yuliia</v>
      </c>
    </row>
    <row r="3809">
      <c r="A3809" s="8" t="str">
        <f>IFERROR(__xludf.DUMMYFUNCTION("""COMPUTED_VALUE"""),"valeria_ov")</f>
        <v>valeria_ov</v>
      </c>
    </row>
    <row r="3810">
      <c r="A3810" s="8" t="str">
        <f>IFERROR(__xludf.DUMMYFUNCTION("""COMPUTED_VALUE"""),"faceplacebeirut")</f>
        <v>faceplacebeirut</v>
      </c>
    </row>
    <row r="3811">
      <c r="A3811" s="8" t="str">
        <f>IFERROR(__xludf.DUMMYFUNCTION("""COMPUTED_VALUE"""),"makeup_beirut")</f>
        <v>makeup_beirut</v>
      </c>
    </row>
    <row r="3812">
      <c r="A3812" s="8" t="str">
        <f>IFERROR(__xludf.DUMMYFUNCTION("""COMPUTED_VALUE"""),"makemeupstudioandschool")</f>
        <v>makemeupstudioandschool</v>
      </c>
    </row>
    <row r="3813">
      <c r="A3813" s="8" t="str">
        <f>IFERROR(__xludf.DUMMYFUNCTION("""COMPUTED_VALUE"""),"makeupcannes")</f>
        <v>makeupcannes</v>
      </c>
    </row>
    <row r="3814">
      <c r="A3814" s="8" t="str">
        <f>IFERROR(__xludf.DUMMYFUNCTION("""COMPUTED_VALUE"""),"aylinmakeup_")</f>
        <v>aylinmakeup_</v>
      </c>
    </row>
    <row r="3815">
      <c r="A3815" s="8" t="str">
        <f>IFERROR(__xludf.DUMMYFUNCTION("""COMPUTED_VALUE"""),"_makeup_dubai")</f>
        <v>_makeup_dubai</v>
      </c>
    </row>
    <row r="3816">
      <c r="A3816" s="8" t="str">
        <f>IFERROR(__xludf.DUMMYFUNCTION("""COMPUTED_VALUE"""),"makeup_dubai_nuku")</f>
        <v>makeup_dubai_nuku</v>
      </c>
    </row>
    <row r="3817">
      <c r="A3817" s="8" t="str">
        <f>IFERROR(__xludf.DUMMYFUNCTION("""COMPUTED_VALUE"""),"sb_makeuup")</f>
        <v>sb_makeuup</v>
      </c>
    </row>
    <row r="3818">
      <c r="A3818" s="8" t="str">
        <f>IFERROR(__xludf.DUMMYFUNCTION("""COMPUTED_VALUE"""),"anastasiyaf_makeup")</f>
        <v>anastasiyaf_makeup</v>
      </c>
    </row>
    <row r="3819">
      <c r="A3819" s="8" t="str">
        <f>IFERROR(__xludf.DUMMYFUNCTION("""COMPUTED_VALUE"""),"jouiny_beauty")</f>
        <v>jouiny_beauty</v>
      </c>
    </row>
    <row r="3820">
      <c r="A3820" s="8" t="str">
        <f>IFERROR(__xludf.DUMMYFUNCTION("""COMPUTED_VALUE"""),"shumko_viktoria")</f>
        <v>shumko_viktoria</v>
      </c>
    </row>
    <row r="3821">
      <c r="A3821" s="8" t="str">
        <f>IFERROR(__xludf.DUMMYFUNCTION("""COMPUTED_VALUE"""),"ltw_beauty")</f>
        <v>ltw_beauty</v>
      </c>
    </row>
    <row r="3822">
      <c r="A3822" s="8" t="str">
        <f>IFERROR(__xludf.DUMMYFUNCTION("""COMPUTED_VALUE"""),"luminitza.rotaru")</f>
        <v>luminitza.rotaru</v>
      </c>
    </row>
    <row r="3823">
      <c r="A3823" s="8" t="str">
        <f>IFERROR(__xludf.DUMMYFUNCTION("""COMPUTED_VALUE"""),"valeria_ov")</f>
        <v>valeria_ov</v>
      </c>
    </row>
    <row r="3824">
      <c r="A3824" s="8" t="str">
        <f>IFERROR(__xludf.DUMMYFUNCTION("""COMPUTED_VALUE"""),"beiruthjeans")</f>
        <v>beiruthjeans</v>
      </c>
    </row>
    <row r="3825">
      <c r="A3825" s="8" t="str">
        <f>IFERROR(__xludf.DUMMYFUNCTION("""COMPUTED_VALUE"""),"moda.istanbul_")</f>
        <v>moda.istanbul_</v>
      </c>
    </row>
    <row r="3826">
      <c r="A3826" s="8" t="str">
        <f>IFERROR(__xludf.DUMMYFUNCTION("""COMPUTED_VALUE"""),"moda__istanbul23")</f>
        <v>moda__istanbul23</v>
      </c>
    </row>
    <row r="3827">
      <c r="A3827" s="8" t="str">
        <f>IFERROR(__xludf.DUMMYFUNCTION("""COMPUTED_VALUE"""),"mc2telaviv")</f>
        <v>mc2telaviv</v>
      </c>
    </row>
    <row r="3828">
      <c r="A3828" s="8" t="str">
        <f>IFERROR(__xludf.DUMMYFUNCTION("""COMPUTED_VALUE"""),"tatyana_komar_model")</f>
        <v>tatyana_komar_model</v>
      </c>
    </row>
    <row r="3829">
      <c r="A3829" s="8" t="str">
        <f>IFERROR(__xludf.DUMMYFUNCTION("""COMPUTED_VALUE"""),"thedashalevkovich")</f>
        <v>thedashalevkovich</v>
      </c>
    </row>
    <row r="3830">
      <c r="A3830" s="8" t="str">
        <f>IFERROR(__xludf.DUMMYFUNCTION("""COMPUTED_VALUE"""),"ferdawsnailsbeirut")</f>
        <v>ferdawsnailsbeirut</v>
      </c>
    </row>
    <row r="3831">
      <c r="A3831" s="8" t="str">
        <f>IFERROR(__xludf.DUMMYFUNCTION("""COMPUTED_VALUE"""),"pudra_beauty_lebanon")</f>
        <v>pudra_beauty_lebanon</v>
      </c>
    </row>
    <row r="3832">
      <c r="A3832" s="8" t="str">
        <f>IFERROR(__xludf.DUMMYFUNCTION("""COMPUTED_VALUE"""),"tecnails.beirut")</f>
        <v>tecnails.beirut</v>
      </c>
    </row>
    <row r="3833">
      <c r="A3833" s="8" t="str">
        <f>IFERROR(__xludf.DUMMYFUNCTION("""COMPUTED_VALUE"""),"_nails.dubai")</f>
        <v>_nails.dubai</v>
      </c>
    </row>
    <row r="3834">
      <c r="A3834" s="8" t="str">
        <f>IFERROR(__xludf.DUMMYFUNCTION("""COMPUTED_VALUE"""),"nails_dubai_dxb")</f>
        <v>nails_dubai_dxb</v>
      </c>
    </row>
    <row r="3835">
      <c r="A3835" s="8" t="str">
        <f>IFERROR(__xludf.DUMMYFUNCTION("""COMPUTED_VALUE"""),"nailslab_dubai")</f>
        <v>nailslab_dubai</v>
      </c>
    </row>
    <row r="3836">
      <c r="A3836" s="8" t="str">
        <f>IFERROR(__xludf.DUMMYFUNCTION("""COMPUTED_VALUE"""),"pronails_dxb")</f>
        <v>pronails_dxb</v>
      </c>
    </row>
    <row r="3837">
      <c r="A3837" s="8" t="str">
        <f>IFERROR(__xludf.DUMMYFUNCTION("""COMPUTED_VALUE"""),"alonanails_tlv")</f>
        <v>alonanails_tlv</v>
      </c>
    </row>
    <row r="3838">
      <c r="A3838" s="8" t="str">
        <f>IFERROR(__xludf.DUMMYFUNCTION("""COMPUTED_VALUE"""),"theistanbulperfume")</f>
        <v>theistanbulperfume</v>
      </c>
    </row>
    <row r="3839">
      <c r="A3839" s="8" t="str">
        <f>IFERROR(__xludf.DUMMYFUNCTION("""COMPUTED_VALUE"""),"dubai_skin_care_")</f>
        <v>dubai_skin_care_</v>
      </c>
    </row>
    <row r="3840">
      <c r="A3840" s="8" t="str">
        <f>IFERROR(__xludf.DUMMYFUNCTION("""COMPUTED_VALUE"""),"dubai_skincare_essentials")</f>
        <v>dubai_skincare_essentials</v>
      </c>
    </row>
    <row r="3841">
      <c r="A3841" s="8" t="str">
        <f>IFERROR(__xludf.DUMMYFUNCTION("""COMPUTED_VALUE"""),"samiraskincare.dxb")</f>
        <v>samiraskincare.dxb</v>
      </c>
    </row>
    <row r="3842">
      <c r="A3842" s="11" t="str">
        <f>IFERROR(__xludf.DUMMYFUNCTION("""COMPUTED_VALUE"""),"skincare.karim.ir")</f>
        <v>skincare.karim.ir</v>
      </c>
    </row>
    <row r="3843">
      <c r="A3843" s="8" t="str">
        <f>IFERROR(__xludf.DUMMYFUNCTION("""COMPUTED_VALUE"""),"new.cannes")</f>
        <v>new.cannes</v>
      </c>
    </row>
    <row r="3844">
      <c r="A3844" s="11" t="str">
        <f>IFERROR(__xludf.DUMMYFUNCTION("""COMPUTED_VALUE"""),"dubai_sneakers.ae")</f>
        <v>dubai_sneakers.ae</v>
      </c>
    </row>
    <row r="3845">
      <c r="A3845" s="8" t="str">
        <f>IFERROR(__xludf.DUMMYFUNCTION("""COMPUTED_VALUE"""),"sneakerswell")</f>
        <v>sneakerswell</v>
      </c>
    </row>
    <row r="3846">
      <c r="A3846" s="8" t="str">
        <f>IFERROR(__xludf.DUMMYFUNCTION("""COMPUTED_VALUE"""),"kangal_istanbul_streetwear")</f>
        <v>kangal_istanbul_streetwear</v>
      </c>
    </row>
    <row r="3847">
      <c r="A3847" s="11" t="str">
        <f>IFERROR(__xludf.DUMMYFUNCTION("""COMPUTED_VALUE"""),"digg.it")</f>
        <v>digg.it</v>
      </c>
    </row>
    <row r="3848">
      <c r="A3848" s="8" t="str">
        <f>IFERROR(__xludf.DUMMYFUNCTION("""COMPUTED_VALUE"""),"cairo.accessories.official")</f>
        <v>cairo.accessories.official</v>
      </c>
    </row>
    <row r="3849">
      <c r="A3849" s="8" t="str">
        <f>IFERROR(__xludf.DUMMYFUNCTION("""COMPUTED_VALUE"""),"bags.warehouse.accessories")</f>
        <v>bags.warehouse.accessories</v>
      </c>
    </row>
    <row r="3850">
      <c r="A3850" s="8" t="str">
        <f>IFERROR(__xludf.DUMMYFUNCTION("""COMPUTED_VALUE"""),"bagswarehouseng.official")</f>
        <v>bagswarehouseng.official</v>
      </c>
    </row>
    <row r="3851">
      <c r="A3851" s="8" t="str">
        <f>IFERROR(__xludf.DUMMYFUNCTION("""COMPUTED_VALUE"""),"carfanzy")</f>
        <v>carfanzy</v>
      </c>
    </row>
    <row r="3852">
      <c r="A3852" s="11" t="str">
        <f>IFERROR(__xludf.DUMMYFUNCTION("""COMPUTED_VALUE"""),"cluxury.ng")</f>
        <v>cluxury.ng</v>
      </c>
    </row>
    <row r="3853">
      <c r="A3853" s="8" t="str">
        <f>IFERROR(__xludf.DUMMYFUNCTION("""COMPUTED_VALUE"""),"lookpeng_withamy2")</f>
        <v>lookpeng_withamy2</v>
      </c>
    </row>
    <row r="3854">
      <c r="A3854" s="11" t="str">
        <f>IFERROR(__xludf.DUMMYFUNCTION("""COMPUTED_VALUE"""),"thelolahshop.ng")</f>
        <v>thelolahshop.ng</v>
      </c>
    </row>
    <row r="3855">
      <c r="A3855" s="8" t="str">
        <f>IFERROR(__xludf.DUMMYFUNCTION("""COMPUTED_VALUE"""),"m3barbershop_dubai")</f>
        <v>m3barbershop_dubai</v>
      </c>
    </row>
    <row r="3856">
      <c r="A3856" s="8" t="str">
        <f>IFERROR(__xludf.DUMMYFUNCTION("""COMPUTED_VALUE"""),"miladocuts")</f>
        <v>miladocuts</v>
      </c>
    </row>
    <row r="3857">
      <c r="A3857" s="8" t="str">
        <f>IFERROR(__xludf.DUMMYFUNCTION("""COMPUTED_VALUE"""),"rubaabbeautysalon")</f>
        <v>rubaabbeautysalon</v>
      </c>
    </row>
    <row r="3858">
      <c r="A3858" s="8" t="str">
        <f>IFERROR(__xludf.DUMMYFUNCTION("""COMPUTED_VALUE"""),"luluhairstore")</f>
        <v>luluhairstore</v>
      </c>
    </row>
    <row r="3859">
      <c r="A3859" s="8" t="str">
        <f>IFERROR(__xludf.DUMMYFUNCTION("""COMPUTED_VALUE"""),"diamonddropss")</f>
        <v>diamonddropss</v>
      </c>
    </row>
    <row r="3860">
      <c r="A3860" s="8" t="str">
        <f>IFERROR(__xludf.DUMMYFUNCTION("""COMPUTED_VALUE"""),"dijah_clothings")</f>
        <v>dijah_clothings</v>
      </c>
    </row>
    <row r="3861">
      <c r="A3861" s="8" t="str">
        <f>IFERROR(__xludf.DUMMYFUNCTION("""COMPUTED_VALUE"""),"sandiezcollection")</f>
        <v>sandiezcollection</v>
      </c>
    </row>
    <row r="3862">
      <c r="A3862" s="8" t="str">
        <f>IFERROR(__xludf.DUMMYFUNCTION("""COMPUTED_VALUE"""),"diy.hairstyle")</f>
        <v>diy.hairstyle</v>
      </c>
    </row>
    <row r="3863">
      <c r="A3863" s="8" t="str">
        <f>IFERROR(__xludf.DUMMYFUNCTION("""COMPUTED_VALUE"""),"atimakeup.uae")</f>
        <v>atimakeup.uae</v>
      </c>
    </row>
    <row r="3864">
      <c r="A3864" s="8" t="str">
        <f>IFERROR(__xludf.DUMMYFUNCTION("""COMPUTED_VALUE"""),"hengameh_hairstylerr")</f>
        <v>hengameh_hairstylerr</v>
      </c>
    </row>
    <row r="3865">
      <c r="A3865" s="8" t="str">
        <f>IFERROR(__xludf.DUMMYFUNCTION("""COMPUTED_VALUE"""),"lstudio.letyagina")</f>
        <v>lstudio.letyagina</v>
      </c>
    </row>
    <row r="3866">
      <c r="A3866" s="8" t="str">
        <f>IFERROR(__xludf.DUMMYFUNCTION("""COMPUTED_VALUE"""),"sb_makeuup")</f>
        <v>sb_makeuup</v>
      </c>
    </row>
    <row r="3867">
      <c r="A3867" s="11" t="str">
        <f>IFERROR(__xludf.DUMMYFUNCTION("""COMPUTED_VALUE"""),"bagdeals.ng")</f>
        <v>bagdeals.ng</v>
      </c>
    </row>
    <row r="3868">
      <c r="A3868" s="8" t="str">
        <f>IFERROR(__xludf.DUMMYFUNCTION("""COMPUTED_VALUE"""),"bags.warehouse.accessories")</f>
        <v>bags.warehouse.accessories</v>
      </c>
    </row>
    <row r="3869">
      <c r="A3869" s="8" t="str">
        <f>IFERROR(__xludf.DUMMYFUNCTION("""COMPUTED_VALUE"""),"bagswarehouseng.official")</f>
        <v>bagswarehouseng.official</v>
      </c>
    </row>
    <row r="3870">
      <c r="A3870" s="8" t="str">
        <f>IFERROR(__xludf.DUMMYFUNCTION("""COMPUTED_VALUE"""),"handbagsandco")</f>
        <v>handbagsandco</v>
      </c>
    </row>
    <row r="3871">
      <c r="A3871" s="8" t="str">
        <f>IFERROR(__xludf.DUMMYFUNCTION("""COMPUTED_VALUE"""),"theokbargain")</f>
        <v>theokbargain</v>
      </c>
    </row>
    <row r="3872">
      <c r="A3872" s="8" t="str">
        <f>IFERROR(__xludf.DUMMYFUNCTION("""COMPUTED_VALUE"""),"deleme_snssoaa_aw_e_t")</f>
        <v>deleme_snssoaa_aw_e_t</v>
      </c>
    </row>
    <row r="3873">
      <c r="A3873" s="8" t="str">
        <f>IFERROR(__xludf.DUMMYFUNCTION("""COMPUTED_VALUE"""),"abrikoos_kloof_reserve")</f>
        <v>abrikoos_kloof_reserve</v>
      </c>
    </row>
    <row r="3874">
      <c r="A3874" s="8" t="str">
        <f>IFERROR(__xludf.DUMMYFUNCTION("""COMPUTED_VALUE"""),"liezlkotze_floralart")</f>
        <v>liezlkotze_floralart</v>
      </c>
    </row>
    <row r="3875">
      <c r="A3875" s="8" t="str">
        <f>IFERROR(__xludf.DUMMYFUNCTION("""COMPUTED_VALUE"""),"veloceluxurycarrental")</f>
        <v>veloceluxurycarrental</v>
      </c>
    </row>
    <row r="3876">
      <c r="A3876" s="8" t="str">
        <f>IFERROR(__xludf.DUMMYFUNCTION("""COMPUTED_VALUE"""),"luxurylifedoha")</f>
        <v>luxurylifedoha</v>
      </c>
    </row>
    <row r="3877">
      <c r="A3877" s="8" t="str">
        <f>IFERROR(__xludf.DUMMYFUNCTION("""COMPUTED_VALUE"""),"ab_beauty_official")</f>
        <v>ab_beauty_official</v>
      </c>
    </row>
    <row r="3878">
      <c r="A3878" s="8" t="str">
        <f>IFERROR(__xludf.DUMMYFUNCTION("""COMPUTED_VALUE"""),"luxuryhomesjohannesburg")</f>
        <v>luxuryhomesjohannesburg</v>
      </c>
    </row>
    <row r="3879">
      <c r="A3879" s="8" t="str">
        <f>IFERROR(__xludf.DUMMYFUNCTION("""COMPUTED_VALUE"""),"247_luxurystore")</f>
        <v>247_luxurystore</v>
      </c>
    </row>
    <row r="3880">
      <c r="A3880" s="8" t="str">
        <f>IFERROR(__xludf.DUMMYFUNCTION("""COMPUTED_VALUE"""),"alabasterbox_poshjewelrystore")</f>
        <v>alabasterbox_poshjewelrystore</v>
      </c>
    </row>
    <row r="3881">
      <c r="A3881" s="8" t="str">
        <f>IFERROR(__xludf.DUMMYFUNCTION("""COMPUTED_VALUE"""),"_arewahair")</f>
        <v>_arewahair</v>
      </c>
    </row>
    <row r="3882">
      <c r="A3882" s="8" t="str">
        <f>IFERROR(__xludf.DUMMYFUNCTION("""COMPUTED_VALUE"""),"bonaventure_lighting")</f>
        <v>bonaventure_lighting</v>
      </c>
    </row>
    <row r="3883">
      <c r="A3883" s="8" t="str">
        <f>IFERROR(__xludf.DUMMYFUNCTION("""COMPUTED_VALUE"""),"coachella_hairs")</f>
        <v>coachella_hairs</v>
      </c>
    </row>
    <row r="3884">
      <c r="A3884" s="8" t="str">
        <f>IFERROR(__xludf.DUMMYFUNCTION("""COMPUTED_VALUE"""),"hair_by_blingz")</f>
        <v>hair_by_blingz</v>
      </c>
    </row>
    <row r="3885">
      <c r="A3885" s="8" t="str">
        <f>IFERROR(__xludf.DUMMYFUNCTION("""COMPUTED_VALUE"""),"izu_best_lightning_world_")</f>
        <v>izu_best_lightning_world_</v>
      </c>
    </row>
    <row r="3886">
      <c r="A3886" s="8" t="str">
        <f>IFERROR(__xludf.DUMMYFUNCTION("""COMPUTED_VALUE"""),"obodoluxury_hairs")</f>
        <v>obodoluxury_hairs</v>
      </c>
    </row>
    <row r="3887">
      <c r="A3887" s="8" t="str">
        <f>IFERROR(__xludf.DUMMYFUNCTION("""COMPUTED_VALUE"""),"lalies_glamstudio")</f>
        <v>lalies_glamstudio</v>
      </c>
    </row>
    <row r="3888">
      <c r="A3888" s="8" t="str">
        <f>IFERROR(__xludf.DUMMYFUNCTION("""COMPUTED_VALUE"""),"bouktibdoha")</f>
        <v>bouktibdoha</v>
      </c>
    </row>
    <row r="3889">
      <c r="A3889" s="8" t="str">
        <f>IFERROR(__xludf.DUMMYFUNCTION("""COMPUTED_VALUE"""),"dohamakeup_artist")</f>
        <v>dohamakeup_artist</v>
      </c>
    </row>
    <row r="3890">
      <c r="A3890" s="8" t="str">
        <f>IFERROR(__xludf.DUMMYFUNCTION("""COMPUTED_VALUE"""),"doha_mostafa_makeup_artist")</f>
        <v>doha_mostafa_makeup_artist</v>
      </c>
    </row>
    <row r="3891">
      <c r="A3891" s="8" t="str">
        <f>IFERROR(__xludf.DUMMYFUNCTION("""COMPUTED_VALUE"""),"makeup_artist_doha")</f>
        <v>makeup_artist_doha</v>
      </c>
    </row>
    <row r="3892">
      <c r="A3892" s="8" t="str">
        <f>IFERROR(__xludf.DUMMYFUNCTION("""COMPUTED_VALUE"""),"asal.beauty.uae")</f>
        <v>asal.beauty.uae</v>
      </c>
    </row>
    <row r="3893">
      <c r="A3893" s="8" t="str">
        <f>IFERROR(__xludf.DUMMYFUNCTION("""COMPUTED_VALUE"""),"eldar_abdiev")</f>
        <v>eldar_abdiev</v>
      </c>
    </row>
    <row r="3894">
      <c r="A3894" s="8" t="str">
        <f>IFERROR(__xludf.DUMMYFUNCTION("""COMPUTED_VALUE"""),"makeup_artistdubai")</f>
        <v>makeup_artistdubai</v>
      </c>
    </row>
    <row r="3895">
      <c r="A3895" s="8" t="str">
        <f>IFERROR(__xludf.DUMMYFUNCTION("""COMPUTED_VALUE"""),"makeupbyrabbiya")</f>
        <v>makeupbyrabbiya</v>
      </c>
    </row>
    <row r="3896">
      <c r="A3896" s="8" t="str">
        <f>IFERROR(__xludf.DUMMYFUNCTION("""COMPUTED_VALUE"""),"makeupmoravets")</f>
        <v>makeupmoravets</v>
      </c>
    </row>
    <row r="3897">
      <c r="A3897" s="8" t="str">
        <f>IFERROR(__xludf.DUMMYFUNCTION("""COMPUTED_VALUE"""),"spotless.vanity")</f>
        <v>spotless.vanity</v>
      </c>
    </row>
    <row r="3898">
      <c r="A3898" s="8" t="str">
        <f>IFERROR(__xludf.DUMMYFUNCTION("""COMPUTED_VALUE"""),"viktoria.kuzminyh")</f>
        <v>viktoria.kuzminyh</v>
      </c>
    </row>
    <row r="3899">
      <c r="A3899" s="8" t="str">
        <f>IFERROR(__xludf.DUMMYFUNCTION("""COMPUTED_VALUE"""),"napaskina_marybeauty")</f>
        <v>napaskina_marybeauty</v>
      </c>
    </row>
    <row r="3900">
      <c r="A3900" s="8" t="str">
        <f>IFERROR(__xludf.DUMMYFUNCTION("""COMPUTED_VALUE"""),"beautyandthebest_cpt")</f>
        <v>beautyandthebest_cpt</v>
      </c>
    </row>
    <row r="3901">
      <c r="A3901" s="8" t="str">
        <f>IFERROR(__xludf.DUMMYFUNCTION("""COMPUTED_VALUE"""),"kimlyn_makeuphair")</f>
        <v>kimlyn_makeuphair</v>
      </c>
    </row>
    <row r="3902">
      <c r="A3902" s="8" t="str">
        <f>IFERROR(__xludf.DUMMYFUNCTION("""COMPUTED_VALUE"""),"makeup_by_hedwin")</f>
        <v>makeup_by_hedwin</v>
      </c>
    </row>
    <row r="3903">
      <c r="A3903" s="8" t="str">
        <f>IFERROR(__xludf.DUMMYFUNCTION("""COMPUTED_VALUE"""),"makeupbyropa")</f>
        <v>makeupbyropa</v>
      </c>
    </row>
    <row r="3904">
      <c r="A3904" s="8" t="str">
        <f>IFERROR(__xludf.DUMMYFUNCTION("""COMPUTED_VALUE"""),"makeup_.doha")</f>
        <v>makeup_.doha</v>
      </c>
    </row>
    <row r="3905">
      <c r="A3905" s="8" t="str">
        <f>IFERROR(__xludf.DUMMYFUNCTION("""COMPUTED_VALUE"""),"nthatimakeup")</f>
        <v>nthatimakeup</v>
      </c>
    </row>
    <row r="3906">
      <c r="A3906" s="8" t="str">
        <f>IFERROR(__xludf.DUMMYFUNCTION("""COMPUTED_VALUE"""),"7brushes_beauty")</f>
        <v>7brushes_beauty</v>
      </c>
    </row>
    <row r="3907">
      <c r="A3907" s="8" t="str">
        <f>IFERROR(__xludf.DUMMYFUNCTION("""COMPUTED_VALUE"""),"adeogemua")</f>
        <v>adeogemua</v>
      </c>
    </row>
    <row r="3908">
      <c r="A3908" s="8" t="str">
        <f>IFERROR(__xludf.DUMMYFUNCTION("""COMPUTED_VALUE"""),"ceendies_creation")</f>
        <v>ceendies_creation</v>
      </c>
    </row>
    <row r="3909">
      <c r="A3909" s="8" t="str">
        <f>IFERROR(__xludf.DUMMYFUNCTION("""COMPUTED_VALUE"""),"forteglamour")</f>
        <v>forteglamour</v>
      </c>
    </row>
    <row r="3910">
      <c r="A3910" s="8" t="str">
        <f>IFERROR(__xludf.DUMMYFUNCTION("""COMPUTED_VALUE"""),"kaffysbeauty")</f>
        <v>kaffysbeauty</v>
      </c>
    </row>
    <row r="3911">
      <c r="A3911" s="8" t="str">
        <f>IFERROR(__xludf.DUMMYFUNCTION("""COMPUTED_VALUE"""),"makeupbyteey")</f>
        <v>makeupbyteey</v>
      </c>
    </row>
    <row r="3912">
      <c r="A3912" s="8" t="str">
        <f>IFERROR(__xludf.DUMMYFUNCTION("""COMPUTED_VALUE"""),"moebeauty___")</f>
        <v>moebeauty___</v>
      </c>
    </row>
    <row r="3913">
      <c r="A3913" s="8" t="str">
        <f>IFERROR(__xludf.DUMMYFUNCTION("""COMPUTED_VALUE"""),"naveen_dawlley")</f>
        <v>naveen_dawlley</v>
      </c>
    </row>
    <row r="3914">
      <c r="A3914" s="8" t="str">
        <f>IFERROR(__xludf.DUMMYFUNCTION("""COMPUTED_VALUE"""),"slaywithjbrian")</f>
        <v>slaywithjbrian</v>
      </c>
    </row>
    <row r="3915">
      <c r="A3915" s="8" t="str">
        <f>IFERROR(__xludf.DUMMYFUNCTION("""COMPUTED_VALUE"""),"sosoph24")</f>
        <v>sosoph24</v>
      </c>
    </row>
    <row r="3916">
      <c r="A3916" s="8" t="str">
        <f>IFERROR(__xludf.DUMMYFUNCTION("""COMPUTED_VALUE"""),"theurbanvanity")</f>
        <v>theurbanvanity</v>
      </c>
    </row>
    <row r="3917">
      <c r="A3917" s="8" t="str">
        <f>IFERROR(__xludf.DUMMYFUNCTION("""COMPUTED_VALUE"""),"tiasglamm")</f>
        <v>tiasglamm</v>
      </c>
    </row>
    <row r="3918">
      <c r="A3918" s="8" t="str">
        <f>IFERROR(__xludf.DUMMYFUNCTION("""COMPUTED_VALUE"""),"touchoflamie")</f>
        <v>touchoflamie</v>
      </c>
    </row>
    <row r="3919">
      <c r="A3919" s="8" t="str">
        <f>IFERROR(__xludf.DUMMYFUNCTION("""COMPUTED_VALUE"""),"xteebeauty")</f>
        <v>xteebeauty</v>
      </c>
    </row>
    <row r="3920">
      <c r="A3920" s="8" t="str">
        <f>IFERROR(__xludf.DUMMYFUNCTION("""COMPUTED_VALUE"""),"cairo.fashion_")</f>
        <v>cairo.fashion_</v>
      </c>
    </row>
    <row r="3921">
      <c r="A3921" s="8" t="str">
        <f>IFERROR(__xludf.DUMMYFUNCTION("""COMPUTED_VALUE"""),"usecairos")</f>
        <v>usecairos</v>
      </c>
    </row>
    <row r="3922">
      <c r="A3922" s="8" t="str">
        <f>IFERROR(__xludf.DUMMYFUNCTION("""COMPUTED_VALUE"""),"adaltonbarbosaoficial")</f>
        <v>adaltonbarbosaoficial</v>
      </c>
    </row>
    <row r="3923">
      <c r="A3923" s="8" t="str">
        <f>IFERROR(__xludf.DUMMYFUNCTION("""COMPUTED_VALUE"""),"dubai_moda__")</f>
        <v>dubai_moda__</v>
      </c>
    </row>
    <row r="3924">
      <c r="A3924" s="8" t="str">
        <f>IFERROR(__xludf.DUMMYFUNCTION("""COMPUTED_VALUE"""),"modadubai_")</f>
        <v>modadubai_</v>
      </c>
    </row>
    <row r="3925">
      <c r="A3925" s="8" t="str">
        <f>IFERROR(__xludf.DUMMYFUNCTION("""COMPUTED_VALUE"""),"yasulagos")</f>
        <v>yasulagos</v>
      </c>
    </row>
    <row r="3926">
      <c r="A3926" s="8" t="str">
        <f>IFERROR(__xludf.DUMMYFUNCTION("""COMPUTED_VALUE"""),"russian.nails.store.cairo")</f>
        <v>russian.nails.store.cairo</v>
      </c>
    </row>
    <row r="3927">
      <c r="A3927" s="11" t="str">
        <f>IFERROR(__xludf.DUMMYFUNCTION("""COMPUTED_VALUE"""),"blossome.qa")</f>
        <v>blossome.qa</v>
      </c>
    </row>
    <row r="3928">
      <c r="A3928" s="8" t="str">
        <f>IFERROR(__xludf.DUMMYFUNCTION("""COMPUTED_VALUE"""),"doha_nails")</f>
        <v>doha_nails</v>
      </c>
    </row>
    <row r="3929">
      <c r="A3929" s="8" t="str">
        <f>IFERROR(__xludf.DUMMYFUNCTION("""COMPUTED_VALUE"""),"nails.doha.qatar")</f>
        <v>nails.doha.qatar</v>
      </c>
    </row>
    <row r="3930">
      <c r="A3930" s="8" t="str">
        <f>IFERROR(__xludf.DUMMYFUNCTION("""COMPUTED_VALUE"""),"nails.bygale")</f>
        <v>nails.bygale</v>
      </c>
    </row>
    <row r="3931">
      <c r="A3931" s="8" t="str">
        <f>IFERROR(__xludf.DUMMYFUNCTION("""COMPUTED_VALUE"""),"shinebydinmaofficial")</f>
        <v>shinebydinmaofficial</v>
      </c>
    </row>
    <row r="3932">
      <c r="A3932" s="8" t="str">
        <f>IFERROR(__xludf.DUMMYFUNCTION("""COMPUTED_VALUE"""),"herret_skincare")</f>
        <v>herret_skincare</v>
      </c>
    </row>
    <row r="3933">
      <c r="A3933" s="8" t="str">
        <f>IFERROR(__xludf.DUMMYFUNCTION("""COMPUTED_VALUE"""),"ohis_beautyy")</f>
        <v>ohis_beautyy</v>
      </c>
    </row>
    <row r="3934">
      <c r="A3934" s="8" t="str">
        <f>IFERROR(__xludf.DUMMYFUNCTION("""COMPUTED_VALUE"""),"pbellebeautyng")</f>
        <v>pbellebeautyng</v>
      </c>
    </row>
    <row r="3935">
      <c r="A3935" s="8" t="str">
        <f>IFERROR(__xludf.DUMMYFUNCTION("""COMPUTED_VALUE"""),"royal_beauty_glow_")</f>
        <v>royal_beauty_glow_</v>
      </c>
    </row>
    <row r="3936">
      <c r="A3936" s="8" t="str">
        <f>IFERROR(__xludf.DUMMYFUNCTION("""COMPUTED_VALUE"""),"stabeautypalace")</f>
        <v>stabeautypalace</v>
      </c>
    </row>
    <row r="3937">
      <c r="A3937" s="8" t="str">
        <f>IFERROR(__xludf.DUMMYFUNCTION("""COMPUTED_VALUE"""),"herret_skincare")</f>
        <v>herret_skincare</v>
      </c>
    </row>
    <row r="3938">
      <c r="A3938" s="11" t="str">
        <f>IFERROR(__xludf.DUMMYFUNCTION("""COMPUTED_VALUE"""),"kikibeautystore.ng")</f>
        <v>kikibeautystore.ng</v>
      </c>
    </row>
    <row r="3939">
      <c r="A3939" s="8" t="str">
        <f>IFERROR(__xludf.DUMMYFUNCTION("""COMPUTED_VALUE"""),"pbellebeautyng")</f>
        <v>pbellebeautyng</v>
      </c>
    </row>
    <row r="3940">
      <c r="A3940" s="8" t="str">
        <f>IFERROR(__xludf.DUMMYFUNCTION("""COMPUTED_VALUE"""),"perfumes.dubai1")</f>
        <v>perfumes.dubai1</v>
      </c>
    </row>
    <row r="3941">
      <c r="A3941" s="8" t="str">
        <f>IFERROR(__xludf.DUMMYFUNCTION("""COMPUTED_VALUE"""),"dazzlescloset")</f>
        <v>dazzlescloset</v>
      </c>
    </row>
    <row r="3942">
      <c r="A3942" s="8" t="str">
        <f>IFERROR(__xludf.DUMMYFUNCTION("""COMPUTED_VALUE"""),"jennyscents__ng")</f>
        <v>jennyscents__ng</v>
      </c>
    </row>
    <row r="3943">
      <c r="A3943" s="8" t="str">
        <f>IFERROR(__xludf.DUMMYFUNCTION("""COMPUTED_VALUE"""),"scentsvine")</f>
        <v>scentsvine</v>
      </c>
    </row>
    <row r="3944">
      <c r="A3944" s="8" t="str">
        <f>IFERROR(__xludf.DUMMYFUNCTION("""COMPUTED_VALUE"""),"thescentarena")</f>
        <v>thescentarena</v>
      </c>
    </row>
    <row r="3945">
      <c r="A3945" s="8" t="str">
        <f>IFERROR(__xludf.DUMMYFUNCTION("""COMPUTED_VALUE"""),"the_scent_home")</f>
        <v>the_scent_home</v>
      </c>
    </row>
    <row r="3946">
      <c r="A3946" s="8" t="str">
        <f>IFERROR(__xludf.DUMMYFUNCTION("""COMPUTED_VALUE"""),"bless_beauty_cairo")</f>
        <v>bless_beauty_cairo</v>
      </c>
    </row>
    <row r="3947">
      <c r="A3947" s="11" t="str">
        <f>IFERROR(__xludf.DUMMYFUNCTION("""COMPUTED_VALUE"""),"cosmetica.qa")</f>
        <v>cosmetica.qa</v>
      </c>
    </row>
    <row r="3948">
      <c r="A3948" s="8" t="str">
        <f>IFERROR(__xludf.DUMMYFUNCTION("""COMPUTED_VALUE"""),"doseofglamcosmetics")</f>
        <v>doseofglamcosmetics</v>
      </c>
    </row>
    <row r="3949">
      <c r="A3949" s="8" t="str">
        <f>IFERROR(__xludf.DUMMYFUNCTION("""COMPUTED_VALUE"""),"ellatrends_skincare_spa")</f>
        <v>ellatrends_skincare_spa</v>
      </c>
    </row>
    <row r="3950">
      <c r="A3950" s="8" t="str">
        <f>IFERROR(__xludf.DUMMYFUNCTION("""COMPUTED_VALUE"""),"eniafe_skincare_arena")</f>
        <v>eniafe_skincare_arena</v>
      </c>
    </row>
    <row r="3951">
      <c r="A3951" s="11" t="str">
        <f>IFERROR(__xludf.DUMMYFUNCTION("""COMPUTED_VALUE"""),"hermosamart.ng")</f>
        <v>hermosamart.ng</v>
      </c>
    </row>
    <row r="3952">
      <c r="A3952" s="8" t="str">
        <f>IFERROR(__xludf.DUMMYFUNCTION("""COMPUTED_VALUE"""),"just_prudence_")</f>
        <v>just_prudence_</v>
      </c>
    </row>
    <row r="3953">
      <c r="A3953" s="8" t="str">
        <f>IFERROR(__xludf.DUMMYFUNCTION("""COMPUTED_VALUE"""),"kalopsia_skincare")</f>
        <v>kalopsia_skincare</v>
      </c>
    </row>
    <row r="3954">
      <c r="A3954" s="8" t="str">
        <f>IFERROR(__xludf.DUMMYFUNCTION("""COMPUTED_VALUE"""),"reys.beautyshelf")</f>
        <v>reys.beautyshelf</v>
      </c>
    </row>
    <row r="3955">
      <c r="A3955" s="8" t="str">
        <f>IFERROR(__xludf.DUMMYFUNCTION("""COMPUTED_VALUE"""),"tyra___luxe")</f>
        <v>tyra___luxe</v>
      </c>
    </row>
    <row r="3956">
      <c r="A3956" s="8" t="str">
        <f>IFERROR(__xludf.DUMMYFUNCTION("""COMPUTED_VALUE"""),"zinnyluxuriousskincare")</f>
        <v>zinnyluxuriousskincare</v>
      </c>
    </row>
    <row r="3957">
      <c r="A3957" s="8" t="str">
        <f>IFERROR(__xludf.DUMMYFUNCTION("""COMPUTED_VALUE"""),"cairo__shoes_")</f>
        <v>cairo__shoes_</v>
      </c>
    </row>
    <row r="3958">
      <c r="A3958" s="11" t="str">
        <f>IFERROR(__xludf.DUMMYFUNCTION("""COMPUTED_VALUE"""),"cairoshoes.eg")</f>
        <v>cairoshoes.eg</v>
      </c>
    </row>
    <row r="3959">
      <c r="A3959" s="8" t="str">
        <f>IFERROR(__xludf.DUMMYFUNCTION("""COMPUTED_VALUE"""),"cairosneakers1")</f>
        <v>cairosneakers1</v>
      </c>
    </row>
    <row r="3960">
      <c r="A3960" s="8" t="str">
        <f>IFERROR(__xludf.DUMMYFUNCTION("""COMPUTED_VALUE"""),"360shops_ng")</f>
        <v>360shops_ng</v>
      </c>
    </row>
    <row r="3961">
      <c r="A3961" s="8" t="str">
        <f>IFERROR(__xludf.DUMMYFUNCTION("""COMPUTED_VALUE"""),"bglam_store")</f>
        <v>bglam_store</v>
      </c>
    </row>
    <row r="3962">
      <c r="A3962" s="8" t="str">
        <f>IFERROR(__xludf.DUMMYFUNCTION("""COMPUTED_VALUE"""),"cairostreetstyle")</f>
        <v>cairostreetstyle</v>
      </c>
    </row>
    <row r="3963">
      <c r="A3963" s="8" t="str">
        <f>IFERROR(__xludf.DUMMYFUNCTION("""COMPUTED_VALUE"""),"boleboxxlagos")</f>
        <v>boleboxxlagos</v>
      </c>
    </row>
    <row r="3964">
      <c r="A3964" s="8" t="str">
        <f>IFERROR(__xludf.DUMMYFUNCTION("""COMPUTED_VALUE"""),"lagos_streetstyle")</f>
        <v>lagos_streetstyle</v>
      </c>
    </row>
    <row r="3965">
      <c r="A3965" s="8" t="str">
        <f>IFERROR(__xludf.DUMMYFUNCTION("""COMPUTED_VALUE"""),"florynkiddies_store")</f>
        <v>florynkiddies_store</v>
      </c>
    </row>
    <row r="3966">
      <c r="A3966" s="8" t="str">
        <f>IFERROR(__xludf.DUMMYFUNCTION("""COMPUTED_VALUE"""),"just_thrifthair")</f>
        <v>just_thrifthair</v>
      </c>
    </row>
    <row r="3967">
      <c r="A3967" s="8" t="str">
        <f>IFERROR(__xludf.DUMMYFUNCTION("""COMPUTED_VALUE"""),"kiddiesworld.thrift")</f>
        <v>kiddiesworld.thrift</v>
      </c>
    </row>
    <row r="3968">
      <c r="A3968" s="8" t="str">
        <f>IFERROR(__xludf.DUMMYFUNCTION("""COMPUTED_VALUE"""),"theokrikahub_")</f>
        <v>theokrikahub_</v>
      </c>
    </row>
    <row r="3969">
      <c r="A3969" s="8" t="str">
        <f>IFERROR(__xludf.DUMMYFUNCTION("""COMPUTED_VALUE"""),"thriftbagsbyadunni89")</f>
        <v>thriftbagsbyadunni89</v>
      </c>
    </row>
    <row r="3970">
      <c r="A3970" s="8" t="str">
        <f>IFERROR(__xludf.DUMMYFUNCTION("""COMPUTED_VALUE"""),"thriftbyisell_ikeja")</f>
        <v>thriftbyisell_ikeja</v>
      </c>
    </row>
    <row r="3971">
      <c r="A3971" s="8" t="str">
        <f>IFERROR(__xludf.DUMMYFUNCTION("""COMPUTED_VALUE"""),"thriftbyisell_lekki")</f>
        <v>thriftbyisell_lekki</v>
      </c>
    </row>
    <row r="3972">
      <c r="A3972" s="8" t="str">
        <f>IFERROR(__xludf.DUMMYFUNCTION("""COMPUTED_VALUE"""),"thriftplugbyjokie")</f>
        <v>thriftplugbyjokie</v>
      </c>
    </row>
    <row r="3973">
      <c r="A3973" s="8" t="str">
        <f>IFERROR(__xludf.DUMMYFUNCTION("""COMPUTED_VALUE"""),"thriftshop_lane")</f>
        <v>thriftshop_lane</v>
      </c>
    </row>
    <row r="3974">
      <c r="A3974" s="8" t="str">
        <f>IFERROR(__xludf.DUMMYFUNCTION("""COMPUTED_VALUE"""),"alalyastudio")</f>
        <v>alalyastudio</v>
      </c>
    </row>
    <row r="3975">
      <c r="A3975" s="8" t="str">
        <f>IFERROR(__xludf.DUMMYFUNCTION("""COMPUTED_VALUE"""),"omobindulgence")</f>
        <v>omobindulgence</v>
      </c>
    </row>
    <row r="3976">
      <c r="A3976" s="8" t="str">
        <f>IFERROR(__xludf.DUMMYFUNCTION("""COMPUTED_VALUE"""),"affordable_luxuries_")</f>
        <v>affordable_luxuries_</v>
      </c>
    </row>
    <row r="3977">
      <c r="A3977" s="8" t="str">
        <f>IFERROR(__xludf.DUMMYFUNCTION("""COMPUTED_VALUE"""),"nairobi.accessories.store")</f>
        <v>nairobi.accessories.store</v>
      </c>
    </row>
    <row r="3978">
      <c r="A3978" s="8" t="str">
        <f>IFERROR(__xludf.DUMMYFUNCTION("""COMPUTED_VALUE"""),"gloradiance")</f>
        <v>gloradiance</v>
      </c>
    </row>
    <row r="3979">
      <c r="A3979" s="8" t="str">
        <f>IFERROR(__xludf.DUMMYFUNCTION("""COMPUTED_VALUE"""),"curlyhair_tokyo")</f>
        <v>curlyhair_tokyo</v>
      </c>
    </row>
    <row r="3980">
      <c r="A3980" s="8" t="str">
        <f>IFERROR(__xludf.DUMMYFUNCTION("""COMPUTED_VALUE"""),"lillas_trend")</f>
        <v>lillas_trend</v>
      </c>
    </row>
    <row r="3981">
      <c r="A3981" s="8" t="str">
        <f>IFERROR(__xludf.DUMMYFUNCTION("""COMPUTED_VALUE"""),"_trendsaddict__")</f>
        <v>_trendsaddict__</v>
      </c>
    </row>
    <row r="3982">
      <c r="A3982" s="8" t="str">
        <f>IFERROR(__xludf.DUMMYFUNCTION("""COMPUTED_VALUE"""),"atlantisvintagetokyo")</f>
        <v>atlantisvintagetokyo</v>
      </c>
    </row>
    <row r="3983">
      <c r="A3983" s="8" t="str">
        <f>IFERROR(__xludf.DUMMYFUNCTION("""COMPUTED_VALUE"""),"accra_luxury_apartments")</f>
        <v>accra_luxury_apartments</v>
      </c>
    </row>
    <row r="3984">
      <c r="A3984" s="8" t="str">
        <f>IFERROR(__xludf.DUMMYFUNCTION("""COMPUTED_VALUE"""),"closures_frontals_gh")</f>
        <v>closures_frontals_gh</v>
      </c>
    </row>
    <row r="3985">
      <c r="A3985" s="8" t="str">
        <f>IFERROR(__xludf.DUMMYFUNCTION("""COMPUTED_VALUE"""),"dollydoll_wigxclusive_gh")</f>
        <v>dollydoll_wigxclusive_gh</v>
      </c>
    </row>
    <row r="3986">
      <c r="A3986" s="8" t="str">
        <f>IFERROR(__xludf.DUMMYFUNCTION("""COMPUTED_VALUE"""),"sugarhill_luxury_houses")</f>
        <v>sugarhill_luxury_houses</v>
      </c>
    </row>
    <row r="3987">
      <c r="A3987" s="8" t="str">
        <f>IFERROR(__xludf.DUMMYFUNCTION("""COMPUTED_VALUE"""),"thehairbundlsgh")</f>
        <v>thehairbundlsgh</v>
      </c>
    </row>
    <row r="3988">
      <c r="A3988" s="8" t="str">
        <f>IFERROR(__xludf.DUMMYFUNCTION("""COMPUTED_VALUE"""),"wigs_by_priscy")</f>
        <v>wigs_by_priscy</v>
      </c>
    </row>
    <row r="3989">
      <c r="A3989" s="8" t="str">
        <f>IFERROR(__xludf.DUMMYFUNCTION("""COMPUTED_VALUE"""),"vinefinishesltd")</f>
        <v>vinefinishesltd</v>
      </c>
    </row>
    <row r="3990">
      <c r="A3990" s="8" t="str">
        <f>IFERROR(__xludf.DUMMYFUNCTION("""COMPUTED_VALUE"""),"windoor_star_curtains")</f>
        <v>windoor_star_curtains</v>
      </c>
    </row>
    <row r="3991">
      <c r="A3991" s="8" t="str">
        <f>IFERROR(__xludf.DUMMYFUNCTION("""COMPUTED_VALUE"""),"atlantisvintagetokyo")</f>
        <v>atlantisvintagetokyo</v>
      </c>
    </row>
    <row r="3992">
      <c r="A3992" s="8" t="str">
        <f>IFERROR(__xludf.DUMMYFUNCTION("""COMPUTED_VALUE"""),"tokyoluxury777")</f>
        <v>tokyoluxury777</v>
      </c>
    </row>
    <row r="3993">
      <c r="A3993" s="8" t="str">
        <f>IFERROR(__xludf.DUMMYFUNCTION("""COMPUTED_VALUE"""),"felidavbeautystore")</f>
        <v>felidavbeautystore</v>
      </c>
    </row>
    <row r="3994">
      <c r="A3994" s="8" t="str">
        <f>IFERROR(__xludf.DUMMYFUNCTION("""COMPUTED_VALUE"""),"ftlbeauty_")</f>
        <v>ftlbeauty_</v>
      </c>
    </row>
    <row r="3995">
      <c r="A3995" s="8" t="str">
        <f>IFERROR(__xludf.DUMMYFUNCTION("""COMPUTED_VALUE"""),"luxyglam_beauty")</f>
        <v>luxyglam_beauty</v>
      </c>
    </row>
    <row r="3996">
      <c r="A3996" s="8" t="str">
        <f>IFERROR(__xludf.DUMMYFUNCTION("""COMPUTED_VALUE"""),"debbysez")</f>
        <v>debbysez</v>
      </c>
    </row>
    <row r="3997">
      <c r="A3997" s="8" t="str">
        <f>IFERROR(__xludf.DUMMYFUNCTION("""COMPUTED_VALUE"""),"marirabeauty")</f>
        <v>marirabeauty</v>
      </c>
    </row>
    <row r="3998">
      <c r="A3998" s="8" t="str">
        <f>IFERROR(__xludf.DUMMYFUNCTION("""COMPUTED_VALUE"""),"nairobiclothingoficial")</f>
        <v>nairobiclothingoficial</v>
      </c>
    </row>
    <row r="3999">
      <c r="A3999" s="8" t="str">
        <f>IFERROR(__xludf.DUMMYFUNCTION("""COMPUTED_VALUE"""),"beautysupplybychicup")</f>
        <v>beautysupplybychicup</v>
      </c>
    </row>
    <row r="4000">
      <c r="A4000" s="8" t="str">
        <f>IFERROR(__xludf.DUMMYFUNCTION("""COMPUTED_VALUE"""),"gigibeautybar")</f>
        <v>gigibeautybar</v>
      </c>
    </row>
    <row r="4001">
      <c r="A4001" s="8" t="str">
        <f>IFERROR(__xludf.DUMMYFUNCTION("""COMPUTED_VALUE"""),"black_ink_nail_lab_nairobi")</f>
        <v>black_ink_nail_lab_nairobi</v>
      </c>
    </row>
    <row r="4002">
      <c r="A4002" s="8" t="str">
        <f>IFERROR(__xludf.DUMMYFUNCTION("""COMPUTED_VALUE"""),"melaki_nailbar")</f>
        <v>melaki_nailbar</v>
      </c>
    </row>
    <row r="4003">
      <c r="A4003" s="8" t="str">
        <f>IFERROR(__xludf.DUMMYFUNCTION("""COMPUTED_VALUE"""),"nairobinails")</f>
        <v>nairobinails</v>
      </c>
    </row>
    <row r="4004">
      <c r="A4004" s="8" t="str">
        <f>IFERROR(__xludf.DUMMYFUNCTION("""COMPUTED_VALUE"""),"nairobinailspty")</f>
        <v>nairobinailspty</v>
      </c>
    </row>
    <row r="4005">
      <c r="A4005" s="8" t="str">
        <f>IFERROR(__xludf.DUMMYFUNCTION("""COMPUTED_VALUE"""),"urbannailske")</f>
        <v>urbannailske</v>
      </c>
    </row>
    <row r="4006">
      <c r="A4006" s="8" t="str">
        <f>IFERROR(__xludf.DUMMYFUNCTION("""COMPUTED_VALUE"""),"yukamizz")</f>
        <v>yukamizz</v>
      </c>
    </row>
    <row r="4007">
      <c r="A4007" s="8" t="str">
        <f>IFERROR(__xludf.DUMMYFUNCTION("""COMPUTED_VALUE"""),"tokyootd")</f>
        <v>tokyootd</v>
      </c>
    </row>
    <row r="4008">
      <c r="A4008" s="8" t="str">
        <f>IFERROR(__xludf.DUMMYFUNCTION("""COMPUTED_VALUE"""),"kcollectionsgh")</f>
        <v>kcollectionsgh</v>
      </c>
    </row>
    <row r="4009">
      <c r="A4009" s="8" t="str">
        <f>IFERROR(__xludf.DUMMYFUNCTION("""COMPUTED_VALUE"""),"perfume_girl_gh")</f>
        <v>perfume_girl_gh</v>
      </c>
    </row>
    <row r="4010">
      <c r="A4010" s="8" t="str">
        <f>IFERROR(__xludf.DUMMYFUNCTION("""COMPUTED_VALUE"""),"perfume__goddess_")</f>
        <v>perfume__goddess_</v>
      </c>
    </row>
    <row r="4011">
      <c r="A4011" s="8" t="str">
        <f>IFERROR(__xludf.DUMMYFUNCTION("""COMPUTED_VALUE"""),"scentedluxury__gh")</f>
        <v>scentedluxury__gh</v>
      </c>
    </row>
    <row r="4012">
      <c r="A4012" s="8" t="str">
        <f>IFERROR(__xludf.DUMMYFUNCTION("""COMPUTED_VALUE"""),"scentastic.perfumes")</f>
        <v>scentastic.perfumes</v>
      </c>
    </row>
    <row r="4013">
      <c r="A4013" s="8" t="str">
        <f>IFERROR(__xludf.DUMMYFUNCTION("""COMPUTED_VALUE"""),"felidavbeautystore")</f>
        <v>felidavbeautystore</v>
      </c>
    </row>
    <row r="4014">
      <c r="A4014" s="8" t="str">
        <f>IFERROR(__xludf.DUMMYFUNCTION("""COMPUTED_VALUE"""),"nickchels.skincare")</f>
        <v>nickchels.skincare</v>
      </c>
    </row>
    <row r="4015">
      <c r="A4015" s="8" t="str">
        <f>IFERROR(__xludf.DUMMYFUNCTION("""COMPUTED_VALUE"""),"knightsskincare254")</f>
        <v>knightsskincare254</v>
      </c>
    </row>
    <row r="4016">
      <c r="A4016" s="8" t="str">
        <f>IFERROR(__xludf.DUMMYFUNCTION("""COMPUTED_VALUE"""),"hadalabotokyo_uki")</f>
        <v>hadalabotokyo_uki</v>
      </c>
    </row>
    <row r="4017">
      <c r="A4017" s="8" t="str">
        <f>IFERROR(__xludf.DUMMYFUNCTION("""COMPUTED_VALUE"""),"tokyo.skin_")</f>
        <v>tokyo.skin_</v>
      </c>
    </row>
    <row r="4018">
      <c r="A4018" s="8" t="str">
        <f>IFERROR(__xludf.DUMMYFUNCTION("""COMPUTED_VALUE"""),"tokyo.zebra")</f>
        <v>tokyo.zebra</v>
      </c>
    </row>
    <row r="4019">
      <c r="A4019" s="8" t="str">
        <f>IFERROR(__xludf.DUMMYFUNCTION("""COMPUTED_VALUE"""),"nairobi.sneakers")</f>
        <v>nairobi.sneakers</v>
      </c>
    </row>
    <row r="4020">
      <c r="A4020" s="8" t="str">
        <f>IFERROR(__xludf.DUMMYFUNCTION("""COMPUTED_VALUE"""),"nairobistreetstyle")</f>
        <v>nairobistreetstyle</v>
      </c>
    </row>
    <row r="4021">
      <c r="A4021" s="8" t="str">
        <f>IFERROR(__xludf.DUMMYFUNCTION("""COMPUTED_VALUE"""),"clothe.nairobi")</f>
        <v>clothe.nairobi</v>
      </c>
    </row>
    <row r="4022">
      <c r="A4022" s="8" t="str">
        <f>IFERROR(__xludf.DUMMYFUNCTION("""COMPUTED_VALUE"""),"nairobi_thrift")</f>
        <v>nairobi_thrift</v>
      </c>
    </row>
    <row r="4023">
      <c r="A4023" s="8" t="str">
        <f>IFERROR(__xludf.DUMMYFUNCTION("""COMPUTED_VALUE"""),"slay_in_thrift_kenya")</f>
        <v>slay_in_thrift_kenya</v>
      </c>
    </row>
    <row r="4024">
      <c r="A4024" s="8" t="str">
        <f>IFERROR(__xludf.DUMMYFUNCTION("""COMPUTED_VALUE"""),"thriftsocialnairobi")</f>
        <v>thriftsocialnairobi</v>
      </c>
    </row>
    <row r="4025">
      <c r="A4025" s="8" t="str">
        <f>IFERROR(__xludf.DUMMYFUNCTION("""COMPUTED_VALUE"""),"thriftwithmueni")</f>
        <v>thriftwithmueni</v>
      </c>
    </row>
    <row r="4026">
      <c r="A4026" s="8" t="str">
        <f>IFERROR(__xludf.DUMMYFUNCTION("""COMPUTED_VALUE"""),"thrift_tokyo")</f>
        <v>thrift_tokyo</v>
      </c>
    </row>
    <row r="4027">
      <c r="A4027" s="8" t="str">
        <f>IFERROR(__xludf.DUMMYFUNCTION("""COMPUTED_VALUE"""),"toki.tokyo.accessories")</f>
        <v>toki.tokyo.accessories</v>
      </c>
    </row>
    <row r="4028">
      <c r="A4028" s="8" t="str">
        <f>IFERROR(__xludf.DUMMYFUNCTION("""COMPUTED_VALUE"""),"tokyo_accessories")</f>
        <v>tokyo_accessories</v>
      </c>
    </row>
    <row r="4029">
      <c r="A4029" s="8" t="str">
        <f>IFERROR(__xludf.DUMMYFUNCTION("""COMPUTED_VALUE"""),"tokyo____town")</f>
        <v>tokyo____town</v>
      </c>
    </row>
    <row r="4030">
      <c r="A4030" s="8" t="str">
        <f>IFERROR(__xludf.DUMMYFUNCTION("""COMPUTED_VALUE"""),"billycatbarbershopseoul")</f>
        <v>billycatbarbershopseoul</v>
      </c>
    </row>
    <row r="4031">
      <c r="A4031" s="8" t="str">
        <f>IFERROR(__xludf.DUMMYFUNCTION("""COMPUTED_VALUE"""),"slumdogbarbershop")</f>
        <v>slumdogbarbershop</v>
      </c>
    </row>
    <row r="4032">
      <c r="A4032" s="8" t="str">
        <f>IFERROR(__xludf.DUMMYFUNCTION("""COMPUTED_VALUE"""),"lisa_inkorea")</f>
        <v>lisa_inkorea</v>
      </c>
    </row>
    <row r="4033">
      <c r="A4033" s="8" t="str">
        <f>IFERROR(__xludf.DUMMYFUNCTION("""COMPUTED_VALUE"""),"dcwatch_hk")</f>
        <v>dcwatch_hk</v>
      </c>
    </row>
    <row r="4034">
      <c r="A4034" s="8" t="str">
        <f>IFERROR(__xludf.DUMMYFUNCTION("""COMPUTED_VALUE"""),"ones_vintageluxury")</f>
        <v>ones_vintageluxury</v>
      </c>
    </row>
    <row r="4035">
      <c r="A4035" s="8" t="str">
        <f>IFERROR(__xludf.DUMMYFUNCTION("""COMPUTED_VALUE"""),"livnshanghai")</f>
        <v>livnshanghai</v>
      </c>
    </row>
    <row r="4036">
      <c r="A4036" s="8" t="str">
        <f>IFERROR(__xludf.DUMMYFUNCTION("""COMPUTED_VALUE"""),"makeupbycacayrkhs")</f>
        <v>makeupbycacayrkhs</v>
      </c>
    </row>
    <row r="4037">
      <c r="A4037" s="8" t="str">
        <f>IFERROR(__xludf.DUMMYFUNCTION("""COMPUTED_VALUE"""),"megumisofficial")</f>
        <v>megumisofficial</v>
      </c>
    </row>
    <row r="4038">
      <c r="A4038" s="8" t="str">
        <f>IFERROR(__xludf.DUMMYFUNCTION("""COMPUTED_VALUE"""),"vittorosaka")</f>
        <v>vittorosaka</v>
      </c>
    </row>
    <row r="4039">
      <c r="A4039" s="8" t="str">
        <f>IFERROR(__xludf.DUMMYFUNCTION("""COMPUTED_VALUE"""),"modachina002")</f>
        <v>modachina002</v>
      </c>
    </row>
    <row r="4040">
      <c r="A4040" s="8" t="str">
        <f>IFERROR(__xludf.DUMMYFUNCTION("""COMPUTED_VALUE"""),"shanghai.moda")</f>
        <v>shanghai.moda</v>
      </c>
    </row>
    <row r="4041">
      <c r="A4041" s="8" t="str">
        <f>IFERROR(__xludf.DUMMYFUNCTION("""COMPUTED_VALUE"""),"ootd_seoul_official")</f>
        <v>ootd_seoul_official</v>
      </c>
    </row>
    <row r="4042">
      <c r="A4042" s="8" t="str">
        <f>IFERROR(__xludf.DUMMYFUNCTION("""COMPUTED_VALUE"""),"red_as_arose")</f>
        <v>red_as_arose</v>
      </c>
    </row>
    <row r="4043">
      <c r="A4043" s="8" t="str">
        <f>IFERROR(__xludf.DUMMYFUNCTION("""COMPUTED_VALUE"""),"charmeperfumesmarilia")</f>
        <v>charmeperfumesmarilia</v>
      </c>
    </row>
    <row r="4044">
      <c r="A4044" s="8" t="str">
        <f>IFERROR(__xludf.DUMMYFUNCTION("""COMPUTED_VALUE"""),"pretti5_hk")</f>
        <v>pretti5_hk</v>
      </c>
    </row>
    <row r="4045">
      <c r="A4045" s="8" t="str">
        <f>IFERROR(__xludf.DUMMYFUNCTION("""COMPUTED_VALUE"""),"nabwork")</f>
        <v>nabwork</v>
      </c>
    </row>
    <row r="4046">
      <c r="A4046" s="8" t="str">
        <f>IFERROR(__xludf.DUMMYFUNCTION("""COMPUTED_VALUE"""),"wear43way")</f>
        <v>wear43way</v>
      </c>
    </row>
    <row r="4047">
      <c r="A4047" s="8" t="str">
        <f>IFERROR(__xludf.DUMMYFUNCTION("""COMPUTED_VALUE"""),"sneakersnstuff.tokyo")</f>
        <v>sneakersnstuff.tokyo</v>
      </c>
    </row>
    <row r="4048">
      <c r="A4048" s="8" t="str">
        <f>IFERROR(__xludf.DUMMYFUNCTION("""COMPUTED_VALUE"""),"kong_streetwear")</f>
        <v>kong_streetwear</v>
      </c>
    </row>
    <row r="4049">
      <c r="A4049" s="8" t="str">
        <f>IFERROR(__xludf.DUMMYFUNCTION("""COMPUTED_VALUE"""),"tradepoint")</f>
        <v>tradepoint</v>
      </c>
    </row>
    <row r="4050">
      <c r="A4050" s="8" t="str">
        <f>IFERROR(__xludf.DUMMYFUNCTION("""COMPUTED_VALUE"""),"asianangel_hk")</f>
        <v>asianangel_hk</v>
      </c>
    </row>
    <row r="4051">
      <c r="A4051" s="8" t="str">
        <f>IFERROR(__xludf.DUMMYFUNCTION("""COMPUTED_VALUE"""),"seoulthrift_ph")</f>
        <v>seoulthrift_ph</v>
      </c>
    </row>
    <row r="4052">
      <c r="A4052" s="8" t="str">
        <f>IFERROR(__xludf.DUMMYFUNCTION("""COMPUTED_VALUE"""),"tokyofoxtrot")</f>
        <v>tokyofoxtrot</v>
      </c>
    </row>
    <row r="4053">
      <c r="A4053" s="8" t="str">
        <f>IFERROR(__xludf.DUMMYFUNCTION("""COMPUTED_VALUE"""),"bangkokbootery.accessories")</f>
        <v>bangkokbootery.accessories</v>
      </c>
    </row>
    <row r="4054">
      <c r="A4054" s="8" t="str">
        <f>IFERROR(__xludf.DUMMYFUNCTION("""COMPUTED_VALUE"""),"gw.bangkok.accessories")</f>
        <v>gw.bangkok.accessories</v>
      </c>
    </row>
    <row r="4055">
      <c r="A4055" s="8" t="str">
        <f>IFERROR(__xludf.DUMMYFUNCTION("""COMPUTED_VALUE"""),"leris.bangkok")</f>
        <v>leris.bangkok</v>
      </c>
    </row>
    <row r="4056">
      <c r="A4056" s="8" t="str">
        <f>IFERROR(__xludf.DUMMYFUNCTION("""COMPUTED_VALUE"""),"napbangkok")</f>
        <v>napbangkok</v>
      </c>
    </row>
    <row r="4057">
      <c r="A4057" s="8" t="str">
        <f>IFERROR(__xludf.DUMMYFUNCTION("""COMPUTED_VALUE"""),"wish_bangkok")</f>
        <v>wish_bangkok</v>
      </c>
    </row>
    <row r="4058">
      <c r="A4058" s="8" t="str">
        <f>IFERROR(__xludf.DUMMYFUNCTION("""COMPUTED_VALUE"""),"jakarta_camera")</f>
        <v>jakarta_camera</v>
      </c>
    </row>
    <row r="4059">
      <c r="A4059" s="8" t="str">
        <f>IFERROR(__xludf.DUMMYFUNCTION("""COMPUTED_VALUE"""),"a2z_car_accessories")</f>
        <v>a2z_car_accessories</v>
      </c>
    </row>
    <row r="4060">
      <c r="A4060" s="8" t="str">
        <f>IFERROR(__xludf.DUMMYFUNCTION("""COMPUTED_VALUE"""),"ladynjewelry")</f>
        <v>ladynjewelry</v>
      </c>
    </row>
    <row r="4061">
      <c r="A4061" s="8" t="str">
        <f>IFERROR(__xludf.DUMMYFUNCTION("""COMPUTED_VALUE"""),"gclub_bangkok")</f>
        <v>gclub_bangkok</v>
      </c>
    </row>
    <row r="4062">
      <c r="A4062" s="8" t="str">
        <f>IFERROR(__xludf.DUMMYFUNCTION("""COMPUTED_VALUE"""),"lil_maxz")</f>
        <v>lil_maxz</v>
      </c>
    </row>
    <row r="4063">
      <c r="A4063" s="8" t="str">
        <f>IFERROR(__xludf.DUMMYFUNCTION("""COMPUTED_VALUE"""),"amaltheakezia")</f>
        <v>amaltheakezia</v>
      </c>
    </row>
    <row r="4064">
      <c r="A4064" s="8" t="str">
        <f>IFERROR(__xludf.DUMMYFUNCTION("""COMPUTED_VALUE"""),"orchardroadfashion")</f>
        <v>orchardroadfashion</v>
      </c>
    </row>
    <row r="4065">
      <c r="A4065" s="8" t="str">
        <f>IFERROR(__xludf.DUMMYFUNCTION("""COMPUTED_VALUE"""),"turbocar.bkk")</f>
        <v>turbocar.bkk</v>
      </c>
    </row>
    <row r="4066">
      <c r="A4066" s="11" t="str">
        <f>IFERROR(__xludf.DUMMYFUNCTION("""COMPUTED_VALUE"""),"hunterskeepers.id")</f>
        <v>hunterskeepers.id</v>
      </c>
    </row>
    <row r="4067">
      <c r="A4067" s="8" t="str">
        <f>IFERROR(__xludf.DUMMYFUNCTION("""COMPUTED_VALUE"""),"luxurybus.jakarta")</f>
        <v>luxurybus.jakarta</v>
      </c>
    </row>
    <row r="4068">
      <c r="A4068" s="8" t="str">
        <f>IFERROR(__xludf.DUMMYFUNCTION("""COMPUTED_VALUE"""),"luxuryinkjakarta")</f>
        <v>luxuryinkjakarta</v>
      </c>
    </row>
    <row r="4069">
      <c r="A4069" s="8" t="str">
        <f>IFERROR(__xludf.DUMMYFUNCTION("""COMPUTED_VALUE"""),"luxuryphonestore.jakarta")</f>
        <v>luxuryphonestore.jakarta</v>
      </c>
    </row>
    <row r="4070">
      <c r="A4070" s="8" t="str">
        <f>IFERROR(__xludf.DUMMYFUNCTION("""COMPUTED_VALUE"""),"theluckyjewerly")</f>
        <v>theluckyjewerly</v>
      </c>
    </row>
    <row r="4071">
      <c r="A4071" s="8" t="str">
        <f>IFERROR(__xludf.DUMMYFUNCTION("""COMPUTED_VALUE"""),"luxurycarsmanila")</f>
        <v>luxurycarsmanila</v>
      </c>
    </row>
    <row r="4072">
      <c r="A4072" s="8" t="str">
        <f>IFERROR(__xludf.DUMMYFUNCTION("""COMPUTED_VALUE"""),"luxurymanila_yannyph")</f>
        <v>luxurymanila_yannyph</v>
      </c>
    </row>
    <row r="4073">
      <c r="A4073" s="8" t="str">
        <f>IFERROR(__xludf.DUMMYFUNCTION("""COMPUTED_VALUE"""),"convoy_india")</f>
        <v>convoy_india</v>
      </c>
    </row>
    <row r="4074">
      <c r="A4074" s="8" t="str">
        <f>IFERROR(__xludf.DUMMYFUNCTION("""COMPUTED_VALUE"""),"luxurybyayaan")</f>
        <v>luxurybyayaan</v>
      </c>
    </row>
    <row r="4075">
      <c r="A4075" s="8" t="str">
        <f>IFERROR(__xludf.DUMMYFUNCTION("""COMPUTED_VALUE"""),"mumbai_magazine")</f>
        <v>mumbai_magazine</v>
      </c>
    </row>
    <row r="4076">
      <c r="A4076" s="8" t="str">
        <f>IFERROR(__xludf.DUMMYFUNCTION("""COMPUTED_VALUE"""),"luxuryevermore")</f>
        <v>luxuryevermore</v>
      </c>
    </row>
    <row r="4077">
      <c r="A4077" s="8" t="str">
        <f>IFERROR(__xludf.DUMMYFUNCTION("""COMPUTED_VALUE"""),"singaporeshopping23")</f>
        <v>singaporeshopping23</v>
      </c>
    </row>
    <row r="4078">
      <c r="A4078" s="8" t="str">
        <f>IFERROR(__xludf.DUMMYFUNCTION("""COMPUTED_VALUE"""),"vs_makeupstudio")</f>
        <v>vs_makeupstudio</v>
      </c>
    </row>
    <row r="4079">
      <c r="A4079" s="8" t="str">
        <f>IFERROR(__xludf.DUMMYFUNCTION("""COMPUTED_VALUE"""),"make_up_with_kashmira")</f>
        <v>make_up_with_kashmira</v>
      </c>
    </row>
    <row r="4080">
      <c r="A4080" s="8" t="str">
        <f>IFERROR(__xludf.DUMMYFUNCTION("""COMPUTED_VALUE"""),"makeupby.stella")</f>
        <v>makeupby.stella</v>
      </c>
    </row>
    <row r="4081">
      <c r="A4081" s="8" t="str">
        <f>IFERROR(__xludf.DUMMYFUNCTION("""COMPUTED_VALUE"""),"tehademakeup")</f>
        <v>tehademakeup</v>
      </c>
    </row>
    <row r="4082">
      <c r="A4082" s="8" t="str">
        <f>IFERROR(__xludf.DUMMYFUNCTION("""COMPUTED_VALUE"""),"tinamakeup79")</f>
        <v>tinamakeup79</v>
      </c>
    </row>
    <row r="4083">
      <c r="A4083" s="8" t="str">
        <f>IFERROR(__xludf.DUMMYFUNCTION("""COMPUTED_VALUE"""),"makeoverbypritiii")</f>
        <v>makeoverbypritiii</v>
      </c>
    </row>
    <row r="4084">
      <c r="A4084" s="8" t="str">
        <f>IFERROR(__xludf.DUMMYFUNCTION("""COMPUTED_VALUE"""),"makeupbyfaizamomin")</f>
        <v>makeupbyfaizamomin</v>
      </c>
    </row>
    <row r="4085">
      <c r="A4085" s="8" t="str">
        <f>IFERROR(__xludf.DUMMYFUNCTION("""COMPUTED_VALUE"""),"makeupbygincy")</f>
        <v>makeupbygincy</v>
      </c>
    </row>
    <row r="4086">
      <c r="A4086" s="8" t="str">
        <f>IFERROR(__xludf.DUMMYFUNCTION("""COMPUTED_VALUE"""),"makeupbykinnari")</f>
        <v>makeupbykinnari</v>
      </c>
    </row>
    <row r="4087">
      <c r="A4087" s="8" t="str">
        <f>IFERROR(__xludf.DUMMYFUNCTION("""COMPUTED_VALUE"""),"makeupbymausam")</f>
        <v>makeupbymausam</v>
      </c>
    </row>
    <row r="4088">
      <c r="A4088" s="8" t="str">
        <f>IFERROR(__xludf.DUMMYFUNCTION("""COMPUTED_VALUE"""),"makeupby_tanvichitalia")</f>
        <v>makeupby_tanvichitalia</v>
      </c>
    </row>
    <row r="4089">
      <c r="A4089" s="8" t="str">
        <f>IFERROR(__xludf.DUMMYFUNCTION("""COMPUTED_VALUE"""),"makeupmumbai")</f>
        <v>makeupmumbai</v>
      </c>
    </row>
    <row r="4090">
      <c r="A4090" s="8" t="str">
        <f>IFERROR(__xludf.DUMMYFUNCTION("""COMPUTED_VALUE"""),"ladyyclairemakeup")</f>
        <v>ladyyclairemakeup</v>
      </c>
    </row>
    <row r="4091">
      <c r="A4091" s="8" t="str">
        <f>IFERROR(__xludf.DUMMYFUNCTION("""COMPUTED_VALUE"""),"make_up_with_kashmira")</f>
        <v>make_up_with_kashmira</v>
      </c>
    </row>
    <row r="4092">
      <c r="A4092" s="8" t="str">
        <f>IFERROR(__xludf.DUMMYFUNCTION("""COMPUTED_VALUE"""),"onlyfittingmanila")</f>
        <v>onlyfittingmanila</v>
      </c>
    </row>
    <row r="4093">
      <c r="A4093" s="8" t="str">
        <f>IFERROR(__xludf.DUMMYFUNCTION("""COMPUTED_VALUE"""),"primaczar")</f>
        <v>primaczar</v>
      </c>
    </row>
    <row r="4094">
      <c r="A4094" s="11" t="str">
        <f>IFERROR(__xludf.DUMMYFUNCTION("""COMPUTED_VALUE"""),"thebigcloset.in")</f>
        <v>thebigcloset.in</v>
      </c>
    </row>
    <row r="4095">
      <c r="A4095" s="8" t="str">
        <f>IFERROR(__xludf.DUMMYFUNCTION("""COMPUTED_VALUE"""),"jualmodalbangkok")</f>
        <v>jualmodalbangkok</v>
      </c>
    </row>
    <row r="4096">
      <c r="A4096" s="8" t="str">
        <f>IFERROR(__xludf.DUMMYFUNCTION("""COMPUTED_VALUE"""),"istana_mode_jakarta")</f>
        <v>istana_mode_jakarta</v>
      </c>
    </row>
    <row r="4097">
      <c r="A4097" s="8" t="str">
        <f>IFERROR(__xludf.DUMMYFUNCTION("""COMPUTED_VALUE"""),"manilasansebastian")</f>
        <v>manilasansebastian</v>
      </c>
    </row>
    <row r="4098">
      <c r="A4098" s="8" t="str">
        <f>IFERROR(__xludf.DUMMYFUNCTION("""COMPUTED_VALUE"""),"modan_hwa")</f>
        <v>modan_hwa</v>
      </c>
    </row>
    <row r="4099">
      <c r="A4099" s="8" t="str">
        <f>IFERROR(__xludf.DUMMYFUNCTION("""COMPUTED_VALUE"""),"nailattitude")</f>
        <v>nailattitude</v>
      </c>
    </row>
    <row r="4100">
      <c r="A4100" s="8" t="str">
        <f>IFERROR(__xludf.DUMMYFUNCTION("""COMPUTED_VALUE"""),"clawsbyizui")</f>
        <v>clawsbyizui</v>
      </c>
    </row>
    <row r="4101">
      <c r="A4101" s="8" t="str">
        <f>IFERROR(__xludf.DUMMYFUNCTION("""COMPUTED_VALUE"""),"beauty_by_herbs_mumbai")</f>
        <v>beauty_by_herbs_mumbai</v>
      </c>
    </row>
    <row r="4102">
      <c r="A4102" s="8" t="str">
        <f>IFERROR(__xludf.DUMMYFUNCTION("""COMPUTED_VALUE"""),"sargamnaturalbeauty")</f>
        <v>sargamnaturalbeauty</v>
      </c>
    </row>
    <row r="4103">
      <c r="A4103" s="8" t="str">
        <f>IFERROR(__xludf.DUMMYFUNCTION("""COMPUTED_VALUE"""),"dinshoplatinum")</f>
        <v>dinshoplatinum</v>
      </c>
    </row>
    <row r="4104">
      <c r="A4104" s="8" t="str">
        <f>IFERROR(__xludf.DUMMYFUNCTION("""COMPUTED_VALUE"""),"goperfume.jakartaofficial")</f>
        <v>goperfume.jakartaofficial</v>
      </c>
    </row>
    <row r="4105">
      <c r="A4105" s="8" t="str">
        <f>IFERROR(__xludf.DUMMYFUNCTION("""COMPUTED_VALUE"""),"moira.workshop")</f>
        <v>moira.workshop</v>
      </c>
    </row>
    <row r="4106">
      <c r="A4106" s="8" t="str">
        <f>IFERROR(__xludf.DUMMYFUNCTION("""COMPUTED_VALUE"""),"mydaily_sheetmask")</f>
        <v>mydaily_sheetmask</v>
      </c>
    </row>
    <row r="4107">
      <c r="A4107" s="8" t="str">
        <f>IFERROR(__xludf.DUMMYFUNCTION("""COMPUTED_VALUE"""),"christloveshop")</f>
        <v>christloveshop</v>
      </c>
    </row>
    <row r="4108">
      <c r="A4108" s="8" t="str">
        <f>IFERROR(__xludf.DUMMYFUNCTION("""COMPUTED_VALUE"""),"drw.skincare.jakarta")</f>
        <v>drw.skincare.jakarta</v>
      </c>
    </row>
    <row r="4109">
      <c r="A4109" s="8" t="str">
        <f>IFERROR(__xludf.DUMMYFUNCTION("""COMPUTED_VALUE"""),"mytabitaglow_28")</f>
        <v>mytabitaglow_28</v>
      </c>
    </row>
    <row r="4110">
      <c r="A4110" s="8" t="str">
        <f>IFERROR(__xludf.DUMMYFUNCTION("""COMPUTED_VALUE"""),"manila.rezaeiyan.skincare")</f>
        <v>manila.rezaeiyan.skincare</v>
      </c>
    </row>
    <row r="4111">
      <c r="A4111" s="11" t="str">
        <f>IFERROR(__xludf.DUMMYFUNCTION("""COMPUTED_VALUE"""),"skincarebudmnl.ph")</f>
        <v>skincarebudmnl.ph</v>
      </c>
    </row>
    <row r="4112">
      <c r="A4112" s="8" t="str">
        <f>IFERROR(__xludf.DUMMYFUNCTION("""COMPUTED_VALUE"""),"arigato.bkk")</f>
        <v>arigato.bkk</v>
      </c>
    </row>
    <row r="4113">
      <c r="A4113" s="8" t="str">
        <f>IFERROR(__xludf.DUMMYFUNCTION("""COMPUTED_VALUE"""),"sepatu_sneakers_jakarta")</f>
        <v>sepatu_sneakers_jakarta</v>
      </c>
    </row>
    <row r="4114">
      <c r="A4114" s="8" t="str">
        <f>IFERROR(__xludf.DUMMYFUNCTION("""COMPUTED_VALUE"""),"syazasneakers")</f>
        <v>syazasneakers</v>
      </c>
    </row>
    <row r="4115">
      <c r="A4115" s="8" t="str">
        <f>IFERROR(__xludf.DUMMYFUNCTION("""COMPUTED_VALUE"""),"hellotinycami")</f>
        <v>hellotinycami</v>
      </c>
    </row>
    <row r="4116">
      <c r="A4116" s="8" t="str">
        <f>IFERROR(__xludf.DUMMYFUNCTION("""COMPUTED_VALUE"""),"momandkidsneakersanak")</f>
        <v>momandkidsneakersanak</v>
      </c>
    </row>
    <row r="4117">
      <c r="A4117" s="8" t="str">
        <f>IFERROR(__xludf.DUMMYFUNCTION("""COMPUTED_VALUE"""),"streetstyle_singapore")</f>
        <v>streetstyle_singapore</v>
      </c>
    </row>
    <row r="4118">
      <c r="A4118" s="8" t="str">
        <f>IFERROR(__xludf.DUMMYFUNCTION("""COMPUTED_VALUE"""),"solejakarta")</f>
        <v>solejakarta</v>
      </c>
    </row>
    <row r="4119">
      <c r="A4119" s="8" t="str">
        <f>IFERROR(__xludf.DUMMYFUNCTION("""COMPUTED_VALUE"""),"manilasneakerexpo")</f>
        <v>manilasneakerexpo</v>
      </c>
    </row>
    <row r="4120">
      <c r="A4120" s="8" t="str">
        <f>IFERROR(__xludf.DUMMYFUNCTION("""COMPUTED_VALUE"""),"fanfarelabel")</f>
        <v>fanfarelabel</v>
      </c>
    </row>
    <row r="4121">
      <c r="A4121" s="11" t="str">
        <f>IFERROR(__xludf.DUMMYFUNCTION("""COMPUTED_VALUE"""),"ourcommonplace.co")</f>
        <v>ourcommonplace.co</v>
      </c>
    </row>
    <row r="4122">
      <c r="A4122" s="8" t="str">
        <f>IFERROR(__xludf.DUMMYFUNCTION("""COMPUTED_VALUE"""),"sustainablefashionmatterz")</f>
        <v>sustainablefashionmatterz</v>
      </c>
    </row>
    <row r="4123">
      <c r="A4123" s="8" t="str">
        <f>IFERROR(__xludf.DUMMYFUNCTION("""COMPUTED_VALUE"""),"gallerycantik_medan")</f>
        <v>gallerycantik_medan</v>
      </c>
    </row>
    <row r="4124">
      <c r="A4124" s="8" t="str">
        <f>IFERROR(__xludf.DUMMYFUNCTION("""COMPUTED_VALUE"""),"reuse.able")</f>
        <v>reuse.able</v>
      </c>
    </row>
    <row r="4125">
      <c r="A4125" s="8" t="str">
        <f>IFERROR(__xludf.DUMMYFUNCTION("""COMPUTED_VALUE"""),"thriftermanila")</f>
        <v>thriftermanila</v>
      </c>
    </row>
    <row r="4126">
      <c r="A4126" s="8" t="str">
        <f>IFERROR(__xludf.DUMMYFUNCTION("""COMPUTED_VALUE"""),"hdsfashionbranded")</f>
        <v>hdsfashionbranded</v>
      </c>
    </row>
    <row r="4127">
      <c r="A4127" s="11" t="str">
        <f>IFERROR(__xludf.DUMMYFUNCTION("""COMPUTED_VALUE"""),"thebigcloset.in")</f>
        <v>thebigcloset.in</v>
      </c>
    </row>
    <row r="4128">
      <c r="A4128" s="8" t="str">
        <f>IFERROR(__xludf.DUMMYFUNCTION("""COMPUTED_VALUE"""),"cc_car_accessories")</f>
        <v>cc_car_accessories</v>
      </c>
    </row>
    <row r="4129">
      <c r="A4129" s="8" t="str">
        <f>IFERROR(__xludf.DUMMYFUNCTION("""COMPUTED_VALUE"""),"babymelbourneclothing")</f>
        <v>babymelbourneclothing</v>
      </c>
    </row>
    <row r="4130">
      <c r="A4130" s="8" t="str">
        <f>IFERROR(__xludf.DUMMYFUNCTION("""COMPUTED_VALUE"""),"lowbrazilmotors_oficial")</f>
        <v>lowbrazilmotors_oficial</v>
      </c>
    </row>
    <row r="4131">
      <c r="A4131" s="8" t="str">
        <f>IFERROR(__xludf.DUMMYFUNCTION("""COMPUTED_VALUE"""),"sydney_accessoriesh")</f>
        <v>sydney_accessoriesh</v>
      </c>
    </row>
    <row r="4132">
      <c r="A4132" s="8" t="str">
        <f>IFERROR(__xludf.DUMMYFUNCTION("""COMPUTED_VALUE"""),"bercutbarbershop")</f>
        <v>bercutbarbershop</v>
      </c>
    </row>
    <row r="4133">
      <c r="A4133" s="8" t="str">
        <f>IFERROR(__xludf.DUMMYFUNCTION("""COMPUTED_VALUE"""),"blissbarberbali")</f>
        <v>blissbarberbali</v>
      </c>
    </row>
    <row r="4134">
      <c r="A4134" s="8" t="str">
        <f>IFERROR(__xludf.DUMMYFUNCTION("""COMPUTED_VALUE"""),"terasrumahbarber")</f>
        <v>terasrumahbarber</v>
      </c>
    </row>
    <row r="4135">
      <c r="A4135" s="8" t="str">
        <f>IFERROR(__xludf.DUMMYFUNCTION("""COMPUTED_VALUE"""),"empirebarbershopau")</f>
        <v>empirebarbershopau</v>
      </c>
    </row>
    <row r="4136">
      <c r="A4136" s="8" t="str">
        <f>IFERROR(__xludf.DUMMYFUNCTION("""COMPUTED_VALUE"""),"itssydneylynn")</f>
        <v>itssydneylynn</v>
      </c>
    </row>
    <row r="4137">
      <c r="A4137" s="8" t="str">
        <f>IFERROR(__xludf.DUMMYFUNCTION("""COMPUTED_VALUE"""),"mouseybrowne")</f>
        <v>mouseybrowne</v>
      </c>
    </row>
    <row r="4138">
      <c r="A4138" s="8" t="str">
        <f>IFERROR(__xludf.DUMMYFUNCTION("""COMPUTED_VALUE"""),"dahliasalonbali")</f>
        <v>dahliasalonbali</v>
      </c>
    </row>
    <row r="4139">
      <c r="A4139" s="8" t="str">
        <f>IFERROR(__xludf.DUMMYFUNCTION("""COMPUTED_VALUE"""),"hair_by_mishel")</f>
        <v>hair_by_mishel</v>
      </c>
    </row>
    <row r="4140">
      <c r="A4140" s="8" t="str">
        <f>IFERROR(__xludf.DUMMYFUNCTION("""COMPUTED_VALUE"""),"panachehautecouture")</f>
        <v>panachehautecouture</v>
      </c>
    </row>
    <row r="4141">
      <c r="A4141" s="8" t="str">
        <f>IFERROR(__xludf.DUMMYFUNCTION("""COMPUTED_VALUE"""),"luxurybali1")</f>
        <v>luxurybali1</v>
      </c>
    </row>
    <row r="4142">
      <c r="A4142" s="8" t="str">
        <f>IFERROR(__xludf.DUMMYFUNCTION("""COMPUTED_VALUE"""),"luxuryinkbali")</f>
        <v>luxuryinkbali</v>
      </c>
    </row>
    <row r="4143">
      <c r="A4143" s="8" t="str">
        <f>IFERROR(__xludf.DUMMYFUNCTION("""COMPUTED_VALUE"""),"luxuryvillabali")</f>
        <v>luxuryvillabali</v>
      </c>
    </row>
    <row r="4144">
      <c r="A4144" s="8" t="str">
        <f>IFERROR(__xludf.DUMMYFUNCTION("""COMPUTED_VALUE"""),"nouruluwatu")</f>
        <v>nouruluwatu</v>
      </c>
    </row>
    <row r="4145">
      <c r="A4145" s="8" t="str">
        <f>IFERROR(__xludf.DUMMYFUNCTION("""COMPUTED_VALUE"""),"rentalgacorbali")</f>
        <v>rentalgacorbali</v>
      </c>
    </row>
    <row r="4146">
      <c r="A4146" s="8" t="str">
        <f>IFERROR(__xludf.DUMMYFUNCTION("""COMPUTED_VALUE"""),"theluxurybali")</f>
        <v>theluxurybali</v>
      </c>
    </row>
    <row r="4147">
      <c r="A4147" s="8" t="str">
        <f>IFERROR(__xludf.DUMMYFUNCTION("""COMPUTED_VALUE"""),"ulamanbali")</f>
        <v>ulamanbali</v>
      </c>
    </row>
    <row r="4148">
      <c r="A4148" s="8" t="str">
        <f>IFERROR(__xludf.DUMMYFUNCTION("""COMPUTED_VALUE"""),"villa.luxury.bali")</f>
        <v>villa.luxury.bali</v>
      </c>
    </row>
    <row r="4149">
      <c r="A4149" s="8" t="str">
        <f>IFERROR(__xludf.DUMMYFUNCTION("""COMPUTED_VALUE"""),"delhi_luxury_hub")</f>
        <v>delhi_luxury_hub</v>
      </c>
    </row>
    <row r="4150">
      <c r="A4150" s="8" t="str">
        <f>IFERROR(__xludf.DUMMYFUNCTION("""COMPUTED_VALUE"""),"luxurybyroop")</f>
        <v>luxurybyroop</v>
      </c>
    </row>
    <row r="4151">
      <c r="A4151" s="8" t="str">
        <f>IFERROR(__xludf.DUMMYFUNCTION("""COMPUTED_VALUE"""),"luxurypropertiesdelhi")</f>
        <v>luxurypropertiesdelhi</v>
      </c>
    </row>
    <row r="4152">
      <c r="A4152" s="11" t="str">
        <f>IFERROR(__xludf.DUMMYFUNCTION("""COMPUTED_VALUE"""),"grazewithlove.co")</f>
        <v>grazewithlove.co</v>
      </c>
    </row>
    <row r="4153">
      <c r="A4153" s="8" t="str">
        <f>IFERROR(__xludf.DUMMYFUNCTION("""COMPUTED_VALUE"""),"luxecoutureevents")</f>
        <v>luxecoutureevents</v>
      </c>
    </row>
    <row r="4154">
      <c r="A4154" s="8" t="str">
        <f>IFERROR(__xludf.DUMMYFUNCTION("""COMPUTED_VALUE"""),"lavish_platters")</f>
        <v>lavish_platters</v>
      </c>
    </row>
    <row r="4155">
      <c r="A4155" s="8" t="str">
        <f>IFERROR(__xludf.DUMMYFUNCTION("""COMPUTED_VALUE"""),"luxury.picnic.events")</f>
        <v>luxury.picnic.events</v>
      </c>
    </row>
    <row r="4156">
      <c r="A4156" s="8" t="str">
        <f>IFERROR(__xludf.DUMMYFUNCTION("""COMPUTED_VALUE"""),"sydneyluxuryhire_")</f>
        <v>sydneyluxuryhire_</v>
      </c>
    </row>
    <row r="4157">
      <c r="A4157" s="8" t="str">
        <f>IFERROR(__xludf.DUMMYFUNCTION("""COMPUTED_VALUE"""),"sita_makeup")</f>
        <v>sita_makeup</v>
      </c>
    </row>
    <row r="4158">
      <c r="A4158" s="8" t="str">
        <f>IFERROR(__xludf.DUMMYFUNCTION("""COMPUTED_VALUE"""),"tirta_harum")</f>
        <v>tirta_harum</v>
      </c>
    </row>
    <row r="4159">
      <c r="A4159" s="8" t="str">
        <f>IFERROR(__xludf.DUMMYFUNCTION("""COMPUTED_VALUE"""),"beautylook_by_naina")</f>
        <v>beautylook_by_naina</v>
      </c>
    </row>
    <row r="4160">
      <c r="A4160" s="8" t="str">
        <f>IFERROR(__xludf.DUMMYFUNCTION("""COMPUTED_VALUE"""),"makeup_artist_bangalore_")</f>
        <v>makeup_artist_bangalore_</v>
      </c>
    </row>
    <row r="4161">
      <c r="A4161" s="8" t="str">
        <f>IFERROR(__xludf.DUMMYFUNCTION("""COMPUTED_VALUE"""),"makeupstudiobyaanuraaja")</f>
        <v>makeupstudiobyaanuraaja</v>
      </c>
    </row>
    <row r="4162">
      <c r="A4162" s="8" t="str">
        <f>IFERROR(__xludf.DUMMYFUNCTION("""COMPUTED_VALUE"""),"delhi.makeup.artist")</f>
        <v>delhi.makeup.artist</v>
      </c>
    </row>
    <row r="4163">
      <c r="A4163" s="8" t="str">
        <f>IFERROR(__xludf.DUMMYFUNCTION("""COMPUTED_VALUE"""),"dolledupbysimran")</f>
        <v>dolledupbysimran</v>
      </c>
    </row>
    <row r="4164">
      <c r="A4164" s="8" t="str">
        <f>IFERROR(__xludf.DUMMYFUNCTION("""COMPUTED_VALUE"""),"makeoverbykanika")</f>
        <v>makeoverbykanika</v>
      </c>
    </row>
    <row r="4165">
      <c r="A4165" s="8" t="str">
        <f>IFERROR(__xludf.DUMMYFUNCTION("""COMPUTED_VALUE"""),"shwetaarora_makeupartistdelhi")</f>
        <v>shwetaarora_makeupartistdelhi</v>
      </c>
    </row>
    <row r="4166">
      <c r="A4166" s="8" t="str">
        <f>IFERROR(__xludf.DUMMYFUNCTION("""COMPUTED_VALUE"""),"abbeyparkemakeup")</f>
        <v>abbeyparkemakeup</v>
      </c>
    </row>
    <row r="4167">
      <c r="A4167" s="8" t="str">
        <f>IFERROR(__xludf.DUMMYFUNCTION("""COMPUTED_VALUE"""),"shagunmakeupartist")</f>
        <v>shagunmakeupartist</v>
      </c>
    </row>
    <row r="4168">
      <c r="A4168" s="8" t="str">
        <f>IFERROR(__xludf.DUMMYFUNCTION("""COMPUTED_VALUE"""),"ds_makeupbali")</f>
        <v>ds_makeupbali</v>
      </c>
    </row>
    <row r="4169">
      <c r="A4169" s="8" t="str">
        <f>IFERROR(__xludf.DUMMYFUNCTION("""COMPUTED_VALUE"""),"beautylook_by_naina")</f>
        <v>beautylook_by_naina</v>
      </c>
    </row>
    <row r="4170">
      <c r="A4170" s="8" t="str">
        <f>IFERROR(__xludf.DUMMYFUNCTION("""COMPUTED_VALUE"""),"bloom_by_nehaa")</f>
        <v>bloom_by_nehaa</v>
      </c>
    </row>
    <row r="4171">
      <c r="A4171" s="8" t="str">
        <f>IFERROR(__xludf.DUMMYFUNCTION("""COMPUTED_VALUE"""),"facesculpturesbyshweta")</f>
        <v>facesculpturesbyshweta</v>
      </c>
    </row>
    <row r="4172">
      <c r="A4172" s="8" t="str">
        <f>IFERROR(__xludf.DUMMYFUNCTION("""COMPUTED_VALUE"""),"makeoverby_bhumikasom")</f>
        <v>makeoverby_bhumikasom</v>
      </c>
    </row>
    <row r="4173">
      <c r="A4173" s="8" t="str">
        <f>IFERROR(__xludf.DUMMYFUNCTION("""COMPUTED_VALUE"""),"makeupstudiobyaanuraaja")</f>
        <v>makeupstudiobyaanuraaja</v>
      </c>
    </row>
    <row r="4174">
      <c r="A4174" s="8" t="str">
        <f>IFERROR(__xludf.DUMMYFUNCTION("""COMPUTED_VALUE"""),"bakeandblushbyneha")</f>
        <v>bakeandblushbyneha</v>
      </c>
    </row>
    <row r="4175">
      <c r="A4175" s="8" t="str">
        <f>IFERROR(__xludf.DUMMYFUNCTION("""COMPUTED_VALUE"""),"khushbudua_makeovers")</f>
        <v>khushbudua_makeovers</v>
      </c>
    </row>
    <row r="4176">
      <c r="A4176" s="8" t="str">
        <f>IFERROR(__xludf.DUMMYFUNCTION("""COMPUTED_VALUE"""),"kryolan.delhi")</f>
        <v>kryolan.delhi</v>
      </c>
    </row>
    <row r="4177">
      <c r="A4177" s="8" t="str">
        <f>IFERROR(__xludf.DUMMYFUNCTION("""COMPUTED_VALUE"""),"makeoversby_vidhiii")</f>
        <v>makeoversby_vidhiii</v>
      </c>
    </row>
    <row r="4178">
      <c r="A4178" s="8" t="str">
        <f>IFERROR(__xludf.DUMMYFUNCTION("""COMPUTED_VALUE"""),"makeupbyrihaabhatia")</f>
        <v>makeupbyrihaabhatia</v>
      </c>
    </row>
    <row r="4179">
      <c r="A4179" s="8" t="str">
        <f>IFERROR(__xludf.DUMMYFUNCTION("""COMPUTED_VALUE"""),"makeupbyvinniekapoor")</f>
        <v>makeupbyvinniekapoor</v>
      </c>
    </row>
    <row r="4180">
      <c r="A4180" s="8" t="str">
        <f>IFERROR(__xludf.DUMMYFUNCTION("""COMPUTED_VALUE"""),"paavnibeauty_")</f>
        <v>paavnibeauty_</v>
      </c>
    </row>
    <row r="4181">
      <c r="A4181" s="8" t="str">
        <f>IFERROR(__xludf.DUMMYFUNCTION("""COMPUTED_VALUE"""),"abbeyparkemakeup")</f>
        <v>abbeyparkemakeup</v>
      </c>
    </row>
    <row r="4182">
      <c r="A4182" s="8" t="str">
        <f>IFERROR(__xludf.DUMMYFUNCTION("""COMPUTED_VALUE"""),"jackcail")</f>
        <v>jackcail</v>
      </c>
    </row>
    <row r="4183">
      <c r="A4183" s="8" t="str">
        <f>IFERROR(__xludf.DUMMYFUNCTION("""COMPUTED_VALUE"""),"makeupartistanastasia")</f>
        <v>makeupartistanastasia</v>
      </c>
    </row>
    <row r="4184">
      <c r="A4184" s="8" t="str">
        <f>IFERROR(__xludf.DUMMYFUNCTION("""COMPUTED_VALUE"""),"merton_muaremi_makeup")</f>
        <v>merton_muaremi_makeup</v>
      </c>
    </row>
    <row r="4185">
      <c r="A4185" s="8" t="str">
        <f>IFERROR(__xludf.DUMMYFUNCTION("""COMPUTED_VALUE"""),"judithsarahmakeup")</f>
        <v>judithsarahmakeup</v>
      </c>
    </row>
    <row r="4186">
      <c r="A4186" s="8" t="str">
        <f>IFERROR(__xludf.DUMMYFUNCTION("""COMPUTED_VALUE"""),"leilasmakeupstudio")</f>
        <v>leilasmakeupstudio</v>
      </c>
    </row>
    <row r="4187">
      <c r="A4187" s="8" t="str">
        <f>IFERROR(__xludf.DUMMYFUNCTION("""COMPUTED_VALUE"""),"makeupbytinaly_sydney")</f>
        <v>makeupbytinaly_sydney</v>
      </c>
    </row>
    <row r="4188">
      <c r="A4188" s="8" t="str">
        <f>IFERROR(__xludf.DUMMYFUNCTION("""COMPUTED_VALUE"""),"balibaris")</f>
        <v>balibaris</v>
      </c>
    </row>
    <row r="4189">
      <c r="A4189" s="8" t="str">
        <f>IFERROR(__xludf.DUMMYFUNCTION("""COMPUTED_VALUE"""),"thefranksland")</f>
        <v>thefranksland</v>
      </c>
    </row>
    <row r="4190">
      <c r="A4190" s="8" t="str">
        <f>IFERROR(__xludf.DUMMYFUNCTION("""COMPUTED_VALUE"""),"salman_collection_delhi")</f>
        <v>salman_collection_delhi</v>
      </c>
    </row>
    <row r="4191">
      <c r="A4191" s="8" t="str">
        <f>IFERROR(__xludf.DUMMYFUNCTION("""COMPUTED_VALUE"""),"suitupdelhi")</f>
        <v>suitupdelhi</v>
      </c>
    </row>
    <row r="4192">
      <c r="A4192" s="8" t="str">
        <f>IFERROR(__xludf.DUMMYFUNCTION("""COMPUTED_VALUE"""),"gezzaseyes")</f>
        <v>gezzaseyes</v>
      </c>
    </row>
    <row r="4193">
      <c r="A4193" s="8" t="str">
        <f>IFERROR(__xludf.DUMMYFUNCTION("""COMPUTED_VALUE"""),"alexbalimoda")</f>
        <v>alexbalimoda</v>
      </c>
    </row>
    <row r="4194">
      <c r="A4194" s="8" t="str">
        <f>IFERROR(__xludf.DUMMYFUNCTION("""COMPUTED_VALUE"""),"balimoda_com")</f>
        <v>balimoda_com</v>
      </c>
    </row>
    <row r="4195">
      <c r="A4195" s="11" t="str">
        <f>IFERROR(__xludf.DUMMYFUNCTION("""COMPUTED_VALUE"""),"looksnaill.id")</f>
        <v>looksnaill.id</v>
      </c>
    </row>
    <row r="4196">
      <c r="A4196" s="8" t="str">
        <f>IFERROR(__xludf.DUMMYFUNCTION("""COMPUTED_VALUE"""),"lesilvir_nails")</f>
        <v>lesilvir_nails</v>
      </c>
    </row>
    <row r="4197">
      <c r="A4197" s="8" t="str">
        <f>IFERROR(__xludf.DUMMYFUNCTION("""COMPUTED_VALUE"""),"linz_nailslux8")</f>
        <v>linz_nailslux8</v>
      </c>
    </row>
    <row r="4198">
      <c r="A4198" s="8" t="str">
        <f>IFERROR(__xludf.DUMMYFUNCTION("""COMPUTED_VALUE"""),"nbjnails_")</f>
        <v>nbjnails_</v>
      </c>
    </row>
    <row r="4199">
      <c r="A4199" s="8" t="str">
        <f>IFERROR(__xludf.DUMMYFUNCTION("""COMPUTED_VALUE"""),"balinaturalbeauty.official")</f>
        <v>balinaturalbeauty.official</v>
      </c>
    </row>
    <row r="4200">
      <c r="A4200" s="8" t="str">
        <f>IFERROR(__xludf.DUMMYFUNCTION("""COMPUTED_VALUE"""),"tsbaliofficial")</f>
        <v>tsbaliofficial</v>
      </c>
    </row>
    <row r="4201">
      <c r="A4201" s="8" t="str">
        <f>IFERROR(__xludf.DUMMYFUNCTION("""COMPUTED_VALUE"""),"gabriela.iid")</f>
        <v>gabriela.iid</v>
      </c>
    </row>
    <row r="4202">
      <c r="A4202" s="8" t="str">
        <f>IFERROR(__xludf.DUMMYFUNCTION("""COMPUTED_VALUE"""),"ootdstylistaa")</f>
        <v>ootdstylistaa</v>
      </c>
    </row>
    <row r="4203">
      <c r="A4203" s="8" t="str">
        <f>IFERROR(__xludf.DUMMYFUNCTION("""COMPUTED_VALUE"""),"amthra.bali")</f>
        <v>amthra.bali</v>
      </c>
    </row>
    <row r="4204">
      <c r="A4204" s="8" t="str">
        <f>IFERROR(__xludf.DUMMYFUNCTION("""COMPUTED_VALUE"""),"balisurfers.perfume")</f>
        <v>balisurfers.perfume</v>
      </c>
    </row>
    <row r="4205">
      <c r="A4205" s="11" t="str">
        <f>IFERROR(__xludf.DUMMYFUNCTION("""COMPUTED_VALUE"""),"fragrancee.co")</f>
        <v>fragrancee.co</v>
      </c>
    </row>
    <row r="4206">
      <c r="A4206" s="8" t="str">
        <f>IFERROR(__xludf.DUMMYFUNCTION("""COMPUTED_VALUE"""),"perfumessydney")</f>
        <v>perfumessydney</v>
      </c>
    </row>
    <row r="4207">
      <c r="A4207" s="8" t="str">
        <f>IFERROR(__xludf.DUMMYFUNCTION("""COMPUTED_VALUE"""),"chancollection_")</f>
        <v>chancollection_</v>
      </c>
    </row>
    <row r="4208">
      <c r="A4208" s="8" t="str">
        <f>IFERROR(__xludf.DUMMYFUNCTION("""COMPUTED_VALUE"""),"yfbeauty_balikpapan")</f>
        <v>yfbeauty_balikpapan</v>
      </c>
    </row>
    <row r="4209">
      <c r="A4209" s="8" t="str">
        <f>IFERROR(__xludf.DUMMYFUNCTION("""COMPUTED_VALUE"""),"darren__emmanuel")</f>
        <v>darren__emmanuel</v>
      </c>
    </row>
    <row r="4210">
      <c r="A4210" s="8" t="str">
        <f>IFERROR(__xludf.DUMMYFUNCTION("""COMPUTED_VALUE"""),"hairmagixsalonhsr")</f>
        <v>hairmagixsalonhsr</v>
      </c>
    </row>
    <row r="4211">
      <c r="A4211" s="8" t="str">
        <f>IFERROR(__xludf.DUMMYFUNCTION("""COMPUTED_VALUE"""),"daisies.and.dawn")</f>
        <v>daisies.and.dawn</v>
      </c>
    </row>
    <row r="4212">
      <c r="A4212" s="8" t="str">
        <f>IFERROR(__xludf.DUMMYFUNCTION("""COMPUTED_VALUE"""),"delhikimommy_skincaremagic")</f>
        <v>delhikimommy_skincaremagic</v>
      </c>
    </row>
    <row r="4213">
      <c r="A4213" s="8" t="str">
        <f>IFERROR(__xludf.DUMMYFUNCTION("""COMPUTED_VALUE"""),"meenakshi_dowerah")</f>
        <v>meenakshi_dowerah</v>
      </c>
    </row>
    <row r="4214">
      <c r="A4214" s="8" t="str">
        <f>IFERROR(__xludf.DUMMYFUNCTION("""COMPUTED_VALUE"""),"sydneygivens_skin")</f>
        <v>sydneygivens_skin</v>
      </c>
    </row>
    <row r="4215">
      <c r="A4215" s="11" t="str">
        <f>IFERROR(__xludf.DUMMYFUNCTION("""COMPUTED_VALUE"""),"dewinst.id")</f>
        <v>dewinst.id</v>
      </c>
    </row>
    <row r="4216">
      <c r="A4216" s="11" t="str">
        <f>IFERROR(__xludf.DUMMYFUNCTION("""COMPUTED_VALUE"""),"gallerysneaker.id")</f>
        <v>gallerysneaker.id</v>
      </c>
    </row>
    <row r="4217">
      <c r="A4217" s="8" t="str">
        <f>IFERROR(__xludf.DUMMYFUNCTION("""COMPUTED_VALUE"""),"sneakerspasydney")</f>
        <v>sneakerspasydney</v>
      </c>
    </row>
    <row r="4218">
      <c r="A4218" s="8" t="str">
        <f>IFERROR(__xludf.DUMMYFUNCTION("""COMPUTED_VALUE"""),"bali.sunnypeople")</f>
        <v>bali.sunnypeople</v>
      </c>
    </row>
    <row r="4219">
      <c r="A4219" s="8" t="str">
        <f>IFERROR(__xludf.DUMMYFUNCTION("""COMPUTED_VALUE"""),"streetstyledelhi")</f>
        <v>streetstyledelhi</v>
      </c>
    </row>
    <row r="4220">
      <c r="A4220" s="8" t="str">
        <f>IFERROR(__xludf.DUMMYFUNCTION("""COMPUTED_VALUE"""),"kutastreetwear")</f>
        <v>kutastreetwear</v>
      </c>
    </row>
    <row r="4221">
      <c r="A4221" s="8" t="str">
        <f>IFERROR(__xludf.DUMMYFUNCTION("""COMPUTED_VALUE"""),"oldman.stuff")</f>
        <v>oldman.stuff</v>
      </c>
    </row>
    <row r="4222">
      <c r="A4222" s="8" t="str">
        <f>IFERROR(__xludf.DUMMYFUNCTION("""COMPUTED_VALUE"""),"preciousproject_co")</f>
        <v>preciousproject_co</v>
      </c>
    </row>
    <row r="4223">
      <c r="A4223" s="8" t="str">
        <f>IFERROR(__xludf.DUMMYFUNCTION("""COMPUTED_VALUE"""),"shineandprettyy")</f>
        <v>shineandprettyy</v>
      </c>
    </row>
    <row r="4224">
      <c r="A4224" s="8" t="str">
        <f>IFERROR(__xludf.DUMMYFUNCTION("""COMPUTED_VALUE"""),"zen.idd")</f>
        <v>zen.idd</v>
      </c>
    </row>
    <row r="4225">
      <c r="A4225" s="8" t="str">
        <f>IFERROR(__xludf.DUMMYFUNCTION("""COMPUTED_VALUE"""),"thriftersofmelbourne")</f>
        <v>thriftersofmelbourne</v>
      </c>
    </row>
    <row r="4226">
      <c r="A4226" s="8" t="str">
        <f>IFERROR(__xludf.DUMMYFUNCTION("""COMPUTED_VALUE"""),"sydneyodelia")</f>
        <v>sydneyodelia</v>
      </c>
    </row>
    <row r="4227">
      <c r="A4227" s="8" t="str">
        <f>IFERROR(__xludf.DUMMYFUNCTION("""COMPUTED_VALUE"""),"bali_style_wear_store")</f>
        <v>bali_style_wear_store</v>
      </c>
    </row>
    <row r="4228">
      <c r="A4228" s="8" t="str">
        <f>IFERROR(__xludf.DUMMYFUNCTION("""COMPUTED_VALUE"""),"thesaintxsinner")</f>
        <v>thesaintxsinner</v>
      </c>
    </row>
    <row r="4229">
      <c r="A4229" s="8" t="str">
        <f>IFERROR(__xludf.DUMMYFUNCTION("""COMPUTED_VALUE"""),"famous_barbershop_ibiza")</f>
        <v>famous_barbershop_ibiza</v>
      </c>
    </row>
    <row r="4230">
      <c r="A4230" s="8" t="str">
        <f>IFERROR(__xludf.DUMMYFUNCTION("""COMPUTED_VALUE"""),"wedding_makeup_mallorca")</f>
        <v>wedding_makeup_mallorca</v>
      </c>
    </row>
    <row r="4231">
      <c r="A4231" s="8" t="str">
        <f>IFERROR(__xludf.DUMMYFUNCTION("""COMPUTED_VALUE"""),"jozefinaaa")</f>
        <v>jozefinaaa</v>
      </c>
    </row>
    <row r="4232">
      <c r="A4232" s="8" t="str">
        <f>IFERROR(__xludf.DUMMYFUNCTION("""COMPUTED_VALUE"""),"capriluxurybags")</f>
        <v>capriluxurybags</v>
      </c>
    </row>
    <row r="4233">
      <c r="A4233" s="8" t="str">
        <f>IFERROR(__xludf.DUMMYFUNCTION("""COMPUTED_VALUE"""),"capriluxuryflats")</f>
        <v>capriluxuryflats</v>
      </c>
    </row>
    <row r="4234">
      <c r="A4234" s="8" t="str">
        <f>IFERROR(__xludf.DUMMYFUNCTION("""COMPUTED_VALUE"""),"capriluxurytravel")</f>
        <v>capriluxurytravel</v>
      </c>
    </row>
    <row r="4235">
      <c r="A4235" s="8" t="str">
        <f>IFERROR(__xludf.DUMMYFUNCTION("""COMPUTED_VALUE"""),"capri_moments")</f>
        <v>capri_moments</v>
      </c>
    </row>
    <row r="4236">
      <c r="A4236" s="8" t="str">
        <f>IFERROR(__xludf.DUMMYFUNCTION("""COMPUTED_VALUE"""),"luxurylifemallorca")</f>
        <v>luxurylifemallorca</v>
      </c>
    </row>
    <row r="4237">
      <c r="A4237" s="8" t="str">
        <f>IFERROR(__xludf.DUMMYFUNCTION("""COMPUTED_VALUE"""),"millepapillons")</f>
        <v>millepapillons</v>
      </c>
    </row>
    <row r="4238">
      <c r="A4238" s="8" t="str">
        <f>IFERROR(__xludf.DUMMYFUNCTION("""COMPUTED_VALUE"""),"momentsweddingsandevents")</f>
        <v>momentsweddingsandevents</v>
      </c>
    </row>
    <row r="4239">
      <c r="A4239" s="8" t="str">
        <f>IFERROR(__xludf.DUMMYFUNCTION("""COMPUTED_VALUE"""),"pasion_eventos")</f>
        <v>pasion_eventos</v>
      </c>
    </row>
    <row r="4240">
      <c r="A4240" s="8" t="str">
        <f>IFERROR(__xludf.DUMMYFUNCTION("""COMPUTED_VALUE"""),"superluxurymallorca")</f>
        <v>superluxurymallorca</v>
      </c>
    </row>
    <row r="4241">
      <c r="A4241" s="8" t="str">
        <f>IFERROR(__xludf.DUMMYFUNCTION("""COMPUTED_VALUE"""),"luxuryyachtsmykonos")</f>
        <v>luxuryyachtsmykonos</v>
      </c>
    </row>
    <row r="4242">
      <c r="A4242" s="8" t="str">
        <f>IFERROR(__xludf.DUMMYFUNCTION("""COMPUTED_VALUE"""),"mileomykonos")</f>
        <v>mileomykonos</v>
      </c>
    </row>
    <row r="4243">
      <c r="A4243" s="8" t="str">
        <f>IFERROR(__xludf.DUMMYFUNCTION("""COMPUTED_VALUE"""),"mykonos.luxury")</f>
        <v>mykonos.luxury</v>
      </c>
    </row>
    <row r="4244">
      <c r="A4244" s="8" t="str">
        <f>IFERROR(__xludf.DUMMYFUNCTION("""COMPUTED_VALUE"""),"santamarinamykonos")</f>
        <v>santamarinamykonos</v>
      </c>
    </row>
    <row r="4245">
      <c r="A4245" s="8" t="str">
        <f>IFERROR(__xludf.DUMMYFUNCTION("""COMPUTED_VALUE"""),"cilon_suites")</f>
        <v>cilon_suites</v>
      </c>
    </row>
    <row r="4246">
      <c r="A4246" s="8" t="str">
        <f>IFERROR(__xludf.DUMMYFUNCTION("""COMPUTED_VALUE"""),"lecielsantorini")</f>
        <v>lecielsantorini</v>
      </c>
    </row>
    <row r="4247">
      <c r="A4247" s="8" t="str">
        <f>IFERROR(__xludf.DUMMYFUNCTION("""COMPUTED_VALUE"""),"marrymesantorini")</f>
        <v>marrymesantorini</v>
      </c>
    </row>
    <row r="4248">
      <c r="A4248" s="8" t="str">
        <f>IFERROR(__xludf.DUMMYFUNCTION("""COMPUTED_VALUE"""),"saintsantorini")</f>
        <v>saintsantorini</v>
      </c>
    </row>
    <row r="4249">
      <c r="A4249" s="8" t="str">
        <f>IFERROR(__xludf.DUMMYFUNCTION("""COMPUTED_VALUE"""),"santorinikastelliresort")</f>
        <v>santorinikastelliresort</v>
      </c>
    </row>
    <row r="4250">
      <c r="A4250" s="8" t="str">
        <f>IFERROR(__xludf.DUMMYFUNCTION("""COMPUTED_VALUE"""),"santorini.luxury.dress")</f>
        <v>santorini.luxury.dress</v>
      </c>
    </row>
    <row r="4251">
      <c r="A4251" s="8" t="str">
        <f>IFERROR(__xludf.DUMMYFUNCTION("""COMPUTED_VALUE"""),"santorinimotel")</f>
        <v>santorinimotel</v>
      </c>
    </row>
    <row r="4252">
      <c r="A4252" s="8" t="str">
        <f>IFERROR(__xludf.DUMMYFUNCTION("""COMPUTED_VALUE"""),"santoriniskygreece")</f>
        <v>santoriniskygreece</v>
      </c>
    </row>
    <row r="4253">
      <c r="A4253" s="8" t="str">
        <f>IFERROR(__xludf.DUMMYFUNCTION("""COMPUTED_VALUE"""),"luxurylifesicily")</f>
        <v>luxurylifesicily</v>
      </c>
    </row>
    <row r="4254">
      <c r="A4254" s="8" t="str">
        <f>IFERROR(__xludf.DUMMYFUNCTION("""COMPUTED_VALUE"""),"sicilyluxuryvillas")</f>
        <v>sicilyluxuryvillas</v>
      </c>
    </row>
    <row r="4255">
      <c r="A4255" s="8" t="str">
        <f>IFERROR(__xludf.DUMMYFUNCTION("""COMPUTED_VALUE"""),"ksenia_sieg")</f>
        <v>ksenia_sieg</v>
      </c>
    </row>
    <row r="4256">
      <c r="A4256" s="8" t="str">
        <f>IFERROR(__xludf.DUMMYFUNCTION("""COMPUTED_VALUE"""),"santorini.makeup.artist")</f>
        <v>santorini.makeup.artist</v>
      </c>
    </row>
    <row r="4257">
      <c r="A4257" s="8" t="str">
        <f>IFERROR(__xludf.DUMMYFUNCTION("""COMPUTED_VALUE"""),"wedding_makeup_mallorca")</f>
        <v>wedding_makeup_mallorca</v>
      </c>
    </row>
    <row r="4258">
      <c r="A4258" s="8" t="str">
        <f>IFERROR(__xludf.DUMMYFUNCTION("""COMPUTED_VALUE"""),"athena.makeup.santorini")</f>
        <v>athena.makeup.santorini</v>
      </c>
    </row>
    <row r="4259">
      <c r="A4259" s="8" t="str">
        <f>IFERROR(__xludf.DUMMYFUNCTION("""COMPUTED_VALUE"""),"jozefinaaa")</f>
        <v>jozefinaaa</v>
      </c>
    </row>
    <row r="4260">
      <c r="A4260" s="8" t="str">
        <f>IFERROR(__xludf.DUMMYFUNCTION("""COMPUTED_VALUE"""),"juliarta.santo")</f>
        <v>juliarta.santo</v>
      </c>
    </row>
    <row r="4261">
      <c r="A4261" s="8" t="str">
        <f>IFERROR(__xludf.DUMMYFUNCTION("""COMPUTED_VALUE"""),"santorini.makeup.artist")</f>
        <v>santorini.makeup.artist</v>
      </c>
    </row>
    <row r="4262">
      <c r="A4262" s="8" t="str">
        <f>IFERROR(__xludf.DUMMYFUNCTION("""COMPUTED_VALUE"""),"claudia_castiglione_mua")</f>
        <v>claudia_castiglione_mua</v>
      </c>
    </row>
    <row r="4263">
      <c r="A4263" s="8" t="str">
        <f>IFERROR(__xludf.DUMMYFUNCTION("""COMPUTED_VALUE"""),"elisa_calcagni_makeup")</f>
        <v>elisa_calcagni_makeup</v>
      </c>
    </row>
    <row r="4264">
      <c r="A4264" s="8" t="str">
        <f>IFERROR(__xludf.DUMMYFUNCTION("""COMPUTED_VALUE"""),"irinafarfallina")</f>
        <v>irinafarfallina</v>
      </c>
    </row>
    <row r="4265">
      <c r="A4265" s="8" t="str">
        <f>IFERROR(__xludf.DUMMYFUNCTION("""COMPUTED_VALUE"""),"parmamakeovers")</f>
        <v>parmamakeovers</v>
      </c>
    </row>
    <row r="4266">
      <c r="A4266" s="8" t="str">
        <f>IFERROR(__xludf.DUMMYFUNCTION("""COMPUTED_VALUE"""),"santorini_menswear")</f>
        <v>santorini_menswear</v>
      </c>
    </row>
    <row r="4267">
      <c r="A4267" s="8" t="str">
        <f>IFERROR(__xludf.DUMMYFUNCTION("""COMPUTED_VALUE"""),"bohomoda_ibiza")</f>
        <v>bohomoda_ibiza</v>
      </c>
    </row>
    <row r="4268">
      <c r="A4268" s="8" t="str">
        <f>IFERROR(__xludf.DUMMYFUNCTION("""COMPUTED_VALUE"""),"tomodachi.ibiza")</f>
        <v>tomodachi.ibiza</v>
      </c>
    </row>
    <row r="4269">
      <c r="A4269" s="8" t="str">
        <f>IFERROR(__xludf.DUMMYFUNCTION("""COMPUTED_VALUE"""),"cenicientablog")</f>
        <v>cenicientablog</v>
      </c>
    </row>
    <row r="4270">
      <c r="A4270" s="8" t="str">
        <f>IFERROR(__xludf.DUMMYFUNCTION("""COMPUTED_VALUE"""),"nailscapricho.ofc")</f>
        <v>nailscapricho.ofc</v>
      </c>
    </row>
    <row r="4271">
      <c r="A4271" s="8" t="str">
        <f>IFERROR(__xludf.DUMMYFUNCTION("""COMPUTED_VALUE"""),"caprices_dete")</f>
        <v>caprices_dete</v>
      </c>
    </row>
    <row r="4272">
      <c r="A4272" s="8" t="str">
        <f>IFERROR(__xludf.DUMMYFUNCTION("""COMPUTED_VALUE"""),"caprichorosa.skincare")</f>
        <v>caprichorosa.skincare</v>
      </c>
    </row>
    <row r="4273">
      <c r="A4273" s="8" t="str">
        <f>IFERROR(__xludf.DUMMYFUNCTION("""COMPUTED_VALUE"""),"caprichos_makeu")</f>
        <v>caprichos_makeu</v>
      </c>
    </row>
    <row r="4274">
      <c r="A4274" s="11" t="str">
        <f>IFERROR(__xludf.DUMMYFUNCTION("""COMPUTED_VALUE"""),"ourcommonplace.co")</f>
        <v>ourcommonplace.co</v>
      </c>
    </row>
    <row r="4275">
      <c r="A4275" s="8" t="str">
        <f>IFERROR(__xludf.DUMMYFUNCTION("""COMPUTED_VALUE"""),"sustainablefashionmatterz")</f>
        <v>sustainablefashionmatterz</v>
      </c>
    </row>
    <row r="4276">
      <c r="A4276" s="8" t="str">
        <f>IFERROR(__xludf.DUMMYFUNCTION("""COMPUTED_VALUE"""),"barbershopharmonysociety")</f>
        <v>barbershopharmonysociety</v>
      </c>
    </row>
    <row r="4277">
      <c r="A4277" s="8" t="str">
        <f>IFERROR(__xludf.DUMMYFUNCTION("""COMPUTED_VALUE"""),"haraldbarbershop")</f>
        <v>haraldbarbershop</v>
      </c>
    </row>
    <row r="4278">
      <c r="A4278" s="8" t="str">
        <f>IFERROR(__xludf.DUMMYFUNCTION("""COMPUTED_VALUE"""),"samsharbarbershop")</f>
        <v>samsharbarbershop</v>
      </c>
    </row>
    <row r="4279">
      <c r="A4279" s="8" t="str">
        <f>IFERROR(__xludf.DUMMYFUNCTION("""COMPUTED_VALUE"""),"harley_hp")</f>
        <v>harley_hp</v>
      </c>
    </row>
    <row r="4280">
      <c r="A4280" s="8" t="str">
        <f>IFERROR(__xludf.DUMMYFUNCTION("""COMPUTED_VALUE"""),"samanthasbeautyconfessions")</f>
        <v>samanthasbeautyconfessions</v>
      </c>
    </row>
    <row r="4281">
      <c r="A4281" s="8" t="str">
        <f>IFERROR(__xludf.DUMMYFUNCTION("""COMPUTED_VALUE"""),"almeya_poledance")</f>
        <v>almeya_poledance</v>
      </c>
    </row>
    <row r="4282">
      <c r="A4282" s="8" t="str">
        <f>IFERROR(__xludf.DUMMYFUNCTION("""COMPUTED_VALUE"""),"veronika_ti")</f>
        <v>veronika_ti</v>
      </c>
    </row>
    <row r="4283">
      <c r="A4283" s="8" t="str">
        <f>IFERROR(__xludf.DUMMYFUNCTION("""COMPUTED_VALUE"""),"dolce_notte_hotel_st_florent")</f>
        <v>dolce_notte_hotel_st_florent</v>
      </c>
    </row>
    <row r="4284">
      <c r="A4284" s="8" t="str">
        <f>IFERROR(__xludf.DUMMYFUNCTION("""COMPUTED_VALUE"""),"akbrows_reunion")</f>
        <v>akbrows_reunion</v>
      </c>
    </row>
    <row r="4285">
      <c r="A4285" s="8" t="str">
        <f>IFERROR(__xludf.DUMMYFUNCTION("""COMPUTED_VALUE"""),"luxuryesmeralda")</f>
        <v>luxuryesmeralda</v>
      </c>
    </row>
    <row r="4286">
      <c r="A4286" s="8" t="str">
        <f>IFERROR(__xludf.DUMMYFUNCTION("""COMPUTED_VALUE"""),"hasan_harfosh_make_up_artist_")</f>
        <v>hasan_harfosh_make_up_artist_</v>
      </c>
    </row>
    <row r="4287">
      <c r="A4287" s="8" t="str">
        <f>IFERROR(__xludf.DUMMYFUNCTION("""COMPUTED_VALUE"""),"makeupartistlilit")</f>
        <v>makeupartistlilit</v>
      </c>
    </row>
    <row r="4288">
      <c r="A4288" s="8" t="str">
        <f>IFERROR(__xludf.DUMMYFUNCTION("""COMPUTED_VALUE"""),"tirta_harum")</f>
        <v>tirta_harum</v>
      </c>
    </row>
    <row r="4289">
      <c r="A4289" s="8" t="str">
        <f>IFERROR(__xludf.DUMMYFUNCTION("""COMPUTED_VALUE"""),"emily_harper_")</f>
        <v>emily_harper_</v>
      </c>
    </row>
    <row r="4290">
      <c r="A4290" s="8" t="str">
        <f>IFERROR(__xludf.DUMMYFUNCTION("""COMPUTED_VALUE"""),"harmanbeautyy")</f>
        <v>harmanbeautyy</v>
      </c>
    </row>
    <row r="4291">
      <c r="A4291" s="8" t="str">
        <f>IFERROR(__xludf.DUMMYFUNCTION("""COMPUTED_VALUE"""),"hpkaurmakeovers")</f>
        <v>hpkaurmakeovers</v>
      </c>
    </row>
    <row r="4292">
      <c r="A4292" s="8" t="str">
        <f>IFERROR(__xludf.DUMMYFUNCTION("""COMPUTED_VALUE"""),"lola.sharipova.makeup")</f>
        <v>lola.sharipova.makeup</v>
      </c>
    </row>
    <row r="4293">
      <c r="A4293" s="8" t="str">
        <f>IFERROR(__xludf.DUMMYFUNCTION("""COMPUTED_VALUE"""),"makeup_anuw")</f>
        <v>makeup_anuw</v>
      </c>
    </row>
    <row r="4294">
      <c r="A4294" s="8" t="str">
        <f>IFERROR(__xludf.DUMMYFUNCTION("""COMPUTED_VALUE"""),"makeupbyhardik")</f>
        <v>makeupbyhardik</v>
      </c>
    </row>
    <row r="4295">
      <c r="A4295" s="8" t="str">
        <f>IFERROR(__xludf.DUMMYFUNCTION("""COMPUTED_VALUE"""),"makeupbyharika")</f>
        <v>makeupbyharika</v>
      </c>
    </row>
    <row r="4296">
      <c r="A4296" s="8" t="str">
        <f>IFERROR(__xludf.DUMMYFUNCTION("""COMPUTED_VALUE"""),"makeupbyharmandevgun")</f>
        <v>makeupbyharmandevgun</v>
      </c>
    </row>
    <row r="4297">
      <c r="A4297" s="8" t="str">
        <f>IFERROR(__xludf.DUMMYFUNCTION("""COMPUTED_VALUE"""),"makeupbyharmanjatana")</f>
        <v>makeupbyharmanjatana</v>
      </c>
    </row>
    <row r="4298">
      <c r="A4298" s="8" t="str">
        <f>IFERROR(__xludf.DUMMYFUNCTION("""COMPUTED_VALUE"""),"makeupbyharry")</f>
        <v>makeupbyharry</v>
      </c>
    </row>
    <row r="4299">
      <c r="A4299" s="8" t="str">
        <f>IFERROR(__xludf.DUMMYFUNCTION("""COMPUTED_VALUE"""),"makeup_by_harshaa")</f>
        <v>makeup_by_harshaa</v>
      </c>
    </row>
    <row r="4300">
      <c r="A4300" s="8" t="str">
        <f>IFERROR(__xludf.DUMMYFUNCTION("""COMPUTED_VALUE"""),"makeupbymiko7")</f>
        <v>makeupbymiko7</v>
      </c>
    </row>
    <row r="4301">
      <c r="A4301" s="8" t="str">
        <f>IFERROR(__xludf.DUMMYFUNCTION("""COMPUTED_VALUE"""),"makeupbysamanthaharvey")</f>
        <v>makeupbysamanthaharvey</v>
      </c>
    </row>
    <row r="4302">
      <c r="A4302" s="8" t="str">
        <f>IFERROR(__xludf.DUMMYFUNCTION("""COMPUTED_VALUE"""),"makeup.koreanlooks")</f>
        <v>makeup.koreanlooks</v>
      </c>
    </row>
    <row r="4303">
      <c r="A4303" s="8" t="str">
        <f>IFERROR(__xludf.DUMMYFUNCTION("""COMPUTED_VALUE"""),"ashish_rughoobur")</f>
        <v>ashish_rughoobur</v>
      </c>
    </row>
    <row r="4304">
      <c r="A4304" s="8" t="str">
        <f>IFERROR(__xludf.DUMMYFUNCTION("""COMPUTED_VALUE"""),"studio_moda49")</f>
        <v>studio_moda49</v>
      </c>
    </row>
    <row r="4305">
      <c r="A4305" s="8" t="str">
        <f>IFERROR(__xludf.DUMMYFUNCTION("""COMPUTED_VALUE"""),"modacocukhatay")</f>
        <v>modacocukhatay</v>
      </c>
    </row>
    <row r="4306">
      <c r="A4306" s="8" t="str">
        <f>IFERROR(__xludf.DUMMYFUNCTION("""COMPUTED_VALUE"""),"moda_harim")</f>
        <v>moda_harim</v>
      </c>
    </row>
    <row r="4307">
      <c r="A4307" s="8" t="str">
        <f>IFERROR(__xludf.DUMMYFUNCTION("""COMPUTED_VALUE"""),"useharmonikids")</f>
        <v>useharmonikids</v>
      </c>
    </row>
    <row r="4308">
      <c r="A4308" s="8" t="str">
        <f>IFERROR(__xludf.DUMMYFUNCTION("""COMPUTED_VALUE"""),"nailsbymartina2.0")</f>
        <v>nailsbymartina2.0</v>
      </c>
    </row>
    <row r="4309">
      <c r="A4309" s="8" t="str">
        <f>IFERROR(__xludf.DUMMYFUNCTION("""COMPUTED_VALUE"""),"harmonienails")</f>
        <v>harmonienails</v>
      </c>
    </row>
    <row r="4310">
      <c r="A4310" s="8" t="str">
        <f>IFERROR(__xludf.DUMMYFUNCTION("""COMPUTED_VALUE"""),"haruno.nails_")</f>
        <v>haruno.nails_</v>
      </c>
    </row>
    <row r="4311">
      <c r="A4311" s="8" t="str">
        <f>IFERROR(__xludf.DUMMYFUNCTION("""COMPUTED_VALUE"""),"jpn_nails_studio")</f>
        <v>jpn_nails_studio</v>
      </c>
    </row>
    <row r="4312">
      <c r="A4312" s="8" t="str">
        <f>IFERROR(__xludf.DUMMYFUNCTION("""COMPUTED_VALUE"""),"krystalsnails_harpenden_")</f>
        <v>krystalsnails_harpenden_</v>
      </c>
    </row>
    <row r="4313">
      <c r="A4313" s="8" t="str">
        <f>IFERROR(__xludf.DUMMYFUNCTION("""COMPUTED_VALUE"""),"nails_harbor")</f>
        <v>nails_harbor</v>
      </c>
    </row>
    <row r="4314">
      <c r="A4314" s="8" t="str">
        <f>IFERROR(__xludf.DUMMYFUNCTION("""COMPUTED_VALUE"""),"racha_nails_")</f>
        <v>racha_nails_</v>
      </c>
    </row>
    <row r="4315">
      <c r="A4315" s="8" t="str">
        <f>IFERROR(__xludf.DUMMYFUNCTION("""COMPUTED_VALUE"""),"deroses_catalog")</f>
        <v>deroses_catalog</v>
      </c>
    </row>
    <row r="4316">
      <c r="A4316" s="8" t="str">
        <f>IFERROR(__xludf.DUMMYFUNCTION("""COMPUTED_VALUE"""),"__harshie.xx1111__")</f>
        <v>__harshie.xx1111__</v>
      </c>
    </row>
    <row r="4317">
      <c r="A4317" s="8" t="str">
        <f>IFERROR(__xludf.DUMMYFUNCTION("""COMPUTED_VALUE"""),"inspirasiootd_harian")</f>
        <v>inspirasiootd_harian</v>
      </c>
    </row>
    <row r="4318">
      <c r="A4318" s="8" t="str">
        <f>IFERROR(__xludf.DUMMYFUNCTION("""COMPUTED_VALUE"""),"ootdshopnitiww")</f>
        <v>ootdshopnitiww</v>
      </c>
    </row>
    <row r="4319">
      <c r="A4319" s="8" t="str">
        <f>IFERROR(__xludf.DUMMYFUNCTION("""COMPUTED_VALUE"""),"uppa_collection")</f>
        <v>uppa_collection</v>
      </c>
    </row>
    <row r="4320">
      <c r="A4320" s="8" t="str">
        <f>IFERROR(__xludf.DUMMYFUNCTION("""COMPUTED_VALUE"""),"harlemperfumeco")</f>
        <v>harlemperfumeco</v>
      </c>
    </row>
    <row r="4321">
      <c r="A4321" s="8" t="str">
        <f>IFERROR(__xludf.DUMMYFUNCTION("""COMPUTED_VALUE"""),"harmanperfume")</f>
        <v>harmanperfume</v>
      </c>
    </row>
    <row r="4322">
      <c r="A4322" s="8" t="str">
        <f>IFERROR(__xludf.DUMMYFUNCTION("""COMPUTED_VALUE"""),"haryad.perfume")</f>
        <v>haryad.perfume</v>
      </c>
    </row>
    <row r="4323">
      <c r="A4323" s="8" t="str">
        <f>IFERROR(__xludf.DUMMYFUNCTION("""COMPUTED_VALUE"""),"hobb.perfume")</f>
        <v>hobb.perfume</v>
      </c>
    </row>
    <row r="4324">
      <c r="A4324" s="8" t="str">
        <f>IFERROR(__xludf.DUMMYFUNCTION("""COMPUTED_VALUE"""),"harshhgandhii")</f>
        <v>harshhgandhii</v>
      </c>
    </row>
    <row r="4325">
      <c r="A4325" s="8" t="str">
        <f>IFERROR(__xludf.DUMMYFUNCTION("""COMPUTED_VALUE"""),"harukaskincare")</f>
        <v>harukaskincare</v>
      </c>
    </row>
    <row r="4326">
      <c r="A4326" s="8" t="str">
        <f>IFERROR(__xludf.DUMMYFUNCTION("""COMPUTED_VALUE"""),"harumiglobal")</f>
        <v>harumiglobal</v>
      </c>
    </row>
    <row r="4327">
      <c r="A4327" s="8" t="str">
        <f>IFERROR(__xludf.DUMMYFUNCTION("""COMPUTED_VALUE"""),"queen_sadi_skincare")</f>
        <v>queen_sadi_skincare</v>
      </c>
    </row>
    <row r="4328">
      <c r="A4328" s="8" t="str">
        <f>IFERROR(__xludf.DUMMYFUNCTION("""COMPUTED_VALUE"""),"tataharperskincare")</f>
        <v>tataharperskincare</v>
      </c>
    </row>
    <row r="4329">
      <c r="A4329" s="8" t="str">
        <f>IFERROR(__xludf.DUMMYFUNCTION("""COMPUTED_VALUE"""),"tyah.haro")</f>
        <v>tyah.haro</v>
      </c>
    </row>
    <row r="4330">
      <c r="A4330" s="8" t="str">
        <f>IFERROR(__xludf.DUMMYFUNCTION("""COMPUTED_VALUE"""),"corsican_sneakers")</f>
        <v>corsican_sneakers</v>
      </c>
    </row>
    <row r="4331">
      <c r="A4331" s="8" t="str">
        <f>IFERROR(__xludf.DUMMYFUNCTION("""COMPUTED_VALUE"""),"driftwoodmaui")</f>
        <v>driftwoodmaui</v>
      </c>
    </row>
    <row r="4332">
      <c r="A4332" s="8" t="str">
        <f>IFERROR(__xludf.DUMMYFUNCTION("""COMPUTED_VALUE"""),"all.luxurymaldives")</f>
        <v>all.luxurymaldives</v>
      </c>
    </row>
    <row r="4333">
      <c r="A4333" s="8" t="str">
        <f>IFERROR(__xludf.DUMMYFUNCTION("""COMPUTED_VALUE"""),"aurora_travel_agency")</f>
        <v>aurora_travel_agency</v>
      </c>
    </row>
    <row r="4334">
      <c r="A4334" s="8" t="str">
        <f>IFERROR(__xludf.DUMMYFUNCTION("""COMPUTED_VALUE"""),"azaleacruise")</f>
        <v>azaleacruise</v>
      </c>
    </row>
    <row r="4335">
      <c r="A4335" s="8" t="str">
        <f>IFERROR(__xludf.DUMMYFUNCTION("""COMPUTED_VALUE"""),"baglionimaldives")</f>
        <v>baglionimaldives</v>
      </c>
    </row>
    <row r="4336">
      <c r="A4336" s="8" t="str">
        <f>IFERROR(__xludf.DUMMYFUNCTION("""COMPUTED_VALUE"""),"furaverimaldives")</f>
        <v>furaverimaldives</v>
      </c>
    </row>
    <row r="4337">
      <c r="A4337" s="8" t="str">
        <f>IFERROR(__xludf.DUMMYFUNCTION("""COMPUTED_VALUE"""),"ultraluxurymaldives")</f>
        <v>ultraluxurymaldives</v>
      </c>
    </row>
    <row r="4338">
      <c r="A4338" s="8" t="str">
        <f>IFERROR(__xludf.DUMMYFUNCTION("""COMPUTED_VALUE"""),"balinese_spa_zanzibar")</f>
        <v>balinese_spa_zanzibar</v>
      </c>
    </row>
    <row r="4339">
      <c r="A4339" s="8" t="str">
        <f>IFERROR(__xludf.DUMMYFUNCTION("""COMPUTED_VALUE"""),"joharidevelopers")</f>
        <v>joharidevelopers</v>
      </c>
    </row>
    <row r="4340">
      <c r="A4340" s="8" t="str">
        <f>IFERROR(__xludf.DUMMYFUNCTION("""COMPUTED_VALUE"""),"safirabluresort")</f>
        <v>safirabluresort</v>
      </c>
    </row>
    <row r="4341">
      <c r="A4341" s="8" t="str">
        <f>IFERROR(__xludf.DUMMYFUNCTION("""COMPUTED_VALUE"""),"whitesandvillas")</f>
        <v>whitesandvillas</v>
      </c>
    </row>
    <row r="4342">
      <c r="A4342" s="8" t="str">
        <f>IFERROR(__xludf.DUMMYFUNCTION("""COMPUTED_VALUE"""),"xanadu_villas")</f>
        <v>xanadu_villas</v>
      </c>
    </row>
    <row r="4343">
      <c r="A4343" s="8" t="str">
        <f>IFERROR(__xludf.DUMMYFUNCTION("""COMPUTED_VALUE"""),"yconaluxuryresort")</f>
        <v>yconaluxuryresort</v>
      </c>
    </row>
    <row r="4344">
      <c r="A4344" s="8" t="str">
        <f>IFERROR(__xludf.DUMMYFUNCTION("""COMPUTED_VALUE"""),"ashish_rughoobur")</f>
        <v>ashish_rughoobur</v>
      </c>
    </row>
    <row r="4345">
      <c r="A4345" s="8" t="str">
        <f>IFERROR(__xludf.DUMMYFUNCTION("""COMPUTED_VALUE"""),"makeupartist_mauritius")</f>
        <v>makeupartist_mauritius</v>
      </c>
    </row>
    <row r="4346">
      <c r="A4346" s="8" t="str">
        <f>IFERROR(__xludf.DUMMYFUNCTION("""COMPUTED_VALUE"""),"zanzibar_makeup_artist")</f>
        <v>zanzibar_makeup_artist</v>
      </c>
    </row>
    <row r="4347">
      <c r="A4347" s="8" t="str">
        <f>IFERROR(__xludf.DUMMYFUNCTION("""COMPUTED_VALUE"""),"glamourbyraee")</f>
        <v>glamourbyraee</v>
      </c>
    </row>
    <row r="4348">
      <c r="A4348" s="8" t="str">
        <f>IFERROR(__xludf.DUMMYFUNCTION("""COMPUTED_VALUE"""),"breerubinhair")</f>
        <v>breerubinhair</v>
      </c>
    </row>
    <row r="4349">
      <c r="A4349" s="8" t="str">
        <f>IFERROR(__xludf.DUMMYFUNCTION("""COMPUTED_VALUE"""),"makeupwithbarbie_")</f>
        <v>makeupwithbarbie_</v>
      </c>
    </row>
    <row r="4350">
      <c r="A4350" s="8" t="str">
        <f>IFERROR(__xludf.DUMMYFUNCTION("""COMPUTED_VALUE"""),"wavesofbeauty.maui")</f>
        <v>wavesofbeauty.maui</v>
      </c>
    </row>
    <row r="4351">
      <c r="A4351" s="8" t="str">
        <f>IFERROR(__xludf.DUMMYFUNCTION("""COMPUTED_VALUE"""),"faithyxomakeup")</f>
        <v>faithyxomakeup</v>
      </c>
    </row>
    <row r="4352">
      <c r="A4352" s="8" t="str">
        <f>IFERROR(__xludf.DUMMYFUNCTION("""COMPUTED_VALUE"""),"mua.manda")</f>
        <v>mua.manda</v>
      </c>
    </row>
    <row r="4353">
      <c r="A4353" s="8" t="str">
        <f>IFERROR(__xludf.DUMMYFUNCTION("""COMPUTED_VALUE"""),"zanzibar_makeup_artist")</f>
        <v>zanzibar_makeup_artist</v>
      </c>
    </row>
    <row r="4354">
      <c r="A4354" s="8" t="str">
        <f>IFERROR(__xludf.DUMMYFUNCTION("""COMPUTED_VALUE"""),"maislinhof")</f>
        <v>maislinhof</v>
      </c>
    </row>
    <row r="4355">
      <c r="A4355" s="8" t="str">
        <f>IFERROR(__xludf.DUMMYFUNCTION("""COMPUTED_VALUE"""),"maisonlatinafestas")</f>
        <v>maisonlatinafestas</v>
      </c>
    </row>
    <row r="4356">
      <c r="A4356" s="8" t="str">
        <f>IFERROR(__xludf.DUMMYFUNCTION("""COMPUTED_VALUE"""),"modamaiaatacarejo")</f>
        <v>modamaiaatacarejo</v>
      </c>
    </row>
    <row r="4357">
      <c r="A4357" s="8" t="str">
        <f>IFERROR(__xludf.DUMMYFUNCTION("""COMPUTED_VALUE"""),"moda.maior")</f>
        <v>moda.maior</v>
      </c>
    </row>
    <row r="4358">
      <c r="A4358" s="8" t="str">
        <f>IFERROR(__xludf.DUMMYFUNCTION("""COMPUTED_VALUE"""),"modamaisbaratabh")</f>
        <v>modamaisbaratabh</v>
      </c>
    </row>
    <row r="4359">
      <c r="A4359" s="8" t="str">
        <f>IFERROR(__xludf.DUMMYFUNCTION("""COMPUTED_VALUE"""),"modamaisitb")</f>
        <v>modamaisitb</v>
      </c>
    </row>
    <row r="4360">
      <c r="A4360" s="8" t="str">
        <f>IFERROR(__xludf.DUMMYFUNCTION("""COMPUTED_VALUE"""),"modamaisuberlandia")</f>
        <v>modamaisuberlandia</v>
      </c>
    </row>
    <row r="4361">
      <c r="A4361" s="8" t="str">
        <f>IFERROR(__xludf.DUMMYFUNCTION("""COMPUTED_VALUE"""),"modas.maisa_s")</f>
        <v>modas.maisa_s</v>
      </c>
    </row>
    <row r="4362">
      <c r="A4362" s="8" t="str">
        <f>IFERROR(__xludf.DUMMYFUNCTION("""COMPUTED_VALUE"""),"oahumodas")</f>
        <v>oahumodas</v>
      </c>
    </row>
    <row r="4363">
      <c r="A4363" s="11" t="str">
        <f>IFERROR(__xludf.DUMMYFUNCTION("""COMPUTED_VALUE"""),"oahuu.cl")</f>
        <v>oahuu.cl</v>
      </c>
    </row>
    <row r="4364">
      <c r="A4364" s="8" t="str">
        <f>IFERROR(__xludf.DUMMYFUNCTION("""COMPUTED_VALUE"""),"gabriellagonthier")</f>
        <v>gabriellagonthier</v>
      </c>
    </row>
    <row r="4365">
      <c r="A4365" s="8" t="str">
        <f>IFERROR(__xludf.DUMMYFUNCTION("""COMPUTED_VALUE"""),"nails.maie")</f>
        <v>nails.maie</v>
      </c>
    </row>
    <row r="4366">
      <c r="A4366" s="8" t="str">
        <f>IFERROR(__xludf.DUMMYFUNCTION("""COMPUTED_VALUE"""),"vivamaia.beauty")</f>
        <v>vivamaia.beauty</v>
      </c>
    </row>
    <row r="4367">
      <c r="A4367" s="8" t="str">
        <f>IFERROR(__xludf.DUMMYFUNCTION("""COMPUTED_VALUE"""),"zanzibarperfume_cosmetis")</f>
        <v>zanzibarperfume_cosmetis</v>
      </c>
    </row>
    <row r="4368">
      <c r="A4368" s="8" t="str">
        <f>IFERROR(__xludf.DUMMYFUNCTION("""COMPUTED_VALUE"""),"mauisland_")</f>
        <v>mauisland_</v>
      </c>
    </row>
    <row r="4369">
      <c r="A4369" s="11" t="str">
        <f>IFERROR(__xludf.DUMMYFUNCTION("""COMPUTED_VALUE"""),"ourcommonplace.co")</f>
        <v>ourcommonplace.co</v>
      </c>
    </row>
    <row r="4370">
      <c r="A4370" s="8" t="str">
        <f>IFERROR(__xludf.DUMMYFUNCTION("""COMPUTED_VALUE"""),"sustainablefashionmatterz")</f>
        <v>sustainablefashionmatterz</v>
      </c>
    </row>
    <row r="4371">
      <c r="A4371" s="11" t="str">
        <f>IFERROR(__xludf.DUMMYFUNCTION("""COMPUTED_VALUE"""),"ourcommonplace.co")</f>
        <v>ourcommonplace.co</v>
      </c>
    </row>
    <row r="4372">
      <c r="A4372" s="8" t="str">
        <f>IFERROR(__xludf.DUMMYFUNCTION("""COMPUTED_VALUE"""),"sustainablefashionmatterz")</f>
        <v>sustainablefashionmatterz</v>
      </c>
    </row>
    <row r="4373">
      <c r="A4373" s="11" t="str">
        <f>IFERROR(__xludf.DUMMYFUNCTION("""COMPUTED_VALUE"""),"ourcommonplace.co")</f>
        <v>ourcommonplace.co</v>
      </c>
    </row>
    <row r="4374">
      <c r="A4374" s="8" t="str">
        <f>IFERROR(__xludf.DUMMYFUNCTION("""COMPUTED_VALUE"""),"sustainablefashionmatterz")</f>
        <v>sustainablefashionmatterz</v>
      </c>
    </row>
    <row r="4375">
      <c r="A4375" s="8" t="str">
        <f>IFERROR(__xludf.DUMMYFUNCTION("""COMPUTED_VALUE"""),"manuu_wedding_accessories")</f>
        <v>manuu_wedding_accessories</v>
      </c>
    </row>
    <row r="4376">
      <c r="A4376" s="8" t="str">
        <f>IFERROR(__xludf.DUMMYFUNCTION("""COMPUTED_VALUE"""),"mundoquinceaneratx")</f>
        <v>mundoquinceaneratx</v>
      </c>
    </row>
    <row r="4377">
      <c r="A4377" s="8" t="str">
        <f>IFERROR(__xludf.DUMMYFUNCTION("""COMPUTED_VALUE"""),"barbershop_atlanta")</f>
        <v>barbershop_atlanta</v>
      </c>
    </row>
    <row r="4378">
      <c r="A4378" s="8" t="str">
        <f>IFERROR(__xludf.DUMMYFUNCTION("""COMPUTED_VALUE"""),"harispa_atlanta_barbershop")</f>
        <v>harispa_atlanta_barbershop</v>
      </c>
    </row>
    <row r="4379">
      <c r="A4379" s="8" t="str">
        <f>IFERROR(__xludf.DUMMYFUNCTION("""COMPUTED_VALUE"""),"barbershop_boston_maylina")</f>
        <v>barbershop_boston_maylina</v>
      </c>
    </row>
    <row r="4380">
      <c r="A4380" s="8" t="str">
        <f>IFERROR(__xludf.DUMMYFUNCTION("""COMPUTED_VALUE"""),"bostonbarbershop.pku")</f>
        <v>bostonbarbershop.pku</v>
      </c>
    </row>
    <row r="4381">
      <c r="A4381" s="8" t="str">
        <f>IFERROR(__xludf.DUMMYFUNCTION("""COMPUTED_VALUE"""),"bostonianbarbershop")</f>
        <v>bostonianbarbershop</v>
      </c>
    </row>
    <row r="4382">
      <c r="A4382" s="8" t="str">
        <f>IFERROR(__xludf.DUMMYFUNCTION("""COMPUTED_VALUE"""),"headspace.barbershop")</f>
        <v>headspace.barbershop</v>
      </c>
    </row>
    <row r="4383">
      <c r="A4383" s="8" t="str">
        <f>IFERROR(__xludf.DUMMYFUNCTION("""COMPUTED_VALUE"""),"hercurls.studio")</f>
        <v>hercurls.studio</v>
      </c>
    </row>
    <row r="4384">
      <c r="A4384" s="8" t="str">
        <f>IFERROR(__xludf.DUMMYFUNCTION("""COMPUTED_VALUE"""),"lynn__styles")</f>
        <v>lynn__styles</v>
      </c>
    </row>
    <row r="4385">
      <c r="A4385" s="8" t="str">
        <f>IFERROR(__xludf.DUMMYFUNCTION("""COMPUTED_VALUE"""),"sonceria_carolina")</f>
        <v>sonceria_carolina</v>
      </c>
    </row>
    <row r="4386">
      <c r="A4386" s="8" t="str">
        <f>IFERROR(__xludf.DUMMYFUNCTION("""COMPUTED_VALUE"""),"forthecurlturee")</f>
        <v>forthecurlturee</v>
      </c>
    </row>
    <row r="4387">
      <c r="A4387" s="8" t="str">
        <f>IFERROR(__xludf.DUMMYFUNCTION("""COMPUTED_VALUE"""),"romina_hairstyles")</f>
        <v>romina_hairstyles</v>
      </c>
    </row>
    <row r="4388">
      <c r="A4388" s="8" t="str">
        <f>IFERROR(__xludf.DUMMYFUNCTION("""COMPUTED_VALUE"""),"rosestylestudio")</f>
        <v>rosestylestudio</v>
      </c>
    </row>
    <row r="4389">
      <c r="A4389" s="8" t="str">
        <f>IFERROR(__xludf.DUMMYFUNCTION("""COMPUTED_VALUE"""),"dallasdesignerhandbags")</f>
        <v>dallasdesignerhandbags</v>
      </c>
    </row>
    <row r="4390">
      <c r="A4390" s="8" t="str">
        <f>IFERROR(__xludf.DUMMYFUNCTION("""COMPUTED_VALUE"""),"atlantaluxurybags")</f>
        <v>atlantaluxurybags</v>
      </c>
    </row>
    <row r="4391">
      <c r="A4391" s="8" t="str">
        <f>IFERROR(__xludf.DUMMYFUNCTION("""COMPUTED_VALUE"""),"luxury_art_of_atlanta")</f>
        <v>luxury_art_of_atlanta</v>
      </c>
    </row>
    <row r="4392">
      <c r="A4392" s="8" t="str">
        <f>IFERROR(__xludf.DUMMYFUNCTION("""COMPUTED_VALUE"""),"bostoncommag")</f>
        <v>bostoncommag</v>
      </c>
    </row>
    <row r="4393">
      <c r="A4393" s="8" t="str">
        <f>IFERROR(__xludf.DUMMYFUNCTION("""COMPUTED_VALUE"""),"primaveradreams")</f>
        <v>primaveradreams</v>
      </c>
    </row>
    <row r="4394">
      <c r="A4394" s="8" t="str">
        <f>IFERROR(__xludf.DUMMYFUNCTION("""COMPUTED_VALUE"""),"hallartshotel")</f>
        <v>hallartshotel</v>
      </c>
    </row>
    <row r="4395">
      <c r="A4395" s="8" t="str">
        <f>IFERROR(__xludf.DUMMYFUNCTION("""COMPUTED_VALUE"""),"modluxdallas")</f>
        <v>modluxdallas</v>
      </c>
    </row>
    <row r="4396">
      <c r="A4396" s="8" t="str">
        <f>IFERROR(__xludf.DUMMYFUNCTION("""COMPUTED_VALUE"""),"theadolphushotel")</f>
        <v>theadolphushotel</v>
      </c>
    </row>
    <row r="4397">
      <c r="A4397" s="8" t="str">
        <f>IFERROR(__xludf.DUMMYFUNCTION("""COMPUTED_VALUE"""),"houseoffleurhouston")</f>
        <v>houseoffleurhouston</v>
      </c>
    </row>
    <row r="4398">
      <c r="A4398" s="8" t="str">
        <f>IFERROR(__xludf.DUMMYFUNCTION("""COMPUTED_VALUE"""),"houston_magazine")</f>
        <v>houston_magazine</v>
      </c>
    </row>
    <row r="4399">
      <c r="A4399" s="8" t="str">
        <f>IFERROR(__xludf.DUMMYFUNCTION("""COMPUTED_VALUE"""),"jadeluxe__")</f>
        <v>jadeluxe__</v>
      </c>
    </row>
    <row r="4400">
      <c r="A4400" s="8" t="str">
        <f>IFERROR(__xludf.DUMMYFUNCTION("""COMPUTED_VALUE"""),"magicrosesluxury")</f>
        <v>magicrosesluxury</v>
      </c>
    </row>
    <row r="4401">
      <c r="A4401" s="8" t="str">
        <f>IFERROR(__xludf.DUMMYFUNCTION("""COMPUTED_VALUE"""),"picnicperfecthtx")</f>
        <v>picnicperfecthtx</v>
      </c>
    </row>
    <row r="4402">
      <c r="A4402" s="8" t="str">
        <f>IFERROR(__xludf.DUMMYFUNCTION("""COMPUTED_VALUE"""),"skyliferecovery")</f>
        <v>skyliferecovery</v>
      </c>
    </row>
    <row r="4403">
      <c r="A4403" s="8" t="str">
        <f>IFERROR(__xludf.DUMMYFUNCTION("""COMPUTED_VALUE"""),"quarta__")</f>
        <v>quarta__</v>
      </c>
    </row>
    <row r="4404">
      <c r="A4404" s="8" t="str">
        <f>IFERROR(__xludf.DUMMYFUNCTION("""COMPUTED_VALUE"""),"lexupnext")</f>
        <v>lexupnext</v>
      </c>
    </row>
    <row r="4405">
      <c r="A4405" s="8" t="str">
        <f>IFERROR(__xludf.DUMMYFUNCTION("""COMPUTED_VALUE"""),"touchupbysindhu")</f>
        <v>touchupbysindhu</v>
      </c>
    </row>
    <row r="4406">
      <c r="A4406" s="8" t="str">
        <f>IFERROR(__xludf.DUMMYFUNCTION("""COMPUTED_VALUE"""),"boston.makeup.artist")</f>
        <v>boston.makeup.artist</v>
      </c>
    </row>
    <row r="4407">
      <c r="A4407" s="8" t="str">
        <f>IFERROR(__xludf.DUMMYFUNCTION("""COMPUTED_VALUE"""),"facedesignbydenise")</f>
        <v>facedesignbydenise</v>
      </c>
    </row>
    <row r="4408">
      <c r="A4408" s="8" t="str">
        <f>IFERROR(__xludf.DUMMYFUNCTION("""COMPUTED_VALUE"""),"gloupbyshanel")</f>
        <v>gloupbyshanel</v>
      </c>
    </row>
    <row r="4409">
      <c r="A4409" s="8" t="str">
        <f>IFERROR(__xludf.DUMMYFUNCTION("""COMPUTED_VALUE"""),"plusbarbb")</f>
        <v>plusbarbb</v>
      </c>
    </row>
    <row r="4410">
      <c r="A4410" s="8" t="str">
        <f>IFERROR(__xludf.DUMMYFUNCTION("""COMPUTED_VALUE"""),"upscale_artistry")</f>
        <v>upscale_artistry</v>
      </c>
    </row>
    <row r="4411">
      <c r="A4411" s="8" t="str">
        <f>IFERROR(__xludf.DUMMYFUNCTION("""COMPUTED_VALUE"""),"makeuphouston")</f>
        <v>makeuphouston</v>
      </c>
    </row>
    <row r="4412">
      <c r="A4412" s="8" t="str">
        <f>IFERROR(__xludf.DUMMYFUNCTION("""COMPUTED_VALUE"""),"ravenalexiss_")</f>
        <v>ravenalexiss_</v>
      </c>
    </row>
    <row r="4413">
      <c r="A4413" s="8" t="str">
        <f>IFERROR(__xludf.DUMMYFUNCTION("""COMPUTED_VALUE"""),"a_beautiful5")</f>
        <v>a_beautiful5</v>
      </c>
    </row>
    <row r="4414">
      <c r="A4414" s="8" t="str">
        <f>IFERROR(__xludf.DUMMYFUNCTION("""COMPUTED_VALUE"""),"arielleantoinette_makeup")</f>
        <v>arielleantoinette_makeup</v>
      </c>
    </row>
    <row r="4415">
      <c r="A4415" s="8" t="str">
        <f>IFERROR(__xludf.DUMMYFUNCTION("""COMPUTED_VALUE"""),"enhancedbyteisha")</f>
        <v>enhancedbyteisha</v>
      </c>
    </row>
    <row r="4416">
      <c r="A4416" s="8" t="str">
        <f>IFERROR(__xludf.DUMMYFUNCTION("""COMPUTED_VALUE"""),"itshotchiick")</f>
        <v>itshotchiick</v>
      </c>
    </row>
    <row r="4417">
      <c r="A4417" s="8" t="str">
        <f>IFERROR(__xludf.DUMMYFUNCTION("""COMPUTED_VALUE"""),"keysbeautytouch")</f>
        <v>keysbeautytouch</v>
      </c>
    </row>
    <row r="4418">
      <c r="A4418" s="8" t="str">
        <f>IFERROR(__xludf.DUMMYFUNCTION("""COMPUTED_VALUE"""),"lexupnext")</f>
        <v>lexupnext</v>
      </c>
    </row>
    <row r="4419">
      <c r="A4419" s="8" t="str">
        <f>IFERROR(__xludf.DUMMYFUNCTION("""COMPUTED_VALUE"""),"makeupbybo")</f>
        <v>makeupbybo</v>
      </c>
    </row>
    <row r="4420">
      <c r="A4420" s="8" t="str">
        <f>IFERROR(__xludf.DUMMYFUNCTION("""COMPUTED_VALUE"""),"prettishglam.chic")</f>
        <v>prettishglam.chic</v>
      </c>
    </row>
    <row r="4421">
      <c r="A4421" s="8" t="str">
        <f>IFERROR(__xludf.DUMMYFUNCTION("""COMPUTED_VALUE"""),"whippedbykiara")</f>
        <v>whippedbykiara</v>
      </c>
    </row>
    <row r="4422">
      <c r="A4422" s="8" t="str">
        <f>IFERROR(__xludf.DUMMYFUNCTION("""COMPUTED_VALUE"""),"aexiasbeautywork")</f>
        <v>aexiasbeautywork</v>
      </c>
    </row>
    <row r="4423">
      <c r="A4423" s="8" t="str">
        <f>IFERROR(__xludf.DUMMYFUNCTION("""COMPUTED_VALUE"""),"dgmakeup.boston")</f>
        <v>dgmakeup.boston</v>
      </c>
    </row>
    <row r="4424">
      <c r="A4424" s="8" t="str">
        <f>IFERROR(__xludf.DUMMYFUNCTION("""COMPUTED_VALUE"""),"facedesignbydenise")</f>
        <v>facedesignbydenise</v>
      </c>
    </row>
    <row r="4425">
      <c r="A4425" s="8" t="str">
        <f>IFERROR(__xludf.DUMMYFUNCTION("""COMPUTED_VALUE"""),"jdmxcv")</f>
        <v>jdmxcv</v>
      </c>
    </row>
    <row r="4426">
      <c r="A4426" s="8" t="str">
        <f>IFERROR(__xludf.DUMMYFUNCTION("""COMPUTED_VALUE"""),"makeupboston_")</f>
        <v>makeupboston_</v>
      </c>
    </row>
    <row r="4427">
      <c r="A4427" s="8" t="str">
        <f>IFERROR(__xludf.DUMMYFUNCTION("""COMPUTED_VALUE"""),"fatimathemua")</f>
        <v>fatimathemua</v>
      </c>
    </row>
    <row r="4428">
      <c r="A4428" s="8" t="str">
        <f>IFERROR(__xludf.DUMMYFUNCTION("""COMPUTED_VALUE"""),"jasmine_thestylist")</f>
        <v>jasmine_thestylist</v>
      </c>
    </row>
    <row r="4429">
      <c r="A4429" s="8" t="str">
        <f>IFERROR(__xludf.DUMMYFUNCTION("""COMPUTED_VALUE"""),"asia_makeupartistry")</f>
        <v>asia_makeupartistry</v>
      </c>
    </row>
    <row r="4430">
      <c r="A4430" s="8" t="str">
        <f>IFERROR(__xludf.DUMMYFUNCTION("""COMPUTED_VALUE"""),"asiastylez")</f>
        <v>asiastylez</v>
      </c>
    </row>
    <row r="4431">
      <c r="A4431" s="8" t="str">
        <f>IFERROR(__xludf.DUMMYFUNCTION("""COMPUTED_VALUE"""),"beautybrea_")</f>
        <v>beautybrea_</v>
      </c>
    </row>
    <row r="4432">
      <c r="A4432" s="8" t="str">
        <f>IFERROR(__xludf.DUMMYFUNCTION("""COMPUTED_VALUE"""),"kissandmakeuphouston")</f>
        <v>kissandmakeuphouston</v>
      </c>
    </row>
    <row r="4433">
      <c r="A4433" s="8" t="str">
        <f>IFERROR(__xludf.DUMMYFUNCTION("""COMPUTED_VALUE"""),"makeupbysarahii")</f>
        <v>makeupbysarahii</v>
      </c>
    </row>
    <row r="4434">
      <c r="A4434" s="8" t="str">
        <f>IFERROR(__xludf.DUMMYFUNCTION("""COMPUTED_VALUE"""),"makeuphouston")</f>
        <v>makeuphouston</v>
      </c>
    </row>
    <row r="4435">
      <c r="A4435" s="8" t="str">
        <f>IFERROR(__xludf.DUMMYFUNCTION("""COMPUTED_VALUE"""),"muanessa")</f>
        <v>muanessa</v>
      </c>
    </row>
    <row r="4436">
      <c r="A4436" s="8" t="str">
        <f>IFERROR(__xludf.DUMMYFUNCTION("""COMPUTED_VALUE"""),"nikkifacesmua")</f>
        <v>nikkifacesmua</v>
      </c>
    </row>
    <row r="4437">
      <c r="A4437" s="8" t="str">
        <f>IFERROR(__xludf.DUMMYFUNCTION("""COMPUTED_VALUE"""),"poshthemua")</f>
        <v>poshthemua</v>
      </c>
    </row>
    <row r="4438">
      <c r="A4438" s="8" t="str">
        <f>IFERROR(__xludf.DUMMYFUNCTION("""COMPUTED_VALUE"""),"shea_mua")</f>
        <v>shea_mua</v>
      </c>
    </row>
    <row r="4439">
      <c r="A4439" s="8" t="str">
        <f>IFERROR(__xludf.DUMMYFUNCTION("""COMPUTED_VALUE"""),"thefacebully_")</f>
        <v>thefacebully_</v>
      </c>
    </row>
    <row r="4440">
      <c r="A4440" s="8" t="str">
        <f>IFERROR(__xludf.DUMMYFUNCTION("""COMPUTED_VALUE"""),"beauty_studio_philadelphia")</f>
        <v>beauty_studio_philadelphia</v>
      </c>
    </row>
    <row r="4441">
      <c r="A4441" s="8" t="str">
        <f>IFERROR(__xludf.DUMMYFUNCTION("""COMPUTED_VALUE"""),"dianakelasova_studio")</f>
        <v>dianakelasova_studio</v>
      </c>
    </row>
    <row r="4442">
      <c r="A4442" s="8" t="str">
        <f>IFERROR(__xludf.DUMMYFUNCTION("""COMPUTED_VALUE"""),"ravenalexiss_")</f>
        <v>ravenalexiss_</v>
      </c>
    </row>
    <row r="4443">
      <c r="A4443" s="8" t="str">
        <f>IFERROR(__xludf.DUMMYFUNCTION("""COMPUTED_VALUE"""),"blushbybibi")</f>
        <v>blushbybibi</v>
      </c>
    </row>
    <row r="4444">
      <c r="A4444" s="8" t="str">
        <f>IFERROR(__xludf.DUMMYFUNCTION("""COMPUTED_VALUE"""),"modatl")</f>
        <v>modatl</v>
      </c>
    </row>
    <row r="4445">
      <c r="A4445" s="8" t="str">
        <f>IFERROR(__xludf.DUMMYFUNCTION("""COMPUTED_VALUE"""),"anastasia_in_us")</f>
        <v>anastasia_in_us</v>
      </c>
    </row>
    <row r="4446">
      <c r="A4446" s="8" t="str">
        <f>IFERROR(__xludf.DUMMYFUNCTION("""COMPUTED_VALUE"""),"bostonmodacom")</f>
        <v>bostonmodacom</v>
      </c>
    </row>
    <row r="4447">
      <c r="A4447" s="8" t="str">
        <f>IFERROR(__xludf.DUMMYFUNCTION("""COMPUTED_VALUE"""),"dallas_boutiquemv")</f>
        <v>dallas_boutiquemv</v>
      </c>
    </row>
    <row r="4448">
      <c r="A4448" s="8" t="str">
        <f>IFERROR(__xludf.DUMMYFUNCTION("""COMPUTED_VALUE"""),"dallastorebrasil")</f>
        <v>dallastorebrasil</v>
      </c>
    </row>
    <row r="4449">
      <c r="A4449" s="8" t="str">
        <f>IFERROR(__xludf.DUMMYFUNCTION("""COMPUTED_VALUE"""),"expomoda_houston")</f>
        <v>expomoda_houston</v>
      </c>
    </row>
    <row r="4450">
      <c r="A4450" s="8" t="str">
        <f>IFERROR(__xludf.DUMMYFUNCTION("""COMPUTED_VALUE"""),"nailsbylolu")</f>
        <v>nailsbylolu</v>
      </c>
    </row>
    <row r="4451">
      <c r="A4451" s="8" t="str">
        <f>IFERROR(__xludf.DUMMYFUNCTION("""COMPUTED_VALUE"""),"bostonsnailsandspa")</f>
        <v>bostonsnailsandspa</v>
      </c>
    </row>
    <row r="4452">
      <c r="A4452" s="8" t="str">
        <f>IFERROR(__xludf.DUMMYFUNCTION("""COMPUTED_VALUE"""),"boston_the_best_nails")</f>
        <v>boston_the_best_nails</v>
      </c>
    </row>
    <row r="4453">
      <c r="A4453" s="8" t="str">
        <f>IFERROR(__xludf.DUMMYFUNCTION("""COMPUTED_VALUE"""),"dimsumnails")</f>
        <v>dimsumnails</v>
      </c>
    </row>
    <row r="4454">
      <c r="A4454" s="8" t="str">
        <f>IFERROR(__xludf.DUMMYFUNCTION("""COMPUTED_VALUE"""),"adaria.nails")</f>
        <v>adaria.nails</v>
      </c>
    </row>
    <row r="4455">
      <c r="A4455" s="8" t="str">
        <f>IFERROR(__xludf.DUMMYFUNCTION("""COMPUTED_VALUE"""),"dallas_the_best_nails")</f>
        <v>dallas_the_best_nails</v>
      </c>
    </row>
    <row r="4456">
      <c r="A4456" s="8" t="str">
        <f>IFERROR(__xludf.DUMMYFUNCTION("""COMPUTED_VALUE"""),"_nailsbyjoana")</f>
        <v>_nailsbyjoana</v>
      </c>
    </row>
    <row r="4457">
      <c r="A4457" s="8" t="str">
        <f>IFERROR(__xludf.DUMMYFUNCTION("""COMPUTED_VALUE"""),"__nailsbyviviana")</f>
        <v>__nailsbyviviana</v>
      </c>
    </row>
    <row r="4458">
      <c r="A4458" s="8" t="str">
        <f>IFERROR(__xludf.DUMMYFUNCTION("""COMPUTED_VALUE"""),"jade_nails_houston")</f>
        <v>jade_nails_houston</v>
      </c>
    </row>
    <row r="4459">
      <c r="A4459" s="8" t="str">
        <f>IFERROR(__xludf.DUMMYFUNCTION("""COMPUTED_VALUE"""),"monicagarciaaa_")</f>
        <v>monicagarciaaa_</v>
      </c>
    </row>
    <row r="4460">
      <c r="A4460" s="8" t="str">
        <f>IFERROR(__xludf.DUMMYFUNCTION("""COMPUTED_VALUE"""),"nailbar.vv")</f>
        <v>nailbar.vv</v>
      </c>
    </row>
    <row r="4461">
      <c r="A4461" s="8" t="str">
        <f>IFERROR(__xludf.DUMMYFUNCTION("""COMPUTED_VALUE"""),"nailsbykerra")</f>
        <v>nailsbykerra</v>
      </c>
    </row>
    <row r="4462">
      <c r="A4462" s="8" t="str">
        <f>IFERROR(__xludf.DUMMYFUNCTION("""COMPUTED_VALUE"""),"_nailsbywendy")</f>
        <v>_nailsbywendy</v>
      </c>
    </row>
    <row r="4463">
      <c r="A4463" s="8" t="str">
        <f>IFERROR(__xludf.DUMMYFUNCTION("""COMPUTED_VALUE"""),"nailsbyydrea")</f>
        <v>nailsbyydrea</v>
      </c>
    </row>
    <row r="4464">
      <c r="A4464" s="8" t="str">
        <f>IFERROR(__xludf.DUMMYFUNCTION("""COMPUTED_VALUE"""),"nailsofamericamemorial")</f>
        <v>nailsofamericamemorial</v>
      </c>
    </row>
    <row r="4465">
      <c r="A4465" s="8" t="str">
        <f>IFERROR(__xludf.DUMMYFUNCTION("""COMPUTED_VALUE"""),"hairinpeacebeautysalon")</f>
        <v>hairinpeacebeautysalon</v>
      </c>
    </row>
    <row r="4466">
      <c r="A4466" s="8" t="str">
        <f>IFERROR(__xludf.DUMMYFUNCTION("""COMPUTED_VALUE"""),"kymbas_beauty")</f>
        <v>kymbas_beauty</v>
      </c>
    </row>
    <row r="4467">
      <c r="A4467" s="8" t="str">
        <f>IFERROR(__xludf.DUMMYFUNCTION("""COMPUTED_VALUE"""),"naturalbeauty365")</f>
        <v>naturalbeauty365</v>
      </c>
    </row>
    <row r="4468">
      <c r="A4468" s="8" t="str">
        <f>IFERROR(__xludf.DUMMYFUNCTION("""COMPUTED_VALUE"""),"ootdatlanta")</f>
        <v>ootdatlanta</v>
      </c>
    </row>
    <row r="4469">
      <c r="A4469" s="8" t="str">
        <f>IFERROR(__xludf.DUMMYFUNCTION("""COMPUTED_VALUE"""),"skinbylauryn")</f>
        <v>skinbylauryn</v>
      </c>
    </row>
    <row r="4470">
      <c r="A4470" s="8" t="str">
        <f>IFERROR(__xludf.DUMMYFUNCTION("""COMPUTED_VALUE"""),"slayybylayy")</f>
        <v>slayybylayy</v>
      </c>
    </row>
    <row r="4471">
      <c r="A4471" s="8" t="str">
        <f>IFERROR(__xludf.DUMMYFUNCTION("""COMPUTED_VALUE"""),"s8909292")</f>
        <v>s8909292</v>
      </c>
    </row>
    <row r="4472">
      <c r="A4472" s="8" t="str">
        <f>IFERROR(__xludf.DUMMYFUNCTION("""COMPUTED_VALUE"""),"camelliaalise")</f>
        <v>camelliaalise</v>
      </c>
    </row>
    <row r="4473">
      <c r="A4473" s="8" t="str">
        <f>IFERROR(__xludf.DUMMYFUNCTION("""COMPUTED_VALUE"""),"skincarebykristie")</f>
        <v>skincarebykristie</v>
      </c>
    </row>
    <row r="4474">
      <c r="A4474" s="8" t="str">
        <f>IFERROR(__xludf.DUMMYFUNCTION("""COMPUTED_VALUE"""),"s_laplante_")</f>
        <v>s_laplante_</v>
      </c>
    </row>
    <row r="4475">
      <c r="A4475" s="8" t="str">
        <f>IFERROR(__xludf.DUMMYFUNCTION("""COMPUTED_VALUE"""),"thebawdybar")</f>
        <v>thebawdybar</v>
      </c>
    </row>
    <row r="4476">
      <c r="A4476" s="8" t="str">
        <f>IFERROR(__xludf.DUMMYFUNCTION("""COMPUTED_VALUE"""),"clutchdallas")</f>
        <v>clutchdallas</v>
      </c>
    </row>
    <row r="4477">
      <c r="A4477" s="8" t="str">
        <f>IFERROR(__xludf.DUMMYFUNCTION("""COMPUTED_VALUE"""),"dallas.sneakers2")</f>
        <v>dallas.sneakers2</v>
      </c>
    </row>
    <row r="4478">
      <c r="A4478" s="8" t="str">
        <f>IFERROR(__xludf.DUMMYFUNCTION("""COMPUTED_VALUE"""),"taylasnts")</f>
        <v>taylasnts</v>
      </c>
    </row>
    <row r="4479">
      <c r="A4479" s="8" t="str">
        <f>IFERROR(__xludf.DUMMYFUNCTION("""COMPUTED_VALUE"""),"atlantastreetwearmarket")</f>
        <v>atlantastreetwearmarket</v>
      </c>
    </row>
    <row r="4480">
      <c r="A4480" s="8" t="str">
        <f>IFERROR(__xludf.DUMMYFUNCTION("""COMPUTED_VALUE"""),"beautifuldisaster.wrld")</f>
        <v>beautifuldisaster.wrld</v>
      </c>
    </row>
    <row r="4481">
      <c r="A4481" s="8" t="str">
        <f>IFERROR(__xludf.DUMMYFUNCTION("""COMPUTED_VALUE"""),"clutchdallas")</f>
        <v>clutchdallas</v>
      </c>
    </row>
    <row r="4482">
      <c r="A4482" s="8" t="str">
        <f>IFERROR(__xludf.DUMMYFUNCTION("""COMPUTED_VALUE"""),"vintage_houston")</f>
        <v>vintage_houston</v>
      </c>
    </row>
    <row r="4483">
      <c r="A4483" s="8" t="str">
        <f>IFERROR(__xludf.DUMMYFUNCTION("""COMPUTED_VALUE"""),"fanfarelabel")</f>
        <v>fanfarelabel</v>
      </c>
    </row>
    <row r="4484">
      <c r="A4484" s="8" t="str">
        <f>IFERROR(__xludf.DUMMYFUNCTION("""COMPUTED_VALUE"""),"thethriftguru")</f>
        <v>thethriftguru</v>
      </c>
    </row>
    <row r="4485">
      <c r="A4485" s="8" t="str">
        <f>IFERROR(__xludf.DUMMYFUNCTION("""COMPUTED_VALUE"""),"thriftingatlanta")</f>
        <v>thriftingatlanta</v>
      </c>
    </row>
    <row r="4486">
      <c r="A4486" s="8" t="str">
        <f>IFERROR(__xludf.DUMMYFUNCTION("""COMPUTED_VALUE"""),"sarathriftsintexas")</f>
        <v>sarathriftsintexas</v>
      </c>
    </row>
    <row r="4487">
      <c r="A4487" s="8" t="str">
        <f>IFERROR(__xludf.DUMMYFUNCTION("""COMPUTED_VALUE"""),"montrealbarbershop")</f>
        <v>montrealbarbershop</v>
      </c>
    </row>
    <row r="4488">
      <c r="A4488" s="8" t="str">
        <f>IFERROR(__xludf.DUMMYFUNCTION("""COMPUTED_VALUE"""),"5star.barbershop")</f>
        <v>5star.barbershop</v>
      </c>
    </row>
    <row r="4489">
      <c r="A4489" s="8" t="str">
        <f>IFERROR(__xludf.DUMMYFUNCTION("""COMPUTED_VALUE"""),"barberontheriver")</f>
        <v>barberontheriver</v>
      </c>
    </row>
    <row r="4490">
      <c r="A4490" s="8" t="str">
        <f>IFERROR(__xludf.DUMMYFUNCTION("""COMPUTED_VALUE"""),"kingdomofbeauty.brussels")</f>
        <v>kingdomofbeauty.brussels</v>
      </c>
    </row>
    <row r="4491">
      <c r="A4491" s="8" t="str">
        <f>IFERROR(__xludf.DUMMYFUNCTION("""COMPUTED_VALUE"""),"evanjosephsalon")</f>
        <v>evanjosephsalon</v>
      </c>
    </row>
    <row r="4492">
      <c r="A4492" s="8" t="str">
        <f>IFERROR(__xludf.DUMMYFUNCTION("""COMPUTED_VALUE"""),"hairstylesbymary")</f>
        <v>hairstylesbymary</v>
      </c>
    </row>
    <row r="4493">
      <c r="A4493" s="8" t="str">
        <f>IFERROR(__xludf.DUMMYFUNCTION("""COMPUTED_VALUE"""),"atelierbysquaresalon")</f>
        <v>atelierbysquaresalon</v>
      </c>
    </row>
    <row r="4494">
      <c r="A4494" s="8" t="str">
        <f>IFERROR(__xludf.DUMMYFUNCTION("""COMPUTED_VALUE"""),"cb.luxuryvegas")</f>
        <v>cb.luxuryvegas</v>
      </c>
    </row>
    <row r="4495">
      <c r="A4495" s="8" t="str">
        <f>IFERROR(__xludf.DUMMYFUNCTION("""COMPUTED_VALUE"""),"montrealluxurymotors")</f>
        <v>montrealluxurymotors</v>
      </c>
    </row>
    <row r="4496">
      <c r="A4496" s="8" t="str">
        <f>IFERROR(__xludf.DUMMYFUNCTION("""COMPUTED_VALUE"""),"times_luxury_montreal")</f>
        <v>times_luxury_montreal</v>
      </c>
    </row>
    <row r="4497">
      <c r="A4497" s="8" t="str">
        <f>IFERROR(__xludf.DUMMYFUNCTION("""COMPUTED_VALUE"""),"ayannasweetsco")</f>
        <v>ayannasweetsco</v>
      </c>
    </row>
    <row r="4498">
      <c r="A4498" s="8" t="str">
        <f>IFERROR(__xludf.DUMMYFUNCTION("""COMPUTED_VALUE"""),"jasonbarryteam")</f>
        <v>jasonbarryteam</v>
      </c>
    </row>
    <row r="4499">
      <c r="A4499" s="8" t="str">
        <f>IFERROR(__xludf.DUMMYFUNCTION("""COMPUTED_VALUE"""),"jenniferdelonge")</f>
        <v>jenniferdelonge</v>
      </c>
    </row>
    <row r="4500">
      <c r="A4500" s="8" t="str">
        <f>IFERROR(__xludf.DUMMYFUNCTION("""COMPUTED_VALUE"""),"luxurysocalrealty")</f>
        <v>luxurysocalrealty</v>
      </c>
    </row>
    <row r="4501">
      <c r="A4501" s="8" t="str">
        <f>IFERROR(__xludf.DUMMYFUNCTION("""COMPUTED_VALUE"""),"modernluxurysd")</f>
        <v>modernluxurysd</v>
      </c>
    </row>
    <row r="4502">
      <c r="A4502" s="8" t="str">
        <f>IFERROR(__xludf.DUMMYFUNCTION("""COMPUTED_VALUE"""),"luxuryhomeseattle")</f>
        <v>luxuryhomeseattle</v>
      </c>
    </row>
    <row r="4503">
      <c r="A4503" s="8" t="str">
        <f>IFERROR(__xludf.DUMMYFUNCTION("""COMPUTED_VALUE"""),"seattlepartyrentals")</f>
        <v>seattlepartyrentals</v>
      </c>
    </row>
    <row r="4504">
      <c r="A4504" s="8" t="str">
        <f>IFERROR(__xludf.DUMMYFUNCTION("""COMPUTED_VALUE"""),"allclassbeautyvancouver")</f>
        <v>allclassbeautyvancouver</v>
      </c>
    </row>
    <row r="4505">
      <c r="A4505" s="8" t="str">
        <f>IFERROR(__xludf.DUMMYFUNCTION("""COMPUTED_VALUE"""),"masterpiece.luxuryvan")</f>
        <v>masterpiece.luxuryvan</v>
      </c>
    </row>
    <row r="4506">
      <c r="A4506" s="8" t="str">
        <f>IFERROR(__xludf.DUMMYFUNCTION("""COMPUTED_VALUE"""),"jaydendoesmakeup")</f>
        <v>jaydendoesmakeup</v>
      </c>
    </row>
    <row r="4507">
      <c r="A4507" s="8" t="str">
        <f>IFERROR(__xludf.DUMMYFUNCTION("""COMPUTED_VALUE"""),"makeup.byannabelle")</f>
        <v>makeup.byannabelle</v>
      </c>
    </row>
    <row r="4508">
      <c r="A4508" s="8" t="str">
        <f>IFERROR(__xludf.DUMMYFUNCTION("""COMPUTED_VALUE"""),"muacouturee")</f>
        <v>muacouturee</v>
      </c>
    </row>
    <row r="4509">
      <c r="A4509" s="8" t="str">
        <f>IFERROR(__xludf.DUMMYFUNCTION("""COMPUTED_VALUE"""),"firdamake_up")</f>
        <v>firdamake_up</v>
      </c>
    </row>
    <row r="4510">
      <c r="A4510" s="11" t="str">
        <f>IFERROR(__xludf.DUMMYFUNCTION("""COMPUTED_VALUE"""),"etherealstudio.sd")</f>
        <v>etherealstudio.sd</v>
      </c>
    </row>
    <row r="4511">
      <c r="A4511" s="8" t="str">
        <f>IFERROR(__xludf.DUMMYFUNCTION("""COMPUTED_VALUE"""),"samoha.mua")</f>
        <v>samoha.mua</v>
      </c>
    </row>
    <row r="4512">
      <c r="A4512" s="8" t="str">
        <f>IFERROR(__xludf.DUMMYFUNCTION("""COMPUTED_VALUE"""),"vtrendemakeup")</f>
        <v>vtrendemakeup</v>
      </c>
    </row>
    <row r="4513">
      <c r="A4513" s="8" t="str">
        <f>IFERROR(__xludf.DUMMYFUNCTION("""COMPUTED_VALUE"""),"julikamakeup")</f>
        <v>julikamakeup</v>
      </c>
    </row>
    <row r="4514">
      <c r="A4514" s="8" t="str">
        <f>IFERROR(__xludf.DUMMYFUNCTION("""COMPUTED_VALUE"""),"gwendolyn_laumatia")</f>
        <v>gwendolyn_laumatia</v>
      </c>
    </row>
    <row r="4515">
      <c r="A4515" s="8" t="str">
        <f>IFERROR(__xludf.DUMMYFUNCTION("""COMPUTED_VALUE"""),"jolisarena")</f>
        <v>jolisarena</v>
      </c>
    </row>
    <row r="4516">
      <c r="A4516" s="8" t="str">
        <f>IFERROR(__xludf.DUMMYFUNCTION("""COMPUTED_VALUE"""),"lasvegasmakeupgirl")</f>
        <v>lasvegasmakeupgirl</v>
      </c>
    </row>
    <row r="4517">
      <c r="A4517" s="8" t="str">
        <f>IFERROR(__xludf.DUMMYFUNCTION("""COMPUTED_VALUE"""),"makeup_by_angelaa")</f>
        <v>makeup_by_angelaa</v>
      </c>
    </row>
    <row r="4518">
      <c r="A4518" s="8" t="str">
        <f>IFERROR(__xludf.DUMMYFUNCTION("""COMPUTED_VALUE"""),"makeupsex702")</f>
        <v>makeupsex702</v>
      </c>
    </row>
    <row r="4519">
      <c r="A4519" s="8" t="str">
        <f>IFERROR(__xludf.DUMMYFUNCTION("""COMPUTED_VALUE"""),"malessanicoleee")</f>
        <v>malessanicoleee</v>
      </c>
    </row>
    <row r="4520">
      <c r="A4520" s="8" t="str">
        <f>IFERROR(__xludf.DUMMYFUNCTION("""COMPUTED_VALUE"""),"oliviarosebeautyy")</f>
        <v>oliviarosebeautyy</v>
      </c>
    </row>
    <row r="4521">
      <c r="A4521" s="8" t="str">
        <f>IFERROR(__xludf.DUMMYFUNCTION("""COMPUTED_VALUE"""),"aj.makeup")</f>
        <v>aj.makeup</v>
      </c>
    </row>
    <row r="4522">
      <c r="A4522" s="8" t="str">
        <f>IFERROR(__xludf.DUMMYFUNCTION("""COMPUTED_VALUE"""),"firdamake_up")</f>
        <v>firdamake_up</v>
      </c>
    </row>
    <row r="4523">
      <c r="A4523" s="8" t="str">
        <f>IFERROR(__xludf.DUMMYFUNCTION("""COMPUTED_VALUE"""),"makeupbydsleiman")</f>
        <v>makeupbydsleiman</v>
      </c>
    </row>
    <row r="4524">
      <c r="A4524" s="8" t="str">
        <f>IFERROR(__xludf.DUMMYFUNCTION("""COMPUTED_VALUE"""),"artistrybybrianna")</f>
        <v>artistrybybrianna</v>
      </c>
    </row>
    <row r="4525">
      <c r="A4525" s="8" t="str">
        <f>IFERROR(__xludf.DUMMYFUNCTION("""COMPUTED_VALUE"""),"fari_makeup")</f>
        <v>fari_makeup</v>
      </c>
    </row>
    <row r="4526">
      <c r="A4526" s="8" t="str">
        <f>IFERROR(__xludf.DUMMYFUNCTION("""COMPUTED_VALUE"""),"makeupbykamielea")</f>
        <v>makeupbykamielea</v>
      </c>
    </row>
    <row r="4527">
      <c r="A4527" s="8" t="str">
        <f>IFERROR(__xludf.DUMMYFUNCTION("""COMPUTED_VALUE"""),"mariannematar_")</f>
        <v>mariannematar_</v>
      </c>
    </row>
    <row r="4528">
      <c r="A4528" s="8" t="str">
        <f>IFERROR(__xludf.DUMMYFUNCTION("""COMPUTED_VALUE"""),"mualaciexo")</f>
        <v>mualaciexo</v>
      </c>
    </row>
    <row r="4529">
      <c r="A4529" s="8" t="str">
        <f>IFERROR(__xludf.DUMMYFUNCTION("""COMPUTED_VALUE"""),"glambyzohal")</f>
        <v>glambyzohal</v>
      </c>
    </row>
    <row r="4530">
      <c r="A4530" s="8" t="str">
        <f>IFERROR(__xludf.DUMMYFUNCTION("""COMPUTED_VALUE"""),"vtrendemakeup")</f>
        <v>vtrendemakeup</v>
      </c>
    </row>
    <row r="4531">
      <c r="A4531" s="8" t="str">
        <f>IFERROR(__xludf.DUMMYFUNCTION("""COMPUTED_VALUE"""),"lasvegas.moda")</f>
        <v>lasvegas.moda</v>
      </c>
    </row>
    <row r="4532">
      <c r="A4532" s="8" t="str">
        <f>IFERROR(__xludf.DUMMYFUNCTION("""COMPUTED_VALUE"""),"montreal.modaecasa")</f>
        <v>montreal.modaecasa</v>
      </c>
    </row>
    <row r="4533">
      <c r="A4533" s="8" t="str">
        <f>IFERROR(__xludf.DUMMYFUNCTION("""COMPUTED_VALUE"""),"lvnailspa")</f>
        <v>lvnailspa</v>
      </c>
    </row>
    <row r="4534">
      <c r="A4534" s="8" t="str">
        <f>IFERROR(__xludf.DUMMYFUNCTION("""COMPUTED_VALUE"""),"nailsbylitaa_")</f>
        <v>nailsbylitaa_</v>
      </c>
    </row>
    <row r="4535">
      <c r="A4535" s="8" t="str">
        <f>IFERROR(__xludf.DUMMYFUNCTION("""COMPUTED_VALUE"""),"amayanailzz")</f>
        <v>amayanailzz</v>
      </c>
    </row>
    <row r="4536">
      <c r="A4536" s="8" t="str">
        <f>IFERROR(__xludf.DUMMYFUNCTION("""COMPUTED_VALUE"""),"easy.beautyspace")</f>
        <v>easy.beautyspace</v>
      </c>
    </row>
    <row r="4537">
      <c r="A4537" s="8" t="str">
        <f>IFERROR(__xludf.DUMMYFUNCTION("""COMPUTED_VALUE"""),"sandiego_the_best_nails")</f>
        <v>sandiego_the_best_nails</v>
      </c>
    </row>
    <row r="4538">
      <c r="A4538" s="8" t="str">
        <f>IFERROR(__xludf.DUMMYFUNCTION("""COMPUTED_VALUE"""),"styledbyangela")</f>
        <v>styledbyangela</v>
      </c>
    </row>
    <row r="4539">
      <c r="A4539" s="8" t="str">
        <f>IFERROR(__xludf.DUMMYFUNCTION("""COMPUTED_VALUE"""),"urbannailbox")</f>
        <v>urbannailbox</v>
      </c>
    </row>
    <row r="4540">
      <c r="A4540" s="8" t="str">
        <f>IFERROR(__xludf.DUMMYFUNCTION("""COMPUTED_VALUE"""),"scentrique")</f>
        <v>scentrique</v>
      </c>
    </row>
    <row r="4541">
      <c r="A4541" s="8" t="str">
        <f>IFERROR(__xludf.DUMMYFUNCTION("""COMPUTED_VALUE"""),"germonbeauty")</f>
        <v>germonbeauty</v>
      </c>
    </row>
    <row r="4542">
      <c r="A4542" s="8" t="str">
        <f>IFERROR(__xludf.DUMMYFUNCTION("""COMPUTED_VALUE"""),"cruzalevzla")</f>
        <v>cruzalevzla</v>
      </c>
    </row>
    <row r="4543">
      <c r="A4543" s="8" t="str">
        <f>IFERROR(__xludf.DUMMYFUNCTION("""COMPUTED_VALUE"""),"kiwi.spa.san.diego")</f>
        <v>kiwi.spa.san.diego</v>
      </c>
    </row>
    <row r="4544">
      <c r="A4544" s="8" t="str">
        <f>IFERROR(__xludf.DUMMYFUNCTION("""COMPUTED_VALUE"""),"kruzale.vzla")</f>
        <v>kruzale.vzla</v>
      </c>
    </row>
    <row r="4545">
      <c r="A4545" s="8" t="str">
        <f>IFERROR(__xludf.DUMMYFUNCTION("""COMPUTED_VALUE"""),"papelon_chocolate")</f>
        <v>papelon_chocolate</v>
      </c>
    </row>
    <row r="4546">
      <c r="A4546" s="8" t="str">
        <f>IFERROR(__xludf.DUMMYFUNCTION("""COMPUTED_VALUE"""),"vancouverlaser")</f>
        <v>vancouverlaser</v>
      </c>
    </row>
    <row r="4547">
      <c r="A4547" s="8" t="str">
        <f>IFERROR(__xludf.DUMMYFUNCTION("""COMPUTED_VALUE"""),"corpssneakers")</f>
        <v>corpssneakers</v>
      </c>
    </row>
    <row r="4548">
      <c r="A4548" s="8" t="str">
        <f>IFERROR(__xludf.DUMMYFUNCTION("""COMPUTED_VALUE"""),"san_diego_sneaker_")</f>
        <v>san_diego_sneaker_</v>
      </c>
    </row>
    <row r="4549">
      <c r="A4549" s="8" t="str">
        <f>IFERROR(__xludf.DUMMYFUNCTION("""COMPUTED_VALUE"""),"seattleselect")</f>
        <v>seattleselect</v>
      </c>
    </row>
    <row r="4550">
      <c r="A4550" s="8" t="str">
        <f>IFERROR(__xludf.DUMMYFUNCTION("""COMPUTED_VALUE"""),"honestthriftstudio")</f>
        <v>honestthriftstudio</v>
      </c>
    </row>
    <row r="4551">
      <c r="A4551" s="8" t="str">
        <f>IFERROR(__xludf.DUMMYFUNCTION("""COMPUTED_VALUE"""),"platosclosetsandiego")</f>
        <v>platosclosetsandiego</v>
      </c>
    </row>
    <row r="4552">
      <c r="A4552" s="8" t="str">
        <f>IFERROR(__xludf.DUMMYFUNCTION("""COMPUTED_VALUE"""),"accessories.moscow1")</f>
        <v>accessories.moscow1</v>
      </c>
    </row>
    <row r="4553">
      <c r="A4553" s="8" t="str">
        <f>IFERROR(__xludf.DUMMYFUNCTION("""COMPUTED_VALUE"""),"beauty_reviewsmoscow")</f>
        <v>beauty_reviewsmoscow</v>
      </c>
    </row>
    <row r="4554">
      <c r="A4554" s="8" t="str">
        <f>IFERROR(__xludf.DUMMYFUNCTION("""COMPUTED_VALUE"""),"makeeva___sveta")</f>
        <v>makeeva___sveta</v>
      </c>
    </row>
    <row r="4555">
      <c r="A4555" s="8" t="str">
        <f>IFERROR(__xludf.DUMMYFUNCTION("""COMPUTED_VALUE"""),"araksya_hairstyle_")</f>
        <v>araksya_hairstyle_</v>
      </c>
    </row>
    <row r="4556">
      <c r="A4556" s="8" t="str">
        <f>IFERROR(__xludf.DUMMYFUNCTION("""COMPUTED_VALUE"""),"annaraubo")</f>
        <v>annaraubo</v>
      </c>
    </row>
    <row r="4557">
      <c r="A4557" s="8" t="str">
        <f>IFERROR(__xludf.DUMMYFUNCTION("""COMPUTED_VALUE"""),"hollie.warsaw")</f>
        <v>hollie.warsaw</v>
      </c>
    </row>
    <row r="4558">
      <c r="A4558" s="8" t="str">
        <f>IFERROR(__xludf.DUMMYFUNCTION("""COMPUTED_VALUE"""),"di__0_1")</f>
        <v>di__0_1</v>
      </c>
    </row>
    <row r="4559">
      <c r="A4559" s="8" t="str">
        <f>IFERROR(__xludf.DUMMYFUNCTION("""COMPUTED_VALUE"""),"marina.abramovaaa")</f>
        <v>marina.abramovaaa</v>
      </c>
    </row>
    <row r="4560">
      <c r="A4560" s="8" t="str">
        <f>IFERROR(__xludf.DUMMYFUNCTION("""COMPUTED_VALUE"""),"monaghanscashmere")</f>
        <v>monaghanscashmere</v>
      </c>
    </row>
    <row r="4561">
      <c r="A4561" s="8" t="str">
        <f>IFERROR(__xludf.DUMMYFUNCTION("""COMPUTED_VALUE"""),"warsawluxury")</f>
        <v>warsawluxury</v>
      </c>
    </row>
    <row r="4562">
      <c r="A4562" s="8" t="str">
        <f>IFERROR(__xludf.DUMMYFUNCTION("""COMPUTED_VALUE"""),"julikamakeup")</f>
        <v>julikamakeup</v>
      </c>
    </row>
    <row r="4563">
      <c r="A4563" s="8" t="str">
        <f>IFERROR(__xludf.DUMMYFUNCTION("""COMPUTED_VALUE"""),"tinatmakeup")</f>
        <v>tinatmakeup</v>
      </c>
    </row>
    <row r="4564">
      <c r="A4564" s="8" t="str">
        <f>IFERROR(__xludf.DUMMYFUNCTION("""COMPUTED_VALUE"""),"chikalo_yana")</f>
        <v>chikalo_yana</v>
      </c>
    </row>
    <row r="4565">
      <c r="A4565" s="8" t="str">
        <f>IFERROR(__xludf.DUMMYFUNCTION("""COMPUTED_VALUE"""),"elena__cherkashina")</f>
        <v>elena__cherkashina</v>
      </c>
    </row>
    <row r="4566">
      <c r="A4566" s="8" t="str">
        <f>IFERROR(__xludf.DUMMYFUNCTION("""COMPUTED_VALUE"""),"bronzeandglow_makeup")</f>
        <v>bronzeandglow_makeup</v>
      </c>
    </row>
    <row r="4567">
      <c r="A4567" s="8" t="str">
        <f>IFERROR(__xludf.DUMMYFUNCTION("""COMPUTED_VALUE"""),"brownsugar_ie")</f>
        <v>brownsugar_ie</v>
      </c>
    </row>
    <row r="4568">
      <c r="A4568" s="8" t="str">
        <f>IFERROR(__xludf.DUMMYFUNCTION("""COMPUTED_VALUE"""),"cakedwcian")</f>
        <v>cakedwcian</v>
      </c>
    </row>
    <row r="4569">
      <c r="A4569" s="8" t="str">
        <f>IFERROR(__xludf.DUMMYFUNCTION("""COMPUTED_VALUE"""),"victoria.dobrojan")</f>
        <v>victoria.dobrojan</v>
      </c>
    </row>
    <row r="4570">
      <c r="A4570" s="8" t="str">
        <f>IFERROR(__xludf.DUMMYFUNCTION("""COMPUTED_VALUE"""),"medinamakeupmakeup")</f>
        <v>medinamakeupmakeup</v>
      </c>
    </row>
    <row r="4571">
      <c r="A4571" s="8" t="str">
        <f>IFERROR(__xludf.DUMMYFUNCTION("""COMPUTED_VALUE"""),"anna_light_muah")</f>
        <v>anna_light_muah</v>
      </c>
    </row>
    <row r="4572">
      <c r="A4572" s="8" t="str">
        <f>IFERROR(__xludf.DUMMYFUNCTION("""COMPUTED_VALUE"""),"barskaya.mua")</f>
        <v>barskaya.mua</v>
      </c>
    </row>
    <row r="4573">
      <c r="A4573" s="8" t="str">
        <f>IFERROR(__xludf.DUMMYFUNCTION("""COMPUTED_VALUE"""),"kseyonce")</f>
        <v>kseyonce</v>
      </c>
    </row>
    <row r="4574">
      <c r="A4574" s="8" t="str">
        <f>IFERROR(__xludf.DUMMYFUNCTION("""COMPUTED_VALUE"""),"makeupbykaca_")</f>
        <v>makeupbykaca_</v>
      </c>
    </row>
    <row r="4575">
      <c r="A4575" s="8" t="str">
        <f>IFERROR(__xludf.DUMMYFUNCTION("""COMPUTED_VALUE"""),"yana_makeychik")</f>
        <v>yana_makeychik</v>
      </c>
    </row>
    <row r="4576">
      <c r="A4576" s="8" t="str">
        <f>IFERROR(__xludf.DUMMYFUNCTION("""COMPUTED_VALUE"""),"cliffbrussels")</f>
        <v>cliffbrussels</v>
      </c>
    </row>
    <row r="4577">
      <c r="A4577" s="8" t="str">
        <f>IFERROR(__xludf.DUMMYFUNCTION("""COMPUTED_VALUE"""),"acomodacoesd")</f>
        <v>acomodacoesd</v>
      </c>
    </row>
    <row r="4578">
      <c r="A4578" s="8" t="str">
        <f>IFERROR(__xludf.DUMMYFUNCTION("""COMPUTED_VALUE"""),"dublinperfumesemodapraia")</f>
        <v>dublinperfumesemodapraia</v>
      </c>
    </row>
    <row r="4579">
      <c r="A4579" s="8" t="str">
        <f>IFERROR(__xludf.DUMMYFUNCTION("""COMPUTED_VALUE"""),"kate_tii_")</f>
        <v>kate_tii_</v>
      </c>
    </row>
    <row r="4580">
      <c r="A4580" s="8" t="str">
        <f>IFERROR(__xludf.DUMMYFUNCTION("""COMPUTED_VALUE"""),"nastenkayankina")</f>
        <v>nastenkayankina</v>
      </c>
    </row>
    <row r="4581">
      <c r="A4581" s="8" t="str">
        <f>IFERROR(__xludf.DUMMYFUNCTION("""COMPUTED_VALUE"""),"moda_fryzjer")</f>
        <v>moda_fryzjer</v>
      </c>
    </row>
    <row r="4582">
      <c r="A4582" s="8" t="str">
        <f>IFERROR(__xludf.DUMMYFUNCTION("""COMPUTED_VALUE"""),"sempre_di_moda_warszawa")</f>
        <v>sempre_di_moda_warszawa</v>
      </c>
    </row>
    <row r="4583">
      <c r="A4583" s="8" t="str">
        <f>IFERROR(__xludf.DUMMYFUNCTION("""COMPUTED_VALUE"""),"nailsdublin")</f>
        <v>nailsdublin</v>
      </c>
    </row>
    <row r="4584">
      <c r="A4584" s="8" t="str">
        <f>IFERROR(__xludf.DUMMYFUNCTION("""COMPUTED_VALUE"""),"g.bar.warsaw")</f>
        <v>g.bar.warsaw</v>
      </c>
    </row>
    <row r="4585">
      <c r="A4585" s="8" t="str">
        <f>IFERROR(__xludf.DUMMYFUNCTION("""COMPUTED_VALUE"""),"ceracera.beauty")</f>
        <v>ceracera.beauty</v>
      </c>
    </row>
    <row r="4586">
      <c r="A4586" s="8" t="str">
        <f>IFERROR(__xludf.DUMMYFUNCTION("""COMPUTED_VALUE"""),"dublinperfumesemodapraia")</f>
        <v>dublinperfumesemodapraia</v>
      </c>
    </row>
    <row r="4587">
      <c r="A4587" s="8" t="str">
        <f>IFERROR(__xludf.DUMMYFUNCTION("""COMPUTED_VALUE"""),"geneva_perfumes")</f>
        <v>geneva_perfumes</v>
      </c>
    </row>
    <row r="4588">
      <c r="A4588" s="8" t="str">
        <f>IFERROR(__xludf.DUMMYFUNCTION("""COMPUTED_VALUE"""),"perfume_in__moscow")</f>
        <v>perfume_in__moscow</v>
      </c>
    </row>
    <row r="4589">
      <c r="A4589" s="8" t="str">
        <f>IFERROR(__xludf.DUMMYFUNCTION("""COMPUTED_VALUE"""),"prosto.sapi")</f>
        <v>prosto.sapi</v>
      </c>
    </row>
    <row r="4590">
      <c r="A4590" s="8" t="str">
        <f>IFERROR(__xludf.DUMMYFUNCTION("""COMPUTED_VALUE"""),"dublin_closet")</f>
        <v>dublin_closet</v>
      </c>
    </row>
    <row r="4591">
      <c r="A4591" s="8" t="str">
        <f>IFERROR(__xludf.DUMMYFUNCTION("""COMPUTED_VALUE"""),"warsawsneakerstore")</f>
        <v>warsawsneakerstore</v>
      </c>
    </row>
    <row r="4592">
      <c r="A4592" s="8" t="str">
        <f>IFERROR(__xludf.DUMMYFUNCTION("""COMPUTED_VALUE"""),"dubstreetwear")</f>
        <v>dubstreetwear</v>
      </c>
    </row>
    <row r="4593">
      <c r="A4593" s="8" t="str">
        <f>IFERROR(__xludf.DUMMYFUNCTION("""COMPUTED_VALUE"""),"moscowstreetstylee")</f>
        <v>moscowstreetstylee</v>
      </c>
    </row>
    <row r="4594">
      <c r="A4594" s="8" t="str">
        <f>IFERROR(__xludf.DUMMYFUNCTION("""COMPUTED_VALUE"""),"dublingarden")</f>
        <v>dublingarden</v>
      </c>
    </row>
    <row r="4595">
      <c r="A4595" s="8" t="str">
        <f>IFERROR(__xludf.DUMMYFUNCTION("""COMPUTED_VALUE"""),"dubstreetwear")</f>
        <v>dubstreetwear</v>
      </c>
    </row>
    <row r="4596">
      <c r="A4596" s="8" t="str">
        <f>IFERROR(__xludf.DUMMYFUNCTION("""COMPUTED_VALUE"""),"thisisalovesong")</f>
        <v>thisisalovesong</v>
      </c>
    </row>
    <row r="4597">
      <c r="A4597" s="11" t="str">
        <f>IFERROR(__xludf.DUMMYFUNCTION("""COMPUTED_VALUE"""),"wearekin.co")</f>
        <v>wearekin.co</v>
      </c>
    </row>
    <row r="4598">
      <c r="A4598" s="8" t="str">
        <f>IFERROR(__xludf.DUMMYFUNCTION("""COMPUTED_VALUE"""),"sustainablefashionstyle")</f>
        <v>sustainablefashionstyle</v>
      </c>
    </row>
    <row r="4599">
      <c r="A4599" s="8" t="str">
        <f>IFERROR(__xludf.DUMMYFUNCTION("""COMPUTED_VALUE"""),"the.w.s.s")</f>
        <v>the.w.s.s</v>
      </c>
    </row>
    <row r="4600">
      <c r="A4600" s="8" t="str">
        <f>IFERROR(__xludf.DUMMYFUNCTION("""COMPUTED_VALUE"""),"queerhawkdublin")</f>
        <v>queerhawkdublin</v>
      </c>
    </row>
    <row r="4601">
      <c r="A4601" s="8" t="str">
        <f>IFERROR(__xludf.DUMMYFUNCTION("""COMPUTED_VALUE"""),"oslo.hairstyle")</f>
        <v>oslo.hairstyle</v>
      </c>
    </row>
    <row r="4602">
      <c r="A4602" s="8" t="str">
        <f>IFERROR(__xludf.DUMMYFUNCTION("""COMPUTED_VALUE"""),"larionovanastasia")</f>
        <v>larionovanastasia</v>
      </c>
    </row>
    <row r="4603">
      <c r="A4603" s="8" t="str">
        <f>IFERROR(__xludf.DUMMYFUNCTION("""COMPUTED_VALUE"""),"theedinburghgrand")</f>
        <v>theedinburghgrand</v>
      </c>
    </row>
    <row r="4604">
      <c r="A4604" s="8" t="str">
        <f>IFERROR(__xludf.DUMMYFUNCTION("""COMPUTED_VALUE"""),"luxuryhelsinki")</f>
        <v>luxuryhelsinki</v>
      </c>
    </row>
    <row r="4605">
      <c r="A4605" s="8" t="str">
        <f>IFERROR(__xludf.DUMMYFUNCTION("""COMPUTED_VALUE"""),"midchelle_therealtor")</f>
        <v>midchelle_therealtor</v>
      </c>
    </row>
    <row r="4606">
      <c r="A4606" s="8" t="str">
        <f>IFERROR(__xludf.DUMMYFUNCTION("""COMPUTED_VALUE"""),"estefaniavalenciamakeupartist")</f>
        <v>estefaniavalenciamakeupartist</v>
      </c>
    </row>
    <row r="4607">
      <c r="A4607" s="8" t="str">
        <f>IFERROR(__xludf.DUMMYFUNCTION("""COMPUTED_VALUE"""),"allanawilsonmakeup")</f>
        <v>allanawilsonmakeup</v>
      </c>
    </row>
    <row r="4608">
      <c r="A4608" s="8" t="str">
        <f>IFERROR(__xludf.DUMMYFUNCTION("""COMPUTED_VALUE"""),"noaloft")</f>
        <v>noaloft</v>
      </c>
    </row>
    <row r="4609">
      <c r="A4609" s="8" t="str">
        <f>IFERROR(__xludf.DUMMYFUNCTION("""COMPUTED_VALUE"""),"_makeupbyshaa")</f>
        <v>_makeupbyshaa</v>
      </c>
    </row>
    <row r="4610">
      <c r="A4610" s="8" t="str">
        <f>IFERROR(__xludf.DUMMYFUNCTION("""COMPUTED_VALUE"""),"kasatka.yari")</f>
        <v>kasatka.yari</v>
      </c>
    </row>
    <row r="4611">
      <c r="A4611" s="8" t="str">
        <f>IFERROR(__xludf.DUMMYFUNCTION("""COMPUTED_VALUE"""),"veromodaoslo")</f>
        <v>veromodaoslo</v>
      </c>
    </row>
    <row r="4612">
      <c r="A4612" s="8" t="str">
        <f>IFERROR(__xludf.DUMMYFUNCTION("""COMPUTED_VALUE"""),"pepe_furnieles_valencia_")</f>
        <v>pepe_furnieles_valencia_</v>
      </c>
    </row>
    <row r="4613">
      <c r="A4613" s="8" t="str">
        <f>IFERROR(__xludf.DUMMYFUNCTION("""COMPUTED_VALUE"""),"dianas.nail.art")</f>
        <v>dianas.nail.art</v>
      </c>
    </row>
    <row r="4614">
      <c r="A4614" s="8" t="str">
        <f>IFERROR(__xludf.DUMMYFUNCTION("""COMPUTED_VALUE"""),"marseille.perfume")</f>
        <v>marseille.perfume</v>
      </c>
    </row>
    <row r="4615">
      <c r="A4615" s="8" t="str">
        <f>IFERROR(__xludf.DUMMYFUNCTION("""COMPUTED_VALUE"""),"edinburghnaturalskincare")</f>
        <v>edinburghnaturalskincare</v>
      </c>
    </row>
    <row r="4616">
      <c r="A4616" s="8" t="str">
        <f>IFERROR(__xludf.DUMMYFUNCTION("""COMPUTED_VALUE"""),"biancablovesu")</f>
        <v>biancablovesu</v>
      </c>
    </row>
    <row r="4617">
      <c r="A4617" s="8" t="str">
        <f>IFERROR(__xludf.DUMMYFUNCTION("""COMPUTED_VALUE"""),"kruzale.vzla")</f>
        <v>kruzale.vzla</v>
      </c>
    </row>
    <row r="4618">
      <c r="A4618" s="8" t="str">
        <f>IFERROR(__xludf.DUMMYFUNCTION("""COMPUTED_VALUE"""),"flip.supply")</f>
        <v>flip.supply</v>
      </c>
    </row>
    <row r="4619">
      <c r="A4619" s="8" t="str">
        <f>IFERROR(__xludf.DUMMYFUNCTION("""COMPUTED_VALUE"""),"m.ta.sneakers")</f>
        <v>m.ta.sneakers</v>
      </c>
    </row>
    <row r="4620">
      <c r="A4620" s="11" t="str">
        <f>IFERROR(__xludf.DUMMYFUNCTION("""COMPUTED_VALUE"""),"ourcommonplace.co")</f>
        <v>ourcommonplace.co</v>
      </c>
    </row>
    <row r="4621">
      <c r="A4621" s="8" t="str">
        <f>IFERROR(__xludf.DUMMYFUNCTION("""COMPUTED_VALUE"""),"sustainablefashionmatterz")</f>
        <v>sustainablefashionmatterz</v>
      </c>
    </row>
    <row r="4622">
      <c r="A4622" s="8" t="str">
        <f>IFERROR(__xludf.DUMMYFUNCTION("""COMPUTED_VALUE"""),"chrissbarber_shop")</f>
        <v>chrissbarber_shop</v>
      </c>
    </row>
    <row r="4623">
      <c r="A4623" s="8" t="str">
        <f>IFERROR(__xludf.DUMMYFUNCTION("""COMPUTED_VALUE"""),"luxurywatchlyon")</f>
        <v>luxurywatchlyon</v>
      </c>
    </row>
    <row r="4624">
      <c r="A4624" s="8" t="str">
        <f>IFERROR(__xludf.DUMMYFUNCTION("""COMPUTED_VALUE"""),"cams_beauty_")</f>
        <v>cams_beauty_</v>
      </c>
    </row>
    <row r="4625">
      <c r="A4625" s="8" t="str">
        <f>IFERROR(__xludf.DUMMYFUNCTION("""COMPUTED_VALUE"""),"_makeupbyshaa")</f>
        <v>_makeupbyshaa</v>
      </c>
    </row>
    <row r="4626">
      <c r="A4626" s="8" t="str">
        <f>IFERROR(__xludf.DUMMYFUNCTION("""COMPUTED_VALUE"""),"lyonskinstore")</f>
        <v>lyonskinstore</v>
      </c>
    </row>
    <row r="4627">
      <c r="A4627" s="8" t="str">
        <f>IFERROR(__xludf.DUMMYFUNCTION("""COMPUTED_VALUE"""),"acttd_store")</f>
        <v>acttd_store</v>
      </c>
    </row>
    <row r="4628">
      <c r="A4628" s="8" t="str">
        <f>IFERROR(__xludf.DUMMYFUNCTION("""COMPUTED_VALUE"""),"aarabhi.london")</f>
        <v>aarabhi.london</v>
      </c>
    </row>
    <row r="4629">
      <c r="A4629" s="8" t="str">
        <f>IFERROR(__xludf.DUMMYFUNCTION("""COMPUTED_VALUE"""),"lonelylabel")</f>
        <v>lonelylabel</v>
      </c>
    </row>
    <row r="4630">
      <c r="A4630" s="8" t="str">
        <f>IFERROR(__xludf.DUMMYFUNCTION("""COMPUTED_VALUE"""),"ridleylondon")</f>
        <v>ridleylondon</v>
      </c>
    </row>
    <row r="4631">
      <c r="A4631" s="8" t="str">
        <f>IFERROR(__xludf.DUMMYFUNCTION("""COMPUTED_VALUE"""),"absolute.amy")</f>
        <v>absolute.amy</v>
      </c>
    </row>
    <row r="4632">
      <c r="A4632" s="8" t="str">
        <f>IFERROR(__xludf.DUMMYFUNCTION("""COMPUTED_VALUE"""),"absolutebasics")</f>
        <v>absolutebasics</v>
      </c>
    </row>
    <row r="4633">
      <c r="A4633" s="8" t="str">
        <f>IFERROR(__xludf.DUMMYFUNCTION("""COMPUTED_VALUE"""),"absolutedu")</f>
        <v>absolutedu</v>
      </c>
    </row>
    <row r="4634">
      <c r="A4634" s="8" t="str">
        <f>IFERROR(__xludf.DUMMYFUNCTION("""COMPUTED_VALUE"""),"absolutelyamyable")</f>
        <v>absolutelyamyable</v>
      </c>
    </row>
    <row r="4635">
      <c r="A4635" s="8" t="str">
        <f>IFERROR(__xludf.DUMMYFUNCTION("""COMPUTED_VALUE"""),"absolutenutcase162")</f>
        <v>absolutenutcase162</v>
      </c>
    </row>
    <row r="4636">
      <c r="A4636" s="8" t="str">
        <f>IFERROR(__xludf.DUMMYFUNCTION("""COMPUTED_VALUE"""),"absoluterecomp")</f>
        <v>absoluterecomp</v>
      </c>
    </row>
    <row r="4637">
      <c r="A4637" s="8" t="str">
        <f>IFERROR(__xludf.DUMMYFUNCTION("""COMPUTED_VALUE"""),"the.absolutely")</f>
        <v>the.absolutely</v>
      </c>
    </row>
    <row r="4638">
      <c r="A4638" s="8" t="str">
        <f>IFERROR(__xludf.DUMMYFUNCTION("""COMPUTED_VALUE"""),"accordingtomandy")</f>
        <v>accordingtomandy</v>
      </c>
    </row>
    <row r="4639">
      <c r="A4639" s="11" t="str">
        <f>IFERROR(__xludf.DUMMYFUNCTION("""COMPUTED_VALUE"""),"accord.kz")</f>
        <v>accord.kz</v>
      </c>
    </row>
    <row r="4640">
      <c r="A4640" s="8" t="str">
        <f>IFERROR(__xludf.DUMMYFUNCTION("""COMPUTED_VALUE"""),"accordsalud")</f>
        <v>accordsalud</v>
      </c>
    </row>
    <row r="4641">
      <c r="A4641" s="8" t="str">
        <f>IFERROR(__xludf.DUMMYFUNCTION("""COMPUTED_VALUE"""),"flowaccord_rd")</f>
        <v>flowaccord_rd</v>
      </c>
    </row>
    <row r="4642">
      <c r="A4642" s="11" t="str">
        <f>IFERROR(__xludf.DUMMYFUNCTION("""COMPUTED_VALUE"""),"advertising360.in")</f>
        <v>advertising360.in</v>
      </c>
    </row>
    <row r="4643">
      <c r="A4643" s="8" t="str">
        <f>IFERROR(__xludf.DUMMYFUNCTION("""COMPUTED_VALUE"""),"advertisingweek")</f>
        <v>advertisingweek</v>
      </c>
    </row>
    <row r="4644">
      <c r="A4644" s="8" t="str">
        <f>IFERROR(__xludf.DUMMYFUNCTION("""COMPUTED_VALUE"""),"alihamidistudio")</f>
        <v>alihamidistudio</v>
      </c>
    </row>
    <row r="4645">
      <c r="A4645" s="8" t="str">
        <f>IFERROR(__xludf.DUMMYFUNCTION("""COMPUTED_VALUE"""),"iconicadvertisingarchives")</f>
        <v>iconicadvertisingarchives</v>
      </c>
    </row>
    <row r="4646">
      <c r="A4646" s="8" t="str">
        <f>IFERROR(__xludf.DUMMYFUNCTION("""COMPUTED_VALUE"""),"matty_krommy")</f>
        <v>matty_krommy</v>
      </c>
    </row>
    <row r="4647">
      <c r="A4647" s="8" t="str">
        <f>IFERROR(__xludf.DUMMYFUNCTION("""COMPUTED_VALUE"""),"mwg.advertising")</f>
        <v>mwg.advertising</v>
      </c>
    </row>
    <row r="4648">
      <c r="A4648" s="8" t="str">
        <f>IFERROR(__xludf.DUMMYFUNCTION("""COMPUTED_VALUE"""),"navandadagency")</f>
        <v>navandadagency</v>
      </c>
    </row>
    <row r="4649">
      <c r="A4649" s="8" t="str">
        <f>IFERROR(__xludf.DUMMYFUNCTION("""COMPUTED_VALUE"""),"stuffaboutadvertising")</f>
        <v>stuffaboutadvertising</v>
      </c>
    </row>
    <row r="4650">
      <c r="A4650" s="8" t="str">
        <f>IFERROR(__xludf.DUMMYFUNCTION("""COMPUTED_VALUE"""),"aestheticbycoco")</f>
        <v>aestheticbycoco</v>
      </c>
    </row>
    <row r="4651">
      <c r="A4651" s="8" t="str">
        <f>IFERROR(__xludf.DUMMYFUNCTION("""COMPUTED_VALUE"""),"aestheticsmasculinity")</f>
        <v>aestheticsmasculinity</v>
      </c>
    </row>
    <row r="4652">
      <c r="A4652" s="8" t="str">
        <f>IFERROR(__xludf.DUMMYFUNCTION("""COMPUTED_VALUE"""),"aestheticvillain")</f>
        <v>aestheticvillain</v>
      </c>
    </row>
    <row r="4653">
      <c r="A4653" s="8" t="str">
        <f>IFERROR(__xludf.DUMMYFUNCTION("""COMPUTED_VALUE"""),"aesthetistt")</f>
        <v>aesthetistt</v>
      </c>
    </row>
    <row r="4654">
      <c r="A4654" s="8" t="str">
        <f>IFERROR(__xludf.DUMMYFUNCTION("""COMPUTED_VALUE"""),"aesthxguy")</f>
        <v>aesthxguy</v>
      </c>
    </row>
    <row r="4655">
      <c r="A4655" s="8" t="str">
        <f>IFERROR(__xludf.DUMMYFUNCTION("""COMPUTED_VALUE"""),"bikesaesthetics")</f>
        <v>bikesaesthetics</v>
      </c>
    </row>
    <row r="4656">
      <c r="A4656" s="8" t="str">
        <f>IFERROR(__xludf.DUMMYFUNCTION("""COMPUTED_VALUE"""),"cosmiccgirlss")</f>
        <v>cosmiccgirlss</v>
      </c>
    </row>
    <row r="4657">
      <c r="A4657" s="11" t="str">
        <f>IFERROR(__xludf.DUMMYFUNCTION("""COMPUTED_VALUE"""),"medest.kg")</f>
        <v>medest.kg</v>
      </c>
    </row>
    <row r="4658">
      <c r="A4658" s="11" t="str">
        <f>IFERROR(__xludf.DUMMYFUNCTION("""COMPUTED_VALUE"""),"myaesthetic.ai")</f>
        <v>myaesthetic.ai</v>
      </c>
    </row>
    <row r="4659">
      <c r="A4659" s="8" t="str">
        <f>IFERROR(__xludf.DUMMYFUNCTION("""COMPUTED_VALUE"""),"now.aesthetic")</f>
        <v>now.aesthetic</v>
      </c>
    </row>
    <row r="4660">
      <c r="A4660" s="8" t="str">
        <f>IFERROR(__xludf.DUMMYFUNCTION("""COMPUTED_VALUE"""),"dublincorkdutyfree")</f>
        <v>dublincorkdutyfree</v>
      </c>
    </row>
    <row r="4661">
      <c r="A4661" s="8" t="str">
        <f>IFERROR(__xludf.DUMMYFUNCTION("""COMPUTED_VALUE"""),"aa_airport")</f>
        <v>aa_airport</v>
      </c>
    </row>
    <row r="4662">
      <c r="A4662" s="8" t="str">
        <f>IFERROR(__xludf.DUMMYFUNCTION("""COMPUTED_VALUE"""),"alexandramitroshina_life")</f>
        <v>alexandramitroshina_life</v>
      </c>
    </row>
    <row r="4663">
      <c r="A4663" s="8" t="str">
        <f>IFERROR(__xludf.DUMMYFUNCTION("""COMPUTED_VALUE"""),"ambassador")</f>
        <v>ambassador</v>
      </c>
    </row>
    <row r="4664">
      <c r="A4664" s="8" t="str">
        <f>IFERROR(__xludf.DUMMYFUNCTION("""COMPUTED_VALUE"""),"ambassadorcruiseline")</f>
        <v>ambassadorcruiseline</v>
      </c>
    </row>
    <row r="4665">
      <c r="A4665" s="8" t="str">
        <f>IFERROR(__xludf.DUMMYFUNCTION("""COMPUTED_VALUE"""),"tu_ambassador")</f>
        <v>tu_ambassador</v>
      </c>
    </row>
    <row r="4666">
      <c r="A4666" s="8" t="str">
        <f>IFERROR(__xludf.DUMMYFUNCTION("""COMPUTED_VALUE"""),"arabianaroma_ja")</f>
        <v>arabianaroma_ja</v>
      </c>
    </row>
    <row r="4667">
      <c r="A4667" s="11" t="str">
        <f>IFERROR(__xludf.DUMMYFUNCTION("""COMPUTED_VALUE"""),"aroma_lab.ru")</f>
        <v>aroma_lab.ru</v>
      </c>
    </row>
    <row r="4668">
      <c r="A4668" s="8" t="str">
        <f>IFERROR(__xludf.DUMMYFUNCTION("""COMPUTED_VALUE"""),"aroma_restaurant")</f>
        <v>aroma_restaurant</v>
      </c>
    </row>
    <row r="4669">
      <c r="A4669" s="8" t="str">
        <f>IFERROR(__xludf.DUMMYFUNCTION("""COMPUTED_VALUE"""),"aromathaispakw")</f>
        <v>aromathaispakw</v>
      </c>
    </row>
    <row r="4670">
      <c r="A4670" s="8" t="str">
        <f>IFERROR(__xludf.DUMMYFUNCTION("""COMPUTED_VALUE"""),"aroma_zone_spa")</f>
        <v>aroma_zone_spa</v>
      </c>
    </row>
    <row r="4671">
      <c r="A4671" s="8" t="str">
        <f>IFERROR(__xludf.DUMMYFUNCTION("""COMPUTED_VALUE"""),"cafeteria.aroma")</f>
        <v>cafeteria.aroma</v>
      </c>
    </row>
    <row r="4672">
      <c r="A4672" s="8" t="str">
        <f>IFERROR(__xludf.DUMMYFUNCTION("""COMPUTED_VALUE"""),"cube_aroma")</f>
        <v>cube_aroma</v>
      </c>
    </row>
    <row r="4673">
      <c r="A4673" s="8" t="str">
        <f>IFERROR(__xludf.DUMMYFUNCTION("""COMPUTED_VALUE"""),"anna_pryadko_foto_artistica")</f>
        <v>anna_pryadko_foto_artistica</v>
      </c>
    </row>
    <row r="4674">
      <c r="A4674" s="8" t="str">
        <f>IFERROR(__xludf.DUMMYFUNCTION("""COMPUTED_VALUE"""),"artistic.aestheticss")</f>
        <v>artistic.aestheticss</v>
      </c>
    </row>
    <row r="4675">
      <c r="A4675" s="8" t="str">
        <f>IFERROR(__xludf.DUMMYFUNCTION("""COMPUTED_VALUE"""),"artistic.dan")</f>
        <v>artistic.dan</v>
      </c>
    </row>
    <row r="4676">
      <c r="A4676" s="8" t="str">
        <f>IFERROR(__xludf.DUMMYFUNCTION("""COMPUTED_VALUE"""),"artistic.globe")</f>
        <v>artistic.globe</v>
      </c>
    </row>
    <row r="4677">
      <c r="A4677" s="8" t="str">
        <f>IFERROR(__xludf.DUMMYFUNCTION("""COMPUTED_VALUE"""),"artistic_viral")</f>
        <v>artistic_viral</v>
      </c>
    </row>
    <row r="4678">
      <c r="A4678" s="8" t="str">
        <f>IFERROR(__xludf.DUMMYFUNCTION("""COMPUTED_VALUE"""),"artisticwafflesvc")</f>
        <v>artisticwafflesvc</v>
      </c>
    </row>
    <row r="4679">
      <c r="A4679" s="8" t="str">
        <f>IFERROR(__xludf.DUMMYFUNCTION("""COMPUTED_VALUE"""),"dentalartistic")</f>
        <v>dentalartistic</v>
      </c>
    </row>
    <row r="4680">
      <c r="A4680" s="8" t="str">
        <f>IFERROR(__xludf.DUMMYFUNCTION("""COMPUTED_VALUE"""),"sergey.ivanov.photographer")</f>
        <v>sergey.ivanov.photographer</v>
      </c>
    </row>
    <row r="4681">
      <c r="A4681" s="8" t="str">
        <f>IFERROR(__xludf.DUMMYFUNCTION("""COMPUTED_VALUE"""),"atelierkato")</f>
        <v>atelierkato</v>
      </c>
    </row>
    <row r="4682">
      <c r="A4682" s="8" t="str">
        <f>IFERROR(__xludf.DUMMYFUNCTION("""COMPUTED_VALUE"""),"atelier_pierrot")</f>
        <v>atelier_pierrot</v>
      </c>
    </row>
    <row r="4683">
      <c r="A4683" s="8" t="str">
        <f>IFERROR(__xludf.DUMMYFUNCTION("""COMPUTED_VALUE"""),"atelier_yc")</f>
        <v>atelier_yc</v>
      </c>
    </row>
    <row r="4684">
      <c r="A4684" s="8" t="str">
        <f>IFERROR(__xludf.DUMMYFUNCTION("""COMPUTED_VALUE"""),"atpatelier")</f>
        <v>atpatelier</v>
      </c>
    </row>
    <row r="4685">
      <c r="A4685" s="8" t="str">
        <f>IFERROR(__xludf.DUMMYFUNCTION("""COMPUTED_VALUE"""),"concordia.atelier")</f>
        <v>concordia.atelier</v>
      </c>
    </row>
    <row r="4686">
      <c r="A4686" s="8" t="str">
        <f>IFERROR(__xludf.DUMMYFUNCTION("""COMPUTED_VALUE"""),"elena_lorenzoatelier")</f>
        <v>elena_lorenzoatelier</v>
      </c>
    </row>
    <row r="4687">
      <c r="A4687" s="8" t="str">
        <f>IFERROR(__xludf.DUMMYFUNCTION("""COMPUTED_VALUE"""),"haebmau.atelier")</f>
        <v>haebmau.atelier</v>
      </c>
    </row>
    <row r="4688">
      <c r="A4688" s="8" t="str">
        <f>IFERROR(__xludf.DUMMYFUNCTION("""COMPUTED_VALUE"""),"latui.atelier")</f>
        <v>latui.atelier</v>
      </c>
    </row>
    <row r="4689">
      <c r="A4689" s="8" t="str">
        <f>IFERROR(__xludf.DUMMYFUNCTION("""COMPUTED_VALUE"""),"manu_atelier")</f>
        <v>manu_atelier</v>
      </c>
    </row>
    <row r="4690">
      <c r="A4690" s="8" t="str">
        <f>IFERROR(__xludf.DUMMYFUNCTION("""COMPUTED_VALUE"""),"prudential_atelier")</f>
        <v>prudential_atelier</v>
      </c>
    </row>
    <row r="4691">
      <c r="A4691" s="8" t="str">
        <f>IFERROR(__xludf.DUMMYFUNCTION("""COMPUTED_VALUE"""),"sach_atelier")</f>
        <v>sach_atelier</v>
      </c>
    </row>
    <row r="4692">
      <c r="A4692" s="8" t="str">
        <f>IFERROR(__xludf.DUMMYFUNCTION("""COMPUTED_VALUE"""),"sak.atelier")</f>
        <v>sak.atelier</v>
      </c>
    </row>
    <row r="4693">
      <c r="A4693" s="8" t="str">
        <f>IFERROR(__xludf.DUMMYFUNCTION("""COMPUTED_VALUE"""),"soosatelier")</f>
        <v>soosatelier</v>
      </c>
    </row>
    <row r="4694">
      <c r="A4694" s="8" t="str">
        <f>IFERROR(__xludf.DUMMYFUNCTION("""COMPUTED_VALUE"""),"sv_atelier")</f>
        <v>sv_atelier</v>
      </c>
    </row>
    <row r="4695">
      <c r="A4695" s="8" t="str">
        <f>IFERROR(__xludf.DUMMYFUNCTION("""COMPUTED_VALUE"""),"volidam_atelier_")</f>
        <v>volidam_atelier_</v>
      </c>
    </row>
    <row r="4696">
      <c r="A4696" s="8" t="str">
        <f>IFERROR(__xludf.DUMMYFUNCTION("""COMPUTED_VALUE"""),"whenever.atelier")</f>
        <v>whenever.atelier</v>
      </c>
    </row>
    <row r="4697">
      <c r="A4697" s="8" t="str">
        <f>IFERROR(__xludf.DUMMYFUNCTION("""COMPUTED_VALUE"""),"atomizer")</f>
        <v>atomizer</v>
      </c>
    </row>
    <row r="4698">
      <c r="A4698" s="8" t="str">
        <f>IFERROR(__xludf.DUMMYFUNCTION("""COMPUTED_VALUE"""),"avant_garde1990")</f>
        <v>avant_garde1990</v>
      </c>
    </row>
    <row r="4699">
      <c r="A4699" s="8" t="str">
        <f>IFERROR(__xludf.DUMMYFUNCTION("""COMPUTED_VALUE"""),"avant.garde_ag")</f>
        <v>avant.garde_ag</v>
      </c>
    </row>
    <row r="4700">
      <c r="A4700" s="8" t="str">
        <f>IFERROR(__xludf.DUMMYFUNCTION("""COMPUTED_VALUE"""),"avant_garde_boutique")</f>
        <v>avant_garde_boutique</v>
      </c>
    </row>
    <row r="4701">
      <c r="A4701" s="8" t="str">
        <f>IFERROR(__xludf.DUMMYFUNCTION("""COMPUTED_VALUE"""),"avant_garden")</f>
        <v>avant_garden</v>
      </c>
    </row>
    <row r="4702">
      <c r="A4702" s="8" t="str">
        <f>IFERROR(__xludf.DUMMYFUNCTION("""COMPUTED_VALUE"""),"avantgardeoriginal")</f>
        <v>avantgardeoriginal</v>
      </c>
    </row>
    <row r="4703">
      <c r="A4703" s="8" t="str">
        <f>IFERROR(__xludf.DUMMYFUNCTION("""COMPUTED_VALUE"""),"avantgarderetails")</f>
        <v>avantgarderetails</v>
      </c>
    </row>
    <row r="4704">
      <c r="A4704" s="8" t="str">
        <f>IFERROR(__xludf.DUMMYFUNCTION("""COMPUTED_VALUE"""),"avant_garde.wear")</f>
        <v>avant_garde.wear</v>
      </c>
    </row>
    <row r="4705">
      <c r="A4705" s="8" t="str">
        <f>IFERROR(__xludf.DUMMYFUNCTION("""COMPUTED_VALUE"""),"avantgardexalapa")</f>
        <v>avantgardexalapa</v>
      </c>
    </row>
    <row r="4706">
      <c r="A4706" s="8" t="str">
        <f>IFERROR(__xludf.DUMMYFUNCTION("""COMPUTED_VALUE"""),"base.notes")</f>
        <v>base.notes</v>
      </c>
    </row>
    <row r="4707">
      <c r="A4707" s="8" t="str">
        <f>IFERROR(__xludf.DUMMYFUNCTION("""COMPUTED_VALUE"""),"bntehran")</f>
        <v>bntehran</v>
      </c>
    </row>
    <row r="4708">
      <c r="A4708" s="8" t="str">
        <f>IFERROR(__xludf.DUMMYFUNCTION("""COMPUTED_VALUE"""),"beauty_mad_gal")</f>
        <v>beauty_mad_gal</v>
      </c>
    </row>
    <row r="4709">
      <c r="A4709" s="8" t="str">
        <f>IFERROR(__xludf.DUMMYFUNCTION("""COMPUTED_VALUE"""),"beauty_theqoo")</f>
        <v>beauty_theqoo</v>
      </c>
    </row>
    <row r="4710">
      <c r="A4710" s="8" t="str">
        <f>IFERROR(__xludf.DUMMYFUNCTION("""COMPUTED_VALUE"""),"diorbeauty")</f>
        <v>diorbeauty</v>
      </c>
    </row>
    <row r="4711">
      <c r="A4711" s="8" t="str">
        <f>IFERROR(__xludf.DUMMYFUNCTION("""COMPUTED_VALUE"""),"luxebeauty")</f>
        <v>luxebeauty</v>
      </c>
    </row>
    <row r="4712">
      <c r="A4712" s="8" t="str">
        <f>IFERROR(__xludf.DUMMYFUNCTION("""COMPUTED_VALUE"""),"beauty_addict_meryem")</f>
        <v>beauty_addict_meryem</v>
      </c>
    </row>
    <row r="4713">
      <c r="A4713" s="8" t="str">
        <f>IFERROR(__xludf.DUMMYFUNCTION("""COMPUTED_VALUE"""),"beauty_.addicts_")</f>
        <v>beauty_.addicts_</v>
      </c>
    </row>
    <row r="4714">
      <c r="A4714" s="11" t="str">
        <f>IFERROR(__xludf.DUMMYFUNCTION("""COMPUTED_VALUE"""),"beautyaddicts.pe")</f>
        <v>beautyaddicts.pe</v>
      </c>
    </row>
    <row r="4715">
      <c r="A4715" s="8" t="str">
        <f>IFERROR(__xludf.DUMMYFUNCTION("""COMPUTED_VALUE"""),"beauty_adina")</f>
        <v>beauty_adina</v>
      </c>
    </row>
    <row r="4716">
      <c r="A4716" s="8" t="str">
        <f>IFERROR(__xludf.DUMMYFUNCTION("""COMPUTED_VALUE"""),"beauty_admire12")</f>
        <v>beauty_admire12</v>
      </c>
    </row>
    <row r="4717">
      <c r="A4717" s="8" t="str">
        <f>IFERROR(__xludf.DUMMYFUNCTION("""COMPUTED_VALUE"""),"beauty_adrinn2")</f>
        <v>beauty_adrinn2</v>
      </c>
    </row>
    <row r="4718">
      <c r="A4718" s="8" t="str">
        <f>IFERROR(__xludf.DUMMYFUNCTION("""COMPUTED_VALUE"""),"ryma_beautyaddict")</f>
        <v>ryma_beautyaddict</v>
      </c>
    </row>
    <row r="4719">
      <c r="A4719" s="8" t="str">
        <f>IFERROR(__xludf.DUMMYFUNCTION("""COMPUTED_VALUE"""),"julie_belanska_beauty")</f>
        <v>julie_belanska_beauty</v>
      </c>
    </row>
    <row r="4720">
      <c r="A4720" s="8" t="str">
        <f>IFERROR(__xludf.DUMMYFUNCTION("""COMPUTED_VALUE"""),"ann.littlebruke")</f>
        <v>ann.littlebruke</v>
      </c>
    </row>
    <row r="4721">
      <c r="A4721" s="8" t="str">
        <f>IFERROR(__xludf.DUMMYFUNCTION("""COMPUTED_VALUE"""),"certified_stylez_")</f>
        <v>certified_stylez_</v>
      </c>
    </row>
    <row r="4722">
      <c r="A4722" s="8" t="str">
        <f>IFERROR(__xludf.DUMMYFUNCTION("""COMPUTED_VALUE"""),"jadegodbolt")</f>
        <v>jadegodbolt</v>
      </c>
    </row>
    <row r="4723">
      <c r="A4723" s="8" t="str">
        <f>IFERROR(__xludf.DUMMYFUNCTION("""COMPUTED_VALUE"""),"kikafrutostv")</f>
        <v>kikafrutostv</v>
      </c>
    </row>
    <row r="4724">
      <c r="A4724" s="8" t="str">
        <f>IFERROR(__xludf.DUMMYFUNCTION("""COMPUTED_VALUE"""),"mis_makeover")</f>
        <v>mis_makeover</v>
      </c>
    </row>
    <row r="4725">
      <c r="A4725" s="8" t="str">
        <f>IFERROR(__xludf.DUMMYFUNCTION("""COMPUTED_VALUE"""),"naz_ankaa")</f>
        <v>naz_ankaa</v>
      </c>
    </row>
    <row r="4726">
      <c r="A4726" s="8" t="str">
        <f>IFERROR(__xludf.DUMMYFUNCTION("""COMPUTED_VALUE"""),"vatheau")</f>
        <v>vatheau</v>
      </c>
    </row>
    <row r="4727">
      <c r="A4727" s="8" t="str">
        <f>IFERROR(__xludf.DUMMYFUNCTION("""COMPUTED_VALUE"""),"beautymusical")</f>
        <v>beautymusical</v>
      </c>
    </row>
    <row r="4728">
      <c r="A4728" s="8" t="str">
        <f>IFERROR(__xludf.DUMMYFUNCTION("""COMPUTED_VALUE"""),"_beauty_spot_____")</f>
        <v>_beauty_spot_____</v>
      </c>
    </row>
    <row r="4729">
      <c r="A4729" s="8" t="str">
        <f>IFERROR(__xludf.DUMMYFUNCTION("""COMPUTED_VALUE"""),"beautyspot_cosmo")</f>
        <v>beautyspot_cosmo</v>
      </c>
    </row>
    <row r="4730">
      <c r="A4730" s="8" t="str">
        <f>IFERROR(__xludf.DUMMYFUNCTION("""COMPUTED_VALUE"""),"beautyspot.ea")</f>
        <v>beautyspot.ea</v>
      </c>
    </row>
    <row r="4731">
      <c r="A4731" s="11" t="str">
        <f>IFERROR(__xludf.DUMMYFUNCTION("""COMPUTED_VALUE"""),"beautyspot.eg")</f>
        <v>beautyspot.eg</v>
      </c>
    </row>
    <row r="4732">
      <c r="A4732" s="8" t="str">
        <f>IFERROR(__xludf.DUMMYFUNCTION("""COMPUTED_VALUE"""),"beautyspotgtm")</f>
        <v>beautyspotgtm</v>
      </c>
    </row>
    <row r="4733">
      <c r="A4733" s="8" t="str">
        <f>IFERROR(__xludf.DUMMYFUNCTION("""COMPUTED_VALUE"""),"beauty.spot.syy")</f>
        <v>beauty.spot.syy</v>
      </c>
    </row>
    <row r="4734">
      <c r="A4734" s="8" t="str">
        <f>IFERROR(__xludf.DUMMYFUNCTION("""COMPUTED_VALUE"""),"the_beautyspot_official")</f>
        <v>the_beautyspot_official</v>
      </c>
    </row>
    <row r="4735">
      <c r="A4735" s="8" t="str">
        <f>IFERROR(__xludf.DUMMYFUNCTION("""COMPUTED_VALUE"""),"blend")</f>
        <v>blend</v>
      </c>
    </row>
    <row r="4736">
      <c r="A4736" s="8" t="str">
        <f>IFERROR(__xludf.DUMMYFUNCTION("""COMPUTED_VALUE"""),"blender.official")</f>
        <v>blender.official</v>
      </c>
    </row>
    <row r="4737">
      <c r="A4737" s="8" t="str">
        <f>IFERROR(__xludf.DUMMYFUNCTION("""COMPUTED_VALUE"""),"blenders")</f>
        <v>blenders</v>
      </c>
    </row>
    <row r="4738">
      <c r="A4738" s="8" t="str">
        <f>IFERROR(__xludf.DUMMYFUNCTION("""COMPUTED_VALUE"""),"blendloungenyc")</f>
        <v>blendloungenyc</v>
      </c>
    </row>
    <row r="4739">
      <c r="A4739" s="8" t="str">
        <f>IFERROR(__xludf.DUMMYFUNCTION("""COMPUTED_VALUE"""),"blendonthewater")</f>
        <v>blendonthewater</v>
      </c>
    </row>
    <row r="4740">
      <c r="A4740" s="8" t="str">
        <f>IFERROR(__xludf.DUMMYFUNCTION("""COMPUTED_VALUE"""),"blendprojectsco")</f>
        <v>blendprojectsco</v>
      </c>
    </row>
    <row r="4741">
      <c r="A4741" s="8" t="str">
        <f>IFERROR(__xludf.DUMMYFUNCTION("""COMPUTED_VALUE"""),"blend_shop")</f>
        <v>blend_shop</v>
      </c>
    </row>
    <row r="4742">
      <c r="A4742" s="8" t="str">
        <f>IFERROR(__xludf.DUMMYFUNCTION("""COMPUTED_VALUE"""),"blendwilliamsburg")</f>
        <v>blendwilliamsburg</v>
      </c>
    </row>
    <row r="4743">
      <c r="A4743" s="8" t="str">
        <f>IFERROR(__xludf.DUMMYFUNCTION("""COMPUTED_VALUE"""),"bremer.blend")</f>
        <v>bremer.blend</v>
      </c>
    </row>
    <row r="4744">
      <c r="A4744" s="8" t="str">
        <f>IFERROR(__xludf.DUMMYFUNCTION("""COMPUTED_VALUE"""),"a_bouquet_story")</f>
        <v>a_bouquet_story</v>
      </c>
    </row>
    <row r="4745">
      <c r="A4745" s="8" t="str">
        <f>IFERROR(__xludf.DUMMYFUNCTION("""COMPUTED_VALUE"""),"bouquetsbyal")</f>
        <v>bouquetsbyal</v>
      </c>
    </row>
    <row r="4746">
      <c r="A4746" s="8" t="str">
        <f>IFERROR(__xludf.DUMMYFUNCTION("""COMPUTED_VALUE"""),"bouquetsbyruby")</f>
        <v>bouquetsbyruby</v>
      </c>
    </row>
    <row r="4747">
      <c r="A4747" s="8" t="str">
        <f>IFERROR(__xludf.DUMMYFUNCTION("""COMPUTED_VALUE"""),"bouquetsbyvic")</f>
        <v>bouquetsbyvic</v>
      </c>
    </row>
    <row r="4748">
      <c r="A4748" s="8" t="str">
        <f>IFERROR(__xludf.DUMMYFUNCTION("""COMPUTED_VALUE"""),"luxe.bouquet")</f>
        <v>luxe.bouquet</v>
      </c>
    </row>
    <row r="4749">
      <c r="A4749" s="11" t="str">
        <f>IFERROR(__xludf.DUMMYFUNCTION("""COMPUTED_VALUE"""),"piflow.id")</f>
        <v>piflow.id</v>
      </c>
    </row>
    <row r="4750">
      <c r="A4750" s="8" t="str">
        <f>IFERROR(__xludf.DUMMYFUNCTION("""COMPUTED_VALUE"""),"brandy")</f>
        <v>brandy</v>
      </c>
    </row>
    <row r="4751">
      <c r="A4751" s="8" t="str">
        <f>IFERROR(__xludf.DUMMYFUNCTION("""COMPUTED_VALUE"""),"inspiro__brand")</f>
        <v>inspiro__brand</v>
      </c>
    </row>
    <row r="4752">
      <c r="A4752" s="8" t="str">
        <f>IFERROR(__xludf.DUMMYFUNCTION("""COMPUTED_VALUE"""),"lichi_brand")</f>
        <v>lichi_brand</v>
      </c>
    </row>
    <row r="4753">
      <c r="A4753" s="8" t="str">
        <f>IFERROR(__xludf.DUMMYFUNCTION("""COMPUTED_VALUE"""),"onebyoneua")</f>
        <v>onebyoneua</v>
      </c>
    </row>
    <row r="4754">
      <c r="A4754" s="8" t="str">
        <f>IFERROR(__xludf.DUMMYFUNCTION("""COMPUTED_VALUE"""),"ori_brand_")</f>
        <v>ori_brand_</v>
      </c>
    </row>
    <row r="4755">
      <c r="A4755" s="8" t="str">
        <f>IFERROR(__xludf.DUMMYFUNCTION("""COMPUTED_VALUE"""),"activecampaign")</f>
        <v>activecampaign</v>
      </c>
    </row>
    <row r="4756">
      <c r="A4756" s="8" t="str">
        <f>IFERROR(__xludf.DUMMYFUNCTION("""COMPUTED_VALUE"""),"campaign")</f>
        <v>campaign</v>
      </c>
    </row>
    <row r="4757">
      <c r="A4757" s="8" t="str">
        <f>IFERROR(__xludf.DUMMYFUNCTION("""COMPUTED_VALUE"""),"campaignacey")</f>
        <v>campaignacey</v>
      </c>
    </row>
    <row r="4758">
      <c r="A4758" s="8" t="str">
        <f>IFERROR(__xludf.DUMMYFUNCTION("""COMPUTED_VALUE"""),"campaigncincinnati")</f>
        <v>campaigncincinnati</v>
      </c>
    </row>
    <row r="4759">
      <c r="A4759" s="8" t="str">
        <f>IFERROR(__xludf.DUMMYFUNCTION("""COMPUTED_VALUE"""),"campaignforcampsafety")</f>
        <v>campaignforcampsafety</v>
      </c>
    </row>
    <row r="4760">
      <c r="A4760" s="8" t="str">
        <f>IFERROR(__xludf.DUMMYFUNCTION("""COMPUTED_VALUE"""),"campaignzero")</f>
        <v>campaignzero</v>
      </c>
    </row>
    <row r="4761">
      <c r="A4761" s="8" t="str">
        <f>IFERROR(__xludf.DUMMYFUNCTION("""COMPUTED_VALUE"""),"humanrightscampaign")</f>
        <v>humanrightscampaign</v>
      </c>
    </row>
    <row r="4762">
      <c r="A4762" s="8" t="str">
        <f>IFERROR(__xludf.DUMMYFUNCTION("""COMPUTED_VALUE"""),"kawf_campaign")</f>
        <v>kawf_campaign</v>
      </c>
    </row>
    <row r="4763">
      <c r="A4763" s="8" t="str">
        <f>IFERROR(__xludf.DUMMYFUNCTION("""COMPUTED_VALUE"""),"noh8campaign")</f>
        <v>noh8campaign</v>
      </c>
    </row>
    <row r="4764">
      <c r="A4764" s="8" t="str">
        <f>IFERROR(__xludf.DUMMYFUNCTION("""COMPUTED_VALUE"""),"seventyfourbgc")</f>
        <v>seventyfourbgc</v>
      </c>
    </row>
    <row r="4765">
      <c r="A4765" s="8" t="str">
        <f>IFERROR(__xludf.DUMMYFUNCTION("""COMPUTED_VALUE"""),"surgecampaigning")</f>
        <v>surgecampaigning</v>
      </c>
    </row>
    <row r="4766">
      <c r="A4766" s="8" t="str">
        <f>IFERROR(__xludf.DUMMYFUNCTION("""COMPUTED_VALUE"""),"__christian.dior__")</f>
        <v>__christian.dior__</v>
      </c>
    </row>
    <row r="4767">
      <c r="A4767" s="8" t="str">
        <f>IFERROR(__xludf.DUMMYFUNCTION("""COMPUTED_VALUE"""),"__christian.dior__")</f>
        <v>__christian.dior__</v>
      </c>
    </row>
    <row r="4768">
      <c r="A4768" s="8" t="str">
        <f>IFERROR(__xludf.DUMMYFUNCTION("""COMPUTED_VALUE"""),"christian_dior_couture_")</f>
        <v>christian_dior_couture_</v>
      </c>
    </row>
    <row r="4769">
      <c r="A4769" s="8" t="str">
        <f>IFERROR(__xludf.DUMMYFUNCTION("""COMPUTED_VALUE"""),"christian_dior_couture_")</f>
        <v>christian_dior_couture_</v>
      </c>
    </row>
    <row r="4770">
      <c r="A4770" s="8" t="str">
        <f>IFERROR(__xludf.DUMMYFUNCTION("""COMPUTED_VALUE"""),"diorreign")</f>
        <v>diorreign</v>
      </c>
    </row>
    <row r="4771">
      <c r="A4771" s="8" t="str">
        <f>IFERROR(__xludf.DUMMYFUNCTION("""COMPUTED_VALUE"""),"classic")</f>
        <v>classic</v>
      </c>
    </row>
    <row r="4772">
      <c r="A4772" s="8" t="str">
        <f>IFERROR(__xludf.DUMMYFUNCTION("""COMPUTED_VALUE"""),"classic.energy")</f>
        <v>classic.energy</v>
      </c>
    </row>
    <row r="4773">
      <c r="A4773" s="8" t="str">
        <f>IFERROR(__xludf.DUMMYFUNCTION("""COMPUTED_VALUE"""),"classichorrorart")</f>
        <v>classichorrorart</v>
      </c>
    </row>
    <row r="4774">
      <c r="A4774" s="8" t="str">
        <f>IFERROR(__xludf.DUMMYFUNCTION("""COMPUTED_VALUE"""),"classic_luxury_home_")</f>
        <v>classic_luxury_home_</v>
      </c>
    </row>
    <row r="4775">
      <c r="A4775" s="8" t="str">
        <f>IFERROR(__xludf.DUMMYFUNCTION("""COMPUTED_VALUE"""),"classicusacars")</f>
        <v>classicusacars</v>
      </c>
    </row>
    <row r="4776">
      <c r="A4776" s="8" t="str">
        <f>IFERROR(__xludf.DUMMYFUNCTION("""COMPUTED_VALUE"""),"paintingsmood")</f>
        <v>paintingsmood</v>
      </c>
    </row>
    <row r="4777">
      <c r="A4777" s="8" t="str">
        <f>IFERROR(__xludf.DUMMYFUNCTION("""COMPUTED_VALUE"""),"zh_classiccar")</f>
        <v>zh_classiccar</v>
      </c>
    </row>
    <row r="4778">
      <c r="A4778" s="8" t="str">
        <f>IFERROR(__xludf.DUMMYFUNCTION("""COMPUTED_VALUE"""),"deodap_collaboration")</f>
        <v>deodap_collaboration</v>
      </c>
    </row>
    <row r="4779">
      <c r="A4779" s="8" t="str">
        <f>IFERROR(__xludf.DUMMYFUNCTION("""COMPUTED_VALUE"""),"girlbosssuites")</f>
        <v>girlbosssuites</v>
      </c>
    </row>
    <row r="4780">
      <c r="A4780" s="8" t="str">
        <f>IFERROR(__xludf.DUMMYFUNCTION("""COMPUTED_VALUE"""),"women._business")</f>
        <v>women._business</v>
      </c>
    </row>
    <row r="4781">
      <c r="A4781" s="8" t="str">
        <f>IFERROR(__xludf.DUMMYFUNCTION("""COMPUTED_VALUE"""),"calcologne")</f>
        <v>calcologne</v>
      </c>
    </row>
    <row r="4782">
      <c r="A4782" s="8" t="str">
        <f>IFERROR(__xludf.DUMMYFUNCTION("""COMPUTED_VALUE"""),"cologne.house")</f>
        <v>cologne.house</v>
      </c>
    </row>
    <row r="4783">
      <c r="A4783" s="8" t="str">
        <f>IFERROR(__xludf.DUMMYFUNCTION("""COMPUTED_VALUE"""),"master.cologneofficial")</f>
        <v>master.cologneofficial</v>
      </c>
    </row>
    <row r="4784">
      <c r="A4784" s="8" t="str">
        <f>IFERROR(__xludf.DUMMYFUNCTION("""COMPUTED_VALUE"""),"master.cologne.official2")</f>
        <v>master.cologne.official2</v>
      </c>
    </row>
    <row r="4785">
      <c r="A4785" s="8" t="str">
        <f>IFERROR(__xludf.DUMMYFUNCTION("""COMPUTED_VALUE"""),"qualitycologne")</f>
        <v>qualitycologne</v>
      </c>
    </row>
    <row r="4786">
      <c r="A4786" s="8" t="str">
        <f>IFERROR(__xludf.DUMMYFUNCTION("""COMPUTED_VALUE"""),"thecolognecollection")</f>
        <v>thecolognecollection</v>
      </c>
    </row>
    <row r="4787">
      <c r="A4787" s="8" t="str">
        <f>IFERROR(__xludf.DUMMYFUNCTION("""COMPUTED_VALUE"""),"thomas_in_koeln")</f>
        <v>thomas_in_koeln</v>
      </c>
    </row>
    <row r="4788">
      <c r="A4788" s="8" t="str">
        <f>IFERROR(__xludf.DUMMYFUNCTION("""COMPUTED_VALUE"""),"bsdcommercial")</f>
        <v>bsdcommercial</v>
      </c>
    </row>
    <row r="4789">
      <c r="A4789" s="8" t="str">
        <f>IFERROR(__xludf.DUMMYFUNCTION("""COMPUTED_VALUE"""),"commercial_observer")</f>
        <v>commercial_observer</v>
      </c>
    </row>
    <row r="4790">
      <c r="A4790" s="8" t="str">
        <f>IFERROR(__xludf.DUMMYFUNCTION("""COMPUTED_VALUE"""),"fariddun_92")</f>
        <v>fariddun_92</v>
      </c>
    </row>
    <row r="4791">
      <c r="A4791" s="8" t="str">
        <f>IFERROR(__xludf.DUMMYFUNCTION("""COMPUTED_VALUE"""),"haleproductionstudios")</f>
        <v>haleproductionstudios</v>
      </c>
    </row>
    <row r="4792">
      <c r="A4792" s="8" t="str">
        <f>IFERROR(__xludf.DUMMYFUNCTION("""COMPUTED_VALUE"""),"ilcommerciale_")</f>
        <v>ilcommerciale_</v>
      </c>
    </row>
    <row r="4793">
      <c r="A4793" s="8" t="str">
        <f>IFERROR(__xludf.DUMMYFUNCTION("""COMPUTED_VALUE"""),"jmmyylee")</f>
        <v>jmmyylee</v>
      </c>
    </row>
    <row r="4794">
      <c r="A4794" s="8" t="str">
        <f>IFERROR(__xludf.DUMMYFUNCTION("""COMPUTED_VALUE"""),"memphisnews")</f>
        <v>memphisnews</v>
      </c>
    </row>
    <row r="4795">
      <c r="A4795" s="8" t="str">
        <f>IFERROR(__xludf.DUMMYFUNCTION("""COMPUTED_VALUE"""),"tiffannryland")</f>
        <v>tiffannryland</v>
      </c>
    </row>
    <row r="4796">
      <c r="A4796" s="8" t="str">
        <f>IFERROR(__xludf.DUMMYFUNCTION("""COMPUTED_VALUE"""),"composition")</f>
        <v>composition</v>
      </c>
    </row>
    <row r="4797">
      <c r="A4797" s="11" t="str">
        <f>IFERROR(__xludf.DUMMYFUNCTION("""COMPUTED_VALUE"""),"compositionschool.ir")</f>
        <v>compositionschool.ir</v>
      </c>
    </row>
    <row r="4798">
      <c r="A4798" s="8" t="str">
        <f>IFERROR(__xludf.DUMMYFUNCTION("""COMPUTED_VALUE"""),"concoctionzz")</f>
        <v>concoctionzz</v>
      </c>
    </row>
    <row r="4799">
      <c r="A4799" s="8" t="str">
        <f>IFERROR(__xludf.DUMMYFUNCTION("""COMPUTED_VALUE"""),"craftsmanship_tutorials")</f>
        <v>craftsmanship_tutorials</v>
      </c>
    </row>
    <row r="4800">
      <c r="A4800" s="8" t="str">
        <f>IFERROR(__xludf.DUMMYFUNCTION("""COMPUTED_VALUE"""),"5ms_creation")</f>
        <v>5ms_creation</v>
      </c>
    </row>
    <row r="4801">
      <c r="A4801" s="8" t="str">
        <f>IFERROR(__xludf.DUMMYFUNCTION("""COMPUTED_VALUE"""),"creationent")</f>
        <v>creationent</v>
      </c>
    </row>
    <row r="4802">
      <c r="A4802" s="8" t="str">
        <f>IFERROR(__xludf.DUMMYFUNCTION("""COMPUTED_VALUE"""),"creationsross")</f>
        <v>creationsross</v>
      </c>
    </row>
    <row r="4803">
      <c r="A4803" s="8" t="str">
        <f>IFERROR(__xludf.DUMMYFUNCTION("""COMPUTED_VALUE"""),"creationwithjacki")</f>
        <v>creationwithjacki</v>
      </c>
    </row>
    <row r="4804">
      <c r="A4804" s="8" t="str">
        <f>IFERROR(__xludf.DUMMYFUNCTION("""COMPUTED_VALUE"""),"dip.creation_")</f>
        <v>dip.creation_</v>
      </c>
    </row>
    <row r="4805">
      <c r="A4805" s="8" t="str">
        <f>IFERROR(__xludf.DUMMYFUNCTION("""COMPUTED_VALUE"""),"dream_creation_studio_")</f>
        <v>dream_creation_studio_</v>
      </c>
    </row>
    <row r="4806">
      <c r="A4806" s="8" t="str">
        <f>IFERROR(__xludf.DUMMYFUNCTION("""COMPUTED_VALUE"""),"gk_creation_801")</f>
        <v>gk_creation_801</v>
      </c>
    </row>
    <row r="4807">
      <c r="A4807" s="8" t="str">
        <f>IFERROR(__xludf.DUMMYFUNCTION("""COMPUTED_VALUE"""),"inc_creation")</f>
        <v>inc_creation</v>
      </c>
    </row>
    <row r="4808">
      <c r="A4808" s="8" t="str">
        <f>IFERROR(__xludf.DUMMYFUNCTION("""COMPUTED_VALUE"""),"jk_creation__09_")</f>
        <v>jk_creation__09_</v>
      </c>
    </row>
    <row r="4809">
      <c r="A4809" s="8" t="str">
        <f>IFERROR(__xludf.DUMMYFUNCTION("""COMPUTED_VALUE"""),"jk__creation_status")</f>
        <v>jk__creation_status</v>
      </c>
    </row>
    <row r="4810">
      <c r="A4810" s="8" t="str">
        <f>IFERROR(__xludf.DUMMYFUNCTION("""COMPUTED_VALUE"""),"mohitcreation1111")</f>
        <v>mohitcreation1111</v>
      </c>
    </row>
    <row r="4811">
      <c r="A4811" s="8" t="str">
        <f>IFERROR(__xludf.DUMMYFUNCTION("""COMPUTED_VALUE"""),"riya_creations27")</f>
        <v>riya_creations27</v>
      </c>
    </row>
    <row r="4812">
      <c r="A4812" s="8" t="str">
        <f>IFERROR(__xludf.DUMMYFUNCTION("""COMPUTED_VALUE"""),"royal_creation__09")</f>
        <v>royal_creation__09</v>
      </c>
    </row>
    <row r="4813">
      <c r="A4813" s="8" t="str">
        <f>IFERROR(__xludf.DUMMYFUNCTION("""COMPUTED_VALUE"""),"sid_creation._")</f>
        <v>sid_creation._</v>
      </c>
    </row>
    <row r="4814">
      <c r="A4814" s="8" t="str">
        <f>IFERROR(__xludf.DUMMYFUNCTION("""COMPUTED_VALUE"""),"sk__creation_4k")</f>
        <v>sk__creation_4k</v>
      </c>
    </row>
    <row r="4815">
      <c r="A4815" s="8" t="str">
        <f>IFERROR(__xludf.DUMMYFUNCTION("""COMPUTED_VALUE"""),"sur_icreation")</f>
        <v>sur_icreation</v>
      </c>
    </row>
    <row r="4816">
      <c r="A4816" s="8" t="str">
        <f>IFERROR(__xludf.DUMMYFUNCTION("""COMPUTED_VALUE"""),"vv_creation_s")</f>
        <v>vv_creation_s</v>
      </c>
    </row>
    <row r="4817">
      <c r="A4817" s="8" t="str">
        <f>IFERROR(__xludf.DUMMYFUNCTION("""COMPUTED_VALUE"""),"a4_creative_37")</f>
        <v>a4_creative_37</v>
      </c>
    </row>
    <row r="4818">
      <c r="A4818" s="8" t="str">
        <f>IFERROR(__xludf.DUMMYFUNCTION("""COMPUTED_VALUE"""),"arlan_creative")</f>
        <v>arlan_creative</v>
      </c>
    </row>
    <row r="4819">
      <c r="A4819" s="8" t="str">
        <f>IFERROR(__xludf.DUMMYFUNCTION("""COMPUTED_VALUE"""),"creative2_7")</f>
        <v>creative2_7</v>
      </c>
    </row>
    <row r="4820">
      <c r="A4820" s="8" t="str">
        <f>IFERROR(__xludf.DUMMYFUNCTION("""COMPUTED_VALUE"""),"creative__99")</f>
        <v>creative__99</v>
      </c>
    </row>
    <row r="4821">
      <c r="A4821" s="8" t="str">
        <f>IFERROR(__xludf.DUMMYFUNCTION("""COMPUTED_VALUE"""),"creative_abhii_")</f>
        <v>creative_abhii_</v>
      </c>
    </row>
    <row r="4822">
      <c r="A4822" s="8" t="str">
        <f>IFERROR(__xludf.DUMMYFUNCTION("""COMPUTED_VALUE"""),"creativeartistsagency")</f>
        <v>creativeartistsagency</v>
      </c>
    </row>
    <row r="4823">
      <c r="A4823" s="8" t="str">
        <f>IFERROR(__xludf.DUMMYFUNCTION("""COMPUTED_VALUE"""),"creativebanx")</f>
        <v>creativebanx</v>
      </c>
    </row>
    <row r="4824">
      <c r="A4824" s="8" t="str">
        <f>IFERROR(__xludf.DUMMYFUNCTION("""COMPUTED_VALUE"""),"creativebespoke")</f>
        <v>creativebespoke</v>
      </c>
    </row>
    <row r="4825">
      <c r="A4825" s="8" t="str">
        <f>IFERROR(__xludf.DUMMYFUNCTION("""COMPUTED_VALUE"""),"creative_.circle")</f>
        <v>creative_.circle</v>
      </c>
    </row>
    <row r="4826">
      <c r="A4826" s="8" t="str">
        <f>IFERROR(__xludf.DUMMYFUNCTION("""COMPUTED_VALUE"""),"creative_explained")</f>
        <v>creative_explained</v>
      </c>
    </row>
    <row r="4827">
      <c r="A4827" s="8" t="str">
        <f>IFERROR(__xludf.DUMMYFUNCTION("""COMPUTED_VALUE"""),"creative_insann")</f>
        <v>creative_insann</v>
      </c>
    </row>
    <row r="4828">
      <c r="A4828" s="8" t="str">
        <f>IFERROR(__xludf.DUMMYFUNCTION("""COMPUTED_VALUE"""),"creative_memss")</f>
        <v>creative_memss</v>
      </c>
    </row>
    <row r="4829">
      <c r="A4829" s="8" t="str">
        <f>IFERROR(__xludf.DUMMYFUNCTION("""COMPUTED_VALUE"""),"creative.punch")</f>
        <v>creative.punch</v>
      </c>
    </row>
    <row r="4830">
      <c r="A4830" s="8" t="str">
        <f>IFERROR(__xludf.DUMMYFUNCTION("""COMPUTED_VALUE"""),"creative_viip")</f>
        <v>creative_viip</v>
      </c>
    </row>
    <row r="4831">
      <c r="A4831" s="8" t="str">
        <f>IFERROR(__xludf.DUMMYFUNCTION("""COMPUTED_VALUE"""),"hecreative")</f>
        <v>hecreative</v>
      </c>
    </row>
    <row r="4832">
      <c r="A4832" s="11" t="str">
        <f>IFERROR(__xludf.DUMMYFUNCTION("""COMPUTED_VALUE"""),"delicat.eg")</f>
        <v>delicat.eg</v>
      </c>
    </row>
    <row r="4833">
      <c r="A4833" s="8" t="str">
        <f>IFERROR(__xludf.DUMMYFUNCTION("""COMPUTED_VALUE"""),"delicate.jewelz")</f>
        <v>delicate.jewelz</v>
      </c>
    </row>
    <row r="4834">
      <c r="A4834" s="8" t="str">
        <f>IFERROR(__xludf.DUMMYFUNCTION("""COMPUTED_VALUE"""),"delicatelinks")</f>
        <v>delicatelinks</v>
      </c>
    </row>
    <row r="4835">
      <c r="A4835" s="8" t="str">
        <f>IFERROR(__xludf.DUMMYFUNCTION("""COMPUTED_VALUE"""),"delicatemasc")</f>
        <v>delicatemasc</v>
      </c>
    </row>
    <row r="4836">
      <c r="A4836" s="8" t="str">
        <f>IFERROR(__xludf.DUMMYFUNCTION("""COMPUTED_VALUE"""),"delicatesquash")</f>
        <v>delicatesquash</v>
      </c>
    </row>
    <row r="4837">
      <c r="A4837" s="8" t="str">
        <f>IFERROR(__xludf.DUMMYFUNCTION("""COMPUTED_VALUE"""),"delicatesteve")</f>
        <v>delicatesteve</v>
      </c>
    </row>
    <row r="4838">
      <c r="A4838" s="8" t="str">
        <f>IFERROR(__xludf.DUMMYFUNCTION("""COMPUTED_VALUE"""),"katzsdeli")</f>
        <v>katzsdeli</v>
      </c>
    </row>
    <row r="4839">
      <c r="A4839" s="8" t="str">
        <f>IFERROR(__xludf.DUMMYFUNCTION("""COMPUTED_VALUE"""),"a_design_lab")</f>
        <v>a_design_lab</v>
      </c>
    </row>
    <row r="4840">
      <c r="A4840" s="8" t="str">
        <f>IFERROR(__xludf.DUMMYFUNCTION("""COMPUTED_VALUE"""),"design")</f>
        <v>design</v>
      </c>
    </row>
    <row r="4841">
      <c r="A4841" s="8" t="str">
        <f>IFERROR(__xludf.DUMMYFUNCTION("""COMPUTED_VALUE"""),"designmilk")</f>
        <v>designmilk</v>
      </c>
    </row>
    <row r="4842">
      <c r="A4842" s="8" t="str">
        <f>IFERROR(__xludf.DUMMYFUNCTION("""COMPUTED_VALUE"""),"design.only")</f>
        <v>design.only</v>
      </c>
    </row>
    <row r="4843">
      <c r="A4843" s="8" t="str">
        <f>IFERROR(__xludf.DUMMYFUNCTION("""COMPUTED_VALUE"""),"haydesign")</f>
        <v>haydesign</v>
      </c>
    </row>
    <row r="4844">
      <c r="A4844" s="8" t="str">
        <f>IFERROR(__xludf.DUMMYFUNCTION("""COMPUTED_VALUE"""),"mt.dessign")</f>
        <v>mt.dessign</v>
      </c>
    </row>
    <row r="4845">
      <c r="A4845" s="8" t="str">
        <f>IFERROR(__xludf.DUMMYFUNCTION("""COMPUTED_VALUE"""),"numen_design")</f>
        <v>numen_design</v>
      </c>
    </row>
    <row r="4846">
      <c r="A4846" s="8" t="str">
        <f>IFERROR(__xludf.DUMMYFUNCTION("""COMPUTED_VALUE"""),"out_of_design")</f>
        <v>out_of_design</v>
      </c>
    </row>
    <row r="4847">
      <c r="A4847" s="8" t="str">
        <f>IFERROR(__xludf.DUMMYFUNCTION("""COMPUTED_VALUE"""),"phai.design")</f>
        <v>phai.design</v>
      </c>
    </row>
    <row r="4848">
      <c r="A4848" s="8" t="str">
        <f>IFERROR(__xludf.DUMMYFUNCTION("""COMPUTED_VALUE"""),"wanderer_design")</f>
        <v>wanderer_design</v>
      </c>
    </row>
    <row r="4849">
      <c r="A4849" s="8" t="str">
        <f>IFERROR(__xludf.DUMMYFUNCTION("""COMPUTED_VALUE"""),"commercial_interior_design")</f>
        <v>commercial_interior_design</v>
      </c>
    </row>
    <row r="4850">
      <c r="A4850" s="8" t="str">
        <f>IFERROR(__xludf.DUMMYFUNCTION("""COMPUTED_VALUE"""),"day.crafter")</f>
        <v>day.crafter</v>
      </c>
    </row>
    <row r="4851">
      <c r="A4851" s="8" t="str">
        <f>IFERROR(__xludf.DUMMYFUNCTION("""COMPUTED_VALUE"""),"diffusereality")</f>
        <v>diffusereality</v>
      </c>
    </row>
    <row r="4852">
      <c r="A4852" s="8" t="str">
        <f>IFERROR(__xludf.DUMMYFUNCTION("""COMPUTED_VALUE"""),"diffusernigeria")</f>
        <v>diffusernigeria</v>
      </c>
    </row>
    <row r="4853">
      <c r="A4853" s="8" t="str">
        <f>IFERROR(__xludf.DUMMYFUNCTION("""COMPUTED_VALUE"""),"flairdiffusers")</f>
        <v>flairdiffusers</v>
      </c>
    </row>
    <row r="4854">
      <c r="A4854" s="8" t="str">
        <f>IFERROR(__xludf.DUMMYFUNCTION("""COMPUTED_VALUE"""),"luxurys_reed_diffuser")</f>
        <v>luxurys_reed_diffuser</v>
      </c>
    </row>
    <row r="4855">
      <c r="A4855" s="8" t="str">
        <f>IFERROR(__xludf.DUMMYFUNCTION("""COMPUTED_VALUE"""),"004.jentro")</f>
        <v>004.jentro</v>
      </c>
    </row>
    <row r="4856">
      <c r="A4856" s="8" t="str">
        <f>IFERROR(__xludf.DUMMYFUNCTION("""COMPUTED_VALUE"""),"alldiorlovers")</f>
        <v>alldiorlovers</v>
      </c>
    </row>
    <row r="4857">
      <c r="A4857" s="8" t="str">
        <f>IFERROR(__xludf.DUMMYFUNCTION("""COMPUTED_VALUE"""),"alldiorlovers")</f>
        <v>alldiorlovers</v>
      </c>
    </row>
    <row r="4858">
      <c r="A4858" s="8" t="str">
        <f>IFERROR(__xludf.DUMMYFUNCTION("""COMPUTED_VALUE"""),"dianydior")</f>
        <v>dianydior</v>
      </c>
    </row>
    <row r="4859">
      <c r="A4859" s="8" t="str">
        <f>IFERROR(__xludf.DUMMYFUNCTION("""COMPUTED_VALUE"""),"dior")</f>
        <v>dior</v>
      </c>
    </row>
    <row r="4860">
      <c r="A4860" s="8" t="str">
        <f>IFERROR(__xludf.DUMMYFUNCTION("""COMPUTED_VALUE"""),"dior")</f>
        <v>dior</v>
      </c>
    </row>
    <row r="4861">
      <c r="A4861" s="8" t="str">
        <f>IFERROR(__xludf.DUMMYFUNCTION("""COMPUTED_VALUE"""),"di.or")</f>
        <v>di.or</v>
      </c>
    </row>
    <row r="4862">
      <c r="A4862" s="8" t="str">
        <f>IFERROR(__xludf.DUMMYFUNCTION("""COMPUTED_VALUE"""),"di.or")</f>
        <v>di.or</v>
      </c>
    </row>
    <row r="4863">
      <c r="A4863" s="8" t="str">
        <f>IFERROR(__xludf.DUMMYFUNCTION("""COMPUTED_VALUE"""),"diorbeauty")</f>
        <v>diorbeauty</v>
      </c>
    </row>
    <row r="4864">
      <c r="A4864" s="8" t="str">
        <f>IFERROR(__xludf.DUMMYFUNCTION("""COMPUTED_VALUE"""),"diorbeauty")</f>
        <v>diorbeauty</v>
      </c>
    </row>
    <row r="4865">
      <c r="A4865" s="8" t="str">
        <f>IFERROR(__xludf.DUMMYFUNCTION("""COMPUTED_VALUE"""),"diorbeautylovers")</f>
        <v>diorbeautylovers</v>
      </c>
    </row>
    <row r="4866">
      <c r="A4866" s="8" t="str">
        <f>IFERROR(__xludf.DUMMYFUNCTION("""COMPUTED_VALUE"""),"diorbelisecheverria")</f>
        <v>diorbelisecheverria</v>
      </c>
    </row>
    <row r="4867">
      <c r="A4867" s="8" t="str">
        <f>IFERROR(__xludf.DUMMYFUNCTION("""COMPUTED_VALUE"""),"dior.d3e")</f>
        <v>dior.d3e</v>
      </c>
    </row>
    <row r="4868">
      <c r="A4868" s="8" t="str">
        <f>IFERROR(__xludf.DUMMYFUNCTION("""COMPUTED_VALUE"""),"dior.d3e")</f>
        <v>dior.d3e</v>
      </c>
    </row>
    <row r="4869">
      <c r="A4869" s="8" t="str">
        <f>IFERROR(__xludf.DUMMYFUNCTION("""COMPUTED_VALUE"""),"diormhx")</f>
        <v>diormhx</v>
      </c>
    </row>
    <row r="4870">
      <c r="A4870" s="8" t="str">
        <f>IFERROR(__xludf.DUMMYFUNCTION("""COMPUTED_VALUE"""),"dior.n.goodjohn")</f>
        <v>dior.n.goodjohn</v>
      </c>
    </row>
    <row r="4871">
      <c r="A4871" s="8" t="str">
        <f>IFERROR(__xludf.DUMMYFUNCTION("""COMPUTED_VALUE"""),"dior.n.goodjohn")</f>
        <v>dior.n.goodjohn</v>
      </c>
    </row>
    <row r="4872">
      <c r="A4872" s="8" t="str">
        <f>IFERROR(__xludf.DUMMYFUNCTION("""COMPUTED_VALUE"""),"diorr")</f>
        <v>diorr</v>
      </c>
    </row>
    <row r="4873">
      <c r="A4873" s="8" t="str">
        <f>IFERROR(__xludf.DUMMYFUNCTION("""COMPUTED_VALUE"""),"diorveneracion")</f>
        <v>diorveneracion</v>
      </c>
    </row>
    <row r="4874">
      <c r="A4874" s="8" t="str">
        <f>IFERROR(__xludf.DUMMYFUNCTION("""COMPUTED_VALUE"""),"diorveneracion")</f>
        <v>diorveneracion</v>
      </c>
    </row>
    <row r="4875">
      <c r="A4875" s="8" t="str">
        <f>IFERROR(__xludf.DUMMYFUNCTION("""COMPUTED_VALUE"""),"diorvsyou")</f>
        <v>diorvsyou</v>
      </c>
    </row>
    <row r="4876">
      <c r="A4876" s="8" t="str">
        <f>IFERROR(__xludf.DUMMYFUNCTION("""COMPUTED_VALUE"""),"fefediorr")</f>
        <v>fefediorr</v>
      </c>
    </row>
    <row r="4877">
      <c r="A4877" s="8" t="str">
        <f>IFERROR(__xludf.DUMMYFUNCTION("""COMPUTED_VALUE"""),"fefediorr")</f>
        <v>fefediorr</v>
      </c>
    </row>
    <row r="4878">
      <c r="A4878" s="8" t="str">
        <f>IFERROR(__xludf.DUMMYFUNCTION("""COMPUTED_VALUE"""),"girlsfordior")</f>
        <v>girlsfordior</v>
      </c>
    </row>
    <row r="4879">
      <c r="A4879" s="8" t="str">
        <f>IFERROR(__xludf.DUMMYFUNCTION("""COMPUTED_VALUE"""),"ygdior")</f>
        <v>ygdior</v>
      </c>
    </row>
    <row r="4880">
      <c r="A4880" s="8" t="str">
        <f>IFERROR(__xludf.DUMMYFUNCTION("""COMPUTED_VALUE"""),"dior.accessoriess")</f>
        <v>dior.accessoriess</v>
      </c>
    </row>
    <row r="4881">
      <c r="A4881" s="8" t="str">
        <f>IFERROR(__xludf.DUMMYFUNCTION("""COMPUTED_VALUE"""),"diorad")</f>
        <v>diorad</v>
      </c>
    </row>
    <row r="4882">
      <c r="A4882" s="8" t="str">
        <f>IFERROR(__xludf.DUMMYFUNCTION("""COMPUTED_VALUE"""),"diora.daily")</f>
        <v>diora.daily</v>
      </c>
    </row>
    <row r="4883">
      <c r="A4883" s="8" t="str">
        <f>IFERROR(__xludf.DUMMYFUNCTION("""COMPUTED_VALUE"""),"dior_backstage2")</f>
        <v>dior_backstage2</v>
      </c>
    </row>
    <row r="4884">
      <c r="A4884" s="8" t="str">
        <f>IFERROR(__xludf.DUMMYFUNCTION("""COMPUTED_VALUE"""),"diorbeauty")</f>
        <v>diorbeauty</v>
      </c>
    </row>
    <row r="4885">
      <c r="A4885" s="8" t="str">
        <f>IFERROR(__xludf.DUMMYFUNCTION("""COMPUTED_VALUE"""),"diorbeautylovers")</f>
        <v>diorbeautylovers</v>
      </c>
    </row>
    <row r="4886">
      <c r="A4886" s="8" t="str">
        <f>IFERROR(__xludf.DUMMYFUNCTION("""COMPUTED_VALUE"""),"diorbeautysaopaulo")</f>
        <v>diorbeautysaopaulo</v>
      </c>
    </row>
    <row r="4887">
      <c r="A4887" s="8" t="str">
        <f>IFERROR(__xludf.DUMMYFUNCTION("""COMPUTED_VALUE"""),"dior_boutique_iq")</f>
        <v>dior_boutique_iq</v>
      </c>
    </row>
    <row r="4888">
      <c r="A4888" s="8" t="str">
        <f>IFERROR(__xludf.DUMMYFUNCTION("""COMPUTED_VALUE"""),"celebritynfts")</f>
        <v>celebritynfts</v>
      </c>
    </row>
    <row r="4889">
      <c r="A4889" s="8" t="str">
        <f>IFERROR(__xludf.DUMMYFUNCTION("""COMPUTED_VALUE"""),"dorrin__collection")</f>
        <v>dorrin__collection</v>
      </c>
    </row>
    <row r="4890">
      <c r="A4890" s="8" t="str">
        <f>IFERROR(__xludf.DUMMYFUNCTION("""COMPUTED_VALUE"""),"simdiorcollection")</f>
        <v>simdiorcollection</v>
      </c>
    </row>
    <row r="4891">
      <c r="A4891" s="8" t="str">
        <f>IFERROR(__xludf.DUMMYFUNCTION("""COMPUTED_VALUE"""),"christian_dior_couture_")</f>
        <v>christian_dior_couture_</v>
      </c>
    </row>
    <row r="4892">
      <c r="A4892" s="8" t="str">
        <f>IFERROR(__xludf.DUMMYFUNCTION("""COMPUTED_VALUE"""),"diordresses1")</f>
        <v>diordresses1</v>
      </c>
    </row>
    <row r="4893">
      <c r="A4893" s="8" t="str">
        <f>IFERROR(__xludf.DUMMYFUNCTION("""COMPUTED_VALUE"""),"_dior_events_")</f>
        <v>_dior_events_</v>
      </c>
    </row>
    <row r="4894">
      <c r="A4894" s="8" t="str">
        <f>IFERROR(__xludf.DUMMYFUNCTION("""COMPUTED_VALUE"""),"doralfashionweekoficial")</f>
        <v>doralfashionweekoficial</v>
      </c>
    </row>
    <row r="4895">
      <c r="A4895" s="8" t="str">
        <f>IFERROR(__xludf.DUMMYFUNCTION("""COMPUTED_VALUE"""),"dior_backstage2")</f>
        <v>dior_backstage2</v>
      </c>
    </row>
    <row r="4896">
      <c r="A4896" s="8" t="str">
        <f>IFERROR(__xludf.DUMMYFUNCTION("""COMPUTED_VALUE"""),"diorsejewelry")</f>
        <v>diorsejewelry</v>
      </c>
    </row>
    <row r="4897">
      <c r="A4897" s="8" t="str">
        <f>IFERROR(__xludf.DUMMYFUNCTION("""COMPUTED_VALUE"""),"diorchalet")</f>
        <v>diorchalet</v>
      </c>
    </row>
    <row r="4898">
      <c r="A4898" s="8" t="str">
        <f>IFERROR(__xludf.DUMMYFUNCTION("""COMPUTED_VALUE"""),"dior_dior_makeup")</f>
        <v>dior_dior_makeup</v>
      </c>
    </row>
    <row r="4899">
      <c r="A4899" s="8" t="str">
        <f>IFERROR(__xludf.DUMMYFUNCTION("""COMPUTED_VALUE"""),"dior_makeup_1")</f>
        <v>dior_makeup_1</v>
      </c>
    </row>
    <row r="4900">
      <c r="A4900" s="8" t="str">
        <f>IFERROR(__xludf.DUMMYFUNCTION("""COMPUTED_VALUE"""),"jetsetdior")</f>
        <v>jetsetdior</v>
      </c>
    </row>
    <row r="4901">
      <c r="A4901" s="8" t="str">
        <f>IFERROR(__xludf.DUMMYFUNCTION("""COMPUTED_VALUE"""),"dioritoff")</f>
        <v>dioritoff</v>
      </c>
    </row>
    <row r="4902">
      <c r="A4902" s="8" t="str">
        <f>IFERROR(__xludf.DUMMYFUNCTION("""COMPUTED_VALUE"""),"dior_paris___")</f>
        <v>dior_paris___</v>
      </c>
    </row>
    <row r="4903">
      <c r="A4903" s="8" t="str">
        <f>IFERROR(__xludf.DUMMYFUNCTION("""COMPUTED_VALUE"""),"diorparish")</f>
        <v>diorparish</v>
      </c>
    </row>
    <row r="4904">
      <c r="A4904" s="8" t="str">
        <f>IFERROR(__xludf.DUMMYFUNCTION("""COMPUTED_VALUE"""),"dior._perfume")</f>
        <v>dior._perfume</v>
      </c>
    </row>
    <row r="4905">
      <c r="A4905" s="8" t="str">
        <f>IFERROR(__xludf.DUMMYFUNCTION("""COMPUTED_VALUE"""),"dior_store_212")</f>
        <v>dior_store_212</v>
      </c>
    </row>
    <row r="4906">
      <c r="A4906" s="8" t="str">
        <f>IFERROR(__xludf.DUMMYFUNCTION("""COMPUTED_VALUE"""),"diorstyledyou")</f>
        <v>diorstyledyou</v>
      </c>
    </row>
    <row r="4907">
      <c r="A4907" s="8" t="str">
        <f>IFERROR(__xludf.DUMMYFUNCTION("""COMPUTED_VALUE"""),"lady_dior_style")</f>
        <v>lady_dior_style</v>
      </c>
    </row>
    <row r="4908">
      <c r="A4908" s="8" t="str">
        <f>IFERROR(__xludf.DUMMYFUNCTION("""COMPUTED_VALUE"""),"diorosunglasses")</f>
        <v>diorosunglasses</v>
      </c>
    </row>
    <row r="4909">
      <c r="A4909" s="8" t="str">
        <f>IFERROR(__xludf.DUMMYFUNCTION("""COMPUTED_VALUE"""),"buchi.distillationlab")</f>
        <v>buchi.distillationlab</v>
      </c>
    </row>
    <row r="4910">
      <c r="A4910" s="8" t="str">
        <f>IFERROR(__xludf.DUMMYFUNCTION("""COMPUTED_VALUE"""),"drudown4real41500")</f>
        <v>drudown4real41500</v>
      </c>
    </row>
    <row r="4911">
      <c r="A4911" s="8" t="str">
        <f>IFERROR(__xludf.DUMMYFUNCTION("""COMPUTED_VALUE"""),"drydowninc")</f>
        <v>drydowninc</v>
      </c>
    </row>
    <row r="4912">
      <c r="A4912" s="8" t="str">
        <f>IFERROR(__xludf.DUMMYFUNCTION("""COMPUTED_VALUE"""),"bridgetown_dutyfree")</f>
        <v>bridgetown_dutyfree</v>
      </c>
    </row>
    <row r="4913">
      <c r="A4913" s="8" t="str">
        <f>IFERROR(__xludf.DUMMYFUNCTION("""COMPUTED_VALUE"""),"_dutyfree1")</f>
        <v>_dutyfree1</v>
      </c>
    </row>
    <row r="4914">
      <c r="A4914" s="8" t="str">
        <f>IFERROR(__xludf.DUMMYFUNCTION("""COMPUTED_VALUE"""),"dutyfree.turkey")</f>
        <v>dutyfree.turkey</v>
      </c>
    </row>
    <row r="4915">
      <c r="A4915" s="8" t="str">
        <f>IFERROR(__xludf.DUMMYFUNCTION("""COMPUTED_VALUE"""),"spaindutyfree")</f>
        <v>spaindutyfree</v>
      </c>
    </row>
    <row r="4916">
      <c r="A4916" s="8" t="str">
        <f>IFERROR(__xludf.DUMMYFUNCTION("""COMPUTED_VALUE"""),"worlddutyfreeuk")</f>
        <v>worlddutyfreeuk</v>
      </c>
    </row>
    <row r="4917">
      <c r="A4917" s="8" t="str">
        <f>IFERROR(__xludf.DUMMYFUNCTION("""COMPUTED_VALUE"""),"aombeauty.everyday")</f>
        <v>aombeauty.everyday</v>
      </c>
    </row>
    <row r="4918">
      <c r="A4918" s="8" t="str">
        <f>IFERROR(__xludf.DUMMYFUNCTION("""COMPUTED_VALUE"""),"dutyfree.beauty")</f>
        <v>dutyfree.beauty</v>
      </c>
    </row>
    <row r="4919">
      <c r="A4919" s="8" t="str">
        <f>IFERROR(__xludf.DUMMYFUNCTION("""COMPUTED_VALUE"""),"duty_free__perfume")</f>
        <v>duty_free__perfume</v>
      </c>
    </row>
    <row r="4920">
      <c r="A4920" s="8" t="str">
        <f>IFERROR(__xludf.DUMMYFUNCTION("""COMPUTED_VALUE"""),"dutyfreeperfumesssssss")</f>
        <v>dutyfreeperfumesssssss</v>
      </c>
    </row>
    <row r="4921">
      <c r="A4921" s="8" t="str">
        <f>IFERROR(__xludf.DUMMYFUNCTION("""COMPUTED_VALUE"""),"erosdutyfree")</f>
        <v>erosdutyfree</v>
      </c>
    </row>
    <row r="4922">
      <c r="A4922" s="8" t="str">
        <f>IFERROR(__xludf.DUMMYFUNCTION("""COMPUTED_VALUE"""),"sintmaartendutyfreeshopping")</f>
        <v>sintmaartendutyfreeshopping</v>
      </c>
    </row>
    <row r="4923">
      <c r="A4923" s="11" t="str">
        <f>IFERROR(__xludf.DUMMYFUNCTION("""COMPUTED_VALUE"""),"bestskin.co")</f>
        <v>bestskin.co</v>
      </c>
    </row>
    <row r="4924">
      <c r="A4924" s="8" t="str">
        <f>IFERROR(__xludf.DUMMYFUNCTION("""COMPUTED_VALUE"""),"crewskincare44")</f>
        <v>crewskincare44</v>
      </c>
    </row>
    <row r="4925">
      <c r="A4925" s="11" t="str">
        <f>IFERROR(__xludf.DUMMYFUNCTION("""COMPUTED_VALUE"""),"ffern.co")</f>
        <v>ffern.co</v>
      </c>
    </row>
    <row r="4926">
      <c r="A4926" s="8" t="str">
        <f>IFERROR(__xludf.DUMMYFUNCTION("""COMPUTED_VALUE"""),"elegance")</f>
        <v>elegance</v>
      </c>
    </row>
    <row r="4927">
      <c r="A4927" s="8" t="str">
        <f>IFERROR(__xludf.DUMMYFUNCTION("""COMPUTED_VALUE"""),"elegancebeautymakeup")</f>
        <v>elegancebeautymakeup</v>
      </c>
    </row>
    <row r="4928">
      <c r="A4928" s="8" t="str">
        <f>IFERROR(__xludf.DUMMYFUNCTION("""COMPUTED_VALUE"""),"elegance_branddd")</f>
        <v>elegance_branddd</v>
      </c>
    </row>
    <row r="4929">
      <c r="A4929" s="8" t="str">
        <f>IFERROR(__xludf.DUMMYFUNCTION("""COMPUTED_VALUE"""),"elegancefaceoff")</f>
        <v>elegancefaceoff</v>
      </c>
    </row>
    <row r="4930">
      <c r="A4930" s="8" t="str">
        <f>IFERROR(__xludf.DUMMYFUNCTION("""COMPUTED_VALUE"""),"elegancefeed")</f>
        <v>elegancefeed</v>
      </c>
    </row>
    <row r="4931">
      <c r="A4931" s="8" t="str">
        <f>IFERROR(__xludf.DUMMYFUNCTION("""COMPUTED_VALUE"""),"elegancefoods")</f>
        <v>elegancefoods</v>
      </c>
    </row>
    <row r="4932">
      <c r="A4932" s="8" t="str">
        <f>IFERROR(__xludf.DUMMYFUNCTION("""COMPUTED_VALUE"""),"elegance.grodno")</f>
        <v>elegance.grodno</v>
      </c>
    </row>
    <row r="4933">
      <c r="A4933" s="8" t="str">
        <f>IFERROR(__xludf.DUMMYFUNCTION("""COMPUTED_VALUE"""),"elegancemajesty")</f>
        <v>elegancemajesty</v>
      </c>
    </row>
    <row r="4934">
      <c r="A4934" s="8" t="str">
        <f>IFERROR(__xludf.DUMMYFUNCTION("""COMPUTED_VALUE"""),"elegance_numberone")</f>
        <v>elegance_numberone</v>
      </c>
    </row>
    <row r="4935">
      <c r="A4935" s="8" t="str">
        <f>IFERROR(__xludf.DUMMYFUNCTION("""COMPUTED_VALUE"""),"eleganceny")</f>
        <v>eleganceny</v>
      </c>
    </row>
    <row r="4936">
      <c r="A4936" s="8" t="str">
        <f>IFERROR(__xludf.DUMMYFUNCTION("""COMPUTED_VALUE"""),"modaelegancesl_")</f>
        <v>modaelegancesl_</v>
      </c>
    </row>
    <row r="4937">
      <c r="A4937" s="8" t="str">
        <f>IFERROR(__xludf.DUMMYFUNCTION("""COMPUTED_VALUE"""),"sourceofelegance")</f>
        <v>sourceofelegance</v>
      </c>
    </row>
    <row r="4938">
      <c r="A4938" s="8" t="str">
        <f>IFERROR(__xludf.DUMMYFUNCTION("""COMPUTED_VALUE"""),"elixir.byls")</f>
        <v>elixir.byls</v>
      </c>
    </row>
    <row r="4939">
      <c r="A4939" s="8" t="str">
        <f>IFERROR(__xludf.DUMMYFUNCTION("""COMPUTED_VALUE"""),"e.lixiroficial")</f>
        <v>e.lixiroficial</v>
      </c>
    </row>
    <row r="4940">
      <c r="A4940" s="8" t="str">
        <f>IFERROR(__xludf.DUMMYFUNCTION("""COMPUTED_VALUE"""),"elixirorlando")</f>
        <v>elixirorlando</v>
      </c>
    </row>
    <row r="4941">
      <c r="A4941" s="8" t="str">
        <f>IFERROR(__xludf.DUMMYFUNCTION("""COMPUTED_VALUE"""),"elixir.worldwide")</f>
        <v>elixir.worldwide</v>
      </c>
    </row>
    <row r="4942">
      <c r="A4942" s="8" t="str">
        <f>IFERROR(__xludf.DUMMYFUNCTION("""COMPUTED_VALUE"""),"essence")</f>
        <v>essence</v>
      </c>
    </row>
    <row r="4943">
      <c r="A4943" s="8" t="str">
        <f>IFERROR(__xludf.DUMMYFUNCTION("""COMPUTED_VALUE"""),"essencebyrubina")</f>
        <v>essencebyrubina</v>
      </c>
    </row>
    <row r="4944">
      <c r="A4944" s="8" t="str">
        <f>IFERROR(__xludf.DUMMYFUNCTION("""COMPUTED_VALUE"""),"essencecassh")</f>
        <v>essencecassh</v>
      </c>
    </row>
    <row r="4945">
      <c r="A4945" s="8" t="str">
        <f>IFERROR(__xludf.DUMMYFUNCTION("""COMPUTED_VALUE"""),"essenceeats_")</f>
        <v>essenceeats_</v>
      </c>
    </row>
    <row r="4946">
      <c r="A4946" s="8" t="str">
        <f>IFERROR(__xludf.DUMMYFUNCTION("""COMPUTED_VALUE"""),"essencegu_")</f>
        <v>essencegu_</v>
      </c>
    </row>
    <row r="4947">
      <c r="A4947" s="8" t="str">
        <f>IFERROR(__xludf.DUMMYFUNCTION("""COMPUTED_VALUE"""),"essence_htx")</f>
        <v>essence_htx</v>
      </c>
    </row>
    <row r="4948">
      <c r="A4948" s="8" t="str">
        <f>IFERROR(__xludf.DUMMYFUNCTION("""COMPUTED_VALUE"""),"essenceofblackculture")</f>
        <v>essenceofblackculture</v>
      </c>
    </row>
    <row r="4949">
      <c r="A4949" s="8" t="str">
        <f>IFERROR(__xludf.DUMMYFUNCTION("""COMPUTED_VALUE"""),"essencetatiana")</f>
        <v>essencetatiana</v>
      </c>
    </row>
    <row r="4950">
      <c r="A4950" s="8" t="str">
        <f>IFERROR(__xludf.DUMMYFUNCTION("""COMPUTED_VALUE"""),"nuar.essence.oficial")</f>
        <v>nuar.essence.oficial</v>
      </c>
    </row>
    <row r="4951">
      <c r="A4951" s="8" t="str">
        <f>IFERROR(__xludf.DUMMYFUNCTION("""COMPUTED_VALUE"""),"sayessence")</f>
        <v>sayessence</v>
      </c>
    </row>
    <row r="4952">
      <c r="A4952" s="8" t="str">
        <f>IFERROR(__xludf.DUMMYFUNCTION("""COMPUTED_VALUE"""),"theeonlyessence")</f>
        <v>theeonlyessence</v>
      </c>
    </row>
    <row r="4953">
      <c r="A4953" s="8" t="str">
        <f>IFERROR(__xludf.DUMMYFUNCTION("""COMPUTED_VALUE"""),"artistkitcompany")</f>
        <v>artistkitcompany</v>
      </c>
    </row>
    <row r="4954">
      <c r="A4954" s="8" t="str">
        <f>IFERROR(__xludf.DUMMYFUNCTION("""COMPUTED_VALUE"""),"babyfoodessentials")</f>
        <v>babyfoodessentials</v>
      </c>
    </row>
    <row r="4955">
      <c r="A4955" s="8" t="str">
        <f>IFERROR(__xludf.DUMMYFUNCTION("""COMPUTED_VALUE"""),"bear.essentials.outdrs")</f>
        <v>bear.essentials.outdrs</v>
      </c>
    </row>
    <row r="4956">
      <c r="A4956" s="8" t="str">
        <f>IFERROR(__xludf.DUMMYFUNCTION("""COMPUTED_VALUE"""),"boombox.essentials.hiphop")</f>
        <v>boombox.essentials.hiphop</v>
      </c>
    </row>
    <row r="4957">
      <c r="A4957" s="8" t="str">
        <f>IFERROR(__xludf.DUMMYFUNCTION("""COMPUTED_VALUE"""),"designessentials")</f>
        <v>designessentials</v>
      </c>
    </row>
    <row r="4958">
      <c r="A4958" s="8" t="str">
        <f>IFERROR(__xludf.DUMMYFUNCTION("""COMPUTED_VALUE"""),"essentials")</f>
        <v>essentials</v>
      </c>
    </row>
    <row r="4959">
      <c r="A4959" s="11" t="str">
        <f>IFERROR(__xludf.DUMMYFUNCTION("""COMPUTED_VALUE"""),"essentials.eg")</f>
        <v>essentials.eg</v>
      </c>
    </row>
    <row r="4960">
      <c r="A4960" s="8" t="str">
        <f>IFERROR(__xludf.DUMMYFUNCTION("""COMPUTED_VALUE"""),"essentials.pilates")</f>
        <v>essentials.pilates</v>
      </c>
    </row>
    <row r="4961">
      <c r="A4961" s="8" t="str">
        <f>IFERROR(__xludf.DUMMYFUNCTION("""COMPUTED_VALUE"""),"essentialsummer")</f>
        <v>essentialsummer</v>
      </c>
    </row>
    <row r="4962">
      <c r="A4962" s="8" t="str">
        <f>IFERROR(__xludf.DUMMYFUNCTION("""COMPUTED_VALUE"""),"essentialsven")</f>
        <v>essentialsven</v>
      </c>
    </row>
    <row r="4963">
      <c r="A4963" s="8" t="str">
        <f>IFERROR(__xludf.DUMMYFUNCTION("""COMPUTED_VALUE"""),"gagaessentials")</f>
        <v>gagaessentials</v>
      </c>
    </row>
    <row r="4964">
      <c r="A4964" s="8" t="str">
        <f>IFERROR(__xludf.DUMMYFUNCTION("""COMPUTED_VALUE"""),"oakessentials")</f>
        <v>oakessentials</v>
      </c>
    </row>
    <row r="4965">
      <c r="A4965" s="8" t="str">
        <f>IFERROR(__xludf.DUMMYFUNCTION("""COMPUTED_VALUE"""),"exclusivity.lima")</f>
        <v>exclusivity.lima</v>
      </c>
    </row>
    <row r="4966">
      <c r="A4966" s="8" t="str">
        <f>IFERROR(__xludf.DUMMYFUNCTION("""COMPUTED_VALUE"""),"faceaface_boutique")</f>
        <v>faceaface_boutique</v>
      </c>
    </row>
    <row r="4967">
      <c r="A4967" s="8" t="str">
        <f>IFERROR(__xludf.DUMMYFUNCTION("""COMPUTED_VALUE"""),"facedownlondon")</f>
        <v>facedownlondon</v>
      </c>
    </row>
    <row r="4968">
      <c r="A4968" s="8" t="str">
        <f>IFERROR(__xludf.DUMMYFUNCTION("""COMPUTED_VALUE"""),"facemodelsagency")</f>
        <v>facemodelsagency</v>
      </c>
    </row>
    <row r="4969">
      <c r="A4969" s="8" t="str">
        <f>IFERROR(__xludf.DUMMYFUNCTION("""COMPUTED_VALUE"""),"hanako.face")</f>
        <v>hanako.face</v>
      </c>
    </row>
    <row r="4970">
      <c r="A4970" s="11" t="str">
        <f>IFERROR(__xludf.DUMMYFUNCTION("""COMPUTED_VALUE"""),"naomi_face.it")</f>
        <v>naomi_face.it</v>
      </c>
    </row>
    <row r="4971">
      <c r="A4971" s="8" t="str">
        <f>IFERROR(__xludf.DUMMYFUNCTION("""COMPUTED_VALUE"""),"starface")</f>
        <v>starface</v>
      </c>
    </row>
    <row r="4972">
      <c r="A4972" s="8" t="str">
        <f>IFERROR(__xludf.DUMMYFUNCTION("""COMPUTED_VALUE"""),"collegegameday")</f>
        <v>collegegameday</v>
      </c>
    </row>
    <row r="4973">
      <c r="A4973" s="8" t="str">
        <f>IFERROR(__xludf.DUMMYFUNCTION("""COMPUTED_VALUE"""),"fameflora_official")</f>
        <v>fameflora_official</v>
      </c>
    </row>
    <row r="4974">
      <c r="A4974" s="8" t="str">
        <f>IFERROR(__xludf.DUMMYFUNCTION("""COMPUTED_VALUE"""),"famemmatv")</f>
        <v>famemmatv</v>
      </c>
    </row>
    <row r="4975">
      <c r="A4975" s="8" t="str">
        <f>IFERROR(__xludf.DUMMYFUNCTION("""COMPUTED_VALUE"""),"fame_sportwear")</f>
        <v>fame_sportwear</v>
      </c>
    </row>
    <row r="4976">
      <c r="A4976" s="8" t="str">
        <f>IFERROR(__xludf.DUMMYFUNCTION("""COMPUTED_VALUE"""),"fmmanews")</f>
        <v>fmmanews</v>
      </c>
    </row>
    <row r="4977">
      <c r="A4977" s="8" t="str">
        <f>IFERROR(__xludf.DUMMYFUNCTION("""COMPUTED_VALUE"""),"gamechangershow")</f>
        <v>gamechangershow</v>
      </c>
    </row>
    <row r="4978">
      <c r="A4978" s="8" t="str">
        <f>IFERROR(__xludf.DUMMYFUNCTION("""COMPUTED_VALUE"""),"phfame")</f>
        <v>phfame</v>
      </c>
    </row>
    <row r="4979">
      <c r="A4979" s="8" t="str">
        <f>IFERROR(__xludf.DUMMYFUNCTION("""COMPUTED_VALUE"""),"squidgamenetflix")</f>
        <v>squidgamenetflix</v>
      </c>
    </row>
    <row r="4980">
      <c r="A4980" s="8" t="str">
        <f>IFERROR(__xludf.DUMMYFUNCTION("""COMPUTED_VALUE"""),"71.fashion")</f>
        <v>71.fashion</v>
      </c>
    </row>
    <row r="4981">
      <c r="A4981" s="8" t="str">
        <f>IFERROR(__xludf.DUMMYFUNCTION("""COMPUTED_VALUE"""),"amfashion")</f>
        <v>amfashion</v>
      </c>
    </row>
    <row r="4982">
      <c r="A4982" s="8" t="str">
        <f>IFERROR(__xludf.DUMMYFUNCTION("""COMPUTED_VALUE"""),"cffashioninstitute")</f>
        <v>cffashioninstitute</v>
      </c>
    </row>
    <row r="4983">
      <c r="A4983" s="8" t="str">
        <f>IFERROR(__xludf.DUMMYFUNCTION("""COMPUTED_VALUE"""),"e.fashion_oficial")</f>
        <v>e.fashion_oficial</v>
      </c>
    </row>
    <row r="4984">
      <c r="A4984" s="8" t="str">
        <f>IFERROR(__xludf.DUMMYFUNCTION("""COMPUTED_VALUE"""),"fashi0nfly")</f>
        <v>fashi0nfly</v>
      </c>
    </row>
    <row r="4985">
      <c r="A4985" s="8" t="str">
        <f>IFERROR(__xludf.DUMMYFUNCTION("""COMPUTED_VALUE"""),"fashion.cds")</f>
        <v>fashion.cds</v>
      </c>
    </row>
    <row r="4986">
      <c r="A4986" s="8" t="str">
        <f>IFERROR(__xludf.DUMMYFUNCTION("""COMPUTED_VALUE"""),"fashion.connections")</f>
        <v>fashion.connections</v>
      </c>
    </row>
    <row r="4987">
      <c r="A4987" s="11" t="str">
        <f>IFERROR(__xludf.DUMMYFUNCTION("""COMPUTED_VALUE"""),"fashionmodel.it")</f>
        <v>fashionmodel.it</v>
      </c>
    </row>
    <row r="4988">
      <c r="A4988" s="8" t="str">
        <f>IFERROR(__xludf.DUMMYFUNCTION("""COMPUTED_VALUE"""),"fashion.selection")</f>
        <v>fashion.selection</v>
      </c>
    </row>
    <row r="4989">
      <c r="A4989" s="8" t="str">
        <f>IFERROR(__xludf.DUMMYFUNCTION("""COMPUTED_VALUE"""),"fashionweek")</f>
        <v>fashionweek</v>
      </c>
    </row>
    <row r="4990">
      <c r="A4990" s="8" t="str">
        <f>IFERROR(__xludf.DUMMYFUNCTION("""COMPUTED_VALUE"""),"holafashion_es")</f>
        <v>holafashion_es</v>
      </c>
    </row>
    <row r="4991">
      <c r="A4991" s="8" t="str">
        <f>IFERROR(__xludf.DUMMYFUNCTION("""COMPUTED_VALUE"""),"milanfashionweek")</f>
        <v>milanfashionweek</v>
      </c>
    </row>
    <row r="4992">
      <c r="A4992" s="8" t="str">
        <f>IFERROR(__xludf.DUMMYFUNCTION("""COMPUTED_VALUE"""),"parisfashionweek")</f>
        <v>parisfashionweek</v>
      </c>
    </row>
    <row r="4993">
      <c r="A4993" s="8" t="str">
        <f>IFERROR(__xludf.DUMMYFUNCTION("""COMPUTED_VALUE"""),"trindade_fashion")</f>
        <v>trindade_fashion</v>
      </c>
    </row>
    <row r="4994">
      <c r="A4994" s="8" t="str">
        <f>IFERROR(__xludf.DUMMYFUNCTION("""COMPUTED_VALUE"""),"ukrainianfashionweek_official")</f>
        <v>ukrainianfashionweek_official</v>
      </c>
    </row>
    <row r="4995">
      <c r="A4995" s="8" t="str">
        <f>IFERROR(__xludf.DUMMYFUNCTION("""COMPUTED_VALUE"""),"faihengesther")</f>
        <v>faihengesther</v>
      </c>
    </row>
    <row r="4996">
      <c r="A4996" s="8" t="str">
        <f>IFERROR(__xludf.DUMMYFUNCTION("""COMPUTED_VALUE"""),"varunpatelphotography")</f>
        <v>varunpatelphotography</v>
      </c>
    </row>
    <row r="4997">
      <c r="A4997" s="8" t="str">
        <f>IFERROR(__xludf.DUMMYFUNCTION("""COMPUTED_VALUE"""),"blog_formula1")</f>
        <v>blog_formula1</v>
      </c>
    </row>
    <row r="4998">
      <c r="A4998" s="8" t="str">
        <f>IFERROR(__xludf.DUMMYFUNCTION("""COMPUTED_VALUE"""),"cadillacf1")</f>
        <v>cadillacf1</v>
      </c>
    </row>
    <row r="4999">
      <c r="A4999" s="8" t="str">
        <f>IFERROR(__xludf.DUMMYFUNCTION("""COMPUTED_VALUE"""),"en_formula")</f>
        <v>en_formula</v>
      </c>
    </row>
    <row r="5000">
      <c r="A5000" s="8" t="str">
        <f>IFERROR(__xludf.DUMMYFUNCTION("""COMPUTED_VALUE"""),"f1")</f>
        <v>f1</v>
      </c>
    </row>
    <row r="5001">
      <c r="A5001" s="11" t="str">
        <f>IFERROR(__xludf.DUMMYFUNCTION("""COMPUTED_VALUE"""),"fernula.gp")</f>
        <v>fernula.gp</v>
      </c>
    </row>
    <row r="5002">
      <c r="A5002" s="8" t="str">
        <f>IFERROR(__xludf.DUMMYFUNCTION("""COMPUTED_VALUE"""),"fiaf3")</f>
        <v>fiaf3</v>
      </c>
    </row>
    <row r="5003">
      <c r="A5003" s="8" t="str">
        <f>IFERROR(__xludf.DUMMYFUNCTION("""COMPUTED_VALUE"""),"fiaformulae")</f>
        <v>fiaformulae</v>
      </c>
    </row>
    <row r="5004">
      <c r="A5004" s="8" t="str">
        <f>IFERROR(__xludf.DUMMYFUNCTION("""COMPUTED_VALUE"""),"formula2")</f>
        <v>formula2</v>
      </c>
    </row>
    <row r="5005">
      <c r="A5005" s="8" t="str">
        <f>IFERROR(__xludf.DUMMYFUNCTION("""COMPUTED_VALUE"""),"formula_bean")</f>
        <v>formula_bean</v>
      </c>
    </row>
    <row r="5006">
      <c r="A5006" s="8" t="str">
        <f>IFERROR(__xludf.DUMMYFUNCTION("""COMPUTED_VALUE"""),"formula.car.gallery")</f>
        <v>formula.car.gallery</v>
      </c>
    </row>
    <row r="5007">
      <c r="A5007" s="8" t="str">
        <f>IFERROR(__xludf.DUMMYFUNCTION("""COMPUTED_VALUE"""),"formulad")</f>
        <v>formulad</v>
      </c>
    </row>
    <row r="5008">
      <c r="A5008" s="8" t="str">
        <f>IFERROR(__xludf.DUMMYFUNCTION("""COMPUTED_VALUE"""),"formulaoriginals")</f>
        <v>formulaoriginals</v>
      </c>
    </row>
    <row r="5009">
      <c r="A5009" s="8" t="str">
        <f>IFERROR(__xludf.DUMMYFUNCTION("""COMPUTED_VALUE"""),"formula_sae_international")</f>
        <v>formula_sae_international</v>
      </c>
    </row>
    <row r="5010">
      <c r="A5010" s="8" t="str">
        <f>IFERROR(__xludf.DUMMYFUNCTION("""COMPUTED_VALUE"""),"formula_semii")</f>
        <v>formula_semii</v>
      </c>
    </row>
    <row r="5011">
      <c r="A5011" s="8" t="str">
        <f>IFERROR(__xludf.DUMMYFUNCTION("""COMPUTED_VALUE"""),"fragrancefind")</f>
        <v>fragrancefind</v>
      </c>
    </row>
    <row r="5012">
      <c r="A5012" s="8" t="str">
        <f>IFERROR(__xludf.DUMMYFUNCTION("""COMPUTED_VALUE"""),"fragranceflan")</f>
        <v>fragranceflan</v>
      </c>
    </row>
    <row r="5013">
      <c r="A5013" s="8" t="str">
        <f>IFERROR(__xludf.DUMMYFUNCTION("""COMPUTED_VALUE"""),"fragranceknowledge")</f>
        <v>fragranceknowledge</v>
      </c>
    </row>
    <row r="5014">
      <c r="A5014" s="8" t="str">
        <f>IFERROR(__xludf.DUMMYFUNCTION("""COMPUTED_VALUE"""),"fragrancenet")</f>
        <v>fragrancenet</v>
      </c>
    </row>
    <row r="5015">
      <c r="A5015" s="8" t="str">
        <f>IFERROR(__xludf.DUMMYFUNCTION("""COMPUTED_VALUE"""),"fragranceworldofficial")</f>
        <v>fragranceworldofficial</v>
      </c>
    </row>
    <row r="5016">
      <c r="A5016" s="11" t="str">
        <f>IFERROR(__xludf.DUMMYFUNCTION("""COMPUTED_VALUE"""),"fragranceworldofficial.id")</f>
        <v>fragranceworldofficial.id</v>
      </c>
    </row>
    <row r="5017">
      <c r="A5017" s="8" t="str">
        <f>IFERROR(__xludf.DUMMYFUNCTION("""COMPUTED_VALUE"""),"fragrancex")</f>
        <v>fragrancex</v>
      </c>
    </row>
    <row r="5018">
      <c r="A5018" s="8" t="str">
        <f>IFERROR(__xludf.DUMMYFUNCTION("""COMPUTED_VALUE"""),"jeremyfragrance")</f>
        <v>jeremyfragrance</v>
      </c>
    </row>
    <row r="5019">
      <c r="A5019" s="8" t="str">
        <f>IFERROR(__xludf.DUMMYFUNCTION("""COMPUTED_VALUE"""),"lelabofragrances")</f>
        <v>lelabofragrances</v>
      </c>
    </row>
    <row r="5020">
      <c r="A5020" s="8" t="str">
        <f>IFERROR(__xludf.DUMMYFUNCTION("""COMPUTED_VALUE"""),"noeldeyzel_fragrance")</f>
        <v>noeldeyzel_fragrance</v>
      </c>
    </row>
    <row r="5021">
      <c r="A5021" s="8" t="str">
        <f>IFERROR(__xludf.DUMMYFUNCTION("""COMPUTED_VALUE"""),"french.bulldog.gang")</f>
        <v>french.bulldog.gang</v>
      </c>
    </row>
    <row r="5022">
      <c r="A5022" s="8" t="str">
        <f>IFERROR(__xludf.DUMMYFUNCTION("""COMPUTED_VALUE"""),"french_bulldogs_only")</f>
        <v>french_bulldogs_only</v>
      </c>
    </row>
    <row r="5023">
      <c r="A5023" s="8" t="str">
        <f>IFERROR(__xludf.DUMMYFUNCTION("""COMPUTED_VALUE"""),"french_clips")</f>
        <v>french_clips</v>
      </c>
    </row>
    <row r="5024">
      <c r="A5024" s="8" t="str">
        <f>IFERROR(__xludf.DUMMYFUNCTION("""COMPUTED_VALUE"""),"french_funkids")</f>
        <v>french_funkids</v>
      </c>
    </row>
    <row r="5025">
      <c r="A5025" s="8" t="str">
        <f>IFERROR(__xludf.DUMMYFUNCTION("""COMPUTED_VALUE"""),"french__i")</f>
        <v>french__i</v>
      </c>
    </row>
    <row r="5026">
      <c r="A5026" s="8" t="str">
        <f>IFERROR(__xludf.DUMMYFUNCTION("""COMPUTED_VALUE"""),"french.meadows")</f>
        <v>french.meadows</v>
      </c>
    </row>
    <row r="5027">
      <c r="A5027" s="8" t="str">
        <f>IFERROR(__xludf.DUMMYFUNCTION("""COMPUTED_VALUE"""),"frenchmontana")</f>
        <v>frenchmontana</v>
      </c>
    </row>
    <row r="5028">
      <c r="A5028" s="8" t="str">
        <f>IFERROR(__xludf.DUMMYFUNCTION("""COMPUTED_VALUE"""),"frenchs")</f>
        <v>frenchs</v>
      </c>
    </row>
    <row r="5029">
      <c r="A5029" s="8" t="str">
        <f>IFERROR(__xludf.DUMMYFUNCTION("""COMPUTED_VALUE"""),"french_super")</f>
        <v>french_super</v>
      </c>
    </row>
    <row r="5030">
      <c r="A5030" s="8" t="str">
        <f>IFERROR(__xludf.DUMMYFUNCTION("""COMPUTED_VALUE"""),"french.sw")</f>
        <v>french.sw</v>
      </c>
    </row>
    <row r="5031">
      <c r="A5031" s="8" t="str">
        <f>IFERROR(__xludf.DUMMYFUNCTION("""COMPUTED_VALUE"""),"kd_french")</f>
        <v>kd_french</v>
      </c>
    </row>
    <row r="5032">
      <c r="A5032" s="8" t="str">
        <f>IFERROR(__xludf.DUMMYFUNCTION("""COMPUTED_VALUE"""),"the_french_fit")</f>
        <v>the_french_fit</v>
      </c>
    </row>
    <row r="5033">
      <c r="A5033" s="8" t="str">
        <f>IFERROR(__xludf.DUMMYFUNCTION("""COMPUTED_VALUE"""),"tyfrench")</f>
        <v>tyfrench</v>
      </c>
    </row>
    <row r="5034">
      <c r="A5034" s="8" t="str">
        <f>IFERROR(__xludf.DUMMYFUNCTION("""COMPUTED_VALUE"""),"global_brand__")</f>
        <v>global_brand__</v>
      </c>
    </row>
    <row r="5035">
      <c r="A5035" s="8" t="str">
        <f>IFERROR(__xludf.DUMMYFUNCTION("""COMPUTED_VALUE"""),"global.brands01")</f>
        <v>global.brands01</v>
      </c>
    </row>
    <row r="5036">
      <c r="A5036" s="8" t="str">
        <f>IFERROR(__xludf.DUMMYFUNCTION("""COMPUTED_VALUE"""),"global_brand_ua")</f>
        <v>global_brand_ua</v>
      </c>
    </row>
    <row r="5037">
      <c r="A5037" s="8" t="str">
        <f>IFERROR(__xludf.DUMMYFUNCTION("""COMPUTED_VALUE"""),"seyizyshotv")</f>
        <v>seyizyshotv</v>
      </c>
    </row>
    <row r="5038">
      <c r="A5038" s="8" t="str">
        <f>IFERROR(__xludf.DUMMYFUNCTION("""COMPUTED_VALUE"""),"adamo.hautecouture")</f>
        <v>adamo.hautecouture</v>
      </c>
    </row>
    <row r="5039">
      <c r="A5039" s="8" t="str">
        <f>IFERROR(__xludf.DUMMYFUNCTION("""COMPUTED_VALUE"""),"catwalkhautecouture")</f>
        <v>catwalkhautecouture</v>
      </c>
    </row>
    <row r="5040">
      <c r="A5040" s="8" t="str">
        <f>IFERROR(__xludf.DUMMYFUNCTION("""COMPUTED_VALUE"""),"haute_couture_bride")</f>
        <v>haute_couture_bride</v>
      </c>
    </row>
    <row r="5041">
      <c r="A5041" s="8" t="str">
        <f>IFERROR(__xludf.DUMMYFUNCTION("""COMPUTED_VALUE"""),"hautecouturefashionista")</f>
        <v>hautecouturefashionista</v>
      </c>
    </row>
    <row r="5042">
      <c r="A5042" s="8" t="str">
        <f>IFERROR(__xludf.DUMMYFUNCTION("""COMPUTED_VALUE"""),"haute_couture_jewellery")</f>
        <v>haute_couture_jewellery</v>
      </c>
    </row>
    <row r="5043">
      <c r="A5043" s="8" t="str">
        <f>IFERROR(__xludf.DUMMYFUNCTION("""COMPUTED_VALUE"""),"haute_couture_kenza")</f>
        <v>haute_couture_kenza</v>
      </c>
    </row>
    <row r="5044">
      <c r="A5044" s="8" t="str">
        <f>IFERROR(__xludf.DUMMYFUNCTION("""COMPUTED_VALUE"""),"hautecoutureweek")</f>
        <v>hautecoutureweek</v>
      </c>
    </row>
    <row r="5045">
      <c r="A5045" s="8" t="str">
        <f>IFERROR(__xludf.DUMMYFUNCTION("""COMPUTED_VALUE"""),"instahautecouture")</f>
        <v>instahautecouture</v>
      </c>
    </row>
    <row r="5046">
      <c r="A5046" s="8" t="str">
        <f>IFERROR(__xludf.DUMMYFUNCTION("""COMPUTED_VALUE"""),"lovinghautecouture")</f>
        <v>lovinghautecouture</v>
      </c>
    </row>
    <row r="5047">
      <c r="A5047" s="8" t="str">
        <f>IFERROR(__xludf.DUMMYFUNCTION("""COMPUTED_VALUE"""),"nh_hautecouture")</f>
        <v>nh_hautecouture</v>
      </c>
    </row>
    <row r="5048">
      <c r="A5048" s="8" t="str">
        <f>IFERROR(__xludf.DUMMYFUNCTION("""COMPUTED_VALUE"""),"rafinityhautecouture")</f>
        <v>rafinityhautecouture</v>
      </c>
    </row>
    <row r="5049">
      <c r="A5049" s="8" t="str">
        <f>IFERROR(__xludf.DUMMYFUNCTION("""COMPUTED_VALUE"""),"tazi_haute_couture")</f>
        <v>tazi_haute_couture</v>
      </c>
    </row>
    <row r="5050">
      <c r="A5050" s="8" t="str">
        <f>IFERROR(__xludf.DUMMYFUNCTION("""COMPUTED_VALUE"""),"tugceozkurtdesign")</f>
        <v>tugceozkurtdesign</v>
      </c>
    </row>
    <row r="5051">
      <c r="A5051" s="8" t="str">
        <f>IFERROR(__xludf.DUMMYFUNCTION("""COMPUTED_VALUE"""),"heritagebarbecue")</f>
        <v>heritagebarbecue</v>
      </c>
    </row>
    <row r="5052">
      <c r="A5052" s="8" t="str">
        <f>IFERROR(__xludf.DUMMYFUNCTION("""COMPUTED_VALUE"""),"heritageclass")</f>
        <v>heritageclass</v>
      </c>
    </row>
    <row r="5053">
      <c r="A5053" s="8" t="str">
        <f>IFERROR(__xludf.DUMMYFUNCTION("""COMPUTED_VALUE"""),"heritagefarm")</f>
        <v>heritagefarm</v>
      </c>
    </row>
    <row r="5054">
      <c r="A5054" s="8" t="str">
        <f>IFERROR(__xludf.DUMMYFUNCTION("""COMPUTED_VALUE"""),"heritage_glam1")</f>
        <v>heritage_glam1</v>
      </c>
    </row>
    <row r="5055">
      <c r="A5055" s="8" t="str">
        <f>IFERROR(__xludf.DUMMYFUNCTION("""COMPUTED_VALUE"""),"heritage.pune")</f>
        <v>heritage.pune</v>
      </c>
    </row>
    <row r="5056">
      <c r="A5056" s="8" t="str">
        <f>IFERROR(__xludf.DUMMYFUNCTION("""COMPUTED_VALUE"""),"heritagewheel")</f>
        <v>heritagewheel</v>
      </c>
    </row>
    <row r="5057">
      <c r="A5057" s="8" t="str">
        <f>IFERROR(__xludf.DUMMYFUNCTION("""COMPUTED_VALUE"""),"k.heritage")</f>
        <v>k.heritage</v>
      </c>
    </row>
    <row r="5058">
      <c r="A5058" s="8" t="str">
        <f>IFERROR(__xludf.DUMMYFUNCTION("""COMPUTED_VALUE"""),"high_end_blogger")</f>
        <v>high_end_blogger</v>
      </c>
    </row>
    <row r="5059">
      <c r="A5059" s="8" t="str">
        <f>IFERROR(__xludf.DUMMYFUNCTION("""COMPUTED_VALUE"""),"randomandchic")</f>
        <v>randomandchic</v>
      </c>
    </row>
    <row r="5060">
      <c r="A5060" s="8" t="str">
        <f>IFERROR(__xludf.DUMMYFUNCTION("""COMPUTED_VALUE"""),"1iconic.store")</f>
        <v>1iconic.store</v>
      </c>
    </row>
    <row r="5061">
      <c r="A5061" s="8" t="str">
        <f>IFERROR(__xludf.DUMMYFUNCTION("""COMPUTED_VALUE"""),"cineiconic")</f>
        <v>cineiconic</v>
      </c>
    </row>
    <row r="5062">
      <c r="A5062" s="8" t="str">
        <f>IFERROR(__xludf.DUMMYFUNCTION("""COMPUTED_VALUE"""),"iconic")</f>
        <v>iconic</v>
      </c>
    </row>
    <row r="5063">
      <c r="A5063" s="8" t="str">
        <f>IFERROR(__xludf.DUMMYFUNCTION("""COMPUTED_VALUE"""),"_iconic05_")</f>
        <v>_iconic05_</v>
      </c>
    </row>
    <row r="5064">
      <c r="A5064" s="8" t="str">
        <f>IFERROR(__xludf.DUMMYFUNCTION("""COMPUTED_VALUE"""),"iconicallyalex")</f>
        <v>iconicallyalex</v>
      </c>
    </row>
    <row r="5065">
      <c r="A5065" s="8" t="str">
        <f>IFERROR(__xludf.DUMMYFUNCTION("""COMPUTED_VALUE"""),"iconicdailly")</f>
        <v>iconicdailly</v>
      </c>
    </row>
    <row r="5066">
      <c r="A5066" s="8" t="str">
        <f>IFERROR(__xludf.DUMMYFUNCTION("""COMPUTED_VALUE"""),"iconic_quotes")</f>
        <v>iconic_quotes</v>
      </c>
    </row>
    <row r="5067">
      <c r="A5067" s="8" t="str">
        <f>IFERROR(__xludf.DUMMYFUNCTION("""COMPUTED_VALUE"""),"iconic_star17")</f>
        <v>iconic_star17</v>
      </c>
    </row>
    <row r="5068">
      <c r="A5068" s="8" t="str">
        <f>IFERROR(__xludf.DUMMYFUNCTION("""COMPUTED_VALUE"""),"iconic.watchsquare_")</f>
        <v>iconic.watchsquare_</v>
      </c>
    </row>
    <row r="5069">
      <c r="A5069" s="8" t="str">
        <f>IFERROR(__xludf.DUMMYFUNCTION("""COMPUTED_VALUE"""),"boxinginfluencers")</f>
        <v>boxinginfluencers</v>
      </c>
    </row>
    <row r="5070">
      <c r="A5070" s="11" t="str">
        <f>IFERROR(__xludf.DUMMYFUNCTION("""COMPUTED_VALUE"""),"indoinfluence.id")</f>
        <v>indoinfluence.id</v>
      </c>
    </row>
    <row r="5071">
      <c r="A5071" s="8" t="str">
        <f>IFERROR(__xludf.DUMMYFUNCTION("""COMPUTED_VALUE"""),"influencercity_")</f>
        <v>influencercity_</v>
      </c>
    </row>
    <row r="5072">
      <c r="A5072" s="11" t="str">
        <f>IFERROR(__xludf.DUMMYFUNCTION("""COMPUTED_VALUE"""),"influencer.in")</f>
        <v>influencer.in</v>
      </c>
    </row>
    <row r="5073">
      <c r="A5073" s="8" t="str">
        <f>IFERROR(__xludf.DUMMYFUNCTION("""COMPUTED_VALUE"""),"influencersinthewild")</f>
        <v>influencersinthewild</v>
      </c>
    </row>
    <row r="5074">
      <c r="A5074" s="8" t="str">
        <f>IFERROR(__xludf.DUMMYFUNCTION("""COMPUTED_VALUE"""),"revistainfluencer")</f>
        <v>revistainfluencer</v>
      </c>
    </row>
    <row r="5075">
      <c r="A5075" s="8" t="str">
        <f>IFERROR(__xludf.DUMMYFUNCTION("""COMPUTED_VALUE"""),"stunnagirl")</f>
        <v>stunnagirl</v>
      </c>
    </row>
    <row r="5076">
      <c r="A5076" s="8" t="str">
        <f>IFERROR(__xludf.DUMMYFUNCTION("""COMPUTED_VALUE"""),"yesstyleinfluencers")</f>
        <v>yesstyleinfluencers</v>
      </c>
    </row>
    <row r="5077">
      <c r="A5077" s="8" t="str">
        <f>IFERROR(__xludf.DUMMYFUNCTION("""COMPUTED_VALUE"""),"infusion_band")</f>
        <v>infusion_band</v>
      </c>
    </row>
    <row r="5078">
      <c r="A5078" s="8" t="str">
        <f>IFERROR(__xludf.DUMMYFUNCTION("""COMPUTED_VALUE"""),"infusion_barrestaurant")</f>
        <v>infusion_barrestaurant</v>
      </c>
    </row>
    <row r="5079">
      <c r="A5079" s="8" t="str">
        <f>IFERROR(__xludf.DUMMYFUNCTION("""COMPUTED_VALUE"""),"infusioncrab")</f>
        <v>infusioncrab</v>
      </c>
    </row>
    <row r="5080">
      <c r="A5080" s="8" t="str">
        <f>IFERROR(__xludf.DUMMYFUNCTION("""COMPUTED_VALUE"""),"infusionvictor")</f>
        <v>infusionvictor</v>
      </c>
    </row>
    <row r="5081">
      <c r="A5081" s="8" t="str">
        <f>IFERROR(__xludf.DUMMYFUNCTION("""COMPUTED_VALUE"""),"symporloungeinfusion")</f>
        <v>symporloungeinfusion</v>
      </c>
    </row>
    <row r="5082">
      <c r="A5082" s="8" t="str">
        <f>IFERROR(__xludf.DUMMYFUNCTION("""COMPUTED_VALUE"""),"cbsinnovationtv")</f>
        <v>cbsinnovationtv</v>
      </c>
    </row>
    <row r="5083">
      <c r="A5083" s="8" t="str">
        <f>IFERROR(__xludf.DUMMYFUNCTION("""COMPUTED_VALUE"""),"cosmeticinnovation")</f>
        <v>cosmeticinnovation</v>
      </c>
    </row>
    <row r="5084">
      <c r="A5084" s="8" t="str">
        <f>IFERROR(__xludf.DUMMYFUNCTION("""COMPUTED_VALUE"""),"engineeringenigma")</f>
        <v>engineeringenigma</v>
      </c>
    </row>
    <row r="5085">
      <c r="A5085" s="8" t="str">
        <f>IFERROR(__xludf.DUMMYFUNCTION("""COMPUTED_VALUE"""),"innovationrc")</f>
        <v>innovationrc</v>
      </c>
    </row>
    <row r="5086">
      <c r="A5086" s="8" t="str">
        <f>IFERROR(__xludf.DUMMYFUNCTION("""COMPUTED_VALUE"""),"innovations_mastery")</f>
        <v>innovations_mastery</v>
      </c>
    </row>
    <row r="5087">
      <c r="A5087" s="8" t="str">
        <f>IFERROR(__xludf.DUMMYFUNCTION("""COMPUTED_VALUE"""),"innovations_of_the_world")</f>
        <v>innovations_of_the_world</v>
      </c>
    </row>
    <row r="5088">
      <c r="A5088" s="8" t="str">
        <f>IFERROR(__xludf.DUMMYFUNCTION("""COMPUTED_VALUE"""),"innovationweightloss")</f>
        <v>innovationweightloss</v>
      </c>
    </row>
    <row r="5089">
      <c r="A5089" s="8" t="str">
        <f>IFERROR(__xludf.DUMMYFUNCTION("""COMPUTED_VALUE"""),"kline.innovation")</f>
        <v>kline.innovation</v>
      </c>
    </row>
    <row r="5090">
      <c r="A5090" s="8" t="str">
        <f>IFERROR(__xludf.DUMMYFUNCTION("""COMPUTED_VALUE"""),"intensecycles")</f>
        <v>intensecycles</v>
      </c>
    </row>
    <row r="5091">
      <c r="A5091" s="8" t="str">
        <f>IFERROR(__xludf.DUMMYFUNCTION("""COMPUTED_VALUE"""),"intensecycleseurope")</f>
        <v>intensecycleseurope</v>
      </c>
    </row>
    <row r="5092">
      <c r="A5092" s="8" t="str">
        <f>IFERROR(__xludf.DUMMYFUNCTION("""COMPUTED_VALUE"""),"intense_dancehall")</f>
        <v>intense_dancehall</v>
      </c>
    </row>
    <row r="5093">
      <c r="A5093" s="8" t="str">
        <f>IFERROR(__xludf.DUMMYFUNCTION("""COMPUTED_VALUE"""),"intensefactoryracing")</f>
        <v>intensefactoryracing</v>
      </c>
    </row>
    <row r="5094">
      <c r="A5094" s="8" t="str">
        <f>IFERROR(__xludf.DUMMYFUNCTION("""COMPUTED_VALUE"""),"intense_oud")</f>
        <v>intense_oud</v>
      </c>
    </row>
    <row r="5095">
      <c r="A5095" s="8" t="str">
        <f>IFERROR(__xludf.DUMMYFUNCTION("""COMPUTED_VALUE"""),"intensepanjab")</f>
        <v>intensepanjab</v>
      </c>
    </row>
    <row r="5096">
      <c r="A5096" s="8" t="str">
        <f>IFERROR(__xludf.DUMMYFUNCTION("""COMPUTED_VALUE"""),"intensevalue")</f>
        <v>intensevalue</v>
      </c>
    </row>
    <row r="5097">
      <c r="A5097" s="8" t="str">
        <f>IFERROR(__xludf.DUMMYFUNCTION("""COMPUTED_VALUE"""),"thisizintense")</f>
        <v>thisizintense</v>
      </c>
    </row>
    <row r="5098">
      <c r="A5098" s="8" t="str">
        <f>IFERROR(__xludf.DUMMYFUNCTION("""COMPUTED_VALUE"""),"itsjohnnydepp")</f>
        <v>itsjohnnydepp</v>
      </c>
    </row>
    <row r="5099">
      <c r="A5099" s="8" t="str">
        <f>IFERROR(__xludf.DUMMYFUNCTION("""COMPUTED_VALUE"""),"johnnydepp")</f>
        <v>johnnydepp</v>
      </c>
    </row>
    <row r="5100">
      <c r="A5100" s="8" t="str">
        <f>IFERROR(__xludf.DUMMYFUNCTION("""COMPUTED_VALUE"""),"johnnydeppbrazilfc")</f>
        <v>johnnydeppbrazilfc</v>
      </c>
    </row>
    <row r="5101">
      <c r="A5101" s="8" t="str">
        <f>IFERROR(__xludf.DUMMYFUNCTION("""COMPUTED_VALUE"""),"johnny_depp_ru_")</f>
        <v>johnny_depp_ru_</v>
      </c>
    </row>
    <row r="5102">
      <c r="A5102" s="8" t="str">
        <f>IFERROR(__xludf.DUMMYFUNCTION("""COMPUTED_VALUE"""),"johnny.depps.fann")</f>
        <v>johnny.depps.fann</v>
      </c>
    </row>
    <row r="5103">
      <c r="A5103" s="8" t="str">
        <f>IFERROR(__xludf.DUMMYFUNCTION("""COMPUTED_VALUE"""),"johnnydeppchile2023")</f>
        <v>johnnydeppchile2023</v>
      </c>
    </row>
    <row r="5104">
      <c r="A5104" s="8" t="str">
        <f>IFERROR(__xludf.DUMMYFUNCTION("""COMPUTED_VALUE"""),"johnny_depp_edits__")</f>
        <v>johnny_depp_edits__</v>
      </c>
    </row>
    <row r="5105">
      <c r="A5105" s="8" t="str">
        <f>IFERROR(__xludf.DUMMYFUNCTION("""COMPUTED_VALUE"""),"deppdrug")</f>
        <v>deppdrug</v>
      </c>
    </row>
    <row r="5106">
      <c r="A5106" s="8" t="str">
        <f>IFERROR(__xludf.DUMMYFUNCTION("""COMPUTED_VALUE"""),"depp_lover16")</f>
        <v>depp_lover16</v>
      </c>
    </row>
    <row r="5107">
      <c r="A5107" s="8" t="str">
        <f>IFERROR(__xludf.DUMMYFUNCTION("""COMPUTED_VALUE"""),"johnny_depp_fan_page___")</f>
        <v>johnny_depp_fan_page___</v>
      </c>
    </row>
    <row r="5108">
      <c r="A5108" s="8" t="str">
        <f>IFERROR(__xludf.DUMMYFUNCTION("""COMPUTED_VALUE"""),"johnnydepp___fan01p")</f>
        <v>johnnydepp___fan01p</v>
      </c>
    </row>
    <row r="5109">
      <c r="A5109" s="8" t="str">
        <f>IFERROR(__xludf.DUMMYFUNCTION("""COMPUTED_VALUE"""),"johnny_depp_fan_page___")</f>
        <v>johnny_depp_fan_page___</v>
      </c>
    </row>
    <row r="5110">
      <c r="A5110" s="8" t="str">
        <f>IFERROR(__xludf.DUMMYFUNCTION("""COMPUTED_VALUE"""),"johnnydeppfansofficial")</f>
        <v>johnnydeppfansofficial</v>
      </c>
    </row>
    <row r="5111">
      <c r="A5111" s="8" t="str">
        <f>IFERROR(__xludf.DUMMYFUNCTION("""COMPUTED_VALUE"""),"johnnydepponly")</f>
        <v>johnnydepponly</v>
      </c>
    </row>
    <row r="5112">
      <c r="A5112" s="8" t="str">
        <f>IFERROR(__xludf.DUMMYFUNCTION("""COMPUTED_VALUE"""),"johnnydepp_rock")</f>
        <v>johnnydepp_rock</v>
      </c>
    </row>
    <row r="5113">
      <c r="A5113" s="8" t="str">
        <f>IFERROR(__xludf.DUMMYFUNCTION("""COMPUTED_VALUE"""),"aboutlayering")</f>
        <v>aboutlayering</v>
      </c>
    </row>
    <row r="5114">
      <c r="A5114" s="8" t="str">
        <f>IFERROR(__xludf.DUMMYFUNCTION("""COMPUTED_VALUE"""),"layering_dentall_vip")</f>
        <v>layering_dentall_vip</v>
      </c>
    </row>
    <row r="5115">
      <c r="A5115" s="8" t="str">
        <f>IFERROR(__xludf.DUMMYFUNCTION("""COMPUTED_VALUE"""),"1klegacy")</f>
        <v>1klegacy</v>
      </c>
    </row>
    <row r="5116">
      <c r="A5116" s="8" t="str">
        <f>IFERROR(__xludf.DUMMYFUNCTION("""COMPUTED_VALUE"""),"crownlegacyfc")</f>
        <v>crownlegacyfc</v>
      </c>
    </row>
    <row r="5117">
      <c r="A5117" s="8" t="str">
        <f>IFERROR(__xludf.DUMMYFUNCTION("""COMPUTED_VALUE"""),"legacychurchabq")</f>
        <v>legacychurchabq</v>
      </c>
    </row>
    <row r="5118">
      <c r="A5118" s="8" t="str">
        <f>IFERROR(__xludf.DUMMYFUNCTION("""COMPUTED_VALUE"""),"legacyggbr")</f>
        <v>legacyggbr</v>
      </c>
    </row>
    <row r="5119">
      <c r="A5119" s="8" t="str">
        <f>IFERROR(__xludf.DUMMYFUNCTION("""COMPUTED_VALUE"""),"legacy.leee")</f>
        <v>legacy.leee</v>
      </c>
    </row>
    <row r="5120">
      <c r="A5120" s="8" t="str">
        <f>IFERROR(__xludf.DUMMYFUNCTION("""COMPUTED_VALUE"""),"legacy_mx2")</f>
        <v>legacy_mx2</v>
      </c>
    </row>
    <row r="5121">
      <c r="A5121" s="8" t="str">
        <f>IFERROR(__xludf.DUMMYFUNCTION("""COMPUTED_VALUE"""),"legacy.orlando")</f>
        <v>legacy.orlando</v>
      </c>
    </row>
    <row r="5122">
      <c r="A5122" s="8" t="str">
        <f>IFERROR(__xludf.DUMMYFUNCTION("""COMPUTED_VALUE"""),"ourlegacy")</f>
        <v>ourlegacy</v>
      </c>
    </row>
    <row r="5123">
      <c r="A5123" s="8" t="str">
        <f>IFERROR(__xludf.DUMMYFUNCTION("""COMPUTED_VALUE"""),"annelinawaller")</f>
        <v>annelinawaller</v>
      </c>
    </row>
    <row r="5124">
      <c r="A5124" s="8" t="str">
        <f>IFERROR(__xludf.DUMMYFUNCTION("""COMPUTED_VALUE"""),"benyim33")</f>
        <v>benyim33</v>
      </c>
    </row>
    <row r="5125">
      <c r="A5125" s="8" t="str">
        <f>IFERROR(__xludf.DUMMYFUNCTION("""COMPUTED_VALUE"""),"dr.longevity")</f>
        <v>dr.longevity</v>
      </c>
    </row>
    <row r="5126">
      <c r="A5126" s="8" t="str">
        <f>IFERROR(__xludf.DUMMYFUNCTION("""COMPUTED_VALUE"""),"drpoonamdesai")</f>
        <v>drpoonamdesai</v>
      </c>
    </row>
    <row r="5127">
      <c r="A5127" s="8" t="str">
        <f>IFERROR(__xludf.DUMMYFUNCTION("""COMPUTED_VALUE"""),"eraofhealth")</f>
        <v>eraofhealth</v>
      </c>
    </row>
    <row r="5128">
      <c r="A5128" s="8" t="str">
        <f>IFERROR(__xludf.DUMMYFUNCTION("""COMPUTED_VALUE"""),"longevity2.0")</f>
        <v>longevity2.0</v>
      </c>
    </row>
    <row r="5129">
      <c r="A5129" s="8" t="str">
        <f>IFERROR(__xludf.DUMMYFUNCTION("""COMPUTED_VALUE"""),"longevitybylauren")</f>
        <v>longevitybylauren</v>
      </c>
    </row>
    <row r="5130">
      <c r="A5130" s="8" t="str">
        <f>IFERROR(__xludf.DUMMYFUNCTION("""COMPUTED_VALUE"""),"longevitydaily_")</f>
        <v>longevitydaily_</v>
      </c>
    </row>
    <row r="5131">
      <c r="A5131" s="8" t="str">
        <f>IFERROR(__xludf.DUMMYFUNCTION("""COMPUTED_VALUE"""),"longevity_enthusiasts")</f>
        <v>longevity_enthusiasts</v>
      </c>
    </row>
    <row r="5132">
      <c r="A5132" s="8" t="str">
        <f>IFERROR(__xludf.DUMMYFUNCTION("""COMPUTED_VALUE"""),"longevity_live")</f>
        <v>longevity_live</v>
      </c>
    </row>
    <row r="5133">
      <c r="A5133" s="8" t="str">
        <f>IFERROR(__xludf.DUMMYFUNCTION("""COMPUTED_VALUE"""),"longevity.muse")</f>
        <v>longevity.muse</v>
      </c>
    </row>
    <row r="5134">
      <c r="A5134" s="8" t="str">
        <f>IFERROR(__xludf.DUMMYFUNCTION("""COMPUTED_VALUE"""),"longevitypetsolutions")</f>
        <v>longevitypetsolutions</v>
      </c>
    </row>
    <row r="5135">
      <c r="A5135" s="8" t="str">
        <f>IFERROR(__xludf.DUMMYFUNCTION("""COMPUTED_VALUE"""),"longevityxlab")</f>
        <v>longevityxlab</v>
      </c>
    </row>
    <row r="5136">
      <c r="A5136" s="8" t="str">
        <f>IFERROR(__xludf.DUMMYFUNCTION("""COMPUTED_VALUE"""),"spirosvcoach")</f>
        <v>spirosvcoach</v>
      </c>
    </row>
    <row r="5137">
      <c r="A5137" s="8" t="str">
        <f>IFERROR(__xludf.DUMMYFUNCTION("""COMPUTED_VALUE"""),"bella_luxury_cars")</f>
        <v>bella_luxury_cars</v>
      </c>
    </row>
    <row r="5138">
      <c r="A5138" s="8" t="str">
        <f>IFERROR(__xludf.DUMMYFUNCTION("""COMPUTED_VALUE"""),"kosmetik_fachinstitut_luxury")</f>
        <v>kosmetik_fachinstitut_luxury</v>
      </c>
    </row>
    <row r="5139">
      <c r="A5139" s="8" t="str">
        <f>IFERROR(__xludf.DUMMYFUNCTION("""COMPUTED_VALUE"""),"luxurydances_")</f>
        <v>luxurydances_</v>
      </c>
    </row>
    <row r="5140">
      <c r="A5140" s="8" t="str">
        <f>IFERROR(__xludf.DUMMYFUNCTION("""COMPUTED_VALUE"""),"luxuryksa")</f>
        <v>luxuryksa</v>
      </c>
    </row>
    <row r="5141">
      <c r="A5141" s="8" t="str">
        <f>IFERROR(__xludf.DUMMYFUNCTION("""COMPUTED_VALUE"""),"luxurylaw")</f>
        <v>luxurylaw</v>
      </c>
    </row>
    <row r="5142">
      <c r="A5142" s="8" t="str">
        <f>IFERROR(__xludf.DUMMYFUNCTION("""COMPUTED_VALUE"""),"luxury_listings")</f>
        <v>luxury_listings</v>
      </c>
    </row>
    <row r="5143">
      <c r="A5143" s="8" t="str">
        <f>IFERROR(__xludf.DUMMYFUNCTION("""COMPUTED_VALUE"""),"luxury_plugg_")</f>
        <v>luxury_plugg_</v>
      </c>
    </row>
    <row r="5144">
      <c r="A5144" s="8" t="str">
        <f>IFERROR(__xludf.DUMMYFUNCTION("""COMPUTED_VALUE"""),"urbanluxuryw")</f>
        <v>urbanluxuryw</v>
      </c>
    </row>
    <row r="5145">
      <c r="A5145" s="8" t="str">
        <f>IFERROR(__xludf.DUMMYFUNCTION("""COMPUTED_VALUE"""),"famestate.luxury")</f>
        <v>famestate.luxury</v>
      </c>
    </row>
    <row r="5146">
      <c r="A5146" s="8" t="str">
        <f>IFERROR(__xludf.DUMMYFUNCTION("""COMPUTED_VALUE"""),"luxury.dz.house__bs")</f>
        <v>luxury.dz.house__bs</v>
      </c>
    </row>
    <row r="5147">
      <c r="A5147" s="8" t="str">
        <f>IFERROR(__xludf.DUMMYFUNCTION("""COMPUTED_VALUE"""),"luxury_house006")</f>
        <v>luxury_house006</v>
      </c>
    </row>
    <row r="5148">
      <c r="A5148" s="8" t="str">
        <f>IFERROR(__xludf.DUMMYFUNCTION("""COMPUTED_VALUE"""),"luxury_house_19")</f>
        <v>luxury_house_19</v>
      </c>
    </row>
    <row r="5149">
      <c r="A5149" s="8" t="str">
        <f>IFERROR(__xludf.DUMMYFUNCTION("""COMPUTED_VALUE"""),"luxuryhousedesignn")</f>
        <v>luxuryhousedesignn</v>
      </c>
    </row>
    <row r="5150">
      <c r="A5150" s="8" t="str">
        <f>IFERROR(__xludf.DUMMYFUNCTION("""COMPUTED_VALUE"""),"luxury_house_dot_com")</f>
        <v>luxury_house_dot_com</v>
      </c>
    </row>
    <row r="5151">
      <c r="A5151" s="8" t="str">
        <f>IFERROR(__xludf.DUMMYFUNCTION("""COMPUTED_VALUE"""),"luxury.housedz")</f>
        <v>luxury.housedz</v>
      </c>
    </row>
    <row r="5152">
      <c r="A5152" s="8" t="str">
        <f>IFERROR(__xludf.DUMMYFUNCTION("""COMPUTED_VALUE"""),"luxuryhouseeg")</f>
        <v>luxuryhouseeg</v>
      </c>
    </row>
    <row r="5153">
      <c r="A5153" s="8" t="str">
        <f>IFERROR(__xludf.DUMMYFUNCTION("""COMPUTED_VALUE"""),"luxury_house.ps1")</f>
        <v>luxury_house.ps1</v>
      </c>
    </row>
    <row r="5154">
      <c r="A5154" s="8" t="str">
        <f>IFERROR(__xludf.DUMMYFUNCTION("""COMPUTED_VALUE"""),"luxury_house_tz")</f>
        <v>luxury_house_tz</v>
      </c>
    </row>
    <row r="5155">
      <c r="A5155" s="8" t="str">
        <f>IFERROR(__xludf.DUMMYFUNCTION("""COMPUTED_VALUE"""),"luxuryhouseview")</f>
        <v>luxuryhouseview</v>
      </c>
    </row>
    <row r="5156">
      <c r="A5156" s="8" t="str">
        <f>IFERROR(__xludf.DUMMYFUNCTION("""COMPUTED_VALUE"""),"perfumeology101")</f>
        <v>perfumeology101</v>
      </c>
    </row>
    <row r="5157">
      <c r="A5157" s="8" t="str">
        <f>IFERROR(__xludf.DUMMYFUNCTION("""COMPUTED_VALUE"""),"maisonmargiela")</f>
        <v>maisonmargiela</v>
      </c>
    </row>
    <row r="5158">
      <c r="A5158" s="8" t="str">
        <f>IFERROR(__xludf.DUMMYFUNCTION("""COMPUTED_VALUE"""),"maison.mykolaiv")</f>
        <v>maison.mykolaiv</v>
      </c>
    </row>
    <row r="5159">
      <c r="A5159" s="8" t="str">
        <f>IFERROR(__xludf.DUMMYFUNCTION("""COMPUTED_VALUE"""),"maison.nora")</f>
        <v>maison.nora</v>
      </c>
    </row>
    <row r="5160">
      <c r="A5160" s="8" t="str">
        <f>IFERROR(__xludf.DUMMYFUNCTION("""COMPUTED_VALUE"""),"maisonsbond")</f>
        <v>maisonsbond</v>
      </c>
    </row>
    <row r="5161">
      <c r="A5161" s="8" t="str">
        <f>IFERROR(__xludf.DUMMYFUNCTION("""COMPUTED_VALUE"""),"maisonseasons")</f>
        <v>maisonseasons</v>
      </c>
    </row>
    <row r="5162">
      <c r="A5162" s="8" t="str">
        <f>IFERROR(__xludf.DUMMYFUNCTION("""COMPUTED_VALUE"""),"maisonvalentino")</f>
        <v>maisonvalentino</v>
      </c>
    </row>
    <row r="5163">
      <c r="A5163" s="8" t="str">
        <f>IFERROR(__xludf.DUMMYFUNCTION("""COMPUTED_VALUE"""),"wie.maison")</f>
        <v>wie.maison</v>
      </c>
    </row>
    <row r="5164">
      <c r="A5164" s="8" t="str">
        <f>IFERROR(__xludf.DUMMYFUNCTION("""COMPUTED_VALUE"""),"diormaison")</f>
        <v>diormaison</v>
      </c>
    </row>
    <row r="5165">
      <c r="A5165" s="8" t="str">
        <f>IFERROR(__xludf.DUMMYFUNCTION("""COMPUTED_VALUE"""),"maison__dor")</f>
        <v>maison__dor</v>
      </c>
    </row>
    <row r="5166">
      <c r="A5166" s="8" t="str">
        <f>IFERROR(__xludf.DUMMYFUNCTION("""COMPUTED_VALUE"""),"maisondor18k")</f>
        <v>maisondor18k</v>
      </c>
    </row>
    <row r="5167">
      <c r="A5167" s="8" t="str">
        <f>IFERROR(__xludf.DUMMYFUNCTION("""COMPUTED_VALUE"""),"maison_dor_biskra")</f>
        <v>maison_dor_biskra</v>
      </c>
    </row>
    <row r="5168">
      <c r="A5168" s="8" t="str">
        <f>IFERROR(__xludf.DUMMYFUNCTION("""COMPUTED_VALUE"""),"belindassmakeupp")</f>
        <v>belindassmakeupp</v>
      </c>
    </row>
    <row r="5169">
      <c r="A5169" s="8" t="str">
        <f>IFERROR(__xludf.DUMMYFUNCTION("""COMPUTED_VALUE"""),"elena_sanko_make_up")</f>
        <v>elena_sanko_make_up</v>
      </c>
    </row>
    <row r="5170">
      <c r="A5170" s="8" t="str">
        <f>IFERROR(__xludf.DUMMYFUNCTION("""COMPUTED_VALUE"""),"fenzzamakeup")</f>
        <v>fenzzamakeup</v>
      </c>
    </row>
    <row r="5171">
      <c r="A5171" s="8" t="str">
        <f>IFERROR(__xludf.DUMMYFUNCTION("""COMPUTED_VALUE"""),"lola.makeupwithlove")</f>
        <v>lola.makeupwithlove</v>
      </c>
    </row>
    <row r="5172">
      <c r="A5172" s="8" t="str">
        <f>IFERROR(__xludf.DUMMYFUNCTION("""COMPUTED_VALUE"""),"makeup")</f>
        <v>makeup</v>
      </c>
    </row>
    <row r="5173">
      <c r="A5173" s="8" t="str">
        <f>IFERROR(__xludf.DUMMYFUNCTION("""COMPUTED_VALUE"""),"makeupforever")</f>
        <v>makeupforever</v>
      </c>
    </row>
    <row r="5174">
      <c r="A5174" s="8" t="str">
        <f>IFERROR(__xludf.DUMMYFUNCTION("""COMPUTED_VALUE"""),"mollymmua")</f>
        <v>mollymmua</v>
      </c>
    </row>
    <row r="5175">
      <c r="A5175" s="8" t="str">
        <f>IFERROR(__xludf.DUMMYFUNCTION("""COMPUTED_VALUE"""),"rikiperetzmakeup")</f>
        <v>rikiperetzmakeup</v>
      </c>
    </row>
    <row r="5176">
      <c r="A5176" s="8" t="str">
        <f>IFERROR(__xludf.DUMMYFUNCTION("""COMPUTED_VALUE"""),"theemakeupp")</f>
        <v>theemakeupp</v>
      </c>
    </row>
    <row r="5177">
      <c r="A5177" s="8" t="str">
        <f>IFERROR(__xludf.DUMMYFUNCTION("""COMPUTED_VALUE"""),"abysalammakeup")</f>
        <v>abysalammakeup</v>
      </c>
    </row>
    <row r="5178">
      <c r="A5178" s="8" t="str">
        <f>IFERROR(__xludf.DUMMYFUNCTION("""COMPUTED_VALUE"""),"alaynecurtissbeauty")</f>
        <v>alaynecurtissbeauty</v>
      </c>
    </row>
    <row r="5179">
      <c r="A5179" s="8" t="str">
        <f>IFERROR(__xludf.DUMMYFUNCTION("""COMPUTED_VALUE"""),"itsmodernmillie")</f>
        <v>itsmodernmillie</v>
      </c>
    </row>
    <row r="5180">
      <c r="A5180" s="8" t="str">
        <f>IFERROR(__xludf.DUMMYFUNCTION("""COMPUTED_VALUE"""),"lux_yadak_modern")</f>
        <v>lux_yadak_modern</v>
      </c>
    </row>
    <row r="5181">
      <c r="A5181" s="8" t="str">
        <f>IFERROR(__xludf.DUMMYFUNCTION("""COMPUTED_VALUE"""),"modernfamily")</f>
        <v>modernfamily</v>
      </c>
    </row>
    <row r="5182">
      <c r="A5182" s="8" t="str">
        <f>IFERROR(__xludf.DUMMYFUNCTION("""COMPUTED_VALUE"""),"modern__mansion")</f>
        <v>modern__mansion</v>
      </c>
    </row>
    <row r="5183">
      <c r="A5183" s="8" t="str">
        <f>IFERROR(__xludf.DUMMYFUNCTION("""COMPUTED_VALUE"""),"modern_n_j")</f>
        <v>modern_n_j</v>
      </c>
    </row>
    <row r="5184">
      <c r="A5184" s="8" t="str">
        <f>IFERROR(__xludf.DUMMYFUNCTION("""COMPUTED_VALUE"""),"themodernhouse")</f>
        <v>themodernhouse</v>
      </c>
    </row>
    <row r="5185">
      <c r="A5185" s="8" t="str">
        <f>IFERROR(__xludf.DUMMYFUNCTION("""COMPUTED_VALUE"""),"themodernnonna")</f>
        <v>themodernnonna</v>
      </c>
    </row>
    <row r="5186">
      <c r="A5186" s="8" t="str">
        <f>IFERROR(__xludf.DUMMYFUNCTION("""COMPUTED_VALUE"""),"themodernproper")</f>
        <v>themodernproper</v>
      </c>
    </row>
    <row r="5187">
      <c r="A5187" s="8" t="str">
        <f>IFERROR(__xludf.DUMMYFUNCTION("""COMPUTED_VALUE"""),"couplesnotes")</f>
        <v>couplesnotes</v>
      </c>
    </row>
    <row r="5188">
      <c r="A5188" s="8" t="str">
        <f>IFERROR(__xludf.DUMMYFUNCTION("""COMPUTED_VALUE"""),"hamasahnotes")</f>
        <v>hamasahnotes</v>
      </c>
    </row>
    <row r="5189">
      <c r="A5189" s="8" t="str">
        <f>IFERROR(__xludf.DUMMYFUNCTION("""COMPUTED_VALUE"""),"hidden_notes_shayari")</f>
        <v>hidden_notes_shayari</v>
      </c>
    </row>
    <row r="5190">
      <c r="A5190" s="8" t="str">
        <f>IFERROR(__xludf.DUMMYFUNCTION("""COMPUTED_VALUE"""),"lb.notes")</f>
        <v>lb.notes</v>
      </c>
    </row>
    <row r="5191">
      <c r="A5191" s="8" t="str">
        <f>IFERROR(__xludf.DUMMYFUNCTION("""COMPUTED_VALUE"""),"lovvenotes")</f>
        <v>lovvenotes</v>
      </c>
    </row>
    <row r="5192">
      <c r="A5192" s="11" t="str">
        <f>IFERROR(__xludf.DUMMYFUNCTION("""COMPUTED_VALUE"""),"notesbook.eg")</f>
        <v>notesbook.eg</v>
      </c>
    </row>
    <row r="5193">
      <c r="A5193" s="8" t="str">
        <f>IFERROR(__xludf.DUMMYFUNCTION("""COMPUTED_VALUE"""),"notes._.engineer")</f>
        <v>notes._.engineer</v>
      </c>
    </row>
    <row r="5194">
      <c r="A5194" s="8" t="str">
        <f>IFERROR(__xludf.DUMMYFUNCTION("""COMPUTED_VALUE"""),"notes_fx__")</f>
        <v>notes_fx__</v>
      </c>
    </row>
    <row r="5195">
      <c r="A5195" s="8" t="str">
        <f>IFERROR(__xludf.DUMMYFUNCTION("""COMPUTED_VALUE"""),"notesonifone")</f>
        <v>notesonifone</v>
      </c>
    </row>
    <row r="5196">
      <c r="A5196" s="8" t="str">
        <f>IFERROR(__xludf.DUMMYFUNCTION("""COMPUTED_VALUE"""),"_notes._.songs")</f>
        <v>_notes._.songs</v>
      </c>
    </row>
    <row r="5197">
      <c r="A5197" s="8" t="str">
        <f>IFERROR(__xludf.DUMMYFUNCTION("""COMPUTED_VALUE"""),"ludovitodor")</f>
        <v>ludovitodor</v>
      </c>
    </row>
    <row r="5198">
      <c r="A5198" s="8" t="str">
        <f>IFERROR(__xludf.DUMMYFUNCTION("""COMPUTED_VALUE"""),"odoricoreis")</f>
        <v>odoricoreis</v>
      </c>
    </row>
    <row r="5199">
      <c r="A5199" s="11" t="str">
        <f>IFERROR(__xludf.DUMMYFUNCTION("""COMPUTED_VALUE"""),"odoriko.eg")</f>
        <v>odoriko.eg</v>
      </c>
    </row>
    <row r="5200">
      <c r="A5200" s="8" t="str">
        <f>IFERROR(__xludf.DUMMYFUNCTION("""COMPUTED_VALUE"""),"odor_kr")</f>
        <v>odor_kr</v>
      </c>
    </row>
    <row r="5201">
      <c r="A5201" s="8" t="str">
        <f>IFERROR(__xludf.DUMMYFUNCTION("""COMPUTED_VALUE"""),"adivasi_karnataka_hakkipikki")</f>
        <v>adivasi_karnataka_hakkipikki</v>
      </c>
    </row>
    <row r="5202">
      <c r="A5202" s="8" t="str">
        <f>IFERROR(__xludf.DUMMYFUNCTION("""COMPUTED_VALUE"""),"biooillebanon")</f>
        <v>biooillebanon</v>
      </c>
    </row>
    <row r="5203">
      <c r="A5203" s="8" t="str">
        <f>IFERROR(__xludf.DUMMYFUNCTION("""COMPUTED_VALUE"""),"dolce.vivaa")</f>
        <v>dolce.vivaa</v>
      </c>
    </row>
    <row r="5204">
      <c r="A5204" s="8" t="str">
        <f>IFERROR(__xludf.DUMMYFUNCTION("""COMPUTED_VALUE"""),"nancys.oil")</f>
        <v>nancys.oil</v>
      </c>
    </row>
    <row r="5205">
      <c r="A5205" s="8" t="str">
        <f>IFERROR(__xludf.DUMMYFUNCTION("""COMPUTED_VALUE"""),"oil")</f>
        <v>oil</v>
      </c>
    </row>
    <row r="5206">
      <c r="A5206" s="8" t="str">
        <f>IFERROR(__xludf.DUMMYFUNCTION("""COMPUTED_VALUE"""),"oil_1929")</f>
        <v>oil_1929</v>
      </c>
    </row>
    <row r="5207">
      <c r="A5207" s="8" t="str">
        <f>IFERROR(__xludf.DUMMYFUNCTION("""COMPUTED_VALUE"""),"oilatj")</f>
        <v>oilatj</v>
      </c>
    </row>
    <row r="5208">
      <c r="A5208" s="8" t="str">
        <f>IFERROR(__xludf.DUMMYFUNCTION("""COMPUTED_VALUE"""),"oil_c25")</f>
        <v>oil_c25</v>
      </c>
    </row>
    <row r="5209">
      <c r="A5209" s="8" t="str">
        <f>IFERROR(__xludf.DUMMYFUNCTION("""COMPUTED_VALUE"""),"standoil")</f>
        <v>standoil</v>
      </c>
    </row>
    <row r="5210">
      <c r="A5210" s="8" t="str">
        <f>IFERROR(__xludf.DUMMYFUNCTION("""COMPUTED_VALUE"""),"bibliotheque_de_parfum")</f>
        <v>bibliotheque_de_parfum</v>
      </c>
    </row>
    <row r="5211">
      <c r="A5211" s="8" t="str">
        <f>IFERROR(__xludf.DUMMYFUNCTION("""COMPUTED_VALUE"""),"colibriparfum")</f>
        <v>colibriparfum</v>
      </c>
    </row>
    <row r="5212">
      <c r="A5212" s="8" t="str">
        <f>IFERROR(__xludf.DUMMYFUNCTION("""COMPUTED_VALUE"""),"jaroslav_parfum")</f>
        <v>jaroslav_parfum</v>
      </c>
    </row>
    <row r="5213">
      <c r="A5213" s="8" t="str">
        <f>IFERROR(__xludf.DUMMYFUNCTION("""COMPUTED_VALUE"""),"jo__parfum")</f>
        <v>jo__parfum</v>
      </c>
    </row>
    <row r="5214">
      <c r="A5214" s="8" t="str">
        <f>IFERROR(__xludf.DUMMYFUNCTION("""COMPUTED_VALUE"""),"parfumbar.moscow")</f>
        <v>parfumbar.moscow</v>
      </c>
    </row>
    <row r="5215">
      <c r="A5215" s="8" t="str">
        <f>IFERROR(__xludf.DUMMYFUNCTION("""COMPUTED_VALUE"""),"parfumbrasiloficial")</f>
        <v>parfumbrasiloficial</v>
      </c>
    </row>
    <row r="5216">
      <c r="A5216" s="8" t="str">
        <f>IFERROR(__xludf.DUMMYFUNCTION("""COMPUTED_VALUE"""),"parfumerorg")</f>
        <v>parfumerorg</v>
      </c>
    </row>
    <row r="5217">
      <c r="A5217" s="8" t="str">
        <f>IFERROR(__xludf.DUMMYFUNCTION("""COMPUTED_VALUE"""),"parfumsdemarly")</f>
        <v>parfumsdemarly</v>
      </c>
    </row>
    <row r="5218">
      <c r="A5218" s="8" t="str">
        <f>IFERROR(__xludf.DUMMYFUNCTION("""COMPUTED_VALUE"""),"palinparis")</f>
        <v>palinparis</v>
      </c>
    </row>
    <row r="5219">
      <c r="A5219" s="8" t="str">
        <f>IFERROR(__xludf.DUMMYFUNCTION("""COMPUTED_VALUE"""),"parisianamour")</f>
        <v>parisianamour</v>
      </c>
    </row>
    <row r="5220">
      <c r="A5220" s="8" t="str">
        <f>IFERROR(__xludf.DUMMYFUNCTION("""COMPUTED_VALUE"""),"parisianamours")</f>
        <v>parisianamours</v>
      </c>
    </row>
    <row r="5221">
      <c r="A5221" s="8" t="str">
        <f>IFERROR(__xludf.DUMMYFUNCTION("""COMPUTED_VALUE"""),"parisianbeautyacademy")</f>
        <v>parisianbeautyacademy</v>
      </c>
    </row>
    <row r="5222">
      <c r="A5222" s="8" t="str">
        <f>IFERROR(__xludf.DUMMYFUNCTION("""COMPUTED_VALUE"""),"parisian_off")</f>
        <v>parisian_off</v>
      </c>
    </row>
    <row r="5223">
      <c r="A5223" s="8" t="str">
        <f>IFERROR(__xludf.DUMMYFUNCTION("""COMPUTED_VALUE"""),"parisianthreats")</f>
        <v>parisianthreats</v>
      </c>
    </row>
    <row r="5224">
      <c r="A5224" s="8" t="str">
        <f>IFERROR(__xludf.DUMMYFUNCTION("""COMPUTED_VALUE"""),"parisianvibe")</f>
        <v>parisianvibe</v>
      </c>
    </row>
    <row r="5225">
      <c r="A5225" s="8" t="str">
        <f>IFERROR(__xludf.DUMMYFUNCTION("""COMPUTED_VALUE"""),"theparisianvintage")</f>
        <v>theparisianvintage</v>
      </c>
    </row>
    <row r="5226">
      <c r="A5226" s="8" t="str">
        <f>IFERROR(__xludf.DUMMYFUNCTION("""COMPUTED_VALUE"""),"astccessories")</f>
        <v>astccessories</v>
      </c>
    </row>
    <row r="5227">
      <c r="A5227" s="8" t="str">
        <f>IFERROR(__xludf.DUMMYFUNCTION("""COMPUTED_VALUE"""),"br_perfume2")</f>
        <v>br_perfume2</v>
      </c>
    </row>
    <row r="5228">
      <c r="A5228" s="8" t="str">
        <f>IFERROR(__xludf.DUMMYFUNCTION("""COMPUTED_VALUE"""),"jperfumes_ms")</f>
        <v>jperfumes_ms</v>
      </c>
    </row>
    <row r="5229">
      <c r="A5229" s="8" t="str">
        <f>IFERROR(__xludf.DUMMYFUNCTION("""COMPUTED_VALUE"""),"luxury_perfume_oils_nbo")</f>
        <v>luxury_perfume_oils_nbo</v>
      </c>
    </row>
    <row r="5230">
      <c r="A5230" s="8" t="str">
        <f>IFERROR(__xludf.DUMMYFUNCTION("""COMPUTED_VALUE"""),"perfumegenius")</f>
        <v>perfumegenius</v>
      </c>
    </row>
    <row r="5231">
      <c r="A5231" s="8" t="str">
        <f>IFERROR(__xludf.DUMMYFUNCTION("""COMPUTED_VALUE"""),"perfumerism")</f>
        <v>perfumerism</v>
      </c>
    </row>
    <row r="5232">
      <c r="A5232" s="8" t="str">
        <f>IFERROR(__xludf.DUMMYFUNCTION("""COMPUTED_VALUE"""),"perfumesiren")</f>
        <v>perfumesiren</v>
      </c>
    </row>
    <row r="5233">
      <c r="A5233" s="8" t="str">
        <f>IFERROR(__xludf.DUMMYFUNCTION("""COMPUTED_VALUE"""),"perfumesreal")</f>
        <v>perfumesreal</v>
      </c>
    </row>
    <row r="5234">
      <c r="A5234" s="8" t="str">
        <f>IFERROR(__xludf.DUMMYFUNCTION("""COMPUTED_VALUE"""),"prfm_official")</f>
        <v>prfm_official</v>
      </c>
    </row>
    <row r="5235">
      <c r="A5235" s="8" t="str">
        <f>IFERROR(__xludf.DUMMYFUNCTION("""COMPUTED_VALUE"""),"sele_perfume")</f>
        <v>sele_perfume</v>
      </c>
    </row>
    <row r="5236">
      <c r="A5236" s="8" t="str">
        <f>IFERROR(__xludf.DUMMYFUNCTION("""COMPUTED_VALUE"""),"theperfumeshop")</f>
        <v>theperfumeshop</v>
      </c>
    </row>
    <row r="5237">
      <c r="A5237" s="8" t="str">
        <f>IFERROR(__xludf.DUMMYFUNCTION("""COMPUTED_VALUE"""),"zava.perfume")</f>
        <v>zava.perfume</v>
      </c>
    </row>
    <row r="5238">
      <c r="A5238" s="8" t="str">
        <f>IFERROR(__xludf.DUMMYFUNCTION("""COMPUTED_VALUE"""),"victoriaperfumeid")</f>
        <v>victoriaperfumeid</v>
      </c>
    </row>
    <row r="5239">
      <c r="A5239" s="8" t="str">
        <f>IFERROR(__xludf.DUMMYFUNCTION("""COMPUTED_VALUE"""),"adika_perfume")</f>
        <v>adika_perfume</v>
      </c>
    </row>
    <row r="5240">
      <c r="A5240" s="8" t="str">
        <f>IFERROR(__xludf.DUMMYFUNCTION("""COMPUTED_VALUE"""),"mr.perfume.review")</f>
        <v>mr.perfume.review</v>
      </c>
    </row>
    <row r="5241">
      <c r="A5241" s="8" t="str">
        <f>IFERROR(__xludf.DUMMYFUNCTION("""COMPUTED_VALUE"""),"perfume.adicta")</f>
        <v>perfume.adicta</v>
      </c>
    </row>
    <row r="5242">
      <c r="A5242" s="8" t="str">
        <f>IFERROR(__xludf.DUMMYFUNCTION("""COMPUTED_VALUE"""),"little.miss.perfume")</f>
        <v>little.miss.perfume</v>
      </c>
    </row>
    <row r="5243">
      <c r="A5243" s="8" t="str">
        <f>IFERROR(__xludf.DUMMYFUNCTION("""COMPUTED_VALUE"""),"lina.berd")</f>
        <v>lina.berd</v>
      </c>
    </row>
    <row r="5244">
      <c r="A5244" s="8" t="str">
        <f>IFERROR(__xludf.DUMMYFUNCTION("""COMPUTED_VALUE"""),"zianreviews")</f>
        <v>zianreviews</v>
      </c>
    </row>
    <row r="5245">
      <c r="A5245" s="11" t="str">
        <f>IFERROR(__xludf.DUMMYFUNCTION("""COMPUTED_VALUE"""),"perfume.spot.eg")</f>
        <v>perfume.spot.eg</v>
      </c>
    </row>
    <row r="5246">
      <c r="A5246" s="8" t="str">
        <f>IFERROR(__xludf.DUMMYFUNCTION("""COMPUTED_VALUE"""),"duyenperfume")</f>
        <v>duyenperfume</v>
      </c>
    </row>
    <row r="5247">
      <c r="A5247" s="8" t="str">
        <f>IFERROR(__xludf.DUMMYFUNCTION("""COMPUTED_VALUE"""),"omidfragrance")</f>
        <v>omidfragrance</v>
      </c>
    </row>
    <row r="5248">
      <c r="A5248" s="8" t="str">
        <f>IFERROR(__xludf.DUMMYFUNCTION("""COMPUTED_VALUE"""),"perfumes_blogger")</f>
        <v>perfumes_blogger</v>
      </c>
    </row>
    <row r="5249">
      <c r="A5249" s="8" t="str">
        <f>IFERROR(__xludf.DUMMYFUNCTION("""COMPUTED_VALUE"""),"pkpowerful")</f>
        <v>pkpowerful</v>
      </c>
    </row>
    <row r="5250">
      <c r="A5250" s="8" t="str">
        <f>IFERROR(__xludf.DUMMYFUNCTION("""COMPUTED_VALUE"""),"powerful")</f>
        <v>powerful</v>
      </c>
    </row>
    <row r="5251">
      <c r="A5251" s="8" t="str">
        <f>IFERROR(__xludf.DUMMYFUNCTION("""COMPUTED_VALUE"""),"powerful_com_")</f>
        <v>powerful_com_</v>
      </c>
    </row>
    <row r="5252">
      <c r="A5252" s="8" t="str">
        <f>IFERROR(__xludf.DUMMYFUNCTION("""COMPUTED_VALUE"""),"powerfulcountries")</f>
        <v>powerfulcountries</v>
      </c>
    </row>
    <row r="5253">
      <c r="A5253" s="8" t="str">
        <f>IFERROR(__xludf.DUMMYFUNCTION("""COMPUTED_VALUE"""),"powerful___muslim")</f>
        <v>powerful___muslim</v>
      </c>
    </row>
    <row r="5254">
      <c r="A5254" s="8" t="str">
        <f>IFERROR(__xludf.DUMMYFUNCTION("""COMPUTED_VALUE"""),"powerfulpiece")</f>
        <v>powerfulpiece</v>
      </c>
    </row>
    <row r="5255">
      <c r="A5255" s="8" t="str">
        <f>IFERROR(__xludf.DUMMYFUNCTION("""COMPUTED_VALUE"""),"arqprestige")</f>
        <v>arqprestige</v>
      </c>
    </row>
    <row r="5256">
      <c r="A5256" s="8" t="str">
        <f>IFERROR(__xludf.DUMMYFUNCTION("""COMPUTED_VALUE"""),"bossyprestige")</f>
        <v>bossyprestige</v>
      </c>
    </row>
    <row r="5257">
      <c r="A5257" s="8" t="str">
        <f>IFERROR(__xludf.DUMMYFUNCTION("""COMPUTED_VALUE"""),"pinprestige")</f>
        <v>pinprestige</v>
      </c>
    </row>
    <row r="5258">
      <c r="A5258" s="8" t="str">
        <f>IFERROR(__xludf.DUMMYFUNCTION("""COMPUTED_VALUE"""),"prestige.dan")</f>
        <v>prestige.dan</v>
      </c>
    </row>
    <row r="5259">
      <c r="A5259" s="8" t="str">
        <f>IFERROR(__xludf.DUMMYFUNCTION("""COMPUTED_VALUE"""),"prestigefinancials")</f>
        <v>prestigefinancials</v>
      </c>
    </row>
    <row r="5260">
      <c r="A5260" s="8" t="str">
        <f>IFERROR(__xludf.DUMMYFUNCTION("""COMPUTED_VALUE"""),"prestigehk")</f>
        <v>prestigehk</v>
      </c>
    </row>
    <row r="5261">
      <c r="A5261" s="8" t="str">
        <f>IFERROR(__xludf.DUMMYFUNCTION("""COMPUTED_VALUE"""),"prestigehomess")</f>
        <v>prestigehomess</v>
      </c>
    </row>
    <row r="5262">
      <c r="A5262" s="8" t="str">
        <f>IFERROR(__xludf.DUMMYFUNCTION("""COMPUTED_VALUE"""),"prestigeimports")</f>
        <v>prestigeimports</v>
      </c>
    </row>
    <row r="5263">
      <c r="A5263" s="8" t="str">
        <f>IFERROR(__xludf.DUMMYFUNCTION("""COMPUTED_VALUE"""),"prestigeth")</f>
        <v>prestigeth</v>
      </c>
    </row>
    <row r="5264">
      <c r="A5264" s="8" t="str">
        <f>IFERROR(__xludf.DUMMYFUNCTION("""COMPUTED_VALUE"""),"theprestigeofficial")</f>
        <v>theprestigeofficial</v>
      </c>
    </row>
    <row r="5265">
      <c r="A5265" s="8" t="str">
        <f>IFERROR(__xludf.DUMMYFUNCTION("""COMPUTED_VALUE"""),"prestige_house.ik")</f>
        <v>prestige_house.ik</v>
      </c>
    </row>
    <row r="5266">
      <c r="A5266" s="8" t="str">
        <f>IFERROR(__xludf.DUMMYFUNCTION("""COMPUTED_VALUE"""),"prestigehouses")</f>
        <v>prestigehouses</v>
      </c>
    </row>
    <row r="5267">
      <c r="A5267" s="8" t="str">
        <f>IFERROR(__xludf.DUMMYFUNCTION("""COMPUTED_VALUE"""),"pres.garm")</f>
        <v>pres.garm</v>
      </c>
    </row>
    <row r="5268">
      <c r="A5268" s="8" t="str">
        <f>IFERROR(__xludf.DUMMYFUNCTION("""COMPUTED_VALUE"""),"prestigiousjewellers")</f>
        <v>prestigiousjewellers</v>
      </c>
    </row>
    <row r="5269">
      <c r="A5269" s="8" t="str">
        <f>IFERROR(__xludf.DUMMYFUNCTION("""COMPUTED_VALUE"""),"prestigious.pearls")</f>
        <v>prestigious.pearls</v>
      </c>
    </row>
    <row r="5270">
      <c r="A5270" s="8" t="str">
        <f>IFERROR(__xludf.DUMMYFUNCTION("""COMPUTED_VALUE"""),"urprestigious")</f>
        <v>urprestigious</v>
      </c>
    </row>
    <row r="5271">
      <c r="A5271" s="8" t="str">
        <f>IFERROR(__xludf.DUMMYFUNCTION("""COMPUTED_VALUE"""),"projection_mapping_world")</f>
        <v>projection_mapping_world</v>
      </c>
    </row>
    <row r="5272">
      <c r="A5272" s="8" t="str">
        <f>IFERROR(__xludf.DUMMYFUNCTION("""COMPUTED_VALUE"""),"puprojections")</f>
        <v>puprojections</v>
      </c>
    </row>
    <row r="5273">
      <c r="A5273" s="8" t="str">
        <f>IFERROR(__xludf.DUMMYFUNCTION("""COMPUTED_VALUE"""),"therefinement.official")</f>
        <v>therefinement.official</v>
      </c>
    </row>
    <row r="5274">
      <c r="A5274" s="8" t="str">
        <f>IFERROR(__xludf.DUMMYFUNCTION("""COMPUTED_VALUE"""),"reputationbusinessforum")</f>
        <v>reputationbusinessforum</v>
      </c>
    </row>
    <row r="5275">
      <c r="A5275" s="8" t="str">
        <f>IFERROR(__xludf.DUMMYFUNCTION("""COMPUTED_VALUE"""),"reputationextensions")</f>
        <v>reputationextensions</v>
      </c>
    </row>
    <row r="5276">
      <c r="A5276" s="8" t="str">
        <f>IFERROR(__xludf.DUMMYFUNCTION("""COMPUTED_VALUE"""),"reputation_studios_")</f>
        <v>reputation_studios_</v>
      </c>
    </row>
    <row r="5277">
      <c r="A5277" s="8" t="str">
        <f>IFERROR(__xludf.DUMMYFUNCTION("""COMPUTED_VALUE"""),"tributetotaylor")</f>
        <v>tributetotaylor</v>
      </c>
    </row>
    <row r="5278">
      <c r="A5278" s="8" t="str">
        <f>IFERROR(__xludf.DUMMYFUNCTION("""COMPUTED_VALUE"""),"don_resin")</f>
        <v>don_resin</v>
      </c>
    </row>
    <row r="5279">
      <c r="A5279" s="8" t="str">
        <f>IFERROR(__xludf.DUMMYFUNCTION("""COMPUTED_VALUE"""),"jp.resin")</f>
        <v>jp.resin</v>
      </c>
    </row>
    <row r="5280">
      <c r="A5280" s="8" t="str">
        <f>IFERROR(__xludf.DUMMYFUNCTION("""COMPUTED_VALUE"""),"letsresin")</f>
        <v>letsresin</v>
      </c>
    </row>
    <row r="5281">
      <c r="A5281" s="8" t="str">
        <f>IFERROR(__xludf.DUMMYFUNCTION("""COMPUTED_VALUE"""),"nadera_resin_")</f>
        <v>nadera_resin_</v>
      </c>
    </row>
    <row r="5282">
      <c r="A5282" s="8" t="str">
        <f>IFERROR(__xludf.DUMMYFUNCTION("""COMPUTED_VALUE"""),"odontoliderprime")</f>
        <v>odontoliderprime</v>
      </c>
    </row>
    <row r="5283">
      <c r="A5283" s="8" t="str">
        <f>IFERROR(__xludf.DUMMYFUNCTION("""COMPUTED_VALUE"""),"resinart_daily")</f>
        <v>resinart_daily</v>
      </c>
    </row>
    <row r="5284">
      <c r="A5284" s="8" t="str">
        <f>IFERROR(__xludf.DUMMYFUNCTION("""COMPUTED_VALUE"""),"resinbeautyla")</f>
        <v>resinbeautyla</v>
      </c>
    </row>
    <row r="5285">
      <c r="A5285" s="8" t="str">
        <f>IFERROR(__xludf.DUMMYFUNCTION("""COMPUTED_VALUE"""),"resin.by.amarr")</f>
        <v>resin.by.amarr</v>
      </c>
    </row>
    <row r="5286">
      <c r="A5286" s="8" t="str">
        <f>IFERROR(__xludf.DUMMYFUNCTION("""COMPUTED_VALUE"""),"resin_lovee")</f>
        <v>resin_lovee</v>
      </c>
    </row>
    <row r="5287">
      <c r="A5287" s="8" t="str">
        <f>IFERROR(__xludf.DUMMYFUNCTION("""COMPUTED_VALUE"""),"richa.chandrawanshi.arts")</f>
        <v>richa.chandrawanshi.arts</v>
      </c>
    </row>
    <row r="5288">
      <c r="A5288" s="8" t="str">
        <f>IFERROR(__xludf.DUMMYFUNCTION("""COMPUTED_VALUE"""),"theartstore_resin_24")</f>
        <v>theartstore_resin_24</v>
      </c>
    </row>
    <row r="5289">
      <c r="A5289" s="8" t="str">
        <f>IFERROR(__xludf.DUMMYFUNCTION("""COMPUTED_VALUE"""),"uniresinas")</f>
        <v>uniresinas</v>
      </c>
    </row>
    <row r="5290">
      <c r="A5290" s="8" t="str">
        <f>IFERROR(__xludf.DUMMYFUNCTION("""COMPUTED_VALUE"""),"archivedrunway")</f>
        <v>archivedrunway</v>
      </c>
    </row>
    <row r="5291">
      <c r="A5291" s="8" t="str">
        <f>IFERROR(__xludf.DUMMYFUNCTION("""COMPUTED_VALUE"""),"breerunway")</f>
        <v>breerunway</v>
      </c>
    </row>
    <row r="5292">
      <c r="A5292" s="8" t="str">
        <f>IFERROR(__xludf.DUMMYFUNCTION("""COMPUTED_VALUE"""),"projectrunwayeldjazair")</f>
        <v>projectrunwayeldjazair</v>
      </c>
    </row>
    <row r="5293">
      <c r="A5293" s="8" t="str">
        <f>IFERROR(__xludf.DUMMYFUNCTION("""COMPUTED_VALUE"""),"runway7fashion")</f>
        <v>runway7fashion</v>
      </c>
    </row>
    <row r="5294">
      <c r="A5294" s="8" t="str">
        <f>IFERROR(__xludf.DUMMYFUNCTION("""COMPUTED_VALUE"""),"runwayapp")</f>
        <v>runwayapp</v>
      </c>
    </row>
    <row r="5295">
      <c r="A5295" s="8" t="str">
        <f>IFERROR(__xludf.DUMMYFUNCTION("""COMPUTED_VALUE"""),"runway_billionaire")</f>
        <v>runway_billionaire</v>
      </c>
    </row>
    <row r="5296">
      <c r="A5296" s="8" t="str">
        <f>IFERROR(__xludf.DUMMYFUNCTION("""COMPUTED_VALUE"""),"runway.pakistan")</f>
        <v>runway.pakistan</v>
      </c>
    </row>
    <row r="5297">
      <c r="A5297" s="8" t="str">
        <f>IFERROR(__xludf.DUMMYFUNCTION("""COMPUTED_VALUE"""),"runwayroom")</f>
        <v>runwayroom</v>
      </c>
    </row>
    <row r="5298">
      <c r="A5298" s="8" t="str">
        <f>IFERROR(__xludf.DUMMYFUNCTION("""COMPUTED_VALUE"""),"runwayscout")</f>
        <v>runwayscout</v>
      </c>
    </row>
    <row r="5299">
      <c r="A5299" s="8" t="str">
        <f>IFERROR(__xludf.DUMMYFUNCTION("""COMPUTED_VALUE"""),"runwayskirts")</f>
        <v>runwayskirts</v>
      </c>
    </row>
    <row r="5300">
      <c r="A5300" s="8" t="str">
        <f>IFERROR(__xludf.DUMMYFUNCTION("""COMPUTED_VALUE"""),"runwaytienda")</f>
        <v>runwaytienda</v>
      </c>
    </row>
    <row r="5301">
      <c r="A5301" s="8" t="str">
        <f>IFERROR(__xludf.DUMMYFUNCTION("""COMPUTED_VALUE"""),"therunwayboutiquepr")</f>
        <v>therunwayboutiquepr</v>
      </c>
    </row>
    <row r="5302">
      <c r="A5302" s="8" t="str">
        <f>IFERROR(__xludf.DUMMYFUNCTION("""COMPUTED_VALUE"""),"voguerunway")</f>
        <v>voguerunway</v>
      </c>
    </row>
    <row r="5303">
      <c r="A5303" s="8" t="str">
        <f>IFERROR(__xludf.DUMMYFUNCTION("""COMPUTED_VALUE"""),"theshikhasistersofficial")</f>
        <v>theshikhasistersofficial</v>
      </c>
    </row>
    <row r="5304">
      <c r="A5304" s="8" t="str">
        <f>IFERROR(__xludf.DUMMYFUNCTION("""COMPUTED_VALUE"""),"perfumee100")</f>
        <v>perfumee100</v>
      </c>
    </row>
    <row r="5305">
      <c r="A5305" s="8" t="str">
        <f>IFERROR(__xludf.DUMMYFUNCTION("""COMPUTED_VALUE"""),"escentcandle")</f>
        <v>escentcandle</v>
      </c>
    </row>
    <row r="5306">
      <c r="A5306" s="8" t="str">
        <f>IFERROR(__xludf.DUMMYFUNCTION("""COMPUTED_VALUE"""),"lootahperfumes")</f>
        <v>lootahperfumes</v>
      </c>
    </row>
    <row r="5307">
      <c r="A5307" s="8" t="str">
        <f>IFERROR(__xludf.DUMMYFUNCTION("""COMPUTED_VALUE"""),"scentadvice")</f>
        <v>scentadvice</v>
      </c>
    </row>
    <row r="5308">
      <c r="A5308" s="8" t="str">
        <f>IFERROR(__xludf.DUMMYFUNCTION("""COMPUTED_VALUE"""),"scentbird")</f>
        <v>scentbird</v>
      </c>
    </row>
    <row r="5309">
      <c r="A5309" s="8" t="str">
        <f>IFERROR(__xludf.DUMMYFUNCTION("""COMPUTED_VALUE"""),"scent.br_")</f>
        <v>scent.br_</v>
      </c>
    </row>
    <row r="5310">
      <c r="A5310" s="8" t="str">
        <f>IFERROR(__xludf.DUMMYFUNCTION("""COMPUTED_VALUE"""),"scentgasm")</f>
        <v>scentgasm</v>
      </c>
    </row>
    <row r="5311">
      <c r="A5311" s="8" t="str">
        <f>IFERROR(__xludf.DUMMYFUNCTION("""COMPUTED_VALUE"""),"scentiment")</f>
        <v>scentiment</v>
      </c>
    </row>
    <row r="5312">
      <c r="A5312" s="8" t="str">
        <f>IFERROR(__xludf.DUMMYFUNCTION("""COMPUTED_VALUE"""),"_scentsgalore")</f>
        <v>_scentsgalore</v>
      </c>
    </row>
    <row r="5313">
      <c r="A5313" s="8" t="str">
        <f>IFERROR(__xludf.DUMMYFUNCTION("""COMPUTED_VALUE"""),"scent_station_official")</f>
        <v>scent_station_official</v>
      </c>
    </row>
    <row r="5314">
      <c r="A5314" s="8" t="str">
        <f>IFERROR(__xludf.DUMMYFUNCTION("""COMPUTED_VALUE"""),"scentsy")</f>
        <v>scentsy</v>
      </c>
    </row>
    <row r="5315">
      <c r="A5315" s="8" t="str">
        <f>IFERROR(__xludf.DUMMYFUNCTION("""COMPUTED_VALUE"""),"signature_scent_1992")</f>
        <v>signature_scent_1992</v>
      </c>
    </row>
    <row r="5316">
      <c r="A5316" s="8" t="str">
        <f>IFERROR(__xludf.DUMMYFUNCTION("""COMPUTED_VALUE"""),"realsillage")</f>
        <v>realsillage</v>
      </c>
    </row>
    <row r="5317">
      <c r="A5317" s="11" t="str">
        <f>IFERROR(__xludf.DUMMYFUNCTION("""COMPUTED_VALUE"""),"sillage.me")</f>
        <v>sillage.me</v>
      </c>
    </row>
    <row r="5318">
      <c r="A5318" s="8" t="str">
        <f>IFERROR(__xludf.DUMMYFUNCTION("""COMPUTED_VALUE"""),"sillage.online")</f>
        <v>sillage.online</v>
      </c>
    </row>
    <row r="5319">
      <c r="A5319" s="8" t="str">
        <f>IFERROR(__xludf.DUMMYFUNCTION("""COMPUTED_VALUE"""),"sillage_store")</f>
        <v>sillage_store</v>
      </c>
    </row>
    <row r="5320">
      <c r="A5320" s="8" t="str">
        <f>IFERROR(__xludf.DUMMYFUNCTION("""COMPUTED_VALUE"""),"sillageturkey")</f>
        <v>sillageturkey</v>
      </c>
    </row>
    <row r="5321">
      <c r="A5321" s="8" t="str">
        <f>IFERROR(__xludf.DUMMYFUNCTION("""COMPUTED_VALUE"""),"skinchemistryofficial")</f>
        <v>skinchemistryofficial</v>
      </c>
    </row>
    <row r="5322">
      <c r="A5322" s="8" t="str">
        <f>IFERROR(__xludf.DUMMYFUNCTION("""COMPUTED_VALUE"""),"7newsspotlight")</f>
        <v>7newsspotlight</v>
      </c>
    </row>
    <row r="5323">
      <c r="A5323" s="8" t="str">
        <f>IFERROR(__xludf.DUMMYFUNCTION("""COMPUTED_VALUE"""),"animespotlight")</f>
        <v>animespotlight</v>
      </c>
    </row>
    <row r="5324">
      <c r="A5324" s="8" t="str">
        <f>IFERROR(__xludf.DUMMYFUNCTION("""COMPUTED_VALUE"""),"sjspotlight")</f>
        <v>sjspotlight</v>
      </c>
    </row>
    <row r="5325">
      <c r="A5325" s="8" t="str">
        <f>IFERROR(__xludf.DUMMYFUNCTION("""COMPUTED_VALUE"""),"spot._light")</f>
        <v>spot._light</v>
      </c>
    </row>
    <row r="5326">
      <c r="A5326" s="11" t="str">
        <f>IFERROR(__xludf.DUMMYFUNCTION("""COMPUTED_VALUE"""),"spotlight.la")</f>
        <v>spotlight.la</v>
      </c>
    </row>
    <row r="5327">
      <c r="A5327" s="8" t="str">
        <f>IFERROR(__xludf.DUMMYFUNCTION("""COMPUTED_VALUE"""),"spotlighttime")</f>
        <v>spotlighttime</v>
      </c>
    </row>
    <row r="5328">
      <c r="A5328" s="8" t="str">
        <f>IFERROR(__xludf.DUMMYFUNCTION("""COMPUTED_VALUE"""),"spotlightuk")</f>
        <v>spotlightuk</v>
      </c>
    </row>
    <row r="5329">
      <c r="A5329" s="8" t="str">
        <f>IFERROR(__xludf.DUMMYFUNCTION("""COMPUTED_VALUE"""),"theistanbulspotlight")</f>
        <v>theistanbulspotlight</v>
      </c>
    </row>
    <row r="5330">
      <c r="A5330" s="8" t="str">
        <f>IFERROR(__xludf.DUMMYFUNCTION("""COMPUTED_VALUE"""),"wearespotlight_")</f>
        <v>wearespotlight_</v>
      </c>
    </row>
    <row r="5331">
      <c r="A5331" s="8" t="str">
        <f>IFERROR(__xludf.DUMMYFUNCTION("""COMPUTED_VALUE"""),"liamweis.art")</f>
        <v>liamweis.art</v>
      </c>
    </row>
    <row r="5332">
      <c r="A5332" s="8" t="str">
        <f>IFERROR(__xludf.DUMMYFUNCTION("""COMPUTED_VALUE"""),"mindspray")</f>
        <v>mindspray</v>
      </c>
    </row>
    <row r="5333">
      <c r="A5333" s="8" t="str">
        <f>IFERROR(__xludf.DUMMYFUNCTION("""COMPUTED_VALUE"""),"sapporospray")</f>
        <v>sapporospray</v>
      </c>
    </row>
    <row r="5334">
      <c r="A5334" s="8" t="str">
        <f>IFERROR(__xludf.DUMMYFUNCTION("""COMPUTED_VALUE"""),"spray")</f>
        <v>spray</v>
      </c>
    </row>
    <row r="5335">
      <c r="A5335" s="8" t="str">
        <f>IFERROR(__xludf.DUMMYFUNCTION("""COMPUTED_VALUE"""),"spraybaby1")</f>
        <v>spraybaby1</v>
      </c>
    </row>
    <row r="5336">
      <c r="A5336" s="8" t="str">
        <f>IFERROR(__xludf.DUMMYFUNCTION("""COMPUTED_VALUE"""),"spray.forever")</f>
        <v>spray.forever</v>
      </c>
    </row>
    <row r="5337">
      <c r="A5337" s="8" t="str">
        <f>IFERROR(__xludf.DUMMYFUNCTION("""COMPUTED_VALUE"""),"sprayground")</f>
        <v>sprayground</v>
      </c>
    </row>
    <row r="5338">
      <c r="A5338" s="8" t="str">
        <f>IFERROR(__xludf.DUMMYFUNCTION("""COMPUTED_VALUE"""),"spraypal")</f>
        <v>spraypal</v>
      </c>
    </row>
    <row r="5339">
      <c r="A5339" s="8" t="str">
        <f>IFERROR(__xludf.DUMMYFUNCTION("""COMPUTED_VALUE"""),"sprayplanet")</f>
        <v>sprayplanet</v>
      </c>
    </row>
    <row r="5340">
      <c r="A5340" s="8" t="str">
        <f>IFERROR(__xludf.DUMMYFUNCTION("""COMPUTED_VALUE"""),"spray_sp")</f>
        <v>spray_sp</v>
      </c>
    </row>
    <row r="5341">
      <c r="A5341" s="8" t="str">
        <f>IFERROR(__xludf.DUMMYFUNCTION("""COMPUTED_VALUE"""),"americanstyle")</f>
        <v>americanstyle</v>
      </c>
    </row>
    <row r="5342">
      <c r="A5342" s="8" t="str">
        <f>IFERROR(__xludf.DUMMYFUNCTION("""COMPUTED_VALUE"""),"harrystyles")</f>
        <v>harrystyles</v>
      </c>
    </row>
    <row r="5343">
      <c r="A5343" s="8" t="str">
        <f>IFERROR(__xludf.DUMMYFUNCTION("""COMPUTED_VALUE"""),"nytstyle")</f>
        <v>nytstyle</v>
      </c>
    </row>
    <row r="5344">
      <c r="A5344" s="8" t="str">
        <f>IFERROR(__xludf.DUMMYFUNCTION("""COMPUTED_VALUE"""),"style")</f>
        <v>style</v>
      </c>
    </row>
    <row r="5345">
      <c r="A5345" s="8" t="str">
        <f>IFERROR(__xludf.DUMMYFUNCTION("""COMPUTED_VALUE"""),"styleaddict")</f>
        <v>styleaddict</v>
      </c>
    </row>
    <row r="5346">
      <c r="A5346" s="8" t="str">
        <f>IFERROR(__xludf.DUMMYFUNCTION("""COMPUTED_VALUE"""),"style_byanna")</f>
        <v>style_byanna</v>
      </c>
    </row>
    <row r="5347">
      <c r="A5347" s="8" t="str">
        <f>IFERROR(__xludf.DUMMYFUNCTION("""COMPUTED_VALUE"""),"stylebyfel")</f>
        <v>stylebyfel</v>
      </c>
    </row>
    <row r="5348">
      <c r="A5348" s="8" t="str">
        <f>IFERROR(__xludf.DUMMYFUNCTION("""COMPUTED_VALUE"""),"stylebyrihab")</f>
        <v>stylebyrihab</v>
      </c>
    </row>
    <row r="5349">
      <c r="A5349" s="8" t="str">
        <f>IFERROR(__xludf.DUMMYFUNCTION("""COMPUTED_VALUE"""),"style.demon")</f>
        <v>style.demon</v>
      </c>
    </row>
    <row r="5350">
      <c r="A5350" s="8" t="str">
        <f>IFERROR(__xludf.DUMMYFUNCTION("""COMPUTED_VALUE"""),"styledsara")</f>
        <v>styledsara</v>
      </c>
    </row>
    <row r="5351">
      <c r="A5351" s="8" t="str">
        <f>IFERROR(__xludf.DUMMYFUNCTION("""COMPUTED_VALUE"""),"stylegator")</f>
        <v>stylegator</v>
      </c>
    </row>
    <row r="5352">
      <c r="A5352" s="8" t="str">
        <f>IFERROR(__xludf.DUMMYFUNCTION("""COMPUTED_VALUE"""),"style_marjan")</f>
        <v>style_marjan</v>
      </c>
    </row>
    <row r="5353">
      <c r="A5353" s="8" t="str">
        <f>IFERROR(__xludf.DUMMYFUNCTION("""COMPUTED_VALUE"""),"stylemefresh")</f>
        <v>stylemefresh</v>
      </c>
    </row>
    <row r="5354">
      <c r="A5354" s="8" t="str">
        <f>IFERROR(__xludf.DUMMYFUNCTION("""COMPUTED_VALUE"""),"style.memess")</f>
        <v>style.memess</v>
      </c>
    </row>
    <row r="5355">
      <c r="A5355" s="8" t="str">
        <f>IFERROR(__xludf.DUMMYFUNCTION("""COMPUTED_VALUE"""),"styleto")</f>
        <v>styleto</v>
      </c>
    </row>
    <row r="5356">
      <c r="A5356" s="8" t="str">
        <f>IFERROR(__xludf.DUMMYFUNCTION("""COMPUTED_VALUE"""),"yasaman_style")</f>
        <v>yasaman_style</v>
      </c>
    </row>
    <row r="5357">
      <c r="A5357" s="8" t="str">
        <f>IFERROR(__xludf.DUMMYFUNCTION("""COMPUTED_VALUE"""),"a.subtle.space")</f>
        <v>a.subtle.space</v>
      </c>
    </row>
    <row r="5358">
      <c r="A5358" s="8" t="str">
        <f>IFERROR(__xludf.DUMMYFUNCTION("""COMPUTED_VALUE"""),"bodywisdomacademy")</f>
        <v>bodywisdomacademy</v>
      </c>
    </row>
    <row r="5359">
      <c r="A5359" s="8" t="str">
        <f>IFERROR(__xludf.DUMMYFUNCTION("""COMPUTED_VALUE"""),"foreshadow.meme")</f>
        <v>foreshadow.meme</v>
      </c>
    </row>
    <row r="5360">
      <c r="A5360" s="8" t="str">
        <f>IFERROR(__xludf.DUMMYFUNCTION("""COMPUTED_VALUE"""),"shopsubtledust")</f>
        <v>shopsubtledust</v>
      </c>
    </row>
    <row r="5361">
      <c r="A5361" s="8" t="str">
        <f>IFERROR(__xludf.DUMMYFUNCTION("""COMPUTED_VALUE"""),"subtle.foreshadowing")</f>
        <v>subtle.foreshadowing</v>
      </c>
    </row>
    <row r="5362">
      <c r="A5362" s="8" t="str">
        <f>IFERROR(__xludf.DUMMYFUNCTION("""COMPUTED_VALUE"""),"subtleseries")</f>
        <v>subtleseries</v>
      </c>
    </row>
    <row r="5363">
      <c r="A5363" s="8" t="str">
        <f>IFERROR(__xludf.DUMMYFUNCTION("""COMPUTED_VALUE"""),"subtle.somebody")</f>
        <v>subtle.somebody</v>
      </c>
    </row>
    <row r="5364">
      <c r="A5364" s="8" t="str">
        <f>IFERROR(__xludf.DUMMYFUNCTION("""COMPUTED_VALUE"""),"symbolaudio")</f>
        <v>symbolaudio</v>
      </c>
    </row>
    <row r="5365">
      <c r="A5365" s="8" t="str">
        <f>IFERROR(__xludf.DUMMYFUNCTION("""COMPUTED_VALUE"""),"symbolic.haze")</f>
        <v>symbolic.haze</v>
      </c>
    </row>
    <row r="5366">
      <c r="A5366" s="8" t="str">
        <f>IFERROR(__xludf.DUMMYFUNCTION("""COMPUTED_VALUE"""),"symbolicmagicart")</f>
        <v>symbolicmagicart</v>
      </c>
    </row>
    <row r="5367">
      <c r="A5367" s="8" t="str">
        <f>IFERROR(__xludf.DUMMYFUNCTION("""COMPUTED_VALUE"""),"symboll")</f>
        <v>symboll</v>
      </c>
    </row>
    <row r="5368">
      <c r="A5368" s="11" t="str">
        <f>IFERROR(__xludf.DUMMYFUNCTION("""COMPUTED_VALUE"""),"symbol.ua")</f>
        <v>symbol.ua</v>
      </c>
    </row>
    <row r="5369">
      <c r="A5369" s="8" t="str">
        <f>IFERROR(__xludf.DUMMYFUNCTION("""COMPUTED_VALUE"""),"crafthouseng")</f>
        <v>crafthouseng</v>
      </c>
    </row>
    <row r="5370">
      <c r="A5370" s="8" t="str">
        <f>IFERROR(__xludf.DUMMYFUNCTION("""COMPUTED_VALUE"""),"fakor__m")</f>
        <v>fakor__m</v>
      </c>
    </row>
    <row r="5371">
      <c r="A5371" s="8" t="str">
        <f>IFERROR(__xludf.DUMMYFUNCTION("""COMPUTED_VALUE"""),"pinsent_tailoring")</f>
        <v>pinsent_tailoring</v>
      </c>
    </row>
    <row r="5372">
      <c r="A5372" s="8" t="str">
        <f>IFERROR(__xludf.DUMMYFUNCTION("""COMPUTED_VALUE"""),"rol_tailoring")</f>
        <v>rol_tailoring</v>
      </c>
    </row>
    <row r="5373">
      <c r="A5373" s="8" t="str">
        <f>IFERROR(__xludf.DUMMYFUNCTION("""COMPUTED_VALUE"""),"suja_fashion_tailoring")</f>
        <v>suja_fashion_tailoring</v>
      </c>
    </row>
    <row r="5374">
      <c r="A5374" s="8" t="str">
        <f>IFERROR(__xludf.DUMMYFUNCTION("""COMPUTED_VALUE"""),"tailoring_accessories")</f>
        <v>tailoring_accessories</v>
      </c>
    </row>
    <row r="5375">
      <c r="A5375" s="8" t="str">
        <f>IFERROR(__xludf.DUMMYFUNCTION("""COMPUTED_VALUE"""),"the_aesthetic.tailoring")</f>
        <v>the_aesthetic.tailoring</v>
      </c>
    </row>
    <row r="5376">
      <c r="A5376" s="11" t="str">
        <f>IFERROR(__xludf.DUMMYFUNCTION("""COMPUTED_VALUE"""),"alwaystimeless.co")</f>
        <v>alwaystimeless.co</v>
      </c>
    </row>
    <row r="5377">
      <c r="A5377" s="11" t="str">
        <f>IFERROR(__xludf.DUMMYFUNCTION("""COMPUTED_VALUE"""),"alwaystimeless.co")</f>
        <v>alwaystimeless.co</v>
      </c>
    </row>
    <row r="5378">
      <c r="A5378" s="8" t="str">
        <f>IFERROR(__xludf.DUMMYFUNCTION("""COMPUTED_VALUE"""),"dirtysouthstory")</f>
        <v>dirtysouthstory</v>
      </c>
    </row>
    <row r="5379">
      <c r="A5379" s="8" t="str">
        <f>IFERROR(__xludf.DUMMYFUNCTION("""COMPUTED_VALUE"""),"timeless.jams")</f>
        <v>timeless.jams</v>
      </c>
    </row>
    <row r="5380">
      <c r="A5380" s="8" t="str">
        <f>IFERROR(__xludf.DUMMYFUNCTION("""COMPUTED_VALUE"""),"timeless_journal")</f>
        <v>timeless_journal</v>
      </c>
    </row>
    <row r="5381">
      <c r="A5381" s="8" t="str">
        <f>IFERROR(__xludf.DUMMYFUNCTION("""COMPUTED_VALUE"""),"timeless_journal")</f>
        <v>timeless_journal</v>
      </c>
    </row>
    <row r="5382">
      <c r="A5382" s="8" t="str">
        <f>IFERROR(__xludf.DUMMYFUNCTION("""COMPUTED_VALUE"""),"timelessmagg")</f>
        <v>timelessmagg</v>
      </c>
    </row>
    <row r="5383">
      <c r="A5383" s="8" t="str">
        <f>IFERROR(__xludf.DUMMYFUNCTION("""COMPUTED_VALUE"""),"timelessmagg")</f>
        <v>timelessmagg</v>
      </c>
    </row>
    <row r="5384">
      <c r="A5384" s="8" t="str">
        <f>IFERROR(__xludf.DUMMYFUNCTION("""COMPUTED_VALUE"""),"timelessmedico")</f>
        <v>timelessmedico</v>
      </c>
    </row>
    <row r="5385">
      <c r="A5385" s="8" t="str">
        <f>IFERROR(__xludf.DUMMYFUNCTION("""COMPUTED_VALUE"""),"timelesspearly")</f>
        <v>timelesspearly</v>
      </c>
    </row>
    <row r="5386">
      <c r="A5386" s="8" t="str">
        <f>IFERROR(__xludf.DUMMYFUNCTION("""COMPUTED_VALUE"""),"timelesspearly")</f>
        <v>timelesspearly</v>
      </c>
    </row>
    <row r="5387">
      <c r="A5387" s="8" t="str">
        <f>IFERROR(__xludf.DUMMYFUNCTION("""COMPUTED_VALUE"""),"timeless__snaps")</f>
        <v>timeless__snaps</v>
      </c>
    </row>
    <row r="5388">
      <c r="A5388" s="8" t="str">
        <f>IFERROR(__xludf.DUMMYFUNCTION("""COMPUTED_VALUE"""),"timelesssports")</f>
        <v>timelesssports</v>
      </c>
    </row>
    <row r="5389">
      <c r="A5389" s="8" t="str">
        <f>IFERROR(__xludf.DUMMYFUNCTION("""COMPUTED_VALUE"""),"timelesssports")</f>
        <v>timelesssports</v>
      </c>
    </row>
    <row r="5390">
      <c r="A5390" s="8" t="str">
        <f>IFERROR(__xludf.DUMMYFUNCTION("""COMPUTED_VALUE"""),"timeless_streets")</f>
        <v>timeless_streets</v>
      </c>
    </row>
    <row r="5391">
      <c r="A5391" s="8" t="str">
        <f>IFERROR(__xludf.DUMMYFUNCTION("""COMPUTED_VALUE"""),"timelessvixen")</f>
        <v>timelessvixen</v>
      </c>
    </row>
    <row r="5392">
      <c r="A5392" s="8" t="str">
        <f>IFERROR(__xludf.DUMMYFUNCTION("""COMPUTED_VALUE"""),"indrasbotanica")</f>
        <v>indrasbotanica</v>
      </c>
    </row>
    <row r="5393">
      <c r="A5393" s="8" t="str">
        <f>IFERROR(__xludf.DUMMYFUNCTION("""COMPUTED_VALUE"""),"diengtrailrun")</f>
        <v>diengtrailrun</v>
      </c>
    </row>
    <row r="5394">
      <c r="A5394" s="8" t="str">
        <f>IFERROR(__xludf.DUMMYFUNCTION("""COMPUTED_VALUE"""),"trailrunnermag")</f>
        <v>trailrunnermag</v>
      </c>
    </row>
    <row r="5395">
      <c r="A5395" s="8" t="str">
        <f>IFERROR(__xludf.DUMMYFUNCTION("""COMPUTED_VALUE"""),"trail__running")</f>
        <v>trail__running</v>
      </c>
    </row>
    <row r="5396">
      <c r="A5396" s="8" t="str">
        <f>IFERROR(__xludf.DUMMYFUNCTION("""COMPUTED_VALUE"""),"trailrunningschool")</f>
        <v>trailrunningschool</v>
      </c>
    </row>
    <row r="5397">
      <c r="A5397" s="8" t="str">
        <f>IFERROR(__xludf.DUMMYFUNCTION("""COMPUTED_VALUE"""),"xrace.wild.trail")</f>
        <v>xrace.wild.trail</v>
      </c>
    </row>
    <row r="5398">
      <c r="A5398" s="11" t="str">
        <f>IFERROR(__xludf.DUMMYFUNCTION("""COMPUTED_VALUE"""),"betterment.asia")</f>
        <v>betterment.asia</v>
      </c>
    </row>
    <row r="5399">
      <c r="A5399" s="8" t="str">
        <f>IFERROR(__xludf.DUMMYFUNCTION("""COMPUTED_VALUE"""),"campustrendsetters")</f>
        <v>campustrendsetters</v>
      </c>
    </row>
    <row r="5400">
      <c r="A5400" s="8" t="str">
        <f>IFERROR(__xludf.DUMMYFUNCTION("""COMPUTED_VALUE"""),"trendsetter")</f>
        <v>trendsetter</v>
      </c>
    </row>
    <row r="5401">
      <c r="A5401" s="8" t="str">
        <f>IFERROR(__xludf.DUMMYFUNCTION("""COMPUTED_VALUE"""),"trendsetters.ok")</f>
        <v>trendsetters.ok</v>
      </c>
    </row>
    <row r="5402">
      <c r="A5402" s="8" t="str">
        <f>IFERROR(__xludf.DUMMYFUNCTION("""COMPUTED_VALUE"""),"trendsetters.shopp")</f>
        <v>trendsetters.shopp</v>
      </c>
    </row>
    <row r="5403">
      <c r="A5403" s="8" t="str">
        <f>IFERROR(__xludf.DUMMYFUNCTION("""COMPUTED_VALUE"""),"trendsetter__tuni")</f>
        <v>trendsetter__tuni</v>
      </c>
    </row>
    <row r="5404">
      <c r="A5404" s="8" t="str">
        <f>IFERROR(__xludf.DUMMYFUNCTION("""COMPUTED_VALUE"""),"kola.incc")</f>
        <v>kola.incc</v>
      </c>
    </row>
    <row r="5405">
      <c r="A5405" s="8" t="str">
        <f>IFERROR(__xludf.DUMMYFUNCTION("""COMPUTED_VALUE"""),"the.visionary.of")</f>
        <v>the.visionary.of</v>
      </c>
    </row>
    <row r="5406">
      <c r="A5406" s="8" t="str">
        <f>IFERROR(__xludf.DUMMYFUNCTION("""COMPUTED_VALUE"""),"visionary.atl")</f>
        <v>visionary.atl</v>
      </c>
    </row>
    <row r="5407">
      <c r="A5407" s="8" t="str">
        <f>IFERROR(__xludf.DUMMYFUNCTION("""COMPUTED_VALUE"""),"visionaryclub_")</f>
        <v>visionaryclub_</v>
      </c>
    </row>
    <row r="5408">
      <c r="A5408" s="8" t="str">
        <f>IFERROR(__xludf.DUMMYFUNCTION("""COMPUTED_VALUE"""),"visionaryindians")</f>
        <v>visionaryindians</v>
      </c>
    </row>
    <row r="5409">
      <c r="A5409" s="8" t="str">
        <f>IFERROR(__xludf.DUMMYFUNCTION("""COMPUTED_VALUE"""),"visionary.land")</f>
        <v>visionary.land</v>
      </c>
    </row>
    <row r="5410">
      <c r="A5410" s="8" t="str">
        <f>IFERROR(__xludf.DUMMYFUNCTION("""COMPUTED_VALUE"""),"visionaryyminds")</f>
        <v>visionaryyminds</v>
      </c>
    </row>
    <row r="5411">
      <c r="A5411" s="8" t="str">
        <f>IFERROR(__xludf.DUMMYFUNCTION("""COMPUTED_VALUE"""),"00sfootwear")</f>
        <v>00sfootwear</v>
      </c>
    </row>
    <row r="5412">
      <c r="A5412" s="8" t="str">
        <f>IFERROR(__xludf.DUMMYFUNCTION("""COMPUTED_VALUE"""),"acusa_wear")</f>
        <v>acusa_wear</v>
      </c>
    </row>
    <row r="5413">
      <c r="A5413" s="8" t="str">
        <f>IFERROR(__xludf.DUMMYFUNCTION("""COMPUTED_VALUE"""),"_apollowear")</f>
        <v>_apollowear</v>
      </c>
    </row>
    <row r="5414">
      <c r="A5414" s="8" t="str">
        <f>IFERROR(__xludf.DUMMYFUNCTION("""COMPUTED_VALUE"""),"_ib_wear")</f>
        <v>_ib_wear</v>
      </c>
    </row>
    <row r="5415">
      <c r="A5415" s="8" t="str">
        <f>IFERROR(__xludf.DUMMYFUNCTION("""COMPUTED_VALUE"""),"kacewear")</f>
        <v>kacewear</v>
      </c>
    </row>
    <row r="5416">
      <c r="A5416" s="8" t="str">
        <f>IFERROR(__xludf.DUMMYFUNCTION("""COMPUTED_VALUE"""),"lojawearever")</f>
        <v>lojawearever</v>
      </c>
    </row>
    <row r="5417">
      <c r="A5417" s="8" t="str">
        <f>IFERROR(__xludf.DUMMYFUNCTION("""COMPUTED_VALUE"""),"wearewewear")</f>
        <v>wearewewear</v>
      </c>
    </row>
    <row r="5418">
      <c r="A5418" s="8" t="str">
        <f>IFERROR(__xludf.DUMMYFUNCTION("""COMPUTED_VALUE"""),"wearrame")</f>
        <v>wearrame</v>
      </c>
    </row>
    <row r="5419">
      <c r="A5419" s="8" t="str">
        <f>IFERROR(__xludf.DUMMYFUNCTION("""COMPUTED_VALUE"""),"wewearmiel")</f>
        <v>wewearmiel</v>
      </c>
    </row>
    <row r="5420">
      <c r="A5420" s="8" t="str">
        <f>IFERROR(__xludf.DUMMYFUNCTION("""COMPUTED_VALUE"""),"9to5mac")</f>
        <v>9to5mac</v>
      </c>
    </row>
    <row r="5421">
      <c r="A5421" s="8" t="str">
        <f>IFERROR(__xludf.DUMMYFUNCTION("""COMPUTED_VALUE"""),"abcnews")</f>
        <v>abcnews</v>
      </c>
    </row>
    <row r="5422">
      <c r="A5422" s="8" t="str">
        <f>IFERROR(__xludf.DUMMYFUNCTION("""COMPUTED_VALUE"""),"abcnews4")</f>
        <v>abcnews4</v>
      </c>
    </row>
    <row r="5423">
      <c r="A5423" s="8" t="str">
        <f>IFERROR(__xludf.DUMMYFUNCTION("""COMPUTED_VALUE"""),"abcnewsal")</f>
        <v>abcnewsal</v>
      </c>
    </row>
    <row r="5424">
      <c r="A5424" s="8" t="str">
        <f>IFERROR(__xludf.DUMMYFUNCTION("""COMPUTED_VALUE"""),"abcnews_au")</f>
        <v>abcnews_au</v>
      </c>
    </row>
    <row r="5425">
      <c r="A5425" s="8" t="str">
        <f>IFERROR(__xludf.DUMMYFUNCTION("""COMPUTED_VALUE"""),"abcnewskarnataka")</f>
        <v>abcnewskarnataka</v>
      </c>
    </row>
    <row r="5426">
      <c r="A5426" s="8" t="str">
        <f>IFERROR(__xludf.DUMMYFUNCTION("""COMPUTED_VALUE"""),"abcnewslive")</f>
        <v>abcnewslive</v>
      </c>
    </row>
    <row r="5427">
      <c r="A5427" s="8" t="str">
        <f>IFERROR(__xludf.DUMMYFUNCTION("""COMPUTED_VALUE"""),"abcnewsmedia")</f>
        <v>abcnewsmedia</v>
      </c>
    </row>
    <row r="5428">
      <c r="A5428" s="8" t="str">
        <f>IFERROR(__xludf.DUMMYFUNCTION("""COMPUTED_VALUE"""),"abcnewspr")</f>
        <v>abcnewspr</v>
      </c>
    </row>
    <row r="5429">
      <c r="A5429" s="8" t="str">
        <f>IFERROR(__xludf.DUMMYFUNCTION("""COMPUTED_VALUE"""),"abcnewsstudios")</f>
        <v>abcnewsstudios</v>
      </c>
    </row>
    <row r="5430">
      <c r="A5430" s="8" t="str">
        <f>IFERROR(__xludf.DUMMYFUNCTION("""COMPUTED_VALUE"""),"adweek")</f>
        <v>adweek</v>
      </c>
    </row>
    <row r="5431">
      <c r="A5431" s="8" t="str">
        <f>IFERROR(__xludf.DUMMYFUNCTION("""COMPUTED_VALUE"""),"afarinkidstv")</f>
        <v>afarinkidstv</v>
      </c>
    </row>
    <row r="5432">
      <c r="A5432" s="8" t="str">
        <f>IFERROR(__xludf.DUMMYFUNCTION("""COMPUTED_VALUE"""),"afarmedia")</f>
        <v>afarmedia</v>
      </c>
    </row>
    <row r="5433">
      <c r="A5433" s="8" t="str">
        <f>IFERROR(__xludf.DUMMYFUNCTION("""COMPUTED_VALUE"""),"afaroficiall")</f>
        <v>afaroficiall</v>
      </c>
    </row>
    <row r="5434">
      <c r="A5434" s="8" t="str">
        <f>IFERROR(__xludf.DUMMYFUNCTION("""COMPUTED_VALUE"""),"afarvintage")</f>
        <v>afarvintage</v>
      </c>
    </row>
    <row r="5435">
      <c r="A5435" s="8" t="str">
        <f>IFERROR(__xludf.DUMMYFUNCTION("""COMPUTED_VALUE"""),"letters.from.afar")</f>
        <v>letters.from.afar</v>
      </c>
    </row>
    <row r="5436">
      <c r="A5436" s="8" t="str">
        <f>IFERROR(__xludf.DUMMYFUNCTION("""COMPUTED_VALUE"""),"algorithmcleaning")</f>
        <v>algorithmcleaning</v>
      </c>
    </row>
    <row r="5437">
      <c r="A5437" s="8" t="str">
        <f>IFERROR(__xludf.DUMMYFUNCTION("""COMPUTED_VALUE"""),"algorithmofwealth")</f>
        <v>algorithmofwealth</v>
      </c>
    </row>
    <row r="5438">
      <c r="A5438" s="8" t="str">
        <f>IFERROR(__xludf.DUMMYFUNCTION("""COMPUTED_VALUE"""),"algorithms_unlocked")</f>
        <v>algorithms_unlocked</v>
      </c>
    </row>
    <row r="5439">
      <c r="A5439" s="8" t="str">
        <f>IFERROR(__xludf.DUMMYFUNCTION("""COMPUTED_VALUE"""),"algorithmswithpeter")</f>
        <v>algorithmswithpeter</v>
      </c>
    </row>
    <row r="5440">
      <c r="A5440" s="8" t="str">
        <f>IFERROR(__xludf.DUMMYFUNCTION("""COMPUTED_VALUE"""),"fuckyralgorithm")</f>
        <v>fuckyralgorithm</v>
      </c>
    </row>
    <row r="5441">
      <c r="A5441" s="8" t="str">
        <f>IFERROR(__xludf.DUMMYFUNCTION("""COMPUTED_VALUE"""),"lawsonvladimirr")</f>
        <v>lawsonvladimirr</v>
      </c>
    </row>
    <row r="5442">
      <c r="A5442" s="8" t="str">
        <f>IFERROR(__xludf.DUMMYFUNCTION("""COMPUTED_VALUE"""),"aljazeera")</f>
        <v>aljazeera</v>
      </c>
    </row>
    <row r="5443">
      <c r="A5443" s="8" t="str">
        <f>IFERROR(__xludf.DUMMYFUNCTION("""COMPUTED_VALUE"""),"aljazeerachinese")</f>
        <v>aljazeerachinese</v>
      </c>
    </row>
    <row r="5444">
      <c r="A5444" s="8" t="str">
        <f>IFERROR(__xludf.DUMMYFUNCTION("""COMPUTED_VALUE"""),"aljazeeraenglish")</f>
        <v>aljazeeraenglish</v>
      </c>
    </row>
    <row r="5445">
      <c r="A5445" s="8" t="str">
        <f>IFERROR(__xludf.DUMMYFUNCTION("""COMPUTED_VALUE"""),"_aljazeeraworld")</f>
        <v>_aljazeeraworld</v>
      </c>
    </row>
    <row r="5446">
      <c r="A5446" s="8" t="str">
        <f>IFERROR(__xludf.DUMMYFUNCTION("""COMPUTED_VALUE"""),"jazeeratelecom")</f>
        <v>jazeeratelecom</v>
      </c>
    </row>
    <row r="5447">
      <c r="A5447" s="8" t="str">
        <f>IFERROR(__xludf.DUMMYFUNCTION("""COMPUTED_VALUE"""),"allure")</f>
        <v>allure</v>
      </c>
    </row>
    <row r="5448">
      <c r="A5448" s="8" t="str">
        <f>IFERROR(__xludf.DUMMYFUNCTION("""COMPUTED_VALUE"""),"allure.and.more")</f>
        <v>allure.and.more</v>
      </c>
    </row>
    <row r="5449">
      <c r="A5449" s="8" t="str">
        <f>IFERROR(__xludf.DUMMYFUNCTION("""COMPUTED_VALUE"""),"allurebarhtx")</f>
        <v>allurebarhtx</v>
      </c>
    </row>
    <row r="5450">
      <c r="A5450" s="8" t="str">
        <f>IFERROR(__xludf.DUMMYFUNCTION("""COMPUTED_VALUE"""),"allure.by.ana")</f>
        <v>allure.by.ana</v>
      </c>
    </row>
    <row r="5451">
      <c r="A5451" s="8" t="str">
        <f>IFERROR(__xludf.DUMMYFUNCTION("""COMPUTED_VALUE"""),"allurecounty")</f>
        <v>allurecounty</v>
      </c>
    </row>
    <row r="5452">
      <c r="A5452" s="8" t="str">
        <f>IFERROR(__xludf.DUMMYFUNCTION("""COMPUTED_VALUE"""),"allureland33")</f>
        <v>allureland33</v>
      </c>
    </row>
    <row r="5453">
      <c r="A5453" s="8" t="str">
        <f>IFERROR(__xludf.DUMMYFUNCTION("""COMPUTED_VALUE"""),"allure.the.brand")</f>
        <v>allure.the.brand</v>
      </c>
    </row>
    <row r="5454">
      <c r="A5454" s="8" t="str">
        <f>IFERROR(__xludf.DUMMYFUNCTION("""COMPUTED_VALUE"""),"tdi.allure")</f>
        <v>tdi.allure</v>
      </c>
    </row>
    <row r="5455">
      <c r="A5455" s="8" t="str">
        <f>IFERROR(__xludf.DUMMYFUNCTION("""COMPUTED_VALUE"""),"alternative_news_media")</f>
        <v>alternative_news_media</v>
      </c>
    </row>
    <row r="5456">
      <c r="A5456" s="8" t="str">
        <f>IFERROR(__xludf.DUMMYFUNCTION("""COMPUTED_VALUE"""),"analyst_jojoo")</f>
        <v>analyst_jojoo</v>
      </c>
    </row>
    <row r="5457">
      <c r="A5457" s="8" t="str">
        <f>IFERROR(__xludf.DUMMYFUNCTION("""COMPUTED_VALUE"""),"analystnews_")</f>
        <v>analystnews_</v>
      </c>
    </row>
    <row r="5458">
      <c r="A5458" s="8" t="str">
        <f>IFERROR(__xludf.DUMMYFUNCTION("""COMPUTED_VALUE"""),"analystshivam")</f>
        <v>analystshivam</v>
      </c>
    </row>
    <row r="5459">
      <c r="A5459" s="8" t="str">
        <f>IFERROR(__xludf.DUMMYFUNCTION("""COMPUTED_VALUE"""),"fantasy.football.analyst")</f>
        <v>fantasy.football.analyst</v>
      </c>
    </row>
    <row r="5460">
      <c r="A5460" s="8" t="str">
        <f>IFERROR(__xludf.DUMMYFUNCTION("""COMPUTED_VALUE"""),"inspiredanalyst")</f>
        <v>inspiredanalyst</v>
      </c>
    </row>
    <row r="5461">
      <c r="A5461" s="8" t="str">
        <f>IFERROR(__xludf.DUMMYFUNCTION("""COMPUTED_VALUE"""),"thefhockeyanalyst")</f>
        <v>thefhockeyanalyst</v>
      </c>
    </row>
    <row r="5462">
      <c r="A5462" s="8" t="str">
        <f>IFERROR(__xludf.DUMMYFUNCTION("""COMPUTED_VALUE"""),"the.football_analyst")</f>
        <v>the.football_analyst</v>
      </c>
    </row>
    <row r="5463">
      <c r="A5463" s="8" t="str">
        <f>IFERROR(__xludf.DUMMYFUNCTION("""COMPUTED_VALUE"""),"uschooler")</f>
        <v>uschooler</v>
      </c>
    </row>
    <row r="5464">
      <c r="A5464" s="8" t="str">
        <f>IFERROR(__xludf.DUMMYFUNCTION("""COMPUTED_VALUE"""),"vrednayamoda")</f>
        <v>vrednayamoda</v>
      </c>
    </row>
    <row r="5465">
      <c r="A5465" s="8" t="str">
        <f>IFERROR(__xludf.DUMMYFUNCTION("""COMPUTED_VALUE"""),"xflanalyst")</f>
        <v>xflanalyst</v>
      </c>
    </row>
    <row r="5466">
      <c r="A5466" s="8" t="str">
        <f>IFERROR(__xludf.DUMMYFUNCTION("""COMPUTED_VALUE"""),"airandanchor")</f>
        <v>airandanchor</v>
      </c>
    </row>
    <row r="5467">
      <c r="A5467" s="8" t="str">
        <f>IFERROR(__xludf.DUMMYFUNCTION("""COMPUTED_VALUE"""),"anchorandveil")</f>
        <v>anchorandveil</v>
      </c>
    </row>
    <row r="5468">
      <c r="A5468" s="8" t="str">
        <f>IFERROR(__xludf.DUMMYFUNCTION("""COMPUTED_VALUE"""),"anchorball")</f>
        <v>anchorball</v>
      </c>
    </row>
    <row r="5469">
      <c r="A5469" s="8" t="str">
        <f>IFERROR(__xludf.DUMMYFUNCTION("""COMPUTED_VALUE"""),"anchorcrafting")</f>
        <v>anchorcrafting</v>
      </c>
    </row>
    <row r="5470">
      <c r="A5470" s="8" t="str">
        <f>IFERROR(__xludf.DUMMYFUNCTION("""COMPUTED_VALUE"""),"anchorjasnoordhawan")</f>
        <v>anchorjasnoordhawan</v>
      </c>
    </row>
    <row r="5471">
      <c r="A5471" s="8" t="str">
        <f>IFERROR(__xludf.DUMMYFUNCTION("""COMPUTED_VALUE"""),"anchor_shravan_kumar")</f>
        <v>anchor_shravan_kumar</v>
      </c>
    </row>
    <row r="5472">
      <c r="A5472" s="8" t="str">
        <f>IFERROR(__xludf.DUMMYFUNCTION("""COMPUTED_VALUE"""),"theanchorofficial")</f>
        <v>theanchorofficial</v>
      </c>
    </row>
    <row r="5473">
      <c r="A5473" s="8" t="str">
        <f>IFERROR(__xludf.DUMMYFUNCTION("""COMPUTED_VALUE"""),"androidauthority")</f>
        <v>androidauthority</v>
      </c>
    </row>
    <row r="5474">
      <c r="A5474" s="8" t="str">
        <f>IFERROR(__xludf.DUMMYFUNCTION("""COMPUTED_VALUE"""),"ad_germany")</f>
        <v>ad_germany</v>
      </c>
    </row>
    <row r="5475">
      <c r="A5475" s="8" t="str">
        <f>IFERROR(__xludf.DUMMYFUNCTION("""COMPUTED_VALUE"""),"ad_magazine")</f>
        <v>ad_magazine</v>
      </c>
    </row>
    <row r="5476">
      <c r="A5476" s="8" t="str">
        <f>IFERROR(__xludf.DUMMYFUNCTION("""COMPUTED_VALUE"""),"admexico")</f>
        <v>admexico</v>
      </c>
    </row>
    <row r="5477">
      <c r="A5477" s="8" t="str">
        <f>IFERROR(__xludf.DUMMYFUNCTION("""COMPUTED_VALUE"""),"adrussia")</f>
        <v>adrussia</v>
      </c>
    </row>
    <row r="5478">
      <c r="A5478" s="8" t="str">
        <f>IFERROR(__xludf.DUMMYFUNCTION("""COMPUTED_VALUE"""),"ad_spain")</f>
        <v>ad_spain</v>
      </c>
    </row>
    <row r="5479">
      <c r="A5479" s="8" t="str">
        <f>IFERROR(__xludf.DUMMYFUNCTION("""COMPUTED_VALUE"""),"archdigest")</f>
        <v>archdigest</v>
      </c>
    </row>
    <row r="5480">
      <c r="A5480" s="8" t="str">
        <f>IFERROR(__xludf.DUMMYFUNCTION("""COMPUTED_VALUE"""),"archdigestindia")</f>
        <v>archdigestindia</v>
      </c>
    </row>
    <row r="5481">
      <c r="A5481" s="8" t="str">
        <f>IFERROR(__xludf.DUMMYFUNCTION("""COMPUTED_VALUE"""),"arstechnica")</f>
        <v>arstechnica</v>
      </c>
    </row>
    <row r="5482">
      <c r="A5482" s="8" t="str">
        <f>IFERROR(__xludf.DUMMYFUNCTION("""COMPUTED_VALUE"""),"article")</f>
        <v>article</v>
      </c>
    </row>
    <row r="5483">
      <c r="A5483" s="8" t="str">
        <f>IFERROR(__xludf.DUMMYFUNCTION("""COMPUTED_VALUE"""),"article_blazers")</f>
        <v>article_blazers</v>
      </c>
    </row>
    <row r="5484">
      <c r="A5484" s="8" t="str">
        <f>IFERROR(__xludf.DUMMYFUNCTION("""COMPUTED_VALUE"""),"articlejuthur")</f>
        <v>articlejuthur</v>
      </c>
    </row>
    <row r="5485">
      <c r="A5485" s="8" t="str">
        <f>IFERROR(__xludf.DUMMYFUNCTION("""COMPUTED_VALUE"""),"article_london")</f>
        <v>article_london</v>
      </c>
    </row>
    <row r="5486">
      <c r="A5486" s="8" t="str">
        <f>IFERROR(__xludf.DUMMYFUNCTION("""COMPUTED_VALUE"""),"articlesofstyle")</f>
        <v>articlesofstyle</v>
      </c>
    </row>
    <row r="5487">
      <c r="A5487" s="8" t="str">
        <f>IFERROR(__xludf.DUMMYFUNCTION("""COMPUTED_VALUE"""),"apnews")</f>
        <v>apnews</v>
      </c>
    </row>
    <row r="5488">
      <c r="A5488" s="8" t="str">
        <f>IFERROR(__xludf.DUMMYFUNCTION("""COMPUTED_VALUE"""),"apstylebook")</f>
        <v>apstylebook</v>
      </c>
    </row>
    <row r="5489">
      <c r="A5489" s="8" t="str">
        <f>IFERROR(__xludf.DUMMYFUNCTION("""COMPUTED_VALUE"""),"audience615")</f>
        <v>audience615</v>
      </c>
    </row>
    <row r="5490">
      <c r="A5490" s="8" t="str">
        <f>IFERROR(__xludf.DUMMYFUNCTION("""COMPUTED_VALUE"""),"audiencehifi")</f>
        <v>audiencehifi</v>
      </c>
    </row>
    <row r="5491">
      <c r="A5491" s="8" t="str">
        <f>IFERROR(__xludf.DUMMYFUNCTION("""COMPUTED_VALUE"""),"audiencetix")</f>
        <v>audiencetix</v>
      </c>
    </row>
    <row r="5492">
      <c r="A5492" s="8" t="str">
        <f>IFERROR(__xludf.DUMMYFUNCTION("""COMPUTED_VALUE"""),"axios")</f>
        <v>axios</v>
      </c>
    </row>
    <row r="5493">
      <c r="A5493" s="8" t="str">
        <f>IFERROR(__xludf.DUMMYFUNCTION("""COMPUTED_VALUE"""),"axioscharlotte")</f>
        <v>axioscharlotte</v>
      </c>
    </row>
    <row r="5494">
      <c r="A5494" s="8" t="str">
        <f>IFERROR(__xludf.DUMMYFUNCTION("""COMPUTED_VALUE"""),"axiosraleigh")</f>
        <v>axiosraleigh</v>
      </c>
    </row>
    <row r="5495">
      <c r="A5495" s="8" t="str">
        <f>IFERROR(__xludf.DUMMYFUNCTION("""COMPUTED_VALUE"""),"axiostwincities")</f>
        <v>axiostwincities</v>
      </c>
    </row>
    <row r="5496">
      <c r="A5496" s="8" t="str">
        <f>IFERROR(__xludf.DUMMYFUNCTION("""COMPUTED_VALUE"""),"barrons")</f>
        <v>barrons</v>
      </c>
    </row>
    <row r="5497">
      <c r="A5497" s="8" t="str">
        <f>IFERROR(__xludf.DUMMYFUNCTION("""COMPUTED_VALUE"""),"barronscbd")</f>
        <v>barronscbd</v>
      </c>
    </row>
    <row r="5498">
      <c r="A5498" s="8" t="str">
        <f>IFERROR(__xludf.DUMMYFUNCTION("""COMPUTED_VALUE"""),"barronsuitcase")</f>
        <v>barronsuitcase</v>
      </c>
    </row>
    <row r="5499">
      <c r="A5499" s="8" t="str">
        <f>IFERROR(__xludf.DUMMYFUNCTION("""COMPUTED_VALUE"""),"_.barrontrump._")</f>
        <v>_.barrontrump._</v>
      </c>
    </row>
    <row r="5500">
      <c r="A5500" s="8" t="str">
        <f>IFERROR(__xludf.DUMMYFUNCTION("""COMPUTED_VALUE"""),"bbc")</f>
        <v>bbc</v>
      </c>
    </row>
    <row r="5501">
      <c r="A5501" s="8" t="str">
        <f>IFERROR(__xludf.DUMMYFUNCTION("""COMPUTED_VALUE"""),"bbc6music")</f>
        <v>bbc6music</v>
      </c>
    </row>
    <row r="5502">
      <c r="A5502" s="8" t="str">
        <f>IFERROR(__xludf.DUMMYFUNCTION("""COMPUTED_VALUE"""),"bbcarabic")</f>
        <v>bbcarabic</v>
      </c>
    </row>
    <row r="5503">
      <c r="A5503" s="8" t="str">
        <f>IFERROR(__xludf.DUMMYFUNCTION("""COMPUTED_VALUE"""),"bbcbrasil")</f>
        <v>bbcbrasil</v>
      </c>
    </row>
    <row r="5504">
      <c r="A5504" s="8" t="str">
        <f>IFERROR(__xludf.DUMMYFUNCTION("""COMPUTED_VALUE"""),"bbc_culture")</f>
        <v>bbc_culture</v>
      </c>
    </row>
    <row r="5505">
      <c r="A5505" s="8" t="str">
        <f>IFERROR(__xludf.DUMMYFUNCTION("""COMPUTED_VALUE"""),"bbcearth")</f>
        <v>bbcearth</v>
      </c>
    </row>
    <row r="5506">
      <c r="A5506" s="8" t="str">
        <f>IFERROR(__xludf.DUMMYFUNCTION("""COMPUTED_VALUE"""),"bbcfood")</f>
        <v>bbcfood</v>
      </c>
    </row>
    <row r="5507">
      <c r="A5507" s="8" t="str">
        <f>IFERROR(__xludf.DUMMYFUNCTION("""COMPUTED_VALUE"""),"bbcmundo")</f>
        <v>bbcmundo</v>
      </c>
    </row>
    <row r="5508">
      <c r="A5508" s="8" t="str">
        <f>IFERROR(__xludf.DUMMYFUNCTION("""COMPUTED_VALUE"""),"bbcnews")</f>
        <v>bbcnews</v>
      </c>
    </row>
    <row r="5509">
      <c r="A5509" s="8" t="str">
        <f>IFERROR(__xludf.DUMMYFUNCTION("""COMPUTED_VALUE"""),"bbcnewspidgin")</f>
        <v>bbcnewspidgin</v>
      </c>
    </row>
    <row r="5510">
      <c r="A5510" s="8" t="str">
        <f>IFERROR(__xludf.DUMMYFUNCTION("""COMPUTED_VALUE"""),"bbcpersian")</f>
        <v>bbcpersian</v>
      </c>
    </row>
    <row r="5511">
      <c r="A5511" s="8" t="str">
        <f>IFERROR(__xludf.DUMMYFUNCTION("""COMPUTED_VALUE"""),"bbcradio1")</f>
        <v>bbcradio1</v>
      </c>
    </row>
    <row r="5512">
      <c r="A5512" s="8" t="str">
        <f>IFERROR(__xludf.DUMMYFUNCTION("""COMPUTED_VALUE"""),"bbcradio4")</f>
        <v>bbcradio4</v>
      </c>
    </row>
    <row r="5513">
      <c r="A5513" s="8" t="str">
        <f>IFERROR(__xludf.DUMMYFUNCTION("""COMPUTED_VALUE"""),"bbcrussian")</f>
        <v>bbcrussian</v>
      </c>
    </row>
    <row r="5514">
      <c r="A5514" s="8" t="str">
        <f>IFERROR(__xludf.DUMMYFUNCTION("""COMPUTED_VALUE"""),"bbcsport")</f>
        <v>bbcsport</v>
      </c>
    </row>
    <row r="5515">
      <c r="A5515" s="8" t="str">
        <f>IFERROR(__xludf.DUMMYFUNCTION("""COMPUTED_VALUE"""),"bbcvl")</f>
        <v>bbcvl</v>
      </c>
    </row>
    <row r="5516">
      <c r="A5516" s="8" t="str">
        <f>IFERROR(__xludf.DUMMYFUNCTION("""COMPUTED_VALUE"""),"bbcwest")</f>
        <v>bbcwest</v>
      </c>
    </row>
    <row r="5517">
      <c r="A5517" s="8" t="str">
        <f>IFERROR(__xludf.DUMMYFUNCTION("""COMPUTED_VALUE"""),"betterhomesandgardens")</f>
        <v>betterhomesandgardens</v>
      </c>
    </row>
    <row r="5518">
      <c r="A5518" s="8" t="str">
        <f>IFERROR(__xludf.DUMMYFUNCTION("""COMPUTED_VALUE"""),"billboard")</f>
        <v>billboard</v>
      </c>
    </row>
    <row r="5519">
      <c r="A5519" s="8" t="str">
        <f>IFERROR(__xludf.DUMMYFUNCTION("""COMPUTED_VALUE"""),"billboardar")</f>
        <v>billboardar</v>
      </c>
    </row>
    <row r="5520">
      <c r="A5520" s="8" t="str">
        <f>IFERROR(__xludf.DUMMYFUNCTION("""COMPUTED_VALUE"""),"billboardbr")</f>
        <v>billboardbr</v>
      </c>
    </row>
    <row r="5521">
      <c r="A5521" s="8" t="str">
        <f>IFERROR(__xludf.DUMMYFUNCTION("""COMPUTED_VALUE"""),"billboardca")</f>
        <v>billboardca</v>
      </c>
    </row>
    <row r="5522">
      <c r="A5522" s="8" t="str">
        <f>IFERROR(__xludf.DUMMYFUNCTION("""COMPUTED_VALUE"""),"billboardcharts")</f>
        <v>billboardcharts</v>
      </c>
    </row>
    <row r="5523">
      <c r="A5523" s="8" t="str">
        <f>IFERROR(__xludf.DUMMYFUNCTION("""COMPUTED_VALUE"""),"billboard.colombia")</f>
        <v>billboard.colombia</v>
      </c>
    </row>
    <row r="5524">
      <c r="A5524" s="8" t="str">
        <f>IFERROR(__xludf.DUMMYFUNCTION("""COMPUTED_VALUE"""),"billboarddance")</f>
        <v>billboarddance</v>
      </c>
    </row>
    <row r="5525">
      <c r="A5525" s="8" t="str">
        <f>IFERROR(__xludf.DUMMYFUNCTION("""COMPUTED_VALUE"""),"billboardfr")</f>
        <v>billboardfr</v>
      </c>
    </row>
    <row r="5526">
      <c r="A5526" s="8" t="str">
        <f>IFERROR(__xludf.DUMMYFUNCTION("""COMPUTED_VALUE"""),"billboardhiphop")</f>
        <v>billboardhiphop</v>
      </c>
    </row>
    <row r="5527">
      <c r="A5527" s="8" t="str">
        <f>IFERROR(__xludf.DUMMYFUNCTION("""COMPUTED_VALUE"""),"billboard_korea")</f>
        <v>billboard_korea</v>
      </c>
    </row>
    <row r="5528">
      <c r="A5528" s="8" t="str">
        <f>IFERROR(__xludf.DUMMYFUNCTION("""COMPUTED_VALUE"""),"billboardlatin")</f>
        <v>billboardlatin</v>
      </c>
    </row>
    <row r="5529">
      <c r="A5529" s="8" t="str">
        <f>IFERROR(__xludf.DUMMYFUNCTION("""COMPUTED_VALUE"""),"billboardphofficial")</f>
        <v>billboardphofficial</v>
      </c>
    </row>
    <row r="5530">
      <c r="A5530" s="8" t="str">
        <f>IFERROR(__xludf.DUMMYFUNCTION("""COMPUTED_VALUE"""),"billboardsong")</f>
        <v>billboardsong</v>
      </c>
    </row>
    <row r="5531">
      <c r="A5531" s="8" t="str">
        <f>IFERROR(__xludf.DUMMYFUNCTION("""COMPUTED_VALUE"""),"bleacherreport")</f>
        <v>bleacherreport</v>
      </c>
    </row>
    <row r="5532">
      <c r="A5532" s="8" t="str">
        <f>IFERROR(__xludf.DUMMYFUNCTION("""COMPUTED_VALUE"""),"brfootball")</f>
        <v>brfootball</v>
      </c>
    </row>
    <row r="5533">
      <c r="A5533" s="8" t="str">
        <f>IFERROR(__xludf.DUMMYFUNCTION("""COMPUTED_VALUE"""),"br_hoops")</f>
        <v>br_hoops</v>
      </c>
    </row>
    <row r="5534">
      <c r="A5534" s="8" t="str">
        <f>IFERROR(__xludf.DUMMYFUNCTION("""COMPUTED_VALUE"""),"brkicks")</f>
        <v>brkicks</v>
      </c>
    </row>
    <row r="5535">
      <c r="A5535" s="8" t="str">
        <f>IFERROR(__xludf.DUMMYFUNCTION("""COMPUTED_VALUE"""),"gridiron_heights")</f>
        <v>gridiron_heights</v>
      </c>
    </row>
    <row r="5536">
      <c r="A5536" s="8" t="str">
        <f>IFERROR(__xludf.DUMMYFUNCTION("""COMPUTED_VALUE"""),"bilboabokados")</f>
        <v>bilboabokados</v>
      </c>
    </row>
    <row r="5537">
      <c r="A5537" s="8" t="str">
        <f>IFERROR(__xludf.DUMMYFUNCTION("""COMPUTED_VALUE"""),"blogcotia")</f>
        <v>blogcotia</v>
      </c>
    </row>
    <row r="5538">
      <c r="A5538" s="8" t="str">
        <f>IFERROR(__xludf.DUMMYFUNCTION("""COMPUTED_VALUE"""),"blogicomics")</f>
        <v>blogicomics</v>
      </c>
    </row>
    <row r="5539">
      <c r="A5539" s="8" t="str">
        <f>IFERROR(__xludf.DUMMYFUNCTION("""COMPUTED_VALUE"""),"blogilates")</f>
        <v>blogilates</v>
      </c>
    </row>
    <row r="5540">
      <c r="A5540" s="8" t="str">
        <f>IFERROR(__xludf.DUMMYFUNCTION("""COMPUTED_VALUE"""),"blogueirinha")</f>
        <v>blogueirinha</v>
      </c>
    </row>
    <row r="5541">
      <c r="A5541" s="8" t="str">
        <f>IFERROR(__xludf.DUMMYFUNCTION("""COMPUTED_VALUE"""),"blogyazid")</f>
        <v>blogyazid</v>
      </c>
    </row>
    <row r="5542">
      <c r="A5542" s="8" t="str">
        <f>IFERROR(__xludf.DUMMYFUNCTION("""COMPUTED_VALUE"""),"iqblog")</f>
        <v>iqblog</v>
      </c>
    </row>
    <row r="5543">
      <c r="A5543" s="8" t="str">
        <f>IFERROR(__xludf.DUMMYFUNCTION("""COMPUTED_VALUE"""),"probandobilbao")</f>
        <v>probandobilbao</v>
      </c>
    </row>
    <row r="5544">
      <c r="A5544" s="8" t="str">
        <f>IFERROR(__xludf.DUMMYFUNCTION("""COMPUTED_VALUE"""),"qristin__blog__yerevan")</f>
        <v>qristin__blog__yerevan</v>
      </c>
    </row>
    <row r="5545">
      <c r="A5545" s="8" t="str">
        <f>IFERROR(__xludf.DUMMYFUNCTION("""COMPUTED_VALUE"""),"raghad.adra.blog")</f>
        <v>raghad.adra.blog</v>
      </c>
    </row>
    <row r="5546">
      <c r="A5546" s="8" t="str">
        <f>IFERROR(__xludf.DUMMYFUNCTION("""COMPUTED_VALUE"""),"sainablogdaily")</f>
        <v>sainablogdaily</v>
      </c>
    </row>
    <row r="5547">
      <c r="A5547" s="8" t="str">
        <f>IFERROR(__xludf.DUMMYFUNCTION("""COMPUTED_VALUE"""),"steysha_blog")</f>
        <v>steysha_blog</v>
      </c>
    </row>
    <row r="5548">
      <c r="A5548" s="8" t="str">
        <f>IFERROR(__xludf.DUMMYFUNCTION("""COMPUTED_VALUE"""),"worshipblog")</f>
        <v>worshipblog</v>
      </c>
    </row>
    <row r="5549">
      <c r="A5549" s="8" t="str">
        <f>IFERROR(__xludf.DUMMYFUNCTION("""COMPUTED_VALUE"""),"anet_styles")</f>
        <v>anet_styles</v>
      </c>
    </row>
    <row r="5550">
      <c r="A5550" s="8" t="str">
        <f>IFERROR(__xludf.DUMMYFUNCTION("""COMPUTED_VALUE"""),"blogger")</f>
        <v>blogger</v>
      </c>
    </row>
    <row r="5551">
      <c r="A5551" s="8" t="str">
        <f>IFERROR(__xludf.DUMMYFUNCTION("""COMPUTED_VALUE"""),"daniela_livinglite")</f>
        <v>daniela_livinglite</v>
      </c>
    </row>
    <row r="5552">
      <c r="A5552" s="8" t="str">
        <f>IFERROR(__xludf.DUMMYFUNCTION("""COMPUTED_VALUE"""),"foodbymaria")</f>
        <v>foodbymaria</v>
      </c>
    </row>
    <row r="5553">
      <c r="A5553" s="8" t="str">
        <f>IFERROR(__xludf.DUMMYFUNCTION("""COMPUTED_VALUE"""),"gal_hahamov")</f>
        <v>gal_hahamov</v>
      </c>
    </row>
    <row r="5554">
      <c r="A5554" s="8" t="str">
        <f>IFERROR(__xludf.DUMMYFUNCTION("""COMPUTED_VALUE"""),"iamlonni")</f>
        <v>iamlonni</v>
      </c>
    </row>
    <row r="5555">
      <c r="A5555" s="8" t="str">
        <f>IFERROR(__xludf.DUMMYFUNCTION("""COMPUTED_VALUE"""),"moneysavvymumuk")</f>
        <v>moneysavvymumuk</v>
      </c>
    </row>
    <row r="5556">
      <c r="A5556" s="8" t="str">
        <f>IFERROR(__xludf.DUMMYFUNCTION("""COMPUTED_VALUE"""),"shirchip")</f>
        <v>shirchip</v>
      </c>
    </row>
    <row r="5557">
      <c r="A5557" s="8" t="str">
        <f>IFERROR(__xludf.DUMMYFUNCTION("""COMPUTED_VALUE"""),"thebeninblogger")</f>
        <v>thebeninblogger</v>
      </c>
    </row>
    <row r="5558">
      <c r="A5558" s="8" t="str">
        <f>IFERROR(__xludf.DUMMYFUNCTION("""COMPUTED_VALUE"""),"thriftylondoner")</f>
        <v>thriftylondoner</v>
      </c>
    </row>
    <row r="5559">
      <c r="A5559" s="8" t="str">
        <f>IFERROR(__xludf.DUMMYFUNCTION("""COMPUTED_VALUE"""),"truenorthjewelry")</f>
        <v>truenorthjewelry</v>
      </c>
    </row>
    <row r="5560">
      <c r="A5560" s="8" t="str">
        <f>IFERROR(__xludf.DUMMYFUNCTION("""COMPUTED_VALUE"""),"wheretogo_by_hiba")</f>
        <v>wheretogo_by_hiba</v>
      </c>
    </row>
    <row r="5561">
      <c r="A5561" s="8" t="str">
        <f>IFERROR(__xludf.DUMMYFUNCTION("""COMPUTED_VALUE"""),"bloomberg")</f>
        <v>bloomberg</v>
      </c>
    </row>
    <row r="5562">
      <c r="A5562" s="8" t="str">
        <f>IFERROR(__xludf.DUMMYFUNCTION("""COMPUTED_VALUE"""),"bloombergarcade")</f>
        <v>bloombergarcade</v>
      </c>
    </row>
    <row r="5563">
      <c r="A5563" s="8" t="str">
        <f>IFERROR(__xludf.DUMMYFUNCTION("""COMPUTED_VALUE"""),"bloombergbusiness")</f>
        <v>bloombergbusiness</v>
      </c>
    </row>
    <row r="5564">
      <c r="A5564" s="8" t="str">
        <f>IFERROR(__xludf.DUMMYFUNCTION("""COMPUTED_VALUE"""),"bloombergdotorg")</f>
        <v>bloombergdotorg</v>
      </c>
    </row>
    <row r="5565">
      <c r="A5565" s="8" t="str">
        <f>IFERROR(__xludf.DUMMYFUNCTION("""COMPUTED_VALUE"""),"bloomberggreen")</f>
        <v>bloomberggreen</v>
      </c>
    </row>
    <row r="5566">
      <c r="A5566" s="8" t="str">
        <f>IFERROR(__xludf.DUMMYFUNCTION("""COMPUTED_VALUE"""),"bloomberglaw")</f>
        <v>bloomberglaw</v>
      </c>
    </row>
    <row r="5567">
      <c r="A5567" s="8" t="str">
        <f>IFERROR(__xludf.DUMMYFUNCTION("""COMPUTED_VALUE"""),"bloomberglinea")</f>
        <v>bloomberglinea</v>
      </c>
    </row>
    <row r="5568">
      <c r="A5568" s="8" t="str">
        <f>IFERROR(__xludf.DUMMYFUNCTION("""COMPUTED_VALUE"""),"bloombergopinion")</f>
        <v>bloombergopinion</v>
      </c>
    </row>
    <row r="5569">
      <c r="A5569" s="8" t="str">
        <f>IFERROR(__xludf.DUMMYFUNCTION("""COMPUTED_VALUE"""),"bloombergoriginals")</f>
        <v>bloombergoriginals</v>
      </c>
    </row>
    <row r="5570">
      <c r="A5570" s="8" t="str">
        <f>IFERROR(__xludf.DUMMYFUNCTION("""COMPUTED_VALUE"""),"bloombergpantry")</f>
        <v>bloombergpantry</v>
      </c>
    </row>
    <row r="5571">
      <c r="A5571" s="8" t="str">
        <f>IFERROR(__xludf.DUMMYFUNCTION("""COMPUTED_VALUE"""),"bloombergpolitics")</f>
        <v>bloombergpolitics</v>
      </c>
    </row>
    <row r="5572">
      <c r="A5572" s="8" t="str">
        <f>IFERROR(__xludf.DUMMYFUNCTION("""COMPUTED_VALUE"""),"bloombergpursuits")</f>
        <v>bloombergpursuits</v>
      </c>
    </row>
    <row r="5573">
      <c r="A5573" s="8" t="str">
        <f>IFERROR(__xludf.DUMMYFUNCTION("""COMPUTED_VALUE"""),"bloombergtv")</f>
        <v>bloombergtv</v>
      </c>
    </row>
    <row r="5574">
      <c r="A5574" s="8" t="str">
        <f>IFERROR(__xludf.DUMMYFUNCTION("""COMPUTED_VALUE"""),"businessweek")</f>
        <v>businessweek</v>
      </c>
    </row>
    <row r="5575">
      <c r="A5575" s="8" t="str">
        <f>IFERROR(__xludf.DUMMYFUNCTION("""COMPUTED_VALUE"""),"bloomberghttv")</f>
        <v>bloomberghttv</v>
      </c>
    </row>
    <row r="5576">
      <c r="A5576" s="8" t="str">
        <f>IFERROR(__xludf.DUMMYFUNCTION("""COMPUTED_VALUE"""),"bloombergtv")</f>
        <v>bloombergtv</v>
      </c>
    </row>
    <row r="5577">
      <c r="A5577" s="8" t="str">
        <f>IFERROR(__xludf.DUMMYFUNCTION("""COMPUTED_VALUE"""),"bloombergtvm")</f>
        <v>bloombergtvm</v>
      </c>
    </row>
    <row r="5578">
      <c r="A5578" s="8" t="str">
        <f>IFERROR(__xludf.DUMMYFUNCTION("""COMPUTED_VALUE"""),"bonappetiteyourmajestykdrama")</f>
        <v>bonappetiteyourmajestykdrama</v>
      </c>
    </row>
    <row r="5579">
      <c r="A5579" s="8" t="str">
        <f>IFERROR(__xludf.DUMMYFUNCTION("""COMPUTED_VALUE"""),"bonappetitmag")</f>
        <v>bonappetitmag</v>
      </c>
    </row>
    <row r="5580">
      <c r="A5580" s="11" t="str">
        <f>IFERROR(__xludf.DUMMYFUNCTION("""COMPUTED_VALUE"""),"bonappetit.tj")</f>
        <v>bonappetit.tj</v>
      </c>
    </row>
    <row r="5581">
      <c r="A5581" s="8" t="str">
        <f>IFERROR(__xludf.DUMMYFUNCTION("""COMPUTED_VALUE"""),"breakingbad")</f>
        <v>breakingbad</v>
      </c>
    </row>
    <row r="5582">
      <c r="A5582" s="8" t="str">
        <f>IFERROR(__xludf.DUMMYFUNCTION("""COMPUTED_VALUE"""),"breakingbadzone")</f>
        <v>breakingbadzone</v>
      </c>
    </row>
    <row r="5583">
      <c r="A5583" s="8" t="str">
        <f>IFERROR(__xludf.DUMMYFUNCTION("""COMPUTED_VALUE"""),"breaking_barriers_united")</f>
        <v>breaking_barriers_united</v>
      </c>
    </row>
    <row r="5584">
      <c r="A5584" s="8" t="str">
        <f>IFERROR(__xludf.DUMMYFUNCTION("""COMPUTED_VALUE"""),"breakingbenjamin")</f>
        <v>breakingbenjamin</v>
      </c>
    </row>
    <row r="5585">
      <c r="A5585" s="8" t="str">
        <f>IFERROR(__xludf.DUMMYFUNCTION("""COMPUTED_VALUE"""),"breakingbordersfest")</f>
        <v>breakingbordersfest</v>
      </c>
    </row>
    <row r="5586">
      <c r="A5586" s="8" t="str">
        <f>IFERROR(__xludf.DUMMYFUNCTION("""COMPUTED_VALUE"""),"breakingbreadwithbeardoh")</f>
        <v>breakingbreadwithbeardoh</v>
      </c>
    </row>
    <row r="5587">
      <c r="A5587" s="8" t="str">
        <f>IFERROR(__xludf.DUMMYFUNCTION("""COMPUTED_VALUE"""),"breakingbzenews")</f>
        <v>breakingbzenews</v>
      </c>
    </row>
    <row r="5588">
      <c r="A5588" s="8" t="str">
        <f>IFERROR(__xludf.DUMMYFUNCTION("""COMPUTED_VALUE"""),"breaking.dank")</f>
        <v>breaking.dank</v>
      </c>
    </row>
    <row r="5589">
      <c r="A5589" s="8" t="str">
        <f>IFERROR(__xludf.DUMMYFUNCTION("""COMPUTED_VALUE"""),"breakingnews")</f>
        <v>breakingnews</v>
      </c>
    </row>
    <row r="5590">
      <c r="A5590" s="8" t="str">
        <f>IFERROR(__xludf.DUMMYFUNCTION("""COMPUTED_VALUE"""),"breakingthepage")</f>
        <v>breakingthepage</v>
      </c>
    </row>
    <row r="5591">
      <c r="A5591" s="8" t="str">
        <f>IFERROR(__xludf.DUMMYFUNCTION("""COMPUTED_VALUE"""),"breqkingbad")</f>
        <v>breqkingbad</v>
      </c>
    </row>
    <row r="5592">
      <c r="A5592" s="8" t="str">
        <f>IFERROR(__xludf.DUMMYFUNCTION("""COMPUTED_VALUE"""),"mash_breaking")</f>
        <v>mash_breaking</v>
      </c>
    </row>
    <row r="5593">
      <c r="A5593" s="8" t="str">
        <f>IFERROR(__xludf.DUMMYFUNCTION("""COMPUTED_VALUE"""),"big_breaking_news_mp")</f>
        <v>big_breaking_news_mp</v>
      </c>
    </row>
    <row r="5594">
      <c r="A5594" s="8" t="str">
        <f>IFERROR(__xludf.DUMMYFUNCTION("""COMPUTED_VALUE"""),"breakingnews")</f>
        <v>breakingnews</v>
      </c>
    </row>
    <row r="5595">
      <c r="A5595" s="8" t="str">
        <f>IFERROR(__xludf.DUMMYFUNCTION("""COMPUTED_VALUE"""),"breaking.news.1")</f>
        <v>breaking.news.1</v>
      </c>
    </row>
    <row r="5596">
      <c r="A5596" s="11" t="str">
        <f>IFERROR(__xludf.DUMMYFUNCTION("""COMPUTED_VALUE"""),"breaking.news.br")</f>
        <v>breaking.news.br</v>
      </c>
    </row>
    <row r="5597">
      <c r="A5597" s="8" t="str">
        <f>IFERROR(__xludf.DUMMYFUNCTION("""COMPUTED_VALUE"""),"breaking_news_ckp_")</f>
        <v>breaking_news_ckp_</v>
      </c>
    </row>
    <row r="5598">
      <c r="A5598" s="8" t="str">
        <f>IFERROR(__xludf.DUMMYFUNCTION("""COMPUTED_VALUE"""),"breaking_news_editor")</f>
        <v>breaking_news_editor</v>
      </c>
    </row>
    <row r="5599">
      <c r="A5599" s="8" t="str">
        <f>IFERROR(__xludf.DUMMYFUNCTION("""COMPUTED_VALUE"""),"breaking.news.saarland")</f>
        <v>breaking.news.saarland</v>
      </c>
    </row>
    <row r="5600">
      <c r="A5600" s="8" t="str">
        <f>IFERROR(__xludf.DUMMYFUNCTION("""COMPUTED_VALUE"""),"breakingnewsturkey")</f>
        <v>breakingnewsturkey</v>
      </c>
    </row>
    <row r="5601">
      <c r="A5601" s="8" t="str">
        <f>IFERROR(__xludf.DUMMYFUNCTION("""COMPUTED_VALUE"""),"cp24breakingnews")</f>
        <v>cp24breakingnews</v>
      </c>
    </row>
    <row r="5602">
      <c r="A5602" s="11" t="str">
        <f>IFERROR(__xludf.DUMMYFUNCTION("""COMPUTED_VALUE"""),"mpbreakingnews.in")</f>
        <v>mpbreakingnews.in</v>
      </c>
    </row>
    <row r="5603">
      <c r="A5603" s="8" t="str">
        <f>IFERROR(__xludf.DUMMYFUNCTION("""COMPUTED_VALUE"""),"behindthebroadcast")</f>
        <v>behindthebroadcast</v>
      </c>
    </row>
    <row r="5604">
      <c r="A5604" s="8" t="str">
        <f>IFERROR(__xludf.DUMMYFUNCTION("""COMPUTED_VALUE"""),"bmi")</f>
        <v>bmi</v>
      </c>
    </row>
    <row r="5605">
      <c r="A5605" s="8" t="str">
        <f>IFERROR(__xludf.DUMMYFUNCTION("""COMPUTED_VALUE"""),"broadcastboyshoh")</f>
        <v>broadcastboyshoh</v>
      </c>
    </row>
    <row r="5606">
      <c r="A5606" s="8" t="str">
        <f>IFERROR(__xludf.DUMMYFUNCTION("""COMPUTED_VALUE"""),"the_happy_broadcast")</f>
        <v>the_happy_broadcast</v>
      </c>
    </row>
    <row r="5607">
      <c r="A5607" s="8" t="str">
        <f>IFERROR(__xludf.DUMMYFUNCTION("""COMPUTED_VALUE"""),"broadcaster.hits")</f>
        <v>broadcaster.hits</v>
      </c>
    </row>
    <row r="5608">
      <c r="A5608" s="8" t="str">
        <f>IFERROR(__xludf.DUMMYFUNCTION("""COMPUTED_VALUE"""),"broadcaster_ir")</f>
        <v>broadcaster_ir</v>
      </c>
    </row>
    <row r="5609">
      <c r="A5609" s="8" t="str">
        <f>IFERROR(__xludf.DUMMYFUNCTION("""COMPUTED_VALUE"""),"bipolska")</f>
        <v>bipolska</v>
      </c>
    </row>
    <row r="5610">
      <c r="A5610" s="8" t="str">
        <f>IFERROR(__xludf.DUMMYFUNCTION("""COMPUTED_VALUE"""),"biz.insider")</f>
        <v>biz.insider</v>
      </c>
    </row>
    <row r="5611">
      <c r="A5611" s="8" t="str">
        <f>IFERROR(__xludf.DUMMYFUNCTION("""COMPUTED_VALUE"""),"businessinsider")</f>
        <v>businessinsider</v>
      </c>
    </row>
    <row r="5612">
      <c r="A5612" s="11" t="str">
        <f>IFERROR(__xludf.DUMMYFUNCTION("""COMPUTED_VALUE"""),"businessinsider.de")</f>
        <v>businessinsider.de</v>
      </c>
    </row>
    <row r="5613">
      <c r="A5613" s="8" t="str">
        <f>IFERROR(__xludf.DUMMYFUNCTION("""COMPUTED_VALUE"""),"businessinsideres")</f>
        <v>businessinsideres</v>
      </c>
    </row>
    <row r="5614">
      <c r="A5614" s="8" t="str">
        <f>IFERROR(__xludf.DUMMYFUNCTION("""COMPUTED_VALUE"""),"businessinsiderin")</f>
        <v>businessinsiderin</v>
      </c>
    </row>
    <row r="5615">
      <c r="A5615" s="8" t="str">
        <f>IFERROR(__xludf.DUMMYFUNCTION("""COMPUTED_VALUE"""),"businessinsiderit")</f>
        <v>businessinsiderit</v>
      </c>
    </row>
    <row r="5616">
      <c r="A5616" s="8" t="str">
        <f>IFERROR(__xludf.DUMMYFUNCTION("""COMPUTED_VALUE"""),"businessinsiderssa")</f>
        <v>businessinsiderssa</v>
      </c>
    </row>
    <row r="5617">
      <c r="A5617" s="8" t="str">
        <f>IFERROR(__xludf.DUMMYFUNCTION("""COMPUTED_VALUE"""),"bof")</f>
        <v>bof</v>
      </c>
    </row>
    <row r="5618">
      <c r="A5618" s="8" t="str">
        <f>IFERROR(__xludf.DUMMYFUNCTION("""COMPUTED_VALUE"""),"businessweek")</f>
        <v>businessweek</v>
      </c>
    </row>
    <row r="5619">
      <c r="A5619" s="8" t="str">
        <f>IFERROR(__xludf.DUMMYFUNCTION("""COMPUTED_VALUE"""),"businessweekart")</f>
        <v>businessweekart</v>
      </c>
    </row>
    <row r="5620">
      <c r="A5620" s="8" t="str">
        <f>IFERROR(__xludf.DUMMYFUNCTION("""COMPUTED_VALUE"""),"businessweeklymag")</f>
        <v>businessweeklymag</v>
      </c>
    </row>
    <row r="5621">
      <c r="A5621" s="8" t="str">
        <f>IFERROR(__xludf.DUMMYFUNCTION("""COMPUTED_VALUE"""),"buzzfeed")</f>
        <v>buzzfeed</v>
      </c>
    </row>
    <row r="5622">
      <c r="A5622" s="8" t="str">
        <f>IFERROR(__xludf.DUMMYFUNCTION("""COMPUTED_VALUE"""),"buzzfeedceleb")</f>
        <v>buzzfeedceleb</v>
      </c>
    </row>
    <row r="5623">
      <c r="A5623" s="8" t="str">
        <f>IFERROR(__xludf.DUMMYFUNCTION("""COMPUTED_VALUE"""),"buzzfeedfood")</f>
        <v>buzzfeedfood</v>
      </c>
    </row>
    <row r="5624">
      <c r="A5624" s="8" t="str">
        <f>IFERROR(__xludf.DUMMYFUNCTION("""COMPUTED_VALUE"""),"buzzfeedtasty")</f>
        <v>buzzfeedtasty</v>
      </c>
    </row>
    <row r="5625">
      <c r="A5625" s="8" t="str">
        <f>IFERROR(__xludf.DUMMYFUNCTION("""COMPUTED_VALUE"""),"buzzfeedtrending")</f>
        <v>buzzfeedtrending</v>
      </c>
    </row>
    <row r="5626">
      <c r="A5626" s="8" t="str">
        <f>IFERROR(__xludf.DUMMYFUNCTION("""COMPUTED_VALUE"""),"buzzfeeduk")</f>
        <v>buzzfeeduk</v>
      </c>
    </row>
    <row r="5627">
      <c r="A5627" s="8" t="str">
        <f>IFERROR(__xludf.DUMMYFUNCTION("""COMPUTED_VALUE"""),"buzzfeedunsolved")</f>
        <v>buzzfeedunsolved</v>
      </c>
    </row>
    <row r="5628">
      <c r="A5628" s="8" t="str">
        <f>IFERROR(__xludf.DUMMYFUNCTION("""COMPUTED_VALUE"""),"buzzfeedvideo")</f>
        <v>buzzfeedvideo</v>
      </c>
    </row>
    <row r="5629">
      <c r="A5629" s="8" t="str">
        <f>IFERROR(__xludf.DUMMYFUNCTION("""COMPUTED_VALUE"""),"buzzfeedworthit")</f>
        <v>buzzfeedworthit</v>
      </c>
    </row>
    <row r="5630">
      <c r="A5630" s="8" t="str">
        <f>IFERROR(__xludf.DUMMYFUNCTION("""COMPUTED_VALUE"""),"aragonballroom")</f>
        <v>aragonballroom</v>
      </c>
    </row>
    <row r="5631">
      <c r="A5631" s="8" t="str">
        <f>IFERROR(__xludf.DUMMYFUNCTION("""COMPUTED_VALUE"""),"bylinebyline")</f>
        <v>bylinebyline</v>
      </c>
    </row>
    <row r="5632">
      <c r="A5632" s="8" t="str">
        <f>IFERROR(__xludf.DUMMYFUNCTION("""COMPUTED_VALUE"""),"campaign")</f>
        <v>campaign</v>
      </c>
    </row>
    <row r="5633">
      <c r="A5633" s="8" t="str">
        <f>IFERROR(__xludf.DUMMYFUNCTION("""COMPUTED_VALUE"""),"campaignacey")</f>
        <v>campaignacey</v>
      </c>
    </row>
    <row r="5634">
      <c r="A5634" s="8" t="str">
        <f>IFERROR(__xludf.DUMMYFUNCTION("""COMPUTED_VALUE"""),"campaignmagazine")</f>
        <v>campaignmagazine</v>
      </c>
    </row>
    <row r="5635">
      <c r="A5635" s="8" t="str">
        <f>IFERROR(__xludf.DUMMYFUNCTION("""COMPUTED_VALUE"""),"campaignmiddleeast")</f>
        <v>campaignmiddleeast</v>
      </c>
    </row>
    <row r="5636">
      <c r="A5636" s="8" t="str">
        <f>IFERROR(__xludf.DUMMYFUNCTION("""COMPUTED_VALUE"""),"campaignzero")</f>
        <v>campaignzero</v>
      </c>
    </row>
    <row r="5637">
      <c r="A5637" s="8" t="str">
        <f>IFERROR(__xludf.DUMMYFUNCTION("""COMPUTED_VALUE"""),"ciao_campaign")</f>
        <v>ciao_campaign</v>
      </c>
    </row>
    <row r="5638">
      <c r="A5638" s="8" t="str">
        <f>IFERROR(__xludf.DUMMYFUNCTION("""COMPUTED_VALUE"""),"cbs2boise")</f>
        <v>cbs2boise</v>
      </c>
    </row>
    <row r="5639">
      <c r="A5639" s="8" t="str">
        <f>IFERROR(__xludf.DUMMYFUNCTION("""COMPUTED_VALUE"""),"cbs58news")</f>
        <v>cbs58news</v>
      </c>
    </row>
    <row r="5640">
      <c r="A5640" s="8" t="str">
        <f>IFERROR(__xludf.DUMMYFUNCTION("""COMPUTED_VALUE"""),"cbscolorado")</f>
        <v>cbscolorado</v>
      </c>
    </row>
    <row r="5641">
      <c r="A5641" s="8" t="str">
        <f>IFERROR(__xludf.DUMMYFUNCTION("""COMPUTED_VALUE"""),"cbseveningnews")</f>
        <v>cbseveningnews</v>
      </c>
    </row>
    <row r="5642">
      <c r="A5642" s="8" t="str">
        <f>IFERROR(__xludf.DUMMYFUNCTION("""COMPUTED_VALUE"""),"cbsmiami")</f>
        <v>cbsmiami</v>
      </c>
    </row>
    <row r="5643">
      <c r="A5643" s="8" t="str">
        <f>IFERROR(__xludf.DUMMYFUNCTION("""COMPUTED_VALUE"""),"cbsnews")</f>
        <v>cbsnews</v>
      </c>
    </row>
    <row r="5644">
      <c r="A5644" s="8" t="str">
        <f>IFERROR(__xludf.DUMMYFUNCTION("""COMPUTED_VALUE"""),"cbsnewsplanet")</f>
        <v>cbsnewsplanet</v>
      </c>
    </row>
    <row r="5645">
      <c r="A5645" s="8" t="str">
        <f>IFERROR(__xludf.DUMMYFUNCTION("""COMPUTED_VALUE"""),"cbsnewstexas")</f>
        <v>cbsnewstexas</v>
      </c>
    </row>
    <row r="5646">
      <c r="A5646" s="8" t="str">
        <f>IFERROR(__xludf.DUMMYFUNCTION("""COMPUTED_VALUE"""),"cbsnewyork")</f>
        <v>cbsnewyork</v>
      </c>
    </row>
    <row r="5647">
      <c r="A5647" s="8" t="str">
        <f>IFERROR(__xludf.DUMMYFUNCTION("""COMPUTED_VALUE"""),"cbssacramento")</f>
        <v>cbssacramento</v>
      </c>
    </row>
    <row r="5648">
      <c r="A5648" s="8" t="str">
        <f>IFERROR(__xludf.DUMMYFUNCTION("""COMPUTED_VALUE"""),"cbssundaymorning")</f>
        <v>cbssundaymorning</v>
      </c>
    </row>
    <row r="5649">
      <c r="A5649" s="8" t="str">
        <f>IFERROR(__xludf.DUMMYFUNCTION("""COMPUTED_VALUE"""),"kpixtv")</f>
        <v>kpixtv</v>
      </c>
    </row>
    <row r="5650">
      <c r="A5650" s="8" t="str">
        <f>IFERROR(__xludf.DUMMYFUNCTION("""COMPUTED_VALUE"""),"wbztv")</f>
        <v>wbztv</v>
      </c>
    </row>
    <row r="5651">
      <c r="A5651" s="8" t="str">
        <f>IFERROR(__xludf.DUMMYFUNCTION("""COMPUTED_VALUE"""),"wgme")</f>
        <v>wgme</v>
      </c>
    </row>
    <row r="5652">
      <c r="A5652" s="8" t="str">
        <f>IFERROR(__xludf.DUMMYFUNCTION("""COMPUTED_VALUE"""),"channel")</f>
        <v>channel</v>
      </c>
    </row>
    <row r="5653">
      <c r="A5653" s="8" t="str">
        <f>IFERROR(__xludf.DUMMYFUNCTION("""COMPUTED_VALUE"""),"channel4")</f>
        <v>channel4</v>
      </c>
    </row>
    <row r="5654">
      <c r="A5654" s="8" t="str">
        <f>IFERROR(__xludf.DUMMYFUNCTION("""COMPUTED_VALUE"""),"channelbpodcast")</f>
        <v>channelbpodcast</v>
      </c>
    </row>
    <row r="5655">
      <c r="A5655" s="8" t="str">
        <f>IFERROR(__xludf.DUMMYFUNCTION("""COMPUTED_VALUE"""),"channelfoods")</f>
        <v>channelfoods</v>
      </c>
    </row>
    <row r="5656">
      <c r="A5656" s="8" t="str">
        <f>IFERROR(__xludf.DUMMYFUNCTION("""COMPUTED_VALUE"""),"channelnewsasia")</f>
        <v>channelnewsasia</v>
      </c>
    </row>
    <row r="5657">
      <c r="A5657" s="8" t="str">
        <f>IFERROR(__xludf.DUMMYFUNCTION("""COMPUTED_VALUE"""),"channelstelevision")</f>
        <v>channelstelevision</v>
      </c>
    </row>
    <row r="5658">
      <c r="A5658" s="8" t="str">
        <f>IFERROR(__xludf.DUMMYFUNCTION("""COMPUTED_VALUE"""),"channelstv_ent")</f>
        <v>channelstv_ent</v>
      </c>
    </row>
    <row r="5659">
      <c r="A5659" s="8" t="str">
        <f>IFERROR(__xludf.DUMMYFUNCTION("""COMPUTED_VALUE"""),"disneychannel")</f>
        <v>disneychannel</v>
      </c>
    </row>
    <row r="5660">
      <c r="A5660" s="8" t="str">
        <f>IFERROR(__xludf.DUMMYFUNCTION("""COMPUTED_VALUE"""),"golfchannel")</f>
        <v>golfchannel</v>
      </c>
    </row>
    <row r="5661">
      <c r="A5661" s="8" t="str">
        <f>IFERROR(__xludf.DUMMYFUNCTION("""COMPUTED_VALUE"""),"litvinchannel")</f>
        <v>litvinchannel</v>
      </c>
    </row>
    <row r="5662">
      <c r="A5662" s="8" t="str">
        <f>IFERROR(__xludf.DUMMYFUNCTION("""COMPUTED_VALUE"""),"paleoanalysis")</f>
        <v>paleoanalysis</v>
      </c>
    </row>
    <row r="5663">
      <c r="A5663" s="8" t="str">
        <f>IFERROR(__xludf.DUMMYFUNCTION("""COMPUTED_VALUE"""),"steakchannel")</f>
        <v>steakchannel</v>
      </c>
    </row>
    <row r="5664">
      <c r="A5664" s="8" t="str">
        <f>IFERROR(__xludf.DUMMYFUNCTION("""COMPUTED_VALUE"""),"zaneroozchannel")</f>
        <v>zaneroozchannel</v>
      </c>
    </row>
    <row r="5665">
      <c r="A5665" s="8" t="str">
        <f>IFERROR(__xludf.DUMMYFUNCTION("""COMPUTED_VALUE"""),"a.cheddar")</f>
        <v>a.cheddar</v>
      </c>
    </row>
    <row r="5666">
      <c r="A5666" s="8" t="str">
        <f>IFERROR(__xludf.DUMMYFUNCTION("""COMPUTED_VALUE"""),"cheddar")</f>
        <v>cheddar</v>
      </c>
    </row>
    <row r="5667">
      <c r="A5667" s="8" t="str">
        <f>IFERROR(__xludf.DUMMYFUNCTION("""COMPUTED_VALUE"""),"cheddarbears")</f>
        <v>cheddarbears</v>
      </c>
    </row>
    <row r="5668">
      <c r="A5668" s="8" t="str">
        <f>IFERROR(__xludf.DUMMYFUNCTION("""COMPUTED_VALUE"""),"cheddariniii")</f>
        <v>cheddariniii</v>
      </c>
    </row>
    <row r="5669">
      <c r="A5669" s="11" t="str">
        <f>IFERROR(__xludf.DUMMYFUNCTION("""COMPUTED_VALUE"""),"cheddars.cl")</f>
        <v>cheddars.cl</v>
      </c>
    </row>
    <row r="5670">
      <c r="A5670" s="8" t="str">
        <f>IFERROR(__xludf.DUMMYFUNCTION("""COMPUTED_VALUE"""),"chicagotribune")</f>
        <v>chicagotribune</v>
      </c>
    </row>
    <row r="5671">
      <c r="A5671" s="8" t="str">
        <f>IFERROR(__xludf.DUMMYFUNCTION("""COMPUTED_VALUE"""),"chitribfood")</f>
        <v>chitribfood</v>
      </c>
    </row>
    <row r="5672">
      <c r="A5672" s="8" t="str">
        <f>IFERROR(__xludf.DUMMYFUNCTION("""COMPUTED_VALUE"""),"cinemablend")</f>
        <v>cinemablend</v>
      </c>
    </row>
    <row r="5673">
      <c r="A5673" s="8" t="str">
        <f>IFERROR(__xludf.DUMMYFUNCTION("""COMPUTED_VALUE"""),"circulationx")</f>
        <v>circulationx</v>
      </c>
    </row>
    <row r="5674">
      <c r="A5674" s="8" t="str">
        <f>IFERROR(__xludf.DUMMYFUNCTION("""COMPUTED_VALUE"""),"citation__.amour_")</f>
        <v>citation__.amour_</v>
      </c>
    </row>
    <row r="5675">
      <c r="A5675" s="8" t="str">
        <f>IFERROR(__xludf.DUMMYFUNCTION("""COMPUTED_VALUE"""),"citation.frenchie")</f>
        <v>citation.frenchie</v>
      </c>
    </row>
    <row r="5676">
      <c r="A5676" s="8" t="str">
        <f>IFERROR(__xludf.DUMMYFUNCTION("""COMPUTED_VALUE"""),"citationmax1")</f>
        <v>citationmax1</v>
      </c>
    </row>
    <row r="5677">
      <c r="A5677" s="8" t="str">
        <f>IFERROR(__xludf.DUMMYFUNCTION("""COMPUTED_VALUE"""),"citation_.moonlight")</f>
        <v>citation_.moonlight</v>
      </c>
    </row>
    <row r="5678">
      <c r="A5678" s="8" t="str">
        <f>IFERROR(__xludf.DUMMYFUNCTION("""COMPUTED_VALUE"""),"_citation_.triste_")</f>
        <v>_citation_.triste_</v>
      </c>
    </row>
    <row r="5679">
      <c r="A5679" s="8" t="str">
        <f>IFERROR(__xludf.DUMMYFUNCTION("""COMPUTED_VALUE"""),"canggucommunity")</f>
        <v>canggucommunity</v>
      </c>
    </row>
    <row r="5680">
      <c r="A5680" s="8" t="str">
        <f>IFERROR(__xludf.DUMMYFUNCTION("""COMPUTED_VALUE"""),"citizenjournalist86")</f>
        <v>citizenjournalist86</v>
      </c>
    </row>
    <row r="5681">
      <c r="A5681" s="8" t="str">
        <f>IFERROR(__xludf.DUMMYFUNCTION("""COMPUTED_VALUE"""),"clickbait")</f>
        <v>clickbait</v>
      </c>
    </row>
    <row r="5682">
      <c r="A5682" s="8" t="str">
        <f>IFERROR(__xludf.DUMMYFUNCTION("""COMPUTED_VALUE"""),"clickbaitbn")</f>
        <v>clickbaitbn</v>
      </c>
    </row>
    <row r="5683">
      <c r="A5683" s="8" t="str">
        <f>IFERROR(__xludf.DUMMYFUNCTION("""COMPUTED_VALUE"""),"__clickbaits")</f>
        <v>__clickbaits</v>
      </c>
    </row>
    <row r="5684">
      <c r="A5684" s="8" t="str">
        <f>IFERROR(__xludf.DUMMYFUNCTION("""COMPUTED_VALUE"""),"_alieim_")</f>
        <v>_alieim_</v>
      </c>
    </row>
    <row r="5685">
      <c r="A5685" s="8" t="str">
        <f>IFERROR(__xludf.DUMMYFUNCTION("""COMPUTED_VALUE"""),"bloodyclip")</f>
        <v>bloodyclip</v>
      </c>
    </row>
    <row r="5686">
      <c r="A5686" s="8" t="str">
        <f>IFERROR(__xludf.DUMMYFUNCTION("""COMPUTED_VALUE"""),"clipclip_geniboutique")</f>
        <v>clipclip_geniboutique</v>
      </c>
    </row>
    <row r="5687">
      <c r="A5687" s="8" t="str">
        <f>IFERROR(__xludf.DUMMYFUNCTION("""COMPUTED_VALUE"""),"clip_deluxe")</f>
        <v>clip_deluxe</v>
      </c>
    </row>
    <row r="5688">
      <c r="A5688" s="8" t="str">
        <f>IFERROR(__xludf.DUMMYFUNCTION("""COMPUTED_VALUE"""),"cliphair")</f>
        <v>cliphair</v>
      </c>
    </row>
    <row r="5689">
      <c r="A5689" s="8" t="str">
        <f>IFERROR(__xludf.DUMMYFUNCTION("""COMPUTED_VALUE"""),"clipopuk_furniture")</f>
        <v>clipopuk_furniture</v>
      </c>
    </row>
    <row r="5690">
      <c r="A5690" s="8" t="str">
        <f>IFERROR(__xludf.DUMMYFUNCTION("""COMPUTED_VALUE"""),"clips")</f>
        <v>clips</v>
      </c>
    </row>
    <row r="5691">
      <c r="A5691" s="8" t="str">
        <f>IFERROR(__xludf.DUMMYFUNCTION("""COMPUTED_VALUE"""),"clipse")</f>
        <v>clipse</v>
      </c>
    </row>
    <row r="5692">
      <c r="A5692" s="8" t="str">
        <f>IFERROR(__xludf.DUMMYFUNCTION("""COMPUTED_VALUE"""),"laclippers")</f>
        <v>laclippers</v>
      </c>
    </row>
    <row r="5693">
      <c r="A5693" s="8" t="str">
        <f>IFERROR(__xludf.DUMMYFUNCTION("""COMPUTED_VALUE"""),"lething_clip")</f>
        <v>lething_clip</v>
      </c>
    </row>
    <row r="5694">
      <c r="A5694" s="8" t="str">
        <f>IFERROR(__xludf.DUMMYFUNCTION("""COMPUTED_VALUE"""),"cnbc")</f>
        <v>cnbc</v>
      </c>
    </row>
    <row r="5695">
      <c r="A5695" s="8" t="str">
        <f>IFERROR(__xludf.DUMMYFUNCTION("""COMPUTED_VALUE"""),"cnbcarabiatv")</f>
        <v>cnbcarabiatv</v>
      </c>
    </row>
    <row r="5696">
      <c r="A5696" s="8" t="str">
        <f>IFERROR(__xludf.DUMMYFUNCTION("""COMPUTED_VALUE"""),"cnbce")</f>
        <v>cnbce</v>
      </c>
    </row>
    <row r="5697">
      <c r="A5697" s="8" t="str">
        <f>IFERROR(__xludf.DUMMYFUNCTION("""COMPUTED_VALUE"""),"cnbcindonesia")</f>
        <v>cnbcindonesia</v>
      </c>
    </row>
    <row r="5698">
      <c r="A5698" s="8" t="str">
        <f>IFERROR(__xludf.DUMMYFUNCTION("""COMPUTED_VALUE"""),"cnbcinternational")</f>
        <v>cnbcinternational</v>
      </c>
    </row>
    <row r="5699">
      <c r="A5699" s="8" t="str">
        <f>IFERROR(__xludf.DUMMYFUNCTION("""COMPUTED_VALUE"""),"cnbcmakeit")</f>
        <v>cnbcmakeit</v>
      </c>
    </row>
    <row r="5700">
      <c r="A5700" s="8" t="str">
        <f>IFERROR(__xludf.DUMMYFUNCTION("""COMPUTED_VALUE"""),"cnbcmongolia")</f>
        <v>cnbcmongolia</v>
      </c>
    </row>
    <row r="5701">
      <c r="A5701" s="8" t="str">
        <f>IFERROR(__xludf.DUMMYFUNCTION("""COMPUTED_VALUE"""),"cnbcturkiye")</f>
        <v>cnbcturkiye</v>
      </c>
    </row>
    <row r="5702">
      <c r="A5702" s="8" t="str">
        <f>IFERROR(__xludf.DUMMYFUNCTION("""COMPUTED_VALUE"""),"cnbctv")</f>
        <v>cnbctv</v>
      </c>
    </row>
    <row r="5703">
      <c r="A5703" s="8" t="str">
        <f>IFERROR(__xludf.DUMMYFUNCTION("""COMPUTED_VALUE"""),"cnbctv18india")</f>
        <v>cnbctv18india</v>
      </c>
    </row>
    <row r="5704">
      <c r="A5704" s="8" t="str">
        <f>IFERROR(__xludf.DUMMYFUNCTION("""COMPUTED_VALUE"""),"madmoneyoncnbc")</f>
        <v>madmoneyoncnbc</v>
      </c>
    </row>
    <row r="5705">
      <c r="A5705" s="8" t="str">
        <f>IFERROR(__xludf.DUMMYFUNCTION("""COMPUTED_VALUE"""),"otimesbrasil")</f>
        <v>otimesbrasil</v>
      </c>
    </row>
    <row r="5706">
      <c r="A5706" s="8" t="str">
        <f>IFERROR(__xludf.DUMMYFUNCTION("""COMPUTED_VALUE"""),"50cent")</f>
        <v>50cent</v>
      </c>
    </row>
    <row r="5707">
      <c r="A5707" s="8" t="str">
        <f>IFERROR(__xludf.DUMMYFUNCTION("""COMPUTED_VALUE"""),"centralcee")</f>
        <v>centralcee</v>
      </c>
    </row>
    <row r="5708">
      <c r="A5708" s="8" t="str">
        <f>IFERROR(__xludf.DUMMYFUNCTION("""COMPUTED_VALUE"""),"centuryburger")</f>
        <v>centuryburger</v>
      </c>
    </row>
    <row r="5709">
      <c r="A5709" s="8" t="str">
        <f>IFERROR(__xludf.DUMMYFUNCTION("""COMPUTED_VALUE"""),"cnet")</f>
        <v>cnet</v>
      </c>
    </row>
    <row r="5710">
      <c r="A5710" s="8" t="str">
        <f>IFERROR(__xludf.DUMMYFUNCTION("""COMPUTED_VALUE"""),"divulga_centrostudi")</f>
        <v>divulga_centrostudi</v>
      </c>
    </row>
    <row r="5711">
      <c r="A5711" s="8" t="str">
        <f>IFERROR(__xludf.DUMMYFUNCTION("""COMPUTED_VALUE"""),"graphicdesigncentral")</f>
        <v>graphicdesigncentral</v>
      </c>
    </row>
    <row r="5712">
      <c r="A5712" s="8" t="str">
        <f>IFERROR(__xludf.DUMMYFUNCTION("""COMPUTED_VALUE"""),"cnn")</f>
        <v>cnn</v>
      </c>
    </row>
    <row r="5713">
      <c r="A5713" s="8" t="str">
        <f>IFERROR(__xludf.DUMMYFUNCTION("""COMPUTED_VALUE"""),"cnnbrasil")</f>
        <v>cnnbrasil</v>
      </c>
    </row>
    <row r="5714">
      <c r="A5714" s="8" t="str">
        <f>IFERROR(__xludf.DUMMYFUNCTION("""COMPUTED_VALUE"""),"cnnee")</f>
        <v>cnnee</v>
      </c>
    </row>
    <row r="5715">
      <c r="A5715" s="8" t="str">
        <f>IFERROR(__xludf.DUMMYFUNCTION("""COMPUTED_VALUE"""),"cnnindonesia")</f>
        <v>cnnindonesia</v>
      </c>
    </row>
    <row r="5716">
      <c r="A5716" s="8" t="str">
        <f>IFERROR(__xludf.DUMMYFUNCTION("""COMPUTED_VALUE"""),"cnnplus")</f>
        <v>cnnplus</v>
      </c>
    </row>
    <row r="5717">
      <c r="A5717" s="8" t="str">
        <f>IFERROR(__xludf.DUMMYFUNCTION("""COMPUTED_VALUE"""),"cnnpolitica")</f>
        <v>cnnpolitica</v>
      </c>
    </row>
    <row r="5718">
      <c r="A5718" s="8" t="str">
        <f>IFERROR(__xludf.DUMMYFUNCTION("""COMPUTED_VALUE"""),"cnnpolitics")</f>
        <v>cnnpolitics</v>
      </c>
    </row>
    <row r="5719">
      <c r="A5719" s="8" t="str">
        <f>IFERROR(__xludf.DUMMYFUNCTION("""COMPUTED_VALUE"""),"collider")</f>
        <v>collider</v>
      </c>
    </row>
    <row r="5720">
      <c r="A5720" s="8" t="str">
        <f>IFERROR(__xludf.DUMMYFUNCTION("""COMPUTED_VALUE"""),"colliderfrosty")</f>
        <v>colliderfrosty</v>
      </c>
    </row>
    <row r="5721">
      <c r="A5721" s="8" t="str">
        <f>IFERROR(__xludf.DUMMYFUNCTION("""COMPUTED_VALUE"""),"colliders_")</f>
        <v>colliders_</v>
      </c>
    </row>
    <row r="5722">
      <c r="A5722" s="8" t="str">
        <f>IFERROR(__xludf.DUMMYFUNCTION("""COMPUTED_VALUE"""),"co.lumnist")</f>
        <v>co.lumnist</v>
      </c>
    </row>
    <row r="5723">
      <c r="A5723" s="8" t="str">
        <f>IFERROR(__xludf.DUMMYFUNCTION("""COMPUTED_VALUE"""),"luxurycolumnist")</f>
        <v>luxurycolumnist</v>
      </c>
    </row>
    <row r="5724">
      <c r="A5724" s="8" t="str">
        <f>IFERROR(__xludf.DUMMYFUNCTION("""COMPUTED_VALUE"""),"comicbook")</f>
        <v>comicbook</v>
      </c>
    </row>
    <row r="5725">
      <c r="A5725" s="8" t="str">
        <f>IFERROR(__xludf.DUMMYFUNCTION("""COMPUTED_VALUE"""),"commentator_254")</f>
        <v>commentator_254</v>
      </c>
    </row>
    <row r="5726">
      <c r="A5726" s="8" t="str">
        <f>IFERROR(__xludf.DUMMYFUNCTION("""COMPUTED_VALUE"""),"commentator_noggano")</f>
        <v>commentator_noggano</v>
      </c>
    </row>
    <row r="5727">
      <c r="A5727" s="8" t="str">
        <f>IFERROR(__xludf.DUMMYFUNCTION("""COMPUTED_VALUE"""),"birthdaypresence")</f>
        <v>birthdaypresence</v>
      </c>
    </row>
    <row r="5728">
      <c r="A5728" s="8" t="str">
        <f>IFERROR(__xludf.DUMMYFUNCTION("""COMPUTED_VALUE"""),"canadiaan.icon")</f>
        <v>canadiaan.icon</v>
      </c>
    </row>
    <row r="5729">
      <c r="A5729" s="8" t="str">
        <f>IFERROR(__xludf.DUMMYFUNCTION("""COMPUTED_VALUE"""),"communityldn")</f>
        <v>communityldn</v>
      </c>
    </row>
    <row r="5730">
      <c r="A5730" s="8" t="str">
        <f>IFERROR(__xludf.DUMMYFUNCTION("""COMPUTED_VALUE"""),"communitytv")</f>
        <v>communitytv</v>
      </c>
    </row>
    <row r="5731">
      <c r="A5731" s="8" t="str">
        <f>IFERROR(__xludf.DUMMYFUNCTION("""COMPUTED_VALUE"""),"incommunity")</f>
        <v>incommunity</v>
      </c>
    </row>
    <row r="5732">
      <c r="A5732" s="8" t="str">
        <f>IFERROR(__xludf.DUMMYFUNCTION("""COMPUTED_VALUE"""),"shia_online_comunity")</f>
        <v>shia_online_comunity</v>
      </c>
    </row>
    <row r="5733">
      <c r="A5733" s="8" t="str">
        <f>IFERROR(__xludf.DUMMYFUNCTION("""COMPUTED_VALUE"""),"spiritualleague")</f>
        <v>spiritualleague</v>
      </c>
    </row>
    <row r="5734">
      <c r="A5734" s="8" t="str">
        <f>IFERROR(__xludf.DUMMYFUNCTION("""COMPUTED_VALUE"""),"complex")</f>
        <v>complex</v>
      </c>
    </row>
    <row r="5735">
      <c r="A5735" s="8" t="str">
        <f>IFERROR(__xludf.DUMMYFUNCTION("""COMPUTED_VALUE"""),"complexcon")</f>
        <v>complexcon</v>
      </c>
    </row>
    <row r="5736">
      <c r="A5736" s="8" t="str">
        <f>IFERROR(__xludf.DUMMYFUNCTION("""COMPUTED_VALUE"""),"complexmusic")</f>
        <v>complexmusic</v>
      </c>
    </row>
    <row r="5737">
      <c r="A5737" s="8" t="str">
        <f>IFERROR(__xludf.DUMMYFUNCTION("""COMPUTED_VALUE"""),"complexnews")</f>
        <v>complexnews</v>
      </c>
    </row>
    <row r="5738">
      <c r="A5738" s="8" t="str">
        <f>IFERROR(__xludf.DUMMYFUNCTION("""COMPUTED_VALUE"""),"complexodonordeste")</f>
        <v>complexodonordeste</v>
      </c>
    </row>
    <row r="5739">
      <c r="A5739" s="8" t="str">
        <f>IFERROR(__xludf.DUMMYFUNCTION("""COMPUTED_VALUE"""),"complexpop")</f>
        <v>complexpop</v>
      </c>
    </row>
    <row r="5740">
      <c r="A5740" s="8" t="str">
        <f>IFERROR(__xludf.DUMMYFUNCTION("""COMPUTED_VALUE"""),"complexshop")</f>
        <v>complexshop</v>
      </c>
    </row>
    <row r="5741">
      <c r="A5741" s="8" t="str">
        <f>IFERROR(__xludf.DUMMYFUNCTION("""COMPUTED_VALUE"""),"complexsneakers")</f>
        <v>complexsneakers</v>
      </c>
    </row>
    <row r="5742">
      <c r="A5742" s="8" t="str">
        <f>IFERROR(__xludf.DUMMYFUNCTION("""COMPUTED_VALUE"""),"complexstyle")</f>
        <v>complexstyle</v>
      </c>
    </row>
    <row r="5743">
      <c r="A5743" s="8" t="str">
        <f>IFERROR(__xludf.DUMMYFUNCTION("""COMPUTED_VALUE"""),"llcomplex_ru")</f>
        <v>llcomplex_ru</v>
      </c>
    </row>
    <row r="5744">
      <c r="A5744" s="8" t="str">
        <f>IFERROR(__xludf.DUMMYFUNCTION("""COMPUTED_VALUE"""),"o_complex_com")</f>
        <v>o_complex_com</v>
      </c>
    </row>
    <row r="5745">
      <c r="A5745" s="8" t="str">
        <f>IFERROR(__xludf.DUMMYFUNCTION("""COMPUTED_VALUE"""),"333lv")</f>
        <v>333lv</v>
      </c>
    </row>
    <row r="5746">
      <c r="A5746" s="8" t="str">
        <f>IFERROR(__xludf.DUMMYFUNCTION("""COMPUTED_VALUE"""),"complexsports")</f>
        <v>complexsports</v>
      </c>
    </row>
    <row r="5747">
      <c r="A5747" s="8" t="str">
        <f>IFERROR(__xludf.DUMMYFUNCTION("""COMPUTED_VALUE"""),"turan_sports_complex")</f>
        <v>turan_sports_complex</v>
      </c>
    </row>
    <row r="5748">
      <c r="A5748" s="8" t="str">
        <f>IFERROR(__xludf.DUMMYFUNCTION("""COMPUTED_VALUE"""),"cntraveler")</f>
        <v>cntraveler</v>
      </c>
    </row>
    <row r="5749">
      <c r="A5749" s="8" t="str">
        <f>IFERROR(__xludf.DUMMYFUNCTION("""COMPUTED_VALUE"""),"cntravelerspain")</f>
        <v>cntravelerspain</v>
      </c>
    </row>
    <row r="5750">
      <c r="A5750" s="8" t="str">
        <f>IFERROR(__xludf.DUMMYFUNCTION("""COMPUTED_VALUE"""),"contentbible")</f>
        <v>contentbible</v>
      </c>
    </row>
    <row r="5751">
      <c r="A5751" s="11" t="str">
        <f>IFERROR(__xludf.DUMMYFUNCTION("""COMPUTED_VALUE"""),"contente.vc")</f>
        <v>contente.vc</v>
      </c>
    </row>
    <row r="5752">
      <c r="A5752" s="8" t="str">
        <f>IFERROR(__xludf.DUMMYFUNCTION("""COMPUTED_VALUE"""),"createcontent.club")</f>
        <v>createcontent.club</v>
      </c>
    </row>
    <row r="5753">
      <c r="A5753" s="8" t="str">
        <f>IFERROR(__xludf.DUMMYFUNCTION("""COMPUTED_VALUE"""),"creatorcontentology")</f>
        <v>creatorcontentology</v>
      </c>
    </row>
    <row r="5754">
      <c r="A5754" s="8" t="str">
        <f>IFERROR(__xludf.DUMMYFUNCTION("""COMPUTED_VALUE"""),"devinjatho")</f>
        <v>devinjatho</v>
      </c>
    </row>
    <row r="5755">
      <c r="A5755" s="8" t="str">
        <f>IFERROR(__xludf.DUMMYFUNCTION("""COMPUTED_VALUE"""),"h_a_u_w_a")</f>
        <v>h_a_u_w_a</v>
      </c>
    </row>
    <row r="5756">
      <c r="A5756" s="8" t="str">
        <f>IFERROR(__xludf.DUMMYFUNCTION("""COMPUTED_VALUE"""),"iam.awilda")</f>
        <v>iam.awilda</v>
      </c>
    </row>
    <row r="5757">
      <c r="A5757" s="8" t="str">
        <f>IFERROR(__xludf.DUMMYFUNCTION("""COMPUTED_VALUE"""),"jizzas.content")</f>
        <v>jizzas.content</v>
      </c>
    </row>
    <row r="5758">
      <c r="A5758" s="8" t="str">
        <f>IFERROR(__xludf.DUMMYFUNCTION("""COMPUTED_VALUE"""),"kate_in_london_")</f>
        <v>kate_in_london_</v>
      </c>
    </row>
    <row r="5759">
      <c r="A5759" s="8" t="str">
        <f>IFERROR(__xludf.DUMMYFUNCTION("""COMPUTED_VALUE"""),"kekecontent")</f>
        <v>kekecontent</v>
      </c>
    </row>
    <row r="5760">
      <c r="A5760" s="8" t="str">
        <f>IFERROR(__xludf.DUMMYFUNCTION("""COMPUTED_VALUE"""),"personalbrandlaunch")</f>
        <v>personalbrandlaunch</v>
      </c>
    </row>
    <row r="5761">
      <c r="A5761" s="8" t="str">
        <f>IFERROR(__xludf.DUMMYFUNCTION("""COMPUTED_VALUE"""),"social.shirley")</f>
        <v>social.shirley</v>
      </c>
    </row>
    <row r="5762">
      <c r="A5762" s="8" t="str">
        <f>IFERROR(__xludf.DUMMYFUNCTION("""COMPUTED_VALUE"""),"the.contentcove")</f>
        <v>the.contentcove</v>
      </c>
    </row>
    <row r="5763">
      <c r="A5763" s="8" t="str">
        <f>IFERROR(__xludf.DUMMYFUNCTION("""COMPUTED_VALUE"""),"the_content_machine")</f>
        <v>the_content_machine</v>
      </c>
    </row>
    <row r="5764">
      <c r="A5764" s="8" t="str">
        <f>IFERROR(__xludf.DUMMYFUNCTION("""COMPUTED_VALUE"""),"thecontenttray")</f>
        <v>thecontenttray</v>
      </c>
    </row>
    <row r="5765">
      <c r="A5765" s="8" t="str">
        <f>IFERROR(__xludf.DUMMYFUNCTION("""COMPUTED_VALUE"""),"valerie_lisitsyna")</f>
        <v>valerie_lisitsyna</v>
      </c>
    </row>
    <row r="5766">
      <c r="A5766" s="8" t="str">
        <f>IFERROR(__xludf.DUMMYFUNCTION("""COMPUTED_VALUE"""),"wegetcontent")</f>
        <v>wegetcontent</v>
      </c>
    </row>
    <row r="5767">
      <c r="A5767" s="8" t="str">
        <f>IFERROR(__xludf.DUMMYFUNCTION("""COMPUTED_VALUE"""),"_xandrarb")</f>
        <v>_xandrarb</v>
      </c>
    </row>
    <row r="5768">
      <c r="A5768" s="8" t="str">
        <f>IFERROR(__xludf.DUMMYFUNCTION("""COMPUTED_VALUE"""),"contributormagazine")</f>
        <v>contributormagazine</v>
      </c>
    </row>
    <row r="5769">
      <c r="A5769" s="8" t="str">
        <f>IFERROR(__xludf.DUMMYFUNCTION("""COMPUTED_VALUE"""),"delyannethemoneycoach")</f>
        <v>delyannethemoneycoach</v>
      </c>
    </row>
    <row r="5770">
      <c r="A5770" s="8" t="str">
        <f>IFERROR(__xludf.DUMMYFUNCTION("""COMPUTED_VALUE"""),"dr.leahkatz")</f>
        <v>dr.leahkatz</v>
      </c>
    </row>
    <row r="5771">
      <c r="A5771" s="8" t="str">
        <f>IFERROR(__xludf.DUMMYFUNCTION("""COMPUTED_VALUE"""),"correspondentedinamico")</f>
        <v>correspondentedinamico</v>
      </c>
    </row>
    <row r="5772">
      <c r="A5772" s="8" t="str">
        <f>IFERROR(__xludf.DUMMYFUNCTION("""COMPUTED_VALUE"""),"decorrespondent")</f>
        <v>decorrespondent</v>
      </c>
    </row>
    <row r="5773">
      <c r="A5773" s="8" t="str">
        <f>IFERROR(__xludf.DUMMYFUNCTION("""COMPUTED_VALUE"""),"goodnewsjourno")</f>
        <v>goodnewsjourno</v>
      </c>
    </row>
    <row r="5774">
      <c r="A5774" s="8" t="str">
        <f>IFERROR(__xludf.DUMMYFUNCTION("""COMPUTED_VALUE"""),"_ksenia_tv_")</f>
        <v>_ksenia_tv_</v>
      </c>
    </row>
    <row r="5775">
      <c r="A5775" s="8" t="str">
        <f>IFERROR(__xludf.DUMMYFUNCTION("""COMPUTED_VALUE"""),"theeuropeancorrespondent")</f>
        <v>theeuropeancorrespondent</v>
      </c>
    </row>
    <row r="5776">
      <c r="A5776" s="8" t="str">
        <f>IFERROR(__xludf.DUMMYFUNCTION("""COMPUTED_VALUE"""),"corriere")</f>
        <v>corriere</v>
      </c>
    </row>
    <row r="5777">
      <c r="A5777" s="8" t="str">
        <f>IFERROR(__xludf.DUMMYFUNCTION("""COMPUTED_VALUE"""),"dataroomgabanelli")</f>
        <v>dataroomgabanelli</v>
      </c>
    </row>
    <row r="5778">
      <c r="A5778" s="8" t="str">
        <f>IFERROR(__xludf.DUMMYFUNCTION("""COMPUTED_VALUE"""),"livingcorriere")</f>
        <v>livingcorriere</v>
      </c>
    </row>
    <row r="5779">
      <c r="A5779" s="8" t="str">
        <f>IFERROR(__xludf.DUMMYFUNCTION("""COMPUTED_VALUE"""),"cosmopolitan")</f>
        <v>cosmopolitan</v>
      </c>
    </row>
    <row r="5780">
      <c r="A5780" s="8" t="str">
        <f>IFERROR(__xludf.DUMMYFUNCTION("""COMPUTED_VALUE"""),"cosmopolitan_es")</f>
        <v>cosmopolitan_es</v>
      </c>
    </row>
    <row r="5781">
      <c r="A5781" s="8" t="str">
        <f>IFERROR(__xludf.DUMMYFUNCTION("""COMPUTED_VALUE"""),"cosmopolitan_fr")</f>
        <v>cosmopolitan_fr</v>
      </c>
    </row>
    <row r="5782">
      <c r="A5782" s="8" t="str">
        <f>IFERROR(__xludf.DUMMYFUNCTION("""COMPUTED_VALUE"""),"cosmopolitan_hk")</f>
        <v>cosmopolitan_hk</v>
      </c>
    </row>
    <row r="5783">
      <c r="A5783" s="8" t="str">
        <f>IFERROR(__xludf.DUMMYFUNCTION("""COMPUTED_VALUE"""),"cosmopolitankorea")</f>
        <v>cosmopolitankorea</v>
      </c>
    </row>
    <row r="5784">
      <c r="A5784" s="8" t="str">
        <f>IFERROR(__xludf.DUMMYFUNCTION("""COMPUTED_VALUE"""),"cosmopolitan_lv")</f>
        <v>cosmopolitan_lv</v>
      </c>
    </row>
    <row r="5785">
      <c r="A5785" s="8" t="str">
        <f>IFERROR(__xludf.DUMMYFUNCTION("""COMPUTED_VALUE"""),"cosmopolitanmx")</f>
        <v>cosmopolitanmx</v>
      </c>
    </row>
    <row r="5786">
      <c r="A5786" s="8" t="str">
        <f>IFERROR(__xludf.DUMMYFUNCTION("""COMPUTED_VALUE"""),"cosmopolitanph")</f>
        <v>cosmopolitanph</v>
      </c>
    </row>
    <row r="5787">
      <c r="A5787" s="8" t="str">
        <f>IFERROR(__xludf.DUMMYFUNCTION("""COMPUTED_VALUE"""),"cosmopolitan_tw")</f>
        <v>cosmopolitan_tw</v>
      </c>
    </row>
    <row r="5788">
      <c r="A5788" s="8" t="str">
        <f>IFERROR(__xludf.DUMMYFUNCTION("""COMPUTED_VALUE"""),"cosmopolitanuk")</f>
        <v>cosmopolitanuk</v>
      </c>
    </row>
    <row r="5789">
      <c r="A5789" s="8" t="str">
        <f>IFERROR(__xludf.DUMMYFUNCTION("""COMPUTED_VALUE"""),"cosmopolitanukraine")</f>
        <v>cosmopolitanukraine</v>
      </c>
    </row>
    <row r="5790">
      <c r="A5790" s="8" t="str">
        <f>IFERROR(__xludf.DUMMYFUNCTION("""COMPUTED_VALUE"""),"cosmopolitanvintage")</f>
        <v>cosmopolitanvintage</v>
      </c>
    </row>
    <row r="5791">
      <c r="A5791" s="8" t="str">
        <f>IFERROR(__xludf.DUMMYFUNCTION("""COMPUTED_VALUE"""),"fashion_cosmopolitan")</f>
        <v>fashion_cosmopolitan</v>
      </c>
    </row>
    <row r="5792">
      <c r="A5792" s="8" t="str">
        <f>IFERROR(__xludf.DUMMYFUNCTION("""COMPUTED_VALUE"""),"chiefs.hive")</f>
        <v>chiefs.hive</v>
      </c>
    </row>
    <row r="5793">
      <c r="A5793" s="8" t="str">
        <f>IFERROR(__xludf.DUMMYFUNCTION("""COMPUTED_VALUE"""),"coverageduo")</f>
        <v>coverageduo</v>
      </c>
    </row>
    <row r="5794">
      <c r="A5794" s="8" t="str">
        <f>IFERROR(__xludf.DUMMYFUNCTION("""COMPUTED_VALUE"""),"coverageesports")</f>
        <v>coverageesports</v>
      </c>
    </row>
    <row r="5795">
      <c r="A5795" s="8" t="str">
        <f>IFERROR(__xludf.DUMMYFUNCTION("""COMPUTED_VALUE"""),"coverage.intl")</f>
        <v>coverage.intl</v>
      </c>
    </row>
    <row r="5796">
      <c r="A5796" s="8" t="str">
        <f>IFERROR(__xludf.DUMMYFUNCTION("""COMPUTED_VALUE"""),"lifestyle_production_group")</f>
        <v>lifestyle_production_group</v>
      </c>
    </row>
    <row r="5797">
      <c r="A5797" s="8" t="str">
        <f>IFERROR(__xludf.DUMMYFUNCTION("""COMPUTED_VALUE"""),"postclimate")</f>
        <v>postclimate</v>
      </c>
    </row>
    <row r="5798">
      <c r="A5798" s="8" t="str">
        <f>IFERROR(__xludf.DUMMYFUNCTION("""COMPUTED_VALUE"""),"sondheim_daily")</f>
        <v>sondheim_daily</v>
      </c>
    </row>
    <row r="5799">
      <c r="A5799" s="8" t="str">
        <f>IFERROR(__xludf.DUMMYFUNCTION("""COMPUTED_VALUE"""),"uofm.coverage")</f>
        <v>uofm.coverage</v>
      </c>
    </row>
    <row r="5800">
      <c r="A5800" s="8" t="str">
        <f>IFERROR(__xludf.DUMMYFUNCTION("""COMPUTED_VALUE"""),"propertymart_jogja")</f>
        <v>propertymart_jogja</v>
      </c>
    </row>
    <row r="5801">
      <c r="A5801" s="8" t="str">
        <f>IFERROR(__xludf.DUMMYFUNCTION("""COMPUTED_VALUE"""),"creator")</f>
        <v>creator</v>
      </c>
    </row>
    <row r="5802">
      <c r="A5802" s="8" t="str">
        <f>IFERROR(__xludf.DUMMYFUNCTION("""COMPUTED_VALUE"""),"creators")</f>
        <v>creators</v>
      </c>
    </row>
    <row r="5803">
      <c r="A5803" s="8" t="str">
        <f>IFERROR(__xludf.DUMMYFUNCTION("""COMPUTED_VALUE"""),"feliciathegoat")</f>
        <v>feliciathegoat</v>
      </c>
    </row>
    <row r="5804">
      <c r="A5804" s="8" t="str">
        <f>IFERROR(__xludf.DUMMYFUNCTION("""COMPUTED_VALUE"""),"alyssa_therecipecritic")</f>
        <v>alyssa_therecipecritic</v>
      </c>
    </row>
    <row r="5805">
      <c r="A5805" s="8" t="str">
        <f>IFERROR(__xludf.DUMMYFUNCTION("""COMPUTED_VALUE"""),"critical_role")</f>
        <v>critical_role</v>
      </c>
    </row>
    <row r="5806">
      <c r="A5806" s="8" t="str">
        <f>IFERROR(__xludf.DUMMYFUNCTION("""COMPUTED_VALUE"""),"criticapa02")</f>
        <v>criticapa02</v>
      </c>
    </row>
    <row r="5807">
      <c r="A5807" s="8" t="str">
        <f>IFERROR(__xludf.DUMMYFUNCTION("""COMPUTED_VALUE"""),"eduroam.critic")</f>
        <v>eduroam.critic</v>
      </c>
    </row>
    <row r="5808">
      <c r="A5808" s="8" t="str">
        <f>IFERROR(__xludf.DUMMYFUNCTION("""COMPUTED_VALUE"""),"fashion_critic_")</f>
        <v>fashion_critic_</v>
      </c>
    </row>
    <row r="5809">
      <c r="A5809" s="8" t="str">
        <f>IFERROR(__xludf.DUMMYFUNCTION("""COMPUTED_VALUE"""),"gastrocriticvlc")</f>
        <v>gastrocriticvlc</v>
      </c>
    </row>
    <row r="5810">
      <c r="A5810" s="8" t="str">
        <f>IFERROR(__xludf.DUMMYFUNCTION("""COMPUTED_VALUE"""),"guillescentlover")</f>
        <v>guillescentlover</v>
      </c>
    </row>
    <row r="5811">
      <c r="A5811" s="8" t="str">
        <f>IFERROR(__xludf.DUMMYFUNCTION("""COMPUTED_VALUE"""),"lacriticalmass")</f>
        <v>lacriticalmass</v>
      </c>
    </row>
    <row r="5812">
      <c r="A5812" s="8" t="str">
        <f>IFERROR(__xludf.DUMMYFUNCTION("""COMPUTED_VALUE"""),"my.little.food.critic")</f>
        <v>my.little.food.critic</v>
      </c>
    </row>
    <row r="5813">
      <c r="A5813" s="8" t="str">
        <f>IFERROR(__xludf.DUMMYFUNCTION("""COMPUTED_VALUE"""),"notesbymike")</f>
        <v>notesbymike</v>
      </c>
    </row>
    <row r="5814">
      <c r="A5814" s="8" t="str">
        <f>IFERROR(__xludf.DUMMYFUNCTION("""COMPUTED_VALUE"""),"ocriticoqueninguempediu")</f>
        <v>ocriticoqueninguempediu</v>
      </c>
    </row>
    <row r="5815">
      <c r="A5815" s="8" t="str">
        <f>IFERROR(__xludf.DUMMYFUNCTION("""COMPUTED_VALUE"""),"sentitcritic")</f>
        <v>sentitcritic</v>
      </c>
    </row>
    <row r="5816">
      <c r="A5816" s="8" t="str">
        <f>IFERROR(__xludf.DUMMYFUNCTION("""COMPUTED_VALUE"""),"bohotrips.culture")</f>
        <v>bohotrips.culture</v>
      </c>
    </row>
    <row r="5817">
      <c r="A5817" s="8" t="str">
        <f>IFERROR(__xludf.DUMMYFUNCTION("""COMPUTED_VALUE"""),"culturetrip")</f>
        <v>culturetrip</v>
      </c>
    </row>
    <row r="5818">
      <c r="A5818" s="8" t="str">
        <f>IFERROR(__xludf.DUMMYFUNCTION("""COMPUTED_VALUE"""),"theculturetrip__")</f>
        <v>theculturetrip__</v>
      </c>
    </row>
    <row r="5819">
      <c r="A5819" s="8" t="str">
        <f>IFERROR(__xludf.DUMMYFUNCTION("""COMPUTED_VALUE"""),"thedailybeast")</f>
        <v>thedailybeast</v>
      </c>
    </row>
    <row r="5820">
      <c r="A5820" s="8" t="str">
        <f>IFERROR(__xludf.DUMMYFUNCTION("""COMPUTED_VALUE"""),"dailymail")</f>
        <v>dailymail</v>
      </c>
    </row>
    <row r="5821">
      <c r="A5821" s="8" t="str">
        <f>IFERROR(__xludf.DUMMYFUNCTION("""COMPUTED_VALUE"""),"dailymailau")</f>
        <v>dailymailau</v>
      </c>
    </row>
    <row r="5822">
      <c r="A5822" s="8" t="str">
        <f>IFERROR(__xludf.DUMMYFUNCTION("""COMPUTED_VALUE"""),"dailymailroyals")</f>
        <v>dailymailroyals</v>
      </c>
    </row>
    <row r="5823">
      <c r="A5823" s="8" t="str">
        <f>IFERROR(__xludf.DUMMYFUNCTION("""COMPUTED_VALUE"""),"dailymailsport")</f>
        <v>dailymailsport</v>
      </c>
    </row>
    <row r="5824">
      <c r="A5824" s="8" t="str">
        <f>IFERROR(__xludf.DUMMYFUNCTION("""COMPUTED_VALUE"""),"dailymailuk")</f>
        <v>dailymailuk</v>
      </c>
    </row>
    <row r="5825">
      <c r="A5825" s="8" t="str">
        <f>IFERROR(__xludf.DUMMYFUNCTION("""COMPUTED_VALUE"""),"dallasnews")</f>
        <v>dallasnews</v>
      </c>
    </row>
    <row r="5826">
      <c r="A5826" s="8" t="str">
        <f>IFERROR(__xludf.DUMMYFUNCTION("""COMPUTED_VALUE"""),"dazed")</f>
        <v>dazed</v>
      </c>
    </row>
    <row r="5827">
      <c r="A5827" s="8" t="str">
        <f>IFERROR(__xludf.DUMMYFUNCTION("""COMPUTED_VALUE"""),"daze_dayz")</f>
        <v>daze_dayz</v>
      </c>
    </row>
    <row r="5828">
      <c r="A5828" s="8" t="str">
        <f>IFERROR(__xludf.DUMMYFUNCTION("""COMPUTED_VALUE"""),"dazedbeauty")</f>
        <v>dazedbeauty</v>
      </c>
    </row>
    <row r="5829">
      <c r="A5829" s="8" t="str">
        <f>IFERROR(__xludf.DUMMYFUNCTION("""COMPUTED_VALUE"""),"dazedbutamazed")</f>
        <v>dazedbutamazed</v>
      </c>
    </row>
    <row r="5830">
      <c r="A5830" s="8" t="str">
        <f>IFERROR(__xludf.DUMMYFUNCTION("""COMPUTED_VALUE"""),"dazedcanna")</f>
        <v>dazedcanna</v>
      </c>
    </row>
    <row r="5831">
      <c r="A5831" s="8" t="str">
        <f>IFERROR(__xludf.DUMMYFUNCTION("""COMPUTED_VALUE"""),"dazeddollll")</f>
        <v>dazeddollll</v>
      </c>
    </row>
    <row r="5832">
      <c r="A5832" s="8" t="str">
        <f>IFERROR(__xludf.DUMMYFUNCTION("""COMPUTED_VALUE"""),"dazedfashion")</f>
        <v>dazedfashion</v>
      </c>
    </row>
    <row r="5833">
      <c r="A5833" s="8" t="str">
        <f>IFERROR(__xludf.DUMMYFUNCTION("""COMPUTED_VALUE"""),"dazedkorea")</f>
        <v>dazedkorea</v>
      </c>
    </row>
    <row r="5834">
      <c r="A5834" s="8" t="str">
        <f>IFERROR(__xludf.DUMMYFUNCTION("""COMPUTED_VALUE"""),"dazedmiddleeast")</f>
        <v>dazedmiddleeast</v>
      </c>
    </row>
    <row r="5835">
      <c r="A5835" s="8" t="str">
        <f>IFERROR(__xludf.DUMMYFUNCTION("""COMPUTED_VALUE"""),"dazedmuzic")</f>
        <v>dazedmuzic</v>
      </c>
    </row>
    <row r="5836">
      <c r="A5836" s="8" t="str">
        <f>IFERROR(__xludf.DUMMYFUNCTION("""COMPUTED_VALUE"""),"deadline")</f>
        <v>deadline</v>
      </c>
    </row>
    <row r="5837">
      <c r="A5837" s="8" t="str">
        <f>IFERROR(__xludf.DUMMYFUNCTION("""COMPUTED_VALUE"""),"deadline_dr")</f>
        <v>deadline_dr</v>
      </c>
    </row>
    <row r="5838">
      <c r="A5838" s="8" t="str">
        <f>IFERROR(__xludf.DUMMYFUNCTION("""COMPUTED_VALUE"""),"deadspin")</f>
        <v>deadspin</v>
      </c>
    </row>
    <row r="5839">
      <c r="A5839" s="8" t="str">
        <f>IFERROR(__xludf.DUMMYFUNCTION("""COMPUTED_VALUE"""),"alice_delish")</f>
        <v>alice_delish</v>
      </c>
    </row>
    <row r="5840">
      <c r="A5840" s="8" t="str">
        <f>IFERROR(__xludf.DUMMYFUNCTION("""COMPUTED_VALUE"""),"deelishha")</f>
        <v>deelishha</v>
      </c>
    </row>
    <row r="5841">
      <c r="A5841" s="8" t="str">
        <f>IFERROR(__xludf.DUMMYFUNCTION("""COMPUTED_VALUE"""),"delish")</f>
        <v>delish</v>
      </c>
    </row>
    <row r="5842">
      <c r="A5842" s="8" t="str">
        <f>IFERROR(__xludf.DUMMYFUNCTION("""COMPUTED_VALUE"""),"delish246")</f>
        <v>delish246</v>
      </c>
    </row>
    <row r="5843">
      <c r="A5843" s="8" t="str">
        <f>IFERROR(__xludf.DUMMYFUNCTION("""COMPUTED_VALUE"""),"deli.shawl")</f>
        <v>deli.shawl</v>
      </c>
    </row>
    <row r="5844">
      <c r="A5844" s="8" t="str">
        <f>IFERROR(__xludf.DUMMYFUNCTION("""COMPUTED_VALUE"""),"deli_shoo")</f>
        <v>deli_shoo</v>
      </c>
    </row>
    <row r="5845">
      <c r="A5845" s="8" t="str">
        <f>IFERROR(__xludf.DUMMYFUNCTION("""COMPUTED_VALUE"""),"deli__shop_")</f>
        <v>deli__shop_</v>
      </c>
    </row>
    <row r="5846">
      <c r="A5846" s="8" t="str">
        <f>IFERROR(__xludf.DUMMYFUNCTION("""COMPUTED_VALUE"""),"delishpk")</f>
        <v>delishpk</v>
      </c>
    </row>
    <row r="5847">
      <c r="A5847" s="8" t="str">
        <f>IFERROR(__xludf.DUMMYFUNCTION("""COMPUTED_VALUE"""),"everything_delish")</f>
        <v>everything_delish</v>
      </c>
    </row>
    <row r="5848">
      <c r="A5848" s="8" t="str">
        <f>IFERROR(__xludf.DUMMYFUNCTION("""COMPUTED_VALUE"""),"hassani.delish")</f>
        <v>hassani.delish</v>
      </c>
    </row>
    <row r="5849">
      <c r="A5849" s="8" t="str">
        <f>IFERROR(__xludf.DUMMYFUNCTION("""COMPUTED_VALUE"""),"soydelishus")</f>
        <v>soydelishus</v>
      </c>
    </row>
    <row r="5850">
      <c r="A5850" s="8" t="str">
        <f>IFERROR(__xludf.DUMMYFUNCTION("""COMPUTED_VALUE"""),"denofgeek")</f>
        <v>denofgeek</v>
      </c>
    </row>
    <row r="5851">
      <c r="A5851" s="8" t="str">
        <f>IFERROR(__xludf.DUMMYFUNCTION("""COMPUTED_VALUE"""),"spiegelmagazin")</f>
        <v>spiegelmagazin</v>
      </c>
    </row>
    <row r="5852">
      <c r="A5852" s="8" t="str">
        <f>IFERROR(__xludf.DUMMYFUNCTION("""COMPUTED_VALUE"""),"designboom")</f>
        <v>designboom</v>
      </c>
    </row>
    <row r="5853">
      <c r="A5853" s="8" t="str">
        <f>IFERROR(__xludf.DUMMYFUNCTION("""COMPUTED_VALUE"""),"designboom_house")</f>
        <v>designboom_house</v>
      </c>
    </row>
    <row r="5854">
      <c r="A5854" s="11" t="str">
        <f>IFERROR(__xludf.DUMMYFUNCTION("""COMPUTED_VALUE"""),"designboom.ru")</f>
        <v>designboom.ru</v>
      </c>
    </row>
    <row r="5855">
      <c r="A5855" s="8" t="str">
        <f>IFERROR(__xludf.DUMMYFUNCTION("""COMPUTED_VALUE"""),"designboom.shop")</f>
        <v>designboom.shop</v>
      </c>
    </row>
    <row r="5856">
      <c r="A5856" s="8" t="str">
        <f>IFERROR(__xludf.DUMMYFUNCTION("""COMPUTED_VALUE"""),"dezeen")</f>
        <v>dezeen</v>
      </c>
    </row>
    <row r="5857">
      <c r="A5857" s="8" t="str">
        <f>IFERROR(__xludf.DUMMYFUNCTION("""COMPUTED_VALUE"""),"dezeenawards_")</f>
        <v>dezeenawards_</v>
      </c>
    </row>
    <row r="5858">
      <c r="A5858" s="8" t="str">
        <f>IFERROR(__xludf.DUMMYFUNCTION("""COMPUTED_VALUE"""),"dezeenjobs")</f>
        <v>dezeenjobs</v>
      </c>
    </row>
    <row r="5859">
      <c r="A5859" s="8" t="str">
        <f>IFERROR(__xludf.DUMMYFUNCTION("""COMPUTED_VALUE"""),"die.zeitmillionaerin")</f>
        <v>die.zeitmillionaerin</v>
      </c>
    </row>
    <row r="5860">
      <c r="A5860" s="8" t="str">
        <f>IFERROR(__xludf.DUMMYFUNCTION("""COMPUTED_VALUE"""),"zeit")</f>
        <v>zeit</v>
      </c>
    </row>
    <row r="5861">
      <c r="A5861" s="8" t="str">
        <f>IFERROR(__xludf.DUMMYFUNCTION("""COMPUTED_VALUE"""),"digiday")</f>
        <v>digiday</v>
      </c>
    </row>
    <row r="5862">
      <c r="A5862" s="8" t="str">
        <f>IFERROR(__xludf.DUMMYFUNCTION("""COMPUTED_VALUE"""),"digitaltrends")</f>
        <v>digitaltrends</v>
      </c>
    </row>
    <row r="5863">
      <c r="A5863" s="8" t="str">
        <f>IFERROR(__xludf.DUMMYFUNCTION("""COMPUTED_VALUE"""),"digital_trends3")</f>
        <v>digital_trends3</v>
      </c>
    </row>
    <row r="5864">
      <c r="A5864" s="8" t="str">
        <f>IFERROR(__xludf.DUMMYFUNCTION("""COMPUTED_VALUE"""),"digital.trends34")</f>
        <v>digital.trends34</v>
      </c>
    </row>
    <row r="5865">
      <c r="A5865" s="8" t="str">
        <f>IFERROR(__xludf.DUMMYFUNCTION("""COMPUTED_VALUE"""),"genesispicturesng")</f>
        <v>genesispicturesng</v>
      </c>
    </row>
    <row r="5866">
      <c r="A5866" s="8" t="str">
        <f>IFERROR(__xludf.DUMMYFUNCTION("""COMPUTED_VALUE"""),"keeplooking_brands")</f>
        <v>keeplooking_brands</v>
      </c>
    </row>
    <row r="5867">
      <c r="A5867" s="8" t="str">
        <f>IFERROR(__xludf.DUMMYFUNCTION("""COMPUTED_VALUE"""),"rocnationdistribution")</f>
        <v>rocnationdistribution</v>
      </c>
    </row>
    <row r="5868">
      <c r="A5868" s="8" t="str">
        <f>IFERROR(__xludf.DUMMYFUNCTION("""COMPUTED_VALUE"""),"silverbirdfilmdistribution")</f>
        <v>silverbirdfilmdistribution</v>
      </c>
    </row>
    <row r="5869">
      <c r="A5869" s="8" t="str">
        <f>IFERROR(__xludf.DUMMYFUNCTION("""COMPUTED_VALUE"""),"beautyinbrokennessphoto")</f>
        <v>beautyinbrokennessphoto</v>
      </c>
    </row>
    <row r="5870">
      <c r="A5870" s="8" t="str">
        <f>IFERROR(__xludf.DUMMYFUNCTION("""COMPUTED_VALUE"""),"documentary9alwa")</f>
        <v>documentary9alwa</v>
      </c>
    </row>
    <row r="5871">
      <c r="A5871" s="8" t="str">
        <f>IFERROR(__xludf.DUMMYFUNCTION("""COMPUTED_VALUE"""),"documentary_club")</f>
        <v>documentary_club</v>
      </c>
    </row>
    <row r="5872">
      <c r="A5872" s="8" t="str">
        <f>IFERROR(__xludf.DUMMYFUNCTION("""COMPUTED_VALUE"""),"documentary.mag")</f>
        <v>documentary.mag</v>
      </c>
    </row>
    <row r="5873">
      <c r="A5873" s="8" t="str">
        <f>IFERROR(__xludf.DUMMYFUNCTION("""COMPUTED_VALUE"""),"documentaryplus")</f>
        <v>documentaryplus</v>
      </c>
    </row>
    <row r="5874">
      <c r="A5874" s="8" t="str">
        <f>IFERROR(__xludf.DUMMYFUNCTION("""COMPUTED_VALUE"""),"dwdocumentary")</f>
        <v>dwdocumentary</v>
      </c>
    </row>
    <row r="5875">
      <c r="A5875" s="8" t="str">
        <f>IFERROR(__xludf.DUMMYFUNCTION("""COMPUTED_VALUE"""),"elonofficiall")</f>
        <v>elonofficiall</v>
      </c>
    </row>
    <row r="5876">
      <c r="A5876" s="8" t="str">
        <f>IFERROR(__xludf.DUMMYFUNCTION("""COMPUTED_VALUE"""),"free.documentary")</f>
        <v>free.documentary</v>
      </c>
    </row>
    <row r="5877">
      <c r="A5877" s="8" t="str">
        <f>IFERROR(__xludf.DUMMYFUNCTION("""COMPUTED_VALUE"""),"thatdocumentarygirl")</f>
        <v>thatdocumentarygirl</v>
      </c>
    </row>
    <row r="5878">
      <c r="A5878" s="8" t="str">
        <f>IFERROR(__xludf.DUMMYFUNCTION("""COMPUTED_VALUE"""),"artedomus")</f>
        <v>artedomus</v>
      </c>
    </row>
    <row r="5879">
      <c r="A5879" s="8" t="str">
        <f>IFERROR(__xludf.DUMMYFUNCTION("""COMPUTED_VALUE"""),"domus")</f>
        <v>domus</v>
      </c>
    </row>
    <row r="5880">
      <c r="A5880" s="8" t="str">
        <f>IFERROR(__xludf.DUMMYFUNCTION("""COMPUTED_VALUE"""),"domus_ag")</f>
        <v>domus_ag</v>
      </c>
    </row>
    <row r="5881">
      <c r="A5881" s="8" t="str">
        <f>IFERROR(__xludf.DUMMYFUNCTION("""COMPUTED_VALUE"""),"domusok")</f>
        <v>domusok</v>
      </c>
    </row>
    <row r="5882">
      <c r="A5882" s="8" t="str">
        <f>IFERROR(__xludf.DUMMYFUNCTION("""COMPUTED_VALUE"""),"domusplayofc")</f>
        <v>domusplayofc</v>
      </c>
    </row>
    <row r="5883">
      <c r="A5883" s="8" t="str">
        <f>IFERROR(__xludf.DUMMYFUNCTION("""COMPUTED_VALUE"""),"domusvzla")</f>
        <v>domusvzla</v>
      </c>
    </row>
    <row r="5884">
      <c r="A5884" s="8" t="str">
        <f>IFERROR(__xludf.DUMMYFUNCTION("""COMPUTED_VALUE"""),"domusweb")</f>
        <v>domusweb</v>
      </c>
    </row>
    <row r="5885">
      <c r="A5885" s="8" t="str">
        <f>IFERROR(__xludf.DUMMYFUNCTION("""COMPUTED_VALUE"""),"practicdomus")</f>
        <v>practicdomus</v>
      </c>
    </row>
    <row r="5886">
      <c r="A5886" s="8" t="str">
        <f>IFERROR(__xludf.DUMMYFUNCTION("""COMPUTED_VALUE"""),"breads_eater")</f>
        <v>breads_eater</v>
      </c>
    </row>
    <row r="5887">
      <c r="A5887" s="8" t="str">
        <f>IFERROR(__xludf.DUMMYFUNCTION("""COMPUTED_VALUE"""),"eater")</f>
        <v>eater</v>
      </c>
    </row>
    <row r="5888">
      <c r="A5888" s="8" t="str">
        <f>IFERROR(__xludf.DUMMYFUNCTION("""COMPUTED_VALUE"""),"eatercarolinas")</f>
        <v>eatercarolinas</v>
      </c>
    </row>
    <row r="5889">
      <c r="A5889" s="8" t="str">
        <f>IFERROR(__xludf.DUMMYFUNCTION("""COMPUTED_VALUE"""),"eater_chicago")</f>
        <v>eater_chicago</v>
      </c>
    </row>
    <row r="5890">
      <c r="A5890" s="8" t="str">
        <f>IFERROR(__xludf.DUMMYFUNCTION("""COMPUTED_VALUE"""),"eater_dc")</f>
        <v>eater_dc</v>
      </c>
    </row>
    <row r="5891">
      <c r="A5891" s="8" t="str">
        <f>IFERROR(__xludf.DUMMYFUNCTION("""COMPUTED_VALUE"""),"eater_la")</f>
        <v>eater_la</v>
      </c>
    </row>
    <row r="5892">
      <c r="A5892" s="8" t="str">
        <f>IFERROR(__xludf.DUMMYFUNCTION("""COMPUTED_VALUE"""),"eatermiami")</f>
        <v>eatermiami</v>
      </c>
    </row>
    <row r="5893">
      <c r="A5893" s="8" t="str">
        <f>IFERROR(__xludf.DUMMYFUNCTION("""COMPUTED_VALUE"""),"eatermusic")</f>
        <v>eatermusic</v>
      </c>
    </row>
    <row r="5894">
      <c r="A5894" s="8" t="str">
        <f>IFERROR(__xludf.DUMMYFUNCTION("""COMPUTED_VALUE"""),"eater_ny")</f>
        <v>eater_ny</v>
      </c>
    </row>
    <row r="5895">
      <c r="A5895" s="8" t="str">
        <f>IFERROR(__xludf.DUMMYFUNCTION("""COMPUTED_VALUE"""),"eater_sf")</f>
        <v>eater_sf</v>
      </c>
    </row>
    <row r="5896">
      <c r="A5896" s="8" t="str">
        <f>IFERROR(__xludf.DUMMYFUNCTION("""COMPUTED_VALUE"""),"mlle_eatery")</f>
        <v>mlle_eatery</v>
      </c>
    </row>
    <row r="5897">
      <c r="A5897" s="8" t="str">
        <f>IFERROR(__xludf.DUMMYFUNCTION("""COMPUTED_VALUE"""),"pickyeater_kw")</f>
        <v>pickyeater_kw</v>
      </c>
    </row>
    <row r="5898">
      <c r="A5898" s="8" t="str">
        <f>IFERROR(__xludf.DUMMYFUNCTION("""COMPUTED_VALUE"""),"ajij_editor_5")</f>
        <v>ajij_editor_5</v>
      </c>
    </row>
    <row r="5899">
      <c r="A5899" s="8" t="str">
        <f>IFERROR(__xludf.DUMMYFUNCTION("""COMPUTED_VALUE"""),"editor.nadiia")</f>
        <v>editor.nadiia</v>
      </c>
    </row>
    <row r="5900">
      <c r="A5900" s="8" t="str">
        <f>IFERROR(__xludf.DUMMYFUNCTION("""COMPUTED_VALUE"""),"football_les10")</f>
        <v>football_les10</v>
      </c>
    </row>
    <row r="5901">
      <c r="A5901" s="8" t="str">
        <f>IFERROR(__xludf.DUMMYFUNCTION("""COMPUTED_VALUE"""),"ultimatediting")</f>
        <v>ultimatediting</v>
      </c>
    </row>
    <row r="5902">
      <c r="A5902" s="8" t="str">
        <f>IFERROR(__xludf.DUMMYFUNCTION("""COMPUTED_VALUE"""),"daniloandsharon")</f>
        <v>daniloandsharon</v>
      </c>
    </row>
    <row r="5903">
      <c r="A5903" s="8" t="str">
        <f>IFERROR(__xludf.DUMMYFUNCTION("""COMPUTED_VALUE"""),"domanieditoriale")</f>
        <v>domanieditoriale</v>
      </c>
    </row>
    <row r="5904">
      <c r="A5904" s="8" t="str">
        <f>IFERROR(__xludf.DUMMYFUNCTION("""COMPUTED_VALUE"""),"editorialist")</f>
        <v>editorialist</v>
      </c>
    </row>
    <row r="5905">
      <c r="A5905" s="8" t="str">
        <f>IFERROR(__xludf.DUMMYFUNCTION("""COMPUTED_VALUE"""),"editorialplaneta")</f>
        <v>editorialplaneta</v>
      </c>
    </row>
    <row r="5906">
      <c r="A5906" s="8" t="str">
        <f>IFERROR(__xludf.DUMMYFUNCTION("""COMPUTED_VALUE"""),"emilypradaphoto")</f>
        <v>emilypradaphoto</v>
      </c>
    </row>
    <row r="5907">
      <c r="A5907" s="8" t="str">
        <f>IFERROR(__xludf.DUMMYFUNCTION("""COMPUTED_VALUE"""),"espasaeditorial")</f>
        <v>espasaeditorial</v>
      </c>
    </row>
    <row r="5908">
      <c r="A5908" s="8" t="str">
        <f>IFERROR(__xludf.DUMMYFUNCTION("""COMPUTED_VALUE"""),"nikkibakerphotography")</f>
        <v>nikkibakerphotography</v>
      </c>
    </row>
    <row r="5909">
      <c r="A5909" s="8" t="str">
        <f>IFERROR(__xludf.DUMMYFUNCTION("""COMPUTED_VALUE"""),"theeditorialstyle")</f>
        <v>theeditorialstyle</v>
      </c>
    </row>
    <row r="5910">
      <c r="A5910" s="8" t="str">
        <f>IFERROR(__xludf.DUMMYFUNCTION("""COMPUTED_VALUE"""),"vangelisphotography")</f>
        <v>vangelisphotography</v>
      </c>
    </row>
    <row r="5911">
      <c r="A5911" s="8" t="str">
        <f>IFERROR(__xludf.DUMMYFUNCTION("""COMPUTED_VALUE"""),"eatatelle")</f>
        <v>eatatelle</v>
      </c>
    </row>
    <row r="5912">
      <c r="A5912" s="8" t="str">
        <f>IFERROR(__xludf.DUMMYFUNCTION("""COMPUTED_VALUE"""),"elle")</f>
        <v>elle</v>
      </c>
    </row>
    <row r="5913">
      <c r="A5913" s="8" t="str">
        <f>IFERROR(__xludf.DUMMYFUNCTION("""COMPUTED_VALUE"""),"elle_ferguson")</f>
        <v>elle_ferguson</v>
      </c>
    </row>
    <row r="5914">
      <c r="A5914" s="8" t="str">
        <f>IFERROR(__xludf.DUMMYFUNCTION("""COMPUTED_VALUE"""),"elle_mexico")</f>
        <v>elle_mexico</v>
      </c>
    </row>
    <row r="5915">
      <c r="A5915" s="8" t="str">
        <f>IFERROR(__xludf.DUMMYFUNCTION("""COMPUTED_VALUE"""),"elleswift")</f>
        <v>elleswift</v>
      </c>
    </row>
    <row r="5916">
      <c r="A5916" s="8" t="str">
        <f>IFERROR(__xludf.DUMMYFUNCTION("""COMPUTED_VALUE"""),"elletaiwan")</f>
        <v>elletaiwan</v>
      </c>
    </row>
    <row r="5917">
      <c r="A5917" s="8" t="str">
        <f>IFERROR(__xludf.DUMMYFUNCTION("""COMPUTED_VALUE"""),"elleusa")</f>
        <v>elleusa</v>
      </c>
    </row>
    <row r="5918">
      <c r="A5918" s="8" t="str">
        <f>IFERROR(__xludf.DUMMYFUNCTION("""COMPUTED_VALUE"""),"salonelle__")</f>
        <v>salonelle__</v>
      </c>
    </row>
    <row r="5919">
      <c r="A5919" s="8" t="str">
        <f>IFERROR(__xludf.DUMMYFUNCTION("""COMPUTED_VALUE"""),"elledecobr")</f>
        <v>elledecobr</v>
      </c>
    </row>
    <row r="5920">
      <c r="A5920" s="8" t="str">
        <f>IFERROR(__xludf.DUMMYFUNCTION("""COMPUTED_VALUE"""),"elledecomx")</f>
        <v>elledecomx</v>
      </c>
    </row>
    <row r="5921">
      <c r="A5921" s="8" t="str">
        <f>IFERROR(__xludf.DUMMYFUNCTION("""COMPUTED_VALUE"""),"elledecor")</f>
        <v>elledecor</v>
      </c>
    </row>
    <row r="5922">
      <c r="A5922" s="8" t="str">
        <f>IFERROR(__xludf.DUMMYFUNCTION("""COMPUTED_VALUE"""),"elledecoration_es")</f>
        <v>elledecoration_es</v>
      </c>
    </row>
    <row r="5923">
      <c r="A5923" s="8" t="str">
        <f>IFERROR(__xludf.DUMMYFUNCTION("""COMPUTED_VALUE"""),"elledecorationfr")</f>
        <v>elledecorationfr</v>
      </c>
    </row>
    <row r="5924">
      <c r="A5924" s="8" t="str">
        <f>IFERROR(__xludf.DUMMYFUNCTION("""COMPUTED_VALUE"""),"elledecoration_nl")</f>
        <v>elledecoration_nl</v>
      </c>
    </row>
    <row r="5925">
      <c r="A5925" s="8" t="str">
        <f>IFERROR(__xludf.DUMMYFUNCTION("""COMPUTED_VALUE"""),"elledecorationuk")</f>
        <v>elledecorationuk</v>
      </c>
    </row>
    <row r="5926">
      <c r="A5926" s="8" t="str">
        <f>IFERROR(__xludf.DUMMYFUNCTION("""COMPUTED_VALUE"""),"elledecorindia")</f>
        <v>elledecorindia</v>
      </c>
    </row>
    <row r="5927">
      <c r="A5927" s="8" t="str">
        <f>IFERROR(__xludf.DUMMYFUNCTION("""COMPUTED_VALUE"""),"elledecoritalia")</f>
        <v>elledecoritalia</v>
      </c>
    </row>
    <row r="5928">
      <c r="A5928" s="8" t="str">
        <f>IFERROR(__xludf.DUMMYFUNCTION("""COMPUTED_VALUE"""),"elledecorjapan")</f>
        <v>elledecorjapan</v>
      </c>
    </row>
    <row r="5929">
      <c r="A5929" s="11" t="str">
        <f>IFERROR(__xludf.DUMMYFUNCTION("""COMPUTED_VALUE"""),"elle.decor.kg")</f>
        <v>elle.decor.kg</v>
      </c>
    </row>
    <row r="5930">
      <c r="A5930" s="8" t="str">
        <f>IFERROR(__xludf.DUMMYFUNCTION("""COMPUTED_VALUE"""),"elledecorkorea")</f>
        <v>elledecorkorea</v>
      </c>
    </row>
    <row r="5931">
      <c r="A5931" s="8" t="str">
        <f>IFERROR(__xludf.DUMMYFUNCTION("""COMPUTED_VALUE"""),"eldiariocba")</f>
        <v>eldiariocba</v>
      </c>
    </row>
    <row r="5932">
      <c r="A5932" s="8" t="str">
        <f>IFERROR(__xludf.DUMMYFUNCTION("""COMPUTED_VALUE"""),"el_pais")</f>
        <v>el_pais</v>
      </c>
    </row>
    <row r="5933">
      <c r="A5933" s="8" t="str">
        <f>IFERROR(__xludf.DUMMYFUNCTION("""COMPUTED_VALUE"""),"elpaisamerica")</f>
        <v>elpaisamerica</v>
      </c>
    </row>
    <row r="5934">
      <c r="A5934" s="8" t="str">
        <f>IFERROR(__xludf.DUMMYFUNCTION("""COMPUTED_VALUE"""),"elpaisbrasil")</f>
        <v>elpaisbrasil</v>
      </c>
    </row>
    <row r="5935">
      <c r="A5935" s="8" t="str">
        <f>IFERROR(__xludf.DUMMYFUNCTION("""COMPUTED_VALUE"""),"elpaiscali")</f>
        <v>elpaiscali</v>
      </c>
    </row>
    <row r="5936">
      <c r="A5936" s="8" t="str">
        <f>IFERROR(__xludf.DUMMYFUNCTION("""COMPUTED_VALUE"""),"el_paischile")</f>
        <v>el_paischile</v>
      </c>
    </row>
    <row r="5937">
      <c r="A5937" s="8" t="str">
        <f>IFERROR(__xludf.DUMMYFUNCTION("""COMPUTED_VALUE"""),"elpaisdelasmaravillas.libros")</f>
        <v>elpaisdelasmaravillas.libros</v>
      </c>
    </row>
    <row r="5938">
      <c r="A5938" s="8" t="str">
        <f>IFERROR(__xludf.DUMMYFUNCTION("""COMPUTED_VALUE"""),"el_pais_denuncajamas")</f>
        <v>el_pais_denuncajamas</v>
      </c>
    </row>
    <row r="5939">
      <c r="A5939" s="8" t="str">
        <f>IFERROR(__xludf.DUMMYFUNCTION("""COMPUTED_VALUE"""),"elpais_gastro")</f>
        <v>elpais_gastro</v>
      </c>
    </row>
    <row r="5940">
      <c r="A5940" s="8" t="str">
        <f>IFERROR(__xludf.DUMMYFUNCTION("""COMPUTED_VALUE"""),"elpaislibros")</f>
        <v>elpaislibros</v>
      </c>
    </row>
    <row r="5941">
      <c r="A5941" s="8" t="str">
        <f>IFERROR(__xludf.DUMMYFUNCTION("""COMPUTED_VALUE"""),"elpaismas")</f>
        <v>elpaismas</v>
      </c>
    </row>
    <row r="5942">
      <c r="A5942" s="8" t="str">
        <f>IFERROR(__xludf.DUMMYFUNCTION("""COMPUTED_VALUE"""),"elpaismexico")</f>
        <v>elpaismexico</v>
      </c>
    </row>
    <row r="5943">
      <c r="A5943" s="8" t="str">
        <f>IFERROR(__xludf.DUMMYFUNCTION("""COMPUTED_VALUE"""),"elpais_opinion")</f>
        <v>elpais_opinion</v>
      </c>
    </row>
    <row r="5944">
      <c r="A5944" s="8" t="str">
        <f>IFERROR(__xludf.DUMMYFUNCTION("""COMPUTED_VALUE"""),"elpaissemanal")</f>
        <v>elpaissemanal</v>
      </c>
    </row>
    <row r="5945">
      <c r="A5945" s="8" t="str">
        <f>IFERROR(__xludf.DUMMYFUNCTION("""COMPUTED_VALUE"""),"el_paisus")</f>
        <v>el_paisus</v>
      </c>
    </row>
    <row r="5946">
      <c r="A5946" s="8" t="str">
        <f>IFERROR(__xludf.DUMMYFUNCTION("""COMPUTED_VALUE"""),"elpaisuy")</f>
        <v>elpaisuy</v>
      </c>
    </row>
    <row r="5947">
      <c r="A5947" s="8" t="str">
        <f>IFERROR(__xludf.DUMMYFUNCTION("""COMPUTED_VALUE"""),"paisdelasmujeres")</f>
        <v>paisdelasmujeres</v>
      </c>
    </row>
    <row r="5948">
      <c r="A5948" s="8" t="str">
        <f>IFERROR(__xludf.DUMMYFUNCTION("""COMPUTED_VALUE"""),"engadget")</f>
        <v>engadget</v>
      </c>
    </row>
    <row r="5949">
      <c r="A5949" s="8" t="str">
        <f>IFERROR(__xludf.DUMMYFUNCTION("""COMPUTED_VALUE"""),"aquamarisejewelry")</f>
        <v>aquamarisejewelry</v>
      </c>
    </row>
    <row r="5950">
      <c r="A5950" s="8" t="str">
        <f>IFERROR(__xludf.DUMMYFUNCTION("""COMPUTED_VALUE"""),"armansjewellery")</f>
        <v>armansjewellery</v>
      </c>
    </row>
    <row r="5951">
      <c r="A5951" s="8" t="str">
        <f>IFERROR(__xludf.DUMMYFUNCTION("""COMPUTED_VALUE"""),"berlingerjewelry")</f>
        <v>berlingerjewelry</v>
      </c>
    </row>
    <row r="5952">
      <c r="A5952" s="8" t="str">
        <f>IFERROR(__xludf.DUMMYFUNCTION("""COMPUTED_VALUE"""),"chupi")</f>
        <v>chupi</v>
      </c>
    </row>
    <row r="5953">
      <c r="A5953" s="8" t="str">
        <f>IFERROR(__xludf.DUMMYFUNCTION("""COMPUTED_VALUE"""),"cullenjewellery")</f>
        <v>cullenjewellery</v>
      </c>
    </row>
    <row r="5954">
      <c r="A5954" s="8" t="str">
        <f>IFERROR(__xludf.DUMMYFUNCTION("""COMPUTED_VALUE"""),"erstwhilejewelry")</f>
        <v>erstwhilejewelry</v>
      </c>
    </row>
    <row r="5955">
      <c r="A5955" s="8" t="str">
        <f>IFERROR(__xludf.DUMMYFUNCTION("""COMPUTED_VALUE"""),"flawlessfinejewellery")</f>
        <v>flawlessfinejewellery</v>
      </c>
    </row>
    <row r="5956">
      <c r="A5956" s="8" t="str">
        <f>IFERROR(__xludf.DUMMYFUNCTION("""COMPUTED_VALUE"""),"jewelgram")</f>
        <v>jewelgram</v>
      </c>
    </row>
    <row r="5957">
      <c r="A5957" s="8" t="str">
        <f>IFERROR(__xludf.DUMMYFUNCTION("""COMPUTED_VALUE"""),"londondiamondsofficial")</f>
        <v>londondiamondsofficial</v>
      </c>
    </row>
    <row r="5958">
      <c r="A5958" s="8" t="str">
        <f>IFERROR(__xludf.DUMMYFUNCTION("""COMPUTED_VALUE"""),"novita.diamonds")</f>
        <v>novita.diamonds</v>
      </c>
    </row>
    <row r="5959">
      <c r="A5959" s="8" t="str">
        <f>IFERROR(__xludf.DUMMYFUNCTION("""COMPUTED_VALUE"""),"oorejewelry")</f>
        <v>oorejewelry</v>
      </c>
    </row>
    <row r="5960">
      <c r="A5960" s="8" t="str">
        <f>IFERROR(__xludf.DUMMYFUNCTION("""COMPUTED_VALUE"""),"sarahojewelry")</f>
        <v>sarahojewelry</v>
      </c>
    </row>
    <row r="5961">
      <c r="A5961" s="8" t="str">
        <f>IFERROR(__xludf.DUMMYFUNCTION("""COMPUTED_VALUE"""),"sharpstoneng")</f>
        <v>sharpstoneng</v>
      </c>
    </row>
    <row r="5962">
      <c r="A5962" s="8" t="str">
        <f>IFERROR(__xludf.DUMMYFUNCTION("""COMPUTED_VALUE"""),"susiesaltzman")</f>
        <v>susiesaltzman</v>
      </c>
    </row>
    <row r="5963">
      <c r="A5963" s="8" t="str">
        <f>IFERROR(__xludf.DUMMYFUNCTION("""COMPUTED_VALUE"""),"taj_jewels")</f>
        <v>taj_jewels</v>
      </c>
    </row>
    <row r="5964">
      <c r="A5964" s="8" t="str">
        <f>IFERROR(__xludf.DUMMYFUNCTION("""COMPUTED_VALUE"""),"thecaratclub")</f>
        <v>thecaratclub</v>
      </c>
    </row>
    <row r="5965">
      <c r="A5965" s="8" t="str">
        <f>IFERROR(__xludf.DUMMYFUNCTION("""COMPUTED_VALUE"""),"velvet_sparkles")</f>
        <v>velvet_sparkles</v>
      </c>
    </row>
    <row r="5966">
      <c r="A5966" s="8" t="str">
        <f>IFERROR(__xludf.DUMMYFUNCTION("""COMPUTED_VALUE"""),"zavandijewelry")</f>
        <v>zavandijewelry</v>
      </c>
    </row>
    <row r="5967">
      <c r="A5967" s="8" t="str">
        <f>IFERROR(__xludf.DUMMYFUNCTION("""COMPUTED_VALUE"""),"blackbusinesscommunity_")</f>
        <v>blackbusinesscommunity_</v>
      </c>
    </row>
    <row r="5968">
      <c r="A5968" s="8" t="str">
        <f>IFERROR(__xludf.DUMMYFUNCTION("""COMPUTED_VALUE"""),"edmylett")</f>
        <v>edmylett</v>
      </c>
    </row>
    <row r="5969">
      <c r="A5969" s="8" t="str">
        <f>IFERROR(__xludf.DUMMYFUNCTION("""COMPUTED_VALUE"""),"entrepreneur")</f>
        <v>entrepreneur</v>
      </c>
    </row>
    <row r="5970">
      <c r="A5970" s="8" t="str">
        <f>IFERROR(__xludf.DUMMYFUNCTION("""COMPUTED_VALUE"""),"entrepreneurauthority")</f>
        <v>entrepreneurauthority</v>
      </c>
    </row>
    <row r="5971">
      <c r="A5971" s="8" t="str">
        <f>IFERROR(__xludf.DUMMYFUNCTION("""COMPUTED_VALUE"""),"entrepreneurbeingentrepreneur")</f>
        <v>entrepreneurbeingentrepreneur</v>
      </c>
    </row>
    <row r="5972">
      <c r="A5972" s="8" t="str">
        <f>IFERROR(__xludf.DUMMYFUNCTION("""COMPUTED_VALUE"""),"entrepreneurshipfacts")</f>
        <v>entrepreneurshipfacts</v>
      </c>
    </row>
    <row r="5973">
      <c r="A5973" s="8" t="str">
        <f>IFERROR(__xludf.DUMMYFUNCTION("""COMPUTED_VALUE"""),"entrepreneurshipquote")</f>
        <v>entrepreneurshipquote</v>
      </c>
    </row>
    <row r="5974">
      <c r="A5974" s="8" t="str">
        <f>IFERROR(__xludf.DUMMYFUNCTION("""COMPUTED_VALUE"""),"entrepreneursonig")</f>
        <v>entrepreneursonig</v>
      </c>
    </row>
    <row r="5975">
      <c r="A5975" s="8" t="str">
        <f>IFERROR(__xludf.DUMMYFUNCTION("""COMPUTED_VALUE"""),"femaleentrepreneurassociation")</f>
        <v>femaleentrepreneurassociation</v>
      </c>
    </row>
    <row r="5976">
      <c r="A5976" s="8" t="str">
        <f>IFERROR(__xludf.DUMMYFUNCTION("""COMPUTED_VALUE"""),"howtobeentrepreneur")</f>
        <v>howtobeentrepreneur</v>
      </c>
    </row>
    <row r="5977">
      <c r="A5977" s="8" t="str">
        <f>IFERROR(__xludf.DUMMYFUNCTION("""COMPUTED_VALUE"""),"marieforleo")</f>
        <v>marieforleo</v>
      </c>
    </row>
    <row r="5978">
      <c r="A5978" s="8" t="str">
        <f>IFERROR(__xludf.DUMMYFUNCTION("""COMPUTED_VALUE"""),"thebusinesshacks")</f>
        <v>thebusinesshacks</v>
      </c>
    </row>
    <row r="5979">
      <c r="A5979" s="8" t="str">
        <f>IFERROR(__xludf.DUMMYFUNCTION("""COMPUTED_VALUE"""),"epicurious")</f>
        <v>epicurious</v>
      </c>
    </row>
    <row r="5980">
      <c r="A5980" s="8" t="str">
        <f>IFERROR(__xludf.DUMMYFUNCTION("""COMPUTED_VALUE"""),"epicuriousexpeditions")</f>
        <v>epicuriousexpeditions</v>
      </c>
    </row>
    <row r="5981">
      <c r="A5981" s="8" t="str">
        <f>IFERROR(__xludf.DUMMYFUNCTION("""COMPUTED_VALUE"""),"espn")</f>
        <v>espn</v>
      </c>
    </row>
    <row r="5982">
      <c r="A5982" s="8" t="str">
        <f>IFERROR(__xludf.DUMMYFUNCTION("""COMPUTED_VALUE"""),"espnbet")</f>
        <v>espnbet</v>
      </c>
    </row>
    <row r="5983">
      <c r="A5983" s="8" t="str">
        <f>IFERROR(__xludf.DUMMYFUNCTION("""COMPUTED_VALUE"""),"espnbrasil")</f>
        <v>espnbrasil</v>
      </c>
    </row>
    <row r="5984">
      <c r="A5984" s="8" t="str">
        <f>IFERROR(__xludf.DUMMYFUNCTION("""COMPUTED_VALUE"""),"espncfb")</f>
        <v>espncfb</v>
      </c>
    </row>
    <row r="5985">
      <c r="A5985" s="8" t="str">
        <f>IFERROR(__xludf.DUMMYFUNCTION("""COMPUTED_VALUE"""),"espnf1")</f>
        <v>espnf1</v>
      </c>
    </row>
    <row r="5986">
      <c r="A5986" s="8" t="str">
        <f>IFERROR(__xludf.DUMMYFUNCTION("""COMPUTED_VALUE"""),"espnfc")</f>
        <v>espnfc</v>
      </c>
    </row>
    <row r="5987">
      <c r="A5987" s="8" t="str">
        <f>IFERROR(__xludf.DUMMYFUNCTION("""COMPUTED_VALUE"""),"espnhonolulu")</f>
        <v>espnhonolulu</v>
      </c>
    </row>
    <row r="5988">
      <c r="A5988" s="8" t="str">
        <f>IFERROR(__xludf.DUMMYFUNCTION("""COMPUTED_VALUE"""),"espnknockout")</f>
        <v>espnknockout</v>
      </c>
    </row>
    <row r="5989">
      <c r="A5989" s="8" t="str">
        <f>IFERROR(__xludf.DUMMYFUNCTION("""COMPUTED_VALUE"""),"espnmma")</f>
        <v>espnmma</v>
      </c>
    </row>
    <row r="5990">
      <c r="A5990" s="8" t="str">
        <f>IFERROR(__xludf.DUMMYFUNCTION("""COMPUTED_VALUE"""),"espnnfl")</f>
        <v>espnnfl</v>
      </c>
    </row>
    <row r="5991">
      <c r="A5991" s="8" t="str">
        <f>IFERROR(__xludf.DUMMYFUNCTION("""COMPUTED_VALUE"""),"espnringside")</f>
        <v>espnringside</v>
      </c>
    </row>
    <row r="5992">
      <c r="A5992" s="8" t="str">
        <f>IFERROR(__xludf.DUMMYFUNCTION("""COMPUTED_VALUE"""),"espnuk")</f>
        <v>espnuk</v>
      </c>
    </row>
    <row r="5993">
      <c r="A5993" s="8" t="str">
        <f>IFERROR(__xludf.DUMMYFUNCTION("""COMPUTED_VALUE"""),"espnw")</f>
        <v>espnw</v>
      </c>
    </row>
    <row r="5994">
      <c r="A5994" s="8" t="str">
        <f>IFERROR(__xludf.DUMMYFUNCTION("""COMPUTED_VALUE"""),"nbaonespn")</f>
        <v>nbaonespn</v>
      </c>
    </row>
    <row r="5995">
      <c r="A5995" s="8" t="str">
        <f>IFERROR(__xludf.DUMMYFUNCTION("""COMPUTED_VALUE"""),"esquire")</f>
        <v>esquire</v>
      </c>
    </row>
    <row r="5996">
      <c r="A5996" s="8" t="str">
        <f>IFERROR(__xludf.DUMMYFUNCTION("""COMPUTED_VALUE"""),"esquire_ceo")</f>
        <v>esquire_ceo</v>
      </c>
    </row>
    <row r="5997">
      <c r="A5997" s="8" t="str">
        <f>IFERROR(__xludf.DUMMYFUNCTION("""COMPUTED_VALUE"""),"esquirees")</f>
        <v>esquirees</v>
      </c>
    </row>
    <row r="5998">
      <c r="A5998" s="8" t="str">
        <f>IFERROR(__xludf.DUMMYFUNCTION("""COMPUTED_VALUE"""),"esquire_fashion")</f>
        <v>esquire_fashion</v>
      </c>
    </row>
    <row r="5999">
      <c r="A5999" s="8" t="str">
        <f>IFERROR(__xludf.DUMMYFUNCTION("""COMPUTED_VALUE"""),"esquiregolf")</f>
        <v>esquiregolf</v>
      </c>
    </row>
    <row r="6000">
      <c r="A6000" s="8" t="str">
        <f>IFERROR(__xludf.DUMMYFUNCTION("""COMPUTED_VALUE"""),"esquirehk")</f>
        <v>esquirehk</v>
      </c>
    </row>
    <row r="6001">
      <c r="A6001" s="8" t="str">
        <f>IFERROR(__xludf.DUMMYFUNCTION("""COMPUTED_VALUE"""),"esquireindia")</f>
        <v>esquireindia</v>
      </c>
    </row>
    <row r="6002">
      <c r="A6002" s="8" t="str">
        <f>IFERROR(__xludf.DUMMYFUNCTION("""COMPUTED_VALUE"""),"esquire.korea")</f>
        <v>esquire.korea</v>
      </c>
    </row>
    <row r="6003">
      <c r="A6003" s="8" t="str">
        <f>IFERROR(__xludf.DUMMYFUNCTION("""COMPUTED_VALUE"""),"esquirespk")</f>
        <v>esquirespk</v>
      </c>
    </row>
    <row r="6004">
      <c r="A6004" s="8" t="str">
        <f>IFERROR(__xludf.DUMMYFUNCTION("""COMPUTED_VALUE"""),"esquiretavernsa")</f>
        <v>esquiretavernsa</v>
      </c>
    </row>
    <row r="6005">
      <c r="A6005" s="8" t="str">
        <f>IFERROR(__xludf.DUMMYFUNCTION("""COMPUTED_VALUE"""),"esquirethai")</f>
        <v>esquirethai</v>
      </c>
    </row>
    <row r="6006">
      <c r="A6006" s="8" t="str">
        <f>IFERROR(__xludf.DUMMYFUNCTION("""COMPUTED_VALUE"""),"jully_brownn")</f>
        <v>jully_brownn</v>
      </c>
    </row>
    <row r="6007">
      <c r="A6007" s="8" t="str">
        <f>IFERROR(__xludf.DUMMYFUNCTION("""COMPUTED_VALUE"""),"ukesquire")</f>
        <v>ukesquire</v>
      </c>
    </row>
    <row r="6008">
      <c r="A6008" s="8" t="str">
        <f>IFERROR(__xludf.DUMMYFUNCTION("""COMPUTED_VALUE"""),"eurogamer")</f>
        <v>eurogamer</v>
      </c>
    </row>
    <row r="6009">
      <c r="A6009" s="8" t="str">
        <f>IFERROR(__xludf.DUMMYFUNCTION("""COMPUTED_VALUE"""),"eurogamer_portugal")</f>
        <v>eurogamer_portugal</v>
      </c>
    </row>
    <row r="6010">
      <c r="A6010" s="8" t="str">
        <f>IFERROR(__xludf.DUMMYFUNCTION("""COMPUTED_VALUE"""),"eurogamerspain")</f>
        <v>eurogamerspain</v>
      </c>
    </row>
    <row r="6011">
      <c r="A6011" s="8" t="str">
        <f>IFERROR(__xludf.DUMMYFUNCTION("""COMPUTED_VALUE"""),"euronews_albania")</f>
        <v>euronews_albania</v>
      </c>
    </row>
    <row r="6012">
      <c r="A6012" s="8" t="str">
        <f>IFERROR(__xludf.DUMMYFUNCTION("""COMPUTED_VALUE"""),"euronews_arabic")</f>
        <v>euronews_arabic</v>
      </c>
    </row>
    <row r="6013">
      <c r="A6013" s="8" t="str">
        <f>IFERROR(__xludf.DUMMYFUNCTION("""COMPUTED_VALUE"""),"euronews_deutsch")</f>
        <v>euronews_deutsch</v>
      </c>
    </row>
    <row r="6014">
      <c r="A6014" s="8" t="str">
        <f>IFERROR(__xludf.DUMMYFUNCTION("""COMPUTED_VALUE"""),"euronewses")</f>
        <v>euronewses</v>
      </c>
    </row>
    <row r="6015">
      <c r="A6015" s="8" t="str">
        <f>IFERROR(__xludf.DUMMYFUNCTION("""COMPUTED_VALUE"""),"euronews_french")</f>
        <v>euronews_french</v>
      </c>
    </row>
    <row r="6016">
      <c r="A6016" s="8" t="str">
        <f>IFERROR(__xludf.DUMMYFUNCTION("""COMPUTED_VALUE"""),"euronewsgeorgia")</f>
        <v>euronewsgeorgia</v>
      </c>
    </row>
    <row r="6017">
      <c r="A6017" s="8" t="str">
        <f>IFERROR(__xludf.DUMMYFUNCTION("""COMPUTED_VALUE"""),"euronews_persian")</f>
        <v>euronews_persian</v>
      </c>
    </row>
    <row r="6018">
      <c r="A6018" s="8" t="str">
        <f>IFERROR(__xludf.DUMMYFUNCTION("""COMPUTED_VALUE"""),"euronews_russian")</f>
        <v>euronews_russian</v>
      </c>
    </row>
    <row r="6019">
      <c r="A6019" s="8" t="str">
        <f>IFERROR(__xludf.DUMMYFUNCTION("""COMPUTED_VALUE"""),"euronews_tr")</f>
        <v>euronews_tr</v>
      </c>
    </row>
    <row r="6020">
      <c r="A6020" s="11" t="str">
        <f>IFERROR(__xludf.DUMMYFUNCTION("""COMPUTED_VALUE"""),"euronews.tv")</f>
        <v>euronews.tv</v>
      </c>
    </row>
    <row r="6021">
      <c r="A6021" s="8" t="str">
        <f>IFERROR(__xludf.DUMMYFUNCTION("""COMPUTED_VALUE"""),"exclusive")</f>
        <v>exclusive</v>
      </c>
    </row>
    <row r="6022">
      <c r="A6022" s="8" t="str">
        <f>IFERROR(__xludf.DUMMYFUNCTION("""COMPUTED_VALUE"""),"exclusivegame")</f>
        <v>exclusivegame</v>
      </c>
    </row>
    <row r="6023">
      <c r="A6023" s="8" t="str">
        <f>IFERROR(__xludf.DUMMYFUNCTION("""COMPUTED_VALUE"""),"exclusive_kee")</f>
        <v>exclusive_kee</v>
      </c>
    </row>
    <row r="6024">
      <c r="A6024" s="8" t="str">
        <f>IFERROR(__xludf.DUMMYFUNCTION("""COMPUTED_VALUE"""),"goddess_exclusive")</f>
        <v>goddess_exclusive</v>
      </c>
    </row>
    <row r="6025">
      <c r="A6025" s="8" t="str">
        <f>IFERROR(__xludf.DUMMYFUNCTION("""COMPUTED_VALUE"""),"mrexclusive")</f>
        <v>mrexclusive</v>
      </c>
    </row>
    <row r="6026">
      <c r="A6026" s="8" t="str">
        <f>IFERROR(__xludf.DUMMYFUNCTION("""COMPUTED_VALUE"""),"mr_exclusive_")</f>
        <v>mr_exclusive_</v>
      </c>
    </row>
    <row r="6027">
      <c r="A6027" s="8" t="str">
        <f>IFERROR(__xludf.DUMMYFUNCTION("""COMPUTED_VALUE"""),"why.exclusive")</f>
        <v>why.exclusive</v>
      </c>
    </row>
    <row r="6028">
      <c r="A6028" s="8" t="str">
        <f>IFERROR(__xludf.DUMMYFUNCTION("""COMPUTED_VALUE"""),"fact.___.check")</f>
        <v>fact.___.check</v>
      </c>
    </row>
    <row r="6029">
      <c r="A6029" s="8" t="str">
        <f>IFERROR(__xludf.DUMMYFUNCTION("""COMPUTED_VALUE"""),"factcheckapgov")</f>
        <v>factcheckapgov</v>
      </c>
    </row>
    <row r="6030">
      <c r="A6030" s="8" t="str">
        <f>IFERROR(__xludf.DUMMYFUNCTION("""COMPUTED_VALUE"""),"factcheckorg")</f>
        <v>factcheckorg</v>
      </c>
    </row>
    <row r="6031">
      <c r="A6031" s="8" t="str">
        <f>IFERROR(__xludf.DUMMYFUNCTION("""COMPUTED_VALUE"""),"ukfactcheckpolitics")</f>
        <v>ukfactcheckpolitics</v>
      </c>
    </row>
    <row r="6032">
      <c r="A6032" s="8" t="str">
        <f>IFERROR(__xludf.DUMMYFUNCTION("""COMPUTED_VALUE"""),"2000sfashionista")</f>
        <v>2000sfashionista</v>
      </c>
    </row>
    <row r="6033">
      <c r="A6033" s="8" t="str">
        <f>IFERROR(__xludf.DUMMYFUNCTION("""COMPUTED_VALUE"""),"fashionista_claudia")</f>
        <v>fashionista_claudia</v>
      </c>
    </row>
    <row r="6034">
      <c r="A6034" s="8" t="str">
        <f>IFERROR(__xludf.DUMMYFUNCTION("""COMPUTED_VALUE"""),"fashionista_com")</f>
        <v>fashionista_com</v>
      </c>
    </row>
    <row r="6035">
      <c r="A6035" s="8" t="str">
        <f>IFERROR(__xludf.DUMMYFUNCTION("""COMPUTED_VALUE"""),"fashionista.couture")</f>
        <v>fashionista.couture</v>
      </c>
    </row>
    <row r="6036">
      <c r="A6036" s="8" t="str">
        <f>IFERROR(__xludf.DUMMYFUNCTION("""COMPUTED_VALUE"""),"fashionistairaq")</f>
        <v>fashionistairaq</v>
      </c>
    </row>
    <row r="6037">
      <c r="A6037" s="8" t="str">
        <f>IFERROR(__xludf.DUMMYFUNCTION("""COMPUTED_VALUE"""),"fashionista_ladies")</f>
        <v>fashionista_ladies</v>
      </c>
    </row>
    <row r="6038">
      <c r="A6038" s="11" t="str">
        <f>IFERROR(__xludf.DUMMYFUNCTION("""COMPUTED_VALUE"""),"fashionist.ar")</f>
        <v>fashionist.ar</v>
      </c>
    </row>
    <row r="6039">
      <c r="A6039" s="8" t="str">
        <f>IFERROR(__xludf.DUMMYFUNCTION("""COMPUTED_VALUE"""),"fashionista__ua")</f>
        <v>fashionista__ua</v>
      </c>
    </row>
    <row r="6040">
      <c r="A6040" s="8" t="str">
        <f>IFERROR(__xludf.DUMMYFUNCTION("""COMPUTED_VALUE"""),"hfashionista")</f>
        <v>hfashionista</v>
      </c>
    </row>
    <row r="6041">
      <c r="A6041" s="8" t="str">
        <f>IFERROR(__xludf.DUMMYFUNCTION("""COMPUTED_VALUE"""),"fastcompany")</f>
        <v>fastcompany</v>
      </c>
    </row>
    <row r="6042">
      <c r="A6042" s="8" t="str">
        <f>IFERROR(__xludf.DUMMYFUNCTION("""COMPUTED_VALUE"""),"fastcompanybrasil")</f>
        <v>fastcompanybrasil</v>
      </c>
    </row>
    <row r="6043">
      <c r="A6043" s="8" t="str">
        <f>IFERROR(__xludf.DUMMYFUNCTION("""COMPUTED_VALUE"""),"fastcompanyturkey")</f>
        <v>fastcompanyturkey</v>
      </c>
    </row>
    <row r="6044">
      <c r="A6044" s="8" t="str">
        <f>IFERROR(__xludf.DUMMYFUNCTION("""COMPUTED_VALUE"""),"4x4.straya")</f>
        <v>4x4.straya</v>
      </c>
    </row>
    <row r="6045">
      <c r="A6045" s="8" t="str">
        <f>IFERROR(__xludf.DUMMYFUNCTION("""COMPUTED_VALUE"""),"archi_features")</f>
        <v>archi_features</v>
      </c>
    </row>
    <row r="6046">
      <c r="A6046" s="8" t="str">
        <f>IFERROR(__xludf.DUMMYFUNCTION("""COMPUTED_VALUE"""),"bns_sunset")</f>
        <v>bns_sunset</v>
      </c>
    </row>
    <row r="6047">
      <c r="A6047" s="8" t="str">
        <f>IFERROR(__xludf.DUMMYFUNCTION("""COMPUTED_VALUE"""),"dark_feather_touch")</f>
        <v>dark_feather_touch</v>
      </c>
    </row>
    <row r="6048">
      <c r="A6048" s="8" t="str">
        <f>IFERROR(__xludf.DUMMYFUNCTION("""COMPUTED_VALUE"""),"feature")</f>
        <v>feature</v>
      </c>
    </row>
    <row r="6049">
      <c r="A6049" s="8" t="str">
        <f>IFERROR(__xludf.DUMMYFUNCTION("""COMPUTED_VALUE"""),"__featured4x4s")</f>
        <v>__featured4x4s</v>
      </c>
    </row>
    <row r="6050">
      <c r="A6050" s="8" t="str">
        <f>IFERROR(__xludf.DUMMYFUNCTION("""COMPUTED_VALUE"""),"featurehighlight")</f>
        <v>featurehighlight</v>
      </c>
    </row>
    <row r="6051">
      <c r="A6051" s="8" t="str">
        <f>IFERROR(__xludf.DUMMYFUNCTION("""COMPUTED_VALUE"""),"featureshoot")</f>
        <v>featureshoot</v>
      </c>
    </row>
    <row r="6052">
      <c r="A6052" s="8" t="str">
        <f>IFERROR(__xludf.DUMMYFUNCTION("""COMPUTED_VALUE"""),"focusfeatures")</f>
        <v>focusfeatures</v>
      </c>
    </row>
    <row r="6053">
      <c r="A6053" s="8" t="str">
        <f>IFERROR(__xludf.DUMMYFUNCTION("""COMPUTED_VALUE"""),"fresh_workouts_foods")</f>
        <v>fresh_workouts_foods</v>
      </c>
    </row>
    <row r="6054">
      <c r="A6054" s="8" t="str">
        <f>IFERROR(__xludf.DUMMYFUNCTION("""COMPUTED_VALUE"""),"hk_feature")</f>
        <v>hk_feature</v>
      </c>
    </row>
    <row r="6055">
      <c r="A6055" s="8" t="str">
        <f>IFERROR(__xludf.DUMMYFUNCTION("""COMPUTED_VALUE"""),"internationalfeature")</f>
        <v>internationalfeature</v>
      </c>
    </row>
    <row r="6056">
      <c r="A6056" s="8" t="str">
        <f>IFERROR(__xludf.DUMMYFUNCTION("""COMPUTED_VALUE"""),"filmcommentmagazine")</f>
        <v>filmcommentmagazine</v>
      </c>
    </row>
    <row r="6057">
      <c r="A6057" s="8" t="str">
        <f>IFERROR(__xludf.DUMMYFUNCTION("""COMPUTED_VALUE"""),"productiondefilm")</f>
        <v>productiondefilm</v>
      </c>
    </row>
    <row r="6058">
      <c r="A6058" s="8" t="str">
        <f>IFERROR(__xludf.DUMMYFUNCTION("""COMPUTED_VALUE"""),"financialtimes")</f>
        <v>financialtimes</v>
      </c>
    </row>
    <row r="6059">
      <c r="A6059" s="8" t="str">
        <f>IFERROR(__xludf.DUMMYFUNCTION("""COMPUTED_VALUE"""),"financialtimesfashion")</f>
        <v>financialtimesfashion</v>
      </c>
    </row>
    <row r="6060">
      <c r="A6060" s="8" t="str">
        <f>IFERROR(__xludf.DUMMYFUNCTION("""COMPUTED_VALUE"""),"financialtimeslive")</f>
        <v>financialtimeslive</v>
      </c>
    </row>
    <row r="6061">
      <c r="A6061" s="8" t="str">
        <f>IFERROR(__xludf.DUMMYFUNCTION("""COMPUTED_VALUE"""),"ft_houseandhome")</f>
        <v>ft_houseandhome</v>
      </c>
    </row>
    <row r="6062">
      <c r="A6062" s="8" t="str">
        <f>IFERROR(__xludf.DUMMYFUNCTION("""COMPUTED_VALUE"""),"foodnetwork")</f>
        <v>foodnetwork</v>
      </c>
    </row>
    <row r="6063">
      <c r="A6063" s="8" t="str">
        <f>IFERROR(__xludf.DUMMYFUNCTION("""COMPUTED_VALUE"""),"foodnetworkasia")</f>
        <v>foodnetworkasia</v>
      </c>
    </row>
    <row r="6064">
      <c r="A6064" s="8" t="str">
        <f>IFERROR(__xludf.DUMMYFUNCTION("""COMPUTED_VALUE"""),"foodnetworkbr")</f>
        <v>foodnetworkbr</v>
      </c>
    </row>
    <row r="6065">
      <c r="A6065" s="8" t="str">
        <f>IFERROR(__xludf.DUMMYFUNCTION("""COMPUTED_VALUE"""),"foodnetworkitalia")</f>
        <v>foodnetworkitalia</v>
      </c>
    </row>
    <row r="6066">
      <c r="A6066" s="8" t="str">
        <f>IFERROR(__xludf.DUMMYFUNCTION("""COMPUTED_VALUE"""),"foodnetworkkitchen")</f>
        <v>foodnetworkkitchen</v>
      </c>
    </row>
    <row r="6067">
      <c r="A6067" s="8" t="str">
        <f>IFERROR(__xludf.DUMMYFUNCTION("""COMPUTED_VALUE"""),"foodnetworkla")</f>
        <v>foodnetworkla</v>
      </c>
    </row>
    <row r="6068">
      <c r="A6068" s="8" t="str">
        <f>IFERROR(__xludf.DUMMYFUNCTION("""COMPUTED_VALUE"""),"foodnetworkmag")</f>
        <v>foodnetworkmag</v>
      </c>
    </row>
    <row r="6069">
      <c r="A6069" s="8" t="str">
        <f>IFERROR(__xludf.DUMMYFUNCTION("""COMPUTED_VALUE"""),"foodnetworkng")</f>
        <v>foodnetworkng</v>
      </c>
    </row>
    <row r="6070">
      <c r="A6070" s="8" t="str">
        <f>IFERROR(__xludf.DUMMYFUNCTION("""COMPUTED_VALUE"""),"foodnetworkuk")</f>
        <v>foodnetworkuk</v>
      </c>
    </row>
    <row r="6071">
      <c r="A6071" s="8" t="str">
        <f>IFERROR(__xludf.DUMMYFUNCTION("""COMPUTED_VALUE"""),"foodrevolutionnetwork")</f>
        <v>foodrevolutionnetwork</v>
      </c>
    </row>
    <row r="6072">
      <c r="A6072" s="8" t="str">
        <f>IFERROR(__xludf.DUMMYFUNCTION("""COMPUTED_VALUE"""),"final.footage")</f>
        <v>final.footage</v>
      </c>
    </row>
    <row r="6073">
      <c r="A6073" s="8" t="str">
        <f>IFERROR(__xludf.DUMMYFUNCTION("""COMPUTED_VALUE"""),"footagedrama")</f>
        <v>footagedrama</v>
      </c>
    </row>
    <row r="6074">
      <c r="A6074" s="8" t="str">
        <f>IFERROR(__xludf.DUMMYFUNCTION("""COMPUTED_VALUE"""),"footagefilmsstudios")</f>
        <v>footagefilmsstudios</v>
      </c>
    </row>
    <row r="6075">
      <c r="A6075" s="8" t="str">
        <f>IFERROR(__xludf.DUMMYFUNCTION("""COMPUTED_VALUE"""),"footagegang248")</f>
        <v>footagegang248</v>
      </c>
    </row>
    <row r="6076">
      <c r="A6076" s="8" t="str">
        <f>IFERROR(__xludf.DUMMYFUNCTION("""COMPUTED_VALUE"""),"footage_se")</f>
        <v>footage_se</v>
      </c>
    </row>
    <row r="6077">
      <c r="A6077" s="8" t="str">
        <f>IFERROR(__xludf.DUMMYFUNCTION("""COMPUTED_VALUE"""),"securityvidz")</f>
        <v>securityvidz</v>
      </c>
    </row>
    <row r="6078">
      <c r="A6078" s="8" t="str">
        <f>IFERROR(__xludf.DUMMYFUNCTION("""COMPUTED_VALUE"""),"forbes")</f>
        <v>forbes</v>
      </c>
    </row>
    <row r="6079">
      <c r="A6079" s="8" t="str">
        <f>IFERROR(__xludf.DUMMYFUNCTION("""COMPUTED_VALUE"""),"forbes_at")</f>
        <v>forbes_at</v>
      </c>
    </row>
    <row r="6080">
      <c r="A6080" s="8" t="str">
        <f>IFERROR(__xludf.DUMMYFUNCTION("""COMPUTED_VALUE"""),"forbesbr")</f>
        <v>forbesbr</v>
      </c>
    </row>
    <row r="6081">
      <c r="A6081" s="8" t="str">
        <f>IFERROR(__xludf.DUMMYFUNCTION("""COMPUTED_VALUE"""),"forbesfrance")</f>
        <v>forbesfrance</v>
      </c>
    </row>
    <row r="6082">
      <c r="A6082" s="8" t="str">
        <f>IFERROR(__xludf.DUMMYFUNCTION("""COMPUTED_VALUE"""),"forbes_kz")</f>
        <v>forbes_kz</v>
      </c>
    </row>
    <row r="6083">
      <c r="A6083" s="8" t="str">
        <f>IFERROR(__xludf.DUMMYFUNCTION("""COMPUTED_VALUE"""),"forbesliferussia")</f>
        <v>forbesliferussia</v>
      </c>
    </row>
    <row r="6084">
      <c r="A6084" s="8" t="str">
        <f>IFERROR(__xludf.DUMMYFUNCTION("""COMPUTED_VALUE"""),"forbespt")</f>
        <v>forbespt</v>
      </c>
    </row>
    <row r="6085">
      <c r="A6085" s="8" t="str">
        <f>IFERROR(__xludf.DUMMYFUNCTION("""COMPUTED_VALUE"""),"forbes.russia")</f>
        <v>forbes.russia</v>
      </c>
    </row>
    <row r="6086">
      <c r="A6086" s="8" t="str">
        <f>IFERROR(__xludf.DUMMYFUNCTION("""COMPUTED_VALUE"""),"forbes.woman.russia")</f>
        <v>forbes.woman.russia</v>
      </c>
    </row>
    <row r="6087">
      <c r="A6087" s="8" t="str">
        <f>IFERROR(__xludf.DUMMYFUNCTION("""COMPUTED_VALUE"""),"forbeswomen")</f>
        <v>forbeswomen</v>
      </c>
    </row>
    <row r="6088">
      <c r="A6088" s="8" t="str">
        <f>IFERROR(__xludf.DUMMYFUNCTION("""COMPUTED_VALUE"""),"katieforbes4real")</f>
        <v>katieforbes4real</v>
      </c>
    </row>
    <row r="6089">
      <c r="A6089" s="8" t="str">
        <f>IFERROR(__xludf.DUMMYFUNCTION("""COMPUTED_VALUE"""),"sorrell.forbes")</f>
        <v>sorrell.forbes</v>
      </c>
    </row>
    <row r="6090">
      <c r="A6090" s="8" t="str">
        <f>IFERROR(__xludf.DUMMYFUNCTION("""COMPUTED_VALUE"""),"foreignaffairsmag")</f>
        <v>foreignaffairsmag</v>
      </c>
    </row>
    <row r="6091">
      <c r="A6091" s="8" t="str">
        <f>IFERROR(__xludf.DUMMYFUNCTION("""COMPUTED_VALUE"""),"foreignaffairsmiami")</f>
        <v>foreignaffairsmiami</v>
      </c>
    </row>
    <row r="6092">
      <c r="A6092" s="8" t="str">
        <f>IFERROR(__xludf.DUMMYFUNCTION("""COMPUTED_VALUE"""),"rwandamfa")</f>
        <v>rwandamfa</v>
      </c>
    </row>
    <row r="6093">
      <c r="A6093" s="8" t="str">
        <f>IFERROR(__xludf.DUMMYFUNCTION("""COMPUTED_VALUE"""),"foreignpolicydesign")</f>
        <v>foreignpolicydesign</v>
      </c>
    </row>
    <row r="6094">
      <c r="A6094" s="8" t="str">
        <f>IFERROR(__xludf.DUMMYFUNCTION("""COMPUTED_VALUE"""),"foreignpolicymag")</f>
        <v>foreignpolicymag</v>
      </c>
    </row>
    <row r="6095">
      <c r="A6095" s="8" t="str">
        <f>IFERROR(__xludf.DUMMYFUNCTION("""COMPUTED_VALUE"""),"fpcindo")</f>
        <v>fpcindo</v>
      </c>
    </row>
    <row r="6096">
      <c r="A6096" s="8" t="str">
        <f>IFERROR(__xludf.DUMMYFUNCTION("""COMPUTED_VALUE"""),"bizfortunes")</f>
        <v>bizfortunes</v>
      </c>
    </row>
    <row r="6097">
      <c r="A6097" s="8" t="str">
        <f>IFERROR(__xludf.DUMMYFUNCTION("""COMPUTED_VALUE"""),"bplfortunebarishal")</f>
        <v>bplfortunebarishal</v>
      </c>
    </row>
    <row r="6098">
      <c r="A6098" s="8" t="str">
        <f>IFERROR(__xludf.DUMMYFUNCTION("""COMPUTED_VALUE"""),"fortune")</f>
        <v>fortune</v>
      </c>
    </row>
    <row r="6099">
      <c r="A6099" s="8" t="str">
        <f>IFERROR(__xludf.DUMMYFUNCTION("""COMPUTED_VALUE"""),"fortuneflipss")</f>
        <v>fortuneflipss</v>
      </c>
    </row>
    <row r="6100">
      <c r="A6100" s="8" t="str">
        <f>IFERROR(__xludf.DUMMYFUNCTION("""COMPUTED_VALUE"""),"fortune.foods")</f>
        <v>fortune.foods</v>
      </c>
    </row>
    <row r="6101">
      <c r="A6101" s="8" t="str">
        <f>IFERROR(__xludf.DUMMYFUNCTION("""COMPUTED_VALUE"""),"fortuneinsight")</f>
        <v>fortuneinsight</v>
      </c>
    </row>
    <row r="6102">
      <c r="A6102" s="8" t="str">
        <f>IFERROR(__xludf.DUMMYFUNCTION("""COMPUTED_VALUE"""),"fortunemag")</f>
        <v>fortunemag</v>
      </c>
    </row>
    <row r="6103">
      <c r="A6103" s="8" t="str">
        <f>IFERROR(__xludf.DUMMYFUNCTION("""COMPUTED_VALUE"""),"astronomyforum")</f>
        <v>astronomyforum</v>
      </c>
    </row>
    <row r="6104">
      <c r="A6104" s="8" t="str">
        <f>IFERROR(__xludf.DUMMYFUNCTION("""COMPUTED_VALUE"""),"eafcmobileforum")</f>
        <v>eafcmobileforum</v>
      </c>
    </row>
    <row r="6105">
      <c r="A6105" s="8" t="str">
        <f>IFERROR(__xludf.DUMMYFUNCTION("""COMPUTED_VALUE"""),"forumchaves")</f>
        <v>forumchaves</v>
      </c>
    </row>
    <row r="6106">
      <c r="A6106" s="8" t="str">
        <f>IFERROR(__xludf.DUMMYFUNCTION("""COMPUTED_VALUE"""),"forumoficial")</f>
        <v>forumoficial</v>
      </c>
    </row>
    <row r="6107">
      <c r="A6107" s="8" t="str">
        <f>IFERROR(__xludf.DUMMYFUNCTION("""COMPUTED_VALUE"""),"forumsocialhouse")</f>
        <v>forumsocialhouse</v>
      </c>
    </row>
    <row r="6108">
      <c r="A6108" s="8" t="str">
        <f>IFERROR(__xludf.DUMMYFUNCTION("""COMPUTED_VALUE"""),"pakistan.art.forum")</f>
        <v>pakistan.art.forum</v>
      </c>
    </row>
    <row r="6109">
      <c r="A6109" s="8" t="str">
        <f>IFERROR(__xludf.DUMMYFUNCTION("""COMPUTED_VALUE"""),"projectconnectforum")</f>
        <v>projectconnectforum</v>
      </c>
    </row>
    <row r="6110">
      <c r="A6110" s="8" t="str">
        <f>IFERROR(__xludf.DUMMYFUNCTION("""COMPUTED_VALUE"""),"the_forum_magazine")</f>
        <v>the_forum_magazine</v>
      </c>
    </row>
    <row r="6111">
      <c r="A6111" s="8" t="str">
        <f>IFERROR(__xludf.DUMMYFUNCTION("""COMPUTED_VALUE"""),"thekiaforum")</f>
        <v>thekiaforum</v>
      </c>
    </row>
    <row r="6112">
      <c r="A6112" s="8" t="str">
        <f>IFERROR(__xludf.DUMMYFUNCTION("""COMPUTED_VALUE"""),"vonduclo")</f>
        <v>vonduclo</v>
      </c>
    </row>
    <row r="6113">
      <c r="A6113" s="8" t="str">
        <f>IFERROR(__xludf.DUMMYFUNCTION("""COMPUTED_VALUE"""),"worldeconomicforum")</f>
        <v>worldeconomicforum</v>
      </c>
    </row>
    <row r="6114">
      <c r="A6114" s="8" t="str">
        <f>IFERROR(__xludf.DUMMYFUNCTION("""COMPUTED_VALUE"""),"foxnews")</f>
        <v>foxnews</v>
      </c>
    </row>
    <row r="6115">
      <c r="A6115" s="8" t="str">
        <f>IFERROR(__xludf.DUMMYFUNCTION("""COMPUTED_VALUE"""),"foxnews411")</f>
        <v>foxnews411</v>
      </c>
    </row>
    <row r="6116">
      <c r="A6116" s="8" t="str">
        <f>IFERROR(__xludf.DUMMYFUNCTION("""COMPUTED_VALUE"""),"foxnewsnight")</f>
        <v>foxnewsnight</v>
      </c>
    </row>
    <row r="6117">
      <c r="A6117" s="8" t="str">
        <f>IFERROR(__xludf.DUMMYFUNCTION("""COMPUTED_VALUE"""),"foxnewsradio")</f>
        <v>foxnewsradio</v>
      </c>
    </row>
    <row r="6118">
      <c r="A6118" s="11" t="str">
        <f>IFERROR(__xludf.DUMMYFUNCTION("""COMPUTED_VALUE"""),"foxnewstoday.us")</f>
        <v>foxnewstoday.us</v>
      </c>
    </row>
    <row r="6119">
      <c r="A6119" s="8" t="str">
        <f>IFERROR(__xludf.DUMMYFUNCTION("""COMPUTED_VALUE"""),"usatoday_foxnews_truck_driver")</f>
        <v>usatoday_foxnews_truck_driver</v>
      </c>
    </row>
    <row r="6120">
      <c r="A6120" s="8" t="str">
        <f>IFERROR(__xludf.DUMMYFUNCTION("""COMPUTED_VALUE"""),"france24")</f>
        <v>france24</v>
      </c>
    </row>
    <row r="6121">
      <c r="A6121" s="8" t="str">
        <f>IFERROR(__xludf.DUMMYFUNCTION("""COMPUTED_VALUE"""),"france24_ar")</f>
        <v>france24_ar</v>
      </c>
    </row>
    <row r="6122">
      <c r="A6122" s="8" t="str">
        <f>IFERROR(__xludf.DUMMYFUNCTION("""COMPUTED_VALUE"""),"france24_en")</f>
        <v>france24_en</v>
      </c>
    </row>
    <row r="6123">
      <c r="A6123" s="8" t="str">
        <f>IFERROR(__xludf.DUMMYFUNCTION("""COMPUTED_VALUE"""),"france24_es")</f>
        <v>france24_es</v>
      </c>
    </row>
    <row r="6124">
      <c r="A6124" s="8" t="str">
        <f>IFERROR(__xludf.DUMMYFUNCTION("""COMPUTED_VALUE"""),"faz")</f>
        <v>faz</v>
      </c>
    </row>
    <row r="6125">
      <c r="A6125" s="8" t="str">
        <f>IFERROR(__xludf.DUMMYFUNCTION("""COMPUTED_VALUE"""),"fazmagazin")</f>
        <v>fazmagazin</v>
      </c>
    </row>
    <row r="6126">
      <c r="A6126" s="8" t="str">
        <f>IFERROR(__xludf.DUMMYFUNCTION("""COMPUTED_VALUE"""),"freelancerstv")</f>
        <v>freelancerstv</v>
      </c>
    </row>
    <row r="6127">
      <c r="A6127" s="8" t="str">
        <f>IFERROR(__xludf.DUMMYFUNCTION("""COMPUTED_VALUE"""),"freelancersu")</f>
        <v>freelancersu</v>
      </c>
    </row>
    <row r="6128">
      <c r="A6128" s="8" t="str">
        <f>IFERROR(__xludf.DUMMYFUNCTION("""COMPUTED_VALUE"""),"go.freelancer")</f>
        <v>go.freelancer</v>
      </c>
    </row>
    <row r="6129">
      <c r="A6129" s="8" t="str">
        <f>IFERROR(__xludf.DUMMYFUNCTION("""COMPUTED_VALUE"""),"j876my")</f>
        <v>j876my</v>
      </c>
    </row>
    <row r="6130">
      <c r="A6130" s="8" t="str">
        <f>IFERROR(__xludf.DUMMYFUNCTION("""COMPUTED_VALUE"""),"thelucyvincent")</f>
        <v>thelucyvincent</v>
      </c>
    </row>
    <row r="6131">
      <c r="A6131" s="8" t="str">
        <f>IFERROR(__xludf.DUMMYFUNCTION("""COMPUTED_VALUE"""),"gameinformermagazine")</f>
        <v>gameinformermagazine</v>
      </c>
    </row>
    <row r="6132">
      <c r="A6132" s="8" t="str">
        <f>IFERROR(__xludf.DUMMYFUNCTION("""COMPUTED_VALUE"""),"gamespot")</f>
        <v>gamespot</v>
      </c>
    </row>
    <row r="6133">
      <c r="A6133" s="8" t="str">
        <f>IFERROR(__xludf.DUMMYFUNCTION("""COMPUTED_VALUE"""),"gamespotdr")</f>
        <v>gamespotdr</v>
      </c>
    </row>
    <row r="6134">
      <c r="A6134" s="8" t="str">
        <f>IFERROR(__xludf.DUMMYFUNCTION("""COMPUTED_VALUE"""),"gamespot.rasht")</f>
        <v>gamespot.rasht</v>
      </c>
    </row>
    <row r="6135">
      <c r="A6135" s="8" t="str">
        <f>IFERROR(__xludf.DUMMYFUNCTION("""COMPUTED_VALUE"""),"glamour")</f>
        <v>glamour</v>
      </c>
    </row>
    <row r="6136">
      <c r="A6136" s="8" t="str">
        <f>IFERROR(__xludf.DUMMYFUNCTION("""COMPUTED_VALUE"""),"gl.a.mour")</f>
        <v>gl.a.mour</v>
      </c>
    </row>
    <row r="6137">
      <c r="A6137" s="8" t="str">
        <f>IFERROR(__xludf.DUMMYFUNCTION("""COMPUTED_VALUE"""),"glamour_312")</f>
        <v>glamour_312</v>
      </c>
    </row>
    <row r="6138">
      <c r="A6138" s="8" t="str">
        <f>IFERROR(__xludf.DUMMYFUNCTION("""COMPUTED_VALUE"""),"glamour_costumes")</f>
        <v>glamour_costumes</v>
      </c>
    </row>
    <row r="6139">
      <c r="A6139" s="8" t="str">
        <f>IFERROR(__xludf.DUMMYFUNCTION("""COMPUTED_VALUE"""),"glamourddive")</f>
        <v>glamourddive</v>
      </c>
    </row>
    <row r="6140">
      <c r="A6140" s="8" t="str">
        <f>IFERROR(__xludf.DUMMYFUNCTION("""COMPUTED_VALUE"""),"glamour_eth")</f>
        <v>glamour_eth</v>
      </c>
    </row>
    <row r="6141">
      <c r="A6141" s="8" t="str">
        <f>IFERROR(__xludf.DUMMYFUNCTION("""COMPUTED_VALUE"""),"glamour_fashion25")</f>
        <v>glamour_fashion25</v>
      </c>
    </row>
    <row r="6142">
      <c r="A6142" s="8" t="str">
        <f>IFERROR(__xludf.DUMMYFUNCTION("""COMPUTED_VALUE"""),"glamourformals")</f>
        <v>glamourformals</v>
      </c>
    </row>
    <row r="6143">
      <c r="A6143" s="8" t="str">
        <f>IFERROR(__xludf.DUMMYFUNCTION("""COMPUTED_VALUE"""),"glamourmag")</f>
        <v>glamourmag</v>
      </c>
    </row>
    <row r="6144">
      <c r="A6144" s="8" t="str">
        <f>IFERROR(__xludf.DUMMYFUNCTION("""COMPUTED_VALUE"""),"glamour.rzn")</f>
        <v>glamour.rzn</v>
      </c>
    </row>
    <row r="6145">
      <c r="A6145" s="11" t="str">
        <f>IFERROR(__xludf.DUMMYFUNCTION("""COMPUTED_VALUE"""),"obuca_glamour.rs")</f>
        <v>obuca_glamour.rs</v>
      </c>
    </row>
    <row r="6146">
      <c r="A6146" s="8" t="str">
        <f>IFERROR(__xludf.DUMMYFUNCTION("""COMPUTED_VALUE"""),"officiallyglamour")</f>
        <v>officiallyglamour</v>
      </c>
    </row>
    <row r="6147">
      <c r="A6147" s="8" t="str">
        <f>IFERROR(__xludf.DUMMYFUNCTION("""COMPUTED_VALUE"""),"globeandmail")</f>
        <v>globeandmail</v>
      </c>
    </row>
    <row r="6148">
      <c r="A6148" s="8" t="str">
        <f>IFERROR(__xludf.DUMMYFUNCTION("""COMPUTED_VALUE"""),"globestyle")</f>
        <v>globestyle</v>
      </c>
    </row>
    <row r="6149">
      <c r="A6149" s="8" t="str">
        <f>IFERROR(__xludf.DUMMYFUNCTION("""COMPUTED_VALUE"""),"goalcomindonesia")</f>
        <v>goalcomindonesia</v>
      </c>
    </row>
    <row r="6150">
      <c r="A6150" s="8" t="str">
        <f>IFERROR(__xludf.DUMMYFUNCTION("""COMPUTED_VALUE"""),"goodhousekeeping")</f>
        <v>goodhousekeeping</v>
      </c>
    </row>
    <row r="6151">
      <c r="A6151" s="8" t="str">
        <f>IFERROR(__xludf.DUMMYFUNCTION("""COMPUTED_VALUE"""),"goodhousekeepingsa")</f>
        <v>goodhousekeepingsa</v>
      </c>
    </row>
    <row r="6152">
      <c r="A6152" s="8" t="str">
        <f>IFERROR(__xludf.DUMMYFUNCTION("""COMPUTED_VALUE"""),"goodhousekeepinguk")</f>
        <v>goodhousekeepinguk</v>
      </c>
    </row>
    <row r="6153">
      <c r="A6153" s="8" t="str">
        <f>IFERROR(__xludf.DUMMYFUNCTION("""COMPUTED_VALUE"""),"britishgq")</f>
        <v>britishgq</v>
      </c>
    </row>
    <row r="6154">
      <c r="A6154" s="8" t="str">
        <f>IFERROR(__xludf.DUMMYFUNCTION("""COMPUTED_VALUE"""),"gq")</f>
        <v>gq</v>
      </c>
    </row>
    <row r="6155">
      <c r="A6155" s="8" t="str">
        <f>IFERROR(__xludf.DUMMYFUNCTION("""COMPUTED_VALUE"""),"gq.alikhan")</f>
        <v>gq.alikhan</v>
      </c>
    </row>
    <row r="6156">
      <c r="A6156" s="8" t="str">
        <f>IFERROR(__xludf.DUMMYFUNCTION("""COMPUTED_VALUE"""),"gq_castings")</f>
        <v>gq_castings</v>
      </c>
    </row>
    <row r="6157">
      <c r="A6157" s="8" t="str">
        <f>IFERROR(__xludf.DUMMYFUNCTION("""COMPUTED_VALUE"""),"gqfrance")</f>
        <v>gqfrance</v>
      </c>
    </row>
    <row r="6158">
      <c r="A6158" s="8" t="str">
        <f>IFERROR(__xludf.DUMMYFUNCTION("""COMPUTED_VALUE"""),"gqhongkong")</f>
        <v>gqhongkong</v>
      </c>
    </row>
    <row r="6159">
      <c r="A6159" s="8" t="str">
        <f>IFERROR(__xludf.DUMMYFUNCTION("""COMPUTED_VALUE"""),"gqitalia")</f>
        <v>gqitalia</v>
      </c>
    </row>
    <row r="6160">
      <c r="A6160" s="8" t="str">
        <f>IFERROR(__xludf.DUMMYFUNCTION("""COMPUTED_VALUE"""),"gqjordannutrition")</f>
        <v>gqjordannutrition</v>
      </c>
    </row>
    <row r="6161">
      <c r="A6161" s="8" t="str">
        <f>IFERROR(__xludf.DUMMYFUNCTION("""COMPUTED_VALUE"""),"gq_korea")</f>
        <v>gq_korea</v>
      </c>
    </row>
    <row r="6162">
      <c r="A6162" s="8" t="str">
        <f>IFERROR(__xludf.DUMMYFUNCTION("""COMPUTED_VALUE"""),"gqrussia")</f>
        <v>gqrussia</v>
      </c>
    </row>
    <row r="6163">
      <c r="A6163" s="8" t="str">
        <f>IFERROR(__xludf.DUMMYFUNCTION("""COMPUTED_VALUE"""),"gqsports")</f>
        <v>gqsports</v>
      </c>
    </row>
    <row r="6164">
      <c r="A6164" s="8" t="str">
        <f>IFERROR(__xludf.DUMMYFUNCTION("""COMPUTED_VALUE"""),"gqtaiwan")</f>
        <v>gqtaiwan</v>
      </c>
    </row>
    <row r="6165">
      <c r="A6165" s="8" t="str">
        <f>IFERROR(__xludf.DUMMYFUNCTION("""COMPUTED_VALUE"""),"grubstreet")</f>
        <v>grubstreet</v>
      </c>
    </row>
    <row r="6166">
      <c r="A6166" s="8" t="str">
        <f>IFERROR(__xludf.DUMMYFUNCTION("""COMPUTED_VALUE"""),"handelsblatt")</f>
        <v>handelsblatt</v>
      </c>
    </row>
    <row r="6167">
      <c r="A6167" s="8" t="str">
        <f>IFERROR(__xludf.DUMMYFUNCTION("""COMPUTED_VALUE"""),"orange_by_handelsblatt")</f>
        <v>orange_by_handelsblatt</v>
      </c>
    </row>
    <row r="6168">
      <c r="A6168" s="8" t="str">
        <f>IFERROR(__xludf.DUMMYFUNCTION("""COMPUTED_VALUE"""),"bazaarbr")</f>
        <v>bazaarbr</v>
      </c>
    </row>
    <row r="6169">
      <c r="A6169" s="8" t="str">
        <f>IFERROR(__xludf.DUMMYFUNCTION("""COMPUTED_VALUE"""),"bazaarfrance")</f>
        <v>bazaarfrance</v>
      </c>
    </row>
    <row r="6170">
      <c r="A6170" s="8" t="str">
        <f>IFERROR(__xludf.DUMMYFUNCTION("""COMPUTED_VALUE"""),"bazaaritalia")</f>
        <v>bazaaritalia</v>
      </c>
    </row>
    <row r="6171">
      <c r="A6171" s="8" t="str">
        <f>IFERROR(__xludf.DUMMYFUNCTION("""COMPUTED_VALUE"""),"bazaarkids")</f>
        <v>bazaarkids</v>
      </c>
    </row>
    <row r="6172">
      <c r="A6172" s="8" t="str">
        <f>IFERROR(__xludf.DUMMYFUNCTION("""COMPUTED_VALUE"""),"bazaarthailand")</f>
        <v>bazaarthailand</v>
      </c>
    </row>
    <row r="6173">
      <c r="A6173" s="8" t="str">
        <f>IFERROR(__xludf.DUMMYFUNCTION("""COMPUTED_VALUE"""),"bazaaruk")</f>
        <v>bazaaruk</v>
      </c>
    </row>
    <row r="6174">
      <c r="A6174" s="8" t="str">
        <f>IFERROR(__xludf.DUMMYFUNCTION("""COMPUTED_VALUE"""),"bazaarvietnam")</f>
        <v>bazaarvietnam</v>
      </c>
    </row>
    <row r="6175">
      <c r="A6175" s="8" t="str">
        <f>IFERROR(__xludf.DUMMYFUNCTION("""COMPUTED_VALUE"""),"harpersbazaararabia")</f>
        <v>harpersbazaararabia</v>
      </c>
    </row>
    <row r="6176">
      <c r="A6176" s="8" t="str">
        <f>IFERROR(__xludf.DUMMYFUNCTION("""COMPUTED_VALUE"""),"harpersbazaares")</f>
        <v>harpersbazaares</v>
      </c>
    </row>
    <row r="6177">
      <c r="A6177" s="8" t="str">
        <f>IFERROR(__xludf.DUMMYFUNCTION("""COMPUTED_VALUE"""),"harpersbazaargermany")</f>
        <v>harpersbazaargermany</v>
      </c>
    </row>
    <row r="6178">
      <c r="A6178" s="8" t="str">
        <f>IFERROR(__xludf.DUMMYFUNCTION("""COMPUTED_VALUE"""),"harpersbazaarhk")</f>
        <v>harpersbazaarhk</v>
      </c>
    </row>
    <row r="6179">
      <c r="A6179" s="8" t="str">
        <f>IFERROR(__xludf.DUMMYFUNCTION("""COMPUTED_VALUE"""),"harpersbazaarjapan")</f>
        <v>harpersbazaarjapan</v>
      </c>
    </row>
    <row r="6180">
      <c r="A6180" s="8" t="str">
        <f>IFERROR(__xludf.DUMMYFUNCTION("""COMPUTED_VALUE"""),"harpersbazaarkorea")</f>
        <v>harpersbazaarkorea</v>
      </c>
    </row>
    <row r="6181">
      <c r="A6181" s="8" t="str">
        <f>IFERROR(__xludf.DUMMYFUNCTION("""COMPUTED_VALUE"""),"harpersbazaarmx")</f>
        <v>harpersbazaarmx</v>
      </c>
    </row>
    <row r="6182">
      <c r="A6182" s="8" t="str">
        <f>IFERROR(__xludf.DUMMYFUNCTION("""COMPUTED_VALUE"""),"harpersbazaarsg")</f>
        <v>harpersbazaarsg</v>
      </c>
    </row>
    <row r="6183">
      <c r="A6183" s="8" t="str">
        <f>IFERROR(__xludf.DUMMYFUNCTION("""COMPUTED_VALUE"""),"harpersbazaarturkiye")</f>
        <v>harpersbazaarturkiye</v>
      </c>
    </row>
    <row r="6184">
      <c r="A6184" s="8" t="str">
        <f>IFERROR(__xludf.DUMMYFUNCTION("""COMPUTED_VALUE"""),"harpersbazaar_tw")</f>
        <v>harpersbazaar_tw</v>
      </c>
    </row>
    <row r="6185">
      <c r="A6185" s="8" t="str">
        <f>IFERROR(__xludf.DUMMYFUNCTION("""COMPUTED_VALUE"""),"harpersbazaarus")</f>
        <v>harpersbazaarus</v>
      </c>
    </row>
    <row r="6186">
      <c r="A6186" s="8" t="str">
        <f>IFERROR(__xludf.DUMMYFUNCTION("""COMPUTED_VALUE"""),"harvardbiz_art")</f>
        <v>harvardbiz_art</v>
      </c>
    </row>
    <row r="6187">
      <c r="A6187" s="8" t="str">
        <f>IFERROR(__xludf.DUMMYFUNCTION("""COMPUTED_VALUE"""),"harvard_business_review")</f>
        <v>harvard_business_review</v>
      </c>
    </row>
    <row r="6188">
      <c r="A6188" s="8" t="str">
        <f>IFERROR(__xludf.DUMMYFUNCTION("""COMPUTED_VALUE"""),"hbr_press")</f>
        <v>hbr_press</v>
      </c>
    </row>
    <row r="6189">
      <c r="A6189" s="8" t="str">
        <f>IFERROR(__xludf.DUMMYFUNCTION("""COMPUTED_VALUE"""),"hbrturkiye")</f>
        <v>hbrturkiye</v>
      </c>
    </row>
    <row r="6190">
      <c r="A6190" s="8" t="str">
        <f>IFERROR(__xludf.DUMMYFUNCTION("""COMPUTED_VALUE"""),"hashtagarig")</f>
        <v>hashtagarig</v>
      </c>
    </row>
    <row r="6191">
      <c r="A6191" s="8" t="str">
        <f>IFERROR(__xludf.DUMMYFUNCTION("""COMPUTED_VALUE"""),"hashtag.bogi")</f>
        <v>hashtag.bogi</v>
      </c>
    </row>
    <row r="6192">
      <c r="A6192" s="8" t="str">
        <f>IFERROR(__xludf.DUMMYFUNCTION("""COMPUTED_VALUE"""),"hashtagexpert")</f>
        <v>hashtagexpert</v>
      </c>
    </row>
    <row r="6193">
      <c r="A6193" s="8" t="str">
        <f>IFERROR(__xludf.DUMMYFUNCTION("""COMPUTED_VALUE"""),"hashtagf")</f>
        <v>hashtagf</v>
      </c>
    </row>
    <row r="6194">
      <c r="A6194" s="8" t="str">
        <f>IFERROR(__xludf.DUMMYFUNCTION("""COMPUTED_VALUE"""),"hashtagkarenag")</f>
        <v>hashtagkarenag</v>
      </c>
    </row>
    <row r="6195">
      <c r="A6195" s="8" t="str">
        <f>IFERROR(__xludf.DUMMYFUNCTION("""COMPUTED_VALUE"""),"hashtag.natalie")</f>
        <v>hashtag.natalie</v>
      </c>
    </row>
    <row r="6196">
      <c r="A6196" s="8" t="str">
        <f>IFERROR(__xludf.DUMMYFUNCTION("""COMPUTED_VALUE"""),"hashtagopen")</f>
        <v>hashtagopen</v>
      </c>
    </row>
    <row r="6197">
      <c r="A6197" s="8" t="str">
        <f>IFERROR(__xludf.DUMMYFUNCTION("""COMPUTED_VALUE"""),"hashtagprogramacao")</f>
        <v>hashtagprogramacao</v>
      </c>
    </row>
    <row r="6198">
      <c r="A6198" s="8" t="str">
        <f>IFERROR(__xludf.DUMMYFUNCTION("""COMPUTED_VALUE"""),"headlinefarda")</f>
        <v>headlinefarda</v>
      </c>
    </row>
    <row r="6199">
      <c r="A6199" s="8" t="str">
        <f>IFERROR(__xludf.DUMMYFUNCTION("""COMPUTED_VALUE"""),"headlinenewshk")</f>
        <v>headlinenewshk</v>
      </c>
    </row>
    <row r="6200">
      <c r="A6200" s="8" t="str">
        <f>IFERROR(__xludf.DUMMYFUNCTION("""COMPUTED_VALUE"""),"headlineoficial")</f>
        <v>headlineoficial</v>
      </c>
    </row>
    <row r="6201">
      <c r="A6201" s="8" t="str">
        <f>IFERROR(__xludf.DUMMYFUNCTION("""COMPUTED_VALUE"""),"headlinernightclub")</f>
        <v>headlinernightclub</v>
      </c>
    </row>
    <row r="6202">
      <c r="A6202" s="11" t="str">
        <f>IFERROR(__xludf.DUMMYFUNCTION("""COMPUTED_VALUE"""),"headliner.th")</f>
        <v>headliner.th</v>
      </c>
    </row>
    <row r="6203">
      <c r="A6203" s="8" t="str">
        <f>IFERROR(__xludf.DUMMYFUNCTION("""COMPUTED_VALUE"""),"headlinerworld")</f>
        <v>headlinerworld</v>
      </c>
    </row>
    <row r="6204">
      <c r="A6204" s="8" t="str">
        <f>IFERROR(__xludf.DUMMYFUNCTION("""COMPUTED_VALUE"""),"headlines.ban")</f>
        <v>headlines.ban</v>
      </c>
    </row>
    <row r="6205">
      <c r="A6205" s="8" t="str">
        <f>IFERROR(__xludf.DUMMYFUNCTION("""COMPUTED_VALUE"""),"headlinesofficial")</f>
        <v>headlinesofficial</v>
      </c>
    </row>
    <row r="6206">
      <c r="A6206" s="11" t="str">
        <f>IFERROR(__xludf.DUMMYFUNCTION("""COMPUTED_VALUE"""),"hotheadlines.in")</f>
        <v>hotheadlines.in</v>
      </c>
    </row>
    <row r="6207">
      <c r="A6207" s="8" t="str">
        <f>IFERROR(__xludf.DUMMYFUNCTION("""COMPUTED_VALUE"""),"mrsheadline")</f>
        <v>mrsheadline</v>
      </c>
    </row>
    <row r="6208">
      <c r="A6208" s="8" t="str">
        <f>IFERROR(__xludf.DUMMYFUNCTION("""COMPUTED_VALUE"""),"_helloibadan")</f>
        <v>_helloibadan</v>
      </c>
    </row>
    <row r="6209">
      <c r="A6209" s="8" t="str">
        <f>IFERROR(__xludf.DUMMYFUNCTION("""COMPUTED_VALUE"""),"hellokitty")</f>
        <v>hellokitty</v>
      </c>
    </row>
    <row r="6210">
      <c r="A6210" s="8" t="str">
        <f>IFERROR(__xludf.DUMMYFUNCTION("""COMPUTED_VALUE"""),"hellolagos.city")</f>
        <v>hellolagos.city</v>
      </c>
    </row>
    <row r="6211">
      <c r="A6211" s="8" t="str">
        <f>IFERROR(__xludf.DUMMYFUNCTION("""COMPUTED_VALUE"""),"hello.muff")</f>
        <v>hello.muff</v>
      </c>
    </row>
    <row r="6212">
      <c r="A6212" s="8" t="str">
        <f>IFERROR(__xludf.DUMMYFUNCTION("""COMPUTED_VALUE"""),"hello.perfect_")</f>
        <v>hello.perfect_</v>
      </c>
    </row>
    <row r="6213">
      <c r="A6213" s="8" t="str">
        <f>IFERROR(__xludf.DUMMYFUNCTION("""COMPUTED_VALUE"""),"highsnobiety")</f>
        <v>highsnobiety</v>
      </c>
    </row>
    <row r="6214">
      <c r="A6214" s="8" t="str">
        <f>IFERROR(__xludf.DUMMYFUNCTION("""COMPUTED_VALUE"""),"highsnobietydesign")</f>
        <v>highsnobietydesign</v>
      </c>
    </row>
    <row r="6215">
      <c r="A6215" s="8" t="str">
        <f>IFERROR(__xludf.DUMMYFUNCTION("""COMPUTED_VALUE"""),"highsnobietyjp")</f>
        <v>highsnobietyjp</v>
      </c>
    </row>
    <row r="6216">
      <c r="A6216" s="8" t="str">
        <f>IFERROR(__xludf.DUMMYFUNCTION("""COMPUTED_VALUE"""),"highsnobietylife")</f>
        <v>highsnobietylife</v>
      </c>
    </row>
    <row r="6217">
      <c r="A6217" s="8" t="str">
        <f>IFERROR(__xludf.DUMMYFUNCTION("""COMPUTED_VALUE"""),"highsnobietymusic")</f>
        <v>highsnobietymusic</v>
      </c>
    </row>
    <row r="6218">
      <c r="A6218" s="8" t="str">
        <f>IFERROR(__xludf.DUMMYFUNCTION("""COMPUTED_VALUE"""),"highsnobietyshop")</f>
        <v>highsnobietyshop</v>
      </c>
    </row>
    <row r="6219">
      <c r="A6219" s="8" t="str">
        <f>IFERROR(__xludf.DUMMYFUNCTION("""COMPUTED_VALUE"""),"highsnobietysneakers")</f>
        <v>highsnobietysneakers</v>
      </c>
    </row>
    <row r="6220">
      <c r="A6220" s="8" t="str">
        <f>IFERROR(__xludf.DUMMYFUNCTION("""COMPUTED_VALUE"""),"highsnobietystyle")</f>
        <v>highsnobietystyle</v>
      </c>
    </row>
    <row r="6221">
      <c r="A6221" s="8" t="str">
        <f>IFERROR(__xludf.DUMMYFUNCTION("""COMPUTED_VALUE"""),"hindustantimes")</f>
        <v>hindustantimes</v>
      </c>
    </row>
    <row r="6222">
      <c r="A6222" s="8" t="str">
        <f>IFERROR(__xludf.DUMMYFUNCTION("""COMPUTED_VALUE"""),"hindustantimesauto")</f>
        <v>hindustantimesauto</v>
      </c>
    </row>
    <row r="6223">
      <c r="A6223" s="8" t="str">
        <f>IFERROR(__xludf.DUMMYFUNCTION("""COMPUTED_VALUE"""),"hindustantimestech")</f>
        <v>hindustantimestech</v>
      </c>
    </row>
    <row r="6224">
      <c r="A6224" s="8" t="str">
        <f>IFERROR(__xludf.DUMMYFUNCTION("""COMPUTED_VALUE"""),"htbrunch")</f>
        <v>htbrunch</v>
      </c>
    </row>
    <row r="6225">
      <c r="A6225" s="8" t="str">
        <f>IFERROR(__xludf.DUMMYFUNCTION("""COMPUTED_VALUE"""),"cjsparxx")</f>
        <v>cjsparxx</v>
      </c>
    </row>
    <row r="6226">
      <c r="A6226" s="8" t="str">
        <f>IFERROR(__xludf.DUMMYFUNCTION("""COMPUTED_VALUE"""),"hawaiian.host.group")</f>
        <v>hawaiian.host.group</v>
      </c>
    </row>
    <row r="6227">
      <c r="A6227" s="8" t="str">
        <f>IFERROR(__xludf.DUMMYFUNCTION("""COMPUTED_VALUE"""),"_hostel_girl")</f>
        <v>_hostel_girl</v>
      </c>
    </row>
    <row r="6228">
      <c r="A6228" s="8" t="str">
        <f>IFERROR(__xludf.DUMMYFUNCTION("""COMPUTED_VALUE"""),"hostinger_global")</f>
        <v>hostinger_global</v>
      </c>
    </row>
    <row r="6229">
      <c r="A6229" s="8" t="str">
        <f>IFERROR(__xludf.DUMMYFUNCTION("""COMPUTED_VALUE"""),"jagoanhosting")</f>
        <v>jagoanhosting</v>
      </c>
    </row>
    <row r="6230">
      <c r="A6230" s="8" t="str">
        <f>IFERROR(__xludf.DUMMYFUNCTION("""COMPUTED_VALUE"""),"larelevemedias")</f>
        <v>larelevemedias</v>
      </c>
    </row>
    <row r="6231">
      <c r="A6231" s="8" t="str">
        <f>IFERROR(__xludf.DUMMYFUNCTION("""COMPUTED_VALUE"""),"laurawontorra")</f>
        <v>laurawontorra</v>
      </c>
    </row>
    <row r="6232">
      <c r="A6232" s="8" t="str">
        <f>IFERROR(__xludf.DUMMYFUNCTION("""COMPUTED_VALUE"""),"thehost.place")</f>
        <v>thehost.place</v>
      </c>
    </row>
    <row r="6233">
      <c r="A6233" s="8" t="str">
        <f>IFERROR(__xludf.DUMMYFUNCTION("""COMPUTED_VALUE"""),"timetv20")</f>
        <v>timetv20</v>
      </c>
    </row>
    <row r="6234">
      <c r="A6234" s="8" t="str">
        <f>IFERROR(__xludf.DUMMYFUNCTION("""COMPUTED_VALUE"""),"housebeautiful")</f>
        <v>housebeautiful</v>
      </c>
    </row>
    <row r="6235">
      <c r="A6235" s="8" t="str">
        <f>IFERROR(__xludf.DUMMYFUNCTION("""COMPUTED_VALUE"""),"_house_beautiful")</f>
        <v>_house_beautiful</v>
      </c>
    </row>
    <row r="6236">
      <c r="A6236" s="8" t="str">
        <f>IFERROR(__xludf.DUMMYFUNCTION("""COMPUTED_VALUE"""),"housebeautifuldecor")</f>
        <v>housebeautifuldecor</v>
      </c>
    </row>
    <row r="6237">
      <c r="A6237" s="8" t="str">
        <f>IFERROR(__xludf.DUMMYFUNCTION("""COMPUTED_VALUE"""),"house_beautifuli")</f>
        <v>house_beautifuli</v>
      </c>
    </row>
    <row r="6238">
      <c r="A6238" s="8" t="str">
        <f>IFERROR(__xludf.DUMMYFUNCTION("""COMPUTED_VALUE"""),"housebeautifultr")</f>
        <v>housebeautifultr</v>
      </c>
    </row>
    <row r="6239">
      <c r="A6239" s="8" t="str">
        <f>IFERROR(__xludf.DUMMYFUNCTION("""COMPUTED_VALUE"""),"housebeautifuluk")</f>
        <v>housebeautifuluk</v>
      </c>
    </row>
    <row r="6240">
      <c r="A6240" s="8" t="str">
        <f>IFERROR(__xludf.DUMMYFUNCTION("""COMPUTED_VALUE"""),"houseofbeautifulbusiness")</f>
        <v>houseofbeautifulbusiness</v>
      </c>
    </row>
    <row r="6241">
      <c r="A6241" s="8" t="str">
        <f>IFERROR(__xludf.DUMMYFUNCTION("""COMPUTED_VALUE"""),"mirahmadi.design.iran")</f>
        <v>mirahmadi.design.iran</v>
      </c>
    </row>
    <row r="6242">
      <c r="A6242" s="8" t="str">
        <f>IFERROR(__xludf.DUMMYFUNCTION("""COMPUTED_VALUE"""),"mirahmadi.design.tehran")</f>
        <v>mirahmadi.design.tehran</v>
      </c>
    </row>
    <row r="6243">
      <c r="A6243" s="8" t="str">
        <f>IFERROR(__xludf.DUMMYFUNCTION("""COMPUTED_VALUE"""),"houstonchron")</f>
        <v>houstonchron</v>
      </c>
    </row>
    <row r="6244">
      <c r="A6244" s="8" t="str">
        <f>IFERROR(__xludf.DUMMYFUNCTION("""COMPUTED_VALUE"""),"blackvoices")</f>
        <v>blackvoices</v>
      </c>
    </row>
    <row r="6245">
      <c r="A6245" s="8" t="str">
        <f>IFERROR(__xludf.DUMMYFUNCTION("""COMPUTED_VALUE"""),"elhuffpost")</f>
        <v>elhuffpost</v>
      </c>
    </row>
    <row r="6246">
      <c r="A6246" s="8" t="str">
        <f>IFERROR(__xludf.DUMMYFUNCTION("""COMPUTED_VALUE"""),"huffpost")</f>
        <v>huffpost</v>
      </c>
    </row>
    <row r="6247">
      <c r="A6247" s="8" t="str">
        <f>IFERROR(__xludf.DUMMYFUNCTION("""COMPUTED_VALUE"""),"huffpostasianvoices")</f>
        <v>huffpostasianvoices</v>
      </c>
    </row>
    <row r="6248">
      <c r="A6248" s="8" t="str">
        <f>IFERROR(__xludf.DUMMYFUNCTION("""COMPUTED_VALUE"""),"huffpostau")</f>
        <v>huffpostau</v>
      </c>
    </row>
    <row r="6249">
      <c r="A6249" s="8" t="str">
        <f>IFERROR(__xludf.DUMMYFUNCTION("""COMPUTED_VALUE"""),"huffpostin")</f>
        <v>huffpostin</v>
      </c>
    </row>
    <row r="6250">
      <c r="A6250" s="8" t="str">
        <f>IFERROR(__xludf.DUMMYFUNCTION("""COMPUTED_VALUE"""),"huffposttaste")</f>
        <v>huffposttaste</v>
      </c>
    </row>
    <row r="6251">
      <c r="A6251" s="8" t="str">
        <f>IFERROR(__xludf.DUMMYFUNCTION("""COMPUTED_VALUE"""),"huffpostuk")</f>
        <v>huffpostuk</v>
      </c>
    </row>
    <row r="6252">
      <c r="A6252" s="8" t="str">
        <f>IFERROR(__xludf.DUMMYFUNCTION("""COMPUTED_VALUE"""),"huffpostwomen")</f>
        <v>huffpostwomen</v>
      </c>
    </row>
    <row r="6253">
      <c r="A6253" s="8" t="str">
        <f>IFERROR(__xludf.DUMMYFUNCTION("""COMPUTED_VALUE"""),"lehuffpost")</f>
        <v>lehuffpost</v>
      </c>
    </row>
    <row r="6254">
      <c r="A6254" s="8" t="str">
        <f>IFERROR(__xludf.DUMMYFUNCTION("""COMPUTED_VALUE"""),"hypebeast")</f>
        <v>hypebeast</v>
      </c>
    </row>
    <row r="6255">
      <c r="A6255" s="8" t="str">
        <f>IFERROR(__xludf.DUMMYFUNCTION("""COMPUTED_VALUE"""),"hypebeastarabia")</f>
        <v>hypebeastarabia</v>
      </c>
    </row>
    <row r="6256">
      <c r="A6256" s="8" t="str">
        <f>IFERROR(__xludf.DUMMYFUNCTION("""COMPUTED_VALUE"""),"amidaofficial")</f>
        <v>amidaofficial</v>
      </c>
    </row>
    <row r="6257">
      <c r="A6257" s="11" t="str">
        <f>IFERROR(__xludf.DUMMYFUNCTION("""COMPUTED_VALUE"""),"cpnsindonesia.id")</f>
        <v>cpnsindonesia.id</v>
      </c>
    </row>
    <row r="6258">
      <c r="A6258" s="11" t="str">
        <f>IFERROR(__xludf.DUMMYFUNCTION("""COMPUTED_VALUE"""),"harvestsalon.id")</f>
        <v>harvestsalon.id</v>
      </c>
    </row>
    <row r="6259">
      <c r="A6259" s="8" t="str">
        <f>IFERROR(__xludf.DUMMYFUNCTION("""COMPUTED_VALUE"""),"i_d")</f>
        <v>i_d</v>
      </c>
    </row>
    <row r="6260">
      <c r="A6260" s="8" t="str">
        <f>IFERROR(__xludf.DUMMYFUNCTION("""COMPUTED_VALUE"""),"i_dle_official")</f>
        <v>i_dle_official</v>
      </c>
    </row>
    <row r="6261">
      <c r="A6261" s="8" t="str">
        <f>IFERROR(__xludf.DUMMYFUNCTION("""COMPUTED_VALUE"""),"mustafa_haji_idris")</f>
        <v>mustafa_haji_idris</v>
      </c>
    </row>
    <row r="6262">
      <c r="A6262" s="11" t="str">
        <f>IFERROR(__xludf.DUMMYFUNCTION("""COMPUTED_VALUE"""),"paradox.paradox.id")</f>
        <v>paradox.paradox.id</v>
      </c>
    </row>
    <row r="6263">
      <c r="A6263" s="8" t="str">
        <f>IFERROR(__xludf.DUMMYFUNCTION("""COMPUTED_VALUE"""),"puspitamartha_id")</f>
        <v>puspitamartha_id</v>
      </c>
    </row>
    <row r="6264">
      <c r="A6264" s="8" t="str">
        <f>IFERROR(__xludf.DUMMYFUNCTION("""COMPUTED_VALUE"""),"igndotcom")</f>
        <v>igndotcom</v>
      </c>
    </row>
    <row r="6265">
      <c r="A6265" s="8" t="str">
        <f>IFERROR(__xludf.DUMMYFUNCTION("""COMPUTED_VALUE"""),"imprensa_")</f>
        <v>imprensa_</v>
      </c>
    </row>
    <row r="6266">
      <c r="A6266" s="8" t="str">
        <f>IFERROR(__xludf.DUMMYFUNCTION("""COMPUTED_VALUE"""),"imprensa_falsa")</f>
        <v>imprensa_falsa</v>
      </c>
    </row>
    <row r="6267">
      <c r="A6267" s="8" t="str">
        <f>IFERROR(__xludf.DUMMYFUNCTION("""COMPUTED_VALUE"""),"shopimpressions")</f>
        <v>shopimpressions</v>
      </c>
    </row>
    <row r="6268">
      <c r="A6268" s="8" t="str">
        <f>IFERROR(__xludf.DUMMYFUNCTION("""COMPUTED_VALUE"""),"ariatinternational")</f>
        <v>ariatinternational</v>
      </c>
    </row>
    <row r="6269">
      <c r="A6269" s="8" t="str">
        <f>IFERROR(__xludf.DUMMYFUNCTION("""COMPUTED_VALUE"""),"bossbabe.inc")</f>
        <v>bossbabe.inc</v>
      </c>
    </row>
    <row r="6270">
      <c r="A6270" s="8" t="str">
        <f>IFERROR(__xludf.DUMMYFUNCTION("""COMPUTED_VALUE"""),"businessman_inc")</f>
        <v>businessman_inc</v>
      </c>
    </row>
    <row r="6271">
      <c r="A6271" s="8" t="str">
        <f>IFERROR(__xludf.DUMMYFUNCTION("""COMPUTED_VALUE"""),"businesspro.inc")</f>
        <v>businesspro.inc</v>
      </c>
    </row>
    <row r="6272">
      <c r="A6272" s="8" t="str">
        <f>IFERROR(__xludf.DUMMYFUNCTION("""COMPUTED_VALUE"""),"cfl_inc")</f>
        <v>cfl_inc</v>
      </c>
    </row>
    <row r="6273">
      <c r="A6273" s="8" t="str">
        <f>IFERROR(__xludf.DUMMYFUNCTION("""COMPUTED_VALUE"""),"incworld")</f>
        <v>incworld</v>
      </c>
    </row>
    <row r="6274">
      <c r="A6274" s="8" t="str">
        <f>IFERROR(__xludf.DUMMYFUNCTION("""COMPUTED_VALUE"""),"ink.inc.tattoo")</f>
        <v>ink.inc.tattoo</v>
      </c>
    </row>
    <row r="6275">
      <c r="A6275" s="8" t="str">
        <f>IFERROR(__xludf.DUMMYFUNCTION("""COMPUTED_VALUE"""),"indiatoday")</f>
        <v>indiatoday</v>
      </c>
    </row>
    <row r="6276">
      <c r="A6276" s="8" t="str">
        <f>IFERROR(__xludf.DUMMYFUNCTION("""COMPUTED_VALUE"""),"indiatodaygaming")</f>
        <v>indiatodaygaming</v>
      </c>
    </row>
    <row r="6277">
      <c r="A6277" s="8" t="str">
        <f>IFERROR(__xludf.DUMMYFUNCTION("""COMPUTED_VALUE"""),"indiatodayglobal")</f>
        <v>indiatodayglobal</v>
      </c>
    </row>
    <row r="6278">
      <c r="A6278" s="8" t="str">
        <f>IFERROR(__xludf.DUMMYFUNCTION("""COMPUTED_VALUE"""),"indiatoday_home")</f>
        <v>indiatoday_home</v>
      </c>
    </row>
    <row r="6279">
      <c r="A6279" s="8" t="str">
        <f>IFERROR(__xludf.DUMMYFUNCTION("""COMPUTED_VALUE"""),"indiatodaymagazine")</f>
        <v>indiatodaymagazine</v>
      </c>
    </row>
    <row r="6280">
      <c r="A6280" s="8" t="str">
        <f>IFERROR(__xludf.DUMMYFUNCTION("""COMPUTED_VALUE"""),"indiatodayne")</f>
        <v>indiatodayne</v>
      </c>
    </row>
    <row r="6281">
      <c r="A6281" s="8" t="str">
        <f>IFERROR(__xludf.DUMMYFUNCTION("""COMPUTED_VALUE"""),"indiatodayselect")</f>
        <v>indiatodayselect</v>
      </c>
    </row>
    <row r="6282">
      <c r="A6282" s="8" t="str">
        <f>IFERROR(__xludf.DUMMYFUNCTION("""COMPUTED_VALUE"""),"indiewire")</f>
        <v>indiewire</v>
      </c>
    </row>
    <row r="6283">
      <c r="A6283" s="8" t="str">
        <f>IFERROR(__xludf.DUMMYFUNCTION("""COMPUTED_VALUE"""),"avi.vip")</f>
        <v>avi.vip</v>
      </c>
    </row>
    <row r="6284">
      <c r="A6284" s="8" t="str">
        <f>IFERROR(__xludf.DUMMYFUNCTION("""COMPUTED_VALUE"""),"empreendedorinfluencer")</f>
        <v>empreendedorinfluencer</v>
      </c>
    </row>
    <row r="6285">
      <c r="A6285" s="8" t="str">
        <f>IFERROR(__xludf.DUMMYFUNCTION("""COMPUTED_VALUE"""),"influencer")</f>
        <v>influencer</v>
      </c>
    </row>
    <row r="6286">
      <c r="A6286" s="8" t="str">
        <f>IFERROR(__xludf.DUMMYFUNCTION("""COMPUTED_VALUE"""),"influencersinthewild")</f>
        <v>influencersinthewild</v>
      </c>
    </row>
    <row r="6287">
      <c r="A6287" s="8" t="str">
        <f>IFERROR(__xludf.DUMMYFUNCTION("""COMPUTED_VALUE"""),"kolesovayl")</f>
        <v>kolesovayl</v>
      </c>
    </row>
    <row r="6288">
      <c r="A6288" s="8" t="str">
        <f>IFERROR(__xludf.DUMMYFUNCTION("""COMPUTED_VALUE"""),"magnified_influencer_awards")</f>
        <v>magnified_influencer_awards</v>
      </c>
    </row>
    <row r="6289">
      <c r="A6289" s="8" t="str">
        <f>IFERROR(__xludf.DUMMYFUNCTION("""COMPUTED_VALUE"""),"mixsoon_influencer")</f>
        <v>mixsoon_influencer</v>
      </c>
    </row>
    <row r="6290">
      <c r="A6290" s="8" t="str">
        <f>IFERROR(__xludf.DUMMYFUNCTION("""COMPUTED_VALUE"""),"oinfluencerrn")</f>
        <v>oinfluencerrn</v>
      </c>
    </row>
    <row r="6291">
      <c r="A6291" s="8" t="str">
        <f>IFERROR(__xludf.DUMMYFUNCTION("""COMPUTED_VALUE"""),"papaya_ex")</f>
        <v>papaya_ex</v>
      </c>
    </row>
    <row r="6292">
      <c r="A6292" s="8" t="str">
        <f>IFERROR(__xludf.DUMMYFUNCTION("""COMPUTED_VALUE"""),"playinfluencermanagement")</f>
        <v>playinfluencermanagement</v>
      </c>
    </row>
    <row r="6293">
      <c r="A6293" s="8" t="str">
        <f>IFERROR(__xludf.DUMMYFUNCTION("""COMPUTED_VALUE"""),"sasha.vizual")</f>
        <v>sasha.vizual</v>
      </c>
    </row>
    <row r="6294">
      <c r="A6294" s="8" t="str">
        <f>IFERROR(__xludf.DUMMYFUNCTION("""COMPUTED_VALUE"""),"shaynaturall")</f>
        <v>shaynaturall</v>
      </c>
    </row>
    <row r="6295">
      <c r="A6295" s="8" t="str">
        <f>IFERROR(__xludf.DUMMYFUNCTION("""COMPUTED_VALUE"""),"umma.influencers")</f>
        <v>umma.influencers</v>
      </c>
    </row>
    <row r="6296">
      <c r="A6296" s="8" t="str">
        <f>IFERROR(__xludf.DUMMYFUNCTION("""COMPUTED_VALUE"""),"vi.ushaa")</f>
        <v>vi.ushaa</v>
      </c>
    </row>
    <row r="6297">
      <c r="A6297" s="8" t="str">
        <f>IFERROR(__xludf.DUMMYFUNCTION("""COMPUTED_VALUE"""),"vladislava.r")</f>
        <v>vladislava.r</v>
      </c>
    </row>
    <row r="6298">
      <c r="A6298" s="8" t="str">
        <f>IFERROR(__xludf.DUMMYFUNCTION("""COMPUTED_VALUE"""),"yesstyleinfluencers")</f>
        <v>yesstyleinfluencers</v>
      </c>
    </row>
    <row r="6299">
      <c r="A6299" s="8" t="str">
        <f>IFERROR(__xludf.DUMMYFUNCTION("""COMPUTED_VALUE"""),"dana.instyle")</f>
        <v>dana.instyle</v>
      </c>
    </row>
    <row r="6300">
      <c r="A6300" s="8" t="str">
        <f>IFERROR(__xludf.DUMMYFUNCTION("""COMPUTED_VALUE"""),"dimoda.style")</f>
        <v>dimoda.style</v>
      </c>
    </row>
    <row r="6301">
      <c r="A6301" s="8" t="str">
        <f>IFERROR(__xludf.DUMMYFUNCTION("""COMPUTED_VALUE"""),"hint.style")</f>
        <v>hint.style</v>
      </c>
    </row>
    <row r="6302">
      <c r="A6302" s="8" t="str">
        <f>IFERROR(__xludf.DUMMYFUNCTION("""COMPUTED_VALUE"""),"instyle.brand.outlet")</f>
        <v>instyle.brand.outlet</v>
      </c>
    </row>
    <row r="6303">
      <c r="A6303" s="8" t="str">
        <f>IFERROR(__xludf.DUMMYFUNCTION("""COMPUTED_VALUE"""),"instyle.cars")</f>
        <v>instyle.cars</v>
      </c>
    </row>
    <row r="6304">
      <c r="A6304" s="8" t="str">
        <f>IFERROR(__xludf.DUMMYFUNCTION("""COMPUTED_VALUE"""),"instyle_furniture_ke")</f>
        <v>instyle_furniture_ke</v>
      </c>
    </row>
    <row r="6305">
      <c r="A6305" s="8" t="str">
        <f>IFERROR(__xludf.DUMMYFUNCTION("""COMPUTED_VALUE"""),"instyle_helen")</f>
        <v>instyle_helen</v>
      </c>
    </row>
    <row r="6306">
      <c r="A6306" s="8" t="str">
        <f>IFERROR(__xludf.DUMMYFUNCTION("""COMPUTED_VALUE"""),"instylemagazine")</f>
        <v>instylemagazine</v>
      </c>
    </row>
    <row r="6307">
      <c r="A6307" s="8" t="str">
        <f>IFERROR(__xludf.DUMMYFUNCTION("""COMPUTED_VALUE"""),"instyleshoes1999")</f>
        <v>instyleshoes1999</v>
      </c>
    </row>
    <row r="6308">
      <c r="A6308" s="8" t="str">
        <f>IFERROR(__xludf.DUMMYFUNCTION("""COMPUTED_VALUE"""),"instyle_shopkz")</f>
        <v>instyle_shopkz</v>
      </c>
    </row>
    <row r="6309">
      <c r="A6309" s="8" t="str">
        <f>IFERROR(__xludf.DUMMYFUNCTION("""COMPUTED_VALUE"""),"instylespain")</f>
        <v>instylespain</v>
      </c>
    </row>
    <row r="6310">
      <c r="A6310" s="11" t="str">
        <f>IFERROR(__xludf.DUMMYFUNCTION("""COMPUTED_VALUE"""),"instyle.tr")</f>
        <v>instyle.tr</v>
      </c>
    </row>
    <row r="6311">
      <c r="A6311" s="8" t="str">
        <f>IFERROR(__xludf.DUMMYFUNCTION("""COMPUTED_VALUE"""),"instyle.zh2")</f>
        <v>instyle.zh2</v>
      </c>
    </row>
    <row r="6312">
      <c r="A6312" s="8" t="str">
        <f>IFERROR(__xludf.DUMMYFUNCTION("""COMPUTED_VALUE"""),"inthestyle")</f>
        <v>inthestyle</v>
      </c>
    </row>
    <row r="6313">
      <c r="A6313" s="8" t="str">
        <f>IFERROR(__xludf.DUMMYFUNCTION("""COMPUTED_VALUE"""),"inzhu_style_")</f>
        <v>inzhu_style_</v>
      </c>
    </row>
    <row r="6314">
      <c r="A6314" s="8" t="str">
        <f>IFERROR(__xludf.DUMMYFUNCTION("""COMPUTED_VALUE"""),"panthere_instyle")</f>
        <v>panthere_instyle</v>
      </c>
    </row>
    <row r="6315">
      <c r="A6315" s="8" t="str">
        <f>IFERROR(__xludf.DUMMYFUNCTION("""COMPUTED_VALUE"""),"interview_bit")</f>
        <v>interview_bit</v>
      </c>
    </row>
    <row r="6316">
      <c r="A6316" s="8" t="str">
        <f>IFERROR(__xludf.DUMMYFUNCTION("""COMPUTED_VALUE"""),"interview_de")</f>
        <v>interview_de</v>
      </c>
    </row>
    <row r="6317">
      <c r="A6317" s="8" t="str">
        <f>IFERROR(__xludf.DUMMYFUNCTION("""COMPUTED_VALUE"""),"interviewmag")</f>
        <v>interviewmag</v>
      </c>
    </row>
    <row r="6318">
      <c r="A6318" s="8" t="str">
        <f>IFERROR(__xludf.DUMMYFUNCTION("""COMPUTED_VALUE"""),"interview_prep_here")</f>
        <v>interview_prep_here</v>
      </c>
    </row>
    <row r="6319">
      <c r="A6319" s="8" t="str">
        <f>IFERROR(__xludf.DUMMYFUNCTION("""COMPUTED_VALUE"""),"interview_scouter")</f>
        <v>interview_scouter</v>
      </c>
    </row>
    <row r="6320">
      <c r="A6320" s="8" t="str">
        <f>IFERROR(__xludf.DUMMYFUNCTION("""COMPUTED_VALUE"""),"investopedia")</f>
        <v>investopedia</v>
      </c>
    </row>
    <row r="6321">
      <c r="A6321" s="8" t="str">
        <f>IFERROR(__xludf.DUMMYFUNCTION("""COMPUTED_VALUE"""),"investopedia_trader")</f>
        <v>investopedia_trader</v>
      </c>
    </row>
    <row r="6322">
      <c r="A6322" s="8" t="str">
        <f>IFERROR(__xludf.DUMMYFUNCTION("""COMPUTED_VALUE"""),"thejapantimes")</f>
        <v>thejapantimes</v>
      </c>
    </row>
    <row r="6323">
      <c r="A6323" s="8" t="str">
        <f>IFERROR(__xludf.DUMMYFUNCTION("""COMPUTED_VALUE"""),"ajda_ender_journalist_")</f>
        <v>ajda_ender_journalist_</v>
      </c>
    </row>
    <row r="6324">
      <c r="A6324" s="8" t="str">
        <f>IFERROR(__xludf.DUMMYFUNCTION("""COMPUTED_VALUE"""),"drunk.journalist")</f>
        <v>drunk.journalist</v>
      </c>
    </row>
    <row r="6325">
      <c r="A6325" s="8" t="str">
        <f>IFERROR(__xludf.DUMMYFUNCTION("""COMPUTED_VALUE"""),"food.journalista")</f>
        <v>food.journalista</v>
      </c>
    </row>
    <row r="6326">
      <c r="A6326" s="8" t="str">
        <f>IFERROR(__xludf.DUMMYFUNCTION("""COMPUTED_VALUE"""),"gemmaaskham")</f>
        <v>gemmaaskham</v>
      </c>
    </row>
    <row r="6327">
      <c r="A6327" s="8" t="str">
        <f>IFERROR(__xludf.DUMMYFUNCTION("""COMPUTED_VALUE"""),"ii.khaled.ii")</f>
        <v>ii.khaled.ii</v>
      </c>
    </row>
    <row r="6328">
      <c r="A6328" s="8" t="str">
        <f>IFERROR(__xludf.DUMMYFUNCTION("""COMPUTED_VALUE"""),"journalistayushi")</f>
        <v>journalistayushi</v>
      </c>
    </row>
    <row r="6329">
      <c r="A6329" s="8" t="str">
        <f>IFERROR(__xludf.DUMMYFUNCTION("""COMPUTED_VALUE"""),"lizmoody")</f>
        <v>lizmoody</v>
      </c>
    </row>
    <row r="6330">
      <c r="A6330" s="8" t="str">
        <f>IFERROR(__xludf.DUMMYFUNCTION("""COMPUTED_VALUE"""),"madhyapradesh_ke_mhow_se")</f>
        <v>madhyapradesh_ke_mhow_se</v>
      </c>
    </row>
    <row r="6331">
      <c r="A6331" s="8" t="str">
        <f>IFERROR(__xludf.DUMMYFUNCTION("""COMPUTED_VALUE"""),"poojasharma_journalist")</f>
        <v>poojasharma_journalist</v>
      </c>
    </row>
    <row r="6332">
      <c r="A6332" s="8" t="str">
        <f>IFERROR(__xludf.DUMMYFUNCTION("""COMPUTED_VALUE"""),"protipsnews")</f>
        <v>protipsnews</v>
      </c>
    </row>
    <row r="6333">
      <c r="A6333" s="8" t="str">
        <f>IFERROR(__xludf.DUMMYFUNCTION("""COMPUTED_VALUE"""),"kiplingerfinance")</f>
        <v>kiplingerfinance</v>
      </c>
    </row>
    <row r="6334">
      <c r="A6334" s="8" t="str">
        <f>IFERROR(__xludf.DUMMYFUNCTION("""COMPUTED_VALUE"""),"tkiplinger")</f>
        <v>tkiplinger</v>
      </c>
    </row>
    <row r="6335">
      <c r="A6335" s="8" t="str">
        <f>IFERROR(__xludf.DUMMYFUNCTION("""COMPUTED_VALUE"""),"kotakudotcom")</f>
        <v>kotakudotcom</v>
      </c>
    </row>
    <row r="6336">
      <c r="A6336" s="8" t="str">
        <f>IFERROR(__xludf.DUMMYFUNCTION("""COMPUTED_VALUE"""),"larepubblica")</f>
        <v>larepubblica</v>
      </c>
    </row>
    <row r="6337">
      <c r="A6337" s="8" t="str">
        <f>IFERROR(__xludf.DUMMYFUNCTION("""COMPUTED_VALUE"""),"larepublica_col")</f>
        <v>larepublica_col</v>
      </c>
    </row>
    <row r="6338">
      <c r="A6338" s="8" t="str">
        <f>IFERROR(__xludf.DUMMYFUNCTION("""COMPUTED_VALUE"""),"repubblica_firenze")</f>
        <v>repubblica_firenze</v>
      </c>
    </row>
    <row r="6339">
      <c r="A6339" s="8" t="str">
        <f>IFERROR(__xludf.DUMMYFUNCTION("""COMPUTED_VALUE"""),"repubblica_torino")</f>
        <v>repubblica_torino</v>
      </c>
    </row>
    <row r="6340">
      <c r="A6340" s="8" t="str">
        <f>IFERROR(__xludf.DUMMYFUNCTION("""COMPUTED_VALUE"""),"figaroetudiant")</f>
        <v>figaroetudiant</v>
      </c>
    </row>
    <row r="6341">
      <c r="A6341" s="8" t="str">
        <f>IFERROR(__xludf.DUMMYFUNCTION("""COMPUTED_VALUE"""),"lefigaro")</f>
        <v>lefigaro</v>
      </c>
    </row>
    <row r="6342">
      <c r="A6342" s="8" t="str">
        <f>IFERROR(__xludf.DUMMYFUNCTION("""COMPUTED_VALUE"""),"lefigaroculture")</f>
        <v>lefigaroculture</v>
      </c>
    </row>
    <row r="6343">
      <c r="A6343" s="8" t="str">
        <f>IFERROR(__xludf.DUMMYFUNCTION("""COMPUTED_VALUE"""),"lefigarostyle")</f>
        <v>lefigarostyle</v>
      </c>
    </row>
    <row r="6344">
      <c r="A6344" s="8" t="str">
        <f>IFERROR(__xludf.DUMMYFUNCTION("""COMPUTED_VALUE"""),"lefigarovin")</f>
        <v>lefigarovin</v>
      </c>
    </row>
    <row r="6345">
      <c r="A6345" s="8" t="str">
        <f>IFERROR(__xludf.DUMMYFUNCTION("""COMPUTED_VALUE"""),"lefigarovox")</f>
        <v>lefigarovox</v>
      </c>
    </row>
    <row r="6346">
      <c r="A6346" s="8" t="str">
        <f>IFERROR(__xludf.DUMMYFUNCTION("""COMPUTED_VALUE"""),"diplomatiquebrasil")</f>
        <v>diplomatiquebrasil</v>
      </c>
    </row>
    <row r="6347">
      <c r="A6347" s="8" t="str">
        <f>IFERROR(__xludf.DUMMYFUNCTION("""COMPUTED_VALUE"""),"gourmandbeauty")</f>
        <v>gourmandbeauty</v>
      </c>
    </row>
    <row r="6348">
      <c r="A6348" s="8" t="str">
        <f>IFERROR(__xludf.DUMMYFUNCTION("""COMPUTED_VALUE"""),"le.monde_")</f>
        <v>le.monde_</v>
      </c>
    </row>
    <row r="6349">
      <c r="A6349" s="8" t="str">
        <f>IFERROR(__xludf.DUMMYFUNCTION("""COMPUTED_VALUE"""),"le.monde.beryl")</f>
        <v>le.monde.beryl</v>
      </c>
    </row>
    <row r="6350">
      <c r="A6350" s="8" t="str">
        <f>IFERROR(__xludf.DUMMYFUNCTION("""COMPUTED_VALUE"""),"le_monde_d_elodie")</f>
        <v>le_monde_d_elodie</v>
      </c>
    </row>
    <row r="6351">
      <c r="A6351" s="8" t="str">
        <f>IFERROR(__xludf.DUMMYFUNCTION("""COMPUTED_VALUE"""),"le_monde_edu_official_page")</f>
        <v>le_monde_edu_official_page</v>
      </c>
    </row>
    <row r="6352">
      <c r="A6352" s="8" t="str">
        <f>IFERROR(__xludf.DUMMYFUNCTION("""COMPUTED_VALUE"""),"lemonde_en")</f>
        <v>lemonde_en</v>
      </c>
    </row>
    <row r="6353">
      <c r="A6353" s="8" t="str">
        <f>IFERROR(__xludf.DUMMYFUNCTION("""COMPUTED_VALUE"""),"lemondefr")</f>
        <v>lemondefr</v>
      </c>
    </row>
    <row r="6354">
      <c r="A6354" s="11" t="str">
        <f>IFERROR(__xludf.DUMMYFUNCTION("""COMPUTED_VALUE"""),"lemonde.iq")</f>
        <v>lemonde.iq</v>
      </c>
    </row>
    <row r="6355">
      <c r="A6355" s="8" t="str">
        <f>IFERROR(__xludf.DUMMYFUNCTION("""COMPUTED_VALUE"""),"le.monde.islamique")</f>
        <v>le.monde.islamique</v>
      </c>
    </row>
    <row r="6356">
      <c r="A6356" s="8" t="str">
        <f>IFERROR(__xludf.DUMMYFUNCTION("""COMPUTED_VALUE"""),"m_magazine")</f>
        <v>m_magazine</v>
      </c>
    </row>
    <row r="6357">
      <c r="A6357" s="8" t="str">
        <f>IFERROR(__xludf.DUMMYFUNCTION("""COMPUTED_VALUE"""),"monde2toktok")</f>
        <v>monde2toktok</v>
      </c>
    </row>
    <row r="6358">
      <c r="A6358" s="8" t="str">
        <f>IFERROR(__xludf.DUMMYFUNCTION("""COMPUTED_VALUE"""),"1000pourcent.podcast")</f>
        <v>1000pourcent.podcast</v>
      </c>
    </row>
    <row r="6359">
      <c r="A6359" s="8" t="str">
        <f>IFERROR(__xludf.DUMMYFUNCTION("""COMPUTED_VALUE"""),"lequipe")</f>
        <v>lequipe</v>
      </c>
    </row>
    <row r="6360">
      <c r="A6360" s="8" t="str">
        <f>IFERROR(__xludf.DUMMYFUNCTION("""COMPUTED_VALUE"""),"lequipebicicletas")</f>
        <v>lequipebicicletas</v>
      </c>
    </row>
    <row r="6361">
      <c r="A6361" s="8" t="str">
        <f>IFERROR(__xludf.DUMMYFUNCTION("""COMPUTED_VALUE"""),"livestreamtwins")</f>
        <v>livestreamtwins</v>
      </c>
    </row>
    <row r="6362">
      <c r="A6362" s="8" t="str">
        <f>IFERROR(__xludf.DUMMYFUNCTION("""COMPUTED_VALUE"""),"livestreamys")</f>
        <v>livestreamys</v>
      </c>
    </row>
    <row r="6363">
      <c r="A6363" s="8" t="str">
        <f>IFERROR(__xludf.DUMMYFUNCTION("""COMPUTED_VALUE"""),"masterbusinesscardologer")</f>
        <v>masterbusinesscardologer</v>
      </c>
    </row>
    <row r="6364">
      <c r="A6364" s="8" t="str">
        <f>IFERROR(__xludf.DUMMYFUNCTION("""COMPUTED_VALUE"""),"lofficielbaltic")</f>
        <v>lofficielbaltic</v>
      </c>
    </row>
    <row r="6365">
      <c r="A6365" s="8" t="str">
        <f>IFERROR(__xludf.DUMMYFUNCTION("""COMPUTED_VALUE"""),"lofficielbelgium")</f>
        <v>lofficielbelgium</v>
      </c>
    </row>
    <row r="6366">
      <c r="A6366" s="8" t="str">
        <f>IFERROR(__xludf.DUMMYFUNCTION("""COMPUTED_VALUE"""),"lofficiel.china")</f>
        <v>lofficiel.china</v>
      </c>
    </row>
    <row r="6367">
      <c r="A6367" s="8" t="str">
        <f>IFERROR(__xludf.DUMMYFUNCTION("""COMPUTED_VALUE"""),"lofficielhommes")</f>
        <v>lofficielhommes</v>
      </c>
    </row>
    <row r="6368">
      <c r="A6368" s="8" t="str">
        <f>IFERROR(__xludf.DUMMYFUNCTION("""COMPUTED_VALUE"""),"lofficielhongkong")</f>
        <v>lofficielhongkong</v>
      </c>
    </row>
    <row r="6369">
      <c r="A6369" s="8" t="str">
        <f>IFERROR(__xludf.DUMMYFUNCTION("""COMPUTED_VALUE"""),"lofficielitalia")</f>
        <v>lofficielitalia</v>
      </c>
    </row>
    <row r="6370">
      <c r="A6370" s="8" t="str">
        <f>IFERROR(__xludf.DUMMYFUNCTION("""COMPUTED_VALUE"""),"lofficiel.japan")</f>
        <v>lofficiel.japan</v>
      </c>
    </row>
    <row r="6371">
      <c r="A6371" s="8" t="str">
        <f>IFERROR(__xludf.DUMMYFUNCTION("""COMPUTED_VALUE"""),"lofficielkorea")</f>
        <v>lofficielkorea</v>
      </c>
    </row>
    <row r="6372">
      <c r="A6372" s="8" t="str">
        <f>IFERROR(__xludf.DUMMYFUNCTION("""COMPUTED_VALUE"""),"lofficiel.magazine")</f>
        <v>lofficiel.magazine</v>
      </c>
    </row>
    <row r="6373">
      <c r="A6373" s="8" t="str">
        <f>IFERROR(__xludf.DUMMYFUNCTION("""COMPUTED_VALUE"""),"lofficielmaroc")</f>
        <v>lofficielmaroc</v>
      </c>
    </row>
    <row r="6374">
      <c r="A6374" s="8" t="str">
        <f>IFERROR(__xludf.DUMMYFUNCTION("""COMPUTED_VALUE"""),"lofficielmy")</f>
        <v>lofficielmy</v>
      </c>
    </row>
    <row r="6375">
      <c r="A6375" s="8" t="str">
        <f>IFERROR(__xludf.DUMMYFUNCTION("""COMPUTED_VALUE"""),"lofficielparis")</f>
        <v>lofficielparis</v>
      </c>
    </row>
    <row r="6376">
      <c r="A6376" s="8" t="str">
        <f>IFERROR(__xludf.DUMMYFUNCTION("""COMPUTED_VALUE"""),"lofficielph")</f>
        <v>lofficielph</v>
      </c>
    </row>
    <row r="6377">
      <c r="A6377" s="8" t="str">
        <f>IFERROR(__xludf.DUMMYFUNCTION("""COMPUTED_VALUE"""),"lofficielrussia")</f>
        <v>lofficielrussia</v>
      </c>
    </row>
    <row r="6378">
      <c r="A6378" s="8" t="str">
        <f>IFERROR(__xludf.DUMMYFUNCTION("""COMPUTED_VALUE"""),"lofficielsingapore")</f>
        <v>lofficielsingapore</v>
      </c>
    </row>
    <row r="6379">
      <c r="A6379" s="8" t="str">
        <f>IFERROR(__xludf.DUMMYFUNCTION("""COMPUTED_VALUE"""),"lofficielthai")</f>
        <v>lofficielthai</v>
      </c>
    </row>
    <row r="6380">
      <c r="A6380" s="8" t="str">
        <f>IFERROR(__xludf.DUMMYFUNCTION("""COMPUTED_VALUE"""),"lofficielusa")</f>
        <v>lofficielusa</v>
      </c>
    </row>
    <row r="6381">
      <c r="A6381" s="8" t="str">
        <f>IFERROR(__xludf.DUMMYFUNCTION("""COMPUTED_VALUE"""),"monaco.lofficiel")</f>
        <v>monaco.lofficiel</v>
      </c>
    </row>
    <row r="6382">
      <c r="A6382" s="8" t="str">
        <f>IFERROR(__xludf.DUMMYFUNCTION("""COMPUTED_VALUE"""),"lonelyplanet")</f>
        <v>lonelyplanet</v>
      </c>
    </row>
    <row r="6383">
      <c r="A6383" s="8" t="str">
        <f>IFERROR(__xludf.DUMMYFUNCTION("""COMPUTED_VALUE"""),"lonelyplanet_es")</f>
        <v>lonelyplanet_es</v>
      </c>
    </row>
    <row r="6384">
      <c r="A6384" s="8" t="str">
        <f>IFERROR(__xludf.DUMMYFUNCTION("""COMPUTED_VALUE"""),"lonelyplanetfr")</f>
        <v>lonelyplanetfr</v>
      </c>
    </row>
    <row r="6385">
      <c r="A6385" s="8" t="str">
        <f>IFERROR(__xludf.DUMMYFUNCTION("""COMPUTED_VALUE"""),"lonelyplanet_it")</f>
        <v>lonelyplanet_it</v>
      </c>
    </row>
    <row r="6386">
      <c r="A6386" s="8" t="str">
        <f>IFERROR(__xludf.DUMMYFUNCTION("""COMPUTED_VALUE"""),"lonelyplanetmag")</f>
        <v>lonelyplanetmag</v>
      </c>
    </row>
    <row r="6387">
      <c r="A6387" s="8" t="str">
        <f>IFERROR(__xludf.DUMMYFUNCTION("""COMPUTED_VALUE"""),"lonelyplanetmagazineindia")</f>
        <v>lonelyplanetmagazineindia</v>
      </c>
    </row>
    <row r="6388">
      <c r="A6388" s="8" t="str">
        <f>IFERROR(__xludf.DUMMYFUNCTION("""COMPUTED_VALUE"""),"ourlonelyplanet")</f>
        <v>ourlonelyplanet</v>
      </c>
    </row>
    <row r="6389">
      <c r="A6389" s="8" t="str">
        <f>IFERROR(__xludf.DUMMYFUNCTION("""COMPUTED_VALUE"""),"latimes")</f>
        <v>latimes</v>
      </c>
    </row>
    <row r="6390">
      <c r="A6390" s="8" t="str">
        <f>IFERROR(__xludf.DUMMYFUNCTION("""COMPUTED_VALUE"""),"latimesarchives")</f>
        <v>latimesarchives</v>
      </c>
    </row>
    <row r="6391">
      <c r="A6391" s="8" t="str">
        <f>IFERROR(__xludf.DUMMYFUNCTION("""COMPUTED_VALUE"""),"latimesevents")</f>
        <v>latimesevents</v>
      </c>
    </row>
    <row r="6392">
      <c r="A6392" s="8" t="str">
        <f>IFERROR(__xludf.DUMMYFUNCTION("""COMPUTED_VALUE"""),"latimesfood")</f>
        <v>latimesfood</v>
      </c>
    </row>
    <row r="6393">
      <c r="A6393" s="8" t="str">
        <f>IFERROR(__xludf.DUMMYFUNCTION("""COMPUTED_VALUE"""),"latimesimage")</f>
        <v>latimesimage</v>
      </c>
    </row>
    <row r="6394">
      <c r="A6394" s="8" t="str">
        <f>IFERROR(__xludf.DUMMYFUNCTION("""COMPUTED_VALUE"""),"latimesphotos")</f>
        <v>latimesphotos</v>
      </c>
    </row>
    <row r="6395">
      <c r="A6395" s="8" t="str">
        <f>IFERROR(__xludf.DUMMYFUNCTION("""COMPUTED_VALUE"""),"macrumors")</f>
        <v>macrumors</v>
      </c>
    </row>
    <row r="6396">
      <c r="A6396" s="8" t="str">
        <f>IFERROR(__xludf.DUMMYFUNCTION("""COMPUTED_VALUE"""),"ad_magazine")</f>
        <v>ad_magazine</v>
      </c>
    </row>
    <row r="6397">
      <c r="A6397" s="8" t="str">
        <f>IFERROR(__xludf.DUMMYFUNCTION("""COMPUTED_VALUE"""),"bricks_magazine")</f>
        <v>bricks_magazine</v>
      </c>
    </row>
    <row r="6398">
      <c r="A6398" s="8" t="str">
        <f>IFERROR(__xludf.DUMMYFUNCTION("""COMPUTED_VALUE"""),"elleusa")</f>
        <v>elleusa</v>
      </c>
    </row>
    <row r="6399">
      <c r="A6399" s="8" t="str">
        <f>IFERROR(__xludf.DUMMYFUNCTION("""COMPUTED_VALUE"""),"insomniamagazine")</f>
        <v>insomniamagazine</v>
      </c>
    </row>
    <row r="6400">
      <c r="A6400" s="8" t="str">
        <f>IFERROR(__xludf.DUMMYFUNCTION("""COMPUTED_VALUE"""),"m_magazine")</f>
        <v>m_magazine</v>
      </c>
    </row>
    <row r="6401">
      <c r="A6401" s="8" t="str">
        <f>IFERROR(__xludf.DUMMYFUNCTION("""COMPUTED_VALUE"""),"nant.magazine")</f>
        <v>nant.magazine</v>
      </c>
    </row>
    <row r="6402">
      <c r="A6402" s="8" t="str">
        <f>IFERROR(__xludf.DUMMYFUNCTION("""COMPUTED_VALUE"""),"ootdmagazine")</f>
        <v>ootdmagazine</v>
      </c>
    </row>
    <row r="6403">
      <c r="A6403" s="8" t="str">
        <f>IFERROR(__xludf.DUMMYFUNCTION("""COMPUTED_VALUE"""),"papermagazine")</f>
        <v>papermagazine</v>
      </c>
    </row>
    <row r="6404">
      <c r="A6404" s="8" t="str">
        <f>IFERROR(__xludf.DUMMYFUNCTION("""COMPUTED_VALUE"""),"people")</f>
        <v>people</v>
      </c>
    </row>
    <row r="6405">
      <c r="A6405" s="8" t="str">
        <f>IFERROR(__xludf.DUMMYFUNCTION("""COMPUTED_VALUE"""),"revistaclass_")</f>
        <v>revistaclass_</v>
      </c>
    </row>
    <row r="6406">
      <c r="A6406" s="8" t="str">
        <f>IFERROR(__xludf.DUMMYFUNCTION("""COMPUTED_VALUE"""),"tmagazine")</f>
        <v>tmagazine</v>
      </c>
    </row>
    <row r="6407">
      <c r="A6407" s="8" t="str">
        <f>IFERROR(__xludf.DUMMYFUNCTION("""COMPUTED_VALUE"""),"vmagazine")</f>
        <v>vmagazine</v>
      </c>
    </row>
    <row r="6408">
      <c r="A6408" s="8" t="str">
        <f>IFERROR(__xludf.DUMMYFUNCTION("""COMPUTED_VALUE"""),"voguemagazine")</f>
        <v>voguemagazine</v>
      </c>
    </row>
    <row r="6409">
      <c r="A6409" s="8" t="str">
        <f>IFERROR(__xludf.DUMMYFUNCTION("""COMPUTED_VALUE"""),"wmag")</f>
        <v>wmag</v>
      </c>
    </row>
    <row r="6410">
      <c r="A6410" s="11" t="str">
        <f>IFERROR(__xludf.DUMMYFUNCTION("""COMPUTED_VALUE"""),"mainstream.media.cl")</f>
        <v>mainstream.media.cl</v>
      </c>
    </row>
    <row r="6411">
      <c r="A6411" s="8" t="str">
        <f>IFERROR(__xludf.DUMMYFUNCTION("""COMPUTED_VALUE"""),"marca")</f>
        <v>marca</v>
      </c>
    </row>
    <row r="6412">
      <c r="A6412" s="8" t="str">
        <f>IFERROR(__xludf.DUMMYFUNCTION("""COMPUTED_VALUE"""),"clairemaa")</f>
        <v>clairemaa</v>
      </c>
    </row>
    <row r="6413">
      <c r="A6413" s="8" t="str">
        <f>IFERROR(__xludf.DUMMYFUNCTION("""COMPUTED_VALUE"""),"marieclairearg")</f>
        <v>marieclairearg</v>
      </c>
    </row>
    <row r="6414">
      <c r="A6414" s="8" t="str">
        <f>IFERROR(__xludf.DUMMYFUNCTION("""COMPUTED_VALUE"""),"marieclairebr")</f>
        <v>marieclairebr</v>
      </c>
    </row>
    <row r="6415">
      <c r="A6415" s="8" t="str">
        <f>IFERROR(__xludf.DUMMYFUNCTION("""COMPUTED_VALUE"""),"marieclaire.china")</f>
        <v>marieclaire.china</v>
      </c>
    </row>
    <row r="6416">
      <c r="A6416" s="8" t="str">
        <f>IFERROR(__xludf.DUMMYFUNCTION("""COMPUTED_VALUE"""),"marieclairefr")</f>
        <v>marieclairefr</v>
      </c>
    </row>
    <row r="6417">
      <c r="A6417" s="8" t="str">
        <f>IFERROR(__xludf.DUMMYFUNCTION("""COMPUTED_VALUE"""),"marieclaireitalia")</f>
        <v>marieclaireitalia</v>
      </c>
    </row>
    <row r="6418">
      <c r="A6418" s="8" t="str">
        <f>IFERROR(__xludf.DUMMYFUNCTION("""COMPUTED_VALUE"""),"marieclairekorea")</f>
        <v>marieclairekorea</v>
      </c>
    </row>
    <row r="6419">
      <c r="A6419" s="8" t="str">
        <f>IFERROR(__xludf.DUMMYFUNCTION("""COMPUTED_VALUE"""),"marieclaire_la")</f>
        <v>marieclaire_la</v>
      </c>
    </row>
    <row r="6420">
      <c r="A6420" s="8" t="str">
        <f>IFERROR(__xludf.DUMMYFUNCTION("""COMPUTED_VALUE"""),"marieclairemag")</f>
        <v>marieclairemag</v>
      </c>
    </row>
    <row r="6421">
      <c r="A6421" s="8" t="str">
        <f>IFERROR(__xludf.DUMMYFUNCTION("""COMPUTED_VALUE"""),"marieclairemaison")</f>
        <v>marieclairemaison</v>
      </c>
    </row>
    <row r="6422">
      <c r="A6422" s="8" t="str">
        <f>IFERROR(__xludf.DUMMYFUNCTION("""COMPUTED_VALUE"""),"marieclaireoficial")</f>
        <v>marieclaireoficial</v>
      </c>
    </row>
    <row r="6423">
      <c r="A6423" s="8" t="str">
        <f>IFERROR(__xludf.DUMMYFUNCTION("""COMPUTED_VALUE"""),"marieclaireuk")</f>
        <v>marieclaireuk</v>
      </c>
    </row>
    <row r="6424">
      <c r="A6424" s="8" t="str">
        <f>IFERROR(__xludf.DUMMYFUNCTION("""COMPUTED_VALUE"""),"marketwatch")</f>
        <v>marketwatch</v>
      </c>
    </row>
    <row r="6425">
      <c r="A6425" s="8" t="str">
        <f>IFERROR(__xludf.DUMMYFUNCTION("""COMPUTED_VALUE"""),"mashable")</f>
        <v>mashable</v>
      </c>
    </row>
    <row r="6426">
      <c r="A6426" s="8" t="str">
        <f>IFERROR(__xludf.DUMMYFUNCTION("""COMPUTED_VALUE"""),"mashable.india")</f>
        <v>mashable.india</v>
      </c>
    </row>
    <row r="6427">
      <c r="A6427" s="8" t="str">
        <f>IFERROR(__xludf.DUMMYFUNCTION("""COMPUTED_VALUE"""),"megsmashables")</f>
        <v>megsmashables</v>
      </c>
    </row>
    <row r="6428">
      <c r="A6428" s="8" t="str">
        <f>IFERROR(__xludf.DUMMYFUNCTION("""COMPUTED_VALUE"""),"mashable.india")</f>
        <v>mashable.india</v>
      </c>
    </row>
    <row r="6429">
      <c r="A6429" s="8" t="str">
        <f>IFERROR(__xludf.DUMMYFUNCTION("""COMPUTED_VALUE"""),"mass_media_99")</f>
        <v>mass_media_99</v>
      </c>
    </row>
    <row r="6430">
      <c r="A6430" s="11" t="str">
        <f>IFERROR(__xludf.DUMMYFUNCTION("""COMPUTED_VALUE"""),"massmedia.ng")</f>
        <v>massmedia.ng</v>
      </c>
    </row>
    <row r="6431">
      <c r="A6431" s="8" t="str">
        <f>IFERROR(__xludf.DUMMYFUNCTION("""COMPUTED_VALUE"""),"mass_media_photography")</f>
        <v>mass_media_photography</v>
      </c>
    </row>
    <row r="6432">
      <c r="A6432" s="8" t="str">
        <f>IFERROR(__xludf.DUMMYFUNCTION("""COMPUTED_VALUE"""),"abdullo_media")</f>
        <v>abdullo_media</v>
      </c>
    </row>
    <row r="6433">
      <c r="A6433" s="8" t="str">
        <f>IFERROR(__xludf.DUMMYFUNCTION("""COMPUTED_VALUE"""),"ac_media_")</f>
        <v>ac_media_</v>
      </c>
    </row>
    <row r="6434">
      <c r="A6434" s="8" t="str">
        <f>IFERROR(__xludf.DUMMYFUNCTION("""COMPUTED_VALUE"""),"cnc_media")</f>
        <v>cnc_media</v>
      </c>
    </row>
    <row r="6435">
      <c r="A6435" s="8" t="str">
        <f>IFERROR(__xludf.DUMMYFUNCTION("""COMPUTED_VALUE"""),"iamthirtyaf")</f>
        <v>iamthirtyaf</v>
      </c>
    </row>
    <row r="6436">
      <c r="A6436" s="8" t="str">
        <f>IFERROR(__xludf.DUMMYFUNCTION("""COMPUTED_VALUE"""),"logicmediaproduction")</f>
        <v>logicmediaproduction</v>
      </c>
    </row>
    <row r="6437">
      <c r="A6437" s="8" t="str">
        <f>IFERROR(__xludf.DUMMYFUNCTION("""COMPUTED_VALUE"""),"madleine.media")</f>
        <v>madleine.media</v>
      </c>
    </row>
    <row r="6438">
      <c r="A6438" s="8" t="str">
        <f>IFERROR(__xludf.DUMMYFUNCTION("""COMPUTED_VALUE"""),"media")</f>
        <v>media</v>
      </c>
    </row>
    <row r="6439">
      <c r="A6439" s="8" t="str">
        <f>IFERROR(__xludf.DUMMYFUNCTION("""COMPUTED_VALUE"""),"say__media")</f>
        <v>say__media</v>
      </c>
    </row>
    <row r="6440">
      <c r="A6440" s="8" t="str">
        <f>IFERROR(__xludf.DUMMYFUNCTION("""COMPUTED_VALUE"""),"slukh.media")</f>
        <v>slukh.media</v>
      </c>
    </row>
    <row r="6441">
      <c r="A6441" s="8" t="str">
        <f>IFERROR(__xludf.DUMMYFUNCTION("""COMPUTED_VALUE"""),"smalkinemedia")</f>
        <v>smalkinemedia</v>
      </c>
    </row>
    <row r="6442">
      <c r="A6442" s="8" t="str">
        <f>IFERROR(__xludf.DUMMYFUNCTION("""COMPUTED_VALUE"""),"united24.media")</f>
        <v>united24.media</v>
      </c>
    </row>
    <row r="6443">
      <c r="A6443" s="8" t="str">
        <f>IFERROR(__xludf.DUMMYFUNCTION("""COMPUTED_VALUE"""),"media.poost")</f>
        <v>media.poost</v>
      </c>
    </row>
    <row r="6444">
      <c r="A6444" s="8" t="str">
        <f>IFERROR(__xludf.DUMMYFUNCTION("""COMPUTED_VALUE"""),"postmediaok")</f>
        <v>postmediaok</v>
      </c>
    </row>
    <row r="6445">
      <c r="A6445" s="11" t="str">
        <f>IFERROR(__xludf.DUMMYFUNCTION("""COMPUTED_VALUE"""),"xas.post")</f>
        <v>xas.post</v>
      </c>
    </row>
    <row r="6446">
      <c r="A6446" s="8" t="str">
        <f>IFERROR(__xludf.DUMMYFUNCTION("""COMPUTED_VALUE"""),"health_expert_adviser")</f>
        <v>health_expert_adviser</v>
      </c>
    </row>
    <row r="6447">
      <c r="A6447" s="8" t="str">
        <f>IFERROR(__xludf.DUMMYFUNCTION("""COMPUTED_VALUE"""),"healthwithnancy")</f>
        <v>healthwithnancy</v>
      </c>
    </row>
    <row r="6448">
      <c r="A6448" s="8" t="str">
        <f>IFERROR(__xludf.DUMMYFUNCTION("""COMPUTED_VALUE"""),"mattycfox")</f>
        <v>mattycfox</v>
      </c>
    </row>
    <row r="6449">
      <c r="A6449" s="8" t="str">
        <f>IFERROR(__xludf.DUMMYFUNCTION("""COMPUTED_VALUE"""),"men.health1")</f>
        <v>men.health1</v>
      </c>
    </row>
    <row r="6450">
      <c r="A6450" s="8" t="str">
        <f>IFERROR(__xludf.DUMMYFUNCTION("""COMPUTED_VALUE"""),"menshealthmag")</f>
        <v>menshealthmag</v>
      </c>
    </row>
    <row r="6451">
      <c r="A6451" s="8" t="str">
        <f>IFERROR(__xludf.DUMMYFUNCTION("""COMPUTED_VALUE"""),"ruggedcounseling")</f>
        <v>ruggedcounseling</v>
      </c>
    </row>
    <row r="6452">
      <c r="A6452" s="8" t="str">
        <f>IFERROR(__xludf.DUMMYFUNCTION("""COMPUTED_VALUE"""),"the.iron.forge")</f>
        <v>the.iron.forge</v>
      </c>
    </row>
    <row r="6453">
      <c r="A6453" s="8" t="str">
        <f>IFERROR(__xludf.DUMMYFUNCTION("""COMPUTED_VALUE"""),"metacritic")</f>
        <v>metacritic</v>
      </c>
    </row>
    <row r="6454">
      <c r="A6454" s="8" t="str">
        <f>IFERROR(__xludf.DUMMYFUNCTION("""COMPUTED_VALUE"""),"mic")</f>
        <v>mic</v>
      </c>
    </row>
    <row r="6455">
      <c r="A6455" s="8" t="str">
        <f>IFERROR(__xludf.DUMMYFUNCTION("""COMPUTED_VALUE"""),"mirror.bypaulina")</f>
        <v>mirror.bypaulina</v>
      </c>
    </row>
    <row r="6456">
      <c r="A6456" s="8" t="str">
        <f>IFERROR(__xludf.DUMMYFUNCTION("""COMPUTED_VALUE"""),"mirrorfit_official")</f>
        <v>mirrorfit_official</v>
      </c>
    </row>
    <row r="6457">
      <c r="A6457" s="8" t="str">
        <f>IFERROR(__xludf.DUMMYFUNCTION("""COMPUTED_VALUE"""),"mirrorglamping")</f>
        <v>mirrorglamping</v>
      </c>
    </row>
    <row r="6458">
      <c r="A6458" s="8" t="str">
        <f>IFERROR(__xludf.DUMMYFUNCTION("""COMPUTED_VALUE"""),"mirror.me_official")</f>
        <v>mirror.me_official</v>
      </c>
    </row>
    <row r="6459">
      <c r="A6459" s="8" t="str">
        <f>IFERROR(__xludf.DUMMYFUNCTION("""COMPUTED_VALUE"""),"mirror_of_word_")</f>
        <v>mirror_of_word_</v>
      </c>
    </row>
    <row r="6460">
      <c r="A6460" s="8" t="str">
        <f>IFERROR(__xludf.DUMMYFUNCTION("""COMPUTED_VALUE"""),"mirrorpalais")</f>
        <v>mirrorpalais</v>
      </c>
    </row>
    <row r="6461">
      <c r="A6461" s="8" t="str">
        <f>IFERROR(__xludf.DUMMYFUNCTION("""COMPUTED_VALUE"""),"wsmirror")</f>
        <v>wsmirror</v>
      </c>
    </row>
    <row r="6462">
      <c r="A6462" s="8" t="str">
        <f>IFERROR(__xludf.DUMMYFUNCTION("""COMPUTED_VALUE"""),"mittechreviewbr")</f>
        <v>mittechreviewbr</v>
      </c>
    </row>
    <row r="6463">
      <c r="A6463" s="8" t="str">
        <f>IFERROR(__xludf.DUMMYFUNCTION("""COMPUTED_VALUE"""),"technologyreview")</f>
        <v>technologyreview</v>
      </c>
    </row>
    <row r="6464">
      <c r="A6464" s="8" t="str">
        <f>IFERROR(__xludf.DUMMYFUNCTION("""COMPUTED_VALUE"""),"mbdailyshow")</f>
        <v>mbdailyshow</v>
      </c>
    </row>
    <row r="6465">
      <c r="A6465" s="8" t="str">
        <f>IFERROR(__xludf.DUMMYFUNCTION("""COMPUTED_VALUE"""),"morningbrew")</f>
        <v>morningbrew</v>
      </c>
    </row>
    <row r="6466">
      <c r="A6466" s="8" t="str">
        <f>IFERROR(__xludf.DUMMYFUNCTION("""COMPUTED_VALUE"""),"themotleyfoolau")</f>
        <v>themotleyfoolau</v>
      </c>
    </row>
    <row r="6467">
      <c r="A6467" s="8" t="str">
        <f>IFERROR(__xludf.DUMMYFUNCTION("""COMPUTED_VALUE"""),"themotleyfoolofficial")</f>
        <v>themotleyfoolofficial</v>
      </c>
    </row>
    <row r="6468">
      <c r="A6468" s="8" t="str">
        <f>IFERROR(__xludf.DUMMYFUNCTION("""COMPUTED_VALUE"""),"msnbc")</f>
        <v>msnbc</v>
      </c>
    </row>
    <row r="6469">
      <c r="A6469" s="8" t="str">
        <f>IFERROR(__xludf.DUMMYFUNCTION("""COMPUTED_VALUE"""),"msnbc_films")</f>
        <v>msnbc_films</v>
      </c>
    </row>
    <row r="6470">
      <c r="A6470" s="8" t="str">
        <f>IFERROR(__xludf.DUMMYFUNCTION("""COMPUTED_VALUE"""),"msnbc_reports")</f>
        <v>msnbc_reports</v>
      </c>
    </row>
    <row r="6471">
      <c r="A6471" s="8" t="str">
        <f>IFERROR(__xludf.DUMMYFUNCTION("""COMPUTED_VALUE"""),"theweekendmsnbc")</f>
        <v>theweekendmsnbc</v>
      </c>
    </row>
    <row r="6472">
      <c r="A6472" s="8" t="str">
        <f>IFERROR(__xludf.DUMMYFUNCTION("""COMPUTED_VALUE"""),"natgeo")</f>
        <v>natgeo</v>
      </c>
    </row>
    <row r="6473">
      <c r="A6473" s="8" t="str">
        <f>IFERROR(__xludf.DUMMYFUNCTION("""COMPUTED_VALUE"""),"natgeoadventure")</f>
        <v>natgeoadventure</v>
      </c>
    </row>
    <row r="6474">
      <c r="A6474" s="8" t="str">
        <f>IFERROR(__xludf.DUMMYFUNCTION("""COMPUTED_VALUE"""),"natgeoanimals")</f>
        <v>natgeoanimals</v>
      </c>
    </row>
    <row r="6475">
      <c r="A6475" s="8" t="str">
        <f>IFERROR(__xludf.DUMMYFUNCTION("""COMPUTED_VALUE"""),"natgeobrasil")</f>
        <v>natgeobrasil</v>
      </c>
    </row>
    <row r="6476">
      <c r="A6476" s="8" t="str">
        <f>IFERROR(__xludf.DUMMYFUNCTION("""COMPUTED_VALUE"""),"natgeoesp")</f>
        <v>natgeoesp</v>
      </c>
    </row>
    <row r="6477">
      <c r="A6477" s="8" t="str">
        <f>IFERROR(__xludf.DUMMYFUNCTION("""COMPUTED_VALUE"""),"natgeoespana")</f>
        <v>natgeoespana</v>
      </c>
    </row>
    <row r="6478">
      <c r="A6478" s="8" t="str">
        <f>IFERROR(__xludf.DUMMYFUNCTION("""COMPUTED_VALUE"""),"natgeohistory")</f>
        <v>natgeohistory</v>
      </c>
    </row>
    <row r="6479">
      <c r="A6479" s="8" t="str">
        <f>IFERROR(__xludf.DUMMYFUNCTION("""COMPUTED_VALUE"""),"natgeoindia")</f>
        <v>natgeoindia</v>
      </c>
    </row>
    <row r="6480">
      <c r="A6480" s="8" t="str">
        <f>IFERROR(__xludf.DUMMYFUNCTION("""COMPUTED_VALUE"""),"natgeoindonesia")</f>
        <v>natgeoindonesia</v>
      </c>
    </row>
    <row r="6481">
      <c r="A6481" s="8" t="str">
        <f>IFERROR(__xludf.DUMMYFUNCTION("""COMPUTED_VALUE"""),"natgeo_italia")</f>
        <v>natgeo_italia</v>
      </c>
    </row>
    <row r="6482">
      <c r="A6482" s="11" t="str">
        <f>IFERROR(__xludf.DUMMYFUNCTION("""COMPUTED_VALUE"""),"natgeo.la")</f>
        <v>natgeo.la</v>
      </c>
    </row>
    <row r="6483">
      <c r="A6483" s="8" t="str">
        <f>IFERROR(__xludf.DUMMYFUNCTION("""COMPUTED_VALUE"""),"natgeonl")</f>
        <v>natgeonl</v>
      </c>
    </row>
    <row r="6484">
      <c r="A6484" s="8" t="str">
        <f>IFERROR(__xludf.DUMMYFUNCTION("""COMPUTED_VALUE"""),"natgeotravel")</f>
        <v>natgeotravel</v>
      </c>
    </row>
    <row r="6485">
      <c r="A6485" s="8" t="str">
        <f>IFERROR(__xludf.DUMMYFUNCTION("""COMPUTED_VALUE"""),"natgeotv")</f>
        <v>natgeotv</v>
      </c>
    </row>
    <row r="6486">
      <c r="A6486" s="8" t="str">
        <f>IFERROR(__xludf.DUMMYFUNCTION("""COMPUTED_VALUE"""),"natgeotvturkiye")</f>
        <v>natgeotvturkiye</v>
      </c>
    </row>
    <row r="6487">
      <c r="A6487" s="8" t="str">
        <f>IFERROR(__xludf.DUMMYFUNCTION("""COMPUTED_VALUE"""),"natgeoyourshot")</f>
        <v>natgeoyourshot</v>
      </c>
    </row>
    <row r="6488">
      <c r="A6488" s="8" t="str">
        <f>IFERROR(__xludf.DUMMYFUNCTION("""COMPUTED_VALUE"""),"beautiful._.nature22")</f>
        <v>beautiful._.nature22</v>
      </c>
    </row>
    <row r="6489">
      <c r="A6489" s="8" t="str">
        <f>IFERROR(__xludf.DUMMYFUNCTION("""COMPUTED_VALUE"""),"lanaturevibes")</f>
        <v>lanaturevibes</v>
      </c>
    </row>
    <row r="6490">
      <c r="A6490" s="8" t="str">
        <f>IFERROR(__xludf.DUMMYFUNCTION("""COMPUTED_VALUE"""),"lifeisanature")</f>
        <v>lifeisanature</v>
      </c>
    </row>
    <row r="6491">
      <c r="A6491" s="8" t="str">
        <f>IFERROR(__xludf.DUMMYFUNCTION("""COMPUTED_VALUE"""),"lovethenature95")</f>
        <v>lovethenature95</v>
      </c>
    </row>
    <row r="6492">
      <c r="A6492" s="8" t="str">
        <f>IFERROR(__xludf.DUMMYFUNCTION("""COMPUTED_VALUE"""),"nature")</f>
        <v>nature</v>
      </c>
    </row>
    <row r="6493">
      <c r="A6493" s="8" t="str">
        <f>IFERROR(__xludf.DUMMYFUNCTION("""COMPUTED_VALUE"""),"natureismetal")</f>
        <v>natureismetal</v>
      </c>
    </row>
    <row r="6494">
      <c r="A6494" s="8" t="str">
        <f>IFERROR(__xludf.DUMMYFUNCTION("""COMPUTED_VALUE"""),"natures")</f>
        <v>natures</v>
      </c>
    </row>
    <row r="6495">
      <c r="A6495" s="8" t="str">
        <f>IFERROR(__xludf.DUMMYFUNCTION("""COMPUTED_VALUE"""),"naturesms")</f>
        <v>naturesms</v>
      </c>
    </row>
    <row r="6496">
      <c r="A6496" s="8" t="str">
        <f>IFERROR(__xludf.DUMMYFUNCTION("""COMPUTED_VALUE"""),"naturethecure")</f>
        <v>naturethecure</v>
      </c>
    </row>
    <row r="6497">
      <c r="A6497" s="8" t="str">
        <f>IFERROR(__xludf.DUMMYFUNCTION("""COMPUTED_VALUE"""),"tabiat_manzaralari")</f>
        <v>tabiat_manzaralari</v>
      </c>
    </row>
    <row r="6498">
      <c r="A6498" s="8" t="str">
        <f>IFERROR(__xludf.DUMMYFUNCTION("""COMPUTED_VALUE"""),"nbclatino")</f>
        <v>nbclatino</v>
      </c>
    </row>
    <row r="6499">
      <c r="A6499" s="8" t="str">
        <f>IFERROR(__xludf.DUMMYFUNCTION("""COMPUTED_VALUE"""),"nbcnews")</f>
        <v>nbcnews</v>
      </c>
    </row>
    <row r="6500">
      <c r="A6500" s="8" t="str">
        <f>IFERROR(__xludf.DUMMYFUNCTION("""COMPUTED_VALUE"""),"nbcnewsgraphics")</f>
        <v>nbcnewsgraphics</v>
      </c>
    </row>
    <row r="6501">
      <c r="A6501" s="8" t="str">
        <f>IFERROR(__xludf.DUMMYFUNCTION("""COMPUTED_VALUE"""),"nbcnewsnow")</f>
        <v>nbcnewsnow</v>
      </c>
    </row>
    <row r="6502">
      <c r="A6502" s="8" t="str">
        <f>IFERROR(__xludf.DUMMYFUNCTION("""COMPUTED_VALUE"""),"nbcnewsscience")</f>
        <v>nbcnewsscience</v>
      </c>
    </row>
    <row r="6503">
      <c r="A6503" s="8" t="str">
        <f>IFERROR(__xludf.DUMMYFUNCTION("""COMPUTED_VALUE"""),"nbcnewsthink")</f>
        <v>nbcnewsthink</v>
      </c>
    </row>
    <row r="6504">
      <c r="A6504" s="8" t="str">
        <f>IFERROR(__xludf.DUMMYFUNCTION("""COMPUTED_VALUE"""),"bang_network")</f>
        <v>bang_network</v>
      </c>
    </row>
    <row r="6505">
      <c r="A6505" s="8" t="str">
        <f>IFERROR(__xludf.DUMMYFUNCTION("""COMPUTED_VALUE"""),"cartoonnetworkofficial")</f>
        <v>cartoonnetworkofficial</v>
      </c>
    </row>
    <row r="6506">
      <c r="A6506" s="8" t="str">
        <f>IFERROR(__xludf.DUMMYFUNCTION("""COMPUTED_VALUE"""),"foodnetwork")</f>
        <v>foodnetwork</v>
      </c>
    </row>
    <row r="6507">
      <c r="A6507" s="8" t="str">
        <f>IFERROR(__xludf.DUMMYFUNCTION("""COMPUTED_VALUE"""),"lacrossenetwork")</f>
        <v>lacrossenetwork</v>
      </c>
    </row>
    <row r="6508">
      <c r="A6508" s="8" t="str">
        <f>IFERROR(__xludf.DUMMYFUNCTION("""COMPUTED_VALUE"""),"nflnetwork")</f>
        <v>nflnetwork</v>
      </c>
    </row>
    <row r="6509">
      <c r="A6509" s="8" t="str">
        <f>IFERROR(__xludf.DUMMYFUNCTION("""COMPUTED_VALUE"""),"seafood_network")</f>
        <v>seafood_network</v>
      </c>
    </row>
    <row r="6510">
      <c r="A6510" s="8" t="str">
        <f>IFERROR(__xludf.DUMMYFUNCTION("""COMPUTED_VALUE"""),"secnetwork")</f>
        <v>secnetwork</v>
      </c>
    </row>
    <row r="6511">
      <c r="A6511" s="8" t="str">
        <f>IFERROR(__xludf.DUMMYFUNCTION("""COMPUTED_VALUE"""),"the_juda_network")</f>
        <v>the_juda_network</v>
      </c>
    </row>
    <row r="6512">
      <c r="A6512" s="8" t="str">
        <f>IFERROR(__xludf.DUMMYFUNCTION("""COMPUTED_VALUE"""),"unitedmarketplacenetwork")</f>
        <v>unitedmarketplacenetwork</v>
      </c>
    </row>
    <row r="6513">
      <c r="A6513" s="8" t="str">
        <f>IFERROR(__xludf.DUMMYFUNCTION("""COMPUTED_VALUE"""),"usanetwork")</f>
        <v>usanetwork</v>
      </c>
    </row>
    <row r="6514">
      <c r="A6514" s="8" t="str">
        <f>IFERROR(__xludf.DUMMYFUNCTION("""COMPUTED_VALUE"""),"wahalanetwork")</f>
        <v>wahalanetwork</v>
      </c>
    </row>
    <row r="6515">
      <c r="A6515" s="8" t="str">
        <f>IFERROR(__xludf.DUMMYFUNCTION("""COMPUTED_VALUE"""),"yesnetwork")</f>
        <v>yesnetwork</v>
      </c>
    </row>
    <row r="6516">
      <c r="A6516" s="8" t="str">
        <f>IFERROR(__xludf.DUMMYFUNCTION("""COMPUTED_VALUE"""),"abcnews")</f>
        <v>abcnews</v>
      </c>
    </row>
    <row r="6517">
      <c r="A6517" s="8" t="str">
        <f>IFERROR(__xludf.DUMMYFUNCTION("""COMPUTED_VALUE"""),"ashgabattoday")</f>
        <v>ashgabattoday</v>
      </c>
    </row>
    <row r="6518">
      <c r="A6518" s="8" t="str">
        <f>IFERROR(__xludf.DUMMYFUNCTION("""COMPUTED_VALUE"""),"bbcbrasil")</f>
        <v>bbcbrasil</v>
      </c>
    </row>
    <row r="6519">
      <c r="A6519" s="8" t="str">
        <f>IFERROR(__xludf.DUMMYFUNCTION("""COMPUTED_VALUE"""),"bbcnews")</f>
        <v>bbcnews</v>
      </c>
    </row>
    <row r="6520">
      <c r="A6520" s="8" t="str">
        <f>IFERROR(__xludf.DUMMYFUNCTION("""COMPUTED_VALUE"""),"bbcpersian")</f>
        <v>bbcpersian</v>
      </c>
    </row>
    <row r="6521">
      <c r="A6521" s="8" t="str">
        <f>IFERROR(__xludf.DUMMYFUNCTION("""COMPUTED_VALUE"""),"cnc3news")</f>
        <v>cnc3news</v>
      </c>
    </row>
    <row r="6522">
      <c r="A6522" s="8" t="str">
        <f>IFERROR(__xludf.DUMMYFUNCTION("""COMPUTED_VALUE"""),"enews")</f>
        <v>enews</v>
      </c>
    </row>
    <row r="6523">
      <c r="A6523" s="8" t="str">
        <f>IFERROR(__xludf.DUMMYFUNCTION("""COMPUTED_VALUE"""),"foxnews")</f>
        <v>foxnews</v>
      </c>
    </row>
    <row r="6524">
      <c r="A6524" s="8" t="str">
        <f>IFERROR(__xludf.DUMMYFUNCTION("""COMPUTED_VALUE"""),"_hey.news_")</f>
        <v>_hey.news_</v>
      </c>
    </row>
    <row r="6525">
      <c r="A6525" s="8" t="str">
        <f>IFERROR(__xludf.DUMMYFUNCTION("""COMPUTED_VALUE"""),"ktla5news")</f>
        <v>ktla5news</v>
      </c>
    </row>
    <row r="6526">
      <c r="A6526" s="8" t="str">
        <f>IFERROR(__xludf.DUMMYFUNCTION("""COMPUTED_VALUE"""),"lebedev.news")</f>
        <v>lebedev.news</v>
      </c>
    </row>
    <row r="6527">
      <c r="A6527" s="8" t="str">
        <f>IFERROR(__xludf.DUMMYFUNCTION("""COMPUTED_VALUE"""),"nbcnews")</f>
        <v>nbcnews</v>
      </c>
    </row>
    <row r="6528">
      <c r="A6528" s="8" t="str">
        <f>IFERROR(__xludf.DUMMYFUNCTION("""COMPUTED_VALUE"""),"news")</f>
        <v>news</v>
      </c>
    </row>
    <row r="6529">
      <c r="A6529" s="11" t="str">
        <f>IFERROR(__xludf.DUMMYFUNCTION("""COMPUTED_VALUE"""),"orient.tm")</f>
        <v>orient.tm</v>
      </c>
    </row>
    <row r="6530">
      <c r="A6530" s="8" t="str">
        <f>IFERROR(__xludf.DUMMYFUNCTION("""COMPUTED_VALUE"""),"thebruneian.news")</f>
        <v>thebruneian.news</v>
      </c>
    </row>
    <row r="6531">
      <c r="A6531" s="8" t="str">
        <f>IFERROR(__xludf.DUMMYFUNCTION("""COMPUTED_VALUE"""),"tvjnews")</f>
        <v>tvjnews</v>
      </c>
    </row>
    <row r="6532">
      <c r="A6532" s="8" t="str">
        <f>IFERROR(__xludf.DUMMYFUNCTION("""COMPUTED_VALUE"""),"yonhap_news")</f>
        <v>yonhap_news</v>
      </c>
    </row>
    <row r="6533">
      <c r="A6533" s="8" t="str">
        <f>IFERROR(__xludf.DUMMYFUNCTION("""COMPUTED_VALUE"""),"newscientist")</f>
        <v>newscientist</v>
      </c>
    </row>
    <row r="6534">
      <c r="A6534" s="8" t="str">
        <f>IFERROR(__xludf.DUMMYFUNCTION("""COMPUTED_VALUE"""),"347.letter")</f>
        <v>347.letter</v>
      </c>
    </row>
    <row r="6535">
      <c r="A6535" s="8" t="str">
        <f>IFERROR(__xludf.DUMMYFUNCTION("""COMPUTED_VALUE"""),"dtcnewsletter")</f>
        <v>dtcnewsletter</v>
      </c>
    </row>
    <row r="6536">
      <c r="A6536" s="8" t="str">
        <f>IFERROR(__xludf.DUMMYFUNCTION("""COMPUTED_VALUE"""),"girlsnightinclub")</f>
        <v>girlsnightinclub</v>
      </c>
    </row>
    <row r="6537">
      <c r="A6537" s="8" t="str">
        <f>IFERROR(__xludf.DUMMYFUNCTION("""COMPUTED_VALUE"""),"tldr_newsletter")</f>
        <v>tldr_newsletter</v>
      </c>
    </row>
    <row r="6538">
      <c r="A6538" s="8" t="str">
        <f>IFERROR(__xludf.DUMMYFUNCTION("""COMPUTED_VALUE"""),"kids_age")</f>
        <v>kids_age</v>
      </c>
    </row>
    <row r="6539">
      <c r="A6539" s="8" t="str">
        <f>IFERROR(__xludf.DUMMYFUNCTION("""COMPUTED_VALUE"""),"neweranewspaper")</f>
        <v>neweranewspaper</v>
      </c>
    </row>
    <row r="6540">
      <c r="A6540" s="8" t="str">
        <f>IFERROR(__xludf.DUMMYFUNCTION("""COMPUTED_VALUE"""),"newspaperclub")</f>
        <v>newspaperclub</v>
      </c>
    </row>
    <row r="6541">
      <c r="A6541" s="8" t="str">
        <f>IFERROR(__xludf.DUMMYFUNCTION("""COMPUTED_VALUE"""),"newspaperscom")</f>
        <v>newspaperscom</v>
      </c>
    </row>
    <row r="6542">
      <c r="A6542" s="8" t="str">
        <f>IFERROR(__xludf.DUMMYFUNCTION("""COMPUTED_VALUE"""),"newspaper_tones")</f>
        <v>newspaper_tones</v>
      </c>
    </row>
    <row r="6543">
      <c r="A6543" s="8" t="str">
        <f>IFERROR(__xludf.DUMMYFUNCTION("""COMPUTED_VALUE"""),"theartnewspaper.official")</f>
        <v>theartnewspaper.official</v>
      </c>
    </row>
    <row r="6544">
      <c r="A6544" s="11" t="str">
        <f>IFERROR(__xludf.DUMMYFUNCTION("""COMPUTED_VALUE"""),"thenewspaper.pk")</f>
        <v>thenewspaper.pk</v>
      </c>
    </row>
    <row r="6545">
      <c r="A6545" s="8" t="str">
        <f>IFERROR(__xludf.DUMMYFUNCTION("""COMPUTED_VALUE"""),"kanaknewsroom")</f>
        <v>kanaknewsroom</v>
      </c>
    </row>
    <row r="6546">
      <c r="A6546" s="8" t="str">
        <f>IFERROR(__xludf.DUMMYFUNCTION("""COMPUTED_VALUE"""),"narasinewsroom")</f>
        <v>narasinewsroom</v>
      </c>
    </row>
    <row r="6547">
      <c r="A6547" s="8" t="str">
        <f>IFERROR(__xludf.DUMMYFUNCTION("""COMPUTED_VALUE"""),"newsroom")</f>
        <v>newsroom</v>
      </c>
    </row>
    <row r="6548">
      <c r="A6548" s="8" t="str">
        <f>IFERROR(__xludf.DUMMYFUNCTION("""COMPUTED_VALUE"""),"newsroom7ind")</f>
        <v>newsroom7ind</v>
      </c>
    </row>
    <row r="6549">
      <c r="A6549" s="8" t="str">
        <f>IFERROR(__xludf.DUMMYFUNCTION("""COMPUTED_VALUE"""),"newsroom_eg")</f>
        <v>newsroom_eg</v>
      </c>
    </row>
    <row r="6550">
      <c r="A6550" s="8" t="str">
        <f>IFERROR(__xludf.DUMMYFUNCTION("""COMPUTED_VALUE"""),"newsroomguyana")</f>
        <v>newsroomguyana</v>
      </c>
    </row>
    <row r="6551">
      <c r="A6551" s="8" t="str">
        <f>IFERROR(__xludf.DUMMYFUNCTION("""COMPUTED_VALUE"""),"newsroom.ku")</f>
        <v>newsroom.ku</v>
      </c>
    </row>
    <row r="6552">
      <c r="A6552" s="11" t="str">
        <f>IFERROR(__xludf.DUMMYFUNCTION("""COMPUTED_VALUE"""),"newsroom.kz")</f>
        <v>newsroom.kz</v>
      </c>
    </row>
    <row r="6553">
      <c r="A6553" s="11" t="str">
        <f>IFERROR(__xludf.DUMMYFUNCTION("""COMPUTED_VALUE"""),"newsroom.lb")</f>
        <v>newsroom.lb</v>
      </c>
    </row>
    <row r="6554">
      <c r="A6554" s="11" t="str">
        <f>IFERROR(__xludf.DUMMYFUNCTION("""COMPUTED_VALUE"""),"newsroom.nr")</f>
        <v>newsroom.nr</v>
      </c>
    </row>
    <row r="6555">
      <c r="A6555" s="8" t="str">
        <f>IFERROR(__xludf.DUMMYFUNCTION("""COMPUTED_VALUE"""),"newsroomnz")</f>
        <v>newsroomnz</v>
      </c>
    </row>
    <row r="6556">
      <c r="A6556" s="8" t="str">
        <f>IFERROR(__xludf.DUMMYFUNCTION("""COMPUTED_VALUE"""),"newsroomorissa")</f>
        <v>newsroomorissa</v>
      </c>
    </row>
    <row r="6557">
      <c r="A6557" s="8" t="str">
        <f>IFERROR(__xludf.DUMMYFUNCTION("""COMPUTED_VALUE"""),"newsroomrai")</f>
        <v>newsroomrai</v>
      </c>
    </row>
    <row r="6558">
      <c r="A6558" s="8" t="str">
        <f>IFERROR(__xludf.DUMMYFUNCTION("""COMPUTED_VALUE"""),"nvrsk_news_room")</f>
        <v>nvrsk_news_room</v>
      </c>
    </row>
    <row r="6559">
      <c r="A6559" s="8" t="str">
        <f>IFERROR(__xludf.DUMMYFUNCTION("""COMPUTED_VALUE"""),"porsche_newsroom")</f>
        <v>porsche_newsroom</v>
      </c>
    </row>
    <row r="6560">
      <c r="A6560" s="8" t="str">
        <f>IFERROR(__xludf.DUMMYFUNCTION("""COMPUTED_VALUE"""),"newsweek")</f>
        <v>newsweek</v>
      </c>
    </row>
    <row r="6561">
      <c r="A6561" s="8" t="str">
        <f>IFERROR(__xludf.DUMMYFUNCTION("""COMPUTED_VALUE"""),"newsweek_japan")</f>
        <v>newsweek_japan</v>
      </c>
    </row>
    <row r="6562">
      <c r="A6562" s="8" t="str">
        <f>IFERROR(__xludf.DUMMYFUNCTION("""COMPUTED_VALUE"""),"newsweek_officiall")</f>
        <v>newsweek_officiall</v>
      </c>
    </row>
    <row r="6563">
      <c r="A6563" s="8" t="str">
        <f>IFERROR(__xludf.DUMMYFUNCTION("""COMPUTED_VALUE"""),"newswirecom")</f>
        <v>newswirecom</v>
      </c>
    </row>
    <row r="6564">
      <c r="A6564" s="8" t="str">
        <f>IFERROR(__xludf.DUMMYFUNCTION("""COMPUTED_VALUE"""),"newswirelk")</f>
        <v>newswirelk</v>
      </c>
    </row>
    <row r="6565">
      <c r="A6565" s="8" t="str">
        <f>IFERROR(__xludf.DUMMYFUNCTION("""COMPUTED_VALUE"""),"newswirez")</f>
        <v>newswirez</v>
      </c>
    </row>
    <row r="6566">
      <c r="A6566" s="8" t="str">
        <f>IFERROR(__xludf.DUMMYFUNCTION("""COMPUTED_VALUE"""),"newyorker")</f>
        <v>newyorker</v>
      </c>
    </row>
    <row r="6567">
      <c r="A6567" s="8" t="str">
        <f>IFERROR(__xludf.DUMMYFUNCTION("""COMPUTED_VALUE"""),"newyorkercartoons")</f>
        <v>newyorkercartoons</v>
      </c>
    </row>
    <row r="6568">
      <c r="A6568" s="8" t="str">
        <f>IFERROR(__xludf.DUMMYFUNCTION("""COMPUTED_VALUE"""),"newyorkerfest")</f>
        <v>newyorkerfest</v>
      </c>
    </row>
    <row r="6569">
      <c r="A6569" s="8" t="str">
        <f>IFERROR(__xludf.DUMMYFUNCTION("""COMPUTED_VALUE"""),"newyorkerlions")</f>
        <v>newyorkerlions</v>
      </c>
    </row>
    <row r="6570">
      <c r="A6570" s="8" t="str">
        <f>IFERROR(__xludf.DUMMYFUNCTION("""COMPUTED_VALUE"""),"newyorkermag")</f>
        <v>newyorkermag</v>
      </c>
    </row>
    <row r="6571">
      <c r="A6571" s="8" t="str">
        <f>IFERROR(__xludf.DUMMYFUNCTION("""COMPUTED_VALUE"""),"newyorkerman")</f>
        <v>newyorkerman</v>
      </c>
    </row>
    <row r="6572">
      <c r="A6572" s="8" t="str">
        <f>IFERROR(__xludf.DUMMYFUNCTION("""COMPUTED_VALUE"""),"newyorkeronline")</f>
        <v>newyorkeronline</v>
      </c>
    </row>
    <row r="6573">
      <c r="A6573" s="8" t="str">
        <f>IFERROR(__xludf.DUMMYFUNCTION("""COMPUTED_VALUE"""),"newyorkerphoto")</f>
        <v>newyorkerphoto</v>
      </c>
    </row>
    <row r="6574">
      <c r="A6574" s="8" t="str">
        <f>IFERROR(__xludf.DUMMYFUNCTION("""COMPUTED_VALUE"""),"newyorkers")</f>
        <v>newyorkers</v>
      </c>
    </row>
    <row r="6575">
      <c r="A6575" s="8" t="str">
        <f>IFERROR(__xludf.DUMMYFUNCTION("""COMPUTED_VALUE"""),"newyork_uncut")</f>
        <v>newyork_uncut</v>
      </c>
    </row>
    <row r="6576">
      <c r="A6576" s="8" t="str">
        <f>IFERROR(__xludf.DUMMYFUNCTION("""COMPUTED_VALUE"""),"queensmedia_nyc")</f>
        <v>queensmedia_nyc</v>
      </c>
    </row>
    <row r="6577">
      <c r="A6577" s="8" t="str">
        <f>IFERROR(__xludf.DUMMYFUNCTION("""COMPUTED_VALUE"""),"felix_nmecha")</f>
        <v>felix_nmecha</v>
      </c>
    </row>
    <row r="6578">
      <c r="A6578" s="8" t="str">
        <f>IFERROR(__xludf.DUMMYFUNCTION("""COMPUTED_VALUE"""),"l.nmecha_")</f>
        <v>l.nmecha_</v>
      </c>
    </row>
    <row r="6579">
      <c r="A6579" s="8" t="str">
        <f>IFERROR(__xludf.DUMMYFUNCTION("""COMPUTED_VALUE"""),"nmemagazine")</f>
        <v>nmemagazine</v>
      </c>
    </row>
    <row r="6580">
      <c r="A6580" s="8" t="str">
        <f>IFERROR(__xludf.DUMMYFUNCTION("""COMPUTED_VALUE"""),"thenamenest")</f>
        <v>thenamenest</v>
      </c>
    </row>
    <row r="6581">
      <c r="A6581" s="8" t="str">
        <f>IFERROR(__xludf.DUMMYFUNCTION("""COMPUTED_VALUE"""),"nowthis")</f>
        <v>nowthis</v>
      </c>
    </row>
    <row r="6582">
      <c r="A6582" s="8" t="str">
        <f>IFERROR(__xludf.DUMMYFUNCTION("""COMPUTED_VALUE"""),"nowthisbooze")</f>
        <v>nowthisbooze</v>
      </c>
    </row>
    <row r="6583">
      <c r="A6583" s="8" t="str">
        <f>IFERROR(__xludf.DUMMYFUNCTION("""COMPUTED_VALUE"""),"nowthisearth")</f>
        <v>nowthisearth</v>
      </c>
    </row>
    <row r="6584">
      <c r="A6584" s="8" t="str">
        <f>IFERROR(__xludf.DUMMYFUNCTION("""COMPUTED_VALUE"""),"nowthisher")</f>
        <v>nowthisher</v>
      </c>
    </row>
    <row r="6585">
      <c r="A6585" s="8" t="str">
        <f>IFERROR(__xludf.DUMMYFUNCTION("""COMPUTED_VALUE"""),"nowthislook")</f>
        <v>nowthislook</v>
      </c>
    </row>
    <row r="6586">
      <c r="A6586" s="8" t="str">
        <f>IFERROR(__xludf.DUMMYFUNCTION("""COMPUTED_VALUE"""),"npr")</f>
        <v>npr</v>
      </c>
    </row>
    <row r="6587">
      <c r="A6587" s="8" t="str">
        <f>IFERROR(__xludf.DUMMYFUNCTION("""COMPUTED_VALUE"""),"nprcodeswitch")</f>
        <v>nprcodeswitch</v>
      </c>
    </row>
    <row r="6588">
      <c r="A6588" s="8" t="str">
        <f>IFERROR(__xludf.DUMMYFUNCTION("""COMPUTED_VALUE"""),"nprextra")</f>
        <v>nprextra</v>
      </c>
    </row>
    <row r="6589">
      <c r="A6589" s="8" t="str">
        <f>IFERROR(__xludf.DUMMYFUNCTION("""COMPUTED_VALUE"""),"nprlifekit")</f>
        <v>nprlifekit</v>
      </c>
    </row>
    <row r="6590">
      <c r="A6590" s="8" t="str">
        <f>IFERROR(__xludf.DUMMYFUNCTION("""COMPUTED_VALUE"""),"nprmusic")</f>
        <v>nprmusic</v>
      </c>
    </row>
    <row r="6591">
      <c r="A6591" s="8" t="str">
        <f>IFERROR(__xludf.DUMMYFUNCTION("""COMPUTED_VALUE"""),"nprpolitics")</f>
        <v>nprpolitics</v>
      </c>
    </row>
    <row r="6592">
      <c r="A6592" s="8" t="str">
        <f>IFERROR(__xludf.DUMMYFUNCTION("""COMPUTED_VALUE"""),"irina_numero")</f>
        <v>irina_numero</v>
      </c>
    </row>
    <row r="6593">
      <c r="A6593" s="8" t="str">
        <f>IFERROR(__xludf.DUMMYFUNCTION("""COMPUTED_VALUE"""),"miriinbalhassid_numerology")</f>
        <v>miriinbalhassid_numerology</v>
      </c>
    </row>
    <row r="6594">
      <c r="A6594" s="8" t="str">
        <f>IFERROR(__xludf.DUMMYFUNCTION("""COMPUTED_VALUE"""),"numeroberlin")</f>
        <v>numeroberlin</v>
      </c>
    </row>
    <row r="6595">
      <c r="A6595" s="8" t="str">
        <f>IFERROR(__xludf.DUMMYFUNCTION("""COMPUTED_VALUE"""),"numerologia_pro")</f>
        <v>numerologia_pro</v>
      </c>
    </row>
    <row r="6596">
      <c r="A6596" s="8" t="str">
        <f>IFERROR(__xludf.DUMMYFUNCTION("""COMPUTED_VALUE"""),"numeromagazine")</f>
        <v>numeromagazine</v>
      </c>
    </row>
    <row r="6597">
      <c r="A6597" s="8" t="str">
        <f>IFERROR(__xludf.DUMMYFUNCTION("""COMPUTED_VALUE"""),"numero_netherlands")</f>
        <v>numero_netherlands</v>
      </c>
    </row>
    <row r="6598">
      <c r="A6598" s="8" t="str">
        <f>IFERROR(__xludf.DUMMYFUNCTION("""COMPUTED_VALUE"""),"numerotokyo")</f>
        <v>numerotokyo</v>
      </c>
    </row>
    <row r="6599">
      <c r="A6599" s="8" t="str">
        <f>IFERROR(__xludf.DUMMYFUNCTION("""COMPUTED_VALUE"""),"sandradieznumerocoaching")</f>
        <v>sandradieznumerocoaching</v>
      </c>
    </row>
    <row r="6600">
      <c r="A6600" s="8" t="str">
        <f>IFERROR(__xludf.DUMMYFUNCTION("""COMPUTED_VALUE"""),"ok_mag")</f>
        <v>ok_mag</v>
      </c>
    </row>
    <row r="6601">
      <c r="A6601" s="8" t="str">
        <f>IFERROR(__xludf.DUMMYFUNCTION("""COMPUTED_VALUE"""),"okmagaustralia")</f>
        <v>okmagaustralia</v>
      </c>
    </row>
    <row r="6602">
      <c r="A6602" s="8" t="str">
        <f>IFERROR(__xludf.DUMMYFUNCTION("""COMPUTED_VALUE"""),"okmagazine")</f>
        <v>okmagazine</v>
      </c>
    </row>
    <row r="6603">
      <c r="A6603" s="8" t="str">
        <f>IFERROR(__xludf.DUMMYFUNCTION("""COMPUTED_VALUE"""),"okmagazine_china")</f>
        <v>okmagazine_china</v>
      </c>
    </row>
    <row r="6604">
      <c r="A6604" s="8" t="str">
        <f>IFERROR(__xludf.DUMMYFUNCTION("""COMPUTED_VALUE"""),"okmagazine_events")</f>
        <v>okmagazine_events</v>
      </c>
    </row>
    <row r="6605">
      <c r="A6605" s="8" t="str">
        <f>IFERROR(__xludf.DUMMYFUNCTION("""COMPUTED_VALUE"""),"okmagazineoficial")</f>
        <v>okmagazineoficial</v>
      </c>
    </row>
    <row r="6606">
      <c r="A6606" s="8" t="str">
        <f>IFERROR(__xludf.DUMMYFUNCTION("""COMPUTED_VALUE"""),"okmagazineromania")</f>
        <v>okmagazineromania</v>
      </c>
    </row>
    <row r="6607">
      <c r="A6607" s="8" t="str">
        <f>IFERROR(__xludf.DUMMYFUNCTION("""COMPUTED_VALUE"""),"okmagazinethailand")</f>
        <v>okmagazinethailand</v>
      </c>
    </row>
    <row r="6608">
      <c r="A6608" s="11" t="str">
        <f>IFERROR(__xludf.DUMMYFUNCTION("""COMPUTED_VALUE"""),"okmag.gr")</f>
        <v>okmag.gr</v>
      </c>
    </row>
    <row r="6609">
      <c r="A6609" s="8" t="str">
        <f>IFERROR(__xludf.DUMMYFUNCTION("""COMPUTED_VALUE"""),"eduardomanop")</f>
        <v>eduardomanop</v>
      </c>
    </row>
    <row r="6610">
      <c r="A6610" s="8" t="str">
        <f>IFERROR(__xludf.DUMMYFUNCTION("""COMPUTED_VALUE"""),"op_editor443")</f>
        <v>op_editor443</v>
      </c>
    </row>
    <row r="6611">
      <c r="A6611" s="8" t="str">
        <f>IFERROR(__xludf.DUMMYFUNCTION("""COMPUTED_VALUE"""),"op__editor__ak__00___")</f>
        <v>op__editor__ak__00___</v>
      </c>
    </row>
    <row r="6612">
      <c r="A6612" s="8" t="str">
        <f>IFERROR(__xludf.DUMMYFUNCTION("""COMPUTED_VALUE"""),"op__editz007")</f>
        <v>op__editz007</v>
      </c>
    </row>
    <row r="6613">
      <c r="A6613" s="8" t="str">
        <f>IFERROR(__xludf.DUMMYFUNCTION("""COMPUTED_VALUE"""),"opedriinnn")</f>
        <v>opedriinnn</v>
      </c>
    </row>
    <row r="6614">
      <c r="A6614" s="8" t="str">
        <f>IFERROR(__xludf.DUMMYFUNCTION("""COMPUTED_VALUE"""),"opedroke")</f>
        <v>opedroke</v>
      </c>
    </row>
    <row r="6615">
      <c r="A6615" s="8" t="str">
        <f>IFERROR(__xludf.DUMMYFUNCTION("""COMPUTED_VALUE"""),"opedzin")</f>
        <v>opedzin</v>
      </c>
    </row>
    <row r="6616">
      <c r="A6616" s="8" t="str">
        <f>IFERROR(__xludf.DUMMYFUNCTION("""COMPUTED_VALUE"""),"salluxe")</f>
        <v>salluxe</v>
      </c>
    </row>
    <row r="6617">
      <c r="A6617" s="8" t="str">
        <f>IFERROR(__xludf.DUMMYFUNCTION("""COMPUTED_VALUE"""),"bloombergopinion")</f>
        <v>bloombergopinion</v>
      </c>
    </row>
    <row r="6618">
      <c r="A6618" s="8" t="str">
        <f>IFERROR(__xludf.DUMMYFUNCTION("""COMPUTED_VALUE"""),"correct.opinions")</f>
        <v>correct.opinions</v>
      </c>
    </row>
    <row r="6619">
      <c r="A6619" s="8" t="str">
        <f>IFERROR(__xludf.DUMMYFUNCTION("""COMPUTED_VALUE"""),"diariopinionec")</f>
        <v>diariopinionec</v>
      </c>
    </row>
    <row r="6620">
      <c r="A6620" s="8" t="str">
        <f>IFERROR(__xludf.DUMMYFUNCTION("""COMPUTED_VALUE"""),"elpais_opinion")</f>
        <v>elpais_opinion</v>
      </c>
    </row>
    <row r="6621">
      <c r="A6621" s="8" t="str">
        <f>IFERROR(__xludf.DUMMYFUNCTION("""COMPUTED_VALUE"""),"laopinionla")</f>
        <v>laopinionla</v>
      </c>
    </row>
    <row r="6622">
      <c r="A6622" s="8" t="str">
        <f>IFERROR(__xludf.DUMMYFUNCTION("""COMPUTED_VALUE"""),"nytopinion")</f>
        <v>nytopinion</v>
      </c>
    </row>
    <row r="6623">
      <c r="A6623" s="11" t="str">
        <f>IFERROR(__xludf.DUMMYFUNCTION("""COMPUTED_VALUE"""),"opinion.al")</f>
        <v>opinion.al</v>
      </c>
    </row>
    <row r="6624">
      <c r="A6624" s="8" t="str">
        <f>IFERROR(__xludf.DUMMYFUNCTION("""COMPUTED_VALUE"""),"opinion.frontal")</f>
        <v>opinion.frontal</v>
      </c>
    </row>
    <row r="6625">
      <c r="A6625" s="8" t="str">
        <f>IFERROR(__xludf.DUMMYFUNCTION("""COMPUTED_VALUE"""),"hedonism_home_outlet")</f>
        <v>hedonism_home_outlet</v>
      </c>
    </row>
    <row r="6626">
      <c r="A6626" s="8" t="str">
        <f>IFERROR(__xludf.DUMMYFUNCTION("""COMPUTED_VALUE"""),"outlet_de_99")</f>
        <v>outlet_de_99</v>
      </c>
    </row>
    <row r="6627">
      <c r="A6627" s="8" t="str">
        <f>IFERROR(__xludf.DUMMYFUNCTION("""COMPUTED_VALUE"""),"outlet_marechal")</f>
        <v>outlet_marechal</v>
      </c>
    </row>
    <row r="6628">
      <c r="A6628" s="8" t="str">
        <f>IFERROR(__xludf.DUMMYFUNCTION("""COMPUTED_VALUE"""),"outlet_meblowy_monrol")</f>
        <v>outlet_meblowy_monrol</v>
      </c>
    </row>
    <row r="6629">
      <c r="A6629" s="8" t="str">
        <f>IFERROR(__xludf.DUMMYFUNCTION("""COMPUTED_VALUE"""),"outletnetwork")</f>
        <v>outletnetwork</v>
      </c>
    </row>
    <row r="6630">
      <c r="A6630" s="8" t="str">
        <f>IFERROR(__xludf.DUMMYFUNCTION("""COMPUTED_VALUE"""),"outlet__ua")</f>
        <v>outlet__ua</v>
      </c>
    </row>
    <row r="6631">
      <c r="A6631" s="8" t="str">
        <f>IFERROR(__xludf.DUMMYFUNCTION("""COMPUTED_VALUE"""),"sauvage.outlet")</f>
        <v>sauvage.outlet</v>
      </c>
    </row>
    <row r="6632">
      <c r="A6632" s="8" t="str">
        <f>IFERROR(__xludf.DUMMYFUNCTION("""COMPUTED_VALUE"""),"tbilisi_outlet_village")</f>
        <v>tbilisi_outlet_village</v>
      </c>
    </row>
    <row r="6633">
      <c r="A6633" s="8" t="str">
        <f>IFERROR(__xludf.DUMMYFUNCTION("""COMPUTED_VALUE"""),"thatoutletgirl")</f>
        <v>thatoutletgirl</v>
      </c>
    </row>
    <row r="6634">
      <c r="A6634" s="8" t="str">
        <f>IFERROR(__xludf.DUMMYFUNCTION("""COMPUTED_VALUE"""),"ote")</f>
        <v>ote</v>
      </c>
    </row>
    <row r="6635">
      <c r="A6635" s="8" t="str">
        <f>IFERROR(__xludf.DUMMYFUNCTION("""COMPUTED_VALUE"""),"overtime")</f>
        <v>overtime</v>
      </c>
    </row>
    <row r="6636">
      <c r="A6636" s="8" t="str">
        <f>IFERROR(__xludf.DUMMYFUNCTION("""COMPUTED_VALUE"""),"overtime_2x")</f>
        <v>overtime_2x</v>
      </c>
    </row>
    <row r="6637">
      <c r="A6637" s="8" t="str">
        <f>IFERROR(__xludf.DUMMYFUNCTION("""COMPUTED_VALUE"""),"overtimeboxing")</f>
        <v>overtimeboxing</v>
      </c>
    </row>
    <row r="6638">
      <c r="A6638" s="8" t="str">
        <f>IFERROR(__xludf.DUMMYFUNCTION("""COMPUTED_VALUE"""),"overtimeeur")</f>
        <v>overtimeeur</v>
      </c>
    </row>
    <row r="6639">
      <c r="A6639" s="8" t="str">
        <f>IFERROR(__xludf.DUMMYFUNCTION("""COMPUTED_VALUE"""),"overtimefc")</f>
        <v>overtimefc</v>
      </c>
    </row>
    <row r="6640">
      <c r="A6640" s="8" t="str">
        <f>IFERROR(__xludf.DUMMYFUNCTION("""COMPUTED_VALUE"""),"overtimefr")</f>
        <v>overtimefr</v>
      </c>
    </row>
    <row r="6641">
      <c r="A6641" s="8" t="str">
        <f>IFERROR(__xludf.DUMMYFUNCTION("""COMPUTED_VALUE"""),"overtimegg")</f>
        <v>overtimegg</v>
      </c>
    </row>
    <row r="6642">
      <c r="A6642" s="8" t="str">
        <f>IFERROR(__xludf.DUMMYFUNCTION("""COMPUTED_VALUE"""),"overtimeind")</f>
        <v>overtimeind</v>
      </c>
    </row>
    <row r="6643">
      <c r="A6643" s="8" t="str">
        <f>IFERROR(__xludf.DUMMYFUNCTION("""COMPUTED_VALUE"""),"overtimemegan")</f>
        <v>overtimemegan</v>
      </c>
    </row>
    <row r="6644">
      <c r="A6644" s="8" t="str">
        <f>IFERROR(__xludf.DUMMYFUNCTION("""COMPUTED_VALUE"""),"overtimesammy")</f>
        <v>overtimesammy</v>
      </c>
    </row>
    <row r="6645">
      <c r="A6645" s="8" t="str">
        <f>IFERROR(__xludf.DUMMYFUNCTION("""COMPUTED_VALUE"""),"overtimeselect")</f>
        <v>overtimeselect</v>
      </c>
    </row>
    <row r="6646">
      <c r="A6646" s="8" t="str">
        <f>IFERROR(__xludf.DUMMYFUNCTION("""COMPUTED_VALUE"""),"overtimetennis")</f>
        <v>overtimetennis</v>
      </c>
    </row>
    <row r="6647">
      <c r="A6647" s="8" t="str">
        <f>IFERROR(__xludf.DUMMYFUNCTION("""COMPUTED_VALUE"""),"overtimewbb")</f>
        <v>overtimewbb</v>
      </c>
    </row>
    <row r="6648">
      <c r="A6648" s="8" t="str">
        <f>IFERROR(__xludf.DUMMYFUNCTION("""COMPUTED_VALUE"""),"itsme.ozgei")</f>
        <v>itsme.ozgei</v>
      </c>
    </row>
    <row r="6649">
      <c r="A6649" s="8" t="str">
        <f>IFERROR(__xludf.DUMMYFUNCTION("""COMPUTED_VALUE"""),"ohbyozy")</f>
        <v>ohbyozy</v>
      </c>
    </row>
    <row r="6650">
      <c r="A6650" s="8" t="str">
        <f>IFERROR(__xludf.DUMMYFUNCTION("""COMPUTED_VALUE"""),"ozy")</f>
        <v>ozy</v>
      </c>
    </row>
    <row r="6651">
      <c r="A6651" s="8" t="str">
        <f>IFERROR(__xludf.DUMMYFUNCTION("""COMPUTED_VALUE"""),"ozyahyaa")</f>
        <v>ozyahyaa</v>
      </c>
    </row>
    <row r="6652">
      <c r="A6652" s="8" t="str">
        <f>IFERROR(__xludf.DUMMYFUNCTION("""COMPUTED_VALUE"""),"ozy_worldy")</f>
        <v>ozy_worldy</v>
      </c>
    </row>
    <row r="6653">
      <c r="A6653" s="8" t="str">
        <f>IFERROR(__xludf.DUMMYFUNCTION("""COMPUTED_VALUE"""),"papermagazine")</f>
        <v>papermagazine</v>
      </c>
    </row>
    <row r="6654">
      <c r="A6654" s="8" t="str">
        <f>IFERROR(__xludf.DUMMYFUNCTION("""COMPUTED_VALUE"""),"masterpiecepbs")</f>
        <v>masterpiecepbs</v>
      </c>
    </row>
    <row r="6655">
      <c r="A6655" s="8" t="str">
        <f>IFERROR(__xludf.DUMMYFUNCTION("""COMPUTED_VALUE"""),"newshour")</f>
        <v>newshour</v>
      </c>
    </row>
    <row r="6656">
      <c r="A6656" s="8" t="str">
        <f>IFERROR(__xludf.DUMMYFUNCTION("""COMPUTED_VALUE"""),"p_bashandeh")</f>
        <v>p_bashandeh</v>
      </c>
    </row>
    <row r="6657">
      <c r="A6657" s="8" t="str">
        <f>IFERROR(__xludf.DUMMYFUNCTION("""COMPUTED_VALUE"""),"pbatour")</f>
        <v>pbatour</v>
      </c>
    </row>
    <row r="6658">
      <c r="A6658" s="8" t="str">
        <f>IFERROR(__xludf.DUMMYFUNCTION("""COMPUTED_VALUE"""),"pbs")</f>
        <v>pbs</v>
      </c>
    </row>
    <row r="6659">
      <c r="A6659" s="8" t="str">
        <f>IFERROR(__xludf.DUMMYFUNCTION("""COMPUTED_VALUE"""),"pbsds")</f>
        <v>pbsds</v>
      </c>
    </row>
    <row r="6660">
      <c r="A6660" s="8" t="str">
        <f>IFERROR(__xludf.DUMMYFUNCTION("""COMPUTED_VALUE"""),"pbskids")</f>
        <v>pbskids</v>
      </c>
    </row>
    <row r="6661">
      <c r="A6661" s="8" t="str">
        <f>IFERROR(__xludf.DUMMYFUNCTION("""COMPUTED_VALUE"""),"pbssocal")</f>
        <v>pbssocal</v>
      </c>
    </row>
    <row r="6662">
      <c r="A6662" s="8" t="str">
        <f>IFERROR(__xludf.DUMMYFUNCTION("""COMPUTED_VALUE"""),"pbsuplementos")</f>
        <v>pbsuplementos</v>
      </c>
    </row>
    <row r="6663">
      <c r="A6663" s="8" t="str">
        <f>IFERROR(__xludf.DUMMYFUNCTION("""COMPUTED_VALUE"""),"pbsuplementoscg")</f>
        <v>pbsuplementoscg</v>
      </c>
    </row>
    <row r="6664">
      <c r="A6664" s="8" t="str">
        <f>IFERROR(__xludf.DUMMYFUNCTION("""COMPUTED_VALUE"""),"publicbathroomstilllife")</f>
        <v>publicbathroomstilllife</v>
      </c>
    </row>
    <row r="6665">
      <c r="A6665" s="8" t="str">
        <f>IFERROR(__xludf.DUMMYFUNCTION("""COMPUTED_VALUE"""),"pcmag")</f>
        <v>pcmag</v>
      </c>
    </row>
    <row r="6666">
      <c r="A6666" s="8" t="str">
        <f>IFERROR(__xludf.DUMMYFUNCTION("""COMPUTED_VALUE"""),"business_people_")</f>
        <v>business_people_</v>
      </c>
    </row>
    <row r="6667">
      <c r="A6667" s="8" t="str">
        <f>IFERROR(__xludf.DUMMYFUNCTION("""COMPUTED_VALUE"""),"drunkpeopledoingthings")</f>
        <v>drunkpeopledoingthings</v>
      </c>
    </row>
    <row r="6668">
      <c r="A6668" s="8" t="str">
        <f>IFERROR(__xludf.DUMMYFUNCTION("""COMPUTED_VALUE"""),"freepeople")</f>
        <v>freepeople</v>
      </c>
    </row>
    <row r="6669">
      <c r="A6669" s="8" t="str">
        <f>IFERROR(__xludf.DUMMYFUNCTION("""COMPUTED_VALUE"""),"management")</f>
        <v>management</v>
      </c>
    </row>
    <row r="6670">
      <c r="A6670" s="8" t="str">
        <f>IFERROR(__xludf.DUMMYFUNCTION("""COMPUTED_VALUE"""),"people")</f>
        <v>people</v>
      </c>
    </row>
    <row r="6671">
      <c r="A6671" s="8" t="str">
        <f>IFERROR(__xludf.DUMMYFUNCTION("""COMPUTED_VALUE"""),"people.rishon")</f>
        <v>people.rishon</v>
      </c>
    </row>
    <row r="6672">
      <c r="A6672" s="8" t="str">
        <f>IFERROR(__xludf.DUMMYFUNCTION("""COMPUTED_VALUE"""),"peoplevspranks")</f>
        <v>peoplevspranks</v>
      </c>
    </row>
    <row r="6673">
      <c r="A6673" s="8" t="str">
        <f>IFERROR(__xludf.DUMMYFUNCTION("""COMPUTED_VALUE"""),"psy.people")</f>
        <v>psy.people</v>
      </c>
    </row>
    <row r="6674">
      <c r="A6674" s="8" t="str">
        <f>IFERROR(__xludf.DUMMYFUNCTION("""COMPUTED_VALUE"""),"chola_a_periodical")</f>
        <v>chola_a_periodical</v>
      </c>
    </row>
    <row r="6675">
      <c r="A6675" s="8" t="str">
        <f>IFERROR(__xludf.DUMMYFUNCTION("""COMPUTED_VALUE"""),"periodical_powers")</f>
        <v>periodical_powers</v>
      </c>
    </row>
    <row r="6676">
      <c r="A6676" s="8" t="str">
        <f>IFERROR(__xludf.DUMMYFUNCTION("""COMPUTED_VALUE"""),"pitchfork")</f>
        <v>pitchfork</v>
      </c>
    </row>
    <row r="6677">
      <c r="A6677" s="8" t="str">
        <f>IFERROR(__xludf.DUMMYFUNCTION("""COMPUTED_VALUE"""),"pitchforkcdmx")</f>
        <v>pitchforkcdmx</v>
      </c>
    </row>
    <row r="6678">
      <c r="A6678" s="8" t="str">
        <f>IFERROR(__xludf.DUMMYFUNCTION("""COMPUTED_VALUE"""),"pitchforkfest")</f>
        <v>pitchforkfest</v>
      </c>
    </row>
    <row r="6679">
      <c r="A6679" s="8" t="str">
        <f>IFERROR(__xludf.DUMMYFUNCTION("""COMPUTED_VALUE"""),"pitchforkparis")</f>
        <v>pitchforkparis</v>
      </c>
    </row>
    <row r="6680">
      <c r="A6680" s="8" t="str">
        <f>IFERROR(__xludf.DUMMYFUNCTION("""COMPUTED_VALUE"""),"pitchforkranch")</f>
        <v>pitchforkranch</v>
      </c>
    </row>
    <row r="6681">
      <c r="A6681" s="8" t="str">
        <f>IFERROR(__xludf.DUMMYFUNCTION("""COMPUTED_VALUE"""),"pitchforkz")</f>
        <v>pitchforkz</v>
      </c>
    </row>
    <row r="6682">
      <c r="A6682" s="8" t="str">
        <f>IFERROR(__xludf.DUMMYFUNCTION("""COMPUTED_VALUE"""),"ask_nebula")</f>
        <v>ask_nebula</v>
      </c>
    </row>
    <row r="6683">
      <c r="A6683" s="8" t="str">
        <f>IFERROR(__xludf.DUMMYFUNCTION("""COMPUTED_VALUE"""),"eyesplatform")</f>
        <v>eyesplatform</v>
      </c>
    </row>
    <row r="6684">
      <c r="A6684" s="8" t="str">
        <f>IFERROR(__xludf.DUMMYFUNCTION("""COMPUTED_VALUE"""),"feinstore_id")</f>
        <v>feinstore_id</v>
      </c>
    </row>
    <row r="6685">
      <c r="A6685" s="8" t="str">
        <f>IFERROR(__xludf.DUMMYFUNCTION("""COMPUTED_VALUE"""),"fshnistaapp")</f>
        <v>fshnistaapp</v>
      </c>
    </row>
    <row r="6686">
      <c r="A6686" s="8" t="str">
        <f>IFERROR(__xludf.DUMMYFUNCTION("""COMPUTED_VALUE"""),"ibrahimxplatform")</f>
        <v>ibrahimxplatform</v>
      </c>
    </row>
    <row r="6687">
      <c r="A6687" s="8" t="str">
        <f>IFERROR(__xludf.DUMMYFUNCTION("""COMPUTED_VALUE"""),"platformart_com")</f>
        <v>platformart_com</v>
      </c>
    </row>
    <row r="6688">
      <c r="A6688" s="8" t="str">
        <f>IFERROR(__xludf.DUMMYFUNCTION("""COMPUTED_VALUE"""),"platformbeerco")</f>
        <v>platformbeerco</v>
      </c>
    </row>
    <row r="6689">
      <c r="A6689" s="8" t="str">
        <f>IFERROR(__xludf.DUMMYFUNCTION("""COMPUTED_VALUE"""),"platform_la")</f>
        <v>platform_la</v>
      </c>
    </row>
    <row r="6690">
      <c r="A6690" s="8" t="str">
        <f>IFERROR(__xludf.DUMMYFUNCTION("""COMPUTED_VALUE"""),"shapeplatform")</f>
        <v>shapeplatform</v>
      </c>
    </row>
    <row r="6691">
      <c r="A6691" s="8" t="str">
        <f>IFERROR(__xludf.DUMMYFUNCTION("""COMPUTED_VALUE"""),"surfstore.idn")</f>
        <v>surfstore.idn</v>
      </c>
    </row>
    <row r="6692">
      <c r="A6692" s="8" t="str">
        <f>IFERROR(__xludf.DUMMYFUNCTION("""COMPUTED_VALUE"""),"theplatformstudios")</f>
        <v>theplatformstudios</v>
      </c>
    </row>
    <row r="6693">
      <c r="A6693" s="8" t="str">
        <f>IFERROR(__xludf.DUMMYFUNCTION("""COMPUTED_VALUE"""),"disculpenlosovarios")</f>
        <v>disculpenlosovarios</v>
      </c>
    </row>
    <row r="6694">
      <c r="A6694" s="8" t="str">
        <f>IFERROR(__xludf.DUMMYFUNCTION("""COMPUTED_VALUE"""),"dshands")</f>
        <v>dshands</v>
      </c>
    </row>
    <row r="6695">
      <c r="A6695" s="8" t="str">
        <f>IFERROR(__xludf.DUMMYFUNCTION("""COMPUTED_VALUE"""),"klara.leben")</f>
        <v>klara.leben</v>
      </c>
    </row>
    <row r="6696">
      <c r="A6696" s="8" t="str">
        <f>IFERROR(__xludf.DUMMYFUNCTION("""COMPUTED_VALUE"""),"lasalucines_podcast")</f>
        <v>lasalucines_podcast</v>
      </c>
    </row>
    <row r="6697">
      <c r="A6697" s="8" t="str">
        <f>IFERROR(__xludf.DUMMYFUNCTION("""COMPUTED_VALUE"""),"pagodecast_")</f>
        <v>pagodecast_</v>
      </c>
    </row>
    <row r="6698">
      <c r="A6698" s="8" t="str">
        <f>IFERROR(__xludf.DUMMYFUNCTION("""COMPUTED_VALUE"""),"podcast")</f>
        <v>podcast</v>
      </c>
    </row>
    <row r="6699">
      <c r="A6699" s="8" t="str">
        <f>IFERROR(__xludf.DUMMYFUNCTION("""COMPUTED_VALUE"""),"podcastandchillnetwork")</f>
        <v>podcastandchillnetwork</v>
      </c>
    </row>
    <row r="6700">
      <c r="A6700" s="8" t="str">
        <f>IFERROR(__xludf.DUMMYFUNCTION("""COMPUTED_VALUE"""),"podcastotv")</f>
        <v>podcastotv</v>
      </c>
    </row>
    <row r="6701">
      <c r="A6701" s="8" t="str">
        <f>IFERROR(__xludf.DUMMYFUNCTION("""COMPUTED_VALUE"""),"poddelas")</f>
        <v>poddelas</v>
      </c>
    </row>
    <row r="6702">
      <c r="A6702" s="8" t="str">
        <f>IFERROR(__xludf.DUMMYFUNCTION("""COMPUTED_VALUE"""),"seregalandudas")</f>
        <v>seregalandudas</v>
      </c>
    </row>
    <row r="6703">
      <c r="A6703" s="8" t="str">
        <f>IFERROR(__xludf.DUMMYFUNCTION("""COMPUTED_VALUE"""),"shxtsngigs")</f>
        <v>shxtsngigs</v>
      </c>
    </row>
    <row r="6704">
      <c r="A6704" s="8" t="str">
        <f>IFERROR(__xludf.DUMMYFUNCTION("""COMPUTED_VALUE"""),"talkvillepodcast")</f>
        <v>talkvillepodcast</v>
      </c>
    </row>
    <row r="6705">
      <c r="A6705" s="8" t="str">
        <f>IFERROR(__xludf.DUMMYFUNCTION("""COMPUTED_VALUE"""),"themelrobbinspodcast")</f>
        <v>themelrobbinspodcast</v>
      </c>
    </row>
    <row r="6706">
      <c r="A6706" s="8" t="str">
        <f>IFERROR(__xludf.DUMMYFUNCTION("""COMPUTED_VALUE"""),"thepivot")</f>
        <v>thepivot</v>
      </c>
    </row>
    <row r="6707">
      <c r="A6707" s="8" t="str">
        <f>IFERROR(__xludf.DUMMYFUNCTION("""COMPUTED_VALUE"""),"cathy.heller")</f>
        <v>cathy.heller</v>
      </c>
    </row>
    <row r="6708">
      <c r="A6708" s="8" t="str">
        <f>IFERROR(__xludf.DUMMYFUNCTION("""COMPUTED_VALUE"""),"healthybyheatherbrown")</f>
        <v>healthybyheatherbrown</v>
      </c>
    </row>
    <row r="6709">
      <c r="A6709" s="8" t="str">
        <f>IFERROR(__xludf.DUMMYFUNCTION("""COMPUTED_VALUE"""),"impriyasomani")</f>
        <v>impriyasomani</v>
      </c>
    </row>
    <row r="6710">
      <c r="A6710" s="8" t="str">
        <f>IFERROR(__xludf.DUMMYFUNCTION("""COMPUTED_VALUE"""),"jumiagency")</f>
        <v>jumiagency</v>
      </c>
    </row>
    <row r="6711">
      <c r="A6711" s="8" t="str">
        <f>IFERROR(__xludf.DUMMYFUNCTION("""COMPUTED_VALUE"""),"laurenmhouse")</f>
        <v>laurenmhouse</v>
      </c>
    </row>
    <row r="6712">
      <c r="A6712" s="8" t="str">
        <f>IFERROR(__xludf.DUMMYFUNCTION("""COMPUTED_VALUE"""),"podcasterix")</f>
        <v>podcasterix</v>
      </c>
    </row>
    <row r="6713">
      <c r="A6713" s="8" t="str">
        <f>IFERROR(__xludf.DUMMYFUNCTION("""COMPUTED_VALUE"""),"podcastersingh")</f>
        <v>podcastersingh</v>
      </c>
    </row>
    <row r="6714">
      <c r="A6714" s="8" t="str">
        <f>IFERROR(__xludf.DUMMYFUNCTION("""COMPUTED_VALUE"""),"tuamigapsicologaa")</f>
        <v>tuamigapsicologaa</v>
      </c>
    </row>
    <row r="6715">
      <c r="A6715" s="8" t="str">
        <f>IFERROR(__xludf.DUMMYFUNCTION("""COMPUTED_VALUE"""),"twinspodcaster")</f>
        <v>twinspodcaster</v>
      </c>
    </row>
    <row r="6716">
      <c r="A6716" s="8" t="str">
        <f>IFERROR(__xludf.DUMMYFUNCTION("""COMPUTED_VALUE"""),"viral___podcaster")</f>
        <v>viral___podcaster</v>
      </c>
    </row>
    <row r="6717">
      <c r="A6717" s="8" t="str">
        <f>IFERROR(__xludf.DUMMYFUNCTION("""COMPUTED_VALUE"""),"willowbrookfarmlife")</f>
        <v>willowbrookfarmlife</v>
      </c>
    </row>
    <row r="6718">
      <c r="A6718" s="8" t="str">
        <f>IFERROR(__xludf.DUMMYFUNCTION("""COMPUTED_VALUE"""),"politico")</f>
        <v>politico</v>
      </c>
    </row>
    <row r="6719">
      <c r="A6719" s="8" t="str">
        <f>IFERROR(__xludf.DUMMYFUNCTION("""COMPUTED_VALUE"""),"politicoeurope")</f>
        <v>politicoeurope</v>
      </c>
    </row>
    <row r="6720">
      <c r="A6720" s="8" t="str">
        <f>IFERROR(__xludf.DUMMYFUNCTION("""COMPUTED_VALUE"""),"politico_joe")</f>
        <v>politico_joe</v>
      </c>
    </row>
    <row r="6721">
      <c r="A6721" s="8" t="str">
        <f>IFERROR(__xludf.DUMMYFUNCTION("""COMPUTED_VALUE"""),"politicomag")</f>
        <v>politicomag</v>
      </c>
    </row>
    <row r="6722">
      <c r="A6722" s="8" t="str">
        <f>IFERROR(__xludf.DUMMYFUNCTION("""COMPUTED_VALUE"""),"politicomx")</f>
        <v>politicomx</v>
      </c>
    </row>
    <row r="6723">
      <c r="A6723" s="8" t="str">
        <f>IFERROR(__xludf.DUMMYFUNCTION("""COMPUTED_VALUE"""),"politicon")</f>
        <v>politicon</v>
      </c>
    </row>
    <row r="6724">
      <c r="A6724" s="8" t="str">
        <f>IFERROR(__xludf.DUMMYFUNCTION("""COMPUTED_VALUE"""),"pulsopoliticomx_")</f>
        <v>pulsopoliticomx_</v>
      </c>
    </row>
    <row r="6725">
      <c r="A6725" s="8" t="str">
        <f>IFERROR(__xludf.DUMMYFUNCTION("""COMPUTED_VALUE"""),"rankingdospoliticos")</f>
        <v>rankingdospoliticos</v>
      </c>
    </row>
    <row r="6726">
      <c r="A6726" s="8" t="str">
        <f>IFERROR(__xludf.DUMMYFUNCTION("""COMPUTED_VALUE"""),"poly_gon15")</f>
        <v>poly_gon15</v>
      </c>
    </row>
    <row r="6727">
      <c r="A6727" s="8" t="str">
        <f>IFERROR(__xludf.DUMMYFUNCTION("""COMPUTED_VALUE"""),"polygondotcom")</f>
        <v>polygondotcom</v>
      </c>
    </row>
    <row r="6728">
      <c r="A6728" s="8" t="str">
        <f>IFERROR(__xludf.DUMMYFUNCTION("""COMPUTED_VALUE"""),"a_portal_")</f>
        <v>a_portal_</v>
      </c>
    </row>
    <row r="6729">
      <c r="A6729" s="8" t="str">
        <f>IFERROR(__xludf.DUMMYFUNCTION("""COMPUTED_VALUE"""),"dmportaloficial")</f>
        <v>dmportaloficial</v>
      </c>
    </row>
    <row r="6730">
      <c r="A6730" s="8" t="str">
        <f>IFERROR(__xludf.DUMMYFUNCTION("""COMPUTED_VALUE"""),"portal6noticiasgoiania")</f>
        <v>portal6noticiasgoiania</v>
      </c>
    </row>
    <row r="6731">
      <c r="A6731" s="8" t="str">
        <f>IFERROR(__xludf.DUMMYFUNCTION("""COMPUTED_VALUE"""),"portaldafama")</f>
        <v>portaldafama</v>
      </c>
    </row>
    <row r="6732">
      <c r="A6732" s="8" t="str">
        <f>IFERROR(__xludf.DUMMYFUNCTION("""COMPUTED_VALUE"""),"portalleodiasoficial")</f>
        <v>portalleodiasoficial</v>
      </c>
    </row>
    <row r="6733">
      <c r="A6733" s="8" t="str">
        <f>IFERROR(__xludf.DUMMYFUNCTION("""COMPUTED_VALUE"""),"portalmistyco")</f>
        <v>portalmistyco</v>
      </c>
    </row>
    <row r="6734">
      <c r="A6734" s="8" t="str">
        <f>IFERROR(__xludf.DUMMYFUNCTION("""COMPUTED_VALUE"""),"portalmpa")</f>
        <v>portalmpa</v>
      </c>
    </row>
    <row r="6735">
      <c r="A6735" s="8" t="str">
        <f>IFERROR(__xludf.DUMMYFUNCTION("""COMPUTED_VALUE"""),"portalr7")</f>
        <v>portalr7</v>
      </c>
    </row>
    <row r="6736">
      <c r="A6736" s="8" t="str">
        <f>IFERROR(__xludf.DUMMYFUNCTION("""COMPUTED_VALUE"""),"portalraizes")</f>
        <v>portalraizes</v>
      </c>
    </row>
    <row r="6737">
      <c r="A6737" s="8" t="str">
        <f>IFERROR(__xludf.DUMMYFUNCTION("""COMPUTED_VALUE"""),"il_post")</f>
        <v>il_post</v>
      </c>
    </row>
    <row r="6738">
      <c r="A6738" s="8" t="str">
        <f>IFERROR(__xludf.DUMMYFUNCTION("""COMPUTED_VALUE"""),"postmalone")</f>
        <v>postmalone</v>
      </c>
    </row>
    <row r="6739">
      <c r="A6739" s="8" t="str">
        <f>IFERROR(__xludf.DUMMYFUNCTION("""COMPUTED_VALUE"""),"postmeridiem_brand")</f>
        <v>postmeridiem_brand</v>
      </c>
    </row>
    <row r="6740">
      <c r="A6740" s="8" t="str">
        <f>IFERROR(__xludf.DUMMYFUNCTION("""COMPUTED_VALUE"""),"post.performance")</f>
        <v>post.performance</v>
      </c>
    </row>
    <row r="6741">
      <c r="A6741" s="8" t="str">
        <f>IFERROR(__xludf.DUMMYFUNCTION("""COMPUTED_VALUE"""),"postpolitics")</f>
        <v>postpolitics</v>
      </c>
    </row>
    <row r="6742">
      <c r="A6742" s="8" t="str">
        <f>IFERROR(__xludf.DUMMYFUNCTION("""COMPUTED_VALUE"""),"postunited")</f>
        <v>postunited</v>
      </c>
    </row>
    <row r="6743">
      <c r="A6743" s="8" t="str">
        <f>IFERROR(__xludf.DUMMYFUNCTION("""COMPUTED_VALUE"""),"p.p.s.brand")</f>
        <v>p.p.s.brand</v>
      </c>
    </row>
    <row r="6744">
      <c r="A6744" s="8" t="str">
        <f>IFERROR(__xludf.DUMMYFUNCTION("""COMPUTED_VALUE"""),"t_post")</f>
        <v>t_post</v>
      </c>
    </row>
    <row r="6745">
      <c r="A6745" s="8" t="str">
        <f>IFERROR(__xludf.DUMMYFUNCTION("""COMPUTED_VALUE"""),"washingtonpost")</f>
        <v>washingtonpost</v>
      </c>
    </row>
    <row r="6746">
      <c r="A6746" s="8" t="str">
        <f>IFERROR(__xludf.DUMMYFUNCTION("""COMPUTED_VALUE"""),"david_fitelit")</f>
        <v>david_fitelit</v>
      </c>
    </row>
    <row r="6747">
      <c r="A6747" s="8" t="str">
        <f>IFERROR(__xludf.DUMMYFUNCTION("""COMPUTED_VALUE"""),"itsjusttjoy")</f>
        <v>itsjusttjoy</v>
      </c>
    </row>
    <row r="6748">
      <c r="A6748" s="8" t="str">
        <f>IFERROR(__xludf.DUMMYFUNCTION("""COMPUTED_VALUE"""),"littlemissgifted")</f>
        <v>littlemissgifted</v>
      </c>
    </row>
    <row r="6749">
      <c r="A6749" s="8" t="str">
        <f>IFERROR(__xludf.DUMMYFUNCTION("""COMPUTED_VALUE"""),"presenter_ali")</f>
        <v>presenter_ali</v>
      </c>
    </row>
    <row r="6750">
      <c r="A6750" s="8" t="str">
        <f>IFERROR(__xludf.DUMMYFUNCTION("""COMPUTED_VALUE"""),"presenterkai")</f>
        <v>presenterkai</v>
      </c>
    </row>
    <row r="6751">
      <c r="A6751" s="8" t="str">
        <f>IFERROR(__xludf.DUMMYFUNCTION("""COMPUTED_VALUE"""),"presenternoah")</f>
        <v>presenternoah</v>
      </c>
    </row>
    <row r="6752">
      <c r="A6752" s="8" t="str">
        <f>IFERROR(__xludf.DUMMYFUNCTION("""COMPUTED_VALUE"""),"suyashkeshari")</f>
        <v>suyashkeshari</v>
      </c>
    </row>
    <row r="6753">
      <c r="A6753" s="8" t="str">
        <f>IFERROR(__xludf.DUMMYFUNCTION("""COMPUTED_VALUE"""),"warwick_presenter")</f>
        <v>warwick_presenter</v>
      </c>
    </row>
    <row r="6754">
      <c r="A6754" s="8" t="str">
        <f>IFERROR(__xludf.DUMMYFUNCTION("""COMPUTED_VALUE"""),"akordapress")</f>
        <v>akordapress</v>
      </c>
    </row>
    <row r="6755">
      <c r="A6755" s="8" t="str">
        <f>IFERROR(__xludf.DUMMYFUNCTION("""COMPUTED_VALUE"""),"bahamaspress")</f>
        <v>bahamaspress</v>
      </c>
    </row>
    <row r="6756">
      <c r="A6756" s="8" t="str">
        <f>IFERROR(__xludf.DUMMYFUNCTION("""COMPUTED_VALUE"""),"pressgastronomia")</f>
        <v>pressgastronomia</v>
      </c>
    </row>
    <row r="6757">
      <c r="A6757" s="8" t="str">
        <f>IFERROR(__xludf.DUMMYFUNCTION("""COMPUTED_VALUE"""),"pressley")</f>
        <v>pressley</v>
      </c>
    </row>
    <row r="6758">
      <c r="A6758" s="8" t="str">
        <f>IFERROR(__xludf.DUMMYFUNCTION("""COMPUTED_VALUE"""),"press_sf")</f>
        <v>press_sf</v>
      </c>
    </row>
    <row r="6759">
      <c r="A6759" s="8" t="str">
        <f>IFERROR(__xludf.DUMMYFUNCTION("""COMPUTED_VALUE"""),"yenpress")</f>
        <v>yenpress</v>
      </c>
    </row>
    <row r="6760">
      <c r="A6760" s="8" t="str">
        <f>IFERROR(__xludf.DUMMYFUNCTION("""COMPUTED_VALUE"""),"producthunt")</f>
        <v>producthunt</v>
      </c>
    </row>
    <row r="6761">
      <c r="A6761" s="8" t="str">
        <f>IFERROR(__xludf.DUMMYFUNCTION("""COMPUTED_VALUE"""),"madmuscles_app")</f>
        <v>madmuscles_app</v>
      </c>
    </row>
    <row r="6762">
      <c r="A6762" s="8" t="str">
        <f>IFERROR(__xludf.DUMMYFUNCTION("""COMPUTED_VALUE"""),"pgmsilviosantos")</f>
        <v>pgmsilviosantos</v>
      </c>
    </row>
    <row r="6763">
      <c r="A6763" s="8" t="str">
        <f>IFERROR(__xludf.DUMMYFUNCTION("""COMPUTED_VALUE"""),"programahoy")</f>
        <v>programahoy</v>
      </c>
    </row>
    <row r="6764">
      <c r="A6764" s="8" t="str">
        <f>IFERROR(__xludf.DUMMYFUNCTION("""COMPUTED_VALUE"""),"programapanico")</f>
        <v>programapanico</v>
      </c>
    </row>
    <row r="6765">
      <c r="A6765" s="8" t="str">
        <f>IFERROR(__xludf.DUMMYFUNCTION("""COMPUTED_VALUE"""),"programaplaybt")</f>
        <v>programaplaybt</v>
      </c>
    </row>
    <row r="6766">
      <c r="A6766" s="8" t="str">
        <f>IFERROR(__xludf.DUMMYFUNCTION("""COMPUTED_VALUE"""),"pycodebr")</f>
        <v>pycodebr</v>
      </c>
    </row>
    <row r="6767">
      <c r="A6767" s="8" t="str">
        <f>IFERROR(__xludf.DUMMYFUNCTION("""COMPUTED_VALUE"""),"prweek")</f>
        <v>prweek</v>
      </c>
    </row>
    <row r="6768">
      <c r="A6768" s="8" t="str">
        <f>IFERROR(__xludf.DUMMYFUNCTION("""COMPUTED_VALUE"""),"abrahamhickspublications")</f>
        <v>abrahamhickspublications</v>
      </c>
    </row>
    <row r="6769">
      <c r="A6769" s="8" t="str">
        <f>IFERROR(__xludf.DUMMYFUNCTION("""COMPUTED_VALUE"""),"amsterdam_vibezz")</f>
        <v>amsterdam_vibezz</v>
      </c>
    </row>
    <row r="6770">
      <c r="A6770" s="8" t="str">
        <f>IFERROR(__xludf.DUMMYFUNCTION("""COMPUTED_VALUE"""),"rcpublication")</f>
        <v>rcpublication</v>
      </c>
    </row>
    <row r="6771">
      <c r="A6771" s="8" t="str">
        <f>IFERROR(__xludf.DUMMYFUNCTION("""COMPUTED_VALUE"""),"thebookspotpublishers")</f>
        <v>thebookspotpublishers</v>
      </c>
    </row>
    <row r="6772">
      <c r="A6772" s="8" t="str">
        <f>IFERROR(__xludf.DUMMYFUNCTION("""COMPUTED_VALUE"""),"thisisglamorous")</f>
        <v>thisisglamorous</v>
      </c>
    </row>
    <row r="6773">
      <c r="A6773" s="8" t="str">
        <f>IFERROR(__xludf.DUMMYFUNCTION("""COMPUTED_VALUE"""),"unpublications")</f>
        <v>unpublications</v>
      </c>
    </row>
    <row r="6774">
      <c r="A6774" s="8" t="str">
        <f>IFERROR(__xludf.DUMMYFUNCTION("""COMPUTED_VALUE"""),"bluerose_publishers")</f>
        <v>bluerose_publishers</v>
      </c>
    </row>
    <row r="6775">
      <c r="A6775" s="8" t="str">
        <f>IFERROR(__xludf.DUMMYFUNCTION("""COMPUTED_VALUE"""),"macmillanreads")</f>
        <v>macmillanreads</v>
      </c>
    </row>
    <row r="6776">
      <c r="A6776" s="8" t="str">
        <f>IFERROR(__xludf.DUMMYFUNCTION("""COMPUTED_VALUE"""),"macmillanusa")</f>
        <v>macmillanusa</v>
      </c>
    </row>
    <row r="6777">
      <c r="A6777" s="8" t="str">
        <f>IFERROR(__xludf.DUMMYFUNCTION("""COMPUTED_VALUE"""),"pchofficial")</f>
        <v>pchofficial</v>
      </c>
    </row>
    <row r="6778">
      <c r="A6778" s="8" t="str">
        <f>IFERROR(__xludf.DUMMYFUNCTION("""COMPUTED_VALUE"""),"publisherswkly")</f>
        <v>publisherswkly</v>
      </c>
    </row>
    <row r="6779">
      <c r="A6779" s="8" t="str">
        <f>IFERROR(__xludf.DUMMYFUNCTION("""COMPUTED_VALUE"""),"publishertr")</f>
        <v>publishertr</v>
      </c>
    </row>
    <row r="6780">
      <c r="A6780" s="8" t="str">
        <f>IFERROR(__xludf.DUMMYFUNCTION("""COMPUTED_VALUE"""),"rapublisher")</f>
        <v>rapublisher</v>
      </c>
    </row>
    <row r="6781">
      <c r="A6781" s="8" t="str">
        <f>IFERROR(__xludf.DUMMYFUNCTION("""COMPUTED_VALUE"""),"redhenpress")</f>
        <v>redhenpress</v>
      </c>
    </row>
    <row r="6782">
      <c r="A6782" s="8" t="str">
        <f>IFERROR(__xludf.DUMMYFUNCTION("""COMPUTED_VALUE"""),"rm_publisher")</f>
        <v>rm_publisher</v>
      </c>
    </row>
    <row r="6783">
      <c r="A6783" s="8" t="str">
        <f>IFERROR(__xludf.DUMMYFUNCTION("""COMPUTED_VALUE"""),"sophia_publisher")</f>
        <v>sophia_publisher</v>
      </c>
    </row>
    <row r="6784">
      <c r="A6784" s="8" t="str">
        <f>IFERROR(__xludf.DUMMYFUNCTION("""COMPUTED_VALUE"""),"spt_artbookfair")</f>
        <v>spt_artbookfair</v>
      </c>
    </row>
    <row r="6785">
      <c r="A6785" s="8" t="str">
        <f>IFERROR(__xludf.DUMMYFUNCTION("""COMPUTED_VALUE"""),"tatlin_publishers")</f>
        <v>tatlin_publishers</v>
      </c>
    </row>
    <row r="6786">
      <c r="A6786" s="8" t="str">
        <f>IFERROR(__xludf.DUMMYFUNCTION("""COMPUTED_VALUE"""),"thechartium")</f>
        <v>thechartium</v>
      </c>
    </row>
    <row r="6787">
      <c r="A6787" s="8" t="str">
        <f>IFERROR(__xludf.DUMMYFUNCTION("""COMPUTED_VALUE"""),"quartz_clinics")</f>
        <v>quartz_clinics</v>
      </c>
    </row>
    <row r="6788">
      <c r="A6788" s="8" t="str">
        <f>IFERROR(__xludf.DUMMYFUNCTION("""COMPUTED_VALUE"""),"quartzphx")</f>
        <v>quartzphx</v>
      </c>
    </row>
    <row r="6789">
      <c r="A6789" s="8" t="str">
        <f>IFERROR(__xludf.DUMMYFUNCTION("""COMPUTED_VALUE"""),"qz")</f>
        <v>qz</v>
      </c>
    </row>
    <row r="6790">
      <c r="A6790" s="8" t="str">
        <f>IFERROR(__xludf.DUMMYFUNCTION("""COMPUTED_VALUE"""),"rolling_quartz")</f>
        <v>rolling_quartz</v>
      </c>
    </row>
    <row r="6791">
      <c r="A6791" s="8" t="str">
        <f>IFERROR(__xludf.DUMMYFUNCTION("""COMPUTED_VALUE"""),"aesthhquotes")</f>
        <v>aesthhquotes</v>
      </c>
    </row>
    <row r="6792">
      <c r="A6792" s="8" t="str">
        <f>IFERROR(__xludf.DUMMYFUNCTION("""COMPUTED_VALUE"""),"diorquotedd")</f>
        <v>diorquotedd</v>
      </c>
    </row>
    <row r="6793">
      <c r="A6793" s="8" t="str">
        <f>IFERROR(__xludf.DUMMYFUNCTION("""COMPUTED_VALUE"""),"goodmindsquote")</f>
        <v>goodmindsquote</v>
      </c>
    </row>
    <row r="6794">
      <c r="A6794" s="8" t="str">
        <f>IFERROR(__xludf.DUMMYFUNCTION("""COMPUTED_VALUE"""),"love.quotes")</f>
        <v>love.quotes</v>
      </c>
    </row>
    <row r="6795">
      <c r="A6795" s="8" t="str">
        <f>IFERROR(__xludf.DUMMYFUNCTION("""COMPUTED_VALUE"""),"moviequotes")</f>
        <v>moviequotes</v>
      </c>
    </row>
    <row r="6796">
      <c r="A6796" s="8" t="str">
        <f>IFERROR(__xludf.DUMMYFUNCTION("""COMPUTED_VALUE"""),"positivedelight")</f>
        <v>positivedelight</v>
      </c>
    </row>
    <row r="6797">
      <c r="A6797" s="8" t="str">
        <f>IFERROR(__xludf.DUMMYFUNCTION("""COMPUTED_VALUE"""),"quote")</f>
        <v>quote</v>
      </c>
    </row>
    <row r="6798">
      <c r="A6798" s="8" t="str">
        <f>IFERROR(__xludf.DUMMYFUNCTION("""COMPUTED_VALUE"""),"quoteclothing")</f>
        <v>quoteclothing</v>
      </c>
    </row>
    <row r="6799">
      <c r="A6799" s="8" t="str">
        <f>IFERROR(__xludf.DUMMYFUNCTION("""COMPUTED_VALUE"""),"quote_gramofficial")</f>
        <v>quote_gramofficial</v>
      </c>
    </row>
    <row r="6800">
      <c r="A6800" s="8" t="str">
        <f>IFERROR(__xludf.DUMMYFUNCTION("""COMPUTED_VALUE"""),"quotes")</f>
        <v>quotes</v>
      </c>
    </row>
    <row r="6801">
      <c r="A6801" s="8" t="str">
        <f>IFERROR(__xludf.DUMMYFUNCTION("""COMPUTED_VALUE"""),"quotesbychristie")</f>
        <v>quotesbychristie</v>
      </c>
    </row>
    <row r="6802">
      <c r="A6802" s="8" t="str">
        <f>IFERROR(__xludf.DUMMYFUNCTION("""COMPUTED_VALUE"""),"quotes.hub.1")</f>
        <v>quotes.hub.1</v>
      </c>
    </row>
    <row r="6803">
      <c r="A6803" s="8" t="str">
        <f>IFERROR(__xludf.DUMMYFUNCTION("""COMPUTED_VALUE"""),"rotquotes")</f>
        <v>rotquotes</v>
      </c>
    </row>
    <row r="6804">
      <c r="A6804" s="8" t="str">
        <f>IFERROR(__xludf.DUMMYFUNCTION("""COMPUTED_VALUE"""),"thegoodquote")</f>
        <v>thegoodquote</v>
      </c>
    </row>
    <row r="6805">
      <c r="A6805" s="11" t="str">
        <f>IFERROR(__xludf.DUMMYFUNCTION("""COMPUTED_VALUE"""),"thegoodquote.co")</f>
        <v>thegoodquote.co</v>
      </c>
    </row>
    <row r="6806">
      <c r="A6806" s="8" t="str">
        <f>IFERROR(__xludf.DUMMYFUNCTION("""COMPUTED_VALUE"""),"womenwholeadempires")</f>
        <v>womenwholeadempires</v>
      </c>
    </row>
    <row r="6807">
      <c r="A6807" s="8" t="str">
        <f>IFERROR(__xludf.DUMMYFUNCTION("""COMPUTED_VALUE"""),"bbcradio1")</f>
        <v>bbcradio1</v>
      </c>
    </row>
    <row r="6808">
      <c r="A6808" s="8" t="str">
        <f>IFERROR(__xludf.DUMMYFUNCTION("""COMPUTED_VALUE"""),"insomniacradio")</f>
        <v>insomniacradio</v>
      </c>
    </row>
    <row r="6809">
      <c r="A6809" s="8" t="str">
        <f>IFERROR(__xludf.DUMMYFUNCTION("""COMPUTED_VALUE"""),"nts_radio")</f>
        <v>nts_radio</v>
      </c>
    </row>
    <row r="6810">
      <c r="A6810" s="8" t="str">
        <f>IFERROR(__xludf.DUMMYFUNCTION("""COMPUTED_VALUE"""),"radio105")</f>
        <v>radio105</v>
      </c>
    </row>
    <row r="6811">
      <c r="A6811" s="11" t="str">
        <f>IFERROR(__xludf.DUMMYFUNCTION("""COMPUTED_VALUE"""),"radio.bh")</f>
        <v>radio.bh</v>
      </c>
    </row>
    <row r="6812">
      <c r="A6812" s="8" t="str">
        <f>IFERROR(__xludf.DUMMYFUNCTION("""COMPUTED_VALUE"""),"radiohead")</f>
        <v>radiohead</v>
      </c>
    </row>
    <row r="6813">
      <c r="A6813" s="8" t="str">
        <f>IFERROR(__xludf.DUMMYFUNCTION("""COMPUTED_VALUE"""),"radiomitre")</f>
        <v>radiomitre</v>
      </c>
    </row>
    <row r="6814">
      <c r="A6814" s="8" t="str">
        <f>IFERROR(__xludf.DUMMYFUNCTION("""COMPUTED_VALUE"""),"designwithinreach")</f>
        <v>designwithinreach</v>
      </c>
    </row>
    <row r="6815">
      <c r="A6815" s="8" t="str">
        <f>IFERROR(__xludf.DUMMYFUNCTION("""COMPUTED_VALUE"""),"reachabed")</f>
        <v>reachabed</v>
      </c>
    </row>
    <row r="6816">
      <c r="A6816" s="8" t="str">
        <f>IFERROR(__xludf.DUMMYFUNCTION("""COMPUTED_VALUE"""),"reachedmars")</f>
        <v>reachedmars</v>
      </c>
    </row>
    <row r="6817">
      <c r="A6817" s="8" t="str">
        <f>IFERROR(__xludf.DUMMYFUNCTION("""COMPUTED_VALUE"""),"reachyusuf")</f>
        <v>reachyusuf</v>
      </c>
    </row>
    <row r="6818">
      <c r="A6818" s="8" t="str">
        <f>IFERROR(__xludf.DUMMYFUNCTION("""COMPUTED_VALUE"""),"readership_space")</f>
        <v>readership_space</v>
      </c>
    </row>
    <row r="6819">
      <c r="A6819" s="8" t="str">
        <f>IFERROR(__xludf.DUMMYFUNCTION("""COMPUTED_VALUE"""),"fatimaaciolireal")</f>
        <v>fatimaaciolireal</v>
      </c>
    </row>
    <row r="6820">
      <c r="A6820" s="8" t="str">
        <f>IFERROR(__xludf.DUMMYFUNCTION("""COMPUTED_VALUE"""),"nba_youngboy")</f>
        <v>nba_youngboy</v>
      </c>
    </row>
    <row r="6821">
      <c r="A6821" s="8" t="str">
        <f>IFERROR(__xludf.DUMMYFUNCTION("""COMPUTED_VALUE"""),"realdonaldtrump")</f>
        <v>realdonaldtrump</v>
      </c>
    </row>
    <row r="6822">
      <c r="A6822" s="8" t="str">
        <f>IFERROR(__xludf.DUMMYFUNCTION("""COMPUTED_VALUE"""),"realmadrid")</f>
        <v>realmadrid</v>
      </c>
    </row>
    <row r="6823">
      <c r="A6823" s="8" t="str">
        <f>IFERROR(__xludf.DUMMYFUNCTION("""COMPUTED_VALUE"""),"realnewsnobullshit")</f>
        <v>realnewsnobullshit</v>
      </c>
    </row>
    <row r="6824">
      <c r="A6824" s="8" t="str">
        <f>IFERROR(__xludf.DUMMYFUNCTION("""COMPUTED_VALUE"""),"real__pcy")</f>
        <v>real__pcy</v>
      </c>
    </row>
    <row r="6825">
      <c r="A6825" s="8" t="str">
        <f>IFERROR(__xludf.DUMMYFUNCTION("""COMPUTED_VALUE"""),"realstraykids")</f>
        <v>realstraykids</v>
      </c>
    </row>
    <row r="6826">
      <c r="A6826" s="8" t="str">
        <f>IFERROR(__xludf.DUMMYFUNCTION("""COMPUTED_VALUE"""),"realwbonner")</f>
        <v>realwbonner</v>
      </c>
    </row>
    <row r="6827">
      <c r="A6827" s="8" t="str">
        <f>IFERROR(__xludf.DUMMYFUNCTION("""COMPUTED_VALUE"""),"reel")</f>
        <v>reel</v>
      </c>
    </row>
    <row r="6828">
      <c r="A6828" s="8" t="str">
        <f>IFERROR(__xludf.DUMMYFUNCTION("""COMPUTED_VALUE"""),"reelit.y")</f>
        <v>reelit.y</v>
      </c>
    </row>
    <row r="6829">
      <c r="A6829" s="8" t="str">
        <f>IFERROR(__xludf.DUMMYFUNCTION("""COMPUTED_VALUE"""),"reelshortapp")</f>
        <v>reelshortapp</v>
      </c>
    </row>
    <row r="6830">
      <c r="A6830" s="8" t="str">
        <f>IFERROR(__xludf.DUMMYFUNCTION("""COMPUTED_VALUE"""),"reelstips")</f>
        <v>reelstips</v>
      </c>
    </row>
    <row r="6831">
      <c r="A6831" s="8" t="str">
        <f>IFERROR(__xludf.DUMMYFUNCTION("""COMPUTED_VALUE"""),"refinery29")</f>
        <v>refinery29</v>
      </c>
    </row>
    <row r="6832">
      <c r="A6832" s="8" t="str">
        <f>IFERROR(__xludf.DUMMYFUNCTION("""COMPUTED_VALUE"""),"refinery29au")</f>
        <v>refinery29au</v>
      </c>
    </row>
    <row r="6833">
      <c r="A6833" s="8" t="str">
        <f>IFERROR(__xludf.DUMMYFUNCTION("""COMPUTED_VALUE"""),"refinery29canada")</f>
        <v>refinery29canada</v>
      </c>
    </row>
    <row r="6834">
      <c r="A6834" s="8" t="str">
        <f>IFERROR(__xludf.DUMMYFUNCTION("""COMPUTED_VALUE"""),"refinery29germany")</f>
        <v>refinery29germany</v>
      </c>
    </row>
    <row r="6835">
      <c r="A6835" s="8" t="str">
        <f>IFERROR(__xludf.DUMMYFUNCTION("""COMPUTED_VALUE"""),"refinery29uk")</f>
        <v>refinery29uk</v>
      </c>
    </row>
    <row r="6836">
      <c r="A6836" s="8" t="str">
        <f>IFERROR(__xludf.DUMMYFUNCTION("""COMPUTED_VALUE"""),"bullreporter")</f>
        <v>bullreporter</v>
      </c>
    </row>
    <row r="6837">
      <c r="A6837" s="8" t="str">
        <f>IFERROR(__xludf.DUMMYFUNCTION("""COMPUTED_VALUE"""),"callmeishh")</f>
        <v>callmeishh</v>
      </c>
    </row>
    <row r="6838">
      <c r="A6838" s="8" t="str">
        <f>IFERROR(__xludf.DUMMYFUNCTION("""COMPUTED_VALUE"""),"fashionic.reporter")</f>
        <v>fashionic.reporter</v>
      </c>
    </row>
    <row r="6839">
      <c r="A6839" s="8" t="str">
        <f>IFERROR(__xludf.DUMMYFUNCTION("""COMPUTED_VALUE"""),"hollywoodreporter")</f>
        <v>hollywoodreporter</v>
      </c>
    </row>
    <row r="6840">
      <c r="A6840" s="8" t="str">
        <f>IFERROR(__xludf.DUMMYFUNCTION("""COMPUTED_VALUE"""),"rachel_nichols")</f>
        <v>rachel_nichols</v>
      </c>
    </row>
    <row r="6841">
      <c r="A6841" s="8" t="str">
        <f>IFERROR(__xludf.DUMMYFUNCTION("""COMPUTED_VALUE"""),"reportermatt")</f>
        <v>reportermatt</v>
      </c>
    </row>
    <row r="6842">
      <c r="A6842" s="8" t="str">
        <f>IFERROR(__xludf.DUMMYFUNCTION("""COMPUTED_VALUE"""),"reporter.offiziell")</f>
        <v>reporter.offiziell</v>
      </c>
    </row>
    <row r="6843">
      <c r="A6843" s="8" t="str">
        <f>IFERROR(__xludf.DUMMYFUNCTION("""COMPUTED_VALUE"""),"reporterorosa")</f>
        <v>reporterorosa</v>
      </c>
    </row>
    <row r="6844">
      <c r="A6844" s="8" t="str">
        <f>IFERROR(__xludf.DUMMYFUNCTION("""COMPUTED_VALUE"""),"saharareporters")</f>
        <v>saharareporters</v>
      </c>
    </row>
    <row r="6845">
      <c r="A6845" s="8" t="str">
        <f>IFERROR(__xludf.DUMMYFUNCTION("""COMPUTED_VALUE"""),"theartreporter")</f>
        <v>theartreporter</v>
      </c>
    </row>
    <row r="6846">
      <c r="A6846" s="8" t="str">
        <f>IFERROR(__xludf.DUMMYFUNCTION("""COMPUTED_VALUE"""),"twreporter")</f>
        <v>twreporter</v>
      </c>
    </row>
    <row r="6847">
      <c r="A6847" s="8" t="str">
        <f>IFERROR(__xludf.DUMMYFUNCTION("""COMPUTED_VALUE"""),"reuters")</f>
        <v>reuters</v>
      </c>
    </row>
    <row r="6848">
      <c r="A6848" s="8" t="str">
        <f>IFERROR(__xludf.DUMMYFUNCTION("""COMPUTED_VALUE"""),"reuterssport")</f>
        <v>reuterssport</v>
      </c>
    </row>
    <row r="6849">
      <c r="A6849" s="8" t="str">
        <f>IFERROR(__xludf.DUMMYFUNCTION("""COMPUTED_VALUE"""),"thomsonreuters")</f>
        <v>thomsonreuters</v>
      </c>
    </row>
    <row r="6850">
      <c r="A6850" s="8" t="str">
        <f>IFERROR(__xludf.DUMMYFUNCTION("""COMPUTED_VALUE"""),"ringer")</f>
        <v>ringer</v>
      </c>
    </row>
    <row r="6851">
      <c r="A6851" s="8" t="str">
        <f>IFERROR(__xludf.DUMMYFUNCTION("""COMPUTED_VALUE"""),"ringerchill")</f>
        <v>ringerchill</v>
      </c>
    </row>
    <row r="6852">
      <c r="A6852" s="8" t="str">
        <f>IFERROR(__xludf.DUMMYFUNCTION("""COMPUTED_VALUE"""),"ringerfantasyfootball")</f>
        <v>ringerfantasyfootball</v>
      </c>
    </row>
    <row r="6853">
      <c r="A6853" s="8" t="str">
        <f>IFERROR(__xludf.DUMMYFUNCTION("""COMPUTED_VALUE"""),"ringer_jewelry")</f>
        <v>ringer_jewelry</v>
      </c>
    </row>
    <row r="6854">
      <c r="A6854" s="8" t="str">
        <f>IFERROR(__xludf.DUMMYFUNCTION("""COMPUTED_VALUE"""),"ringershep")</f>
        <v>ringershep</v>
      </c>
    </row>
    <row r="6855">
      <c r="A6855" s="8" t="str">
        <f>IFERROR(__xludf.DUMMYFUNCTION("""COMPUTED_VALUE"""),"ringerverse")</f>
        <v>ringerverse</v>
      </c>
    </row>
    <row r="6856">
      <c r="A6856" s="8" t="str">
        <f>IFERROR(__xludf.DUMMYFUNCTION("""COMPUTED_VALUE"""),"rollingstone")</f>
        <v>rollingstone</v>
      </c>
    </row>
    <row r="6857">
      <c r="A6857" s="8" t="str">
        <f>IFERROR(__xludf.DUMMYFUNCTION("""COMPUTED_VALUE"""),"rollingstoneafrica")</f>
        <v>rollingstoneafrica</v>
      </c>
    </row>
    <row r="6858">
      <c r="A6858" s="8" t="str">
        <f>IFERROR(__xludf.DUMMYFUNCTION("""COMPUTED_VALUE"""),"rollingstonear")</f>
        <v>rollingstonear</v>
      </c>
    </row>
    <row r="6859">
      <c r="A6859" s="8" t="str">
        <f>IFERROR(__xludf.DUMMYFUNCTION("""COMPUTED_VALUE"""),"rollingstoneaus")</f>
        <v>rollingstoneaus</v>
      </c>
    </row>
    <row r="6860">
      <c r="A6860" s="8" t="str">
        <f>IFERROR(__xludf.DUMMYFUNCTION("""COMPUTED_VALUE"""),"rollingstonebrasil")</f>
        <v>rollingstonebrasil</v>
      </c>
    </row>
    <row r="6861">
      <c r="A6861" s="8" t="str">
        <f>IFERROR(__xludf.DUMMYFUNCTION("""COMPUTED_VALUE"""),"rollingstonecolombia")</f>
        <v>rollingstonecolombia</v>
      </c>
    </row>
    <row r="6862">
      <c r="A6862" s="8" t="str">
        <f>IFERROR(__xludf.DUMMYFUNCTION("""COMPUTED_VALUE"""),"rollingstone_de")</f>
        <v>rollingstone_de</v>
      </c>
    </row>
    <row r="6863">
      <c r="A6863" s="8" t="str">
        <f>IFERROR(__xludf.DUMMYFUNCTION("""COMPUTED_VALUE"""),"rollingstoneenespanol")</f>
        <v>rollingstoneenespanol</v>
      </c>
    </row>
    <row r="6864">
      <c r="A6864" s="8" t="str">
        <f>IFERROR(__xludf.DUMMYFUNCTION("""COMPUTED_VALUE"""),"rollingstonees")</f>
        <v>rollingstonees</v>
      </c>
    </row>
    <row r="6865">
      <c r="A6865" s="8" t="str">
        <f>IFERROR(__xludf.DUMMYFUNCTION("""COMPUTED_VALUE"""),"rollingstonein")</f>
        <v>rollingstonein</v>
      </c>
    </row>
    <row r="6866">
      <c r="A6866" s="8" t="str">
        <f>IFERROR(__xludf.DUMMYFUNCTION("""COMPUTED_VALUE"""),"rollingstoneitalia")</f>
        <v>rollingstoneitalia</v>
      </c>
    </row>
    <row r="6867">
      <c r="A6867" s="8" t="str">
        <f>IFERROR(__xludf.DUMMYFUNCTION("""COMPUTED_VALUE"""),"rollingstonejapan")</f>
        <v>rollingstonejapan</v>
      </c>
    </row>
    <row r="6868">
      <c r="A6868" s="8" t="str">
        <f>IFERROR(__xludf.DUMMYFUNCTION("""COMPUTED_VALUE"""),"rollingstonekorea")</f>
        <v>rollingstonekorea</v>
      </c>
    </row>
    <row r="6869">
      <c r="A6869" s="8" t="str">
        <f>IFERROR(__xludf.DUMMYFUNCTION("""COMPUTED_VALUE"""),"rollingstonemx")</f>
        <v>rollingstonemx</v>
      </c>
    </row>
    <row r="6870">
      <c r="A6870" s="8" t="str">
        <f>IFERROR(__xludf.DUMMYFUNCTION("""COMPUTED_VALUE"""),"rollingstoneph")</f>
        <v>rollingstoneph</v>
      </c>
    </row>
    <row r="6871">
      <c r="A6871" s="8" t="str">
        <f>IFERROR(__xludf.DUMMYFUNCTION("""COMPUTED_VALUE"""),"rollingstoneuk")</f>
        <v>rollingstoneuk</v>
      </c>
    </row>
    <row r="6872">
      <c r="A6872" s="8" t="str">
        <f>IFERROR(__xludf.DUMMYFUNCTION("""COMPUTED_VALUE"""),"therollingstones")</f>
        <v>therollingstones</v>
      </c>
    </row>
    <row r="6873">
      <c r="A6873" s="8" t="str">
        <f>IFERROR(__xludf.DUMMYFUNCTION("""COMPUTED_VALUE"""),"rottentomatoes")</f>
        <v>rottentomatoes</v>
      </c>
    </row>
    <row r="6874">
      <c r="A6874" s="8" t="str">
        <f>IFERROR(__xludf.DUMMYFUNCTION("""COMPUTED_VALUE"""),"salon.loris")</f>
        <v>salon.loris</v>
      </c>
    </row>
    <row r="6875">
      <c r="A6875" s="8" t="str">
        <f>IFERROR(__xludf.DUMMYFUNCTION("""COMPUTED_VALUE"""),"salon.sephora")</f>
        <v>salon.sephora</v>
      </c>
    </row>
    <row r="6876">
      <c r="A6876" s="11" t="str">
        <f>IFERROR(__xludf.DUMMYFUNCTION("""COMPUTED_VALUE"""),"salon.tw")</f>
        <v>salon.tw</v>
      </c>
    </row>
    <row r="6877">
      <c r="A6877" s="8" t="str">
        <f>IFERROR(__xludf.DUMMYFUNCTION("""COMPUTED_VALUE"""),"treat.salon")</f>
        <v>treat.salon</v>
      </c>
    </row>
    <row r="6878">
      <c r="A6878" s="8" t="str">
        <f>IFERROR(__xludf.DUMMYFUNCTION("""COMPUTED_VALUE"""),"saveurbistrot")</f>
        <v>saveurbistrot</v>
      </c>
    </row>
    <row r="6879">
      <c r="A6879" s="8" t="str">
        <f>IFERROR(__xludf.DUMMYFUNCTION("""COMPUTED_VALUE"""),"saveur_bloom1")</f>
        <v>saveur_bloom1</v>
      </c>
    </row>
    <row r="6880">
      <c r="A6880" s="8" t="str">
        <f>IFERROR(__xludf.DUMMYFUNCTION("""COMPUTED_VALUE"""),"saveur_bonjour")</f>
        <v>saveur_bonjour</v>
      </c>
    </row>
    <row r="6881">
      <c r="A6881" s="8" t="str">
        <f>IFERROR(__xludf.DUMMYFUNCTION("""COMPUTED_VALUE"""),"saveur.cakenbake")</f>
        <v>saveur.cakenbake</v>
      </c>
    </row>
    <row r="6882">
      <c r="A6882" s="8" t="str">
        <f>IFERROR(__xludf.DUMMYFUNCTION("""COMPUTED_VALUE"""),"saveur_hj")</f>
        <v>saveur_hj</v>
      </c>
    </row>
    <row r="6883">
      <c r="A6883" s="8" t="str">
        <f>IFERROR(__xludf.DUMMYFUNCTION("""COMPUTED_VALUE"""),"saveurmag")</f>
        <v>saveurmag</v>
      </c>
    </row>
    <row r="6884">
      <c r="A6884" s="8" t="str">
        <f>IFERROR(__xludf.DUMMYFUNCTION("""COMPUTED_VALUE"""),"saveurope_")</f>
        <v>saveurope_</v>
      </c>
    </row>
    <row r="6885">
      <c r="A6885" s="8" t="str">
        <f>IFERROR(__xludf.DUMMYFUNCTION("""COMPUTED_VALUE"""),"saveurslakay")</f>
        <v>saveurslakay</v>
      </c>
    </row>
    <row r="6886">
      <c r="A6886" s="8" t="str">
        <f>IFERROR(__xludf.DUMMYFUNCTION("""COMPUTED_VALUE"""),"sbnation")</f>
        <v>sbnation</v>
      </c>
    </row>
    <row r="6887">
      <c r="A6887" s="8" t="str">
        <f>IFERROR(__xludf.DUMMYFUNCTION("""COMPUTED_VALUE"""),"sbnationnba")</f>
        <v>sbnationnba</v>
      </c>
    </row>
    <row r="6888">
      <c r="A6888" s="8" t="str">
        <f>IFERROR(__xludf.DUMMYFUNCTION("""COMPUTED_VALUE"""),"scientific_american")</f>
        <v>scientific_american</v>
      </c>
    </row>
    <row r="6889">
      <c r="A6889" s="8" t="str">
        <f>IFERROR(__xludf.DUMMYFUNCTION("""COMPUTED_VALUE"""),"screendaily")</f>
        <v>screendaily</v>
      </c>
    </row>
    <row r="6890">
      <c r="A6890" s="8" t="str">
        <f>IFERROR(__xludf.DUMMYFUNCTION("""COMPUTED_VALUE"""),"screenrant")</f>
        <v>screenrant</v>
      </c>
    </row>
    <row r="6891">
      <c r="A6891" s="8" t="str">
        <f>IFERROR(__xludf.DUMMYFUNCTION("""COMPUTED_VALUE"""),"seekingalpha")</f>
        <v>seekingalpha</v>
      </c>
    </row>
    <row r="6892">
      <c r="A6892" s="8" t="str">
        <f>IFERROR(__xludf.DUMMYFUNCTION("""COMPUTED_VALUE"""),"seekingalphapod")</f>
        <v>seekingalphapod</v>
      </c>
    </row>
    <row r="6893">
      <c r="A6893" s="8" t="str">
        <f>IFERROR(__xludf.DUMMYFUNCTION("""COMPUTED_VALUE"""),"segment0")</f>
        <v>segment0</v>
      </c>
    </row>
    <row r="6894">
      <c r="A6894" s="8" t="str">
        <f>IFERROR(__xludf.DUMMYFUNCTION("""COMPUTED_VALUE"""),"segment.a")</f>
        <v>segment.a</v>
      </c>
    </row>
    <row r="6895">
      <c r="A6895" s="11" t="str">
        <f>IFERROR(__xludf.DUMMYFUNCTION("""COMPUTED_VALUE"""),"segment.id")</f>
        <v>segment.id</v>
      </c>
    </row>
    <row r="6896">
      <c r="A6896" s="8" t="str">
        <f>IFERROR(__xludf.DUMMYFUNCTION("""COMPUTED_VALUE"""),"segmentoarmado")</f>
        <v>segmentoarmado</v>
      </c>
    </row>
    <row r="6897">
      <c r="A6897" s="8" t="str">
        <f>IFERROR(__xludf.DUMMYFUNCTION("""COMPUTED_VALUE"""),"segmentofutbolec")</f>
        <v>segmentofutbolec</v>
      </c>
    </row>
    <row r="6898">
      <c r="A6898" s="8" t="str">
        <f>IFERROR(__xludf.DUMMYFUNCTION("""COMPUTED_VALUE"""),"24hseries")</f>
        <v>24hseries</v>
      </c>
    </row>
    <row r="6899">
      <c r="A6899" s="8" t="str">
        <f>IFERROR(__xludf.DUMMYFUNCTION("""COMPUTED_VALUE"""),"buscandobuenaspelis")</f>
        <v>buscandobuenaspelis</v>
      </c>
    </row>
    <row r="6900">
      <c r="A6900" s="8" t="str">
        <f>IFERROR(__xludf.DUMMYFUNCTION("""COMPUTED_VALUE"""),"dicastreaming")</f>
        <v>dicastreaming</v>
      </c>
    </row>
    <row r="6901">
      <c r="A6901" s="8" t="str">
        <f>IFERROR(__xludf.DUMMYFUNCTION("""COMPUTED_VALUE"""),"esmovies")</f>
        <v>esmovies</v>
      </c>
    </row>
    <row r="6902">
      <c r="A6902" s="8" t="str">
        <f>IFERROR(__xludf.DUMMYFUNCTION("""COMPUTED_VALUE"""),"moviesforseries")</f>
        <v>moviesforseries</v>
      </c>
    </row>
    <row r="6903">
      <c r="A6903" s="8" t="str">
        <f>IFERROR(__xludf.DUMMYFUNCTION("""COMPUTED_VALUE"""),"mundoseriesbr")</f>
        <v>mundoseriesbr</v>
      </c>
    </row>
    <row r="6904">
      <c r="A6904" s="8" t="str">
        <f>IFERROR(__xludf.DUMMYFUNCTION("""COMPUTED_VALUE"""),"series__editor")</f>
        <v>series__editor</v>
      </c>
    </row>
    <row r="6905">
      <c r="A6905" s="11" t="str">
        <f>IFERROR(__xludf.DUMMYFUNCTION("""COMPUTED_VALUE"""),"series.so")</f>
        <v>series.so</v>
      </c>
    </row>
    <row r="6906">
      <c r="A6906" s="8" t="str">
        <f>IFERROR(__xludf.DUMMYFUNCTION("""COMPUTED_VALUE"""),"sigofilmes")</f>
        <v>sigofilmes</v>
      </c>
    </row>
    <row r="6907">
      <c r="A6907" s="8" t="str">
        <f>IFERROR(__xludf.DUMMYFUNCTION("""COMPUTED_VALUE"""),"svnsseries")</f>
        <v>svnsseries</v>
      </c>
    </row>
    <row r="6908">
      <c r="A6908" s="8" t="str">
        <f>IFERROR(__xludf.DUMMYFUNCTION("""COMPUTED_VALUE"""),"whit.series")</f>
        <v>whit.series</v>
      </c>
    </row>
    <row r="6909">
      <c r="A6909" s="8" t="str">
        <f>IFERROR(__xludf.DUMMYFUNCTION("""COMPUTED_VALUE"""),"world_seriesss")</f>
        <v>world_seriesss</v>
      </c>
    </row>
    <row r="6910">
      <c r="A6910" s="8" t="str">
        <f>IFERROR(__xludf.DUMMYFUNCTION("""COMPUTED_VALUE"""),"seriouseats")</f>
        <v>seriouseats</v>
      </c>
    </row>
    <row r="6911">
      <c r="A6911" s="8" t="str">
        <f>IFERROR(__xludf.DUMMYFUNCTION("""COMPUTED_VALUE"""),"say_7teen")</f>
        <v>say_7teen</v>
      </c>
    </row>
    <row r="6912">
      <c r="A6912" s="8" t="str">
        <f>IFERROR(__xludf.DUMMYFUNCTION("""COMPUTED_VALUE"""),"saythename_17")</f>
        <v>saythename_17</v>
      </c>
    </row>
    <row r="6913">
      <c r="A6913" s="8" t="str">
        <f>IFERROR(__xludf.DUMMYFUNCTION("""COMPUTED_VALUE"""),"seventeen")</f>
        <v>seventeen</v>
      </c>
    </row>
    <row r="6914">
      <c r="A6914" s="8" t="str">
        <f>IFERROR(__xludf.DUMMYFUNCTION("""COMPUTED_VALUE"""),"seventeen_13update")</f>
        <v>seventeen_13update</v>
      </c>
    </row>
    <row r="6915">
      <c r="A6915" s="8" t="str">
        <f>IFERROR(__xludf.DUMMYFUNCTION("""COMPUTED_VALUE"""),"seventeen_weverse")</f>
        <v>seventeen_weverse</v>
      </c>
    </row>
    <row r="6916">
      <c r="A6916" s="8" t="str">
        <f>IFERROR(__xludf.DUMMYFUNCTION("""COMPUTED_VALUE"""),"xuminghao_o")</f>
        <v>xuminghao_o</v>
      </c>
    </row>
    <row r="6917">
      <c r="A6917" s="8" t="str">
        <f>IFERROR(__xludf.DUMMYFUNCTION("""COMPUTED_VALUE"""),"kof__shop")</f>
        <v>kof__shop</v>
      </c>
    </row>
    <row r="6918">
      <c r="A6918" s="8" t="str">
        <f>IFERROR(__xludf.DUMMYFUNCTION("""COMPUTED_VALUE"""),"madina_shop_osh")</f>
        <v>madina_shop_osh</v>
      </c>
    </row>
    <row r="6919">
      <c r="A6919" s="8" t="str">
        <f>IFERROR(__xludf.DUMMYFUNCTION("""COMPUTED_VALUE"""),"rose3.shop")</f>
        <v>rose3.shop</v>
      </c>
    </row>
    <row r="6920">
      <c r="A6920" s="8" t="str">
        <f>IFERROR(__xludf.DUMMYFUNCTION("""COMPUTED_VALUE"""),"shallowshop_")</f>
        <v>shallowshop_</v>
      </c>
    </row>
    <row r="6921">
      <c r="A6921" s="8" t="str">
        <f>IFERROR(__xludf.DUMMYFUNCTION("""COMPUTED_VALUE"""),"shop_to_shop")</f>
        <v>shop_to_shop</v>
      </c>
    </row>
    <row r="6922">
      <c r="A6922" s="8" t="str">
        <f>IFERROR(__xludf.DUMMYFUNCTION("""COMPUTED_VALUE"""),"showme.style")</f>
        <v>showme.style</v>
      </c>
    </row>
    <row r="6923">
      <c r="A6923" s="8" t="str">
        <f>IFERROR(__xludf.DUMMYFUNCTION("""COMPUTED_VALUE"""),"show.o_")</f>
        <v>show.o_</v>
      </c>
    </row>
    <row r="6924">
      <c r="A6924" s="8" t="str">
        <f>IFERROR(__xludf.DUMMYFUNCTION("""COMPUTED_VALUE"""),"showpo")</f>
        <v>showpo</v>
      </c>
    </row>
    <row r="6925">
      <c r="A6925" s="8" t="str">
        <f>IFERROR(__xludf.DUMMYFUNCTION("""COMPUTED_VALUE"""),"showtheworld.1")</f>
        <v>showtheworld.1</v>
      </c>
    </row>
    <row r="6926">
      <c r="A6926" s="8" t="str">
        <f>IFERROR(__xludf.DUMMYFUNCTION("""COMPUTED_VALUE"""),"sightandsoundtheatres")</f>
        <v>sightandsoundtheatres</v>
      </c>
    </row>
    <row r="6927">
      <c r="A6927" s="8" t="str">
        <f>IFERROR(__xludf.DUMMYFUNCTION("""COMPUTED_VALUE"""),"skyenewman__")</f>
        <v>skyenewman__</v>
      </c>
    </row>
    <row r="6928">
      <c r="A6928" s="8" t="str">
        <f>IFERROR(__xludf.DUMMYFUNCTION("""COMPUTED_VALUE"""),"skynews")</f>
        <v>skynews</v>
      </c>
    </row>
    <row r="6929">
      <c r="A6929" s="8" t="str">
        <f>IFERROR(__xludf.DUMMYFUNCTION("""COMPUTED_VALUE"""),"skynewsarabia")</f>
        <v>skynewsarabia</v>
      </c>
    </row>
    <row r="6930">
      <c r="A6930" s="8" t="str">
        <f>IFERROR(__xludf.DUMMYFUNCTION("""COMPUTED_VALUE"""),"skynewsaustralia")</f>
        <v>skynewsaustralia</v>
      </c>
    </row>
    <row r="6931">
      <c r="A6931" s="8" t="str">
        <f>IFERROR(__xludf.DUMMYFUNCTION("""COMPUTED_VALUE"""),"skynewspunjab")</f>
        <v>skynewspunjab</v>
      </c>
    </row>
    <row r="6932">
      <c r="A6932" s="8" t="str">
        <f>IFERROR(__xludf.DUMMYFUNCTION("""COMPUTED_VALUE"""),"slate")</f>
        <v>slate</v>
      </c>
    </row>
    <row r="6933">
      <c r="A6933" s="8" t="str">
        <f>IFERROR(__xludf.DUMMYFUNCTION("""COMPUTED_VALUE"""),"slateauto")</f>
        <v>slateauto</v>
      </c>
    </row>
    <row r="6934">
      <c r="A6934" s="8" t="str">
        <f>IFERROR(__xludf.DUMMYFUNCTION("""COMPUTED_VALUE"""),"slatemilk")</f>
        <v>slatemilk</v>
      </c>
    </row>
    <row r="6935">
      <c r="A6935" s="8" t="str">
        <f>IFERROR(__xludf.DUMMYFUNCTION("""COMPUTED_VALUE"""),"slatetulsa")</f>
        <v>slatetulsa</v>
      </c>
    </row>
    <row r="6936">
      <c r="A6936" s="8" t="str">
        <f>IFERROR(__xludf.DUMMYFUNCTION("""COMPUTED_VALUE"""),"adun.oluwa")</f>
        <v>adun.oluwa</v>
      </c>
    </row>
    <row r="6937">
      <c r="A6937" s="8" t="str">
        <f>IFERROR(__xludf.DUMMYFUNCTION("""COMPUTED_VALUE"""),"amutamedia")</f>
        <v>amutamedia</v>
      </c>
    </row>
    <row r="6938">
      <c r="A6938" s="8" t="str">
        <f>IFERROR(__xludf.DUMMYFUNCTION("""COMPUTED_VALUE"""),"bangerbuddy")</f>
        <v>bangerbuddy</v>
      </c>
    </row>
    <row r="6939">
      <c r="A6939" s="8" t="str">
        <f>IFERROR(__xludf.DUMMYFUNCTION("""COMPUTED_VALUE"""),"clublifedesign")</f>
        <v>clublifedesign</v>
      </c>
    </row>
    <row r="6940">
      <c r="A6940" s="8" t="str">
        <f>IFERROR(__xludf.DUMMYFUNCTION("""COMPUTED_VALUE"""),"inspiredmediaco")</f>
        <v>inspiredmediaco</v>
      </c>
    </row>
    <row r="6941">
      <c r="A6941" s="8" t="str">
        <f>IFERROR(__xludf.DUMMYFUNCTION("""COMPUTED_VALUE"""),"instacoachmike")</f>
        <v>instacoachmike</v>
      </c>
    </row>
    <row r="6942">
      <c r="A6942" s="8" t="str">
        <f>IFERROR(__xludf.DUMMYFUNCTION("""COMPUTED_VALUE"""),"marketingharry")</f>
        <v>marketingharry</v>
      </c>
    </row>
    <row r="6943">
      <c r="A6943" s="8" t="str">
        <f>IFERROR(__xludf.DUMMYFUNCTION("""COMPUTED_VALUE"""),"markting_dubai")</f>
        <v>markting_dubai</v>
      </c>
    </row>
    <row r="6944">
      <c r="A6944" s="8" t="str">
        <f>IFERROR(__xludf.DUMMYFUNCTION("""COMPUTED_VALUE"""),"officialpwnkumar")</f>
        <v>officialpwnkumar</v>
      </c>
    </row>
    <row r="6945">
      <c r="A6945" s="8" t="str">
        <f>IFERROR(__xludf.DUMMYFUNCTION("""COMPUTED_VALUE"""),"personalbrandlaunch")</f>
        <v>personalbrandlaunch</v>
      </c>
    </row>
    <row r="6946">
      <c r="A6946" s="8" t="str">
        <f>IFERROR(__xludf.DUMMYFUNCTION("""COMPUTED_VALUE"""),"sociallyybri")</f>
        <v>sociallyybri</v>
      </c>
    </row>
    <row r="6947">
      <c r="A6947" s="8" t="str">
        <f>IFERROR(__xludf.DUMMYFUNCTION("""COMPUTED_VALUE"""),"social__media_celebrity")</f>
        <v>social__media_celebrity</v>
      </c>
    </row>
    <row r="6948">
      <c r="A6948" s="11" t="str">
        <f>IFERROR(__xludf.DUMMYFUNCTION("""COMPUTED_VALUE"""),"socialstocks.co")</f>
        <v>socialstocks.co</v>
      </c>
    </row>
    <row r="6949">
      <c r="A6949" s="8" t="str">
        <f>IFERROR(__xludf.DUMMYFUNCTION("""COMPUTED_VALUE"""),"socialwithinitial")</f>
        <v>socialwithinitial</v>
      </c>
    </row>
    <row r="6950">
      <c r="A6950" s="8" t="str">
        <f>IFERROR(__xludf.DUMMYFUNCTION("""COMPUTED_VALUE"""),"thekingmichelle")</f>
        <v>thekingmichelle</v>
      </c>
    </row>
    <row r="6951">
      <c r="A6951" s="8" t="str">
        <f>IFERROR(__xludf.DUMMYFUNCTION("""COMPUTED_VALUE"""),"wayup_media")</f>
        <v>wayup_media</v>
      </c>
    </row>
    <row r="6952">
      <c r="A6952" s="8" t="str">
        <f>IFERROR(__xludf.DUMMYFUNCTION("""COMPUTED_VALUE"""),"whitneybartlette.social")</f>
        <v>whitneybartlette.social</v>
      </c>
    </row>
    <row r="6953">
      <c r="A6953" s="8" t="str">
        <f>IFERROR(__xludf.DUMMYFUNCTION("""COMPUTED_VALUE"""),"your_social_media_bestie")</f>
        <v>your_social_media_bestie</v>
      </c>
    </row>
    <row r="6954">
      <c r="A6954" s="8" t="str">
        <f>IFERROR(__xludf.DUMMYFUNCTION("""COMPUTED_VALUE"""),"scmpnews")</f>
        <v>scmpnews</v>
      </c>
    </row>
    <row r="6955">
      <c r="A6955" s="8" t="str">
        <f>IFERROR(__xludf.DUMMYFUNCTION("""COMPUTED_VALUE"""),"spindablokk_")</f>
        <v>spindablokk_</v>
      </c>
    </row>
    <row r="6956">
      <c r="A6956" s="8" t="str">
        <f>IFERROR(__xludf.DUMMYFUNCTION("""COMPUTED_VALUE"""),"spinmodelmanagement")</f>
        <v>spinmodelmanagement</v>
      </c>
    </row>
    <row r="6957">
      <c r="A6957" s="8" t="str">
        <f>IFERROR(__xludf.DUMMYFUNCTION("""COMPUTED_VALUE"""),"spin.with.jim")</f>
        <v>spin.with.jim</v>
      </c>
    </row>
    <row r="6958">
      <c r="A6958" s="8" t="str">
        <f>IFERROR(__xludf.DUMMYFUNCTION("""COMPUTED_VALUE"""),"si_soccer")</f>
        <v>si_soccer</v>
      </c>
    </row>
    <row r="6959">
      <c r="A6959" s="8" t="str">
        <f>IFERROR(__xludf.DUMMYFUNCTION("""COMPUTED_VALUE"""),"si_swimsuit")</f>
        <v>si_swimsuit</v>
      </c>
    </row>
    <row r="6960">
      <c r="A6960" s="8" t="str">
        <f>IFERROR(__xludf.DUMMYFUNCTION("""COMPUTED_VALUE"""),"sportsillustrated")</f>
        <v>sportsillustrated</v>
      </c>
    </row>
    <row r="6961">
      <c r="A6961" s="8" t="str">
        <f>IFERROR(__xludf.DUMMYFUNCTION("""COMPUTED_VALUE"""),"sportsillustrated_allworlds")</f>
        <v>sportsillustrated_allworlds</v>
      </c>
    </row>
    <row r="6962">
      <c r="A6962" s="8" t="str">
        <f>IFERROR(__xludf.DUMMYFUNCTION("""COMPUTED_VALUE"""),"sportsillustrated_de")</f>
        <v>sportsillustrated_de</v>
      </c>
    </row>
    <row r="6963">
      <c r="A6963" s="8" t="str">
        <f>IFERROR(__xludf.DUMMYFUNCTION("""COMPUTED_VALUE"""),"sportsillustratedfc")</f>
        <v>sportsillustratedfc</v>
      </c>
    </row>
    <row r="6964">
      <c r="A6964" s="8" t="str">
        <f>IFERROR(__xludf.DUMMYFUNCTION("""COMPUTED_VALUE"""),"sportsillustratedfutbol")</f>
        <v>sportsillustratedfutbol</v>
      </c>
    </row>
    <row r="6965">
      <c r="A6965" s="8" t="str">
        <f>IFERROR(__xludf.DUMMYFUNCTION("""COMPUTED_VALUE"""),"sportsillustrated.mexico")</f>
        <v>sportsillustrated.mexico</v>
      </c>
    </row>
    <row r="6966">
      <c r="A6966" s="8" t="str">
        <f>IFERROR(__xludf.DUMMYFUNCTION("""COMPUTED_VALUE"""),"b.statement")</f>
        <v>b.statement</v>
      </c>
    </row>
    <row r="6967">
      <c r="A6967" s="11" t="str">
        <f>IFERROR(__xludf.DUMMYFUNCTION("""COMPUTED_VALUE"""),"statementbeauty.co")</f>
        <v>statementbeauty.co</v>
      </c>
    </row>
    <row r="6968">
      <c r="A6968" s="8" t="str">
        <f>IFERROR(__xludf.DUMMYFUNCTION("""COMPUTED_VALUE"""),"statement.boutique")</f>
        <v>statement.boutique</v>
      </c>
    </row>
    <row r="6969">
      <c r="A6969" s="8" t="str">
        <f>IFERROR(__xludf.DUMMYFUNCTION("""COMPUTED_VALUE"""),"statementbrand")</f>
        <v>statementbrand</v>
      </c>
    </row>
    <row r="6970">
      <c r="A6970" s="8" t="str">
        <f>IFERROR(__xludf.DUMMYFUNCTION("""COMPUTED_VALUE"""),"statement.clo")</f>
        <v>statement.clo</v>
      </c>
    </row>
    <row r="6971">
      <c r="A6971" s="8" t="str">
        <f>IFERROR(__xludf.DUMMYFUNCTION("""COMPUTED_VALUE"""),"statementcollective_")</f>
        <v>statementcollective_</v>
      </c>
    </row>
    <row r="6972">
      <c r="A6972" s="11" t="str">
        <f>IFERROR(__xludf.DUMMYFUNCTION("""COMPUTED_VALUE"""),"statement.mz")</f>
        <v>statement.mz</v>
      </c>
    </row>
    <row r="6973">
      <c r="A6973" s="8" t="str">
        <f>IFERROR(__xludf.DUMMYFUNCTION("""COMPUTED_VALUE"""),"statementnz")</f>
        <v>statementnz</v>
      </c>
    </row>
    <row r="6974">
      <c r="A6974" s="8" t="str">
        <f>IFERROR(__xludf.DUMMYFUNCTION("""COMPUTED_VALUE"""),"visualstatements")</f>
        <v>visualstatements</v>
      </c>
    </row>
    <row r="6975">
      <c r="A6975" s="8" t="str">
        <f>IFERROR(__xludf.DUMMYFUNCTION("""COMPUTED_VALUE"""),"itsthetrashygasstationlady")</f>
        <v>itsthetrashygasstationlady</v>
      </c>
    </row>
    <row r="6976">
      <c r="A6976" s="8" t="str">
        <f>IFERROR(__xludf.DUMMYFUNCTION("""COMPUTED_VALUE"""),"rdstation")</f>
        <v>rdstation</v>
      </c>
    </row>
    <row r="6977">
      <c r="A6977" s="8" t="str">
        <f>IFERROR(__xludf.DUMMYFUNCTION("""COMPUTED_VALUE"""),"station.09")</f>
        <v>station.09</v>
      </c>
    </row>
    <row r="6978">
      <c r="A6978" s="8" t="str">
        <f>IFERROR(__xludf.DUMMYFUNCTION("""COMPUTED_VALUE"""),"station19")</f>
        <v>station19</v>
      </c>
    </row>
    <row r="6979">
      <c r="A6979" s="8" t="str">
        <f>IFERROR(__xludf.DUMMYFUNCTION("""COMPUTED_VALUE"""),"stationgaredesmines")</f>
        <v>stationgaredesmines</v>
      </c>
    </row>
    <row r="6980">
      <c r="A6980" s="8" t="str">
        <f>IFERROR(__xludf.DUMMYFUNCTION("""COMPUTED_VALUE"""),"stationhead")</f>
        <v>stationhead</v>
      </c>
    </row>
    <row r="6981">
      <c r="A6981" s="8" t="str">
        <f>IFERROR(__xludf.DUMMYFUNCTION("""COMPUTED_VALUE"""),"demicstory")</f>
        <v>demicstory</v>
      </c>
    </row>
    <row r="6982">
      <c r="A6982" s="8" t="str">
        <f>IFERROR(__xludf.DUMMYFUNCTION("""COMPUTED_VALUE"""),"story")</f>
        <v>story</v>
      </c>
    </row>
    <row r="6983">
      <c r="A6983" s="8" t="str">
        <f>IFERROR(__xludf.DUMMYFUNCTION("""COMPUTED_VALUE"""),"story_by_kira_kos")</f>
        <v>story_by_kira_kos</v>
      </c>
    </row>
    <row r="6984">
      <c r="A6984" s="8" t="str">
        <f>IFERROR(__xludf.DUMMYFUNCTION("""COMPUTED_VALUE"""),"storyill")</f>
        <v>storyill</v>
      </c>
    </row>
    <row r="6985">
      <c r="A6985" s="8" t="str">
        <f>IFERROR(__xludf.DUMMYFUNCTION("""COMPUTED_VALUE"""),"story_in_wood")</f>
        <v>story_in_wood</v>
      </c>
    </row>
    <row r="6986">
      <c r="A6986" s="8" t="str">
        <f>IFERROR(__xludf.DUMMYFUNCTION("""COMPUTED_VALUE"""),"storymiami")</f>
        <v>storymiami</v>
      </c>
    </row>
    <row r="6987">
      <c r="A6987" s="8" t="str">
        <f>IFERROR(__xludf.DUMMYFUNCTION("""COMPUTED_VALUE"""),"story_online")</f>
        <v>story_online</v>
      </c>
    </row>
    <row r="6988">
      <c r="A6988" s="8" t="str">
        <f>IFERROR(__xludf.DUMMYFUNCTION("""COMPUTED_VALUE"""),"nstonline")</f>
        <v>nstonline</v>
      </c>
    </row>
    <row r="6989">
      <c r="A6989" s="8" t="str">
        <f>IFERROR(__xludf.DUMMYFUNCTION("""COMPUTED_VALUE"""),"stcomments")</f>
        <v>stcomments</v>
      </c>
    </row>
    <row r="6990">
      <c r="A6990" s="8" t="str">
        <f>IFERROR(__xludf.DUMMYFUNCTION("""COMPUTED_VALUE"""),"straits_times")</f>
        <v>straits_times</v>
      </c>
    </row>
    <row r="6991">
      <c r="A6991" s="8" t="str">
        <f>IFERROR(__xludf.DUMMYFUNCTION("""COMPUTED_VALUE"""),"straitstimesfood")</f>
        <v>straitstimesfood</v>
      </c>
    </row>
    <row r="6992">
      <c r="A6992" s="8" t="str">
        <f>IFERROR(__xludf.DUMMYFUNCTION("""COMPUTED_VALUE"""),"straits_times_sport")</f>
        <v>straits_times_sport</v>
      </c>
    </row>
    <row r="6993">
      <c r="A6993" s="8" t="str">
        <f>IFERROR(__xludf.DUMMYFUNCTION("""COMPUTED_VALUE"""),"bolageprek")</f>
        <v>bolageprek</v>
      </c>
    </row>
    <row r="6994">
      <c r="A6994" s="8" t="str">
        <f>IFERROR(__xludf.DUMMYFUNCTION("""COMPUTED_VALUE"""),"dramabox_portuguese")</f>
        <v>dramabox_portuguese</v>
      </c>
    </row>
    <row r="6995">
      <c r="A6995" s="11" t="str">
        <f>IFERROR(__xludf.DUMMYFUNCTION("""COMPUTED_VALUE"""),"jalalive.id")</f>
        <v>jalalive.id</v>
      </c>
    </row>
    <row r="6996">
      <c r="A6996" s="8" t="str">
        <f>IFERROR(__xludf.DUMMYFUNCTION("""COMPUTED_VALUE"""),"lol.streaming")</f>
        <v>lol.streaming</v>
      </c>
    </row>
    <row r="6997">
      <c r="A6997" s="8" t="str">
        <f>IFERROR(__xludf.DUMMYFUNCTION("""COMPUTED_VALUE"""),"phtvstreaming")</f>
        <v>phtvstreaming</v>
      </c>
    </row>
    <row r="6998">
      <c r="A6998" s="8" t="str">
        <f>IFERROR(__xludf.DUMMYFUNCTION("""COMPUTED_VALUE"""),"streamingurls")</f>
        <v>streamingurls</v>
      </c>
    </row>
    <row r="6999">
      <c r="A6999" s="8" t="str">
        <f>IFERROR(__xludf.DUMMYFUNCTION("""COMPUTED_VALUE"""),"no.investigues")</f>
        <v>no.investigues</v>
      </c>
    </row>
    <row r="7000">
      <c r="A7000" s="8" t="str">
        <f>IFERROR(__xludf.DUMMYFUNCTION("""COMPUTED_VALUE"""),"substack")</f>
        <v>substack</v>
      </c>
    </row>
    <row r="7001">
      <c r="A7001" s="8" t="str">
        <f>IFERROR(__xludf.DUMMYFUNCTION("""COMPUTED_VALUE"""),"thehotshotwakeup")</f>
        <v>thehotshotwakeup</v>
      </c>
    </row>
    <row r="7002">
      <c r="A7002" s="8" t="str">
        <f>IFERROR(__xludf.DUMMYFUNCTION("""COMPUTED_VALUE"""),"sun")</f>
        <v>sun</v>
      </c>
    </row>
    <row r="7003">
      <c r="A7003" s="8" t="str">
        <f>IFERROR(__xludf.DUMMYFUNCTION("""COMPUTED_VALUE"""),"syndicationexpert")</f>
        <v>syndicationexpert</v>
      </c>
    </row>
    <row r="7004">
      <c r="A7004" s="8" t="str">
        <f>IFERROR(__xludf.DUMMYFUNCTION("""COMPUTED_VALUE"""),"eltabloide")</f>
        <v>eltabloide</v>
      </c>
    </row>
    <row r="7005">
      <c r="A7005" s="8" t="str">
        <f>IFERROR(__xludf.DUMMYFUNCTION("""COMPUTED_VALUE"""),"tabloid.su")</f>
        <v>tabloid.su</v>
      </c>
    </row>
    <row r="7006">
      <c r="A7006" s="8" t="str">
        <f>IFERROR(__xludf.DUMMYFUNCTION("""COMPUTED_VALUE"""),"tastingtable")</f>
        <v>tastingtable</v>
      </c>
    </row>
    <row r="7007">
      <c r="A7007" s="8" t="str">
        <f>IFERROR(__xludf.DUMMYFUNCTION("""COMPUTED_VALUE"""),"tastingtable20")</f>
        <v>tastingtable20</v>
      </c>
    </row>
    <row r="7008">
      <c r="A7008" s="8" t="str">
        <f>IFERROR(__xludf.DUMMYFUNCTION("""COMPUTED_VALUE"""),"irishtatler")</f>
        <v>irishtatler</v>
      </c>
    </row>
    <row r="7009">
      <c r="A7009" s="8" t="str">
        <f>IFERROR(__xludf.DUMMYFUNCTION("""COMPUTED_VALUE"""),"tatlerhongkong")</f>
        <v>tatlerhongkong</v>
      </c>
    </row>
    <row r="7010">
      <c r="A7010" s="8" t="str">
        <f>IFERROR(__xludf.DUMMYFUNCTION("""COMPUTED_VALUE"""),"tatlermagazine")</f>
        <v>tatlermagazine</v>
      </c>
    </row>
    <row r="7011">
      <c r="A7011" s="11" t="str">
        <f>IFERROR(__xludf.DUMMYFUNCTION("""COMPUTED_VALUE"""),"tatler.no")</f>
        <v>tatler.no</v>
      </c>
    </row>
    <row r="7012">
      <c r="A7012" s="8" t="str">
        <f>IFERROR(__xludf.DUMMYFUNCTION("""COMPUTED_VALUE"""),"tatler_russia")</f>
        <v>tatler_russia</v>
      </c>
    </row>
    <row r="7013">
      <c r="A7013" s="8" t="str">
        <f>IFERROR(__xludf.DUMMYFUNCTION("""COMPUTED_VALUE"""),"tatlerschools")</f>
        <v>tatlerschools</v>
      </c>
    </row>
    <row r="7014">
      <c r="A7014" s="8" t="str">
        <f>IFERROR(__xludf.DUMMYFUNCTION("""COMPUTED_VALUE"""),"tatlersingapore")</f>
        <v>tatlersingapore</v>
      </c>
    </row>
    <row r="7015">
      <c r="A7015" s="8" t="str">
        <f>IFERROR(__xludf.DUMMYFUNCTION("""COMPUTED_VALUE"""),"tatlertaiwan")</f>
        <v>tatlertaiwan</v>
      </c>
    </row>
    <row r="7016">
      <c r="A7016" s="8" t="str">
        <f>IFERROR(__xludf.DUMMYFUNCTION("""COMPUTED_VALUE"""),"tatlerth")</f>
        <v>tatlerth</v>
      </c>
    </row>
    <row r="7017">
      <c r="A7017" s="8" t="str">
        <f>IFERROR(__xludf.DUMMYFUNCTION("""COMPUTED_VALUE"""),"techcrunch")</f>
        <v>techcrunch</v>
      </c>
    </row>
    <row r="7018">
      <c r="A7018" s="8" t="str">
        <f>IFERROR(__xludf.DUMMYFUNCTION("""COMPUTED_VALUE"""),"tech__memer")</f>
        <v>tech__memer</v>
      </c>
    </row>
    <row r="7019">
      <c r="A7019" s="8" t="str">
        <f>IFERROR(__xludf.DUMMYFUNCTION("""COMPUTED_VALUE"""),"teenvogue")</f>
        <v>teenvogue</v>
      </c>
    </row>
    <row r="7020">
      <c r="A7020" s="8" t="str">
        <f>IFERROR(__xludf.DUMMYFUNCTION("""COMPUTED_VALUE"""),"tvstyle")</f>
        <v>tvstyle</v>
      </c>
    </row>
    <row r="7021">
      <c r="A7021" s="8" t="str">
        <f>IFERROR(__xludf.DUMMYFUNCTION("""COMPUTED_VALUE"""),"channelstelevision")</f>
        <v>channelstelevision</v>
      </c>
    </row>
    <row r="7022">
      <c r="A7022" s="8" t="str">
        <f>IFERROR(__xludf.DUMMYFUNCTION("""COMPUTED_VALUE"""),"cvm_television")</f>
        <v>cvm_television</v>
      </c>
    </row>
    <row r="7023">
      <c r="A7023" s="8" t="str">
        <f>IFERROR(__xludf.DUMMYFUNCTION("""COMPUTED_VALUE"""),"francetelevisions")</f>
        <v>francetelevisions</v>
      </c>
    </row>
    <row r="7024">
      <c r="A7024" s="8" t="str">
        <f>IFERROR(__xludf.DUMMYFUNCTION("""COMPUTED_VALUE"""),"kbc_television")</f>
        <v>kbc_television</v>
      </c>
    </row>
    <row r="7025">
      <c r="A7025" s="8" t="str">
        <f>IFERROR(__xludf.DUMMYFUNCTION("""COMPUTED_VALUE"""),"le20hfrancetelevisions")</f>
        <v>le20hfrancetelevisions</v>
      </c>
    </row>
    <row r="7026">
      <c r="A7026" s="8" t="str">
        <f>IFERROR(__xludf.DUMMYFUNCTION("""COMPUTED_VALUE"""),"lexitelevision")</f>
        <v>lexitelevision</v>
      </c>
    </row>
    <row r="7027">
      <c r="A7027" s="8" t="str">
        <f>IFERROR(__xludf.DUMMYFUNCTION("""COMPUTED_VALUE"""),"nitv_au")</f>
        <v>nitv_au</v>
      </c>
    </row>
    <row r="7028">
      <c r="A7028" s="8" t="str">
        <f>IFERROR(__xludf.DUMMYFUNCTION("""COMPUTED_VALUE"""),"tctelevision")</f>
        <v>tctelevision</v>
      </c>
    </row>
    <row r="7029">
      <c r="A7029" s="8" t="str">
        <f>IFERROR(__xludf.DUMMYFUNCTION("""COMPUTED_VALUE"""),"televisionacad")</f>
        <v>televisionacad</v>
      </c>
    </row>
    <row r="7030">
      <c r="A7030" s="8" t="str">
        <f>IFERROR(__xludf.DUMMYFUNCTION("""COMPUTED_VALUE"""),"television_jamaica")</f>
        <v>television_jamaica</v>
      </c>
    </row>
    <row r="7031">
      <c r="A7031" s="8" t="str">
        <f>IFERROR(__xludf.DUMMYFUNCTION("""COMPUTED_VALUE"""),"television.moments")</f>
        <v>television.moments</v>
      </c>
    </row>
    <row r="7032">
      <c r="A7032" s="8" t="str">
        <f>IFERROR(__xludf.DUMMYFUNCTION("""COMPUTED_VALUE"""),"television_off")</f>
        <v>television_off</v>
      </c>
    </row>
    <row r="7033">
      <c r="A7033" s="8" t="str">
        <f>IFERROR(__xludf.DUMMYFUNCTION("""COMPUTED_VALUE"""),"television_promos_updates")</f>
        <v>television_promos_updates</v>
      </c>
    </row>
    <row r="7034">
      <c r="A7034" s="8" t="str">
        <f>IFERROR(__xludf.DUMMYFUNCTION("""COMPUTED_VALUE"""),"television_uz")</f>
        <v>television_uz</v>
      </c>
    </row>
    <row r="7035">
      <c r="A7035" s="8" t="str">
        <f>IFERROR(__xludf.DUMMYFUNCTION("""COMPUTED_VALUE"""),"tvjnews")</f>
        <v>tvjnews</v>
      </c>
    </row>
    <row r="7036">
      <c r="A7036" s="8" t="str">
        <f>IFERROR(__xludf.DUMMYFUNCTION("""COMPUTED_VALUE"""),"vijaytelevision")</f>
        <v>vijaytelevision</v>
      </c>
    </row>
    <row r="7037">
      <c r="A7037" s="8" t="str">
        <f>IFERROR(__xludf.DUMMYFUNCTION("""COMPUTED_VALUE"""),"vutelevisions")</f>
        <v>vutelevisions</v>
      </c>
    </row>
    <row r="7038">
      <c r="A7038" s="11" t="str">
        <f>IFERROR(__xludf.DUMMYFUNCTION("""COMPUTED_VALUE"""),"athleticstore.tt")</f>
        <v>athleticstore.tt</v>
      </c>
    </row>
    <row r="7039">
      <c r="A7039" s="8" t="str">
        <f>IFERROR(__xludf.DUMMYFUNCTION("""COMPUTED_VALUE"""),"theathletic")</f>
        <v>theathletic</v>
      </c>
    </row>
    <row r="7040">
      <c r="A7040" s="8" t="str">
        <f>IFERROR(__xludf.DUMMYFUNCTION("""COMPUTED_VALUE"""),"theathleticfc")</f>
        <v>theathleticfc</v>
      </c>
    </row>
    <row r="7041">
      <c r="A7041" s="8" t="str">
        <f>IFERROR(__xludf.DUMMYFUNCTION("""COMPUTED_VALUE"""),"theathletichq")</f>
        <v>theathletichq</v>
      </c>
    </row>
    <row r="7042">
      <c r="A7042" s="8" t="str">
        <f>IFERROR(__xludf.DUMMYFUNCTION("""COMPUTED_VALUE"""),"theathleticphysio")</f>
        <v>theathleticphysio</v>
      </c>
    </row>
    <row r="7043">
      <c r="A7043" s="8" t="str">
        <f>IFERROR(__xludf.DUMMYFUNCTION("""COMPUTED_VALUE"""),"the.athletics.arena")</f>
        <v>the.athletics.arena</v>
      </c>
    </row>
    <row r="7044">
      <c r="A7044" s="8" t="str">
        <f>IFERROR(__xludf.DUMMYFUNCTION("""COMPUTED_VALUE"""),"theathleticsclub")</f>
        <v>theathleticsclub</v>
      </c>
    </row>
    <row r="7045">
      <c r="A7045" s="8" t="str">
        <f>IFERROR(__xludf.DUMMYFUNCTION("""COMPUTED_VALUE"""),"theatlantic")</f>
        <v>theatlantic</v>
      </c>
    </row>
    <row r="7046">
      <c r="A7046" s="8" t="str">
        <f>IFERROR(__xludf.DUMMYFUNCTION("""COMPUTED_VALUE"""),"theatlanticdispatch")</f>
        <v>theatlanticdispatch</v>
      </c>
    </row>
    <row r="7047">
      <c r="A7047" s="8" t="str">
        <f>IFERROR(__xludf.DUMMYFUNCTION("""COMPUTED_VALUE"""),"theatlanticpr")</f>
        <v>theatlanticpr</v>
      </c>
    </row>
    <row r="7048">
      <c r="A7048" s="8" t="str">
        <f>IFERROR(__xludf.DUMMYFUNCTION("""COMPUTED_VALUE"""),"theatlanticrest")</f>
        <v>theatlanticrest</v>
      </c>
    </row>
    <row r="7049">
      <c r="A7049" s="8" t="str">
        <f>IFERROR(__xludf.DUMMYFUNCTION("""COMPUTED_VALUE"""),"cutthecamerapodcast")</f>
        <v>cutthecamerapodcast</v>
      </c>
    </row>
    <row r="7050">
      <c r="A7050" s="8" t="str">
        <f>IFERROR(__xludf.DUMMYFUNCTION("""COMPUTED_VALUE"""),"thecut")</f>
        <v>thecut</v>
      </c>
    </row>
    <row r="7051">
      <c r="A7051" s="8" t="str">
        <f>IFERROR(__xludf.DUMMYFUNCTION("""COMPUTED_VALUE"""),"thecutandcraft")</f>
        <v>thecutandcraft</v>
      </c>
    </row>
    <row r="7052">
      <c r="A7052" s="8" t="str">
        <f>IFERROR(__xludf.DUMMYFUNCTION("""COMPUTED_VALUE"""),"thecutapp")</f>
        <v>thecutapp</v>
      </c>
    </row>
    <row r="7053">
      <c r="A7053" s="8" t="str">
        <f>IFERROR(__xludf.DUMMYFUNCTION("""COMPUTED_VALUE"""),"thecut.atx")</f>
        <v>thecut.atx</v>
      </c>
    </row>
    <row r="7054">
      <c r="A7054" s="8" t="str">
        <f>IFERROR(__xludf.DUMMYFUNCTION("""COMPUTED_VALUE"""),"thecuteabiola")</f>
        <v>thecuteabiola</v>
      </c>
    </row>
    <row r="7055">
      <c r="A7055" s="8" t="str">
        <f>IFERROR(__xludf.DUMMYFUNCTION("""COMPUTED_VALUE"""),"thecuthcb")</f>
        <v>thecuthcb</v>
      </c>
    </row>
    <row r="7056">
      <c r="A7056" s="8" t="str">
        <f>IFERROR(__xludf.DUMMYFUNCTION("""COMPUTED_VALUE"""),"thecutlife")</f>
        <v>thecutlife</v>
      </c>
    </row>
    <row r="7057">
      <c r="A7057" s="8" t="str">
        <f>IFERROR(__xludf.DUMMYFUNCTION("""COMPUTED_VALUE"""),"wofysnazwears")</f>
        <v>wofysnazwears</v>
      </c>
    </row>
    <row r="7058">
      <c r="A7058" s="8" t="str">
        <f>IFERROR(__xludf.DUMMYFUNCTION("""COMPUTED_VALUE"""),"drumcircleonline")</f>
        <v>drumcircleonline</v>
      </c>
    </row>
    <row r="7059">
      <c r="A7059" s="8" t="str">
        <f>IFERROR(__xludf.DUMMYFUNCTION("""COMPUTED_VALUE"""),"thedrumbroker")</f>
        <v>thedrumbroker</v>
      </c>
    </row>
    <row r="7060">
      <c r="A7060" s="8" t="str">
        <f>IFERROR(__xludf.DUMMYFUNCTION("""COMPUTED_VALUE"""),"thedrumcircle_")</f>
        <v>thedrumcircle_</v>
      </c>
    </row>
    <row r="7061">
      <c r="A7061" s="8" t="str">
        <f>IFERROR(__xludf.DUMMYFUNCTION("""COMPUTED_VALUE"""),"thedrummag")</f>
        <v>thedrummag</v>
      </c>
    </row>
    <row r="7062">
      <c r="A7062" s="8" t="str">
        <f>IFERROR(__xludf.DUMMYFUNCTION("""COMPUTED_VALUE"""),"thedrumsofficial")</f>
        <v>thedrumsofficial</v>
      </c>
    </row>
    <row r="7063">
      <c r="A7063" s="8" t="str">
        <f>IFERROR(__xludf.DUMMYFUNCTION("""COMPUTED_VALUE"""),"theeconomist")</f>
        <v>theeconomist</v>
      </c>
    </row>
    <row r="7064">
      <c r="A7064" s="8" t="str">
        <f>IFERROR(__xludf.DUMMYFUNCTION("""COMPUTED_VALUE"""),"theeconomistevents_")</f>
        <v>theeconomistevents_</v>
      </c>
    </row>
    <row r="7065">
      <c r="A7065" s="8" t="str">
        <f>IFERROR(__xludf.DUMMYFUNCTION("""COMPUTED_VALUE"""),"babygee.74")</f>
        <v>babygee.74</v>
      </c>
    </row>
    <row r="7066">
      <c r="A7066" s="8" t="str">
        <f>IFERROR(__xludf.DUMMYFUNCTION("""COMPUTED_VALUE"""),"facet")</f>
        <v>facet</v>
      </c>
    </row>
    <row r="7067">
      <c r="A7067" s="8" t="str">
        <f>IFERROR(__xludf.DUMMYFUNCTION("""COMPUTED_VALUE"""),"facethe_future")</f>
        <v>facethe_future</v>
      </c>
    </row>
    <row r="7068">
      <c r="A7068" s="8" t="str">
        <f>IFERROR(__xludf.DUMMYFUNCTION("""COMPUTED_VALUE"""),"nottiosama")</f>
        <v>nottiosama</v>
      </c>
    </row>
    <row r="7069">
      <c r="A7069" s="8" t="str">
        <f>IFERROR(__xludf.DUMMYFUNCTION("""COMPUTED_VALUE"""),"official.thefacethailand")</f>
        <v>official.thefacethailand</v>
      </c>
    </row>
    <row r="7070">
      <c r="A7070" s="8" t="str">
        <f>IFERROR(__xludf.DUMMYFUNCTION("""COMPUTED_VALUE"""),"__theface")</f>
        <v>__theface</v>
      </c>
    </row>
    <row r="7071">
      <c r="A7071" s="8" t="str">
        <f>IFERROR(__xludf.DUMMYFUNCTION("""COMPUTED_VALUE"""),"thefacemagazine")</f>
        <v>thefacemagazine</v>
      </c>
    </row>
    <row r="7072">
      <c r="A7072" s="8" t="str">
        <f>IFERROR(__xludf.DUMMYFUNCTION("""COMPUTED_VALUE"""),"thefaceshop")</f>
        <v>thefaceshop</v>
      </c>
    </row>
    <row r="7073">
      <c r="A7073" s="11" t="str">
        <f>IFERROR(__xludf.DUMMYFUNCTION("""COMPUTED_VALUE"""),"thefaceshop.kw")</f>
        <v>thefaceshop.kw</v>
      </c>
    </row>
    <row r="7074">
      <c r="A7074" s="8" t="str">
        <f>IFERROR(__xludf.DUMMYFUNCTION("""COMPUTED_VALUE"""),"thefaceshop.official")</f>
        <v>thefaceshop.official</v>
      </c>
    </row>
    <row r="7075">
      <c r="A7075" s="8" t="str">
        <f>IFERROR(__xludf.DUMMYFUNCTION("""COMPUTED_VALUE"""),"theface.sousse")</f>
        <v>theface.sousse</v>
      </c>
    </row>
    <row r="7076">
      <c r="A7076" s="8" t="str">
        <f>IFERROR(__xludf.DUMMYFUNCTION("""COMPUTED_VALUE"""),"thefacethailand")</f>
        <v>thefacethailand</v>
      </c>
    </row>
    <row r="7077">
      <c r="A7077" s="8" t="str">
        <f>IFERROR(__xludf.DUMMYFUNCTION("""COMPUTED_VALUE"""),"thenorthface")</f>
        <v>thenorthface</v>
      </c>
    </row>
    <row r="7078">
      <c r="A7078" s="8" t="str">
        <f>IFERROR(__xludf.DUMMYFUNCTION("""COMPUTED_VALUE"""),"thefader")</f>
        <v>thefader</v>
      </c>
    </row>
    <row r="7079">
      <c r="A7079" s="8" t="str">
        <f>IFERROR(__xludf.DUMMYFUNCTION("""COMPUTED_VALUE"""),"thefadersdjs")</f>
        <v>thefadersdjs</v>
      </c>
    </row>
    <row r="7080">
      <c r="A7080" s="8" t="str">
        <f>IFERROR(__xludf.DUMMYFUNCTION("""COMPUTED_VALUE"""),"guardian")</f>
        <v>guardian</v>
      </c>
    </row>
    <row r="7081">
      <c r="A7081" s="8" t="str">
        <f>IFERROR(__xludf.DUMMYFUNCTION("""COMPUTED_VALUE"""),"guardiannigeria")</f>
        <v>guardiannigeria</v>
      </c>
    </row>
    <row r="7082">
      <c r="A7082" s="8" t="str">
        <f>IFERROR(__xludf.DUMMYFUNCTION("""COMPUTED_VALUE"""),"guardian_travelmates_official")</f>
        <v>guardian_travelmates_official</v>
      </c>
    </row>
    <row r="7083">
      <c r="A7083" s="8" t="str">
        <f>IFERROR(__xludf.DUMMYFUNCTION("""COMPUTED_VALUE"""),"guardian_us")</f>
        <v>guardian_us</v>
      </c>
    </row>
    <row r="7084">
      <c r="A7084" s="8" t="str">
        <f>IFERROR(__xludf.DUMMYFUNCTION("""COMPUTED_VALUE"""),"theguardianzoz")</f>
        <v>theguardianzoz</v>
      </c>
    </row>
    <row r="7085">
      <c r="A7085" s="8" t="str">
        <f>IFERROR(__xludf.DUMMYFUNCTION("""COMPUTED_VALUE"""),"the_hindu")</f>
        <v>the_hindu</v>
      </c>
    </row>
    <row r="7086">
      <c r="A7086" s="8" t="str">
        <f>IFERROR(__xludf.DUMMYFUNCTION("""COMPUTED_VALUE"""),"the_hindu_dude")</f>
        <v>the_hindu_dude</v>
      </c>
    </row>
    <row r="7087">
      <c r="A7087" s="8" t="str">
        <f>IFERROR(__xludf.DUMMYFUNCTION("""COMPUTED_VALUE"""),"thehindu_madeofchennai")</f>
        <v>thehindu_madeofchennai</v>
      </c>
    </row>
    <row r="7088">
      <c r="A7088" s="8" t="str">
        <f>IFERROR(__xludf.DUMMYFUNCTION("""COMPUTED_VALUE"""),"the_hindu_newspaper_")</f>
        <v>the_hindu_newspaper_</v>
      </c>
    </row>
    <row r="7089">
      <c r="A7089" s="8" t="str">
        <f>IFERROR(__xludf.DUMMYFUNCTION("""COMPUTED_VALUE"""),"thehindutv_india")</f>
        <v>thehindutv_india</v>
      </c>
    </row>
    <row r="7090">
      <c r="A7090" s="8" t="str">
        <f>IFERROR(__xludf.DUMMYFUNCTION("""COMPUTED_VALUE"""),"hollywoodreporteree")</f>
        <v>hollywoodreporteree</v>
      </c>
    </row>
    <row r="7091">
      <c r="A7091" s="8" t="str">
        <f>IFERROR(__xludf.DUMMYFUNCTION("""COMPUTED_VALUE"""),"hollywoodreporterindia")</f>
        <v>hollywoodreporterindia</v>
      </c>
    </row>
    <row r="7092">
      <c r="A7092" s="11" t="str">
        <f>IFERROR(__xludf.DUMMYFUNCTION("""COMPUTED_VALUE"""),"hollywoodreporter.it")</f>
        <v>hollywoodreporter.it</v>
      </c>
    </row>
    <row r="7093">
      <c r="A7093" s="8" t="str">
        <f>IFERROR(__xludf.DUMMYFUNCTION("""COMPUTED_VALUE"""),"nytarchives")</f>
        <v>nytarchives</v>
      </c>
    </row>
    <row r="7094">
      <c r="A7094" s="8" t="str">
        <f>IFERROR(__xludf.DUMMYFUNCTION("""COMPUTED_VALUE"""),"nytgames")</f>
        <v>nytgames</v>
      </c>
    </row>
    <row r="7095">
      <c r="A7095" s="8" t="str">
        <f>IFERROR(__xludf.DUMMYFUNCTION("""COMPUTED_VALUE"""),"nytimes")</f>
        <v>nytimes</v>
      </c>
    </row>
    <row r="7096">
      <c r="A7096" s="8" t="str">
        <f>IFERROR(__xludf.DUMMYFUNCTION("""COMPUTED_VALUE"""),"nytimesstore")</f>
        <v>nytimesstore</v>
      </c>
    </row>
    <row r="7097">
      <c r="A7097" s="8" t="str">
        <f>IFERROR(__xludf.DUMMYFUNCTION("""COMPUTED_VALUE"""),"nytkids")</f>
        <v>nytkids</v>
      </c>
    </row>
    <row r="7098">
      <c r="A7098" s="8" t="str">
        <f>IFERROR(__xludf.DUMMYFUNCTION("""COMPUTED_VALUE"""),"nytmag")</f>
        <v>nytmag</v>
      </c>
    </row>
    <row r="7099">
      <c r="A7099" s="8" t="str">
        <f>IFERROR(__xludf.DUMMYFUNCTION("""COMPUTED_VALUE"""),"theskimm")</f>
        <v>theskimm</v>
      </c>
    </row>
    <row r="7100">
      <c r="A7100" s="8" t="str">
        <f>IFERROR(__xludf.DUMMYFUNCTION("""COMPUTED_VALUE"""),"telegraph")</f>
        <v>telegraph</v>
      </c>
    </row>
    <row r="7101">
      <c r="A7101" s="8" t="str">
        <f>IFERROR(__xludf.DUMMYFUNCTION("""COMPUTED_VALUE"""),"telegraphonline")</f>
        <v>telegraphonline</v>
      </c>
    </row>
    <row r="7102">
      <c r="A7102" s="8" t="str">
        <f>IFERROR(__xludf.DUMMYFUNCTION("""COMPUTED_VALUE"""),"telegraphtbilisi")</f>
        <v>telegraphtbilisi</v>
      </c>
    </row>
    <row r="7103">
      <c r="A7103" s="8" t="str">
        <f>IFERROR(__xludf.DUMMYFUNCTION("""COMPUTED_VALUE"""),"thetelegraphbuilding")</f>
        <v>thetelegraphbuilding</v>
      </c>
    </row>
    <row r="7104">
      <c r="A7104" s="8" t="str">
        <f>IFERROR(__xludf.DUMMYFUNCTION("""COMPUTED_VALUE"""),"economictimes")</f>
        <v>economictimes</v>
      </c>
    </row>
    <row r="7105">
      <c r="A7105" s="8" t="str">
        <f>IFERROR(__xludf.DUMMYFUNCTION("""COMPUTED_VALUE"""),"nolanews")</f>
        <v>nolanews</v>
      </c>
    </row>
    <row r="7106">
      <c r="A7106" s="8" t="str">
        <f>IFERROR(__xludf.DUMMYFUNCTION("""COMPUTED_VALUE"""),"nytimes")</f>
        <v>nytimes</v>
      </c>
    </row>
    <row r="7107">
      <c r="A7107" s="8" t="str">
        <f>IFERROR(__xludf.DUMMYFUNCTION("""COMPUTED_VALUE"""),"thetimes")</f>
        <v>thetimes</v>
      </c>
    </row>
    <row r="7108">
      <c r="A7108" s="8" t="str">
        <f>IFERROR(__xludf.DUMMYFUNCTION("""COMPUTED_VALUE"""),"thetimes20")</f>
        <v>thetimes20</v>
      </c>
    </row>
    <row r="7109">
      <c r="A7109" s="8" t="str">
        <f>IFERROR(__xludf.DUMMYFUNCTION("""COMPUTED_VALUE"""),"thetimesmagazine")</f>
        <v>thetimesmagazine</v>
      </c>
    </row>
    <row r="7110">
      <c r="A7110" s="11" t="str">
        <f>IFERROR(__xludf.DUMMYFUNCTION("""COMPUTED_VALUE"""),"timesnews.pk")</f>
        <v>timesnews.pk</v>
      </c>
    </row>
    <row r="7111">
      <c r="A7111" s="8" t="str">
        <f>IFERROR(__xludf.DUMMYFUNCTION("""COMPUTED_VALUE"""),"timesofindia")</f>
        <v>timesofindia</v>
      </c>
    </row>
    <row r="7112">
      <c r="A7112" s="8" t="str">
        <f>IFERROR(__xludf.DUMMYFUNCTION("""COMPUTED_VALUE"""),"timesofisrael")</f>
        <v>timesofisrael</v>
      </c>
    </row>
    <row r="7113">
      <c r="A7113" s="8" t="str">
        <f>IFERROR(__xludf.DUMMYFUNCTION("""COMPUTED_VALUE"""),"thevergeart")</f>
        <v>thevergeart</v>
      </c>
    </row>
    <row r="7114">
      <c r="A7114" s="8" t="str">
        <f>IFERROR(__xludf.DUMMYFUNCTION("""COMPUTED_VALUE"""),"thevergepk")</f>
        <v>thevergepk</v>
      </c>
    </row>
    <row r="7115">
      <c r="A7115" s="8" t="str">
        <f>IFERROR(__xludf.DUMMYFUNCTION("""COMPUTED_VALUE"""),"verge")</f>
        <v>verge</v>
      </c>
    </row>
    <row r="7116">
      <c r="A7116" s="8" t="str">
        <f>IFERROR(__xludf.DUMMYFUNCTION("""COMPUTED_VALUE"""),"wsj")</f>
        <v>wsj</v>
      </c>
    </row>
    <row r="7117">
      <c r="A7117" s="8" t="str">
        <f>IFERROR(__xludf.DUMMYFUNCTION("""COMPUTED_VALUE"""),"washingtonpost")</f>
        <v>washingtonpost</v>
      </c>
    </row>
    <row r="7118">
      <c r="A7118" s="8" t="str">
        <f>IFERROR(__xludf.DUMMYFUNCTION("""COMPUTED_VALUE"""),"washingtonpostmag")</f>
        <v>washingtonpostmag</v>
      </c>
    </row>
    <row r="7119">
      <c r="A7119" s="8" t="str">
        <f>IFERROR(__xludf.DUMMYFUNCTION("""COMPUTED_VALUE"""),"arttok.w")</f>
        <v>arttok.w</v>
      </c>
    </row>
    <row r="7120">
      <c r="A7120" s="8" t="str">
        <f>IFERROR(__xludf.DUMMYFUNCTION("""COMPUTED_VALUE"""),"cringe.tok.tik")</f>
        <v>cringe.tok.tik</v>
      </c>
    </row>
    <row r="7121">
      <c r="A7121" s="8" t="str">
        <f>IFERROR(__xludf.DUMMYFUNCTION("""COMPUTED_VALUE"""),"tiktok")</f>
        <v>tiktok</v>
      </c>
    </row>
    <row r="7122">
      <c r="A7122" s="8" t="str">
        <f>IFERROR(__xludf.DUMMYFUNCTION("""COMPUTED_VALUE"""),"tiktokcringe.pop")</f>
        <v>tiktokcringe.pop</v>
      </c>
    </row>
    <row r="7123">
      <c r="A7123" s="8" t="str">
        <f>IFERROR(__xludf.DUMMYFUNCTION("""COMPUTED_VALUE"""),"tik.tokdalala")</f>
        <v>tik.tokdalala</v>
      </c>
    </row>
    <row r="7124">
      <c r="A7124" s="8" t="str">
        <f>IFERROR(__xludf.DUMMYFUNCTION("""COMPUTED_VALUE"""),"tiktok.emes")</f>
        <v>tiktok.emes</v>
      </c>
    </row>
    <row r="7125">
      <c r="A7125" s="8" t="str">
        <f>IFERROR(__xludf.DUMMYFUNCTION("""COMPUTED_VALUE"""),"tiktokers6.6")</f>
        <v>tiktokers6.6</v>
      </c>
    </row>
    <row r="7126">
      <c r="A7126" s="8" t="str">
        <f>IFERROR(__xludf.DUMMYFUNCTION("""COMPUTED_VALUE"""),"tiktok.forbusiness")</f>
        <v>tiktok.forbusiness</v>
      </c>
    </row>
    <row r="7127">
      <c r="A7127" s="8" t="str">
        <f>IFERROR(__xludf.DUMMYFUNCTION("""COMPUTED_VALUE"""),"tiktokindia")</f>
        <v>tiktokindia</v>
      </c>
    </row>
    <row r="7128">
      <c r="A7128" s="8" t="str">
        <f>IFERROR(__xludf.DUMMYFUNCTION("""COMPUTED_VALUE"""),"tiktokmomma7")</f>
        <v>tiktokmomma7</v>
      </c>
    </row>
    <row r="7129">
      <c r="A7129" s="8" t="str">
        <f>IFERROR(__xludf.DUMMYFUNCTION("""COMPUTED_VALUE"""),"tiktok.rojaamma")</f>
        <v>tiktok.rojaamma</v>
      </c>
    </row>
    <row r="7130">
      <c r="A7130" s="8" t="str">
        <f>IFERROR(__xludf.DUMMYFUNCTION("""COMPUTED_VALUE"""),"tiktok.tabbii")</f>
        <v>tiktok.tabbii</v>
      </c>
    </row>
    <row r="7131">
      <c r="A7131" s="8" t="str">
        <f>IFERROR(__xludf.DUMMYFUNCTION("""COMPUTED_VALUE"""),"tiktok.tammo")</f>
        <v>tiktok.tammo</v>
      </c>
    </row>
    <row r="7132">
      <c r="A7132" s="8" t="str">
        <f>IFERROR(__xludf.DUMMYFUNCTION("""COMPUTED_VALUE"""),"nytimes")</f>
        <v>nytimes</v>
      </c>
    </row>
    <row r="7133">
      <c r="A7133" s="8" t="str">
        <f>IFERROR(__xludf.DUMMYFUNCTION("""COMPUTED_VALUE"""),"time")</f>
        <v>time</v>
      </c>
    </row>
    <row r="7134">
      <c r="A7134" s="8" t="str">
        <f>IFERROR(__xludf.DUMMYFUNCTION("""COMPUTED_VALUE"""),"timeoutlisboa")</f>
        <v>timeoutlisboa</v>
      </c>
    </row>
    <row r="7135">
      <c r="A7135" s="8" t="str">
        <f>IFERROR(__xludf.DUMMYFUNCTION("""COMPUTED_VALUE"""),"time_warp_official")</f>
        <v>time_warp_official</v>
      </c>
    </row>
    <row r="7136">
      <c r="A7136" s="8" t="str">
        <f>IFERROR(__xludf.DUMMYFUNCTION("""COMPUTED_VALUE"""),"timnasindonesia")</f>
        <v>timnasindonesia</v>
      </c>
    </row>
    <row r="7137">
      <c r="A7137" s="8" t="str">
        <f>IFERROR(__xludf.DUMMYFUNCTION("""COMPUTED_VALUE"""),"timwendelboe")</f>
        <v>timwendelboe</v>
      </c>
    </row>
    <row r="7138">
      <c r="A7138" s="8" t="str">
        <f>IFERROR(__xludf.DUMMYFUNCTION("""COMPUTED_VALUE"""),"samayam_seithigal")</f>
        <v>samayam_seithigal</v>
      </c>
    </row>
    <row r="7139">
      <c r="A7139" s="8" t="str">
        <f>IFERROR(__xludf.DUMMYFUNCTION("""COMPUTED_VALUE"""),"timesofindia")</f>
        <v>timesofindia</v>
      </c>
    </row>
    <row r="7140">
      <c r="A7140" s="8" t="str">
        <f>IFERROR(__xludf.DUMMYFUNCTION("""COMPUTED_VALUE"""),"timesofindia.auto")</f>
        <v>timesofindia.auto</v>
      </c>
    </row>
    <row r="7141">
      <c r="A7141" s="8" t="str">
        <f>IFERROR(__xludf.DUMMYFUNCTION("""COMPUTED_VALUE"""),"toms.hardware")</f>
        <v>toms.hardware</v>
      </c>
    </row>
    <row r="7142">
      <c r="A7142" s="8" t="str">
        <f>IFERROR(__xludf.DUMMYFUNCTION("""COMPUTED_VALUE"""),"tomshardwareitalia")</f>
        <v>tomshardwareitalia</v>
      </c>
    </row>
    <row r="7143">
      <c r="A7143" s="8" t="str">
        <f>IFERROR(__xludf.DUMMYFUNCTION("""COMPUTED_VALUE"""),"thetorontostar")</f>
        <v>thetorontostar</v>
      </c>
    </row>
    <row r="7144">
      <c r="A7144" s="8" t="str">
        <f>IFERROR(__xludf.DUMMYFUNCTION("""COMPUTED_VALUE"""),"tc.brasil")</f>
        <v>tc.brasil</v>
      </c>
    </row>
    <row r="7145">
      <c r="A7145" s="8" t="str">
        <f>IFERROR(__xludf.DUMMYFUNCTION("""COMPUTED_VALUE"""),"townandcountrybridal")</f>
        <v>townandcountrybridal</v>
      </c>
    </row>
    <row r="7146">
      <c r="A7146" s="8" t="str">
        <f>IFERROR(__xludf.DUMMYFUNCTION("""COMPUTED_VALUE"""),"townandcountrylivingbrands")</f>
        <v>townandcountrylivingbrands</v>
      </c>
    </row>
    <row r="7147">
      <c r="A7147" s="8" t="str">
        <f>IFERROR(__xludf.DUMMYFUNCTION("""COMPUTED_VALUE"""),"townandcountrymag")</f>
        <v>townandcountrymag</v>
      </c>
    </row>
    <row r="7148">
      <c r="A7148" s="8" t="str">
        <f>IFERROR(__xludf.DUMMYFUNCTION("""COMPUTED_VALUE"""),"townandcountryuk")</f>
        <v>townandcountryuk</v>
      </c>
    </row>
    <row r="7149">
      <c r="A7149" s="8" t="str">
        <f>IFERROR(__xludf.DUMMYFUNCTION("""COMPUTED_VALUE"""),"town_country_haus")</f>
        <v>town_country_haus</v>
      </c>
    </row>
    <row r="7150">
      <c r="A7150" s="8" t="str">
        <f>IFERROR(__xludf.DUMMYFUNCTION("""COMPUTED_VALUE"""),"transcript")</f>
        <v>transcript</v>
      </c>
    </row>
    <row r="7151">
      <c r="A7151" s="8" t="str">
        <f>IFERROR(__xludf.DUMMYFUNCTION("""COMPUTED_VALUE"""),"jalanjalantravel_")</f>
        <v>jalanjalantravel_</v>
      </c>
    </row>
    <row r="7152">
      <c r="A7152" s="8" t="str">
        <f>IFERROR(__xludf.DUMMYFUNCTION("""COMPUTED_VALUE"""),"kundasang__")</f>
        <v>kundasang__</v>
      </c>
    </row>
    <row r="7153">
      <c r="A7153" s="8" t="str">
        <f>IFERROR(__xludf.DUMMYFUNCTION("""COMPUTED_VALUE"""),"travelandleisure")</f>
        <v>travelandleisure</v>
      </c>
    </row>
    <row r="7154">
      <c r="A7154" s="8" t="str">
        <f>IFERROR(__xludf.DUMMYFUNCTION("""COMPUTED_VALUE"""),"travelandleisureasia")</f>
        <v>travelandleisureasia</v>
      </c>
    </row>
    <row r="7155">
      <c r="A7155" s="8" t="str">
        <f>IFERROR(__xludf.DUMMYFUNCTION("""COMPUTED_VALUE"""),"travelandleisureenes")</f>
        <v>travelandleisureenes</v>
      </c>
    </row>
    <row r="7156">
      <c r="A7156" s="8" t="str">
        <f>IFERROR(__xludf.DUMMYFUNCTION("""COMPUTED_VALUE"""),"travelandleisurego")</f>
        <v>travelandleisurego</v>
      </c>
    </row>
    <row r="7157">
      <c r="A7157" s="8" t="str">
        <f>IFERROR(__xludf.DUMMYFUNCTION("""COMPUTED_VALUE"""),"travelandleisureindia")</f>
        <v>travelandleisureindia</v>
      </c>
    </row>
    <row r="7158">
      <c r="A7158" s="8" t="str">
        <f>IFERROR(__xludf.DUMMYFUNCTION("""COMPUTED_VALUE"""),"travelandleisureita")</f>
        <v>travelandleisureita</v>
      </c>
    </row>
    <row r="7159">
      <c r="A7159" s="8" t="str">
        <f>IFERROR(__xludf.DUMMYFUNCTION("""COMPUTED_VALUE"""),"travelleisureco")</f>
        <v>travelleisureco</v>
      </c>
    </row>
    <row r="7160">
      <c r="A7160" s="8" t="str">
        <f>IFERROR(__xludf.DUMMYFUNCTION("""COMPUTED_VALUE"""),"travelleisuremx")</f>
        <v>travelleisuremx</v>
      </c>
    </row>
    <row r="7161">
      <c r="A7161" s="8" t="str">
        <f>IFERROR(__xludf.DUMMYFUNCTION("""COMPUTED_VALUE"""),"ani_trending")</f>
        <v>ani_trending</v>
      </c>
    </row>
    <row r="7162">
      <c r="A7162" s="8" t="str">
        <f>IFERROR(__xludf.DUMMYFUNCTION("""COMPUTED_VALUE"""),"early.trending.audio")</f>
        <v>early.trending.audio</v>
      </c>
    </row>
    <row r="7163">
      <c r="A7163" s="8" t="str">
        <f>IFERROR(__xludf.DUMMYFUNCTION("""COMPUTED_VALUE"""),"eldoret_trending_media")</f>
        <v>eldoret_trending_media</v>
      </c>
    </row>
    <row r="7164">
      <c r="A7164" s="8" t="str">
        <f>IFERROR(__xludf.DUMMYFUNCTION("""COMPUTED_VALUE"""),"mbctrending")</f>
        <v>mbctrending</v>
      </c>
    </row>
    <row r="7165">
      <c r="A7165" s="8" t="str">
        <f>IFERROR(__xludf.DUMMYFUNCTION("""COMPUTED_VALUE"""),"northern_trending_")</f>
        <v>northern_trending_</v>
      </c>
    </row>
    <row r="7166">
      <c r="A7166" s="8" t="str">
        <f>IFERROR(__xludf.DUMMYFUNCTION("""COMPUTED_VALUE"""),"reel.torials")</f>
        <v>reel.torials</v>
      </c>
    </row>
    <row r="7167">
      <c r="A7167" s="8" t="str">
        <f>IFERROR(__xludf.DUMMYFUNCTION("""COMPUTED_VALUE"""),"trendingaf")</f>
        <v>trendingaf</v>
      </c>
    </row>
    <row r="7168">
      <c r="A7168" s="8" t="str">
        <f>IFERROR(__xludf.DUMMYFUNCTION("""COMPUTED_VALUE"""),"trending.raps")</f>
        <v>trending.raps</v>
      </c>
    </row>
    <row r="7169">
      <c r="A7169" s="8" t="str">
        <f>IFERROR(__xludf.DUMMYFUNCTION("""COMPUTED_VALUE"""),"trending_spot__")</f>
        <v>trending_spot__</v>
      </c>
    </row>
    <row r="7170">
      <c r="A7170" s="8" t="str">
        <f>IFERROR(__xludf.DUMMYFUNCTION("""COMPUTED_VALUE"""),"trending_theeviravadhi01")</f>
        <v>trending_theeviravadhi01</v>
      </c>
    </row>
    <row r="7171">
      <c r="A7171" s="8" t="str">
        <f>IFERROR(__xludf.DUMMYFUNCTION("""COMPUTED_VALUE"""),"trendingvichar")</f>
        <v>trendingvichar</v>
      </c>
    </row>
    <row r="7172">
      <c r="A7172" s="8" t="str">
        <f>IFERROR(__xludf.DUMMYFUNCTION("""COMPUTED_VALUE"""),"trending_with_trina")</f>
        <v>trending_with_trina</v>
      </c>
    </row>
    <row r="7173">
      <c r="A7173" s="8" t="str">
        <f>IFERROR(__xludf.DUMMYFUNCTION("""COMPUTED_VALUE"""),"viral_video_7827")</f>
        <v>viral_video_7827</v>
      </c>
    </row>
    <row r="7174">
      <c r="A7174" s="8" t="str">
        <f>IFERROR(__xludf.DUMMYFUNCTION("""COMPUTED_VALUE"""),"whatstrending")</f>
        <v>whatstrending</v>
      </c>
    </row>
    <row r="7175">
      <c r="A7175" s="8" t="str">
        <f>IFERROR(__xludf.DUMMYFUNCTION("""COMPUTED_VALUE"""),"pupworthy")</f>
        <v>pupworthy</v>
      </c>
    </row>
    <row r="7176">
      <c r="A7176" s="8" t="str">
        <f>IFERROR(__xludf.DUMMYFUNCTION("""COMPUTED_VALUE"""),"upworthy")</f>
        <v>upworthy</v>
      </c>
    </row>
    <row r="7177">
      <c r="A7177" s="8" t="str">
        <f>IFERROR(__xludf.DUMMYFUNCTION("""COMPUTED_VALUE"""),"upworthy_people")</f>
        <v>upworthy_people</v>
      </c>
    </row>
    <row r="7178">
      <c r="A7178" s="8" t="str">
        <f>IFERROR(__xludf.DUMMYFUNCTION("""COMPUTED_VALUE"""),"usatoday")</f>
        <v>usatoday</v>
      </c>
    </row>
    <row r="7179">
      <c r="A7179" s="8" t="str">
        <f>IFERROR(__xludf.DUMMYFUNCTION("""COMPUTED_VALUE"""),"usatoday_foxnews_truck_driver")</f>
        <v>usatoday_foxnews_truck_driver</v>
      </c>
    </row>
    <row r="7180">
      <c r="A7180" s="8" t="str">
        <f>IFERROR(__xludf.DUMMYFUNCTION("""COMPUTED_VALUE"""),"usatodaylife")</f>
        <v>usatodaylife</v>
      </c>
    </row>
    <row r="7181">
      <c r="A7181" s="8" t="str">
        <f>IFERROR(__xludf.DUMMYFUNCTION("""COMPUTED_VALUE"""),"usatodaypolitics")</f>
        <v>usatodaypolitics</v>
      </c>
    </row>
    <row r="7182">
      <c r="A7182" s="8" t="str">
        <f>IFERROR(__xludf.DUMMYFUNCTION("""COMPUTED_VALUE"""),"usatodaytravel")</f>
        <v>usatodaytravel</v>
      </c>
    </row>
    <row r="7183">
      <c r="A7183" s="8" t="str">
        <f>IFERROR(__xludf.DUMMYFUNCTION("""COMPUTED_VALUE"""),"usweekly")</f>
        <v>usweekly</v>
      </c>
    </row>
    <row r="7184">
      <c r="A7184" s="8" t="str">
        <f>IFERROR(__xludf.DUMMYFUNCTION("""COMPUTED_VALUE"""),"shopvanityfair")</f>
        <v>shopvanityfair</v>
      </c>
    </row>
    <row r="7185">
      <c r="A7185" s="8" t="str">
        <f>IFERROR(__xludf.DUMMYFUNCTION("""COMPUTED_VALUE"""),"vanityfair")</f>
        <v>vanityfair</v>
      </c>
    </row>
    <row r="7186">
      <c r="A7186" s="8" t="str">
        <f>IFERROR(__xludf.DUMMYFUNCTION("""COMPUTED_VALUE"""),"vanityfairfrance")</f>
        <v>vanityfairfrance</v>
      </c>
    </row>
    <row r="7187">
      <c r="A7187" s="8" t="str">
        <f>IFERROR(__xludf.DUMMYFUNCTION("""COMPUTED_VALUE"""),"vanityfairitalia")</f>
        <v>vanityfairitalia</v>
      </c>
    </row>
    <row r="7188">
      <c r="A7188" s="8" t="str">
        <f>IFERROR(__xludf.DUMMYFUNCTION("""COMPUTED_VALUE"""),"vanityfairlondon")</f>
        <v>vanityfairlondon</v>
      </c>
    </row>
    <row r="7189">
      <c r="A7189" s="8" t="str">
        <f>IFERROR(__xludf.DUMMYFUNCTION("""COMPUTED_VALUE"""),"vanityfairnext")</f>
        <v>vanityfairnext</v>
      </c>
    </row>
    <row r="7190">
      <c r="A7190" s="8" t="str">
        <f>IFERROR(__xludf.DUMMYFUNCTION("""COMPUTED_VALUE"""),"vanityfairspain")</f>
        <v>vanityfairspain</v>
      </c>
    </row>
    <row r="7191">
      <c r="A7191" s="8" t="str">
        <f>IFERROR(__xludf.DUMMYFUNCTION("""COMPUTED_VALUE"""),"vanityfair_vld")</f>
        <v>vanityfair_vld</v>
      </c>
    </row>
    <row r="7192">
      <c r="A7192" s="8" t="str">
        <f>IFERROR(__xludf.DUMMYFUNCTION("""COMPUTED_VALUE"""),"mensvarietymag")</f>
        <v>mensvarietymag</v>
      </c>
    </row>
    <row r="7193">
      <c r="A7193" s="8" t="str">
        <f>IFERROR(__xludf.DUMMYFUNCTION("""COMPUTED_VALUE"""),"sundayvarietymarket")</f>
        <v>sundayvarietymarket</v>
      </c>
    </row>
    <row r="7194">
      <c r="A7194" s="8" t="str">
        <f>IFERROR(__xludf.DUMMYFUNCTION("""COMPUTED_VALUE"""),"variety")</f>
        <v>variety</v>
      </c>
    </row>
    <row r="7195">
      <c r="A7195" s="11" t="str">
        <f>IFERROR(__xludf.DUMMYFUNCTION("""COMPUTED_VALUE"""),"phymongshe.kr")</f>
        <v>phymongshe.kr</v>
      </c>
    </row>
    <row r="7196">
      <c r="A7196" s="8" t="str">
        <f>IFERROR(__xludf.DUMMYFUNCTION("""COMPUTED_VALUE"""),"praybeytbenjamin")</f>
        <v>praybeytbenjamin</v>
      </c>
    </row>
    <row r="7197">
      <c r="A7197" s="8" t="str">
        <f>IFERROR(__xludf.DUMMYFUNCTION("""COMPUTED_VALUE"""),"vice")</f>
        <v>vice</v>
      </c>
    </row>
    <row r="7198">
      <c r="A7198" s="8" t="str">
        <f>IFERROR(__xludf.DUMMYFUNCTION("""COMPUTED_VALUE"""),"vice_de")</f>
        <v>vice_de</v>
      </c>
    </row>
    <row r="7199">
      <c r="A7199" s="8" t="str">
        <f>IFERROR(__xludf.DUMMYFUNCTION("""COMPUTED_VALUE"""),"vicedxb")</f>
        <v>vicedxb</v>
      </c>
    </row>
    <row r="7200">
      <c r="A7200" s="8" t="str">
        <f>IFERROR(__xludf.DUMMYFUNCTION("""COMPUTED_VALUE"""),"viceindia")</f>
        <v>viceindia</v>
      </c>
    </row>
    <row r="7201">
      <c r="A7201" s="8" t="str">
        <f>IFERROR(__xludf.DUMMYFUNCTION("""COMPUTED_VALUE"""),"vicenews")</f>
        <v>vicenews</v>
      </c>
    </row>
    <row r="7202">
      <c r="A7202" s="8" t="str">
        <f>IFERROR(__xludf.DUMMYFUNCTION("""COMPUTED_VALUE"""),"vicetv")</f>
        <v>vicetv</v>
      </c>
    </row>
    <row r="7203">
      <c r="A7203" s="8" t="str">
        <f>IFERROR(__xludf.DUMMYFUNCTION("""COMPUTED_VALUE"""),"viceuk")</f>
        <v>viceuk</v>
      </c>
    </row>
    <row r="7204">
      <c r="A7204" s="8" t="str">
        <f>IFERROR(__xludf.DUMMYFUNCTION("""COMPUTED_VALUE"""),"viceversa")</f>
        <v>viceversa</v>
      </c>
    </row>
    <row r="7205">
      <c r="A7205" s="8" t="str">
        <f>IFERROR(__xludf.DUMMYFUNCTION("""COMPUTED_VALUE"""),"vp")</f>
        <v>vp</v>
      </c>
    </row>
    <row r="7206">
      <c r="A7206" s="8" t="str">
        <f>IFERROR(__xludf.DUMMYFUNCTION("""COMPUTED_VALUE"""),"vp46archive")</f>
        <v>vp46archive</v>
      </c>
    </row>
    <row r="7207">
      <c r="A7207" s="8" t="str">
        <f>IFERROR(__xludf.DUMMYFUNCTION("""COMPUTED_VALUE"""),"sgvirality")</f>
        <v>sgvirality</v>
      </c>
    </row>
    <row r="7208">
      <c r="A7208" s="8" t="str">
        <f>IFERROR(__xludf.DUMMYFUNCTION("""COMPUTED_VALUE"""),"virality")</f>
        <v>virality</v>
      </c>
    </row>
    <row r="7209">
      <c r="A7209" s="8" t="str">
        <f>IFERROR(__xludf.DUMMYFUNCTION("""COMPUTED_VALUE"""),"viralityhopecore")</f>
        <v>viralityhopecore</v>
      </c>
    </row>
    <row r="7210">
      <c r="A7210" s="8" t="str">
        <f>IFERROR(__xludf.DUMMYFUNCTION("""COMPUTED_VALUE"""),"afh.sr___")</f>
        <v>afh.sr___</v>
      </c>
    </row>
    <row r="7211">
      <c r="A7211" s="8" t="str">
        <f>IFERROR(__xludf.DUMMYFUNCTION("""COMPUTED_VALUE"""),"amira.wya")</f>
        <v>amira.wya</v>
      </c>
    </row>
    <row r="7212">
      <c r="A7212" s="8" t="str">
        <f>IFERROR(__xludf.DUMMYFUNCTION("""COMPUTED_VALUE"""),"bigfootvlogger")</f>
        <v>bigfootvlogger</v>
      </c>
    </row>
    <row r="7213">
      <c r="A7213" s="8" t="str">
        <f>IFERROR(__xludf.DUMMYFUNCTION("""COMPUTED_VALUE"""),"cafe_foodies07")</f>
        <v>cafe_foodies07</v>
      </c>
    </row>
    <row r="7214">
      <c r="A7214" s="8" t="str">
        <f>IFERROR(__xludf.DUMMYFUNCTION("""COMPUTED_VALUE"""),"jwestbros")</f>
        <v>jwestbros</v>
      </c>
    </row>
    <row r="7215">
      <c r="A7215" s="8" t="str">
        <f>IFERROR(__xludf.DUMMYFUNCTION("""COMPUTED_VALUE"""),"maiia_azka")</f>
        <v>maiia_azka</v>
      </c>
    </row>
    <row r="7216">
      <c r="A7216" s="8" t="str">
        <f>IFERROR(__xludf.DUMMYFUNCTION("""COMPUTED_VALUE"""),"manaliwaladost")</f>
        <v>manaliwaladost</v>
      </c>
    </row>
    <row r="7217">
      <c r="A7217" s="8" t="str">
        <f>IFERROR(__xludf.DUMMYFUNCTION("""COMPUTED_VALUE"""),"marastefaniagym")</f>
        <v>marastefaniagym</v>
      </c>
    </row>
    <row r="7218">
      <c r="A7218" s="8" t="str">
        <f>IFERROR(__xludf.DUMMYFUNCTION("""COMPUTED_VALUE"""),"mkvlogger")</f>
        <v>mkvlogger</v>
      </c>
    </row>
    <row r="7219">
      <c r="A7219" s="8" t="str">
        <f>IFERROR(__xludf.DUMMYFUNCTION("""COMPUTED_VALUE"""),"official_kksb")</f>
        <v>official_kksb</v>
      </c>
    </row>
    <row r="7220">
      <c r="A7220" s="8" t="str">
        <f>IFERROR(__xludf.DUMMYFUNCTION("""COMPUTED_VALUE"""),"_royal_pusadkar_")</f>
        <v>_royal_pusadkar_</v>
      </c>
    </row>
    <row r="7221">
      <c r="A7221" s="8" t="str">
        <f>IFERROR(__xludf.DUMMYFUNCTION("""COMPUTED_VALUE"""),"sakshee_shinde31")</f>
        <v>sakshee_shinde31</v>
      </c>
    </row>
    <row r="7222">
      <c r="A7222" s="8" t="str">
        <f>IFERROR(__xludf.DUMMYFUNCTION("""COMPUTED_VALUE"""),"sandytalkscanada")</f>
        <v>sandytalkscanada</v>
      </c>
    </row>
    <row r="7223">
      <c r="A7223" s="8" t="str">
        <f>IFERROR(__xludf.DUMMYFUNCTION("""COMPUTED_VALUE"""),"vipinmahore2023")</f>
        <v>vipinmahore2023</v>
      </c>
    </row>
    <row r="7224">
      <c r="A7224" s="8" t="str">
        <f>IFERROR(__xludf.DUMMYFUNCTION("""COMPUTED_VALUE"""),"vk_vlogger1")</f>
        <v>vk_vlogger1</v>
      </c>
    </row>
    <row r="7225">
      <c r="A7225" s="8" t="str">
        <f>IFERROR(__xludf.DUMMYFUNCTION("""COMPUTED_VALUE"""),"britishvogue")</f>
        <v>britishvogue</v>
      </c>
    </row>
    <row r="7226">
      <c r="A7226" s="8" t="str">
        <f>IFERROR(__xludf.DUMMYFUNCTION("""COMPUTED_VALUE"""),"voguebrasil")</f>
        <v>voguebrasil</v>
      </c>
    </row>
    <row r="7227">
      <c r="A7227" s="8" t="str">
        <f>IFERROR(__xludf.DUMMYFUNCTION("""COMPUTED_VALUE"""),"voguebusiness")</f>
        <v>voguebusiness</v>
      </c>
    </row>
    <row r="7228">
      <c r="A7228" s="8" t="str">
        <f>IFERROR(__xludf.DUMMYFUNCTION("""COMPUTED_VALUE"""),"vogue__cafe")</f>
        <v>vogue__cafe</v>
      </c>
    </row>
    <row r="7229">
      <c r="A7229" s="8" t="str">
        <f>IFERROR(__xludf.DUMMYFUNCTION("""COMPUTED_VALUE"""),"vogueeko")</f>
        <v>vogueeko</v>
      </c>
    </row>
    <row r="7230">
      <c r="A7230" s="8" t="str">
        <f>IFERROR(__xludf.DUMMYFUNCTION("""COMPUTED_VALUE"""),"voguefrance")</f>
        <v>voguefrance</v>
      </c>
    </row>
    <row r="7231">
      <c r="A7231" s="8" t="str">
        <f>IFERROR(__xludf.DUMMYFUNCTION("""COMPUTED_VALUE"""),"voguegram")</f>
        <v>voguegram</v>
      </c>
    </row>
    <row r="7232">
      <c r="A7232" s="8" t="str">
        <f>IFERROR(__xludf.DUMMYFUNCTION("""COMPUTED_VALUE"""),"vogueindia")</f>
        <v>vogueindia</v>
      </c>
    </row>
    <row r="7233">
      <c r="A7233" s="8" t="str">
        <f>IFERROR(__xludf.DUMMYFUNCTION("""COMPUTED_VALUE"""),"vogueitalia")</f>
        <v>vogueitalia</v>
      </c>
    </row>
    <row r="7234">
      <c r="A7234" s="8" t="str">
        <f>IFERROR(__xludf.DUMMYFUNCTION("""COMPUTED_VALUE"""),"voguemagazine")</f>
        <v>voguemagazine</v>
      </c>
    </row>
    <row r="7235">
      <c r="A7235" s="8" t="str">
        <f>IFERROR(__xludf.DUMMYFUNCTION("""COMPUTED_VALUE"""),"voguerunway")</f>
        <v>voguerunway</v>
      </c>
    </row>
    <row r="7236">
      <c r="A7236" s="8" t="str">
        <f>IFERROR(__xludf.DUMMYFUNCTION("""COMPUTED_VALUE"""),"voguerussia")</f>
        <v>voguerussia</v>
      </c>
    </row>
    <row r="7237">
      <c r="A7237" s="8" t="str">
        <f>IFERROR(__xludf.DUMMYFUNCTION("""COMPUTED_VALUE"""),"voguespain")</f>
        <v>voguespain</v>
      </c>
    </row>
    <row r="7238">
      <c r="A7238" s="8" t="str">
        <f>IFERROR(__xludf.DUMMYFUNCTION("""COMPUTED_VALUE"""),"vogueweddings")</f>
        <v>vogueweddings</v>
      </c>
    </row>
    <row r="7239">
      <c r="A7239" s="8" t="str">
        <f>IFERROR(__xludf.DUMMYFUNCTION("""COMPUTED_VALUE"""),"4kwallpalper")</f>
        <v>4kwallpalper</v>
      </c>
    </row>
    <row r="7240">
      <c r="A7240" s="8" t="str">
        <f>IFERROR(__xludf.DUMMYFUNCTION("""COMPUTED_VALUE"""),"f.cwallpaperss")</f>
        <v>f.cwallpaperss</v>
      </c>
    </row>
    <row r="7241">
      <c r="A7241" s="8" t="str">
        <f>IFERROR(__xludf.DUMMYFUNCTION("""COMPUTED_VALUE"""),"jv_wallpaper")</f>
        <v>jv_wallpaper</v>
      </c>
    </row>
    <row r="7242">
      <c r="A7242" s="8" t="str">
        <f>IFERROR(__xludf.DUMMYFUNCTION("""COMPUTED_VALUE"""),"surat_wallpaper_love")</f>
        <v>surat_wallpaper_love</v>
      </c>
    </row>
    <row r="7243">
      <c r="A7243" s="8" t="str">
        <f>IFERROR(__xludf.DUMMYFUNCTION("""COMPUTED_VALUE"""),"vgywallpaper")</f>
        <v>vgywallpaper</v>
      </c>
    </row>
    <row r="7244">
      <c r="A7244" s="8" t="str">
        <f>IFERROR(__xludf.DUMMYFUNCTION("""COMPUTED_VALUE"""),"wallpaperdirect")</f>
        <v>wallpaperdirect</v>
      </c>
    </row>
    <row r="7245">
      <c r="A7245" s="8" t="str">
        <f>IFERROR(__xludf.DUMMYFUNCTION("""COMPUTED_VALUE"""),"wallpapermag")</f>
        <v>wallpapermag</v>
      </c>
    </row>
    <row r="7246">
      <c r="A7246" s="8" t="str">
        <f>IFERROR(__xludf.DUMMYFUNCTION("""COMPUTED_VALUE"""),"wallpaperscissor")</f>
        <v>wallpaperscissor</v>
      </c>
    </row>
    <row r="7247">
      <c r="A7247" s="8" t="str">
        <f>IFERROR(__xludf.DUMMYFUNCTION("""COMPUTED_VALUE"""),"ashlynscarter")</f>
        <v>ashlynscarter</v>
      </c>
    </row>
    <row r="7248">
      <c r="A7248" s="8" t="str">
        <f>IFERROR(__xludf.DUMMYFUNCTION("""COMPUTED_VALUE"""),"bertbisnis")</f>
        <v>bertbisnis</v>
      </c>
    </row>
    <row r="7249">
      <c r="A7249" s="8" t="str">
        <f>IFERROR(__xludf.DUMMYFUNCTION("""COMPUTED_VALUE"""),"fashionweeks.website__")</f>
        <v>fashionweeks.website__</v>
      </c>
    </row>
    <row r="7250">
      <c r="A7250" s="8" t="str">
        <f>IFERROR(__xludf.DUMMYFUNCTION("""COMPUTED_VALUE"""),"itsrexxtar")</f>
        <v>itsrexxtar</v>
      </c>
    </row>
    <row r="7251">
      <c r="A7251" s="8" t="str">
        <f>IFERROR(__xludf.DUMMYFUNCTION("""COMPUTED_VALUE"""),"soulshine.digital")</f>
        <v>soulshine.digital</v>
      </c>
    </row>
    <row r="7252">
      <c r="A7252" s="8" t="str">
        <f>IFERROR(__xludf.DUMMYFUNCTION("""COMPUTED_VALUE"""),"webdesignssphere")</f>
        <v>webdesignssphere</v>
      </c>
    </row>
    <row r="7253">
      <c r="A7253" s="8" t="str">
        <f>IFERROR(__xludf.DUMMYFUNCTION("""COMPUTED_VALUE"""),"websitebuilderseo")</f>
        <v>websitebuilderseo</v>
      </c>
    </row>
    <row r="7254">
      <c r="A7254" s="11" t="str">
        <f>IFERROR(__xludf.DUMMYFUNCTION("""COMPUTED_VALUE"""),"wekita.id")</f>
        <v>wekita.id</v>
      </c>
    </row>
    <row r="7255">
      <c r="A7255" s="8" t="str">
        <f>IFERROR(__xludf.DUMMYFUNCTION("""COMPUTED_VALUE"""),"wired")</f>
        <v>wired</v>
      </c>
    </row>
    <row r="7256">
      <c r="A7256" s="8" t="str">
        <f>IFERROR(__xludf.DUMMYFUNCTION("""COMPUTED_VALUE"""),"wiredchef")</f>
        <v>wiredchef</v>
      </c>
    </row>
    <row r="7257">
      <c r="A7257" s="8" t="str">
        <f>IFERROR(__xludf.DUMMYFUNCTION("""COMPUTED_VALUE"""),"wiredgals")</f>
        <v>wiredgals</v>
      </c>
    </row>
    <row r="7258">
      <c r="A7258" s="8" t="str">
        <f>IFERROR(__xludf.DUMMYFUNCTION("""COMPUTED_VALUE"""),"wiredmusicfestival")</f>
        <v>wiredmusicfestival</v>
      </c>
    </row>
    <row r="7259">
      <c r="A7259" s="8" t="str">
        <f>IFERROR(__xludf.DUMMYFUNCTION("""COMPUTED_VALUE"""),"kekri_fire__service")</f>
        <v>kekri_fire__service</v>
      </c>
    </row>
    <row r="7260">
      <c r="A7260" s="8" t="str">
        <f>IFERROR(__xludf.DUMMYFUNCTION("""COMPUTED_VALUE"""),"tt_fireservice")</f>
        <v>tt_fireservice</v>
      </c>
    </row>
    <row r="7261">
      <c r="A7261" s="8" t="str">
        <f>IFERROR(__xludf.DUMMYFUNCTION("""COMPUTED_VALUE"""),"nywmagazine")</f>
        <v>nywmagazine</v>
      </c>
    </row>
    <row r="7262">
      <c r="A7262" s="8" t="str">
        <f>IFERROR(__xludf.DUMMYFUNCTION("""COMPUTED_VALUE"""),"w.art_magazine")</f>
        <v>w.art_magazine</v>
      </c>
    </row>
    <row r="7263">
      <c r="A7263" s="8" t="str">
        <f>IFERROR(__xludf.DUMMYFUNCTION("""COMPUTED_VALUE"""),"whomagazine")</f>
        <v>whomagazine</v>
      </c>
    </row>
    <row r="7264">
      <c r="A7264" s="8" t="str">
        <f>IFERROR(__xludf.DUMMYFUNCTION("""COMPUTED_VALUE"""),"wmag")</f>
        <v>wmag</v>
      </c>
    </row>
    <row r="7265">
      <c r="A7265" s="8" t="str">
        <f>IFERROR(__xludf.DUMMYFUNCTION("""COMPUTED_VALUE"""),"wmagchina")</f>
        <v>wmagchina</v>
      </c>
    </row>
    <row r="7266">
      <c r="A7266" s="8" t="str">
        <f>IFERROR(__xludf.DUMMYFUNCTION("""COMPUTED_VALUE"""),"blkwomenshealth")</f>
        <v>blkwomenshealth</v>
      </c>
    </row>
    <row r="7267">
      <c r="A7267" s="8" t="str">
        <f>IFERROR(__xludf.DUMMYFUNCTION("""COMPUTED_VALUE"""),"dnafitnessuk")</f>
        <v>dnafitnessuk</v>
      </c>
    </row>
    <row r="7268">
      <c r="A7268" s="8" t="str">
        <f>IFERROR(__xludf.DUMMYFUNCTION("""COMPUTED_VALUE"""),"femalephysioco")</f>
        <v>femalephysioco</v>
      </c>
    </row>
    <row r="7269">
      <c r="A7269" s="8" t="str">
        <f>IFERROR(__xludf.DUMMYFUNCTION("""COMPUTED_VALUE"""),"jaymiemoran")</f>
        <v>jaymiemoran</v>
      </c>
    </row>
    <row r="7270">
      <c r="A7270" s="8" t="str">
        <f>IFERROR(__xludf.DUMMYFUNCTION("""COMPUTED_VALUE"""),"theselfloverevolution_")</f>
        <v>theselfloverevolution_</v>
      </c>
    </row>
    <row r="7271">
      <c r="A7271" s="8" t="str">
        <f>IFERROR(__xludf.DUMMYFUNCTION("""COMPUTED_VALUE"""),"womens_health_7")</f>
        <v>womens_health_7</v>
      </c>
    </row>
    <row r="7272">
      <c r="A7272" s="8" t="str">
        <f>IFERROR(__xludf.DUMMYFUNCTION("""COMPUTED_VALUE"""),"womens.health.club")</f>
        <v>womens.health.club</v>
      </c>
    </row>
    <row r="7273">
      <c r="A7273" s="8" t="str">
        <f>IFERROR(__xludf.DUMMYFUNCTION("""COMPUTED_VALUE"""),"womenshealthuk")</f>
        <v>womenshealthuk</v>
      </c>
    </row>
    <row r="7274">
      <c r="A7274" s="8" t="str">
        <f>IFERROR(__xludf.DUMMYFUNCTION("""COMPUTED_VALUE"""),"womenswellnessdigest")</f>
        <v>womenswellnessdigest</v>
      </c>
    </row>
    <row r="7275">
      <c r="A7275" s="8" t="str">
        <f>IFERROR(__xludf.DUMMYFUNCTION("""COMPUTED_VALUE"""),"xtinecardenas")</f>
        <v>xtinecardenas</v>
      </c>
    </row>
    <row r="7276">
      <c r="A7276" s="8" t="str">
        <f>IFERROR(__xludf.DUMMYFUNCTION("""COMPUTED_VALUE"""),"_am_.writer_01")</f>
        <v>_am_.writer_01</v>
      </c>
    </row>
    <row r="7277">
      <c r="A7277" s="8" t="str">
        <f>IFERROR(__xludf.DUMMYFUNCTION("""COMPUTED_VALUE"""),"hindi_writer_rk")</f>
        <v>hindi_writer_rk</v>
      </c>
    </row>
    <row r="7278">
      <c r="A7278" s="8" t="str">
        <f>IFERROR(__xludf.DUMMYFUNCTION("""COMPUTED_VALUE"""),"poets.and.writers")</f>
        <v>poets.and.writers</v>
      </c>
    </row>
    <row r="7279">
      <c r="A7279" s="8" t="str">
        <f>IFERROR(__xludf.DUMMYFUNCTION("""COMPUTED_VALUE"""),"sukon_ke_alfaz")</f>
        <v>sukon_ke_alfaz</v>
      </c>
    </row>
    <row r="7280">
      <c r="A7280" s="8" t="str">
        <f>IFERROR(__xludf.DUMMYFUNCTION("""COMPUTED_VALUE"""),"writer")</f>
        <v>writer</v>
      </c>
    </row>
    <row r="7281">
      <c r="A7281" s="11" t="str">
        <f>IFERROR(__xludf.DUMMYFUNCTION("""COMPUTED_VALUE"""),"writer.kh")</f>
        <v>writer.kh</v>
      </c>
    </row>
    <row r="7282">
      <c r="A7282" s="8" t="str">
        <f>IFERROR(__xludf.DUMMYFUNCTION("""COMPUTED_VALUE"""),"writer_rafik")</f>
        <v>writer_rafik</v>
      </c>
    </row>
    <row r="7283">
      <c r="A7283" s="8" t="str">
        <f>IFERROR(__xludf.DUMMYFUNCTION("""COMPUTED_VALUE"""),"writers")</f>
        <v>writers</v>
      </c>
    </row>
    <row r="7284">
      <c r="A7284" s="8" t="str">
        <f>IFERROR(__xludf.DUMMYFUNCTION("""COMPUTED_VALUE"""),"writersdigest")</f>
        <v>writersdigest</v>
      </c>
    </row>
    <row r="7285">
      <c r="A7285" s="8" t="str">
        <f>IFERROR(__xludf.DUMMYFUNCTION("""COMPUTED_VALUE"""),"writerspocket")</f>
        <v>writerspocket</v>
      </c>
    </row>
    <row r="7286">
      <c r="A7286" s="8" t="str">
        <f>IFERROR(__xludf.DUMMYFUNCTION("""COMPUTED_VALUE"""),"writer__status0_")</f>
        <v>writer__status0_</v>
      </c>
    </row>
    <row r="7287">
      <c r="A7287" s="8" t="str">
        <f>IFERROR(__xludf.DUMMYFUNCTION("""COMPUTED_VALUE"""),"yahoofinance")</f>
        <v>yahoofinance</v>
      </c>
    </row>
    <row r="7288">
      <c r="A7288" s="8" t="str">
        <f>IFERROR(__xludf.DUMMYFUNCTION("""COMPUTED_VALUE"""),"yahoofinanceau")</f>
        <v>yahoofinanceau</v>
      </c>
    </row>
    <row r="7289">
      <c r="A7289" s="8" t="str">
        <f>IFERROR(__xludf.DUMMYFUNCTION("""COMPUTED_VALUE"""),"yahoosports")</f>
        <v>yahoosports</v>
      </c>
    </row>
    <row r="7290">
      <c r="A7290" s="8" t="str">
        <f>IFERROR(__xludf.DUMMYFUNCTION("""COMPUTED_VALUE"""),"yahoosportsca")</f>
        <v>yahoosportsca</v>
      </c>
    </row>
    <row r="7291">
      <c r="A7291" s="8" t="str">
        <f>IFERROR(__xludf.DUMMYFUNCTION("""COMPUTED_VALUE"""),"yahoosportswear")</f>
        <v>yahoosportswear</v>
      </c>
    </row>
    <row r="7292">
      <c r="A7292" s="8" t="str">
        <f>IFERROR(__xludf.DUMMYFUNCTION("""COMPUTED_VALUE"""),"yahoo_sports_wear")</f>
        <v>yahoo_sports_wear</v>
      </c>
    </row>
    <row r="7293">
      <c r="A7293" s="8" t="str">
        <f>IFERROR(__xludf.DUMMYFUNCTION("""COMPUTED_VALUE"""),"antiytshorts")</f>
        <v>antiytshorts</v>
      </c>
    </row>
    <row r="7294">
      <c r="A7294" s="8" t="str">
        <f>IFERROR(__xludf.DUMMYFUNCTION("""COMPUTED_VALUE"""),"ferishow.youtube")</f>
        <v>ferishow.youtube</v>
      </c>
    </row>
    <row r="7295">
      <c r="A7295" s="8" t="str">
        <f>IFERROR(__xludf.DUMMYFUNCTION("""COMPUTED_VALUE"""),"himatsuyoutube")</f>
        <v>himatsuyoutube</v>
      </c>
    </row>
    <row r="7296">
      <c r="A7296" s="8" t="str">
        <f>IFERROR(__xludf.DUMMYFUNCTION("""COMPUTED_VALUE"""),"jordanlipscombee")</f>
        <v>jordanlipscombee</v>
      </c>
    </row>
    <row r="7297">
      <c r="A7297" s="8" t="str">
        <f>IFERROR(__xludf.DUMMYFUNCTION("""COMPUTED_VALUE"""),"kurtcazyoutube")</f>
        <v>kurtcazyoutube</v>
      </c>
    </row>
    <row r="7298">
      <c r="A7298" s="8" t="str">
        <f>IFERROR(__xludf.DUMMYFUNCTION("""COMPUTED_VALUE"""),"mr.danilkors")</f>
        <v>mr.danilkors</v>
      </c>
    </row>
    <row r="7299">
      <c r="A7299" s="8" t="str">
        <f>IFERROR(__xludf.DUMMYFUNCTION("""COMPUTED_VALUE"""),"pure_life_youtube")</f>
        <v>pure_life_youtube</v>
      </c>
    </row>
    <row r="7300">
      <c r="A7300" s="8" t="str">
        <f>IFERROR(__xludf.DUMMYFUNCTION("""COMPUTED_VALUE"""),"velizhanini")</f>
        <v>velizhanini</v>
      </c>
    </row>
    <row r="7301">
      <c r="A7301" s="8" t="str">
        <f>IFERROR(__xludf.DUMMYFUNCTION("""COMPUTED_VALUE"""),"youtube")</f>
        <v>youtube</v>
      </c>
    </row>
    <row r="7302">
      <c r="A7302" s="8" t="str">
        <f>IFERROR(__xludf.DUMMYFUNCTION("""COMPUTED_VALUE"""),"youtubecreators")</f>
        <v>youtubecreators</v>
      </c>
    </row>
    <row r="7303">
      <c r="A7303" s="8" t="str">
        <f>IFERROR(__xludf.DUMMYFUNCTION("""COMPUTED_VALUE"""),"youtubeindia")</f>
        <v>youtubeindia</v>
      </c>
    </row>
    <row r="7304">
      <c r="A7304" s="8" t="str">
        <f>IFERROR(__xludf.DUMMYFUNCTION("""COMPUTED_VALUE"""),"youtubemusic")</f>
        <v>youtubemusic</v>
      </c>
    </row>
    <row r="7305">
      <c r="A7305" s="8" t="str">
        <f>IFERROR(__xludf.DUMMYFUNCTION("""COMPUTED_VALUE"""),"youtubeniels")</f>
        <v>youtubeniels</v>
      </c>
    </row>
    <row r="7306">
      <c r="A7306" s="8" t="str">
        <f>IFERROR(__xludf.DUMMYFUNCTION("""COMPUTED_VALUE"""),"youtube_risa")</f>
        <v>youtube_risa</v>
      </c>
    </row>
    <row r="7307">
      <c r="A7307" s="8" t="str">
        <f>IFERROR(__xludf.DUMMYFUNCTION("""COMPUTED_VALUE"""),"youtubetv")</f>
        <v>youtubetv</v>
      </c>
    </row>
    <row r="7308">
      <c r="A7308" s="8" t="str">
        <f>IFERROR(__xludf.DUMMYFUNCTION("""COMPUTED_VALUE"""),"zdnet_official")</f>
        <v>zdnet_official</v>
      </c>
    </row>
    <row r="7309">
      <c r="A7309" s="8" t="str">
        <f>IFERROR(__xludf.DUMMYFUNCTION("""COMPUTED_VALUE"""),"aaron")</f>
        <v>aaron</v>
      </c>
    </row>
    <row r="7310">
      <c r="A7310" s="8" t="str">
        <f>IFERROR(__xludf.DUMMYFUNCTION("""COMPUTED_VALUE"""),"aaronkwokxx")</f>
        <v>aaronkwokxx</v>
      </c>
    </row>
    <row r="7311">
      <c r="A7311" s="8" t="str">
        <f>IFERROR(__xludf.DUMMYFUNCTION("""COMPUTED_VALUE"""),"theweeknd")</f>
        <v>theweeknd</v>
      </c>
    </row>
    <row r="7312">
      <c r="A7312" s="8" t="str">
        <f>IFERROR(__xludf.DUMMYFUNCTION("""COMPUTED_VALUE"""),"msabigailmac")</f>
        <v>msabigailmac</v>
      </c>
    </row>
    <row r="7313">
      <c r="A7313" s="8" t="str">
        <f>IFERROR(__xludf.DUMMYFUNCTION("""COMPUTED_VALUE"""),"adam")</f>
        <v>adam</v>
      </c>
    </row>
    <row r="7314">
      <c r="A7314" s="8" t="str">
        <f>IFERROR(__xludf.DUMMYFUNCTION("""COMPUTED_VALUE"""),"adamsandler")</f>
        <v>adamsandler</v>
      </c>
    </row>
    <row r="7315">
      <c r="A7315" s="8" t="str">
        <f>IFERROR(__xludf.DUMMYFUNCTION("""COMPUTED_VALUE"""),"adamw")</f>
        <v>adamw</v>
      </c>
    </row>
    <row r="7316">
      <c r="A7316" s="8" t="str">
        <f>IFERROR(__xludf.DUMMYFUNCTION("""COMPUTED_VALUE"""),"etoadamio")</f>
        <v>etoadamio</v>
      </c>
    </row>
    <row r="7317">
      <c r="A7317" s="8" t="str">
        <f>IFERROR(__xludf.DUMMYFUNCTION("""COMPUTED_VALUE"""),"aiden")</f>
        <v>aiden</v>
      </c>
    </row>
    <row r="7318">
      <c r="A7318" s="8" t="str">
        <f>IFERROR(__xludf.DUMMYFUNCTION("""COMPUTED_VALUE"""),"aidenbelter")</f>
        <v>aidenbelter</v>
      </c>
    </row>
    <row r="7319">
      <c r="A7319" s="8" t="str">
        <f>IFERROR(__xludf.DUMMYFUNCTION("""COMPUTED_VALUE"""),"aiden_kroll")</f>
        <v>aiden_kroll</v>
      </c>
    </row>
    <row r="7320">
      <c r="A7320" s="8" t="str">
        <f>IFERROR(__xludf.DUMMYFUNCTION("""COMPUTED_VALUE"""),"alberto")</f>
        <v>alberto</v>
      </c>
    </row>
    <row r="7321">
      <c r="A7321" s="8" t="str">
        <f>IFERROR(__xludf.DUMMYFUNCTION("""COMPUTED_VALUE"""),"alejandra")</f>
        <v>alejandra</v>
      </c>
    </row>
    <row r="7322">
      <c r="A7322" s="8" t="str">
        <f>IFERROR(__xludf.DUMMYFUNCTION("""COMPUTED_VALUE"""),"alejandraah22")</f>
        <v>alejandraah22</v>
      </c>
    </row>
    <row r="7323">
      <c r="A7323" s="8" t="str">
        <f>IFERROR(__xludf.DUMMYFUNCTION("""COMPUTED_VALUE"""),"alejandrobalde")</f>
        <v>alejandrobalde</v>
      </c>
    </row>
    <row r="7324">
      <c r="A7324" s="8" t="str">
        <f>IFERROR(__xludf.DUMMYFUNCTION("""COMPUTED_VALUE"""),"alejandro_sago")</f>
        <v>alejandro_sago</v>
      </c>
    </row>
    <row r="7325">
      <c r="A7325" s="8" t="str">
        <f>IFERROR(__xludf.DUMMYFUNCTION("""COMPUTED_VALUE"""),"alejandrosanz")</f>
        <v>alejandrosanz</v>
      </c>
    </row>
    <row r="7326">
      <c r="A7326" s="8" t="str">
        <f>IFERROR(__xludf.DUMMYFUNCTION("""COMPUTED_VALUE"""),"thealejandroinarritu")</f>
        <v>thealejandroinarritu</v>
      </c>
    </row>
    <row r="7327">
      <c r="A7327" s="8" t="str">
        <f>IFERROR(__xludf.DUMMYFUNCTION("""COMPUTED_VALUE"""),"alejandro")</f>
        <v>alejandro</v>
      </c>
    </row>
    <row r="7328">
      <c r="A7328" s="8" t="str">
        <f>IFERROR(__xludf.DUMMYFUNCTION("""COMPUTED_VALUE"""),"alejandro.gil")</f>
        <v>alejandro.gil</v>
      </c>
    </row>
    <row r="7329">
      <c r="A7329" s="8" t="str">
        <f>IFERROR(__xludf.DUMMYFUNCTION("""COMPUTED_VALUE"""),"alejandrosanz")</f>
        <v>alejandrosanz</v>
      </c>
    </row>
    <row r="7330">
      <c r="A7330" s="8" t="str">
        <f>IFERROR(__xludf.DUMMYFUNCTION("""COMPUTED_VALUE"""),"gainzalek")</f>
        <v>gainzalek</v>
      </c>
    </row>
    <row r="7331">
      <c r="A7331" s="8" t="str">
        <f>IFERROR(__xludf.DUMMYFUNCTION("""COMPUTED_VALUE"""),"garnacho7")</f>
        <v>garnacho7</v>
      </c>
    </row>
    <row r="7332">
      <c r="A7332" s="8" t="str">
        <f>IFERROR(__xludf.DUMMYFUNCTION("""COMPUTED_VALUE"""),"rauwalejandro")</f>
        <v>rauwalejandro</v>
      </c>
    </row>
    <row r="7333">
      <c r="A7333" s="8" t="str">
        <f>IFERROR(__xludf.DUMMYFUNCTION("""COMPUTED_VALUE"""),"alexander")</f>
        <v>alexander</v>
      </c>
    </row>
    <row r="7334">
      <c r="A7334" s="8" t="str">
        <f>IFERROR(__xludf.DUMMYFUNCTION("""COMPUTED_VALUE"""),"alexander__tlv")</f>
        <v>alexander__tlv</v>
      </c>
    </row>
    <row r="7335">
      <c r="A7335" s="8" t="str">
        <f>IFERROR(__xludf.DUMMYFUNCTION("""COMPUTED_VALUE"""),"alex_isak")</f>
        <v>alex_isak</v>
      </c>
    </row>
    <row r="7336">
      <c r="A7336" s="8" t="str">
        <f>IFERROR(__xludf.DUMMYFUNCTION("""COMPUTED_VALUE"""),"alex_isak")</f>
        <v>alex_isak</v>
      </c>
    </row>
    <row r="7337">
      <c r="A7337" s="8" t="str">
        <f>IFERROR(__xludf.DUMMYFUNCTION("""COMPUTED_VALUE"""),"_alfonsoavila")</f>
        <v>_alfonsoavila</v>
      </c>
    </row>
    <row r="7338">
      <c r="A7338" s="8" t="str">
        <f>IFERROR(__xludf.DUMMYFUNCTION("""COMPUTED_VALUE"""),"alfonsodapice.7")</f>
        <v>alfonsodapice.7</v>
      </c>
    </row>
    <row r="7339">
      <c r="A7339" s="8" t="str">
        <f>IFERROR(__xludf.DUMMYFUNCTION("""COMPUTED_VALUE"""),"alfonsofoster")</f>
        <v>alfonsofoster</v>
      </c>
    </row>
    <row r="7340">
      <c r="A7340" s="8" t="str">
        <f>IFERROR(__xludf.DUMMYFUNCTION("""COMPUTED_VALUE"""),"alfonsogimeno13")</f>
        <v>alfonsogimeno13</v>
      </c>
    </row>
    <row r="7341">
      <c r="A7341" s="8" t="str">
        <f>IFERROR(__xludf.DUMMYFUNCTION("""COMPUTED_VALUE"""),"alfonso.ldlo")</f>
        <v>alfonso.ldlo</v>
      </c>
    </row>
    <row r="7342">
      <c r="A7342" s="8" t="str">
        <f>IFERROR(__xludf.DUMMYFUNCTION("""COMPUTED_VALUE"""),"alfonsomunoz_")</f>
        <v>alfonsomunoz_</v>
      </c>
    </row>
    <row r="7343">
      <c r="A7343" s="8" t="str">
        <f>IFERROR(__xludf.DUMMYFUNCTION("""COMPUTED_VALUE"""),"alfonso_rubin")</f>
        <v>alfonso_rubin</v>
      </c>
    </row>
    <row r="7344">
      <c r="A7344" s="8" t="str">
        <f>IFERROR(__xludf.DUMMYFUNCTION("""COMPUTED_VALUE"""),"therealalfonsoribeiro")</f>
        <v>therealalfonsoribeiro</v>
      </c>
    </row>
    <row r="7345">
      <c r="A7345" s="8" t="str">
        <f>IFERROR(__xludf.DUMMYFUNCTION("""COMPUTED_VALUE"""),"tx._alfonso")</f>
        <v>tx._alfonso</v>
      </c>
    </row>
    <row r="7346">
      <c r="A7346" s="8" t="str">
        <f>IFERROR(__xludf.DUMMYFUNCTION("""COMPUTED_VALUE"""),"alicia")</f>
        <v>alicia</v>
      </c>
    </row>
    <row r="7347">
      <c r="A7347" s="8" t="str">
        <f>IFERROR(__xludf.DUMMYFUNCTION("""COMPUTED_VALUE"""),"allan")</f>
        <v>allan</v>
      </c>
    </row>
    <row r="7348">
      <c r="A7348" s="8" t="str">
        <f>IFERROR(__xludf.DUMMYFUNCTION("""COMPUTED_VALUE"""),"allenandunwin")</f>
        <v>allenandunwin</v>
      </c>
    </row>
    <row r="7349">
      <c r="A7349" s="8" t="str">
        <f>IFERROR(__xludf.DUMMYFUNCTION("""COMPUTED_VALUE"""),"allennchen")</f>
        <v>allennchen</v>
      </c>
    </row>
    <row r="7350">
      <c r="A7350" s="8" t="str">
        <f>IFERROR(__xludf.DUMMYFUNCTION("""COMPUTED_VALUE"""),"allen_strong70")</f>
        <v>allen_strong70</v>
      </c>
    </row>
    <row r="7351">
      <c r="A7351" s="8" t="str">
        <f>IFERROR(__xludf.DUMMYFUNCTION("""COMPUTED_VALUE"""),"theofficialai3")</f>
        <v>theofficialai3</v>
      </c>
    </row>
    <row r="7352">
      <c r="A7352" s="8" t="str">
        <f>IFERROR(__xludf.DUMMYFUNCTION("""COMPUTED_VALUE"""),"allison")</f>
        <v>allison</v>
      </c>
    </row>
    <row r="7353">
      <c r="A7353" s="8" t="str">
        <f>IFERROR(__xludf.DUMMYFUNCTION("""COMPUTED_VALUE"""),"_allison_fiona_")</f>
        <v>_allison_fiona_</v>
      </c>
    </row>
    <row r="7354">
      <c r="A7354" s="8" t="str">
        <f>IFERROR(__xludf.DUMMYFUNCTION("""COMPUTED_VALUE"""),"alyssa")</f>
        <v>alyssa</v>
      </c>
    </row>
    <row r="7355">
      <c r="A7355" s="8" t="str">
        <f>IFERROR(__xludf.DUMMYFUNCTION("""COMPUTED_VALUE"""),"amanda")</f>
        <v>amanda</v>
      </c>
    </row>
    <row r="7356">
      <c r="A7356" s="8" t="str">
        <f>IFERROR(__xludf.DUMMYFUNCTION("""COMPUTED_VALUE"""),"azoiteiamanda")</f>
        <v>azoiteiamanda</v>
      </c>
    </row>
    <row r="7357">
      <c r="A7357" s="8" t="str">
        <f>IFERROR(__xludf.DUMMYFUNCTION("""COMPUTED_VALUE"""),"amber")</f>
        <v>amber</v>
      </c>
    </row>
    <row r="7358">
      <c r="A7358" s="8" t="str">
        <f>IFERROR(__xludf.DUMMYFUNCTION("""COMPUTED_VALUE"""),"amberheard")</f>
        <v>amberheard</v>
      </c>
    </row>
    <row r="7359">
      <c r="A7359" s="8" t="str">
        <f>IFERROR(__xludf.DUMMYFUNCTION("""COMPUTED_VALUE"""),"amelljia")</f>
        <v>amelljia</v>
      </c>
    </row>
    <row r="7360">
      <c r="A7360" s="8" t="str">
        <f>IFERROR(__xludf.DUMMYFUNCTION("""COMPUTED_VALUE"""),"anajohnson")</f>
        <v>anajohnson</v>
      </c>
    </row>
    <row r="7361">
      <c r="A7361" s="8" t="str">
        <f>IFERROR(__xludf.DUMMYFUNCTION("""COMPUTED_VALUE"""),"standregolf")</f>
        <v>standregolf</v>
      </c>
    </row>
    <row r="7362">
      <c r="A7362" s="8" t="str">
        <f>IFERROR(__xludf.DUMMYFUNCTION("""COMPUTED_VALUE"""),"andreasaky")</f>
        <v>andreasaky</v>
      </c>
    </row>
    <row r="7363">
      <c r="A7363" s="8" t="str">
        <f>IFERROR(__xludf.DUMMYFUNCTION("""COMPUTED_VALUE"""),"andrew")</f>
        <v>andrew</v>
      </c>
    </row>
    <row r="7364">
      <c r="A7364" s="8" t="str">
        <f>IFERROR(__xludf.DUMMYFUNCTION("""COMPUTED_VALUE"""),"andrew_bayda")</f>
        <v>andrew_bayda</v>
      </c>
    </row>
    <row r="7365">
      <c r="A7365" s="8" t="str">
        <f>IFERROR(__xludf.DUMMYFUNCTION("""COMPUTED_VALUE"""),"angel")</f>
        <v>angel</v>
      </c>
    </row>
    <row r="7366">
      <c r="A7366" s="8" t="str">
        <f>IFERROR(__xludf.DUMMYFUNCTION("""COMPUTED_VALUE"""),"angels")</f>
        <v>angels</v>
      </c>
    </row>
    <row r="7367">
      <c r="A7367" s="8" t="str">
        <f>IFERROR(__xludf.DUMMYFUNCTION("""COMPUTED_VALUE"""),"angela")</f>
        <v>angela</v>
      </c>
    </row>
    <row r="7368">
      <c r="A7368" s="8" t="str">
        <f>IFERROR(__xludf.DUMMYFUNCTION("""COMPUTED_VALUE"""),"maligoshik")</f>
        <v>maligoshik</v>
      </c>
    </row>
    <row r="7369">
      <c r="A7369" s="8" t="str">
        <f>IFERROR(__xludf.DUMMYFUNCTION("""COMPUTED_VALUE"""),"anna")</f>
        <v>anna</v>
      </c>
    </row>
    <row r="7370">
      <c r="A7370" s="8" t="str">
        <f>IFERROR(__xludf.DUMMYFUNCTION("""COMPUTED_VALUE"""),"anne")</f>
        <v>anne</v>
      </c>
    </row>
    <row r="7371">
      <c r="A7371" s="8" t="str">
        <f>IFERROR(__xludf.DUMMYFUNCTION("""COMPUTED_VALUE"""),"annefernandesoficial")</f>
        <v>annefernandesoficial</v>
      </c>
    </row>
    <row r="7372">
      <c r="A7372" s="8" t="str">
        <f>IFERROR(__xludf.DUMMYFUNCTION("""COMPUTED_VALUE"""),"annehathaway")</f>
        <v>annehathaway</v>
      </c>
    </row>
    <row r="7373">
      <c r="A7373" s="8" t="str">
        <f>IFERROR(__xludf.DUMMYFUNCTION("""COMPUTED_VALUE"""),"anthony")</f>
        <v>anthony</v>
      </c>
    </row>
    <row r="7374">
      <c r="A7374" s="8" t="str">
        <f>IFERROR(__xludf.DUMMYFUNCTION("""COMPUTED_VALUE"""),"antonio_fedez")</f>
        <v>antonio_fedez</v>
      </c>
    </row>
    <row r="7375">
      <c r="A7375" s="8" t="str">
        <f>IFERROR(__xludf.DUMMYFUNCTION("""COMPUTED_VALUE"""),"ariana")</f>
        <v>ariana</v>
      </c>
    </row>
    <row r="7376">
      <c r="A7376" s="8" t="str">
        <f>IFERROR(__xludf.DUMMYFUNCTION("""COMPUTED_VALUE"""),"ariana_greenblatt")</f>
        <v>ariana_greenblatt</v>
      </c>
    </row>
    <row r="7377">
      <c r="A7377" s="8" t="str">
        <f>IFERROR(__xludf.DUMMYFUNCTION("""COMPUTED_VALUE"""),"ariancatas_")</f>
        <v>ariancatas_</v>
      </c>
    </row>
    <row r="7378">
      <c r="A7378" s="8" t="str">
        <f>IFERROR(__xludf.DUMMYFUNCTION("""COMPUTED_VALUE"""),"arig088_")</f>
        <v>arig088_</v>
      </c>
    </row>
    <row r="7379">
      <c r="A7379" s="8" t="str">
        <f>IFERROR(__xludf.DUMMYFUNCTION("""COMPUTED_VALUE"""),"armando")</f>
        <v>armando</v>
      </c>
    </row>
    <row r="7380">
      <c r="A7380" s="8" t="str">
        <f>IFERROR(__xludf.DUMMYFUNCTION("""COMPUTED_VALUE"""),"armandofeola")</f>
        <v>armandofeola</v>
      </c>
    </row>
    <row r="7381">
      <c r="A7381" s="8" t="str">
        <f>IFERROR(__xludf.DUMMYFUNCTION("""COMPUTED_VALUE"""),"arthur")</f>
        <v>arthur</v>
      </c>
    </row>
    <row r="7382">
      <c r="A7382" s="8" t="str">
        <f>IFERROR(__xludf.DUMMYFUNCTION("""COMPUTED_VALUE"""),"arthur")</f>
        <v>arthur</v>
      </c>
    </row>
    <row r="7383">
      <c r="A7383" s="8" t="str">
        <f>IFERROR(__xludf.DUMMYFUNCTION("""COMPUTED_VALUE"""),"arthur_leclerc")</f>
        <v>arthur_leclerc</v>
      </c>
    </row>
    <row r="7384">
      <c r="A7384" s="8" t="str">
        <f>IFERROR(__xludf.DUMMYFUNCTION("""COMPUTED_VALUE"""),"ashleygraham")</f>
        <v>ashleygraham</v>
      </c>
    </row>
    <row r="7385">
      <c r="A7385" s="8" t="str">
        <f>IFERROR(__xludf.DUMMYFUNCTION("""COMPUTED_VALUE"""),"iamashleynikole")</f>
        <v>iamashleynikole</v>
      </c>
    </row>
    <row r="7386">
      <c r="A7386" s="8" t="str">
        <f>IFERROR(__xludf.DUMMYFUNCTION("""COMPUTED_VALUE"""),"immeganashley")</f>
        <v>immeganashley</v>
      </c>
    </row>
    <row r="7387">
      <c r="A7387" s="8" t="str">
        <f>IFERROR(__xludf.DUMMYFUNCTION("""COMPUTED_VALUE"""),"austin")</f>
        <v>austin</v>
      </c>
    </row>
    <row r="7388">
      <c r="A7388" s="8" t="str">
        <f>IFERROR(__xludf.DUMMYFUNCTION("""COMPUTED_VALUE"""),"autumnfalls")</f>
        <v>autumnfalls</v>
      </c>
    </row>
    <row r="7389">
      <c r="A7389" s="8" t="str">
        <f>IFERROR(__xludf.DUMMYFUNCTION("""COMPUTED_VALUE"""),"autumnren")</f>
        <v>autumnren</v>
      </c>
    </row>
    <row r="7390">
      <c r="A7390" s="8" t="str">
        <f>IFERROR(__xludf.DUMMYFUNCTION("""COMPUTED_VALUE"""),"autumnrenae")</f>
        <v>autumnrenae</v>
      </c>
    </row>
    <row r="7391">
      <c r="A7391" s="8" t="str">
        <f>IFERROR(__xludf.DUMMYFUNCTION("""COMPUTED_VALUE"""),"barbara")</f>
        <v>barbara</v>
      </c>
    </row>
    <row r="7392">
      <c r="A7392" s="8" t="str">
        <f>IFERROR(__xludf.DUMMYFUNCTION("""COMPUTED_VALUE"""),"barbarakristoffersen")</f>
        <v>barbarakristoffersen</v>
      </c>
    </row>
    <row r="7393">
      <c r="A7393" s="8" t="str">
        <f>IFERROR(__xludf.DUMMYFUNCTION("""COMPUTED_VALUE"""),"realbarbaraoneill")</f>
        <v>realbarbaraoneill</v>
      </c>
    </row>
    <row r="7394">
      <c r="A7394" s="8" t="str">
        <f>IFERROR(__xludf.DUMMYFUNCTION("""COMPUTED_VALUE"""),"realbarbarapalvin")</f>
        <v>realbarbarapalvin</v>
      </c>
    </row>
    <row r="7395">
      <c r="A7395" s="8" t="str">
        <f>IFERROR(__xludf.DUMMYFUNCTION("""COMPUTED_VALUE"""),"beatrice")</f>
        <v>beatrice</v>
      </c>
    </row>
    <row r="7396">
      <c r="A7396" s="8" t="str">
        <f>IFERROR(__xludf.DUMMYFUNCTION("""COMPUTED_VALUE"""),"beatrice.gutu")</f>
        <v>beatrice.gutu</v>
      </c>
    </row>
    <row r="7397">
      <c r="A7397" s="8" t="str">
        <f>IFERROR(__xludf.DUMMYFUNCTION("""COMPUTED_VALUE"""),"beatricesegreti.reels")</f>
        <v>beatricesegreti.reels</v>
      </c>
    </row>
    <row r="7398">
      <c r="A7398" s="8" t="str">
        <f>IFERROR(__xludf.DUMMYFUNCTION("""COMPUTED_VALUE"""),"beatriceuio")</f>
        <v>beatriceuio</v>
      </c>
    </row>
    <row r="7399">
      <c r="A7399" s="8" t="str">
        <f>IFERROR(__xludf.DUMMYFUNCTION("""COMPUTED_VALUE"""),"belinda_lee_mills")</f>
        <v>belinda_lee_mills</v>
      </c>
    </row>
    <row r="7400">
      <c r="A7400" s="8" t="str">
        <f>IFERROR(__xludf.DUMMYFUNCTION("""COMPUTED_VALUE"""),"belindaperegrin")</f>
        <v>belindaperegrin</v>
      </c>
    </row>
    <row r="7401">
      <c r="A7401" s="8" t="str">
        <f>IFERROR(__xludf.DUMMYFUNCTION("""COMPUTED_VALUE"""),"belindapop")</f>
        <v>belindapop</v>
      </c>
    </row>
    <row r="7402">
      <c r="A7402" s="8" t="str">
        <f>IFERROR(__xludf.DUMMYFUNCTION("""COMPUTED_VALUE"""),"itsbellssssss")</f>
        <v>itsbellssssss</v>
      </c>
    </row>
    <row r="7403">
      <c r="A7403" s="8" t="str">
        <f>IFERROR(__xludf.DUMMYFUNCTION("""COMPUTED_VALUE"""),"bernard")</f>
        <v>bernard</v>
      </c>
    </row>
    <row r="7404">
      <c r="A7404" s="8" t="str">
        <f>IFERROR(__xludf.DUMMYFUNCTION("""COMPUTED_VALUE"""),"bernardlbell")</f>
        <v>bernardlbell</v>
      </c>
    </row>
    <row r="7405">
      <c r="A7405" s="8" t="str">
        <f>IFERROR(__xludf.DUMMYFUNCTION("""COMPUTED_VALUE"""),"bethanylilyapril")</f>
        <v>bethanylilyapril</v>
      </c>
    </row>
    <row r="7406">
      <c r="A7406" s="8" t="str">
        <f>IFERROR(__xludf.DUMMYFUNCTION("""COMPUTED_VALUE"""),"successfulbethanyfamilies")</f>
        <v>successfulbethanyfamilies</v>
      </c>
    </row>
    <row r="7407">
      <c r="A7407" s="8" t="str">
        <f>IFERROR(__xludf.DUMMYFUNCTION("""COMPUTED_VALUE"""),"bianca")</f>
        <v>bianca</v>
      </c>
    </row>
    <row r="7408">
      <c r="A7408" s="8" t="str">
        <f>IFERROR(__xludf.DUMMYFUNCTION("""COMPUTED_VALUE"""),"bxianca_")</f>
        <v>bxianca_</v>
      </c>
    </row>
    <row r="7409">
      <c r="A7409" s="8" t="str">
        <f>IFERROR(__xludf.DUMMYFUNCTION("""COMPUTED_VALUE"""),"blake")</f>
        <v>blake</v>
      </c>
    </row>
    <row r="7410">
      <c r="A7410" s="8" t="str">
        <f>IFERROR(__xludf.DUMMYFUNCTION("""COMPUTED_VALUE"""),"blakelively")</f>
        <v>blakelively</v>
      </c>
    </row>
    <row r="7411">
      <c r="A7411" s="8" t="str">
        <f>IFERROR(__xludf.DUMMYFUNCTION("""COMPUTED_VALUE"""),"bradleycooper_original")</f>
        <v>bradleycooper_original</v>
      </c>
    </row>
    <row r="7412">
      <c r="A7412" s="8" t="str">
        <f>IFERROR(__xludf.DUMMYFUNCTION("""COMPUTED_VALUE"""),"bradleycooperroffical")</f>
        <v>bradleycooperroffical</v>
      </c>
    </row>
    <row r="7413">
      <c r="A7413" s="8" t="str">
        <f>IFERROR(__xludf.DUMMYFUNCTION("""COMPUTED_VALUE"""),"bradleywillsimpson")</f>
        <v>bradleywillsimpson</v>
      </c>
    </row>
    <row r="7414">
      <c r="A7414" s="8" t="str">
        <f>IFERROR(__xludf.DUMMYFUNCTION("""COMPUTED_VALUE"""),"bradley_zero")</f>
        <v>bradley_zero</v>
      </c>
    </row>
    <row r="7415">
      <c r="A7415" s="8" t="str">
        <f>IFERROR(__xludf.DUMMYFUNCTION("""COMPUTED_VALUE"""),"brandy")</f>
        <v>brandy</v>
      </c>
    </row>
    <row r="7416">
      <c r="A7416" s="8" t="str">
        <f>IFERROR(__xludf.DUMMYFUNCTION("""COMPUTED_VALUE"""),"brandy333nat")</f>
        <v>brandy333nat</v>
      </c>
    </row>
    <row r="7417">
      <c r="A7417" s="8" t="str">
        <f>IFERROR(__xludf.DUMMYFUNCTION("""COMPUTED_VALUE"""),"brandymelvilleusa")</f>
        <v>brandymelvilleusa</v>
      </c>
    </row>
    <row r="7418">
      <c r="A7418" s="8" t="str">
        <f>IFERROR(__xludf.DUMMYFUNCTION("""COMPUTED_VALUE"""),"brandyslicious")</f>
        <v>brandyslicious</v>
      </c>
    </row>
    <row r="7419">
      <c r="A7419" s="8" t="str">
        <f>IFERROR(__xludf.DUMMYFUNCTION("""COMPUTED_VALUE"""),"brenda")</f>
        <v>brenda</v>
      </c>
    </row>
    <row r="7420">
      <c r="A7420" s="8" t="str">
        <f>IFERROR(__xludf.DUMMYFUNCTION("""COMPUTED_VALUE"""),"brendahashtag")</f>
        <v>brendahashtag</v>
      </c>
    </row>
    <row r="7421">
      <c r="A7421" s="8" t="str">
        <f>IFERROR(__xludf.DUMMYFUNCTION("""COMPUTED_VALUE"""),"brendastudio")</f>
        <v>brendastudio</v>
      </c>
    </row>
    <row r="7422">
      <c r="A7422" s="8" t="str">
        <f>IFERROR(__xludf.DUMMYFUNCTION("""COMPUTED_VALUE"""),"bender.brendan_")</f>
        <v>bender.brendan_</v>
      </c>
    </row>
    <row r="7423">
      <c r="A7423" s="8" t="str">
        <f>IFERROR(__xludf.DUMMYFUNCTION("""COMPUTED_VALUE"""),"brendandelmundo")</f>
        <v>brendandelmundo</v>
      </c>
    </row>
    <row r="7424">
      <c r="A7424" s="8" t="str">
        <f>IFERROR(__xludf.DUMMYFUNCTION("""COMPUTED_VALUE"""),"brendan_pang")</f>
        <v>brendan_pang</v>
      </c>
    </row>
    <row r="7425">
      <c r="A7425" s="8" t="str">
        <f>IFERROR(__xludf.DUMMYFUNCTION("""COMPUTED_VALUE"""),"brendan_peyper")</f>
        <v>brendan_peyper</v>
      </c>
    </row>
    <row r="7426">
      <c r="A7426" s="8" t="str">
        <f>IFERROR(__xludf.DUMMYFUNCTION("""COMPUTED_VALUE"""),"brendaperlaza2")</f>
        <v>brendaperlaza2</v>
      </c>
    </row>
    <row r="7427">
      <c r="A7427" s="8" t="str">
        <f>IFERROR(__xludf.DUMMYFUNCTION("""COMPUTED_VALUE"""),"brenxdan")</f>
        <v>brenxdan</v>
      </c>
    </row>
    <row r="7428">
      <c r="A7428" s="8" t="str">
        <f>IFERROR(__xludf.DUMMYFUNCTION("""COMPUTED_VALUE"""),"buildsbybrendan")</f>
        <v>buildsbybrendan</v>
      </c>
    </row>
    <row r="7429">
      <c r="A7429" s="8" t="str">
        <f>IFERROR(__xludf.DUMMYFUNCTION("""COMPUTED_VALUE"""),"brianna")</f>
        <v>brianna</v>
      </c>
    </row>
    <row r="7430">
      <c r="A7430" s="8" t="str">
        <f>IFERROR(__xludf.DUMMYFUNCTION("""COMPUTED_VALUE"""),"briannehowey")</f>
        <v>briannehowey</v>
      </c>
    </row>
    <row r="7431">
      <c r="A7431" s="8" t="str">
        <f>IFERROR(__xludf.DUMMYFUNCTION("""COMPUTED_VALUE"""),"briannephowkins")</f>
        <v>briannephowkins</v>
      </c>
    </row>
    <row r="7432">
      <c r="A7432" s="8" t="str">
        <f>IFERROR(__xludf.DUMMYFUNCTION("""COMPUTED_VALUE"""),"brianne.ramirez")</f>
        <v>brianne.ramirez</v>
      </c>
    </row>
    <row r="7433">
      <c r="A7433" s="8" t="str">
        <f>IFERROR(__xludf.DUMMYFUNCTION("""COMPUTED_VALUE"""),"brianneworth")</f>
        <v>brianneworth</v>
      </c>
    </row>
    <row r="7434">
      <c r="A7434" s="8" t="str">
        <f>IFERROR(__xludf.DUMMYFUNCTION("""COMPUTED_VALUE"""),"djbrianne_rw")</f>
        <v>djbrianne_rw</v>
      </c>
    </row>
    <row r="7435">
      <c r="A7435" s="8" t="str">
        <f>IFERROR(__xludf.DUMMYFUNCTION("""COMPUTED_VALUE"""),"brittany")</f>
        <v>brittany</v>
      </c>
    </row>
    <row r="7436">
      <c r="A7436" s="8" t="str">
        <f>IFERROR(__xludf.DUMMYFUNCTION("""COMPUTED_VALUE"""),"brittany_broski")</f>
        <v>brittany_broski</v>
      </c>
    </row>
    <row r="7437">
      <c r="A7437" s="8" t="str">
        <f>IFERROR(__xludf.DUMMYFUNCTION("""COMPUTED_VALUE"""),"brittanylynne")</f>
        <v>brittanylynne</v>
      </c>
    </row>
    <row r="7438">
      <c r="A7438" s="8" t="str">
        <f>IFERROR(__xludf.DUMMYFUNCTION("""COMPUTED_VALUE"""),"brooke")</f>
        <v>brooke</v>
      </c>
    </row>
    <row r="7439">
      <c r="A7439" s="8" t="str">
        <f>IFERROR(__xludf.DUMMYFUNCTION("""COMPUTED_VALUE"""),"brookebilik")</f>
        <v>brookebilik</v>
      </c>
    </row>
    <row r="7440">
      <c r="A7440" s="8" t="str">
        <f>IFERROR(__xludf.DUMMYFUNCTION("""COMPUTED_VALUE"""),"brookemonk")</f>
        <v>brookemonk</v>
      </c>
    </row>
    <row r="7441">
      <c r="A7441" s="8" t="str">
        <f>IFERROR(__xludf.DUMMYFUNCTION("""COMPUTED_VALUE"""),"brooketilli")</f>
        <v>brooketilli</v>
      </c>
    </row>
    <row r="7442">
      <c r="A7442" s="11" t="str">
        <f>IFERROR(__xludf.DUMMYFUNCTION("""COMPUTED_VALUE"""),"brucebolt.us")</f>
        <v>brucebolt.us</v>
      </c>
    </row>
    <row r="7443">
      <c r="A7443" s="8" t="str">
        <f>IFERROR(__xludf.DUMMYFUNCTION("""COMPUTED_VALUE"""),"brucelee")</f>
        <v>brucelee</v>
      </c>
    </row>
    <row r="7444">
      <c r="A7444" s="8" t="str">
        <f>IFERROR(__xludf.DUMMYFUNCTION("""COMPUTED_VALUE"""),"raycondones")</f>
        <v>raycondones</v>
      </c>
    </row>
    <row r="7445">
      <c r="A7445" s="8" t="str">
        <f>IFERROR(__xludf.DUMMYFUNCTION("""COMPUTED_VALUE"""),"brizzzworks")</f>
        <v>brizzzworks</v>
      </c>
    </row>
    <row r="7446">
      <c r="A7446" s="8" t="str">
        <f>IFERROR(__xludf.DUMMYFUNCTION("""COMPUTED_VALUE"""),"19bryce.__")</f>
        <v>19bryce.__</v>
      </c>
    </row>
    <row r="7447">
      <c r="A7447" s="8" t="str">
        <f>IFERROR(__xludf.DUMMYFUNCTION("""COMPUTED_VALUE"""),"bauifyy")</f>
        <v>bauifyy</v>
      </c>
    </row>
    <row r="7448">
      <c r="A7448" s="8" t="str">
        <f>IFERROR(__xludf.DUMMYFUNCTION("""COMPUTED_VALUE"""),"bryceangell")</f>
        <v>bryceangell</v>
      </c>
    </row>
    <row r="7449">
      <c r="A7449" s="8" t="str">
        <f>IFERROR(__xludf.DUMMYFUNCTION("""COMPUTED_VALUE"""),"brycedhoward")</f>
        <v>brycedhoward</v>
      </c>
    </row>
    <row r="7450">
      <c r="A7450" s="8" t="str">
        <f>IFERROR(__xludf.DUMMYFUNCTION("""COMPUTED_VALUE"""),"brycehall")</f>
        <v>brycehall</v>
      </c>
    </row>
    <row r="7451">
      <c r="A7451" s="8" t="str">
        <f>IFERROR(__xludf.DUMMYFUNCTION("""COMPUTED_VALUE"""),"bryce_m_james")</f>
        <v>bryce_m_james</v>
      </c>
    </row>
    <row r="7452">
      <c r="A7452" s="8" t="str">
        <f>IFERROR(__xludf.DUMMYFUNCTION("""COMPUTED_VALUE"""),"fitbryceadams")</f>
        <v>fitbryceadams</v>
      </c>
    </row>
    <row r="7453">
      <c r="A7453" s="8" t="str">
        <f>IFERROR(__xludf.DUMMYFUNCTION("""COMPUTED_VALUE"""),"_justbryce")</f>
        <v>_justbryce</v>
      </c>
    </row>
    <row r="7454">
      <c r="A7454" s="8" t="str">
        <f>IFERROR(__xludf.DUMMYFUNCTION("""COMPUTED_VALUE"""),"outdoors_weekly_")</f>
        <v>outdoors_weekly_</v>
      </c>
    </row>
    <row r="7455">
      <c r="A7455" s="8" t="str">
        <f>IFERROR(__xludf.DUMMYFUNCTION("""COMPUTED_VALUE"""),"caleb")</f>
        <v>caleb</v>
      </c>
    </row>
    <row r="7456">
      <c r="A7456" s="8" t="str">
        <f>IFERROR(__xludf.DUMMYFUNCTION("""COMPUTED_VALUE"""),"cameronahouse")</f>
        <v>cameronahouse</v>
      </c>
    </row>
    <row r="7457">
      <c r="A7457" s="8" t="str">
        <f>IFERROR(__xludf.DUMMYFUNCTION("""COMPUTED_VALUE"""),"camerondiaz")</f>
        <v>camerondiaz</v>
      </c>
    </row>
    <row r="7458">
      <c r="A7458" s="8" t="str">
        <f>IFERROR(__xludf.DUMMYFUNCTION("""COMPUTED_VALUE"""),"cameronflipe")</f>
        <v>cameronflipe</v>
      </c>
    </row>
    <row r="7459">
      <c r="A7459" s="8" t="str">
        <f>IFERROR(__xludf.DUMMYFUNCTION("""COMPUTED_VALUE"""),"camjanson.dance")</f>
        <v>camjanson.dance</v>
      </c>
    </row>
    <row r="7460">
      <c r="A7460" s="8" t="str">
        <f>IFERROR(__xludf.DUMMYFUNCTION("""COMPUTED_VALUE"""),"dovecameron")</f>
        <v>dovecameron</v>
      </c>
    </row>
    <row r="7461">
      <c r="A7461" s="8" t="str">
        <f>IFERROR(__xludf.DUMMYFUNCTION("""COMPUTED_VALUE"""),"lukemcameron")</f>
        <v>lukemcameron</v>
      </c>
    </row>
    <row r="7462">
      <c r="A7462" s="8" t="str">
        <f>IFERROR(__xludf.DUMMYFUNCTION("""COMPUTED_VALUE"""),"scottycameron")</f>
        <v>scottycameron</v>
      </c>
    </row>
    <row r="7463">
      <c r="A7463" s="8" t="str">
        <f>IFERROR(__xludf.DUMMYFUNCTION("""COMPUTED_VALUE"""),"sixfd_")</f>
        <v>sixfd_</v>
      </c>
    </row>
    <row r="7464">
      <c r="A7464" s="8" t="str">
        <f>IFERROR(__xludf.DUMMYFUNCTION("""COMPUTED_VALUE"""),"thecameronboyce")</f>
        <v>thecameronboyce</v>
      </c>
    </row>
    <row r="7465">
      <c r="A7465" s="8" t="str">
        <f>IFERROR(__xludf.DUMMYFUNCTION("""COMPUTED_VALUE"""),"uheartcam")</f>
        <v>uheartcam</v>
      </c>
    </row>
    <row r="7466">
      <c r="A7466" s="8" t="str">
        <f>IFERROR(__xludf.DUMMYFUNCTION("""COMPUTED_VALUE"""),"bergenbags")</f>
        <v>bergenbags</v>
      </c>
    </row>
    <row r="7467">
      <c r="A7467" s="8" t="str">
        <f>IFERROR(__xludf.DUMMYFUNCTION("""COMPUTED_VALUE"""),"candice")</f>
        <v>candice</v>
      </c>
    </row>
    <row r="7468">
      <c r="A7468" s="8" t="str">
        <f>IFERROR(__xludf.DUMMYFUNCTION("""COMPUTED_VALUE"""),"candiceking")</f>
        <v>candiceking</v>
      </c>
    </row>
    <row r="7469">
      <c r="A7469" s="8" t="str">
        <f>IFERROR(__xludf.DUMMYFUNCTION("""COMPUTED_VALUE"""),"candiceswanepoel")</f>
        <v>candiceswanepoel</v>
      </c>
    </row>
    <row r="7470">
      <c r="A7470" s="8" t="str">
        <f>IFERROR(__xludf.DUMMYFUNCTION("""COMPUTED_VALUE"""),"runcandicerun")</f>
        <v>runcandicerun</v>
      </c>
    </row>
    <row r="7471">
      <c r="A7471" s="8" t="str">
        <f>IFERROR(__xludf.DUMMYFUNCTION("""COMPUTED_VALUE"""),"carla")</f>
        <v>carla</v>
      </c>
    </row>
    <row r="7472">
      <c r="A7472" s="8" t="str">
        <f>IFERROR(__xludf.DUMMYFUNCTION("""COMPUTED_VALUE"""),"carla_carla_carla")</f>
        <v>carla_carla_carla</v>
      </c>
    </row>
    <row r="7473">
      <c r="A7473" s="8" t="str">
        <f>IFERROR(__xludf.DUMMYFUNCTION("""COMPUTED_VALUE"""),"carlos")</f>
        <v>carlos</v>
      </c>
    </row>
    <row r="7474">
      <c r="A7474" s="8" t="str">
        <f>IFERROR(__xludf.DUMMYFUNCTION("""COMPUTED_VALUE"""),"carlos_cuerpo")</f>
        <v>carlos_cuerpo</v>
      </c>
    </row>
    <row r="7475">
      <c r="A7475" s="8" t="str">
        <f>IFERROR(__xludf.DUMMYFUNCTION("""COMPUTED_VALUE"""),"carmen")</f>
        <v>carmen</v>
      </c>
    </row>
    <row r="7476">
      <c r="A7476" s="8" t="str">
        <f>IFERROR(__xludf.DUMMYFUNCTION("""COMPUTED_VALUE"""),"caroline")</f>
        <v>caroline</v>
      </c>
    </row>
    <row r="7477">
      <c r="A7477" s="8" t="str">
        <f>IFERROR(__xludf.DUMMYFUNCTION("""COMPUTED_VALUE"""),"carolinederpienski")</f>
        <v>carolinederpienski</v>
      </c>
    </row>
    <row r="7478">
      <c r="A7478" s="8" t="str">
        <f>IFERROR(__xludf.DUMMYFUNCTION("""COMPUTED_VALUE"""),"carolline")</f>
        <v>carolline</v>
      </c>
    </row>
    <row r="7479">
      <c r="A7479" s="8" t="str">
        <f>IFERROR(__xludf.DUMMYFUNCTION("""COMPUTED_VALUE"""),"casey")</f>
        <v>casey</v>
      </c>
    </row>
    <row r="7480">
      <c r="A7480" s="8" t="str">
        <f>IFERROR(__xludf.DUMMYFUNCTION("""COMPUTED_VALUE"""),"cassandra")</f>
        <v>cassandra</v>
      </c>
    </row>
    <row r="7481">
      <c r="A7481" s="8" t="str">
        <f>IFERROR(__xludf.DUMMYFUNCTION("""COMPUTED_VALUE"""),"cassandra.saucedoo")</f>
        <v>cassandra.saucedoo</v>
      </c>
    </row>
    <row r="7482">
      <c r="A7482" s="8" t="str">
        <f>IFERROR(__xludf.DUMMYFUNCTION("""COMPUTED_VALUE"""),"catherinebascoy")</f>
        <v>catherinebascoy</v>
      </c>
    </row>
    <row r="7483">
      <c r="A7483" s="8" t="str">
        <f>IFERROR(__xludf.DUMMYFUNCTION("""COMPUTED_VALUE"""),"catherinepaiz")</f>
        <v>catherinepaiz</v>
      </c>
    </row>
    <row r="7484">
      <c r="A7484" s="8" t="str">
        <f>IFERROR(__xludf.DUMMYFUNCTION("""COMPUTED_VALUE"""),"catherinezetajones")</f>
        <v>catherinezetajones</v>
      </c>
    </row>
    <row r="7485">
      <c r="A7485" s="8" t="str">
        <f>IFERROR(__xludf.DUMMYFUNCTION("""COMPUTED_VALUE"""),"cecilia")</f>
        <v>cecilia</v>
      </c>
    </row>
    <row r="7486">
      <c r="A7486" s="8" t="str">
        <f>IFERROR(__xludf.DUMMYFUNCTION("""COMPUTED_VALUE"""),"ceciliateigen")</f>
        <v>ceciliateigen</v>
      </c>
    </row>
    <row r="7487">
      <c r="A7487" s="8" t="str">
        <f>IFERROR(__xludf.DUMMYFUNCTION("""COMPUTED_VALUE"""),"chadgoesdeep")</f>
        <v>chadgoesdeep</v>
      </c>
    </row>
    <row r="7488">
      <c r="A7488" s="8" t="str">
        <f>IFERROR(__xludf.DUMMYFUNCTION("""COMPUTED_VALUE"""),"chad_jrt")</f>
        <v>chad_jrt</v>
      </c>
    </row>
    <row r="7489">
      <c r="A7489" s="8" t="str">
        <f>IFERROR(__xludf.DUMMYFUNCTION("""COMPUTED_VALUE"""),"theonlychad__")</f>
        <v>theonlychad__</v>
      </c>
    </row>
    <row r="7490">
      <c r="A7490" s="8" t="str">
        <f>IFERROR(__xludf.DUMMYFUNCTION("""COMPUTED_VALUE"""),"char4prezzy")</f>
        <v>char4prezzy</v>
      </c>
    </row>
    <row r="7491">
      <c r="A7491" s="8" t="str">
        <f>IFERROR(__xludf.DUMMYFUNCTION("""COMPUTED_VALUE"""),"charlenebourdier.photographe")</f>
        <v>charlenebourdier.photographe</v>
      </c>
    </row>
    <row r="7492">
      <c r="A7492" s="8" t="str">
        <f>IFERROR(__xludf.DUMMYFUNCTION("""COMPUTED_VALUE"""),"charlene_et_francesca")</f>
        <v>charlene_et_francesca</v>
      </c>
    </row>
    <row r="7493">
      <c r="A7493" s="8" t="str">
        <f>IFERROR(__xludf.DUMMYFUNCTION("""COMPUTED_VALUE"""),"charlene.lingerie")</f>
        <v>charlene.lingerie</v>
      </c>
    </row>
    <row r="7494">
      <c r="A7494" s="8" t="str">
        <f>IFERROR(__xludf.DUMMYFUNCTION("""COMPUTED_VALUE"""),"chelsea")</f>
        <v>chelsea</v>
      </c>
    </row>
    <row r="7495">
      <c r="A7495" s="8" t="str">
        <f>IFERROR(__xludf.DUMMYFUNCTION("""COMPUTED_VALUE"""),"chelseafc")</f>
        <v>chelseafc</v>
      </c>
    </row>
    <row r="7496">
      <c r="A7496" s="8" t="str">
        <f>IFERROR(__xludf.DUMMYFUNCTION("""COMPUTED_VALUE"""),"chelsea.jean")</f>
        <v>chelsea.jean</v>
      </c>
    </row>
    <row r="7497">
      <c r="A7497" s="8" t="str">
        <f>IFERROR(__xludf.DUMMYFUNCTION("""COMPUTED_VALUE"""),"chloe")</f>
        <v>chloe</v>
      </c>
    </row>
    <row r="7498">
      <c r="A7498" s="8" t="str">
        <f>IFERROR(__xludf.DUMMYFUNCTION("""COMPUTED_VALUE"""),"chloebailey")</f>
        <v>chloebailey</v>
      </c>
    </row>
    <row r="7499">
      <c r="A7499" s="8" t="str">
        <f>IFERROR(__xludf.DUMMYFUNCTION("""COMPUTED_VALUE"""),"christian")</f>
        <v>christian</v>
      </c>
    </row>
    <row r="7500">
      <c r="A7500" s="8" t="str">
        <f>IFERROR(__xludf.DUMMYFUNCTION("""COMPUTED_VALUE"""),"christianpentaa")</f>
        <v>christianpentaa</v>
      </c>
    </row>
    <row r="7501">
      <c r="A7501" s="8" t="str">
        <f>IFERROR(__xludf.DUMMYFUNCTION("""COMPUTED_VALUE"""),"xtina")</f>
        <v>xtina</v>
      </c>
    </row>
    <row r="7502">
      <c r="A7502" s="8" t="str">
        <f>IFERROR(__xludf.DUMMYFUNCTION("""COMPUTED_VALUE"""),"chrisbriney_")</f>
        <v>chrisbriney_</v>
      </c>
    </row>
    <row r="7503">
      <c r="A7503" s="8" t="str">
        <f>IFERROR(__xludf.DUMMYFUNCTION("""COMPUTED_VALUE"""),"christopher")</f>
        <v>christopher</v>
      </c>
    </row>
    <row r="7504">
      <c r="A7504" s="8" t="str">
        <f>IFERROR(__xludf.DUMMYFUNCTION("""COMPUTED_VALUE"""),"christopherai")</f>
        <v>christopherai</v>
      </c>
    </row>
    <row r="7505">
      <c r="A7505" s="8" t="str">
        <f>IFERROR(__xludf.DUMMYFUNCTION("""COMPUTED_VALUE"""),"christopherlevy")</f>
        <v>christopherlevy</v>
      </c>
    </row>
    <row r="7506">
      <c r="A7506" s="8" t="str">
        <f>IFERROR(__xludf.DUMMYFUNCTION("""COMPUTED_VALUE"""),"christy")</f>
        <v>christy</v>
      </c>
    </row>
    <row r="7507">
      <c r="A7507" s="8" t="str">
        <f>IFERROR(__xludf.DUMMYFUNCTION("""COMPUTED_VALUE"""),"christywhite_")</f>
        <v>christywhite_</v>
      </c>
    </row>
    <row r="7508">
      <c r="A7508" s="8" t="str">
        <f>IFERROR(__xludf.DUMMYFUNCTION("""COMPUTED_VALUE"""),"christyxmarie")</f>
        <v>christyxmarie</v>
      </c>
    </row>
    <row r="7509">
      <c r="A7509" s="8" t="str">
        <f>IFERROR(__xludf.DUMMYFUNCTION("""COMPUTED_VALUE"""),"clara")</f>
        <v>clara</v>
      </c>
    </row>
    <row r="7510">
      <c r="A7510" s="8" t="str">
        <f>IFERROR(__xludf.DUMMYFUNCTION("""COMPUTED_VALUE"""),"pdm.clara")</f>
        <v>pdm.clara</v>
      </c>
    </row>
    <row r="7511">
      <c r="A7511" s="8" t="str">
        <f>IFERROR(__xludf.DUMMYFUNCTION("""COMPUTED_VALUE"""),"soccins")</f>
        <v>soccins</v>
      </c>
    </row>
    <row r="7512">
      <c r="A7512" s="8" t="str">
        <f>IFERROR(__xludf.DUMMYFUNCTION("""COMPUTED_VALUE"""),"clarissa.danielle.v")</f>
        <v>clarissa.danielle.v</v>
      </c>
    </row>
    <row r="7513">
      <c r="A7513" s="8" t="str">
        <f>IFERROR(__xludf.DUMMYFUNCTION("""COMPUTED_VALUE"""),"claudia")</f>
        <v>claudia</v>
      </c>
    </row>
    <row r="7514">
      <c r="A7514" s="8" t="str">
        <f>IFERROR(__xludf.DUMMYFUNCTION("""COMPUTED_VALUE"""),"claudiaeatsgood")</f>
        <v>claudiaeatsgood</v>
      </c>
    </row>
    <row r="7515">
      <c r="A7515" s="8" t="str">
        <f>IFERROR(__xludf.DUMMYFUNCTION("""COMPUTED_VALUE"""),"clinton2x")</f>
        <v>clinton2x</v>
      </c>
    </row>
    <row r="7516">
      <c r="A7516" s="8" t="str">
        <f>IFERROR(__xludf.DUMMYFUNCTION("""COMPUTED_VALUE"""),"hillaryclinton")</f>
        <v>hillaryclinton</v>
      </c>
    </row>
    <row r="7517">
      <c r="A7517" s="8" t="str">
        <f>IFERROR(__xludf.DUMMYFUNCTION("""COMPUTED_VALUE"""),"indyclinton")</f>
        <v>indyclinton</v>
      </c>
    </row>
    <row r="7518">
      <c r="A7518" s="8" t="str">
        <f>IFERROR(__xludf.DUMMYFUNCTION("""COMPUTED_VALUE"""),"cody")</f>
        <v>cody</v>
      </c>
    </row>
    <row r="7519">
      <c r="A7519" s="8" t="str">
        <f>IFERROR(__xludf.DUMMYFUNCTION("""COMPUTED_VALUE"""),"codymathesgakpo")</f>
        <v>codymathesgakpo</v>
      </c>
    </row>
    <row r="7520">
      <c r="A7520" s="8" t="str">
        <f>IFERROR(__xludf.DUMMYFUNCTION("""COMPUTED_VALUE"""),"codysimpson")</f>
        <v>codysimpson</v>
      </c>
    </row>
    <row r="7521">
      <c r="A7521" s="8" t="str">
        <f>IFERROR(__xludf.DUMMYFUNCTION("""COMPUTED_VALUE"""),"cole")</f>
        <v>cole</v>
      </c>
    </row>
    <row r="7522">
      <c r="A7522" s="8" t="str">
        <f>IFERROR(__xludf.DUMMYFUNCTION("""COMPUTED_VALUE"""),"coleee.0")</f>
        <v>coleee.0</v>
      </c>
    </row>
    <row r="7523">
      <c r="A7523" s="8" t="str">
        <f>IFERROR(__xludf.DUMMYFUNCTION("""COMPUTED_VALUE"""),"colleen")</f>
        <v>colleen</v>
      </c>
    </row>
    <row r="7524">
      <c r="A7524" s="8" t="str">
        <f>IFERROR(__xludf.DUMMYFUNCTION("""COMPUTED_VALUE"""),"colleen.333")</f>
        <v>colleen.333</v>
      </c>
    </row>
    <row r="7525">
      <c r="A7525" s="8" t="str">
        <f>IFERROR(__xludf.DUMMYFUNCTION("""COMPUTED_VALUE"""),"jellybean.colleen")</f>
        <v>jellybean.colleen</v>
      </c>
    </row>
    <row r="7526">
      <c r="A7526" s="8" t="str">
        <f>IFERROR(__xludf.DUMMYFUNCTION("""COMPUTED_VALUE"""),"supcolleen")</f>
        <v>supcolleen</v>
      </c>
    </row>
    <row r="7527">
      <c r="A7527" s="8" t="str">
        <f>IFERROR(__xludf.DUMMYFUNCTION("""COMPUTED_VALUE"""),"connor")</f>
        <v>connor</v>
      </c>
    </row>
    <row r="7528">
      <c r="A7528" s="8" t="str">
        <f>IFERROR(__xludf.DUMMYFUNCTION("""COMPUTED_VALUE"""),"connor_bottoms")</f>
        <v>connor_bottoms</v>
      </c>
    </row>
    <row r="7529">
      <c r="A7529" s="8" t="str">
        <f>IFERROR(__xludf.DUMMYFUNCTION("""COMPUTED_VALUE"""),"connormorgan")</f>
        <v>connormorgan</v>
      </c>
    </row>
    <row r="7530">
      <c r="A7530" s="8" t="str">
        <f>IFERROR(__xludf.DUMMYFUNCTION("""COMPUTED_VALUE"""),"connorprice")</f>
        <v>connorprice</v>
      </c>
    </row>
    <row r="7531">
      <c r="A7531" s="8" t="str">
        <f>IFERROR(__xludf.DUMMYFUNCTION("""COMPUTED_VALUE"""),"conwh0re")</f>
        <v>conwh0re</v>
      </c>
    </row>
    <row r="7532">
      <c r="A7532" s="8" t="str">
        <f>IFERROR(__xludf.DUMMYFUNCTION("""COMPUTED_VALUE"""),"kit.connor")</f>
        <v>kit.connor</v>
      </c>
    </row>
    <row r="7533">
      <c r="A7533" s="8" t="str">
        <f>IFERROR(__xludf.DUMMYFUNCTION("""COMPUTED_VALUE"""),"kit.connort")</f>
        <v>kit.connort</v>
      </c>
    </row>
    <row r="7534">
      <c r="A7534" s="8" t="str">
        <f>IFERROR(__xludf.DUMMYFUNCTION("""COMPUTED_VALUE"""),"kitconnorxobaby")</f>
        <v>kitconnorxobaby</v>
      </c>
    </row>
    <row r="7535">
      <c r="A7535" s="8" t="str">
        <f>IFERROR(__xludf.DUMMYFUNCTION("""COMPUTED_VALUE"""),"coreymylchreest")</f>
        <v>coreymylchreest</v>
      </c>
    </row>
    <row r="7536">
      <c r="A7536" s="8" t="str">
        <f>IFERROR(__xludf.DUMMYFUNCTION("""COMPUTED_VALUE"""),"courtneycruises")</f>
        <v>courtneycruises</v>
      </c>
    </row>
    <row r="7537">
      <c r="A7537" s="8" t="str">
        <f>IFERROR(__xludf.DUMMYFUNCTION("""COMPUTED_VALUE"""),"cjiofficial")</f>
        <v>cjiofficial</v>
      </c>
    </row>
    <row r="7538">
      <c r="A7538" s="8" t="str">
        <f>IFERROR(__xludf.DUMMYFUNCTION("""COMPUTED_VALUE"""),"craig")</f>
        <v>craig</v>
      </c>
    </row>
    <row r="7539">
      <c r="A7539" s="8" t="str">
        <f>IFERROR(__xludf.DUMMYFUNCTION("""COMPUTED_VALUE"""),"craigjonesbjj")</f>
        <v>craigjonesbjj</v>
      </c>
    </row>
    <row r="7540">
      <c r="A7540" s="8" t="str">
        <f>IFERROR(__xludf.DUMMYFUNCTION("""COMPUTED_VALUE"""),"craigmelvinnbc")</f>
        <v>craigmelvinnbc</v>
      </c>
    </row>
    <row r="7541">
      <c r="A7541" s="8" t="str">
        <f>IFERROR(__xludf.DUMMYFUNCTION("""COMPUTED_VALUE"""),"craigrobins")</f>
        <v>craigrobins</v>
      </c>
    </row>
    <row r="7542">
      <c r="A7542" s="8" t="str">
        <f>IFERROR(__xludf.DUMMYFUNCTION("""COMPUTED_VALUE"""),"tcraig")</f>
        <v>tcraig</v>
      </c>
    </row>
    <row r="7543">
      <c r="A7543" s="8" t="str">
        <f>IFERROR(__xludf.DUMMYFUNCTION("""COMPUTED_VALUE"""),"the.moon.ghoul")</f>
        <v>the.moon.ghoul</v>
      </c>
    </row>
    <row r="7544">
      <c r="A7544" s="8" t="str">
        <f>IFERROR(__xludf.DUMMYFUNCTION("""COMPUTED_VALUE"""),"criscanaria5")</f>
        <v>criscanaria5</v>
      </c>
    </row>
    <row r="7545">
      <c r="A7545" s="8" t="str">
        <f>IFERROR(__xludf.DUMMYFUNCTION("""COMPUTED_VALUE"""),"cristinas")</f>
        <v>cristinas</v>
      </c>
    </row>
    <row r="7546">
      <c r="A7546" s="8" t="str">
        <f>IFERROR(__xludf.DUMMYFUNCTION("""COMPUTED_VALUE"""),"tinahxplorez")</f>
        <v>tinahxplorez</v>
      </c>
    </row>
    <row r="7547">
      <c r="A7547" s="8" t="str">
        <f>IFERROR(__xludf.DUMMYFUNCTION("""COMPUTED_VALUE"""),"cynthia")</f>
        <v>cynthia</v>
      </c>
    </row>
    <row r="7548">
      <c r="A7548" s="8" t="str">
        <f>IFERROR(__xludf.DUMMYFUNCTION("""COMPUTED_VALUE"""),"cynthiaerivo")</f>
        <v>cynthiaerivo</v>
      </c>
    </row>
    <row r="7549">
      <c r="A7549" s="8" t="str">
        <f>IFERROR(__xludf.DUMMYFUNCTION("""COMPUTED_VALUE"""),"daisyedgarjones")</f>
        <v>daisyedgarjones</v>
      </c>
    </row>
    <row r="7550">
      <c r="A7550" s="8" t="str">
        <f>IFERROR(__xludf.DUMMYFUNCTION("""COMPUTED_VALUE"""),"daisyherriott")</f>
        <v>daisyherriott</v>
      </c>
    </row>
    <row r="7551">
      <c r="A7551" s="8" t="str">
        <f>IFERROR(__xludf.DUMMYFUNCTION("""COMPUTED_VALUE"""),"dana")</f>
        <v>dana</v>
      </c>
    </row>
    <row r="7552">
      <c r="A7552" s="8" t="str">
        <f>IFERROR(__xludf.DUMMYFUNCTION("""COMPUTED_VALUE"""),"danawhite")</f>
        <v>danawhite</v>
      </c>
    </row>
    <row r="7553">
      <c r="A7553" s="8" t="str">
        <f>IFERROR(__xludf.DUMMYFUNCTION("""COMPUTED_VALUE"""),"daniel")</f>
        <v>daniel</v>
      </c>
    </row>
    <row r="7554">
      <c r="A7554" s="8" t="str">
        <f>IFERROR(__xludf.DUMMYFUNCTION("""COMPUTED_VALUE"""),"danielricciardo")</f>
        <v>danielricciardo</v>
      </c>
    </row>
    <row r="7555">
      <c r="A7555" s="8" t="str">
        <f>IFERROR(__xludf.DUMMYFUNCTION("""COMPUTED_VALUE"""),"danielle")</f>
        <v>danielle</v>
      </c>
    </row>
    <row r="7556">
      <c r="A7556" s="8" t="str">
        <f>IFERROR(__xludf.DUMMYFUNCTION("""COMPUTED_VALUE"""),"daniellecohn")</f>
        <v>daniellecohn</v>
      </c>
    </row>
    <row r="7557">
      <c r="A7557" s="8" t="str">
        <f>IFERROR(__xludf.DUMMYFUNCTION("""COMPUTED_VALUE"""),"danielleehxo")</f>
        <v>danielleehxo</v>
      </c>
    </row>
    <row r="7558">
      <c r="A7558" s="8" t="str">
        <f>IFERROR(__xludf.DUMMYFUNCTION("""COMPUTED_VALUE"""),"daniellewalter")</f>
        <v>daniellewalter</v>
      </c>
    </row>
    <row r="7559">
      <c r="A7559" s="8" t="str">
        <f>IFERROR(__xludf.DUMMYFUNCTION("""COMPUTED_VALUE"""),"dellespeegle")</f>
        <v>dellespeegle</v>
      </c>
    </row>
    <row r="7560">
      <c r="A7560" s="8" t="str">
        <f>IFERROR(__xludf.DUMMYFUNCTION("""COMPUTED_VALUE"""),"david_mkhoyan99")</f>
        <v>david_mkhoyan99</v>
      </c>
    </row>
    <row r="7561">
      <c r="A7561" s="8" t="str">
        <f>IFERROR(__xludf.DUMMYFUNCTION("""COMPUTED_VALUE"""),"delilah")</f>
        <v>delilah</v>
      </c>
    </row>
    <row r="7562">
      <c r="A7562" s="8" t="str">
        <f>IFERROR(__xludf.DUMMYFUNCTION("""COMPUTED_VALUE"""),"delilahh.w")</f>
        <v>delilahh.w</v>
      </c>
    </row>
    <row r="7563">
      <c r="A7563" s="8" t="str">
        <f>IFERROR(__xludf.DUMMYFUNCTION("""COMPUTED_VALUE"""),"missdelilahraige")</f>
        <v>missdelilahraige</v>
      </c>
    </row>
    <row r="7564">
      <c r="A7564" s="8" t="str">
        <f>IFERROR(__xludf.DUMMYFUNCTION("""COMPUTED_VALUE"""),"radiodelilah")</f>
        <v>radiodelilah</v>
      </c>
    </row>
    <row r="7565">
      <c r="A7565" s="8" t="str">
        <f>IFERROR(__xludf.DUMMYFUNCTION("""COMPUTED_VALUE"""),"sizequeendelilah")</f>
        <v>sizequeendelilah</v>
      </c>
    </row>
    <row r="7566">
      <c r="A7566" s="8" t="str">
        <f>IFERROR(__xludf.DUMMYFUNCTION("""COMPUTED_VALUE"""),"denise")</f>
        <v>denise</v>
      </c>
    </row>
    <row r="7567">
      <c r="A7567" s="8" t="str">
        <f>IFERROR(__xludf.DUMMYFUNCTION("""COMPUTED_VALUE"""),"dcornelius13")</f>
        <v>dcornelius13</v>
      </c>
    </row>
    <row r="7568">
      <c r="A7568" s="8" t="str">
        <f>IFERROR(__xludf.DUMMYFUNCTION("""COMPUTED_VALUE"""),"derekdeangelis")</f>
        <v>derekdeangelis</v>
      </c>
    </row>
    <row r="7569">
      <c r="A7569" s="8" t="str">
        <f>IFERROR(__xludf.DUMMYFUNCTION("""COMPUTED_VALUE"""),"dereklipp_")</f>
        <v>dereklipp_</v>
      </c>
    </row>
    <row r="7570">
      <c r="A7570" s="8" t="str">
        <f>IFERROR(__xludf.DUMMYFUNCTION("""COMPUTED_VALUE"""),"die_workwear")</f>
        <v>die_workwear</v>
      </c>
    </row>
    <row r="7571">
      <c r="A7571" s="8" t="str">
        <f>IFERROR(__xludf.DUMMYFUNCTION("""COMPUTED_VALUE"""),"destiny")</f>
        <v>destiny</v>
      </c>
    </row>
    <row r="7572">
      <c r="A7572" s="8" t="str">
        <f>IFERROR(__xludf.DUMMYFUNCTION("""COMPUTED_VALUE"""),"devon")</f>
        <v>devon</v>
      </c>
    </row>
    <row r="7573">
      <c r="A7573" s="8" t="str">
        <f>IFERROR(__xludf.DUMMYFUNCTION("""COMPUTED_VALUE"""),"devonleecarlson")</f>
        <v>devonleecarlson</v>
      </c>
    </row>
    <row r="7574">
      <c r="A7574" s="8" t="str">
        <f>IFERROR(__xludf.DUMMYFUNCTION("""COMPUTED_VALUE"""),"diana")</f>
        <v>diana</v>
      </c>
    </row>
    <row r="7575">
      <c r="A7575" s="8" t="str">
        <f>IFERROR(__xludf.DUMMYFUNCTION("""COMPUTED_VALUE"""),"diana")</f>
        <v>diana</v>
      </c>
    </row>
    <row r="7576">
      <c r="A7576" s="8" t="str">
        <f>IFERROR(__xludf.DUMMYFUNCTION("""COMPUTED_VALUE"""),"diana.__v")</f>
        <v>diana.__v</v>
      </c>
    </row>
    <row r="7577">
      <c r="A7577" s="8" t="str">
        <f>IFERROR(__xludf.DUMMYFUNCTION("""COMPUTED_VALUE"""),"diego")</f>
        <v>diego</v>
      </c>
    </row>
    <row r="7578">
      <c r="A7578" s="8" t="str">
        <f>IFERROR(__xludf.DUMMYFUNCTION("""COMPUTED_VALUE"""),"ritadominic")</f>
        <v>ritadominic</v>
      </c>
    </row>
    <row r="7579">
      <c r="A7579" s="8" t="str">
        <f>IFERROR(__xludf.DUMMYFUNCTION("""COMPUTED_VALUE"""),"dominique")</f>
        <v>dominique</v>
      </c>
    </row>
    <row r="7580">
      <c r="A7580" s="8" t="str">
        <f>IFERROR(__xludf.DUMMYFUNCTION("""COMPUTED_VALUE"""),"dominiqueanselbakery")</f>
        <v>dominiqueanselbakery</v>
      </c>
    </row>
    <row r="7581">
      <c r="A7581" s="8" t="str">
        <f>IFERROR(__xludf.DUMMYFUNCTION("""COMPUTED_VALUE"""),"dgoficial")</f>
        <v>dgoficial</v>
      </c>
    </row>
    <row r="7582">
      <c r="A7582" s="8" t="str">
        <f>IFERROR(__xludf.DUMMYFUNCTION("""COMPUTED_VALUE"""),"edward")</f>
        <v>edward</v>
      </c>
    </row>
    <row r="7583">
      <c r="A7583" s="8" t="str">
        <f>IFERROR(__xludf.DUMMYFUNCTION("""COMPUTED_VALUE"""),"edwardk1")</f>
        <v>edwardk1</v>
      </c>
    </row>
    <row r="7584">
      <c r="A7584" s="8" t="str">
        <f>IFERROR(__xludf.DUMMYFUNCTION("""COMPUTED_VALUE"""),"elena")</f>
        <v>elena</v>
      </c>
    </row>
    <row r="7585">
      <c r="A7585" s="8" t="str">
        <f>IFERROR(__xludf.DUMMYFUNCTION("""COMPUTED_VALUE"""),"elenagortarii")</f>
        <v>elenagortarii</v>
      </c>
    </row>
    <row r="7586">
      <c r="A7586" s="8" t="str">
        <f>IFERROR(__xludf.DUMMYFUNCTION("""COMPUTED_VALUE"""),"elijah")</f>
        <v>elijah</v>
      </c>
    </row>
    <row r="7587">
      <c r="A7587" s="8" t="str">
        <f>IFERROR(__xludf.DUMMYFUNCTION("""COMPUTED_VALUE"""),"edee_elisaa")</f>
        <v>edee_elisaa</v>
      </c>
    </row>
    <row r="7588">
      <c r="A7588" s="8" t="str">
        <f>IFERROR(__xludf.DUMMYFUNCTION("""COMPUTED_VALUE"""),"elizabrowne_")</f>
        <v>elizabrowne_</v>
      </c>
    </row>
    <row r="7589">
      <c r="A7589" s="8" t="str">
        <f>IFERROR(__xludf.DUMMYFUNCTION("""COMPUTED_VALUE"""),"elise")</f>
        <v>elise</v>
      </c>
    </row>
    <row r="7590">
      <c r="A7590" s="8" t="str">
        <f>IFERROR(__xludf.DUMMYFUNCTION("""COMPUTED_VALUE"""),"elisehoogerdijk")</f>
        <v>elisehoogerdijk</v>
      </c>
    </row>
    <row r="7591">
      <c r="A7591" s="8" t="str">
        <f>IFERROR(__xludf.DUMMYFUNCTION("""COMPUTED_VALUE"""),"elizabrowne_")</f>
        <v>elizabrowne_</v>
      </c>
    </row>
    <row r="7592">
      <c r="A7592" s="8" t="str">
        <f>IFERROR(__xludf.DUMMYFUNCTION("""COMPUTED_VALUE"""),"elizalovechild")</f>
        <v>elizalovechild</v>
      </c>
    </row>
    <row r="7593">
      <c r="A7593" s="8" t="str">
        <f>IFERROR(__xludf.DUMMYFUNCTION("""COMPUTED_VALUE"""),"elizabeth_secret10")</f>
        <v>elizabeth_secret10</v>
      </c>
    </row>
    <row r="7594">
      <c r="A7594" s="8" t="str">
        <f>IFERROR(__xludf.DUMMYFUNCTION("""COMPUTED_VALUE"""),"ella")</f>
        <v>ella</v>
      </c>
    </row>
    <row r="7595">
      <c r="A7595" s="8" t="str">
        <f>IFERROR(__xludf.DUMMYFUNCTION("""COMPUTED_VALUE"""),"ellafredricksonx")</f>
        <v>ellafredricksonx</v>
      </c>
    </row>
    <row r="7596">
      <c r="A7596" s="8" t="str">
        <f>IFERROR(__xludf.DUMMYFUNCTION("""COMPUTED_VALUE"""),"ellendegeneres")</f>
        <v>ellendegeneres</v>
      </c>
    </row>
    <row r="7597">
      <c r="A7597" s="8" t="str">
        <f>IFERROR(__xludf.DUMMYFUNCTION("""COMPUTED_VALUE"""),"ella")</f>
        <v>ella</v>
      </c>
    </row>
    <row r="7598">
      <c r="A7598" s="8" t="str">
        <f>IFERROR(__xludf.DUMMYFUNCTION("""COMPUTED_VALUE"""),"elsa")</f>
        <v>elsa</v>
      </c>
    </row>
    <row r="7599">
      <c r="A7599" s="8" t="str">
        <f>IFERROR(__xludf.DUMMYFUNCTION("""COMPUTED_VALUE"""),"elsaoseguera")</f>
        <v>elsaoseguera</v>
      </c>
    </row>
    <row r="7600">
      <c r="A7600" s="8" t="str">
        <f>IFERROR(__xludf.DUMMYFUNCTION("""COMPUTED_VALUE"""),"elsa.thora")</f>
        <v>elsa.thora</v>
      </c>
    </row>
    <row r="7601">
      <c r="A7601" s="8" t="str">
        <f>IFERROR(__xludf.DUMMYFUNCTION("""COMPUTED_VALUE"""),"hoskelsa")</f>
        <v>hoskelsa</v>
      </c>
    </row>
    <row r="7602">
      <c r="A7602" s="8" t="str">
        <f>IFERROR(__xludf.DUMMYFUNCTION("""COMPUTED_VALUE"""),"emily")</f>
        <v>emily</v>
      </c>
    </row>
    <row r="7603">
      <c r="A7603" s="8" t="str">
        <f>IFERROR(__xludf.DUMMYFUNCTION("""COMPUTED_VALUE"""),"emilys_ears")</f>
        <v>emilys_ears</v>
      </c>
    </row>
    <row r="7604">
      <c r="A7604" s="8" t="str">
        <f>IFERROR(__xludf.DUMMYFUNCTION("""COMPUTED_VALUE"""),"emmanuel")</f>
        <v>emmanuel</v>
      </c>
    </row>
    <row r="7605">
      <c r="A7605" s="8" t="str">
        <f>IFERROR(__xludf.DUMMYFUNCTION("""COMPUTED_VALUE"""),"emmanuelmacron")</f>
        <v>emmanuelmacron</v>
      </c>
    </row>
    <row r="7606">
      <c r="A7606" s="8" t="str">
        <f>IFERROR(__xludf.DUMMYFUNCTION("""COMPUTED_VALUE"""),"nchimbie")</f>
        <v>nchimbie</v>
      </c>
    </row>
    <row r="7607">
      <c r="A7607" s="8" t="str">
        <f>IFERROR(__xludf.DUMMYFUNCTION("""COMPUTED_VALUE"""),"eric")</f>
        <v>eric</v>
      </c>
    </row>
    <row r="7608">
      <c r="A7608" s="8" t="str">
        <f>IFERROR(__xludf.DUMMYFUNCTION("""COMPUTED_VALUE"""),"eric_gugua")</f>
        <v>eric_gugua</v>
      </c>
    </row>
    <row r="7609">
      <c r="A7609" s="8" t="str">
        <f>IFERROR(__xludf.DUMMYFUNCTION("""COMPUTED_VALUE"""),"eric.is.youngjae")</f>
        <v>eric.is.youngjae</v>
      </c>
    </row>
    <row r="7610">
      <c r="A7610" s="8" t="str">
        <f>IFERROR(__xludf.DUMMYFUNCTION("""COMPUTED_VALUE"""),"eric.ortuno")</f>
        <v>eric.ortuno</v>
      </c>
    </row>
    <row r="7611">
      <c r="A7611" s="8" t="str">
        <f>IFERROR(__xludf.DUMMYFUNCTION("""COMPUTED_VALUE"""),"erica.ha")</f>
        <v>erica.ha</v>
      </c>
    </row>
    <row r="7612">
      <c r="A7612" s="8" t="str">
        <f>IFERROR(__xludf.DUMMYFUNCTION("""COMPUTED_VALUE"""),"ericasara")</f>
        <v>ericasara</v>
      </c>
    </row>
    <row r="7613">
      <c r="A7613" s="8" t="str">
        <f>IFERROR(__xludf.DUMMYFUNCTION("""COMPUTED_VALUE"""),"esmeraldayounes")</f>
        <v>esmeraldayounes</v>
      </c>
    </row>
    <row r="7614">
      <c r="A7614" s="8" t="str">
        <f>IFERROR(__xludf.DUMMYFUNCTION("""COMPUTED_VALUE"""),"mamii_es")</f>
        <v>mamii_es</v>
      </c>
    </row>
    <row r="7615">
      <c r="A7615" s="8" t="str">
        <f>IFERROR(__xludf.DUMMYFUNCTION("""COMPUTED_VALUE"""),"theofficialesmeralda")</f>
        <v>theofficialesmeralda</v>
      </c>
    </row>
    <row r="7616">
      <c r="A7616" s="8" t="str">
        <f>IFERROR(__xludf.DUMMYFUNCTION("""COMPUTED_VALUE"""),"estebanocon")</f>
        <v>estebanocon</v>
      </c>
    </row>
    <row r="7617">
      <c r="A7617" s="8" t="str">
        <f>IFERROR(__xludf.DUMMYFUNCTION("""COMPUTED_VALUE"""),"esther")</f>
        <v>esther</v>
      </c>
    </row>
    <row r="7618">
      <c r="A7618" s="8" t="str">
        <f>IFERROR(__xludf.DUMMYFUNCTION("""COMPUTED_VALUE"""),"evillynnnn")</f>
        <v>evillynnnn</v>
      </c>
    </row>
    <row r="7619">
      <c r="A7619" s="8" t="str">
        <f>IFERROR(__xludf.DUMMYFUNCTION("""COMPUTED_VALUE"""),"feh.vines")</f>
        <v>feh.vines</v>
      </c>
    </row>
    <row r="7620">
      <c r="A7620" s="8" t="str">
        <f>IFERROR(__xludf.DUMMYFUNCTION("""COMPUTED_VALUE"""),"felipe")</f>
        <v>felipe</v>
      </c>
    </row>
    <row r="7621">
      <c r="A7621" s="8" t="str">
        <f>IFERROR(__xludf.DUMMYFUNCTION("""COMPUTED_VALUE"""),"felipe_moveis_")</f>
        <v>felipe_moveis_</v>
      </c>
    </row>
    <row r="7622">
      <c r="A7622" s="8" t="str">
        <f>IFERROR(__xludf.DUMMYFUNCTION("""COMPUTED_VALUE"""),"zefelipe")</f>
        <v>zefelipe</v>
      </c>
    </row>
    <row r="7623">
      <c r="A7623" s="8" t="str">
        <f>IFERROR(__xludf.DUMMYFUNCTION("""COMPUTED_VALUE"""),"fernando")</f>
        <v>fernando</v>
      </c>
    </row>
    <row r="7624">
      <c r="A7624" s="8" t="str">
        <f>IFERROR(__xludf.DUMMYFUNCTION("""COMPUTED_VALUE"""),"fernando___fernando")</f>
        <v>fernando___fernando</v>
      </c>
    </row>
    <row r="7625">
      <c r="A7625" s="8" t="str">
        <f>IFERROR(__xludf.DUMMYFUNCTION("""COMPUTED_VALUE"""),"davidfrancesdf")</f>
        <v>davidfrancesdf</v>
      </c>
    </row>
    <row r="7626">
      <c r="A7626" s="8" t="str">
        <f>IFERROR(__xludf.DUMMYFUNCTION("""COMPUTED_VALUE"""),"frances")</f>
        <v>frances</v>
      </c>
    </row>
    <row r="7627">
      <c r="A7627" s="8" t="str">
        <f>IFERROR(__xludf.DUMMYFUNCTION("""COMPUTED_VALUE"""),"francescalacava_")</f>
        <v>francescalacava_</v>
      </c>
    </row>
    <row r="7628">
      <c r="A7628" s="8" t="str">
        <f>IFERROR(__xludf.DUMMYFUNCTION("""COMPUTED_VALUE"""),"francesca.stavolone")</f>
        <v>francesca.stavolone</v>
      </c>
    </row>
    <row r="7629">
      <c r="A7629" s="8" t="str">
        <f>IFERROR(__xludf.DUMMYFUNCTION("""COMPUTED_VALUE"""),"frances_paisa")</f>
        <v>frances_paisa</v>
      </c>
    </row>
    <row r="7630">
      <c r="A7630" s="8" t="str">
        <f>IFERROR(__xludf.DUMMYFUNCTION("""COMPUTED_VALUE"""),"frances_simplificado")</f>
        <v>frances_simplificado</v>
      </c>
    </row>
    <row r="7631">
      <c r="A7631" s="8" t="str">
        <f>IFERROR(__xludf.DUMMYFUNCTION("""COMPUTED_VALUE"""),"francesca")</f>
        <v>francesca</v>
      </c>
    </row>
    <row r="7632">
      <c r="A7632" s="8" t="str">
        <f>IFERROR(__xludf.DUMMYFUNCTION("""COMPUTED_VALUE"""),"francisco")</f>
        <v>francisco</v>
      </c>
    </row>
    <row r="7633">
      <c r="A7633" s="11" t="str">
        <f>IFERROR(__xludf.DUMMYFUNCTION("""COMPUTED_VALUE"""),"_francis.co")</f>
        <v>_francis.co</v>
      </c>
    </row>
    <row r="7634">
      <c r="A7634" s="8" t="str">
        <f>IFERROR(__xludf.DUMMYFUNCTION("""COMPUTED_VALUE"""),"clarkfredericks")</f>
        <v>clarkfredericks</v>
      </c>
    </row>
    <row r="7635">
      <c r="A7635" s="8" t="str">
        <f>IFERROR(__xludf.DUMMYFUNCTION("""COMPUTED_VALUE"""),"frederickflips")</f>
        <v>frederickflips</v>
      </c>
    </row>
    <row r="7636">
      <c r="A7636" s="8" t="str">
        <f>IFERROR(__xludf.DUMMYFUNCTION("""COMPUTED_VALUE"""),"frederick.fv")</f>
        <v>frederick.fv</v>
      </c>
    </row>
    <row r="7637">
      <c r="A7637" s="8" t="str">
        <f>IFERROR(__xludf.DUMMYFUNCTION("""COMPUTED_VALUE"""),"gabi.nebunu")</f>
        <v>gabi.nebunu</v>
      </c>
    </row>
    <row r="7638">
      <c r="A7638" s="8" t="str">
        <f>IFERROR(__xludf.DUMMYFUNCTION("""COMPUTED_VALUE"""),"gabriel")</f>
        <v>gabriel</v>
      </c>
    </row>
    <row r="7639">
      <c r="A7639" s="8" t="str">
        <f>IFERROR(__xludf.DUMMYFUNCTION("""COMPUTED_VALUE"""),"gabriel_alexandrov")</f>
        <v>gabriel_alexandrov</v>
      </c>
    </row>
    <row r="7640">
      <c r="A7640" s="8" t="str">
        <f>IFERROR(__xludf.DUMMYFUNCTION("""COMPUTED_VALUE"""),"gabrieloxguevaraa")</f>
        <v>gabrieloxguevaraa</v>
      </c>
    </row>
    <row r="7641">
      <c r="A7641" s="8" t="str">
        <f>IFERROR(__xludf.DUMMYFUNCTION("""COMPUTED_VALUE"""),"gabriella")</f>
        <v>gabriella</v>
      </c>
    </row>
    <row r="7642">
      <c r="A7642" s="8" t="str">
        <f>IFERROR(__xludf.DUMMYFUNCTION("""COMPUTED_VALUE"""),"garrett.josemans")</f>
        <v>garrett.josemans</v>
      </c>
    </row>
    <row r="7643">
      <c r="A7643" s="8" t="str">
        <f>IFERROR(__xludf.DUMMYFUNCTION("""COMPUTED_VALUE"""),"garrettleight")</f>
        <v>garrettleight</v>
      </c>
    </row>
    <row r="7644">
      <c r="A7644" s="8" t="str">
        <f>IFERROR(__xludf.DUMMYFUNCTION("""COMPUTED_VALUE"""),"glenn.11.greenwald")</f>
        <v>glenn.11.greenwald</v>
      </c>
    </row>
    <row r="7645">
      <c r="A7645" s="8" t="str">
        <f>IFERROR(__xludf.DUMMYFUNCTION("""COMPUTED_VALUE"""),"glennclose")</f>
        <v>glennclose</v>
      </c>
    </row>
    <row r="7646">
      <c r="A7646" s="8" t="str">
        <f>IFERROR(__xludf.DUMMYFUNCTION("""COMPUTED_VALUE"""),"lagloriarooftop")</f>
        <v>lagloriarooftop</v>
      </c>
    </row>
    <row r="7647">
      <c r="A7647" s="8" t="str">
        <f>IFERROR(__xludf.DUMMYFUNCTION("""COMPUTED_VALUE"""),"grantcardone")</f>
        <v>grantcardone</v>
      </c>
    </row>
    <row r="7648">
      <c r="A7648" s="8" t="str">
        <f>IFERROR(__xludf.DUMMYFUNCTION("""COMPUTED_VALUE"""),"grantgust")</f>
        <v>grantgust</v>
      </c>
    </row>
    <row r="7649">
      <c r="A7649" s="8" t="str">
        <f>IFERROR(__xludf.DUMMYFUNCTION("""COMPUTED_VALUE"""),"guillefc.70")</f>
        <v>guillefc.70</v>
      </c>
    </row>
    <row r="7650">
      <c r="A7650" s="8" t="str">
        <f>IFERROR(__xludf.DUMMYFUNCTION("""COMPUTED_VALUE"""),"guille_francella")</f>
        <v>guille_francella</v>
      </c>
    </row>
    <row r="7651">
      <c r="A7651" s="8" t="str">
        <f>IFERROR(__xludf.DUMMYFUNCTION("""COMPUTED_VALUE"""),"guillermo")</f>
        <v>guillermo</v>
      </c>
    </row>
    <row r="7652">
      <c r="A7652" s="8" t="str">
        <f>IFERROR(__xludf.DUMMYFUNCTION("""COMPUTED_VALUE"""),"guillermorojer")</f>
        <v>guillermorojer</v>
      </c>
    </row>
    <row r="7653">
      <c r="A7653" s="8" t="str">
        <f>IFERROR(__xludf.DUMMYFUNCTION("""COMPUTED_VALUE"""),"guillermovillaa")</f>
        <v>guillermovillaa</v>
      </c>
    </row>
    <row r="7654">
      <c r="A7654" s="8" t="str">
        <f>IFERROR(__xludf.DUMMYFUNCTION("""COMPUTED_VALUE"""),"guillezarachopy")</f>
        <v>guillezarachopy</v>
      </c>
    </row>
    <row r="7655">
      <c r="A7655" s="8" t="str">
        <f>IFERROR(__xludf.DUMMYFUNCTION("""COMPUTED_VALUE"""),"iamguillermo")</f>
        <v>iamguillermo</v>
      </c>
    </row>
    <row r="7656">
      <c r="A7656" s="8" t="str">
        <f>IFERROR(__xludf.DUMMYFUNCTION("""COMPUTED_VALUE"""),"pinocchiomovie")</f>
        <v>pinocchiomovie</v>
      </c>
    </row>
    <row r="7657">
      <c r="A7657" s="8" t="str">
        <f>IFERROR(__xludf.DUMMYFUNCTION("""COMPUTED_VALUE"""),"sguillermos")</f>
        <v>sguillermos</v>
      </c>
    </row>
    <row r="7658">
      <c r="A7658" s="8" t="str">
        <f>IFERROR(__xludf.DUMMYFUNCTION("""COMPUTED_VALUE"""),"haileybieber")</f>
        <v>haileybieber</v>
      </c>
    </row>
    <row r="7659">
      <c r="A7659" s="8" t="str">
        <f>IFERROR(__xludf.DUMMYFUNCTION("""COMPUTED_VALUE"""),"haleyhznicole")</f>
        <v>haleyhznicole</v>
      </c>
    </row>
    <row r="7660">
      <c r="A7660" s="8" t="str">
        <f>IFERROR(__xludf.DUMMYFUNCTION("""COMPUTED_VALUE"""),"hazey_haley")</f>
        <v>hazey_haley</v>
      </c>
    </row>
    <row r="7661">
      <c r="A7661" s="8" t="str">
        <f>IFERROR(__xludf.DUMMYFUNCTION("""COMPUTED_VALUE"""),"thehaleyx")</f>
        <v>thehaleyx</v>
      </c>
    </row>
    <row r="7662">
      <c r="A7662" s="8" t="str">
        <f>IFERROR(__xludf.DUMMYFUNCTION("""COMPUTED_VALUE"""),"hannah")</f>
        <v>hannah</v>
      </c>
    </row>
    <row r="7663">
      <c r="A7663" s="8" t="str">
        <f>IFERROR(__xludf.DUMMYFUNCTION("""COMPUTED_VALUE"""),"harold")</f>
        <v>harold</v>
      </c>
    </row>
    <row r="7664">
      <c r="A7664" s="8" t="str">
        <f>IFERROR(__xludf.DUMMYFUNCTION("""COMPUTED_VALUE"""),"harold.clothes_")</f>
        <v>harold.clothes_</v>
      </c>
    </row>
    <row r="7665">
      <c r="A7665" s="8" t="str">
        <f>IFERROR(__xludf.DUMMYFUNCTION("""COMPUTED_VALUE"""),"haroldleffall")</f>
        <v>haroldleffall</v>
      </c>
    </row>
    <row r="7666">
      <c r="A7666" s="8" t="str">
        <f>IFERROR(__xludf.DUMMYFUNCTION("""COMPUTED_VALUE"""),"_hosorio")</f>
        <v>_hosorio</v>
      </c>
    </row>
    <row r="7667">
      <c r="A7667" s="8" t="str">
        <f>IFERROR(__xludf.DUMMYFUNCTION("""COMPUTED_VALUE"""),"heaven")</f>
        <v>heaven</v>
      </c>
    </row>
    <row r="7668">
      <c r="A7668" s="8" t="str">
        <f>IFERROR(__xludf.DUMMYFUNCTION("""COMPUTED_VALUE"""),"heaven.hcm")</f>
        <v>heaven.hcm</v>
      </c>
    </row>
    <row r="7669">
      <c r="A7669" s="8" t="str">
        <f>IFERROR(__xludf.DUMMYFUNCTION("""COMPUTED_VALUE"""),"heaven_is_a_dog")</f>
        <v>heaven_is_a_dog</v>
      </c>
    </row>
    <row r="7670">
      <c r="A7670" s="8" t="str">
        <f>IFERROR(__xludf.DUMMYFUNCTION("""COMPUTED_VALUE"""),"heavenmayhem_")</f>
        <v>heavenmayhem_</v>
      </c>
    </row>
    <row r="7671">
      <c r="A7671" s="8" t="str">
        <f>IFERROR(__xludf.DUMMYFUNCTION("""COMPUTED_VALUE"""),"onlyheaven.1")</f>
        <v>onlyheaven.1</v>
      </c>
    </row>
    <row r="7672">
      <c r="A7672" s="8" t="str">
        <f>IFERROR(__xludf.DUMMYFUNCTION("""COMPUTED_VALUE"""),"dr_heavenly")</f>
        <v>dr_heavenly</v>
      </c>
    </row>
    <row r="7673">
      <c r="A7673" s="8" t="str">
        <f>IFERROR(__xludf.DUMMYFUNCTION("""COMPUTED_VALUE"""),"heav_en_ly")</f>
        <v>heav_en_ly</v>
      </c>
    </row>
    <row r="7674">
      <c r="A7674" s="8" t="str">
        <f>IFERROR(__xludf.DUMMYFUNCTION("""COMPUTED_VALUE"""),"heavenly.reyna")</f>
        <v>heavenly.reyna</v>
      </c>
    </row>
    <row r="7675">
      <c r="A7675" s="8" t="str">
        <f>IFERROR(__xludf.DUMMYFUNCTION("""COMPUTED_VALUE"""),"heavenlyspa_westinlima")</f>
        <v>heavenlyspa_westinlima</v>
      </c>
    </row>
    <row r="7676">
      <c r="A7676" s="11" t="str">
        <f>IFERROR(__xludf.DUMMYFUNCTION("""COMPUTED_VALUE"""),"heavenlystore.ni")</f>
        <v>heavenlystore.ni</v>
      </c>
    </row>
    <row r="7677">
      <c r="A7677" s="8" t="str">
        <f>IFERROR(__xludf.DUMMYFUNCTION("""COMPUTED_VALUE"""),"_heavenlyybabe_")</f>
        <v>_heavenlyybabe_</v>
      </c>
    </row>
    <row r="7678">
      <c r="A7678" s="8" t="str">
        <f>IFERROR(__xludf.DUMMYFUNCTION("""COMPUTED_VALUE"""),"skiheavenly")</f>
        <v>skiheavenly</v>
      </c>
    </row>
    <row r="7679">
      <c r="A7679" s="8" t="str">
        <f>IFERROR(__xludf.DUMMYFUNCTION("""COMPUTED_VALUE"""),"heidi")</f>
        <v>heidi</v>
      </c>
    </row>
    <row r="7680">
      <c r="A7680" s="8" t="str">
        <f>IFERROR(__xludf.DUMMYFUNCTION("""COMPUTED_VALUE"""),"heidiklum")</f>
        <v>heidiklum</v>
      </c>
    </row>
    <row r="7681">
      <c r="A7681" s="8" t="str">
        <f>IFERROR(__xludf.DUMMYFUNCTION("""COMPUTED_VALUE"""),"helena")</f>
        <v>helena</v>
      </c>
    </row>
    <row r="7682">
      <c r="A7682" s="8" t="str">
        <f>IFERROR(__xludf.DUMMYFUNCTION("""COMPUTED_VALUE"""),"helenarobezniece")</f>
        <v>helenarobezniece</v>
      </c>
    </row>
    <row r="7683">
      <c r="A7683" s="8" t="str">
        <f>IFERROR(__xludf.DUMMYFUNCTION("""COMPUTED_VALUE"""),"henry")</f>
        <v>henry</v>
      </c>
    </row>
    <row r="7684">
      <c r="A7684" s="8" t="str">
        <f>IFERROR(__xludf.DUMMYFUNCTION("""COMPUTED_VALUE"""),"henry.evr")</f>
        <v>henry.evr</v>
      </c>
    </row>
    <row r="7685">
      <c r="A7685" s="8" t="str">
        <f>IFERROR(__xludf.DUMMYFUNCTION("""COMPUTED_VALUE"""),"holly")</f>
        <v>holly</v>
      </c>
    </row>
    <row r="7686">
      <c r="A7686" s="8" t="str">
        <f>IFERROR(__xludf.DUMMYFUNCTION("""COMPUTED_VALUE"""),"hunter")</f>
        <v>hunter</v>
      </c>
    </row>
    <row r="7687">
      <c r="A7687" s="8" t="str">
        <f>IFERROR(__xludf.DUMMYFUNCTION("""COMPUTED_VALUE"""),"hunterschafer")</f>
        <v>hunterschafer</v>
      </c>
    </row>
    <row r="7688">
      <c r="A7688" s="8" t="str">
        <f>IFERROR(__xludf.DUMMYFUNCTION("""COMPUTED_VALUE"""),"392rasta")</f>
        <v>392rasta</v>
      </c>
    </row>
    <row r="7689">
      <c r="A7689" s="8" t="str">
        <f>IFERROR(__xludf.DUMMYFUNCTION("""COMPUTED_VALUE"""),"dprian")</f>
        <v>dprian</v>
      </c>
    </row>
    <row r="7690">
      <c r="A7690" s="8" t="str">
        <f>IFERROR(__xludf.DUMMYFUNCTION("""COMPUTED_VALUE"""),"ian")</f>
        <v>ian</v>
      </c>
    </row>
    <row r="7691">
      <c r="A7691" s="8" t="str">
        <f>IFERROR(__xludf.DUMMYFUNCTION("""COMPUTED_VALUE"""),"ian_sandii")</f>
        <v>ian_sandii</v>
      </c>
    </row>
    <row r="7692">
      <c r="A7692" s="8" t="str">
        <f>IFERROR(__xludf.DUMMYFUNCTION("""COMPUTED_VALUE"""),"renebaebae")</f>
        <v>renebaebae</v>
      </c>
    </row>
    <row r="7693">
      <c r="A7693" s="8" t="str">
        <f>IFERROR(__xludf.DUMMYFUNCTION("""COMPUTED_VALUE"""),"isabella")</f>
        <v>isabella</v>
      </c>
    </row>
    <row r="7694">
      <c r="A7694" s="8" t="str">
        <f>IFERROR(__xludf.DUMMYFUNCTION("""COMPUTED_VALUE"""),"jackairdy")</f>
        <v>jackairdy</v>
      </c>
    </row>
    <row r="7695">
      <c r="A7695" s="8" t="str">
        <f>IFERROR(__xludf.DUMMYFUNCTION("""COMPUTED_VALUE"""),"jack.kayy1")</f>
        <v>jack.kayy1</v>
      </c>
    </row>
    <row r="7696">
      <c r="A7696" s="8" t="str">
        <f>IFERROR(__xludf.DUMMYFUNCTION("""COMPUTED_VALUE"""),"jackstauber")</f>
        <v>jackstauber</v>
      </c>
    </row>
    <row r="7697">
      <c r="A7697" s="8" t="str">
        <f>IFERROR(__xludf.DUMMYFUNCTION("""COMPUTED_VALUE"""),"jacob")</f>
        <v>jacob</v>
      </c>
    </row>
    <row r="7698">
      <c r="A7698" s="8" t="str">
        <f>IFERROR(__xludf.DUMMYFUNCTION("""COMPUTED_VALUE"""),"jcaraa")</f>
        <v>jcaraa</v>
      </c>
    </row>
    <row r="7699">
      <c r="A7699" s="8" t="str">
        <f>IFERROR(__xludf.DUMMYFUNCTION("""COMPUTED_VALUE"""),"c.syresmith")</f>
        <v>c.syresmith</v>
      </c>
    </row>
    <row r="7700">
      <c r="A7700" s="8" t="str">
        <f>IFERROR(__xludf.DUMMYFUNCTION("""COMPUTED_VALUE"""),"jadethirlwall")</f>
        <v>jadethirlwall</v>
      </c>
    </row>
    <row r="7701">
      <c r="A7701" s="8" t="str">
        <f>IFERROR(__xludf.DUMMYFUNCTION("""COMPUTED_VALUE"""),"james")</f>
        <v>james</v>
      </c>
    </row>
    <row r="7702">
      <c r="A7702" s="8" t="str">
        <f>IFERROR(__xludf.DUMMYFUNCTION("""COMPUTED_VALUE"""),"kingjames")</f>
        <v>kingjames</v>
      </c>
    </row>
    <row r="7703">
      <c r="A7703" s="8" t="str">
        <f>IFERROR(__xludf.DUMMYFUNCTION("""COMPUTED_VALUE"""),"janet")</f>
        <v>janet</v>
      </c>
    </row>
    <row r="7704">
      <c r="A7704" s="8" t="str">
        <f>IFERROR(__xludf.DUMMYFUNCTION("""COMPUTED_VALUE"""),"janetjackson")</f>
        <v>janetjackson</v>
      </c>
    </row>
    <row r="7705">
      <c r="A7705" s="8" t="str">
        <f>IFERROR(__xludf.DUMMYFUNCTION("""COMPUTED_VALUE"""),"notforthearchives")</f>
        <v>notforthearchives</v>
      </c>
    </row>
    <row r="7706">
      <c r="A7706" s="8" t="str">
        <f>IFERROR(__xludf.DUMMYFUNCTION("""COMPUTED_VALUE"""),"_ja.ni.ce__")</f>
        <v>_ja.ni.ce__</v>
      </c>
    </row>
    <row r="7707">
      <c r="A7707" s="8" t="str">
        <f>IFERROR(__xludf.DUMMYFUNCTION("""COMPUTED_VALUE"""),"janicee.nichole")</f>
        <v>janicee.nichole</v>
      </c>
    </row>
    <row r="7708">
      <c r="A7708" s="8" t="str">
        <f>IFERROR(__xludf.DUMMYFUNCTION("""COMPUTED_VALUE"""),"janicee.nicholex2")</f>
        <v>janicee.nicholex2</v>
      </c>
    </row>
    <row r="7709">
      <c r="A7709" s="8" t="str">
        <f>IFERROR(__xludf.DUMMYFUNCTION("""COMPUTED_VALUE"""),"janice.kaori")</f>
        <v>janice.kaori</v>
      </c>
    </row>
    <row r="7710">
      <c r="A7710" s="8" t="str">
        <f>IFERROR(__xludf.DUMMYFUNCTION("""COMPUTED_VALUE"""),"jaredleto")</f>
        <v>jaredleto</v>
      </c>
    </row>
    <row r="7711">
      <c r="A7711" s="8" t="str">
        <f>IFERROR(__xludf.DUMMYFUNCTION("""COMPUTED_VALUE"""),"jaredpadalecki")</f>
        <v>jaredpadalecki</v>
      </c>
    </row>
    <row r="7712">
      <c r="A7712" s="8" t="str">
        <f>IFERROR(__xludf.DUMMYFUNCTION("""COMPUTED_VALUE"""),"jaxpena10")</f>
        <v>jaxpena10</v>
      </c>
    </row>
    <row r="7713">
      <c r="A7713" s="8" t="str">
        <f>IFERROR(__xludf.DUMMYFUNCTION("""COMPUTED_VALUE"""),"jasmine")</f>
        <v>jasmine</v>
      </c>
    </row>
    <row r="7714">
      <c r="A7714" s="8" t="str">
        <f>IFERROR(__xludf.DUMMYFUNCTION("""COMPUTED_VALUE"""),"jason")</f>
        <v>jason</v>
      </c>
    </row>
    <row r="7715">
      <c r="A7715" s="8" t="str">
        <f>IFERROR(__xludf.DUMMYFUNCTION("""COMPUTED_VALUE"""),"jasonstatham")</f>
        <v>jasonstatham</v>
      </c>
    </row>
    <row r="7716">
      <c r="A7716" s="8" t="str">
        <f>IFERROR(__xludf.DUMMYFUNCTION("""COMPUTED_VALUE"""),"prideofgypsies")</f>
        <v>prideofgypsies</v>
      </c>
    </row>
    <row r="7717">
      <c r="A7717" s="8" t="str">
        <f>IFERROR(__xludf.DUMMYFUNCTION("""COMPUTED_VALUE"""),"jean")</f>
        <v>jean</v>
      </c>
    </row>
    <row r="7718">
      <c r="A7718" s="8" t="str">
        <f>IFERROR(__xludf.DUMMYFUNCTION("""COMPUTED_VALUE"""),"kimjeffreyx")</f>
        <v>kimjeffreyx</v>
      </c>
    </row>
    <row r="7719">
      <c r="A7719" s="8" t="str">
        <f>IFERROR(__xludf.DUMMYFUNCTION("""COMPUTED_VALUE"""),"jennaortega")</f>
        <v>jennaortega</v>
      </c>
    </row>
    <row r="7720">
      <c r="A7720" s="8" t="str">
        <f>IFERROR(__xludf.DUMMYFUNCTION("""COMPUTED_VALUE"""),"findjeremiah")</f>
        <v>findjeremiah</v>
      </c>
    </row>
    <row r="7721">
      <c r="A7721" s="8" t="str">
        <f>IFERROR(__xludf.DUMMYFUNCTION("""COMPUTED_VALUE"""),"gavincasalengofanaacc")</f>
        <v>gavincasalengofanaacc</v>
      </c>
    </row>
    <row r="7722">
      <c r="A7722" s="8" t="str">
        <f>IFERROR(__xludf.DUMMYFUNCTION("""COMPUTED_VALUE"""),"jeremiah")</f>
        <v>jeremiah</v>
      </c>
    </row>
    <row r="7723">
      <c r="A7723" s="8" t="str">
        <f>IFERROR(__xludf.DUMMYFUNCTION("""COMPUTED_VALUE"""),"_jeremiahfears")</f>
        <v>_jeremiahfears</v>
      </c>
    </row>
    <row r="7724">
      <c r="A7724" s="8" t="str">
        <f>IFERROR(__xludf.DUMMYFUNCTION("""COMPUTED_VALUE"""),"jeremiahjackson_2")</f>
        <v>jeremiahjackson_2</v>
      </c>
    </row>
    <row r="7725">
      <c r="A7725" s="8" t="str">
        <f>IFERROR(__xludf.DUMMYFUNCTION("""COMPUTED_VALUE"""),"jeremiahmiller")</f>
        <v>jeremiahmiller</v>
      </c>
    </row>
    <row r="7726">
      <c r="A7726" s="8" t="str">
        <f>IFERROR(__xludf.DUMMYFUNCTION("""COMPUTED_VALUE"""),"jeresonrisa")</f>
        <v>jeresonrisa</v>
      </c>
    </row>
    <row r="7727">
      <c r="A7727" s="8" t="str">
        <f>IFERROR(__xludf.DUMMYFUNCTION("""COMPUTED_VALUE"""),"ong.jeremiah")</f>
        <v>ong.jeremiah</v>
      </c>
    </row>
    <row r="7728">
      <c r="A7728" s="8" t="str">
        <f>IFERROR(__xludf.DUMMYFUNCTION("""COMPUTED_VALUE"""),"primetimejj_.4")</f>
        <v>primetimejj_.4</v>
      </c>
    </row>
    <row r="7729">
      <c r="A7729" s="8" t="str">
        <f>IFERROR(__xludf.DUMMYFUNCTION("""COMPUTED_VALUE"""),"allthingsjerome")</f>
        <v>allthingsjerome</v>
      </c>
    </row>
    <row r="7730">
      <c r="A7730" s="8" t="str">
        <f>IFERROR(__xludf.DUMMYFUNCTION("""COMPUTED_VALUE"""),"jerome")</f>
        <v>jerome</v>
      </c>
    </row>
    <row r="7731">
      <c r="A7731" s="8" t="str">
        <f>IFERROR(__xludf.DUMMYFUNCTION("""COMPUTED_VALUE"""),"jeromepolin")</f>
        <v>jeromepolin</v>
      </c>
    </row>
    <row r="7732">
      <c r="A7732" s="8" t="str">
        <f>IFERROR(__xludf.DUMMYFUNCTION("""COMPUTED_VALUE"""),"jessechrisss")</f>
        <v>jessechrisss</v>
      </c>
    </row>
    <row r="7733">
      <c r="A7733" s="8" t="str">
        <f>IFERROR(__xludf.DUMMYFUNCTION("""COMPUTED_VALUE"""),"jesse_seb")</f>
        <v>jesse_seb</v>
      </c>
    </row>
    <row r="7734">
      <c r="A7734" s="8" t="str">
        <f>IFERROR(__xludf.DUMMYFUNCTION("""COMPUTED_VALUE"""),"jessieeshen")</f>
        <v>jessieeshen</v>
      </c>
    </row>
    <row r="7735">
      <c r="A7735" s="8" t="str">
        <f>IFERROR(__xludf.DUMMYFUNCTION("""COMPUTED_VALUE"""),"jessie.ra3")</f>
        <v>jessie.ra3</v>
      </c>
    </row>
    <row r="7736">
      <c r="A7736" s="8" t="str">
        <f>IFERROR(__xludf.DUMMYFUNCTION("""COMPUTED_VALUE"""),"lovejessiejo")</f>
        <v>lovejessiejo</v>
      </c>
    </row>
    <row r="7737">
      <c r="A7737" s="8" t="str">
        <f>IFERROR(__xludf.DUMMYFUNCTION("""COMPUTED_VALUE"""),"advjessica.ferreira")</f>
        <v>advjessica.ferreira</v>
      </c>
    </row>
    <row r="7738">
      <c r="A7738" s="8" t="str">
        <f>IFERROR(__xludf.DUMMYFUNCTION("""COMPUTED_VALUE"""),"jessica.drren")</f>
        <v>jessica.drren</v>
      </c>
    </row>
    <row r="7739">
      <c r="A7739" s="8" t="str">
        <f>IFERROR(__xludf.DUMMYFUNCTION("""COMPUTED_VALUE"""),"jessica.gomes.c")</f>
        <v>jessica.gomes.c</v>
      </c>
    </row>
    <row r="7740">
      <c r="A7740" s="8" t="str">
        <f>IFERROR(__xludf.DUMMYFUNCTION("""COMPUTED_VALUE"""),"jessicalteague")</f>
        <v>jessicalteague</v>
      </c>
    </row>
    <row r="7741">
      <c r="A7741" s="8" t="str">
        <f>IFERROR(__xludf.DUMMYFUNCTION("""COMPUTED_VALUE"""),"jessicarmaniac")</f>
        <v>jessicarmaniac</v>
      </c>
    </row>
    <row r="7742">
      <c r="A7742" s="8" t="str">
        <f>IFERROR(__xludf.DUMMYFUNCTION("""COMPUTED_VALUE"""),"jillian")</f>
        <v>jillian</v>
      </c>
    </row>
    <row r="7743">
      <c r="A7743" s="8" t="str">
        <f>IFERROR(__xludf.DUMMYFUNCTION("""COMPUTED_VALUE"""),"jilliangoza")</f>
        <v>jilliangoza</v>
      </c>
    </row>
    <row r="7744">
      <c r="A7744" s="8" t="str">
        <f>IFERROR(__xludf.DUMMYFUNCTION("""COMPUTED_VALUE"""),"jillianmichaels")</f>
        <v>jillianmichaels</v>
      </c>
    </row>
    <row r="7745">
      <c r="A7745" s="8" t="str">
        <f>IFERROR(__xludf.DUMMYFUNCTION("""COMPUTED_VALUE"""),"jillianonlove")</f>
        <v>jillianonlove</v>
      </c>
    </row>
    <row r="7746">
      <c r="A7746" s="8" t="str">
        <f>IFERROR(__xludf.DUMMYFUNCTION("""COMPUTED_VALUE"""),"jillianturecki")</f>
        <v>jillianturecki</v>
      </c>
    </row>
    <row r="7747">
      <c r="A7747" s="8" t="str">
        <f>IFERROR(__xludf.DUMMYFUNCTION("""COMPUTED_VALUE"""),"joanna")</f>
        <v>joanna</v>
      </c>
    </row>
    <row r="7748">
      <c r="A7748" s="8" t="str">
        <f>IFERROR(__xludf.DUMMYFUNCTION("""COMPUTED_VALUE"""),"joanna.lumleys")</f>
        <v>joanna.lumleys</v>
      </c>
    </row>
    <row r="7749">
      <c r="A7749" s="8" t="str">
        <f>IFERROR(__xludf.DUMMYFUNCTION("""COMPUTED_VALUE"""),"joannethescammer")</f>
        <v>joannethescammer</v>
      </c>
    </row>
    <row r="7750">
      <c r="A7750" s="8" t="str">
        <f>IFERROR(__xludf.DUMMYFUNCTION("""COMPUTED_VALUE"""),"jopkh26")</f>
        <v>jopkh26</v>
      </c>
    </row>
    <row r="7751">
      <c r="A7751" s="8" t="str">
        <f>IFERROR(__xludf.DUMMYFUNCTION("""COMPUTED_VALUE"""),"jocelyn")</f>
        <v>jocelyn</v>
      </c>
    </row>
    <row r="7752">
      <c r="A7752" s="8" t="str">
        <f>IFERROR(__xludf.DUMMYFUNCTION("""COMPUTED_VALUE"""),"joel")</f>
        <v>joel</v>
      </c>
    </row>
    <row r="7753">
      <c r="A7753" s="8" t="str">
        <f>IFERROR(__xludf.DUMMYFUNCTION("""COMPUTED_VALUE"""),"john")</f>
        <v>john</v>
      </c>
    </row>
    <row r="7754">
      <c r="A7754" s="8" t="str">
        <f>IFERROR(__xludf.DUMMYFUNCTION("""COMPUTED_VALUE"""),"jonathan")</f>
        <v>jonathan</v>
      </c>
    </row>
    <row r="7755">
      <c r="A7755" s="8" t="str">
        <f>IFERROR(__xludf.DUMMYFUNCTION("""COMPUTED_VALUE"""),"jordan3love")</f>
        <v>jordan3love</v>
      </c>
    </row>
    <row r="7756">
      <c r="A7756" s="8" t="str">
        <f>IFERROR(__xludf.DUMMYFUNCTION("""COMPUTED_VALUE"""),"jordanbeckham")</f>
        <v>jordanbeckham</v>
      </c>
    </row>
    <row r="7757">
      <c r="A7757" s="8" t="str">
        <f>IFERROR(__xludf.DUMMYFUNCTION("""COMPUTED_VALUE"""),"jumpman23")</f>
        <v>jumpman23</v>
      </c>
    </row>
    <row r="7758">
      <c r="A7758" s="8" t="str">
        <f>IFERROR(__xludf.DUMMYFUNCTION("""COMPUTED_VALUE"""),"justjordan1")</f>
        <v>justjordan1</v>
      </c>
    </row>
    <row r="7759">
      <c r="A7759" s="8" t="str">
        <f>IFERROR(__xludf.DUMMYFUNCTION("""COMPUTED_VALUE"""),"jose")</f>
        <v>jose</v>
      </c>
    </row>
    <row r="7760">
      <c r="A7760" s="8" t="str">
        <f>IFERROR(__xludf.DUMMYFUNCTION("""COMPUTED_VALUE"""),"joseph")</f>
        <v>joseph</v>
      </c>
    </row>
    <row r="7761">
      <c r="A7761" s="8" t="str">
        <f>IFERROR(__xludf.DUMMYFUNCTION("""COMPUTED_VALUE"""),"josephzada")</f>
        <v>josephzada</v>
      </c>
    </row>
    <row r="7762">
      <c r="A7762" s="8" t="str">
        <f>IFERROR(__xludf.DUMMYFUNCTION("""COMPUTED_VALUE"""),"apostle_joshuaselman")</f>
        <v>apostle_joshuaselman</v>
      </c>
    </row>
    <row r="7763">
      <c r="A7763" s="8" t="str">
        <f>IFERROR(__xludf.DUMMYFUNCTION("""COMPUTED_VALUE"""),"garciajoshuae")</f>
        <v>garciajoshuae</v>
      </c>
    </row>
    <row r="7764">
      <c r="A7764" s="8" t="str">
        <f>IFERROR(__xludf.DUMMYFUNCTION("""COMPUTED_VALUE"""),"joshuatbassett")</f>
        <v>joshuatbassett</v>
      </c>
    </row>
    <row r="7765">
      <c r="A7765" s="8" t="str">
        <f>IFERROR(__xludf.DUMMYFUNCTION("""COMPUTED_VALUE"""),"joyce")</f>
        <v>joyce</v>
      </c>
    </row>
    <row r="7766">
      <c r="A7766" s="8" t="str">
        <f>IFERROR(__xludf.DUMMYFUNCTION("""COMPUTED_VALUE"""),"mrsjoyce17")</f>
        <v>mrsjoyce17</v>
      </c>
    </row>
    <row r="7767">
      <c r="A7767" s="8" t="str">
        <f>IFERROR(__xludf.DUMMYFUNCTION("""COMPUTED_VALUE"""),"juan")</f>
        <v>juan</v>
      </c>
    </row>
    <row r="7768">
      <c r="A7768" s="8" t="str">
        <f>IFERROR(__xludf.DUMMYFUNCTION("""COMPUTED_VALUE"""),"juandelval")</f>
        <v>juandelval</v>
      </c>
    </row>
    <row r="7769">
      <c r="A7769" s="8" t="str">
        <f>IFERROR(__xludf.DUMMYFUNCTION("""COMPUTED_VALUE"""),"juan_wheelies")</f>
        <v>juan_wheelies</v>
      </c>
    </row>
    <row r="7770">
      <c r="A7770" s="8" t="str">
        <f>IFERROR(__xludf.DUMMYFUNCTION("""COMPUTED_VALUE"""),"julia")</f>
        <v>julia</v>
      </c>
    </row>
    <row r="7771">
      <c r="A7771" s="8" t="str">
        <f>IFERROR(__xludf.DUMMYFUNCTION("""COMPUTED_VALUE"""),"julia.walas")</f>
        <v>julia.walas</v>
      </c>
    </row>
    <row r="7772">
      <c r="A7772" s="8" t="str">
        <f>IFERROR(__xludf.DUMMYFUNCTION("""COMPUTED_VALUE"""),"julian")</f>
        <v>julian</v>
      </c>
    </row>
    <row r="7773">
      <c r="A7773" s="8" t="str">
        <f>IFERROR(__xludf.DUMMYFUNCTION("""COMPUTED_VALUE"""),"justin")</f>
        <v>justin</v>
      </c>
    </row>
    <row r="7774">
      <c r="A7774" s="8" t="str">
        <f>IFERROR(__xludf.DUMMYFUNCTION("""COMPUTED_VALUE"""),"justinlaboy")</f>
        <v>justinlaboy</v>
      </c>
    </row>
    <row r="7775">
      <c r="A7775" s="8" t="str">
        <f>IFERROR(__xludf.DUMMYFUNCTION("""COMPUTED_VALUE"""),"lilbieber")</f>
        <v>lilbieber</v>
      </c>
    </row>
    <row r="7776">
      <c r="A7776" s="8" t="str">
        <f>IFERROR(__xludf.DUMMYFUNCTION("""COMPUTED_VALUE"""),"kaitlyn")</f>
        <v>kaitlyn</v>
      </c>
    </row>
    <row r="7777">
      <c r="A7777" s="8" t="str">
        <f>IFERROR(__xludf.DUMMYFUNCTION("""COMPUTED_VALUE"""),"kaitlynkrems")</f>
        <v>kaitlynkrems</v>
      </c>
    </row>
    <row r="7778">
      <c r="A7778" s="8" t="str">
        <f>IFERROR(__xludf.DUMMYFUNCTION("""COMPUTED_VALUE"""),"karen")</f>
        <v>karen</v>
      </c>
    </row>
    <row r="7779">
      <c r="A7779" s="8" t="str">
        <f>IFERROR(__xludf.DUMMYFUNCTION("""COMPUTED_VALUE"""),"xkarentorresx")</f>
        <v>xkarentorresx</v>
      </c>
    </row>
    <row r="7780">
      <c r="A7780" s="8" t="str">
        <f>IFERROR(__xludf.DUMMYFUNCTION("""COMPUTED_VALUE"""),"karionly")</f>
        <v>karionly</v>
      </c>
    </row>
    <row r="7781">
      <c r="A7781" s="8" t="str">
        <f>IFERROR(__xludf.DUMMYFUNCTION("""COMPUTED_VALUE"""),"katarinabluu")</f>
        <v>katarinabluu</v>
      </c>
    </row>
    <row r="7782">
      <c r="A7782" s="8" t="str">
        <f>IFERROR(__xludf.DUMMYFUNCTION("""COMPUTED_VALUE"""),"karlabchir")</f>
        <v>karlabchir</v>
      </c>
    </row>
    <row r="7783">
      <c r="A7783" s="8" t="str">
        <f>IFERROR(__xludf.DUMMYFUNCTION("""COMPUTED_VALUE"""),"karladobarulhoreserva")</f>
        <v>karladobarulhoreserva</v>
      </c>
    </row>
    <row r="7784">
      <c r="A7784" s="8" t="str">
        <f>IFERROR(__xludf.DUMMYFUNCTION("""COMPUTED_VALUE"""),"katherine")</f>
        <v>katherine</v>
      </c>
    </row>
    <row r="7785">
      <c r="A7785" s="11" t="str">
        <f>IFERROR(__xludf.DUMMYFUNCTION("""COMPUTED_VALUE"""),"kathleen.post")</f>
        <v>kathleen.post</v>
      </c>
    </row>
    <row r="7786">
      <c r="A7786" s="8" t="str">
        <f>IFERROR(__xludf.DUMMYFUNCTION("""COMPUTED_VALUE"""),"kathrynelizabethwatts")</f>
        <v>kathrynelizabethwatts</v>
      </c>
    </row>
    <row r="7787">
      <c r="A7787" s="8" t="str">
        <f>IFERROR(__xludf.DUMMYFUNCTION("""COMPUTED_VALUE"""),"kathrynfromars")</f>
        <v>kathrynfromars</v>
      </c>
    </row>
    <row r="7788">
      <c r="A7788" s="8" t="str">
        <f>IFERROR(__xludf.DUMMYFUNCTION("""COMPUTED_VALUE"""),"kayla_shyx")</f>
        <v>kayla_shyx</v>
      </c>
    </row>
    <row r="7789">
      <c r="A7789" s="8" t="str">
        <f>IFERROR(__xludf.DUMMYFUNCTION("""COMPUTED_VALUE"""),"kaylavoid")</f>
        <v>kaylavoid</v>
      </c>
    </row>
    <row r="7790">
      <c r="A7790" s="8" t="str">
        <f>IFERROR(__xludf.DUMMYFUNCTION("""COMPUTED_VALUE"""),"kevin")</f>
        <v>kevin</v>
      </c>
    </row>
    <row r="7791">
      <c r="A7791" s="8" t="str">
        <f>IFERROR(__xludf.DUMMYFUNCTION("""COMPUTED_VALUE"""),"kimberleyanne")</f>
        <v>kimberleyanne</v>
      </c>
    </row>
    <row r="7792">
      <c r="A7792" s="8" t="str">
        <f>IFERROR(__xludf.DUMMYFUNCTION("""COMPUTED_VALUE"""),"kimberleywalshofficial")</f>
        <v>kimberleywalshofficial</v>
      </c>
    </row>
    <row r="7793">
      <c r="A7793" s="8" t="str">
        <f>IFERROR(__xludf.DUMMYFUNCTION("""COMPUTED_VALUE"""),"kimberly")</f>
        <v>kimberly</v>
      </c>
    </row>
    <row r="7794">
      <c r="A7794" s="8" t="str">
        <f>IFERROR(__xludf.DUMMYFUNCTION("""COMPUTED_VALUE"""),"kristenanniebell")</f>
        <v>kristenanniebell</v>
      </c>
    </row>
    <row r="7795">
      <c r="A7795" s="8" t="str">
        <f>IFERROR(__xludf.DUMMYFUNCTION("""COMPUTED_VALUE"""),"kristinadangdut")</f>
        <v>kristinadangdut</v>
      </c>
    </row>
    <row r="7796">
      <c r="A7796" s="8" t="str">
        <f>IFERROR(__xludf.DUMMYFUNCTION("""COMPUTED_VALUE"""),"kristina.manners")</f>
        <v>kristina.manners</v>
      </c>
    </row>
    <row r="7797">
      <c r="A7797" s="8" t="str">
        <f>IFERROR(__xludf.DUMMYFUNCTION("""COMPUTED_VALUE"""),"kyle")</f>
        <v>kyle</v>
      </c>
    </row>
    <row r="7798">
      <c r="A7798" s="8" t="str">
        <f>IFERROR(__xludf.DUMMYFUNCTION("""COMPUTED_VALUE"""),"kyle__kyle__")</f>
        <v>kyle__kyle__</v>
      </c>
    </row>
    <row r="7799">
      <c r="A7799" s="8" t="str">
        <f>IFERROR(__xludf.DUMMYFUNCTION("""COMPUTED_VALUE"""),"lara")</f>
        <v>lara</v>
      </c>
    </row>
    <row r="7800">
      <c r="A7800" s="8" t="str">
        <f>IFERROR(__xludf.DUMMYFUNCTION("""COMPUTED_VALUE"""),"laura")</f>
        <v>laura</v>
      </c>
    </row>
    <row r="7801">
      <c r="A7801" s="8" t="str">
        <f>IFERROR(__xludf.DUMMYFUNCTION("""COMPUTED_VALUE"""),"mrs_lauren_mcd89")</f>
        <v>mrs_lauren_mcd89</v>
      </c>
    </row>
    <row r="7802">
      <c r="A7802" s="8" t="str">
        <f>IFERROR(__xludf.DUMMYFUNCTION("""COMPUTED_VALUE"""),"adesso.laurenzo")</f>
        <v>adesso.laurenzo</v>
      </c>
    </row>
    <row r="7803">
      <c r="A7803" s="8" t="str">
        <f>IFERROR(__xludf.DUMMYFUNCTION("""COMPUTED_VALUE"""),"laurenzoeller")</f>
        <v>laurenzoeller</v>
      </c>
    </row>
    <row r="7804">
      <c r="A7804" s="8" t="str">
        <f>IFERROR(__xludf.DUMMYFUNCTION("""COMPUTED_VALUE"""),"iskra")</f>
        <v>iskra</v>
      </c>
    </row>
    <row r="7805">
      <c r="A7805" s="8" t="str">
        <f>IFERROR(__xludf.DUMMYFUNCTION("""COMPUTED_VALUE"""),"jenniferlawrenceoffical__")</f>
        <v>jenniferlawrenceoffical__</v>
      </c>
    </row>
    <row r="7806">
      <c r="A7806" s="8" t="str">
        <f>IFERROR(__xludf.DUMMYFUNCTION("""COMPUTED_VALUE"""),"lawrence_bobo_official")</f>
        <v>lawrence_bobo_official</v>
      </c>
    </row>
    <row r="7807">
      <c r="A7807" s="8" t="str">
        <f>IFERROR(__xludf.DUMMYFUNCTION("""COMPUTED_VALUE"""),"tlawrence16")</f>
        <v>tlawrence16</v>
      </c>
    </row>
    <row r="7808">
      <c r="A7808" s="8" t="str">
        <f>IFERROR(__xludf.DUMMYFUNCTION("""COMPUTED_VALUE"""),"dr.leahkatz")</f>
        <v>dr.leahkatz</v>
      </c>
    </row>
    <row r="7809">
      <c r="A7809" s="8" t="str">
        <f>IFERROR(__xludf.DUMMYFUNCTION("""COMPUTED_VALUE"""),"leah")</f>
        <v>leah</v>
      </c>
    </row>
    <row r="7810">
      <c r="A7810" s="8" t="str">
        <f>IFERROR(__xludf.DUMMYFUNCTION("""COMPUTED_VALUE"""),"lucidleslie")</f>
        <v>lucidleslie</v>
      </c>
    </row>
    <row r="7811">
      <c r="A7811" s="8" t="str">
        <f>IFERROR(__xludf.DUMMYFUNCTION("""COMPUTED_VALUE"""),"lilianarose726")</f>
        <v>lilianarose726</v>
      </c>
    </row>
    <row r="7812">
      <c r="A7812" s="8" t="str">
        <f>IFERROR(__xludf.DUMMYFUNCTION("""COMPUTED_VALUE"""),"silililibili")</f>
        <v>silililibili</v>
      </c>
    </row>
    <row r="7813">
      <c r="A7813" s="8" t="str">
        <f>IFERROR(__xludf.DUMMYFUNCTION("""COMPUTED_VALUE"""),"imlowgan")</f>
        <v>imlowgan</v>
      </c>
    </row>
    <row r="7814">
      <c r="A7814" s="8" t="str">
        <f>IFERROR(__xludf.DUMMYFUNCTION("""COMPUTED_VALUE"""),"itsloganblake")</f>
        <v>itsloganblake</v>
      </c>
    </row>
    <row r="7815">
      <c r="A7815" s="8" t="str">
        <f>IFERROR(__xludf.DUMMYFUNCTION("""COMPUTED_VALUE"""),"loganbolton")</f>
        <v>loganbolton</v>
      </c>
    </row>
    <row r="7816">
      <c r="A7816" s="8" t="str">
        <f>IFERROR(__xludf.DUMMYFUNCTION("""COMPUTED_VALUE"""),"logan.breeding")</f>
        <v>logan.breeding</v>
      </c>
    </row>
    <row r="7817">
      <c r="A7817" s="8" t="str">
        <f>IFERROR(__xludf.DUMMYFUNCTION("""COMPUTED_VALUE"""),"logan_debrenne_84")</f>
        <v>logan_debrenne_84</v>
      </c>
    </row>
    <row r="7818">
      <c r="A7818" s="8" t="str">
        <f>IFERROR(__xludf.DUMMYFUNCTION("""COMPUTED_VALUE"""),"loganitus24")</f>
        <v>loganitus24</v>
      </c>
    </row>
    <row r="7819">
      <c r="A7819" s="8" t="str">
        <f>IFERROR(__xludf.DUMMYFUNCTION("""COMPUTED_VALUE"""),"loganmigines")</f>
        <v>loganmigines</v>
      </c>
    </row>
    <row r="7820">
      <c r="A7820" s="8" t="str">
        <f>IFERROR(__xludf.DUMMYFUNCTION("""COMPUTED_VALUE"""),"loganpaul")</f>
        <v>loganpaul</v>
      </c>
    </row>
    <row r="7821">
      <c r="A7821" s="8" t="str">
        <f>IFERROR(__xludf.DUMMYFUNCTION("""COMPUTED_VALUE"""),"lorena")</f>
        <v>lorena</v>
      </c>
    </row>
    <row r="7822">
      <c r="A7822" s="8" t="str">
        <f>IFERROR(__xludf.DUMMYFUNCTION("""COMPUTED_VALUE"""),"kelleylorraine_")</f>
        <v>kelleylorraine_</v>
      </c>
    </row>
    <row r="7823">
      <c r="A7823" s="8" t="str">
        <f>IFERROR(__xludf.DUMMYFUNCTION("""COMPUTED_VALUE"""),"lorraine")</f>
        <v>lorraine</v>
      </c>
    </row>
    <row r="7824">
      <c r="A7824" s="8" t="str">
        <f>IFERROR(__xludf.DUMMYFUNCTION("""COMPUTED_VALUE"""),"lorraine_lionheart")</f>
        <v>lorraine_lionheart</v>
      </c>
    </row>
    <row r="7825">
      <c r="A7825" s="8" t="str">
        <f>IFERROR(__xludf.DUMMYFUNCTION("""COMPUTED_VALUE"""),"lucienlorraine")</f>
        <v>lucienlorraine</v>
      </c>
    </row>
    <row r="7826">
      <c r="A7826" s="8" t="str">
        <f>IFERROR(__xludf.DUMMYFUNCTION("""COMPUTED_VALUE"""),"louispartridge_")</f>
        <v>louispartridge_</v>
      </c>
    </row>
    <row r="7827">
      <c r="A7827" s="8" t="str">
        <f>IFERROR(__xludf.DUMMYFUNCTION("""COMPUTED_VALUE"""),"louisvuitton")</f>
        <v>louisvuitton</v>
      </c>
    </row>
    <row r="7828">
      <c r="A7828" s="8" t="str">
        <f>IFERROR(__xludf.DUMMYFUNCTION("""COMPUTED_VALUE"""),"lucas")</f>
        <v>lucas</v>
      </c>
    </row>
    <row r="7829">
      <c r="A7829" s="8" t="str">
        <f>IFERROR(__xludf.DUMMYFUNCTION("""COMPUTED_VALUE"""),"lucas_xx444")</f>
        <v>lucas_xx444</v>
      </c>
    </row>
    <row r="7830">
      <c r="A7830" s="8" t="str">
        <f>IFERROR(__xludf.DUMMYFUNCTION("""COMPUTED_VALUE"""),"lucia")</f>
        <v>lucia</v>
      </c>
    </row>
    <row r="7831">
      <c r="A7831" s="8" t="str">
        <f>IFERROR(__xludf.DUMMYFUNCTION("""COMPUTED_VALUE"""),"detlef_brigitte_now")</f>
        <v>detlef_brigitte_now</v>
      </c>
    </row>
    <row r="7832">
      <c r="A7832" s="8" t="str">
        <f>IFERROR(__xludf.DUMMYFUNCTION("""COMPUTED_VALUE"""),"luis")</f>
        <v>luis</v>
      </c>
    </row>
    <row r="7833">
      <c r="A7833" s="8" t="str">
        <f>IFERROR(__xludf.DUMMYFUNCTION("""COMPUTED_VALUE"""),"luisabnava")</f>
        <v>luisabnava</v>
      </c>
    </row>
    <row r="7834">
      <c r="A7834" s="8" t="str">
        <f>IFERROR(__xludf.DUMMYFUNCTION("""COMPUTED_VALUE"""),"luisana_ldf")</f>
        <v>luisana_ldf</v>
      </c>
    </row>
    <row r="7835">
      <c r="A7835" s="8" t="str">
        <f>IFERROR(__xludf.DUMMYFUNCTION("""COMPUTED_VALUE"""),"luisanalopilato")</f>
        <v>luisanalopilato</v>
      </c>
    </row>
    <row r="7836">
      <c r="A7836" s="8" t="str">
        <f>IFERROR(__xludf.DUMMYFUNCTION("""COMPUTED_VALUE"""),"madisonbeer")</f>
        <v>madisonbeer</v>
      </c>
    </row>
    <row r="7837">
      <c r="A7837" s="8" t="str">
        <f>IFERROR(__xludf.DUMMYFUNCTION("""COMPUTED_VALUE"""),"britneyspears")</f>
        <v>britneyspears</v>
      </c>
    </row>
    <row r="7838">
      <c r="A7838" s="8" t="str">
        <f>IFERROR(__xludf.DUMMYFUNCTION("""COMPUTED_VALUE"""),"mariaapostol")</f>
        <v>mariaapostol</v>
      </c>
    </row>
    <row r="7839">
      <c r="A7839" s="8" t="str">
        <f>IFERROR(__xludf.DUMMYFUNCTION("""COMPUTED_VALUE"""),"mariachurchy")</f>
        <v>mariachurchy</v>
      </c>
    </row>
    <row r="7840">
      <c r="A7840" s="8" t="str">
        <f>IFERROR(__xludf.DUMMYFUNCTION("""COMPUTED_VALUE"""),"maria.maria")</f>
        <v>maria.maria</v>
      </c>
    </row>
    <row r="7841">
      <c r="A7841" s="8" t="str">
        <f>IFERROR(__xludf.DUMMYFUNCTION("""COMPUTED_VALUE"""),"mariapedraza_")</f>
        <v>mariapedraza_</v>
      </c>
    </row>
    <row r="7842">
      <c r="A7842" s="8" t="str">
        <f>IFERROR(__xludf.DUMMYFUNCTION("""COMPUTED_VALUE"""),"mariavigheciu")</f>
        <v>mariavigheciu</v>
      </c>
    </row>
    <row r="7843">
      <c r="A7843" s="8" t="str">
        <f>IFERROR(__xludf.DUMMYFUNCTION("""COMPUTED_VALUE"""),"markellyoliveiraa")</f>
        <v>markellyoliveiraa</v>
      </c>
    </row>
    <row r="7844">
      <c r="A7844" s="8" t="str">
        <f>IFERROR(__xludf.DUMMYFUNCTION("""COMPUTED_VALUE"""),"onyourm__ark")</f>
        <v>onyourm__ark</v>
      </c>
    </row>
    <row r="7845">
      <c r="A7845" s="8" t="str">
        <f>IFERROR(__xludf.DUMMYFUNCTION("""COMPUTED_VALUE"""),"zuck")</f>
        <v>zuck</v>
      </c>
    </row>
    <row r="7846">
      <c r="A7846" s="8" t="str">
        <f>IFERROR(__xludf.DUMMYFUNCTION("""COMPUTED_VALUE"""),"martin")</f>
        <v>martin</v>
      </c>
    </row>
    <row r="7847">
      <c r="A7847" s="8" t="str">
        <f>IFERROR(__xludf.DUMMYFUNCTION("""COMPUTED_VALUE"""),"martine_rose")</f>
        <v>martine_rose</v>
      </c>
    </row>
    <row r="7848">
      <c r="A7848" s="8" t="str">
        <f>IFERROR(__xludf.DUMMYFUNCTION("""COMPUTED_VALUE"""),"matt__czuchry")</f>
        <v>matt__czuchry</v>
      </c>
    </row>
    <row r="7849">
      <c r="A7849" s="8" t="str">
        <f>IFERROR(__xludf.DUMMYFUNCTION("""COMPUTED_VALUE"""),"matthew")</f>
        <v>matthew</v>
      </c>
    </row>
    <row r="7850">
      <c r="A7850" s="8" t="str">
        <f>IFERROR(__xludf.DUMMYFUNCTION("""COMPUTED_VALUE"""),"brandonmaxwell")</f>
        <v>brandonmaxwell</v>
      </c>
    </row>
    <row r="7851">
      <c r="A7851" s="8" t="str">
        <f>IFERROR(__xludf.DUMMYFUNCTION("""COMPUTED_VALUE"""),"maxwell")</f>
        <v>maxwell</v>
      </c>
    </row>
    <row r="7852">
      <c r="A7852" s="8" t="str">
        <f>IFERROR(__xludf.DUMMYFUNCTION("""COMPUTED_VALUE"""),"maxwell187erz")</f>
        <v>maxwell187erz</v>
      </c>
    </row>
    <row r="7853">
      <c r="A7853" s="8" t="str">
        <f>IFERROR(__xludf.DUMMYFUNCTION("""COMPUTED_VALUE"""),"maxwell__alexandre")</f>
        <v>maxwell__alexandre</v>
      </c>
    </row>
    <row r="7854">
      <c r="A7854" s="8" t="str">
        <f>IFERROR(__xludf.DUMMYFUNCTION("""COMPUTED_VALUE"""),"meganfox")</f>
        <v>meganfox</v>
      </c>
    </row>
    <row r="7855">
      <c r="A7855" s="8" t="str">
        <f>IFERROR(__xludf.DUMMYFUNCTION("""COMPUTED_VALUE"""),"theestallion")</f>
        <v>theestallion</v>
      </c>
    </row>
    <row r="7856">
      <c r="A7856" s="8" t="str">
        <f>IFERROR(__xludf.DUMMYFUNCTION("""COMPUTED_VALUE"""),"melissa")</f>
        <v>melissa</v>
      </c>
    </row>
    <row r="7857">
      <c r="A7857" s="8" t="str">
        <f>IFERROR(__xludf.DUMMYFUNCTION("""COMPUTED_VALUE"""),"evecur")</f>
        <v>evecur</v>
      </c>
    </row>
    <row r="7858">
      <c r="A7858" s="8" t="str">
        <f>IFERROR(__xludf.DUMMYFUNCTION("""COMPUTED_VALUE"""),"michael")</f>
        <v>michael</v>
      </c>
    </row>
    <row r="7859">
      <c r="A7859" s="8" t="str">
        <f>IFERROR(__xludf.DUMMYFUNCTION("""COMPUTED_VALUE"""),"michaeljackson")</f>
        <v>michaeljackson</v>
      </c>
    </row>
    <row r="7860">
      <c r="A7860" s="8" t="str">
        <f>IFERROR(__xludf.DUMMYFUNCTION("""COMPUTED_VALUE"""),"michaelkors")</f>
        <v>michaelkors</v>
      </c>
    </row>
    <row r="7861">
      <c r="A7861" s="8" t="str">
        <f>IFERROR(__xludf.DUMMYFUNCTION("""COMPUTED_VALUE"""),"michael_van_bemmel_official")</f>
        <v>michael_van_bemmel_official</v>
      </c>
    </row>
    <row r="7862">
      <c r="A7862" s="8" t="str">
        <f>IFERROR(__xludf.DUMMYFUNCTION("""COMPUTED_VALUE"""),"mike.tantillo")</f>
        <v>mike.tantillo</v>
      </c>
    </row>
    <row r="7863">
      <c r="A7863" s="8" t="str">
        <f>IFERROR(__xludf.DUMMYFUNCTION("""COMPUTED_VALUE"""),"mbrown_beauty")</f>
        <v>mbrown_beauty</v>
      </c>
    </row>
    <row r="7864">
      <c r="A7864" s="8" t="str">
        <f>IFERROR(__xludf.DUMMYFUNCTION("""COMPUTED_VALUE"""),"michaelcostello")</f>
        <v>michaelcostello</v>
      </c>
    </row>
    <row r="7865">
      <c r="A7865" s="8" t="str">
        <f>IFERROR(__xludf.DUMMYFUNCTION("""COMPUTED_VALUE"""),"michelangelo.vizzini")</f>
        <v>michelangelo.vizzini</v>
      </c>
    </row>
    <row r="7866">
      <c r="A7866" s="8" t="str">
        <f>IFERROR(__xludf.DUMMYFUNCTION("""COMPUTED_VALUE"""),"michelle")</f>
        <v>michelle</v>
      </c>
    </row>
    <row r="7867">
      <c r="A7867" s="8" t="str">
        <f>IFERROR(__xludf.DUMMYFUNCTION("""COMPUTED_VALUE"""),"michelleclarkmakeup")</f>
        <v>michelleclarkmakeup</v>
      </c>
    </row>
    <row r="7868">
      <c r="A7868" s="8" t="str">
        <f>IFERROR(__xludf.DUMMYFUNCTION("""COMPUTED_VALUE"""),"michelleobama")</f>
        <v>michelleobama</v>
      </c>
    </row>
    <row r="7869">
      <c r="A7869" s="8" t="str">
        <f>IFERROR(__xludf.DUMMYFUNCTION("""COMPUTED_VALUE"""),"michellephan")</f>
        <v>michellephan</v>
      </c>
    </row>
    <row r="7870">
      <c r="A7870" s="8" t="str">
        <f>IFERROR(__xludf.DUMMYFUNCTION("""COMPUTED_VALUE"""),"michellesnyder")</f>
        <v>michellesnyder</v>
      </c>
    </row>
    <row r="7871">
      <c r="A7871" s="8" t="str">
        <f>IFERROR(__xludf.DUMMYFUNCTION("""COMPUTED_VALUE"""),"miguel")</f>
        <v>miguel</v>
      </c>
    </row>
    <row r="7872">
      <c r="A7872" s="8" t="str">
        <f>IFERROR(__xludf.DUMMYFUNCTION("""COMPUTED_VALUE"""),"miguel_harichi")</f>
        <v>miguel_harichi</v>
      </c>
    </row>
    <row r="7873">
      <c r="A7873" s="8" t="str">
        <f>IFERROR(__xludf.DUMMYFUNCTION("""COMPUTED_VALUE"""),"drew_mitchell7")</f>
        <v>drew_mitchell7</v>
      </c>
    </row>
    <row r="7874">
      <c r="A7874" s="8" t="str">
        <f>IFERROR(__xludf.DUMMYFUNCTION("""COMPUTED_VALUE"""),"mitchell")</f>
        <v>mitchell</v>
      </c>
    </row>
    <row r="7875">
      <c r="A7875" s="8" t="str">
        <f>IFERROR(__xludf.DUMMYFUNCTION("""COMPUTED_VALUE"""),"mitchellhope")</f>
        <v>mitchellhope</v>
      </c>
    </row>
    <row r="7876">
      <c r="A7876" s="8" t="str">
        <f>IFERROR(__xludf.DUMMYFUNCTION("""COMPUTED_VALUE"""),"mitchell.properti")</f>
        <v>mitchell.properti</v>
      </c>
    </row>
    <row r="7877">
      <c r="A7877" s="8" t="str">
        <f>IFERROR(__xludf.DUMMYFUNCTION("""COMPUTED_VALUE"""),"shaymitchell")</f>
        <v>shaymitchell</v>
      </c>
    </row>
    <row r="7878">
      <c r="A7878" s="8" t="str">
        <f>IFERROR(__xludf.DUMMYFUNCTION("""COMPUTED_VALUE"""),"monca")</f>
        <v>monca</v>
      </c>
    </row>
    <row r="7879">
      <c r="A7879" s="8" t="str">
        <f>IFERROR(__xludf.DUMMYFUNCTION("""COMPUTED_VALUE"""),"morganjay")</f>
        <v>morganjay</v>
      </c>
    </row>
    <row r="7880">
      <c r="A7880" s="8" t="str">
        <f>IFERROR(__xludf.DUMMYFUNCTION("""COMPUTED_VALUE"""),"morganwallen")</f>
        <v>morganwallen</v>
      </c>
    </row>
    <row r="7881">
      <c r="A7881" s="8" t="str">
        <f>IFERROR(__xludf.DUMMYFUNCTION("""COMPUTED_VALUE"""),"natalie")</f>
        <v>natalie</v>
      </c>
    </row>
    <row r="7882">
      <c r="A7882" s="8" t="str">
        <f>IFERROR(__xludf.DUMMYFUNCTION("""COMPUTED_VALUE"""),"nathan")</f>
        <v>nathan</v>
      </c>
    </row>
    <row r="7883">
      <c r="A7883" s="8" t="str">
        <f>IFERROR(__xludf.DUMMYFUNCTION("""COMPUTED_VALUE"""),"nicholasalexanderchavez")</f>
        <v>nicholasalexanderchavez</v>
      </c>
    </row>
    <row r="7884">
      <c r="A7884" s="8" t="str">
        <f>IFERROR(__xludf.DUMMYFUNCTION("""COMPUTED_VALUE"""),"nicholasgalitzine")</f>
        <v>nicholasgalitzine</v>
      </c>
    </row>
    <row r="7885">
      <c r="A7885" s="8" t="str">
        <f>IFERROR(__xludf.DUMMYFUNCTION("""COMPUTED_VALUE"""),"nicki.nicole")</f>
        <v>nicki.nicole</v>
      </c>
    </row>
    <row r="7886">
      <c r="A7886" s="8" t="str">
        <f>IFERROR(__xludf.DUMMYFUNCTION("""COMPUTED_VALUE"""),"nicole")</f>
        <v>nicole</v>
      </c>
    </row>
    <row r="7887">
      <c r="A7887" s="8" t="str">
        <f>IFERROR(__xludf.DUMMYFUNCTION("""COMPUTED_VALUE"""),"ncentineo")</f>
        <v>ncentineo</v>
      </c>
    </row>
    <row r="7888">
      <c r="A7888" s="8" t="str">
        <f>IFERROR(__xludf.DUMMYFUNCTION("""COMPUTED_VALUE"""),"noahdouchy_")</f>
        <v>noahdouchy_</v>
      </c>
    </row>
    <row r="7889">
      <c r="A7889" s="8" t="str">
        <f>IFERROR(__xludf.DUMMYFUNCTION("""COMPUTED_VALUE"""),"noah_risling")</f>
        <v>noah_risling</v>
      </c>
    </row>
    <row r="7890">
      <c r="A7890" s="8" t="str">
        <f>IFERROR(__xludf.DUMMYFUNCTION("""COMPUTED_VALUE"""),"noahschnapp")</f>
        <v>noahschnapp</v>
      </c>
    </row>
    <row r="7891">
      <c r="A7891" s="8" t="str">
        <f>IFERROR(__xludf.DUMMYFUNCTION("""COMPUTED_VALUE"""),"noah_site")</f>
        <v>noah_site</v>
      </c>
    </row>
    <row r="7892">
      <c r="A7892" s="8" t="str">
        <f>IFERROR(__xludf.DUMMYFUNCTION("""COMPUTED_VALUE"""),"olivia")</f>
        <v>olivia</v>
      </c>
    </row>
    <row r="7893">
      <c r="A7893" s="8" t="str">
        <f>IFERROR(__xludf.DUMMYFUNCTION("""COMPUTED_VALUE"""),"oliviaedit")</f>
        <v>oliviaedit</v>
      </c>
    </row>
    <row r="7894">
      <c r="A7894" s="8" t="str">
        <f>IFERROR(__xludf.DUMMYFUNCTION("""COMPUTED_VALUE"""),"oliviarodrigo")</f>
        <v>oliviarodrigo</v>
      </c>
    </row>
    <row r="7895">
      <c r="A7895" s="8" t="str">
        <f>IFERROR(__xludf.DUMMYFUNCTION("""COMPUTED_VALUE"""),"oliviiaabab")</f>
        <v>oliviiaabab</v>
      </c>
    </row>
    <row r="7896">
      <c r="A7896" s="8" t="str">
        <f>IFERROR(__xludf.DUMMYFUNCTION("""COMPUTED_VALUE"""),"omar")</f>
        <v>omar</v>
      </c>
    </row>
    <row r="7897">
      <c r="A7897" s="8" t="str">
        <f>IFERROR(__xludf.DUMMYFUNCTION("""COMPUTED_VALUE"""),"oscar")</f>
        <v>oscar</v>
      </c>
    </row>
    <row r="7898">
      <c r="A7898" s="8" t="str">
        <f>IFERROR(__xludf.DUMMYFUNCTION("""COMPUTED_VALUE"""),"owen.han")</f>
        <v>owen.han</v>
      </c>
    </row>
    <row r="7899">
      <c r="A7899" s="8" t="str">
        <f>IFERROR(__xludf.DUMMYFUNCTION("""COMPUTED_VALUE"""),"paige")</f>
        <v>paige</v>
      </c>
    </row>
    <row r="7900">
      <c r="A7900" s="8" t="str">
        <f>IFERROR(__xludf.DUMMYFUNCTION("""COMPUTED_VALUE"""),"paigetaylor.s")</f>
        <v>paigetaylor.s</v>
      </c>
    </row>
    <row r="7901">
      <c r="A7901" s="8" t="str">
        <f>IFERROR(__xludf.DUMMYFUNCTION("""COMPUTED_VALUE"""),"patrickbatman111")</f>
        <v>patrickbatman111</v>
      </c>
    </row>
    <row r="7902">
      <c r="A7902" s="8" t="str">
        <f>IFERROR(__xludf.DUMMYFUNCTION("""COMPUTED_VALUE"""),"patrickta")</f>
        <v>patrickta</v>
      </c>
    </row>
    <row r="7903">
      <c r="A7903" s="8" t="str">
        <f>IFERROR(__xludf.DUMMYFUNCTION("""COMPUTED_VALUE"""),"peterdinklage")</f>
        <v>peterdinklage</v>
      </c>
    </row>
    <row r="7904">
      <c r="A7904" s="8" t="str">
        <f>IFERROR(__xludf.DUMMYFUNCTION("""COMPUTED_VALUE"""),"peter.griffin.__")</f>
        <v>peter.griffin.__</v>
      </c>
    </row>
    <row r="7905">
      <c r="A7905" s="8" t="str">
        <f>IFERROR(__xludf.DUMMYFUNCTION("""COMPUTED_VALUE"""),"peternguyen")</f>
        <v>peternguyen</v>
      </c>
    </row>
    <row r="7906">
      <c r="A7906" s="8" t="str">
        <f>IFERROR(__xludf.DUMMYFUNCTION("""COMPUTED_VALUE"""),"tushmaxinh")</f>
        <v>tushmaxinh</v>
      </c>
    </row>
    <row r="7907">
      <c r="A7907" s="8" t="str">
        <f>IFERROR(__xludf.DUMMYFUNCTION("""COMPUTED_VALUE"""),"utzpeter")</f>
        <v>utzpeter</v>
      </c>
    </row>
    <row r="7908">
      <c r="A7908" s="8" t="str">
        <f>IFERROR(__xludf.DUMMYFUNCTION("""COMPUTED_VALUE"""),"abbydphillip")</f>
        <v>abbydphillip</v>
      </c>
    </row>
    <row r="7909">
      <c r="A7909" s="8" t="str">
        <f>IFERROR(__xludf.DUMMYFUNCTION("""COMPUTED_VALUE"""),"phillipesimoes")</f>
        <v>phillipesimoes</v>
      </c>
    </row>
    <row r="7910">
      <c r="A7910" s="8" t="str">
        <f>IFERROR(__xludf.DUMMYFUNCTION("""COMPUTED_VALUE"""),"rachel")</f>
        <v>rachel</v>
      </c>
    </row>
    <row r="7911">
      <c r="A7911" s="8" t="str">
        <f>IFERROR(__xludf.DUMMYFUNCTION("""COMPUTED_VALUE"""),"mrshhayward")</f>
        <v>mrshhayward</v>
      </c>
    </row>
    <row r="7912">
      <c r="A7912" s="8" t="str">
        <f>IFERROR(__xludf.DUMMYFUNCTION("""COMPUTED_VALUE"""),"raym0nd__")</f>
        <v>raym0nd__</v>
      </c>
    </row>
    <row r="7913">
      <c r="A7913" s="8" t="str">
        <f>IFERROR(__xludf.DUMMYFUNCTION("""COMPUTED_VALUE"""),"raymond")</f>
        <v>raymond</v>
      </c>
    </row>
    <row r="7914">
      <c r="A7914" s="8" t="str">
        <f>IFERROR(__xludf.DUMMYFUNCTION("""COMPUTED_VALUE"""),"rymndla")</f>
        <v>rymndla</v>
      </c>
    </row>
    <row r="7915">
      <c r="A7915" s="11" t="str">
        <f>IFERROR(__xludf.DUMMYFUNCTION("""COMPUTED_VALUE"""),"trulyenamoured.id")</f>
        <v>trulyenamoured.id</v>
      </c>
    </row>
    <row r="7916">
      <c r="A7916" s="8" t="str">
        <f>IFERROR(__xludf.DUMMYFUNCTION("""COMPUTED_VALUE"""),"beccaxbloom")</f>
        <v>beccaxbloom</v>
      </c>
    </row>
    <row r="7917">
      <c r="A7917" s="8" t="str">
        <f>IFERROR(__xludf.DUMMYFUNCTION("""COMPUTED_VALUE"""),"rebecca")</f>
        <v>rebecca</v>
      </c>
    </row>
    <row r="7918">
      <c r="A7918" s="8" t="str">
        <f>IFERROR(__xludf.DUMMYFUNCTION("""COMPUTED_VALUE"""),"rebecca_ferguson")</f>
        <v>rebecca_ferguson</v>
      </c>
    </row>
    <row r="7919">
      <c r="A7919" s="8" t="str">
        <f>IFERROR(__xludf.DUMMYFUNCTION("""COMPUTED_VALUE"""),"ricardinh_10")</f>
        <v>ricardinh_10</v>
      </c>
    </row>
    <row r="7920">
      <c r="A7920" s="8" t="str">
        <f>IFERROR(__xludf.DUMMYFUNCTION("""COMPUTED_VALUE"""),"ricardo")</f>
        <v>ricardo</v>
      </c>
    </row>
    <row r="7921">
      <c r="A7921" s="8" t="str">
        <f>IFERROR(__xludf.DUMMYFUNCTION("""COMPUTED_VALUE"""),"ricardolmao_")</f>
        <v>ricardolmao_</v>
      </c>
    </row>
    <row r="7922">
      <c r="A7922" s="8" t="str">
        <f>IFERROR(__xludf.DUMMYFUNCTION("""COMPUTED_VALUE"""),"robert")</f>
        <v>robert</v>
      </c>
    </row>
    <row r="7923">
      <c r="A7923" s="8" t="str">
        <f>IFERROR(__xludf.DUMMYFUNCTION("""COMPUTED_VALUE"""),"robertdowneyjr")</f>
        <v>robertdowneyjr</v>
      </c>
    </row>
    <row r="7924">
      <c r="A7924" s="8" t="str">
        <f>IFERROR(__xludf.DUMMYFUNCTION("""COMPUTED_VALUE"""),"myrwu")</f>
        <v>myrwu</v>
      </c>
    </row>
    <row r="7925">
      <c r="A7925" s="8" t="str">
        <f>IFERROR(__xludf.DUMMYFUNCTION("""COMPUTED_VALUE"""),"roger")</f>
        <v>roger</v>
      </c>
    </row>
    <row r="7926">
      <c r="A7926" s="8" t="str">
        <f>IFERROR(__xludf.DUMMYFUNCTION("""COMPUTED_VALUE"""),"rogerfederer")</f>
        <v>rogerfederer</v>
      </c>
    </row>
    <row r="7927">
      <c r="A7927" s="8" t="str">
        <f>IFERROR(__xludf.DUMMYFUNCTION("""COMPUTED_VALUE"""),"rogerwaters")</f>
        <v>rogerwaters</v>
      </c>
    </row>
    <row r="7928">
      <c r="A7928" s="8" t="str">
        <f>IFERROR(__xludf.DUMMYFUNCTION("""COMPUTED_VALUE"""),"cristiano")</f>
        <v>cristiano</v>
      </c>
    </row>
    <row r="7929">
      <c r="A7929" s="8" t="str">
        <f>IFERROR(__xludf.DUMMYFUNCTION("""COMPUTED_VALUE"""),"crushthedefence")</f>
        <v>crushthedefence</v>
      </c>
    </row>
    <row r="7930">
      <c r="A7930" s="8" t="str">
        <f>IFERROR(__xludf.DUMMYFUNCTION("""COMPUTED_VALUE"""),"k.ronaldo2016")</f>
        <v>k.ronaldo2016</v>
      </c>
    </row>
    <row r="7931">
      <c r="A7931" s="8" t="str">
        <f>IFERROR(__xludf.DUMMYFUNCTION("""COMPUTED_VALUE"""),"ronald")</f>
        <v>ronald</v>
      </c>
    </row>
    <row r="7932">
      <c r="A7932" s="8" t="str">
        <f>IFERROR(__xludf.DUMMYFUNCTION("""COMPUTED_VALUE"""),"ronald_benson_")</f>
        <v>ronald_benson_</v>
      </c>
    </row>
    <row r="7933">
      <c r="A7933" s="8" t="str">
        <f>IFERROR(__xludf.DUMMYFUNCTION("""COMPUTED_VALUE"""),"ronaldinho")</f>
        <v>ronaldinho</v>
      </c>
    </row>
    <row r="7934">
      <c r="A7934" s="8" t="str">
        <f>IFERROR(__xludf.DUMMYFUNCTION("""COMPUTED_VALUE"""),"ronaldo")</f>
        <v>ronaldo</v>
      </c>
    </row>
    <row r="7935">
      <c r="A7935" s="8" t="str">
        <f>IFERROR(__xludf.DUMMYFUNCTION("""COMPUTED_VALUE"""),"ronaldokwateh7")</f>
        <v>ronaldokwateh7</v>
      </c>
    </row>
    <row r="7936">
      <c r="A7936" s="8" t="str">
        <f>IFERROR(__xludf.DUMMYFUNCTION("""COMPUTED_VALUE"""),"ronald_soethje")</f>
        <v>ronald_soethje</v>
      </c>
    </row>
    <row r="7937">
      <c r="A7937" s="8" t="str">
        <f>IFERROR(__xludf.DUMMYFUNCTION("""COMPUTED_VALUE"""),"timothyronaldd")</f>
        <v>timothyronaldd</v>
      </c>
    </row>
    <row r="7938">
      <c r="A7938" s="8" t="str">
        <f>IFERROR(__xludf.DUMMYFUNCTION("""COMPUTED_VALUE"""),"allyrusselll")</f>
        <v>allyrusselll</v>
      </c>
    </row>
    <row r="7939">
      <c r="A7939" s="8" t="str">
        <f>IFERROR(__xludf.DUMMYFUNCTION("""COMPUTED_VALUE"""),"larussell")</f>
        <v>larussell</v>
      </c>
    </row>
    <row r="7940">
      <c r="A7940" s="8" t="str">
        <f>IFERROR(__xludf.DUMMYFUNCTION("""COMPUTED_VALUE"""),"louis_russell")</f>
        <v>louis_russell</v>
      </c>
    </row>
    <row r="7941">
      <c r="A7941" s="8" t="str">
        <f>IFERROR(__xludf.DUMMYFUNCTION("""COMPUTED_VALUE"""),"russellbrand")</f>
        <v>russellbrand</v>
      </c>
    </row>
    <row r="7942">
      <c r="A7942" s="8" t="str">
        <f>IFERROR(__xludf.DUMMYFUNCTION("""COMPUTED_VALUE"""),"ry66n")</f>
        <v>ry66n</v>
      </c>
    </row>
    <row r="7943">
      <c r="A7943" s="8" t="str">
        <f>IFERROR(__xludf.DUMMYFUNCTION("""COMPUTED_VALUE"""),"ryan")</f>
        <v>ryan</v>
      </c>
    </row>
    <row r="7944">
      <c r="A7944" s="8" t="str">
        <f>IFERROR(__xludf.DUMMYFUNCTION("""COMPUTED_VALUE"""),"ryanlhp")</f>
        <v>ryanlhp</v>
      </c>
    </row>
    <row r="7945">
      <c r="A7945" s="8" t="str">
        <f>IFERROR(__xludf.DUMMYFUNCTION("""COMPUTED_VALUE"""),"ryanpark_jy")</f>
        <v>ryanpark_jy</v>
      </c>
    </row>
    <row r="7946">
      <c r="A7946" s="8" t="str">
        <f>IFERROR(__xludf.DUMMYFUNCTION("""COMPUTED_VALUE"""),"samantha")</f>
        <v>samantha</v>
      </c>
    </row>
    <row r="7947">
      <c r="A7947" s="8" t="str">
        <f>IFERROR(__xludf.DUMMYFUNCTION("""COMPUTED_VALUE"""),"samanthatyf")</f>
        <v>samanthatyf</v>
      </c>
    </row>
    <row r="7948">
      <c r="A7948" s="8" t="str">
        <f>IFERROR(__xludf.DUMMYFUNCTION("""COMPUTED_VALUE"""),"samuel")</f>
        <v>samuel</v>
      </c>
    </row>
    <row r="7949">
      <c r="A7949" s="8" t="str">
        <f>IFERROR(__xludf.DUMMYFUNCTION("""COMPUTED_VALUE"""),"sarah")</f>
        <v>sarah</v>
      </c>
    </row>
    <row r="7950">
      <c r="A7950" s="8" t="str">
        <f>IFERROR(__xludf.DUMMYFUNCTION("""COMPUTED_VALUE"""),"sarxh.lim")</f>
        <v>sarxh.lim</v>
      </c>
    </row>
    <row r="7951">
      <c r="A7951" s="8" t="str">
        <f>IFERROR(__xludf.DUMMYFUNCTION("""COMPUTED_VALUE"""),"dudewithsign")</f>
        <v>dudewithsign</v>
      </c>
    </row>
    <row r="7952">
      <c r="A7952" s="8" t="str">
        <f>IFERROR(__xludf.DUMMYFUNCTION("""COMPUTED_VALUE"""),"latenightseth")</f>
        <v>latenightseth</v>
      </c>
    </row>
    <row r="7953">
      <c r="A7953" s="8" t="str">
        <f>IFERROR(__xludf.DUMMYFUNCTION("""COMPUTED_VALUE"""),"sethrogen")</f>
        <v>sethrogen</v>
      </c>
    </row>
    <row r="7954">
      <c r="A7954" s="8" t="str">
        <f>IFERROR(__xludf.DUMMYFUNCTION("""COMPUTED_VALUE"""),"shannbailee")</f>
        <v>shannbailee</v>
      </c>
    </row>
    <row r="7955">
      <c r="A7955" s="8" t="str">
        <f>IFERROR(__xludf.DUMMYFUNCTION("""COMPUTED_VALUE"""),"shawn")</f>
        <v>shawn</v>
      </c>
    </row>
    <row r="7956">
      <c r="A7956" s="8" t="str">
        <f>IFERROR(__xludf.DUMMYFUNCTION("""COMPUTED_VALUE"""),"shawnmendes")</f>
        <v>shawnmendes</v>
      </c>
    </row>
    <row r="7957">
      <c r="A7957" s="8" t="str">
        <f>IFERROR(__xludf.DUMMYFUNCTION("""COMPUTED_VALUE"""),"shawntyaaaaa")</f>
        <v>shawntyaaaaa</v>
      </c>
    </row>
    <row r="7958">
      <c r="A7958" s="8" t="str">
        <f>IFERROR(__xludf.DUMMYFUNCTION("""COMPUTED_VALUE"""),"sierra")</f>
        <v>sierra</v>
      </c>
    </row>
    <row r="7959">
      <c r="A7959" s="8" t="str">
        <f>IFERROR(__xludf.DUMMYFUNCTION("""COMPUTED_VALUE"""),"sierraaaskyee")</f>
        <v>sierraaaskyee</v>
      </c>
    </row>
    <row r="7960">
      <c r="A7960" s="8" t="str">
        <f>IFERROR(__xludf.DUMMYFUNCTION("""COMPUTED_VALUE"""),"sierradeaton")</f>
        <v>sierradeaton</v>
      </c>
    </row>
    <row r="7961">
      <c r="A7961" s="8" t="str">
        <f>IFERROR(__xludf.DUMMYFUNCTION("""COMPUTED_VALUE"""),"sierraxraiin")</f>
        <v>sierraxraiin</v>
      </c>
    </row>
    <row r="7962">
      <c r="A7962" s="8" t="str">
        <f>IFERROR(__xludf.DUMMYFUNCTION("""COMPUTED_VALUE"""),"sophia")</f>
        <v>sophia</v>
      </c>
    </row>
    <row r="7963">
      <c r="A7963" s="8" t="str">
        <f>IFERROR(__xludf.DUMMYFUNCTION("""COMPUTED_VALUE"""),"stacykeibler")</f>
        <v>stacykeibler</v>
      </c>
    </row>
    <row r="7964">
      <c r="A7964" s="8" t="str">
        <f>IFERROR(__xludf.DUMMYFUNCTION("""COMPUTED_VALUE"""),"yourcurvystacy")</f>
        <v>yourcurvystacy</v>
      </c>
    </row>
    <row r="7965">
      <c r="A7965" s="8" t="str">
        <f>IFERROR(__xludf.DUMMYFUNCTION("""COMPUTED_VALUE"""),"stephanie")</f>
        <v>stephanie</v>
      </c>
    </row>
    <row r="7966">
      <c r="A7966" s="8" t="str">
        <f>IFERROR(__xludf.DUMMYFUNCTION("""COMPUTED_VALUE"""),"stephaniegilmore")</f>
        <v>stephaniegilmore</v>
      </c>
    </row>
    <row r="7967">
      <c r="A7967" s="8" t="str">
        <f>IFERROR(__xludf.DUMMYFUNCTION("""COMPUTED_VALUE"""),"stephifashion")</f>
        <v>stephifashion</v>
      </c>
    </row>
    <row r="7968">
      <c r="A7968" s="8" t="str">
        <f>IFERROR(__xludf.DUMMYFUNCTION("""COMPUTED_VALUE"""),"steven")</f>
        <v>steven</v>
      </c>
    </row>
    <row r="7969">
      <c r="A7969" s="8" t="str">
        <f>IFERROR(__xludf.DUMMYFUNCTION("""COMPUTED_VALUE"""),"sydney")</f>
        <v>sydney</v>
      </c>
    </row>
    <row r="7970">
      <c r="A7970" s="8" t="str">
        <f>IFERROR(__xludf.DUMMYFUNCTION("""COMPUTED_VALUE"""),"sydney_sweeney")</f>
        <v>sydney_sweeney</v>
      </c>
    </row>
    <row r="7971">
      <c r="A7971" s="8" t="str">
        <f>IFERROR(__xludf.DUMMYFUNCTION("""COMPUTED_VALUE"""),"taylor")</f>
        <v>taylor</v>
      </c>
    </row>
    <row r="7972">
      <c r="A7972" s="8" t="str">
        <f>IFERROR(__xludf.DUMMYFUNCTION("""COMPUTED_VALUE"""),"taylor.dees")</f>
        <v>taylor.dees</v>
      </c>
    </row>
    <row r="7973">
      <c r="A7973" s="8" t="str">
        <f>IFERROR(__xludf.DUMMYFUNCTION("""COMPUTED_VALUE"""),"taylorswift")</f>
        <v>taylorswift</v>
      </c>
    </row>
    <row r="7974">
      <c r="A7974" s="8" t="str">
        <f>IFERROR(__xludf.DUMMYFUNCTION("""COMPUTED_VALUE"""),"taylorxpeach")</f>
        <v>taylorxpeach</v>
      </c>
    </row>
    <row r="7975">
      <c r="A7975" s="8" t="str">
        <f>IFERROR(__xludf.DUMMYFUNCTION("""COMPUTED_VALUE"""),"teresa")</f>
        <v>teresa</v>
      </c>
    </row>
    <row r="7976">
      <c r="A7976" s="8" t="str">
        <f>IFERROR(__xludf.DUMMYFUNCTION("""COMPUTED_VALUE"""),"teresagiudice")</f>
        <v>teresagiudice</v>
      </c>
    </row>
    <row r="7977">
      <c r="A7977" s="8" t="str">
        <f>IFERROR(__xludf.DUMMYFUNCTION("""COMPUTED_VALUE"""),"thomas")</f>
        <v>thomas</v>
      </c>
    </row>
    <row r="7978">
      <c r="A7978" s="8" t="str">
        <f>IFERROR(__xludf.DUMMYFUNCTION("""COMPUTED_VALUE"""),"thomasisntreal")</f>
        <v>thomasisntreal</v>
      </c>
    </row>
    <row r="7979">
      <c r="A7979" s="8" t="str">
        <f>IFERROR(__xludf.DUMMYFUNCTION("""COMPUTED_VALUE"""),"tiffany")</f>
        <v>tiffany</v>
      </c>
    </row>
    <row r="7980">
      <c r="A7980" s="8" t="str">
        <f>IFERROR(__xludf.DUMMYFUNCTION("""COMPUTED_VALUE"""),"tiffanyandco")</f>
        <v>tiffanyandco</v>
      </c>
    </row>
    <row r="7981">
      <c r="A7981" s="8" t="str">
        <f>IFERROR(__xludf.DUMMYFUNCTION("""COMPUTED_VALUE"""),"killatrav")</f>
        <v>killatrav</v>
      </c>
    </row>
    <row r="7982">
      <c r="A7982" s="8" t="str">
        <f>IFERROR(__xludf.DUMMYFUNCTION("""COMPUTED_VALUE"""),"travis_japan_official")</f>
        <v>travis_japan_official</v>
      </c>
    </row>
    <row r="7983">
      <c r="A7983" s="8" t="str">
        <f>IFERROR(__xludf.DUMMYFUNCTION("""COMPUTED_VALUE"""),"travis.mullen.85")</f>
        <v>travis.mullen.85</v>
      </c>
    </row>
    <row r="7984">
      <c r="A7984" s="8" t="str">
        <f>IFERROR(__xludf.DUMMYFUNCTION("""COMPUTED_VALUE"""),"travisscott")</f>
        <v>travisscott</v>
      </c>
    </row>
    <row r="7985">
      <c r="A7985" s="8" t="str">
        <f>IFERROR(__xludf.DUMMYFUNCTION("""COMPUTED_VALUE"""),"travis.spinks")</f>
        <v>travis.spinks</v>
      </c>
    </row>
    <row r="7986">
      <c r="A7986" s="8" t="str">
        <f>IFERROR(__xludf.DUMMYFUNCTION("""COMPUTED_VALUE"""),"trevorhenderson")</f>
        <v>trevorhenderson</v>
      </c>
    </row>
    <row r="7987">
      <c r="A7987" s="8" t="str">
        <f>IFERROR(__xludf.DUMMYFUNCTION("""COMPUTED_VALUE"""),"trevornoah")</f>
        <v>trevornoah</v>
      </c>
    </row>
    <row r="7988">
      <c r="A7988" s="8" t="str">
        <f>IFERROR(__xludf.DUMMYFUNCTION("""COMPUTED_VALUE"""),"trevorwallace")</f>
        <v>trevorwallace</v>
      </c>
    </row>
    <row r="7989">
      <c r="A7989" s="8" t="str">
        <f>IFERROR(__xludf.DUMMYFUNCTION("""COMPUTED_VALUE"""),"lilbosstgbmg")</f>
        <v>lilbosstgbmg</v>
      </c>
    </row>
    <row r="7990">
      <c r="A7990" s="8" t="str">
        <f>IFERROR(__xludf.DUMMYFUNCTION("""COMPUTED_VALUE"""),"t_deeney")</f>
        <v>t_deeney</v>
      </c>
    </row>
    <row r="7991">
      <c r="A7991" s="8" t="str">
        <f>IFERROR(__xludf.DUMMYFUNCTION("""COMPUTED_VALUE"""),"troy")</f>
        <v>troy</v>
      </c>
    </row>
    <row r="7992">
      <c r="A7992" s="8" t="str">
        <f>IFERROR(__xludf.DUMMYFUNCTION("""COMPUTED_VALUE"""),"troyaikman")</f>
        <v>troyaikman</v>
      </c>
    </row>
    <row r="7993">
      <c r="A7993" s="8" t="str">
        <f>IFERROR(__xludf.DUMMYFUNCTION("""COMPUTED_VALUE"""),"troycandy")</f>
        <v>troycandy</v>
      </c>
    </row>
    <row r="7994">
      <c r="A7994" s="8" t="str">
        <f>IFERROR(__xludf.DUMMYFUNCTION("""COMPUTED_VALUE"""),"troycasting")</f>
        <v>troycasting</v>
      </c>
    </row>
    <row r="7995">
      <c r="A7995" s="8" t="str">
        <f>IFERROR(__xludf.DUMMYFUNCTION("""COMPUTED_VALUE"""),"troyesivan")</f>
        <v>troyesivan</v>
      </c>
    </row>
    <row r="7996">
      <c r="A7996" s="8" t="str">
        <f>IFERROR(__xludf.DUMMYFUNCTION("""COMPUTED_VALUE"""),"troyhawke")</f>
        <v>troyhawke</v>
      </c>
    </row>
    <row r="7997">
      <c r="A7997" s="8" t="str">
        <f>IFERROR(__xludf.DUMMYFUNCTION("""COMPUTED_VALUE"""),"drtylerpanzner")</f>
        <v>drtylerpanzner</v>
      </c>
    </row>
    <row r="7998">
      <c r="A7998" s="8" t="str">
        <f>IFERROR(__xludf.DUMMYFUNCTION("""COMPUTED_VALUE"""),"feliciathegoat")</f>
        <v>feliciathegoat</v>
      </c>
    </row>
    <row r="7999">
      <c r="A7999" s="8" t="str">
        <f>IFERROR(__xludf.DUMMYFUNCTION("""COMPUTED_VALUE"""),"igcoachtyler")</f>
        <v>igcoachtyler</v>
      </c>
    </row>
    <row r="8000">
      <c r="A8000" s="8" t="str">
        <f>IFERROR(__xludf.DUMMYFUNCTION("""COMPUTED_VALUE"""),"sooplexx")</f>
        <v>sooplexx</v>
      </c>
    </row>
    <row r="8001">
      <c r="A8001" s="8" t="str">
        <f>IFERROR(__xludf.DUMMYFUNCTION("""COMPUTED_VALUE"""),"ts_magic")</f>
        <v>ts_magic</v>
      </c>
    </row>
    <row r="8002">
      <c r="A8002" s="8" t="str">
        <f>IFERROR(__xludf.DUMMYFUNCTION("""COMPUTED_VALUE"""),"tyler")</f>
        <v>tyler</v>
      </c>
    </row>
    <row r="8003">
      <c r="A8003" s="8" t="str">
        <f>IFERROR(__xludf.DUMMYFUNCTION("""COMPUTED_VALUE"""),"tylerbrundy")</f>
        <v>tylerbrundy</v>
      </c>
    </row>
    <row r="8004">
      <c r="A8004" s="8" t="str">
        <f>IFERROR(__xludf.DUMMYFUNCTION("""COMPUTED_VALUE"""),"tylerniknam")</f>
        <v>tylerniknam</v>
      </c>
    </row>
    <row r="8005">
      <c r="A8005" s="8" t="str">
        <f>IFERROR(__xludf.DUMMYFUNCTION("""COMPUTED_VALUE"""),"tylertometich")</f>
        <v>tylertometich</v>
      </c>
    </row>
    <row r="8006">
      <c r="A8006" s="8" t="str">
        <f>IFERROR(__xludf.DUMMYFUNCTION("""COMPUTED_VALUE"""),"tylerwayneglass")</f>
        <v>tylerwayneglass</v>
      </c>
    </row>
    <row r="8007">
      <c r="A8007" s="8" t="str">
        <f>IFERROR(__xludf.DUMMYFUNCTION("""COMPUTED_VALUE"""),"tythefisch")</f>
        <v>tythefisch</v>
      </c>
    </row>
    <row r="8008">
      <c r="A8008" s="8" t="str">
        <f>IFERROR(__xludf.DUMMYFUNCTION("""COMPUTED_VALUE"""),"victoria")</f>
        <v>victoria</v>
      </c>
    </row>
    <row r="8009">
      <c r="A8009" s="8" t="str">
        <f>IFERROR(__xludf.DUMMYFUNCTION("""COMPUTED_VALUE"""),"victoriabeckham")</f>
        <v>victoriabeckham</v>
      </c>
    </row>
    <row r="8010">
      <c r="A8010" s="8" t="str">
        <f>IFERROR(__xludf.DUMMYFUNCTION("""COMPUTED_VALUE"""),"victoriabonya")</f>
        <v>victoriabonya</v>
      </c>
    </row>
    <row r="8011">
      <c r="A8011" s="8" t="str">
        <f>IFERROR(__xludf.DUMMYFUNCTION("""COMPUTED_VALUE"""),"victoriassecret")</f>
        <v>victoriassecret</v>
      </c>
    </row>
    <row r="8012">
      <c r="A8012" s="8" t="str">
        <f>IFERROR(__xludf.DUMMYFUNCTION("""COMPUTED_VALUE"""),"viptoriaaaa")</f>
        <v>viptoriaaaa</v>
      </c>
    </row>
    <row r="8013">
      <c r="A8013" s="8" t="str">
        <f>IFERROR(__xludf.DUMMYFUNCTION("""COMPUTED_VALUE"""),"liltunechi")</f>
        <v>liltunechi</v>
      </c>
    </row>
    <row r="8014">
      <c r="A8014" s="8" t="str">
        <f>IFERROR(__xludf.DUMMYFUNCTION("""COMPUTED_VALUE"""),"wayne")</f>
        <v>wayne</v>
      </c>
    </row>
    <row r="8015">
      <c r="A8015" s="8" t="str">
        <f>IFERROR(__xludf.DUMMYFUNCTION("""COMPUTED_VALUE"""),"whitleavitt")</f>
        <v>whitleavitt</v>
      </c>
    </row>
    <row r="8016">
      <c r="A8016" s="8" t="str">
        <f>IFERROR(__xludf.DUMMYFUNCTION("""COMPUTED_VALUE"""),"whitney")</f>
        <v>whitney</v>
      </c>
    </row>
    <row r="8017">
      <c r="A8017" s="8" t="str">
        <f>IFERROR(__xludf.DUMMYFUNCTION("""COMPUTED_VALUE"""),"whitneypeak")</f>
        <v>whitneypeak</v>
      </c>
    </row>
    <row r="8018">
      <c r="A8018" s="8" t="str">
        <f>IFERROR(__xludf.DUMMYFUNCTION("""COMPUTED_VALUE"""),"iamwill")</f>
        <v>iamwill</v>
      </c>
    </row>
    <row r="8019">
      <c r="A8019" s="8" t="str">
        <f>IFERROR(__xludf.DUMMYFUNCTION("""COMPUTED_VALUE"""),"real_dee_williams")</f>
        <v>real_dee_williams</v>
      </c>
    </row>
    <row r="8020">
      <c r="A8020" s="8" t="str">
        <f>IFERROR(__xludf.DUMMYFUNCTION("""COMPUTED_VALUE"""),"williamlast_krm")</f>
        <v>williamlast_krm</v>
      </c>
    </row>
    <row r="8021">
      <c r="A8021" s="8" t="str">
        <f>IFERROR(__xludf.DUMMYFUNCTION("""COMPUTED_VALUE"""),"zachary5k")</f>
        <v>zachary5k</v>
      </c>
    </row>
    <row r="8022">
      <c r="A8022" s="8" t="str">
        <f>IFERROR(__xludf.DUMMYFUNCTION("""COMPUTED_VALUE"""),"zacharylevi")</f>
        <v>zacharylevi</v>
      </c>
    </row>
    <row r="8023">
      <c r="A8023" s="8" t="str">
        <f>IFERROR(__xludf.DUMMYFUNCTION("""COMPUTED_VALUE"""),"zacharywillmore")</f>
        <v>zacharywillmore</v>
      </c>
    </row>
  </sheetData>
  <hyperlinks>
    <hyperlink r:id="rId1" ref="A4"/>
    <hyperlink r:id="rId2" ref="A5"/>
    <hyperlink r:id="rId3" ref="A46"/>
    <hyperlink r:id="rId4" ref="A66"/>
    <hyperlink r:id="rId5" ref="A232"/>
    <hyperlink r:id="rId6" ref="A233"/>
    <hyperlink r:id="rId7" ref="A334"/>
    <hyperlink r:id="rId8" ref="A399"/>
    <hyperlink r:id="rId9" ref="A476"/>
    <hyperlink r:id="rId10" ref="A504"/>
    <hyperlink r:id="rId11" ref="A569"/>
    <hyperlink r:id="rId12" ref="A571"/>
    <hyperlink r:id="rId13" ref="A575"/>
    <hyperlink r:id="rId14" ref="A579"/>
    <hyperlink r:id="rId15" ref="A584"/>
    <hyperlink r:id="rId16" ref="A586"/>
    <hyperlink r:id="rId17" ref="A648"/>
    <hyperlink r:id="rId18" ref="A704"/>
    <hyperlink r:id="rId19" ref="A786"/>
    <hyperlink r:id="rId20" ref="A793"/>
    <hyperlink r:id="rId21" ref="A794"/>
    <hyperlink r:id="rId22" ref="A799"/>
    <hyperlink r:id="rId23" ref="A804"/>
    <hyperlink r:id="rId24" ref="A817"/>
    <hyperlink r:id="rId25" ref="A858"/>
    <hyperlink r:id="rId26" ref="A868"/>
    <hyperlink r:id="rId27" ref="A937"/>
    <hyperlink r:id="rId28" ref="A1024"/>
    <hyperlink r:id="rId29" ref="A1051"/>
    <hyperlink r:id="rId30" ref="A1152"/>
    <hyperlink r:id="rId31" ref="A1186"/>
    <hyperlink r:id="rId32" ref="A1231"/>
    <hyperlink r:id="rId33" ref="A1268"/>
    <hyperlink r:id="rId34" ref="A1346"/>
    <hyperlink r:id="rId35" ref="A1358"/>
    <hyperlink r:id="rId36" ref="A1370"/>
    <hyperlink r:id="rId37" ref="A1412"/>
    <hyperlink r:id="rId38" ref="A1437"/>
    <hyperlink r:id="rId39" ref="A1469"/>
    <hyperlink r:id="rId40" ref="A1551"/>
    <hyperlink r:id="rId41" ref="A1594"/>
    <hyperlink r:id="rId42" ref="A1595"/>
    <hyperlink r:id="rId43" ref="A1612"/>
    <hyperlink r:id="rId44" ref="A1624"/>
    <hyperlink r:id="rId45" ref="A1642"/>
    <hyperlink r:id="rId46" ref="A1675"/>
    <hyperlink r:id="rId47" ref="A1775"/>
    <hyperlink r:id="rId48" ref="A1939"/>
    <hyperlink r:id="rId49" ref="A2055"/>
    <hyperlink r:id="rId50" ref="A2056"/>
    <hyperlink r:id="rId51" ref="A2176"/>
    <hyperlink r:id="rId52" ref="A2302"/>
    <hyperlink r:id="rId53" ref="A2343"/>
    <hyperlink r:id="rId54" ref="A2363"/>
    <hyperlink r:id="rId55" ref="A2372"/>
    <hyperlink r:id="rId56" ref="A2449"/>
    <hyperlink r:id="rId57" ref="A2461"/>
    <hyperlink r:id="rId58" ref="A2542"/>
    <hyperlink r:id="rId59" ref="A2548"/>
    <hyperlink r:id="rId60" ref="A2583"/>
    <hyperlink r:id="rId61" ref="A2685"/>
    <hyperlink r:id="rId62" ref="A2723"/>
    <hyperlink r:id="rId63" ref="A2739"/>
    <hyperlink r:id="rId64" ref="A2758"/>
    <hyperlink r:id="rId65" ref="A2803"/>
    <hyperlink r:id="rId66" ref="A2806"/>
    <hyperlink r:id="rId67" ref="A2820"/>
    <hyperlink r:id="rId68" ref="A2915"/>
    <hyperlink r:id="rId69" ref="A2925"/>
    <hyperlink r:id="rId70" ref="A2932"/>
    <hyperlink r:id="rId71" ref="A2947"/>
    <hyperlink r:id="rId72" ref="A2983"/>
    <hyperlink r:id="rId73" ref="A3012"/>
    <hyperlink r:id="rId74" ref="A3070"/>
    <hyperlink r:id="rId75" ref="A3117"/>
    <hyperlink r:id="rId76" ref="A3125"/>
    <hyperlink r:id="rId77" ref="A3146"/>
    <hyperlink r:id="rId78" ref="A3179"/>
    <hyperlink r:id="rId79" ref="A3265"/>
    <hyperlink r:id="rId80" ref="A3343"/>
    <hyperlink r:id="rId81" ref="A3418"/>
    <hyperlink r:id="rId82" ref="A3419"/>
    <hyperlink r:id="rId83" ref="A3450"/>
    <hyperlink r:id="rId84" ref="A3473"/>
    <hyperlink r:id="rId85" ref="A3511"/>
    <hyperlink r:id="rId86" ref="A3520"/>
    <hyperlink r:id="rId87" ref="A3546"/>
    <hyperlink r:id="rId88" ref="A3551"/>
    <hyperlink r:id="rId89" ref="A3569"/>
    <hyperlink r:id="rId90" ref="A3615"/>
    <hyperlink r:id="rId91" ref="A3616"/>
    <hyperlink r:id="rId92" ref="A3619"/>
    <hyperlink r:id="rId93" ref="A3630"/>
    <hyperlink r:id="rId94" ref="A3637"/>
    <hyperlink r:id="rId95" ref="A3674"/>
    <hyperlink r:id="rId96" ref="A3733"/>
    <hyperlink r:id="rId97" ref="A3799"/>
    <hyperlink r:id="rId98" ref="A3842"/>
    <hyperlink r:id="rId99" ref="A3844"/>
    <hyperlink r:id="rId100" ref="A3847"/>
    <hyperlink r:id="rId101" ref="A3852"/>
    <hyperlink r:id="rId102" ref="A3854"/>
    <hyperlink r:id="rId103" ref="A3867"/>
    <hyperlink r:id="rId104" ref="A3927"/>
    <hyperlink r:id="rId105" ref="A3938"/>
    <hyperlink r:id="rId106" ref="A3947"/>
    <hyperlink r:id="rId107" ref="A3951"/>
    <hyperlink r:id="rId108" ref="A3958"/>
    <hyperlink r:id="rId109" ref="A4066"/>
    <hyperlink r:id="rId110" ref="A4094"/>
    <hyperlink r:id="rId111" ref="A4111"/>
    <hyperlink r:id="rId112" ref="A4121"/>
    <hyperlink r:id="rId113" ref="A4127"/>
    <hyperlink r:id="rId114" ref="A4152"/>
    <hyperlink r:id="rId115" ref="A4195"/>
    <hyperlink r:id="rId116" ref="A4205"/>
    <hyperlink r:id="rId117" ref="A4215"/>
    <hyperlink r:id="rId118" ref="A4216"/>
    <hyperlink r:id="rId119" ref="A4274"/>
    <hyperlink r:id="rId120" ref="A4363"/>
    <hyperlink r:id="rId121" ref="A4369"/>
    <hyperlink r:id="rId122" ref="A4371"/>
    <hyperlink r:id="rId123" ref="A4373"/>
    <hyperlink r:id="rId124" ref="A4510"/>
    <hyperlink r:id="rId125" ref="A4597"/>
    <hyperlink r:id="rId126" ref="A4620"/>
    <hyperlink r:id="rId127" ref="A4639"/>
    <hyperlink r:id="rId128" ref="A4642"/>
    <hyperlink r:id="rId129" ref="A4657"/>
    <hyperlink r:id="rId130" ref="A4658"/>
    <hyperlink r:id="rId131" ref="A4667"/>
    <hyperlink r:id="rId132" ref="A4714"/>
    <hyperlink r:id="rId133" ref="A4731"/>
    <hyperlink r:id="rId134" ref="A4749"/>
    <hyperlink r:id="rId135" ref="A4797"/>
    <hyperlink r:id="rId136" ref="A4832"/>
    <hyperlink r:id="rId137" ref="A4923"/>
    <hyperlink r:id="rId138" ref="A4925"/>
    <hyperlink r:id="rId139" ref="A4959"/>
    <hyperlink r:id="rId140" ref="A4970"/>
    <hyperlink r:id="rId141" ref="A4987"/>
    <hyperlink r:id="rId142" ref="A5001"/>
    <hyperlink r:id="rId143" ref="A5016"/>
    <hyperlink r:id="rId144" ref="A5070"/>
    <hyperlink r:id="rId145" ref="A5072"/>
    <hyperlink r:id="rId146" ref="A5192"/>
    <hyperlink r:id="rId147" ref="A5199"/>
    <hyperlink r:id="rId148" ref="A5245"/>
    <hyperlink r:id="rId149" ref="A5317"/>
    <hyperlink r:id="rId150" ref="A5326"/>
    <hyperlink r:id="rId151" ref="A5368"/>
    <hyperlink r:id="rId152" ref="A5376"/>
    <hyperlink r:id="rId153" ref="A5377"/>
    <hyperlink r:id="rId154" ref="A5398"/>
    <hyperlink r:id="rId155" ref="A5580"/>
    <hyperlink r:id="rId156" ref="A5596"/>
    <hyperlink r:id="rId157" ref="A5602"/>
    <hyperlink r:id="rId158" ref="A5612"/>
    <hyperlink r:id="rId159" ref="A5669"/>
    <hyperlink r:id="rId160" ref="A5751"/>
    <hyperlink r:id="rId161" ref="A5854"/>
    <hyperlink r:id="rId162" ref="A5929"/>
    <hyperlink r:id="rId163" ref="A6020"/>
    <hyperlink r:id="rId164" ref="A6038"/>
    <hyperlink r:id="rId165" ref="A6118"/>
    <hyperlink r:id="rId166" ref="A6145"/>
    <hyperlink r:id="rId167" ref="A6202"/>
    <hyperlink r:id="rId168" ref="A6206"/>
    <hyperlink r:id="rId169" ref="A6257"/>
    <hyperlink r:id="rId170" ref="A6258"/>
    <hyperlink r:id="rId171" ref="A6262"/>
    <hyperlink r:id="rId172" ref="A6310"/>
    <hyperlink r:id="rId173" ref="A6354"/>
    <hyperlink r:id="rId174" ref="A6410"/>
    <hyperlink r:id="rId175" ref="A6430"/>
    <hyperlink r:id="rId176" ref="A6445"/>
    <hyperlink r:id="rId177" ref="A6482"/>
    <hyperlink r:id="rId178" ref="A6529"/>
    <hyperlink r:id="rId179" ref="A6544"/>
    <hyperlink r:id="rId180" ref="A6552"/>
    <hyperlink r:id="rId181" ref="A6553"/>
    <hyperlink r:id="rId182" ref="A6554"/>
    <hyperlink r:id="rId183" ref="A6608"/>
    <hyperlink r:id="rId184" ref="A6623"/>
    <hyperlink r:id="rId185" ref="A6805"/>
    <hyperlink r:id="rId186" ref="A6811"/>
    <hyperlink r:id="rId187" ref="A6876"/>
    <hyperlink r:id="rId188" ref="A6895"/>
    <hyperlink r:id="rId189" ref="A6905"/>
    <hyperlink r:id="rId190" ref="A6948"/>
    <hyperlink r:id="rId191" ref="A6967"/>
    <hyperlink r:id="rId192" ref="A6972"/>
    <hyperlink r:id="rId193" ref="A6995"/>
    <hyperlink r:id="rId194" ref="A7011"/>
    <hyperlink r:id="rId195" ref="A7038"/>
    <hyperlink r:id="rId196" ref="A7073"/>
    <hyperlink r:id="rId197" ref="A7092"/>
    <hyperlink r:id="rId198" ref="A7110"/>
    <hyperlink r:id="rId199" ref="A7195"/>
    <hyperlink r:id="rId200" ref="A7254"/>
    <hyperlink r:id="rId201" ref="A7281"/>
    <hyperlink r:id="rId202" ref="A7442"/>
    <hyperlink r:id="rId203" ref="A7633"/>
    <hyperlink r:id="rId204" ref="A7676"/>
    <hyperlink r:id="rId205" ref="A7785"/>
    <hyperlink r:id="rId206" ref="A7915"/>
  </hyperlinks>
  <drawing r:id="rId20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5404</v>
      </c>
      <c r="B2" s="2" t="s">
        <v>5904</v>
      </c>
      <c r="C2" s="2">
        <v>6769850.0</v>
      </c>
      <c r="D2" s="2" t="s">
        <v>5404</v>
      </c>
      <c r="E2" s="2">
        <v>168114.0</v>
      </c>
      <c r="F2" s="2">
        <v>52.0</v>
      </c>
      <c r="G2" s="2">
        <v>1725.0</v>
      </c>
      <c r="H2" s="2" t="s">
        <v>5905</v>
      </c>
      <c r="I2" s="2" t="s">
        <v>5906</v>
      </c>
      <c r="J2" s="2" t="s">
        <v>5907</v>
      </c>
      <c r="K2" s="2" t="s">
        <v>5908</v>
      </c>
      <c r="L2" s="10" t="s">
        <v>5909</v>
      </c>
    </row>
    <row r="3">
      <c r="A3" s="2" t="s">
        <v>5292</v>
      </c>
      <c r="B3" s="2" t="s">
        <v>5910</v>
      </c>
      <c r="C3" s="2">
        <v>3.27693598E8</v>
      </c>
      <c r="D3" s="2" t="s">
        <v>5292</v>
      </c>
      <c r="E3" s="2">
        <v>5272241.0</v>
      </c>
      <c r="F3" s="2">
        <v>145.0</v>
      </c>
      <c r="G3" s="2">
        <v>65646.0</v>
      </c>
      <c r="H3" s="2" t="s">
        <v>5906</v>
      </c>
      <c r="I3" s="2" t="s">
        <v>5906</v>
      </c>
      <c r="J3" s="2" t="s">
        <v>5911</v>
      </c>
      <c r="K3" s="2" t="s">
        <v>5912</v>
      </c>
      <c r="L3" s="10" t="s">
        <v>5913</v>
      </c>
    </row>
    <row r="4">
      <c r="A4" s="2" t="s">
        <v>5292</v>
      </c>
      <c r="B4" s="2" t="s">
        <v>5914</v>
      </c>
      <c r="C4" s="2">
        <v>1.584999635E9</v>
      </c>
      <c r="D4" s="2" t="s">
        <v>5915</v>
      </c>
      <c r="E4" s="2">
        <v>52675.0</v>
      </c>
      <c r="F4" s="2">
        <v>249.0</v>
      </c>
      <c r="G4" s="2">
        <v>3821.0</v>
      </c>
      <c r="H4" s="2" t="s">
        <v>5906</v>
      </c>
      <c r="I4" s="2" t="s">
        <v>5906</v>
      </c>
      <c r="K4" s="2" t="s">
        <v>5916</v>
      </c>
      <c r="L4" s="10" t="s">
        <v>5917</v>
      </c>
    </row>
    <row r="5">
      <c r="A5" s="2" t="s">
        <v>5292</v>
      </c>
      <c r="B5" s="2" t="s">
        <v>5918</v>
      </c>
      <c r="C5" s="2">
        <v>9.179348185E9</v>
      </c>
      <c r="D5" s="2" t="s">
        <v>5919</v>
      </c>
      <c r="E5" s="2">
        <v>89256.0</v>
      </c>
      <c r="F5" s="2">
        <v>38.0</v>
      </c>
      <c r="G5" s="2">
        <v>24800.0</v>
      </c>
      <c r="H5" s="2" t="s">
        <v>5906</v>
      </c>
      <c r="I5" s="2" t="s">
        <v>5906</v>
      </c>
      <c r="J5" s="2" t="s">
        <v>5920</v>
      </c>
      <c r="K5" s="2" t="s">
        <v>5921</v>
      </c>
      <c r="L5" s="10" t="s">
        <v>5922</v>
      </c>
    </row>
    <row r="6">
      <c r="A6" s="2" t="s">
        <v>5292</v>
      </c>
      <c r="B6" s="2" t="s">
        <v>5923</v>
      </c>
      <c r="C6" s="2">
        <v>2.59090671E8</v>
      </c>
      <c r="D6" s="2" t="s">
        <v>5292</v>
      </c>
      <c r="E6" s="2">
        <v>1307765.0</v>
      </c>
      <c r="F6" s="2">
        <v>256.0</v>
      </c>
      <c r="G6" s="2">
        <v>32684.0</v>
      </c>
      <c r="H6" s="2" t="s">
        <v>5906</v>
      </c>
      <c r="I6" s="2" t="s">
        <v>5906</v>
      </c>
      <c r="J6" s="2" t="s">
        <v>5911</v>
      </c>
      <c r="K6" s="2" t="s">
        <v>5924</v>
      </c>
      <c r="L6" s="10" t="s">
        <v>5925</v>
      </c>
    </row>
    <row r="7">
      <c r="A7" s="2" t="s">
        <v>5292</v>
      </c>
      <c r="B7" s="2" t="s">
        <v>5926</v>
      </c>
      <c r="C7" s="2">
        <v>3.8887852081E10</v>
      </c>
      <c r="D7" s="2" t="s">
        <v>5927</v>
      </c>
      <c r="E7" s="2">
        <v>10653.0</v>
      </c>
      <c r="F7" s="2">
        <v>0.0</v>
      </c>
      <c r="G7" s="2">
        <v>2370.0</v>
      </c>
      <c r="H7" s="2" t="s">
        <v>5905</v>
      </c>
      <c r="I7" s="2" t="s">
        <v>5905</v>
      </c>
      <c r="J7" s="2" t="s">
        <v>5928</v>
      </c>
      <c r="K7" s="2" t="s">
        <v>5929</v>
      </c>
    </row>
    <row r="8">
      <c r="A8" s="2" t="s">
        <v>5292</v>
      </c>
      <c r="B8" s="2" t="s">
        <v>5930</v>
      </c>
      <c r="C8" s="2">
        <v>3.0558824423E10</v>
      </c>
      <c r="D8" s="2" t="s">
        <v>5931</v>
      </c>
      <c r="E8" s="2">
        <v>460635.0</v>
      </c>
      <c r="F8" s="2">
        <v>432.0</v>
      </c>
      <c r="G8" s="2">
        <v>13111.0</v>
      </c>
      <c r="H8" s="2" t="s">
        <v>5906</v>
      </c>
      <c r="I8" s="2" t="s">
        <v>5906</v>
      </c>
      <c r="J8" s="2" t="s">
        <v>5911</v>
      </c>
      <c r="K8" s="2" t="s">
        <v>5932</v>
      </c>
      <c r="L8" s="10" t="s">
        <v>5933</v>
      </c>
    </row>
    <row r="9">
      <c r="A9" s="2" t="s">
        <v>5292</v>
      </c>
      <c r="B9" s="2" t="s">
        <v>5934</v>
      </c>
      <c r="C9" s="2">
        <v>6.013870646E9</v>
      </c>
      <c r="D9" s="2" t="s">
        <v>5935</v>
      </c>
      <c r="E9" s="2">
        <v>161267.0</v>
      </c>
      <c r="F9" s="2">
        <v>1.0</v>
      </c>
      <c r="G9" s="2">
        <v>16932.0</v>
      </c>
      <c r="H9" s="2" t="s">
        <v>5905</v>
      </c>
      <c r="I9" s="2" t="s">
        <v>5905</v>
      </c>
      <c r="J9" s="2" t="s">
        <v>5936</v>
      </c>
      <c r="K9" s="2" t="s">
        <v>5937</v>
      </c>
      <c r="L9" s="10" t="s">
        <v>5938</v>
      </c>
    </row>
    <row r="10">
      <c r="A10" s="2" t="s">
        <v>5292</v>
      </c>
      <c r="B10" s="2" t="s">
        <v>5939</v>
      </c>
      <c r="C10" s="2">
        <v>2.276503778E9</v>
      </c>
      <c r="D10" s="2" t="s">
        <v>5940</v>
      </c>
      <c r="E10" s="2">
        <v>27383.0</v>
      </c>
      <c r="F10" s="2">
        <v>173.0</v>
      </c>
      <c r="G10" s="2">
        <v>363.0</v>
      </c>
      <c r="H10" s="2" t="s">
        <v>5906</v>
      </c>
      <c r="I10" s="2" t="s">
        <v>5905</v>
      </c>
      <c r="J10" s="2" t="s">
        <v>5911</v>
      </c>
      <c r="K10" s="2" t="s">
        <v>5941</v>
      </c>
    </row>
    <row r="11">
      <c r="A11" s="2" t="s">
        <v>5292</v>
      </c>
      <c r="B11" s="2" t="s">
        <v>5942</v>
      </c>
      <c r="C11" s="2">
        <v>5.4131085996E10</v>
      </c>
      <c r="D11" s="2" t="s">
        <v>5943</v>
      </c>
      <c r="E11" s="2">
        <v>57392.0</v>
      </c>
      <c r="F11" s="2">
        <v>112.0</v>
      </c>
      <c r="G11" s="2">
        <v>949.0</v>
      </c>
      <c r="H11" s="2" t="s">
        <v>5906</v>
      </c>
      <c r="I11" s="2" t="s">
        <v>5906</v>
      </c>
      <c r="J11" s="2" t="s">
        <v>5911</v>
      </c>
      <c r="K11" s="2" t="s">
        <v>5944</v>
      </c>
      <c r="L11" s="10" t="s">
        <v>5945</v>
      </c>
    </row>
    <row r="12">
      <c r="A12" s="2" t="s">
        <v>5343</v>
      </c>
      <c r="B12" s="2" t="s">
        <v>5946</v>
      </c>
      <c r="C12" s="2">
        <v>2.6728764E7</v>
      </c>
      <c r="D12" s="2" t="s">
        <v>5947</v>
      </c>
      <c r="E12" s="2">
        <v>590203.0</v>
      </c>
      <c r="F12" s="2">
        <v>2211.0</v>
      </c>
      <c r="G12" s="2">
        <v>4868.0</v>
      </c>
      <c r="H12" s="2" t="s">
        <v>5906</v>
      </c>
      <c r="I12" s="2" t="s">
        <v>5906</v>
      </c>
      <c r="J12" s="2" t="s">
        <v>5948</v>
      </c>
      <c r="K12" s="2" t="s">
        <v>5949</v>
      </c>
      <c r="L12" s="10" t="s">
        <v>5950</v>
      </c>
    </row>
    <row r="13">
      <c r="A13" s="2" t="s">
        <v>5457</v>
      </c>
      <c r="B13" s="2" t="s">
        <v>5951</v>
      </c>
      <c r="C13" s="2">
        <v>4.116142253E9</v>
      </c>
      <c r="D13" s="12" t="s">
        <v>5952</v>
      </c>
      <c r="E13" s="2">
        <v>257967.0</v>
      </c>
      <c r="F13" s="2">
        <v>2.0</v>
      </c>
      <c r="G13" s="2">
        <v>2022.0</v>
      </c>
      <c r="H13" s="2" t="s">
        <v>5905</v>
      </c>
      <c r="I13" s="2" t="s">
        <v>5906</v>
      </c>
      <c r="J13" s="2" t="s">
        <v>5920</v>
      </c>
      <c r="K13" s="2" t="s">
        <v>5953</v>
      </c>
    </row>
    <row r="14">
      <c r="A14" s="2" t="s">
        <v>5457</v>
      </c>
      <c r="B14" s="2" t="s">
        <v>5954</v>
      </c>
      <c r="C14" s="2">
        <v>5.19360384E8</v>
      </c>
      <c r="D14" s="2" t="s">
        <v>5457</v>
      </c>
      <c r="E14" s="2">
        <v>354371.0</v>
      </c>
      <c r="F14" s="2">
        <v>831.0</v>
      </c>
      <c r="G14" s="2">
        <v>9294.0</v>
      </c>
      <c r="H14" s="2" t="s">
        <v>5906</v>
      </c>
      <c r="I14" s="2" t="s">
        <v>5906</v>
      </c>
      <c r="J14" s="2" t="s">
        <v>5518</v>
      </c>
      <c r="K14" s="2" t="s">
        <v>5955</v>
      </c>
      <c r="L14" s="10" t="s">
        <v>5956</v>
      </c>
    </row>
    <row r="15">
      <c r="A15" s="2" t="s">
        <v>5457</v>
      </c>
      <c r="B15" s="2" t="s">
        <v>5957</v>
      </c>
      <c r="C15" s="2">
        <v>7.004998195E9</v>
      </c>
      <c r="D15" s="2" t="s">
        <v>5958</v>
      </c>
      <c r="E15" s="2">
        <v>32583.0</v>
      </c>
      <c r="F15" s="2">
        <v>11.0</v>
      </c>
      <c r="G15" s="2">
        <v>2515.0</v>
      </c>
      <c r="H15" s="2" t="s">
        <v>5905</v>
      </c>
      <c r="I15" s="2" t="s">
        <v>5905</v>
      </c>
      <c r="J15" s="2" t="s">
        <v>5959</v>
      </c>
      <c r="K15" s="2" t="s">
        <v>5960</v>
      </c>
    </row>
    <row r="16">
      <c r="A16" s="2" t="s">
        <v>5457</v>
      </c>
      <c r="B16" s="2" t="s">
        <v>5961</v>
      </c>
      <c r="C16" s="2">
        <v>2.6898571048E10</v>
      </c>
      <c r="D16" s="2" t="s">
        <v>5962</v>
      </c>
      <c r="E16" s="2">
        <v>38383.0</v>
      </c>
      <c r="F16" s="2">
        <v>206.0</v>
      </c>
      <c r="G16" s="2">
        <v>3576.0</v>
      </c>
      <c r="H16" s="2" t="s">
        <v>5906</v>
      </c>
      <c r="I16" s="2" t="s">
        <v>5906</v>
      </c>
      <c r="J16" s="2" t="s">
        <v>5963</v>
      </c>
      <c r="K16" s="2" t="s">
        <v>5964</v>
      </c>
      <c r="L16" s="10" t="s">
        <v>5965</v>
      </c>
    </row>
    <row r="17">
      <c r="A17" s="2" t="s">
        <v>5457</v>
      </c>
      <c r="B17" s="2" t="s">
        <v>5966</v>
      </c>
      <c r="C17" s="2">
        <v>5.709666162E9</v>
      </c>
      <c r="D17" s="2" t="s">
        <v>5967</v>
      </c>
      <c r="E17" s="2">
        <v>89148.0</v>
      </c>
      <c r="F17" s="2">
        <v>812.0</v>
      </c>
      <c r="G17" s="2">
        <v>618.0</v>
      </c>
      <c r="H17" s="2" t="s">
        <v>5905</v>
      </c>
      <c r="I17" s="2" t="s">
        <v>5905</v>
      </c>
      <c r="J17" s="2" t="s">
        <v>5968</v>
      </c>
      <c r="K17" s="2" t="s">
        <v>5969</v>
      </c>
      <c r="L17" s="10" t="s">
        <v>5970</v>
      </c>
    </row>
    <row r="18">
      <c r="A18" s="2" t="s">
        <v>5570</v>
      </c>
      <c r="B18" s="2" t="s">
        <v>5971</v>
      </c>
      <c r="C18" s="2">
        <v>7.4026762191E10</v>
      </c>
      <c r="D18" s="2" t="s">
        <v>5972</v>
      </c>
      <c r="E18" s="2">
        <v>202475.0</v>
      </c>
      <c r="F18" s="2">
        <v>0.0</v>
      </c>
      <c r="G18" s="2">
        <v>111.0</v>
      </c>
      <c r="H18" s="2" t="s">
        <v>5905</v>
      </c>
      <c r="I18" s="2" t="s">
        <v>5905</v>
      </c>
      <c r="J18" s="2" t="s">
        <v>5561</v>
      </c>
      <c r="K18" s="2" t="s">
        <v>5973</v>
      </c>
      <c r="L18" s="10" t="s">
        <v>5974</v>
      </c>
    </row>
    <row r="19">
      <c r="A19" s="2" t="s">
        <v>5570</v>
      </c>
      <c r="B19" s="2" t="s">
        <v>5975</v>
      </c>
      <c r="C19" s="2">
        <v>2.1039204624E10</v>
      </c>
      <c r="D19" s="2" t="s">
        <v>5976</v>
      </c>
      <c r="E19" s="2">
        <v>200728.0</v>
      </c>
      <c r="F19" s="2">
        <v>136.0</v>
      </c>
      <c r="G19" s="2">
        <v>610.0</v>
      </c>
      <c r="H19" s="2" t="s">
        <v>5905</v>
      </c>
      <c r="I19" s="2" t="s">
        <v>5906</v>
      </c>
      <c r="J19" s="2" t="s">
        <v>5561</v>
      </c>
      <c r="K19" s="2" t="s">
        <v>5977</v>
      </c>
      <c r="L19" s="10" t="s">
        <v>5978</v>
      </c>
    </row>
    <row r="20">
      <c r="A20" s="2" t="s">
        <v>5570</v>
      </c>
      <c r="B20" s="2" t="s">
        <v>5979</v>
      </c>
      <c r="C20" s="2">
        <v>4.644318731E9</v>
      </c>
      <c r="D20" s="2" t="s">
        <v>5980</v>
      </c>
      <c r="E20" s="2">
        <v>89474.0</v>
      </c>
      <c r="F20" s="2">
        <v>34.0</v>
      </c>
      <c r="G20" s="2">
        <v>783.0</v>
      </c>
      <c r="H20" s="2" t="s">
        <v>5905</v>
      </c>
      <c r="I20" s="2" t="s">
        <v>5905</v>
      </c>
      <c r="J20" s="2" t="s">
        <v>5959</v>
      </c>
      <c r="K20" s="2" t="s">
        <v>5981</v>
      </c>
      <c r="L20" s="10" t="s">
        <v>5982</v>
      </c>
    </row>
    <row r="21">
      <c r="A21" s="2" t="s">
        <v>5570</v>
      </c>
      <c r="B21" s="2" t="s">
        <v>5983</v>
      </c>
      <c r="C21" s="2">
        <v>7.4890578289E10</v>
      </c>
      <c r="D21" s="2" t="s">
        <v>5984</v>
      </c>
      <c r="E21" s="2">
        <v>99569.0</v>
      </c>
      <c r="F21" s="2">
        <v>7.0</v>
      </c>
      <c r="G21" s="2">
        <v>122.0</v>
      </c>
      <c r="H21" s="2" t="s">
        <v>5905</v>
      </c>
      <c r="I21" s="2" t="s">
        <v>5905</v>
      </c>
      <c r="J21" s="2" t="s">
        <v>5968</v>
      </c>
      <c r="K21" s="2" t="s">
        <v>5985</v>
      </c>
      <c r="L21" s="10" t="s">
        <v>5986</v>
      </c>
    </row>
    <row r="22">
      <c r="A22" s="2" t="s">
        <v>5570</v>
      </c>
      <c r="B22" s="2" t="s">
        <v>5987</v>
      </c>
      <c r="C22" s="2">
        <v>5.858953634E10</v>
      </c>
      <c r="D22" s="2" t="s">
        <v>5988</v>
      </c>
      <c r="E22" s="2">
        <v>99912.0</v>
      </c>
      <c r="F22" s="2">
        <v>1.0</v>
      </c>
      <c r="G22" s="2">
        <v>2135.0</v>
      </c>
      <c r="H22" s="2" t="s">
        <v>5906</v>
      </c>
      <c r="I22" s="2" t="s">
        <v>5905</v>
      </c>
      <c r="J22" s="2" t="s">
        <v>5491</v>
      </c>
      <c r="K22" s="2" t="s">
        <v>5989</v>
      </c>
      <c r="L22" s="10" t="s">
        <v>5990</v>
      </c>
    </row>
    <row r="23">
      <c r="A23" s="2" t="s">
        <v>5570</v>
      </c>
      <c r="B23" s="2" t="s">
        <v>5991</v>
      </c>
      <c r="C23" s="2">
        <v>1.427347876E9</v>
      </c>
      <c r="D23" s="2" t="s">
        <v>5992</v>
      </c>
      <c r="E23" s="2">
        <v>14847.0</v>
      </c>
      <c r="F23" s="2">
        <v>349.0</v>
      </c>
      <c r="G23" s="2">
        <v>51.0</v>
      </c>
      <c r="H23" s="2" t="s">
        <v>5905</v>
      </c>
      <c r="I23" s="2" t="s">
        <v>5906</v>
      </c>
      <c r="J23" s="2" t="s">
        <v>5993</v>
      </c>
      <c r="K23" s="2" t="s">
        <v>5994</v>
      </c>
      <c r="L23" s="10" t="s">
        <v>5995</v>
      </c>
    </row>
    <row r="24">
      <c r="A24" s="2" t="s">
        <v>5295</v>
      </c>
      <c r="B24" s="2" t="s">
        <v>5996</v>
      </c>
      <c r="C24" s="2">
        <v>4.47416451E8</v>
      </c>
      <c r="D24" s="12" t="s">
        <v>5997</v>
      </c>
      <c r="E24" s="2">
        <v>1.1356188E7</v>
      </c>
      <c r="F24" s="2">
        <v>0.0</v>
      </c>
      <c r="G24" s="2">
        <v>77653.0</v>
      </c>
      <c r="H24" s="2" t="s">
        <v>5906</v>
      </c>
      <c r="I24" s="2" t="s">
        <v>5906</v>
      </c>
      <c r="J24" s="2" t="s">
        <v>5911</v>
      </c>
      <c r="K24" s="12" t="s">
        <v>5998</v>
      </c>
      <c r="L24" s="10" t="s">
        <v>5999</v>
      </c>
    </row>
    <row r="25">
      <c r="A25" s="2" t="s">
        <v>5295</v>
      </c>
      <c r="B25" s="2" t="s">
        <v>6000</v>
      </c>
      <c r="C25" s="2">
        <v>4.7451536338E10</v>
      </c>
      <c r="D25" s="2" t="s">
        <v>6001</v>
      </c>
      <c r="E25" s="2">
        <v>34322.0</v>
      </c>
      <c r="F25" s="2">
        <v>3.0</v>
      </c>
      <c r="G25" s="2">
        <v>6078.0</v>
      </c>
      <c r="H25" s="2" t="s">
        <v>5906</v>
      </c>
      <c r="I25" s="2" t="s">
        <v>5906</v>
      </c>
      <c r="J25" s="2" t="s">
        <v>6002</v>
      </c>
      <c r="K25" s="2" t="s">
        <v>6003</v>
      </c>
      <c r="L25" s="10" t="s">
        <v>6004</v>
      </c>
    </row>
    <row r="26">
      <c r="A26" s="2" t="s">
        <v>5295</v>
      </c>
      <c r="B26" s="2" t="s">
        <v>6005</v>
      </c>
      <c r="C26" s="2">
        <v>3.7149867E7</v>
      </c>
      <c r="D26" s="2" t="s">
        <v>6006</v>
      </c>
      <c r="E26" s="2">
        <v>6571320.0</v>
      </c>
      <c r="F26" s="2">
        <v>312.0</v>
      </c>
      <c r="G26" s="2">
        <v>38553.0</v>
      </c>
      <c r="H26" s="2" t="s">
        <v>5906</v>
      </c>
      <c r="I26" s="2" t="s">
        <v>5906</v>
      </c>
      <c r="J26" s="2" t="s">
        <v>5911</v>
      </c>
      <c r="K26" s="2" t="s">
        <v>6007</v>
      </c>
      <c r="L26" s="10" t="s">
        <v>6008</v>
      </c>
    </row>
    <row r="27">
      <c r="A27" s="2" t="s">
        <v>5295</v>
      </c>
      <c r="B27" s="2" t="s">
        <v>6009</v>
      </c>
      <c r="C27" s="2">
        <v>4.5651475601E10</v>
      </c>
      <c r="D27" s="2" t="s">
        <v>6010</v>
      </c>
      <c r="E27" s="2">
        <v>108028.0</v>
      </c>
      <c r="F27" s="2">
        <v>26.0</v>
      </c>
      <c r="G27" s="2">
        <v>175.0</v>
      </c>
      <c r="H27" s="2" t="s">
        <v>5906</v>
      </c>
      <c r="I27" s="2" t="s">
        <v>5905</v>
      </c>
      <c r="J27" s="2" t="s">
        <v>5480</v>
      </c>
      <c r="K27" s="2" t="s">
        <v>6011</v>
      </c>
      <c r="L27" s="10" t="s">
        <v>6012</v>
      </c>
    </row>
    <row r="28">
      <c r="A28" s="2" t="s">
        <v>5295</v>
      </c>
      <c r="B28" s="2" t="s">
        <v>6013</v>
      </c>
      <c r="C28" s="2">
        <v>4.021133468E9</v>
      </c>
      <c r="D28" s="12" t="s">
        <v>6014</v>
      </c>
      <c r="E28" s="2">
        <v>65979.0</v>
      </c>
      <c r="F28" s="2">
        <v>7.0</v>
      </c>
      <c r="G28" s="2">
        <v>548.0</v>
      </c>
      <c r="H28" s="2" t="s">
        <v>5905</v>
      </c>
      <c r="I28" s="2" t="s">
        <v>5906</v>
      </c>
      <c r="J28" s="2" t="s">
        <v>6002</v>
      </c>
      <c r="K28" s="12" t="s">
        <v>6015</v>
      </c>
      <c r="L28" s="10" t="s">
        <v>6016</v>
      </c>
    </row>
    <row r="29">
      <c r="A29" s="2" t="s">
        <v>5329</v>
      </c>
      <c r="B29" s="2" t="s">
        <v>6017</v>
      </c>
      <c r="C29" s="2">
        <v>2.4852591E7</v>
      </c>
      <c r="D29" s="2" t="s">
        <v>6018</v>
      </c>
      <c r="E29" s="2">
        <v>1401180.0</v>
      </c>
      <c r="F29" s="2">
        <v>1691.0</v>
      </c>
      <c r="G29" s="2">
        <v>13717.0</v>
      </c>
      <c r="H29" s="2" t="s">
        <v>5906</v>
      </c>
      <c r="I29" s="2" t="s">
        <v>5906</v>
      </c>
      <c r="J29" s="2" t="s">
        <v>5518</v>
      </c>
      <c r="K29" s="2" t="s">
        <v>6019</v>
      </c>
      <c r="L29" s="10" t="s">
        <v>6020</v>
      </c>
    </row>
    <row r="30">
      <c r="A30" s="2" t="s">
        <v>5329</v>
      </c>
      <c r="B30" s="2" t="s">
        <v>6021</v>
      </c>
      <c r="C30" s="2">
        <v>6.7528131334E10</v>
      </c>
      <c r="D30" s="2" t="s">
        <v>6022</v>
      </c>
      <c r="E30" s="2">
        <v>42185.0</v>
      </c>
      <c r="F30" s="2">
        <v>0.0</v>
      </c>
      <c r="G30" s="2">
        <v>390.0</v>
      </c>
      <c r="H30" s="2" t="s">
        <v>5905</v>
      </c>
      <c r="I30" s="2" t="s">
        <v>5906</v>
      </c>
      <c r="J30" s="2" t="s">
        <v>6023</v>
      </c>
      <c r="K30" s="12" t="s">
        <v>6024</v>
      </c>
    </row>
    <row r="31">
      <c r="A31" s="2" t="s">
        <v>5329</v>
      </c>
      <c r="B31" s="2" t="s">
        <v>6025</v>
      </c>
      <c r="C31" s="2">
        <v>6.7889173371E10</v>
      </c>
      <c r="D31" s="2" t="s">
        <v>6026</v>
      </c>
      <c r="E31" s="2">
        <v>13745.0</v>
      </c>
      <c r="F31" s="2">
        <v>56.0</v>
      </c>
      <c r="G31" s="2">
        <v>85.0</v>
      </c>
      <c r="H31" s="2" t="s">
        <v>5905</v>
      </c>
      <c r="I31" s="2" t="s">
        <v>5905</v>
      </c>
      <c r="J31" s="2" t="s">
        <v>6027</v>
      </c>
      <c r="K31" s="2" t="s">
        <v>6028</v>
      </c>
      <c r="L31" s="10" t="s">
        <v>6029</v>
      </c>
    </row>
    <row r="32">
      <c r="A32" s="2" t="s">
        <v>5329</v>
      </c>
      <c r="B32" s="2" t="s">
        <v>6030</v>
      </c>
      <c r="C32" s="2">
        <v>6.935868884E9</v>
      </c>
      <c r="D32" s="2" t="s">
        <v>6031</v>
      </c>
      <c r="E32" s="2">
        <v>319564.0</v>
      </c>
      <c r="F32" s="2">
        <v>1365.0</v>
      </c>
      <c r="G32" s="2">
        <v>465.0</v>
      </c>
      <c r="H32" s="2" t="s">
        <v>5906</v>
      </c>
      <c r="I32" s="2" t="s">
        <v>5905</v>
      </c>
      <c r="J32" s="2" t="s">
        <v>6032</v>
      </c>
      <c r="K32" s="2" t="s">
        <v>6033</v>
      </c>
      <c r="L32" s="10" t="s">
        <v>6034</v>
      </c>
    </row>
    <row r="33">
      <c r="A33" s="2" t="s">
        <v>5329</v>
      </c>
      <c r="B33" s="2" t="s">
        <v>6035</v>
      </c>
      <c r="C33" s="2">
        <v>5.8184583184E10</v>
      </c>
      <c r="D33" s="2" t="s">
        <v>6036</v>
      </c>
      <c r="E33" s="2">
        <v>71765.0</v>
      </c>
      <c r="F33" s="2">
        <v>1.0</v>
      </c>
      <c r="G33" s="2">
        <v>41.0</v>
      </c>
      <c r="H33" s="2" t="s">
        <v>5905</v>
      </c>
      <c r="I33" s="2" t="s">
        <v>5906</v>
      </c>
      <c r="J33" s="2" t="s">
        <v>4996</v>
      </c>
      <c r="K33" s="2" t="s">
        <v>6037</v>
      </c>
      <c r="L33" s="10" t="s">
        <v>6038</v>
      </c>
    </row>
    <row r="34">
      <c r="A34" s="2" t="s">
        <v>5329</v>
      </c>
      <c r="B34" s="2" t="s">
        <v>6039</v>
      </c>
      <c r="C34" s="2">
        <v>3.8086590517E10</v>
      </c>
      <c r="D34" s="2" t="s">
        <v>6040</v>
      </c>
      <c r="E34" s="2">
        <v>14596.0</v>
      </c>
      <c r="F34" s="2">
        <v>854.0</v>
      </c>
      <c r="G34" s="2">
        <v>195.0</v>
      </c>
      <c r="H34" s="2" t="s">
        <v>5905</v>
      </c>
      <c r="I34" s="2" t="s">
        <v>5905</v>
      </c>
      <c r="J34" s="2" t="s">
        <v>5959</v>
      </c>
      <c r="K34" s="2" t="s">
        <v>6041</v>
      </c>
      <c r="L34" s="10" t="s">
        <v>6042</v>
      </c>
    </row>
    <row r="35">
      <c r="A35" s="2" t="s">
        <v>5329</v>
      </c>
      <c r="B35" s="2" t="s">
        <v>6043</v>
      </c>
      <c r="C35" s="2">
        <v>3.439358057E9</v>
      </c>
      <c r="D35" s="2" t="s">
        <v>6044</v>
      </c>
      <c r="E35" s="2">
        <v>218902.0</v>
      </c>
      <c r="F35" s="2">
        <v>232.0</v>
      </c>
      <c r="G35" s="2">
        <v>792.0</v>
      </c>
      <c r="H35" s="2" t="s">
        <v>5905</v>
      </c>
      <c r="I35" s="2" t="s">
        <v>5906</v>
      </c>
      <c r="J35" s="2" t="s">
        <v>5963</v>
      </c>
      <c r="K35" s="2" t="s">
        <v>6045</v>
      </c>
      <c r="L35" s="10" t="s">
        <v>6046</v>
      </c>
    </row>
    <row r="36">
      <c r="A36" s="2" t="s">
        <v>5329</v>
      </c>
      <c r="B36" s="2" t="s">
        <v>6047</v>
      </c>
      <c r="C36" s="2">
        <v>5.9684301623E10</v>
      </c>
      <c r="D36" s="2" t="s">
        <v>6048</v>
      </c>
      <c r="E36" s="2">
        <v>10345.0</v>
      </c>
      <c r="F36" s="2">
        <v>21.0</v>
      </c>
      <c r="G36" s="2">
        <v>34.0</v>
      </c>
      <c r="H36" s="2" t="s">
        <v>5905</v>
      </c>
      <c r="I36" s="2" t="s">
        <v>5905</v>
      </c>
      <c r="J36" s="2" t="s">
        <v>4404</v>
      </c>
      <c r="K36" s="2" t="s">
        <v>6049</v>
      </c>
      <c r="L36" s="10" t="s">
        <v>6050</v>
      </c>
    </row>
    <row r="37">
      <c r="A37" s="2" t="s">
        <v>5587</v>
      </c>
      <c r="B37" s="2" t="s">
        <v>6051</v>
      </c>
      <c r="C37" s="2">
        <v>4.099945284E9</v>
      </c>
      <c r="D37" s="2" t="s">
        <v>6052</v>
      </c>
      <c r="E37" s="2">
        <v>34930.0</v>
      </c>
      <c r="F37" s="2">
        <v>6.0</v>
      </c>
      <c r="G37" s="2">
        <v>11832.0</v>
      </c>
      <c r="H37" s="2" t="s">
        <v>5905</v>
      </c>
      <c r="I37" s="2" t="s">
        <v>5905</v>
      </c>
      <c r="K37" s="2" t="s">
        <v>6053</v>
      </c>
      <c r="L37" s="10" t="s">
        <v>6054</v>
      </c>
    </row>
    <row r="38">
      <c r="A38" s="2" t="s">
        <v>5498</v>
      </c>
      <c r="B38" s="2" t="s">
        <v>6055</v>
      </c>
      <c r="C38" s="2">
        <v>6.0178319411E10</v>
      </c>
      <c r="D38" s="2" t="s">
        <v>6056</v>
      </c>
      <c r="E38" s="2">
        <v>18893.0</v>
      </c>
      <c r="F38" s="2">
        <v>143.0</v>
      </c>
      <c r="G38" s="2">
        <v>49.0</v>
      </c>
      <c r="H38" s="2" t="s">
        <v>5905</v>
      </c>
      <c r="I38" s="2" t="s">
        <v>5905</v>
      </c>
      <c r="J38" s="2" t="s">
        <v>5968</v>
      </c>
      <c r="K38" s="12" t="s">
        <v>6057</v>
      </c>
    </row>
    <row r="39">
      <c r="A39" s="2" t="s">
        <v>5498</v>
      </c>
      <c r="B39" s="2" t="s">
        <v>6058</v>
      </c>
      <c r="C39" s="2">
        <v>3.5146311681E10</v>
      </c>
      <c r="D39" s="2" t="s">
        <v>6059</v>
      </c>
      <c r="E39" s="2">
        <v>144238.0</v>
      </c>
      <c r="F39" s="2">
        <v>111.0</v>
      </c>
      <c r="G39" s="2">
        <v>668.0</v>
      </c>
      <c r="H39" s="2" t="s">
        <v>5905</v>
      </c>
      <c r="I39" s="2" t="s">
        <v>5906</v>
      </c>
      <c r="J39" s="2" t="s">
        <v>5907</v>
      </c>
      <c r="K39" s="2" t="s">
        <v>6060</v>
      </c>
      <c r="L39" s="10" t="s">
        <v>6061</v>
      </c>
    </row>
    <row r="40">
      <c r="A40" s="2" t="s">
        <v>5498</v>
      </c>
      <c r="B40" s="2" t="s">
        <v>6062</v>
      </c>
      <c r="C40" s="2">
        <v>5.7787968996E10</v>
      </c>
      <c r="D40" s="2" t="s">
        <v>6063</v>
      </c>
      <c r="E40" s="2">
        <v>133274.0</v>
      </c>
      <c r="F40" s="2">
        <v>156.0</v>
      </c>
      <c r="G40" s="2">
        <v>288.0</v>
      </c>
      <c r="H40" s="2" t="s">
        <v>5906</v>
      </c>
      <c r="I40" s="2" t="s">
        <v>5905</v>
      </c>
      <c r="J40" s="2" t="s">
        <v>5959</v>
      </c>
      <c r="K40" s="2" t="s">
        <v>6064</v>
      </c>
      <c r="L40" s="10" t="s">
        <v>6065</v>
      </c>
    </row>
    <row r="41">
      <c r="A41" s="2" t="s">
        <v>5498</v>
      </c>
      <c r="B41" s="2" t="s">
        <v>6066</v>
      </c>
      <c r="C41" s="2">
        <v>4.741980339E9</v>
      </c>
      <c r="D41" s="2" t="s">
        <v>6067</v>
      </c>
      <c r="E41" s="2">
        <v>111620.0</v>
      </c>
      <c r="F41" s="2">
        <v>238.0</v>
      </c>
      <c r="G41" s="2">
        <v>3380.0</v>
      </c>
      <c r="H41" s="2" t="s">
        <v>5905</v>
      </c>
      <c r="I41" s="2" t="s">
        <v>5906</v>
      </c>
      <c r="J41" s="2" t="s">
        <v>6068</v>
      </c>
      <c r="K41" s="2" t="s">
        <v>6069</v>
      </c>
      <c r="L41" s="10" t="s">
        <v>6070</v>
      </c>
    </row>
    <row r="42">
      <c r="A42" s="2" t="s">
        <v>5498</v>
      </c>
      <c r="B42" s="2" t="s">
        <v>6071</v>
      </c>
      <c r="C42" s="2">
        <v>3.7822928794E10</v>
      </c>
      <c r="D42" s="2" t="s">
        <v>6072</v>
      </c>
      <c r="E42" s="2">
        <v>532632.0</v>
      </c>
      <c r="F42" s="2">
        <v>495.0</v>
      </c>
      <c r="G42" s="2">
        <v>1783.0</v>
      </c>
      <c r="H42" s="2" t="s">
        <v>5906</v>
      </c>
      <c r="I42" s="2" t="s">
        <v>5905</v>
      </c>
      <c r="J42" s="2" t="s">
        <v>6073</v>
      </c>
      <c r="K42" s="2" t="s">
        <v>6074</v>
      </c>
      <c r="L42" s="10" t="s">
        <v>6075</v>
      </c>
    </row>
    <row r="43">
      <c r="A43" s="2" t="s">
        <v>5498</v>
      </c>
      <c r="B43" s="2" t="s">
        <v>6076</v>
      </c>
      <c r="C43" s="2">
        <v>5.8230873287E10</v>
      </c>
      <c r="D43" s="2" t="s">
        <v>6077</v>
      </c>
      <c r="E43" s="2">
        <v>21870.0</v>
      </c>
      <c r="F43" s="2">
        <v>4678.0</v>
      </c>
      <c r="G43" s="2">
        <v>1907.0</v>
      </c>
      <c r="H43" s="2" t="s">
        <v>5905</v>
      </c>
      <c r="I43" s="2" t="s">
        <v>5905</v>
      </c>
      <c r="J43" s="2" t="s">
        <v>6002</v>
      </c>
      <c r="K43" s="2" t="s">
        <v>6078</v>
      </c>
      <c r="L43" s="10" t="s">
        <v>6079</v>
      </c>
    </row>
    <row r="44">
      <c r="A44" s="2" t="s">
        <v>5498</v>
      </c>
      <c r="B44" s="2" t="s">
        <v>6080</v>
      </c>
      <c r="C44" s="2">
        <v>6.3631401009E10</v>
      </c>
      <c r="D44" s="2" t="s">
        <v>6081</v>
      </c>
      <c r="E44" s="2">
        <v>201485.0</v>
      </c>
      <c r="F44" s="2">
        <v>92.0</v>
      </c>
      <c r="G44" s="2">
        <v>494.0</v>
      </c>
      <c r="H44" s="2" t="s">
        <v>5906</v>
      </c>
      <c r="I44" s="2" t="s">
        <v>5905</v>
      </c>
      <c r="J44" s="2" t="s">
        <v>6082</v>
      </c>
      <c r="K44" s="2" t="s">
        <v>6083</v>
      </c>
      <c r="L44" s="10" t="s">
        <v>6084</v>
      </c>
    </row>
    <row r="45">
      <c r="A45" s="2" t="s">
        <v>5498</v>
      </c>
      <c r="B45" s="2" t="s">
        <v>6085</v>
      </c>
      <c r="C45" s="2">
        <v>5.9492850826E10</v>
      </c>
      <c r="D45" s="2" t="s">
        <v>6086</v>
      </c>
      <c r="E45" s="2">
        <v>278191.0</v>
      </c>
      <c r="F45" s="2">
        <v>434.0</v>
      </c>
      <c r="G45" s="2">
        <v>542.0</v>
      </c>
      <c r="H45" s="2" t="s">
        <v>5906</v>
      </c>
      <c r="I45" s="2" t="s">
        <v>5906</v>
      </c>
      <c r="J45" s="2" t="s">
        <v>5968</v>
      </c>
      <c r="K45" s="2" t="s">
        <v>6087</v>
      </c>
      <c r="L45" s="10" t="s">
        <v>6088</v>
      </c>
    </row>
    <row r="46">
      <c r="A46" s="2" t="s">
        <v>5498</v>
      </c>
      <c r="B46" s="2" t="s">
        <v>6089</v>
      </c>
      <c r="C46" s="2">
        <v>6.265216195E9</v>
      </c>
      <c r="D46" s="2" t="s">
        <v>6090</v>
      </c>
      <c r="E46" s="2">
        <v>216732.0</v>
      </c>
      <c r="F46" s="2">
        <v>597.0</v>
      </c>
      <c r="G46" s="2">
        <v>620.0</v>
      </c>
      <c r="H46" s="2" t="s">
        <v>5905</v>
      </c>
      <c r="I46" s="2" t="s">
        <v>5906</v>
      </c>
      <c r="J46" s="2" t="s">
        <v>5492</v>
      </c>
      <c r="K46" s="2" t="s">
        <v>6091</v>
      </c>
      <c r="L46" s="10" t="s">
        <v>6092</v>
      </c>
    </row>
    <row r="47">
      <c r="A47" s="2" t="s">
        <v>5498</v>
      </c>
      <c r="B47" s="2" t="s">
        <v>6093</v>
      </c>
      <c r="C47" s="2">
        <v>6.300067317E9</v>
      </c>
      <c r="D47" s="2" t="s">
        <v>6094</v>
      </c>
      <c r="E47" s="2">
        <v>44353.0</v>
      </c>
      <c r="F47" s="2">
        <v>1863.0</v>
      </c>
      <c r="G47" s="2">
        <v>4395.0</v>
      </c>
      <c r="H47" s="2" t="s">
        <v>5906</v>
      </c>
      <c r="I47" s="2" t="s">
        <v>5906</v>
      </c>
      <c r="J47" s="2" t="s">
        <v>5959</v>
      </c>
      <c r="K47" s="2" t="s">
        <v>6095</v>
      </c>
      <c r="L47" s="10" t="s">
        <v>6096</v>
      </c>
    </row>
    <row r="48">
      <c r="A48" s="2" t="s">
        <v>5486</v>
      </c>
      <c r="B48" s="2" t="s">
        <v>6097</v>
      </c>
      <c r="C48" s="2">
        <v>7.286954862E9</v>
      </c>
      <c r="D48" s="2" t="s">
        <v>6098</v>
      </c>
      <c r="E48" s="2">
        <v>59832.0</v>
      </c>
      <c r="F48" s="2">
        <v>1891.0</v>
      </c>
      <c r="G48" s="2">
        <v>1809.0</v>
      </c>
      <c r="H48" s="2" t="s">
        <v>5905</v>
      </c>
      <c r="I48" s="2" t="s">
        <v>5906</v>
      </c>
      <c r="J48" s="2" t="s">
        <v>5963</v>
      </c>
      <c r="K48" s="2" t="s">
        <v>6099</v>
      </c>
      <c r="L48" s="10" t="s">
        <v>6100</v>
      </c>
    </row>
    <row r="49">
      <c r="A49" s="2" t="s">
        <v>5486</v>
      </c>
      <c r="B49" s="2" t="s">
        <v>6101</v>
      </c>
      <c r="C49" s="2">
        <v>3.45558513E8</v>
      </c>
      <c r="D49" s="2" t="s">
        <v>6102</v>
      </c>
      <c r="E49" s="2">
        <v>15296.0</v>
      </c>
      <c r="F49" s="2">
        <v>7052.0</v>
      </c>
      <c r="G49" s="2">
        <v>943.0</v>
      </c>
      <c r="H49" s="2" t="s">
        <v>5905</v>
      </c>
      <c r="I49" s="2" t="s">
        <v>5906</v>
      </c>
      <c r="K49" s="2" t="s">
        <v>6103</v>
      </c>
      <c r="L49" s="10" t="s">
        <v>6104</v>
      </c>
    </row>
    <row r="50">
      <c r="A50" s="2" t="s">
        <v>5486</v>
      </c>
      <c r="B50" s="2" t="s">
        <v>6105</v>
      </c>
      <c r="C50" s="2">
        <v>3.22085936E8</v>
      </c>
      <c r="D50" s="2" t="s">
        <v>6106</v>
      </c>
      <c r="E50" s="2">
        <v>547079.0</v>
      </c>
      <c r="F50" s="2">
        <v>6378.0</v>
      </c>
      <c r="G50" s="2">
        <v>18893.0</v>
      </c>
      <c r="H50" s="2" t="s">
        <v>5906</v>
      </c>
      <c r="I50" s="2" t="s">
        <v>5906</v>
      </c>
      <c r="J50" s="2" t="s">
        <v>5993</v>
      </c>
      <c r="K50" s="2" t="s">
        <v>6107</v>
      </c>
      <c r="L50" s="10" t="s">
        <v>6108</v>
      </c>
    </row>
    <row r="51">
      <c r="A51" s="2" t="s">
        <v>5486</v>
      </c>
      <c r="B51" s="2" t="s">
        <v>6109</v>
      </c>
      <c r="C51" s="2">
        <v>6.248867694E9</v>
      </c>
      <c r="D51" s="2" t="s">
        <v>6110</v>
      </c>
      <c r="E51" s="2">
        <v>50002.0</v>
      </c>
      <c r="F51" s="2">
        <v>1416.0</v>
      </c>
      <c r="G51" s="2">
        <v>1439.0</v>
      </c>
      <c r="H51" s="2" t="s">
        <v>5905</v>
      </c>
      <c r="I51" s="2" t="s">
        <v>5906</v>
      </c>
      <c r="J51" s="2" t="s">
        <v>6111</v>
      </c>
      <c r="K51" s="2" t="s">
        <v>6112</v>
      </c>
      <c r="L51" s="10" t="s">
        <v>6113</v>
      </c>
    </row>
    <row r="52">
      <c r="A52" s="2" t="s">
        <v>5486</v>
      </c>
      <c r="B52" s="2" t="s">
        <v>6114</v>
      </c>
      <c r="C52" s="2">
        <v>3.681348072E9</v>
      </c>
      <c r="D52" s="2" t="s">
        <v>6115</v>
      </c>
      <c r="E52" s="2">
        <v>16338.0</v>
      </c>
      <c r="F52" s="2">
        <v>4053.0</v>
      </c>
      <c r="G52" s="2">
        <v>562.0</v>
      </c>
      <c r="H52" s="2" t="s">
        <v>5905</v>
      </c>
      <c r="I52" s="2" t="s">
        <v>5905</v>
      </c>
      <c r="J52" s="2" t="s">
        <v>5993</v>
      </c>
      <c r="K52" s="2" t="s">
        <v>6116</v>
      </c>
      <c r="L52" s="10" t="s">
        <v>6117</v>
      </c>
    </row>
    <row r="53">
      <c r="A53" s="2" t="s">
        <v>5486</v>
      </c>
      <c r="B53" s="2" t="s">
        <v>6118</v>
      </c>
      <c r="C53" s="2">
        <v>3.8574050578E10</v>
      </c>
      <c r="D53" s="2" t="s">
        <v>6119</v>
      </c>
      <c r="E53" s="2">
        <v>15062.0</v>
      </c>
      <c r="F53" s="2">
        <v>127.0</v>
      </c>
      <c r="G53" s="2">
        <v>1035.0</v>
      </c>
      <c r="H53" s="2" t="s">
        <v>5905</v>
      </c>
      <c r="I53" s="2" t="s">
        <v>5905</v>
      </c>
      <c r="J53" s="2" t="s">
        <v>5993</v>
      </c>
      <c r="K53" s="2" t="s">
        <v>6120</v>
      </c>
      <c r="L53" s="10" t="s">
        <v>6121</v>
      </c>
    </row>
    <row r="54">
      <c r="A54" s="2" t="s">
        <v>5486</v>
      </c>
      <c r="B54" s="2" t="s">
        <v>6122</v>
      </c>
      <c r="C54" s="2">
        <v>1.556404185E9</v>
      </c>
      <c r="D54" s="2" t="s">
        <v>6123</v>
      </c>
      <c r="E54" s="2">
        <v>41265.0</v>
      </c>
      <c r="F54" s="2">
        <v>225.0</v>
      </c>
      <c r="G54" s="2">
        <v>387.0</v>
      </c>
      <c r="H54" s="2" t="s">
        <v>5905</v>
      </c>
      <c r="I54" s="2" t="s">
        <v>5905</v>
      </c>
      <c r="J54" s="2" t="s">
        <v>6124</v>
      </c>
      <c r="K54" s="2" t="s">
        <v>6125</v>
      </c>
      <c r="L54" s="10" t="s">
        <v>6126</v>
      </c>
    </row>
    <row r="55">
      <c r="A55" s="2" t="s">
        <v>5402</v>
      </c>
      <c r="B55" s="2" t="s">
        <v>6127</v>
      </c>
      <c r="C55" s="2">
        <v>1.391658187E9</v>
      </c>
      <c r="D55" s="2" t="s">
        <v>5402</v>
      </c>
      <c r="E55" s="2">
        <v>719195.0</v>
      </c>
      <c r="F55" s="2">
        <v>2.0</v>
      </c>
      <c r="G55" s="2">
        <v>3035.0</v>
      </c>
      <c r="H55" s="2" t="s">
        <v>5905</v>
      </c>
      <c r="I55" s="2" t="s">
        <v>5906</v>
      </c>
      <c r="K55" s="2" t="s">
        <v>6128</v>
      </c>
      <c r="L55" s="10" t="s">
        <v>6129</v>
      </c>
    </row>
    <row r="56">
      <c r="A56" s="2" t="s">
        <v>5435</v>
      </c>
      <c r="B56" s="2" t="s">
        <v>6130</v>
      </c>
      <c r="C56" s="2">
        <v>5.61896528E8</v>
      </c>
      <c r="D56" s="2" t="s">
        <v>6131</v>
      </c>
      <c r="E56" s="2">
        <v>611322.0</v>
      </c>
      <c r="F56" s="2">
        <v>21.0</v>
      </c>
      <c r="G56" s="2">
        <v>9780.0</v>
      </c>
      <c r="H56" s="2" t="s">
        <v>5906</v>
      </c>
      <c r="I56" s="2" t="s">
        <v>5906</v>
      </c>
      <c r="J56" s="2" t="s">
        <v>5492</v>
      </c>
      <c r="K56" s="2" t="s">
        <v>6132</v>
      </c>
      <c r="L56" s="10" t="s">
        <v>6133</v>
      </c>
    </row>
    <row r="57">
      <c r="A57" s="2" t="s">
        <v>5435</v>
      </c>
      <c r="B57" s="2" t="s">
        <v>6134</v>
      </c>
      <c r="C57" s="2">
        <v>4.90215516E8</v>
      </c>
      <c r="D57" s="2" t="s">
        <v>6135</v>
      </c>
      <c r="E57" s="2">
        <v>1788230.0</v>
      </c>
      <c r="F57" s="2">
        <v>25.0</v>
      </c>
      <c r="G57" s="2">
        <v>7609.0</v>
      </c>
      <c r="H57" s="2" t="s">
        <v>5906</v>
      </c>
      <c r="I57" s="2" t="s">
        <v>5906</v>
      </c>
      <c r="J57" s="2" t="s">
        <v>5518</v>
      </c>
      <c r="K57" s="2" t="s">
        <v>6136</v>
      </c>
      <c r="L57" s="10" t="s">
        <v>6137</v>
      </c>
    </row>
    <row r="58">
      <c r="A58" s="2" t="s">
        <v>5435</v>
      </c>
      <c r="B58" s="2" t="s">
        <v>6138</v>
      </c>
      <c r="C58" s="2">
        <v>3.2410853E8</v>
      </c>
      <c r="D58" s="2" t="s">
        <v>6139</v>
      </c>
      <c r="E58" s="2">
        <v>486162.0</v>
      </c>
      <c r="F58" s="2">
        <v>81.0</v>
      </c>
      <c r="G58" s="2">
        <v>6722.0</v>
      </c>
      <c r="H58" s="2" t="s">
        <v>5906</v>
      </c>
      <c r="I58" s="2" t="s">
        <v>5906</v>
      </c>
      <c r="J58" s="2" t="s">
        <v>5959</v>
      </c>
      <c r="K58" s="2" t="s">
        <v>6140</v>
      </c>
      <c r="L58" s="10" t="s">
        <v>6141</v>
      </c>
    </row>
    <row r="59">
      <c r="A59" s="2" t="s">
        <v>5435</v>
      </c>
      <c r="B59" s="2" t="s">
        <v>6142</v>
      </c>
      <c r="C59" s="2">
        <v>2.86790215E8</v>
      </c>
      <c r="D59" s="2" t="s">
        <v>6143</v>
      </c>
      <c r="E59" s="2">
        <v>407773.0</v>
      </c>
      <c r="F59" s="2">
        <v>308.0</v>
      </c>
      <c r="G59" s="2">
        <v>8133.0</v>
      </c>
      <c r="H59" s="2" t="s">
        <v>5906</v>
      </c>
      <c r="I59" s="2" t="s">
        <v>5906</v>
      </c>
      <c r="K59" s="2" t="s">
        <v>6144</v>
      </c>
      <c r="L59" s="10" t="s">
        <v>6145</v>
      </c>
    </row>
    <row r="60">
      <c r="A60" s="2" t="s">
        <v>5435</v>
      </c>
      <c r="B60" s="2" t="s">
        <v>6146</v>
      </c>
      <c r="C60" s="2">
        <v>1.109661117E9</v>
      </c>
      <c r="D60" s="2" t="s">
        <v>6147</v>
      </c>
      <c r="E60" s="2">
        <v>701591.0</v>
      </c>
      <c r="F60" s="2">
        <v>24.0</v>
      </c>
      <c r="G60" s="2">
        <v>4173.0</v>
      </c>
      <c r="H60" s="2" t="s">
        <v>5906</v>
      </c>
      <c r="I60" s="2" t="s">
        <v>5906</v>
      </c>
      <c r="K60" s="2" t="s">
        <v>6148</v>
      </c>
      <c r="L60" s="10" t="s">
        <v>6149</v>
      </c>
    </row>
    <row r="61">
      <c r="A61" s="2" t="s">
        <v>5435</v>
      </c>
      <c r="B61" s="2" t="s">
        <v>6150</v>
      </c>
      <c r="C61" s="2">
        <v>2.39180867E8</v>
      </c>
      <c r="D61" s="2" t="s">
        <v>5435</v>
      </c>
      <c r="E61" s="2">
        <v>1.0756324E7</v>
      </c>
      <c r="F61" s="2">
        <v>744.0</v>
      </c>
      <c r="G61" s="2">
        <v>10867.0</v>
      </c>
      <c r="H61" s="2" t="s">
        <v>5906</v>
      </c>
      <c r="I61" s="2" t="s">
        <v>5906</v>
      </c>
      <c r="K61" s="2" t="s">
        <v>6151</v>
      </c>
      <c r="L61" s="10" t="s">
        <v>6152</v>
      </c>
    </row>
    <row r="62">
      <c r="A62" s="2" t="s">
        <v>5435</v>
      </c>
      <c r="B62" s="2" t="s">
        <v>6153</v>
      </c>
      <c r="C62" s="2">
        <v>5.50067839E8</v>
      </c>
      <c r="D62" s="2" t="s">
        <v>6154</v>
      </c>
      <c r="E62" s="2">
        <v>1027078.0</v>
      </c>
      <c r="F62" s="2">
        <v>575.0</v>
      </c>
      <c r="G62" s="2">
        <v>10002.0</v>
      </c>
      <c r="H62" s="2" t="s">
        <v>5906</v>
      </c>
      <c r="I62" s="2" t="s">
        <v>5906</v>
      </c>
      <c r="J62" s="2" t="s">
        <v>5518</v>
      </c>
      <c r="K62" s="2" t="s">
        <v>6155</v>
      </c>
      <c r="L62" s="10" t="s">
        <v>6156</v>
      </c>
    </row>
    <row r="63">
      <c r="A63" s="2" t="s">
        <v>5309</v>
      </c>
      <c r="B63" s="2" t="s">
        <v>6157</v>
      </c>
      <c r="C63" s="2">
        <v>2.23905184E8</v>
      </c>
      <c r="D63" s="2" t="s">
        <v>5309</v>
      </c>
      <c r="E63" s="2">
        <v>41083.0</v>
      </c>
      <c r="F63" s="2">
        <v>310.0</v>
      </c>
      <c r="G63" s="2">
        <v>1901.0</v>
      </c>
      <c r="H63" s="2" t="s">
        <v>5906</v>
      </c>
      <c r="I63" s="2" t="s">
        <v>5906</v>
      </c>
      <c r="K63" s="2" t="s">
        <v>6158</v>
      </c>
      <c r="L63" s="10" t="s">
        <v>6159</v>
      </c>
    </row>
    <row r="64">
      <c r="A64" s="2" t="s">
        <v>5507</v>
      </c>
      <c r="B64" s="2" t="s">
        <v>6160</v>
      </c>
      <c r="C64" s="2">
        <v>3.10251367E8</v>
      </c>
      <c r="D64" s="2" t="s">
        <v>5507</v>
      </c>
      <c r="E64" s="2">
        <v>1026194.0</v>
      </c>
      <c r="F64" s="2">
        <v>471.0</v>
      </c>
      <c r="G64" s="2">
        <v>5421.0</v>
      </c>
      <c r="H64" s="2" t="s">
        <v>5906</v>
      </c>
      <c r="I64" s="2" t="s">
        <v>5906</v>
      </c>
      <c r="J64" s="2" t="s">
        <v>6161</v>
      </c>
      <c r="K64" s="2" t="s">
        <v>6162</v>
      </c>
      <c r="L64" s="10" t="s">
        <v>6163</v>
      </c>
    </row>
    <row r="65">
      <c r="A65" s="2" t="s">
        <v>5507</v>
      </c>
      <c r="B65" s="2" t="s">
        <v>6164</v>
      </c>
      <c r="C65" s="2">
        <v>3.3918308827E10</v>
      </c>
      <c r="D65" s="2" t="s">
        <v>6165</v>
      </c>
      <c r="E65" s="2">
        <v>27125.0</v>
      </c>
      <c r="F65" s="2">
        <v>393.0</v>
      </c>
      <c r="G65" s="2">
        <v>372.0</v>
      </c>
      <c r="H65" s="2" t="s">
        <v>5905</v>
      </c>
      <c r="I65" s="2" t="s">
        <v>5906</v>
      </c>
      <c r="J65" s="2" t="s">
        <v>6166</v>
      </c>
      <c r="K65" s="2" t="s">
        <v>6167</v>
      </c>
      <c r="L65" s="10" t="s">
        <v>6168</v>
      </c>
    </row>
    <row r="66">
      <c r="A66" s="2" t="s">
        <v>5507</v>
      </c>
      <c r="B66" s="2" t="s">
        <v>6169</v>
      </c>
      <c r="C66" s="2">
        <v>6.3768232533E10</v>
      </c>
      <c r="D66" s="2" t="s">
        <v>6170</v>
      </c>
      <c r="E66" s="2">
        <v>234785.0</v>
      </c>
      <c r="F66" s="2">
        <v>171.0</v>
      </c>
      <c r="G66" s="2">
        <v>245.0</v>
      </c>
      <c r="H66" s="2" t="s">
        <v>5905</v>
      </c>
      <c r="I66" s="2" t="s">
        <v>5905</v>
      </c>
      <c r="J66" s="2" t="s">
        <v>6171</v>
      </c>
      <c r="K66" s="2" t="s">
        <v>6172</v>
      </c>
    </row>
    <row r="67">
      <c r="A67" s="2" t="s">
        <v>5507</v>
      </c>
      <c r="B67" s="2" t="s">
        <v>6173</v>
      </c>
      <c r="C67" s="2">
        <v>2.32150676E8</v>
      </c>
      <c r="D67" s="2" t="s">
        <v>6174</v>
      </c>
      <c r="E67" s="2">
        <v>16334.0</v>
      </c>
      <c r="F67" s="2">
        <v>526.0</v>
      </c>
      <c r="G67" s="2">
        <v>875.0</v>
      </c>
      <c r="H67" s="2" t="s">
        <v>5905</v>
      </c>
      <c r="I67" s="2" t="s">
        <v>5906</v>
      </c>
      <c r="J67" s="2" t="s">
        <v>5963</v>
      </c>
      <c r="K67" s="2" t="s">
        <v>6175</v>
      </c>
      <c r="L67" s="10" t="s">
        <v>6176</v>
      </c>
    </row>
    <row r="68">
      <c r="A68" s="2" t="s">
        <v>5507</v>
      </c>
      <c r="B68" s="2" t="s">
        <v>6177</v>
      </c>
      <c r="C68" s="2">
        <v>1.94840431E8</v>
      </c>
      <c r="D68" s="2" t="s">
        <v>6178</v>
      </c>
      <c r="E68" s="2">
        <v>82265.0</v>
      </c>
      <c r="F68" s="2">
        <v>253.0</v>
      </c>
      <c r="G68" s="2">
        <v>3423.0</v>
      </c>
      <c r="H68" s="2" t="s">
        <v>5905</v>
      </c>
      <c r="I68" s="2" t="s">
        <v>5906</v>
      </c>
      <c r="J68" s="2" t="s">
        <v>6166</v>
      </c>
      <c r="K68" s="2" t="s">
        <v>6179</v>
      </c>
      <c r="L68" s="10" t="s">
        <v>6180</v>
      </c>
    </row>
    <row r="69">
      <c r="A69" s="2" t="s">
        <v>5286</v>
      </c>
      <c r="B69" s="2" t="s">
        <v>6181</v>
      </c>
      <c r="C69" s="2">
        <v>1.54399942E9</v>
      </c>
      <c r="D69" s="2" t="s">
        <v>6182</v>
      </c>
      <c r="E69" s="2">
        <v>1651556.0</v>
      </c>
      <c r="F69" s="2">
        <v>487.0</v>
      </c>
      <c r="G69" s="2">
        <v>11570.0</v>
      </c>
      <c r="H69" s="2" t="s">
        <v>5906</v>
      </c>
      <c r="I69" s="2" t="s">
        <v>5906</v>
      </c>
      <c r="J69" s="2" t="s">
        <v>5907</v>
      </c>
      <c r="K69" s="2" t="s">
        <v>6183</v>
      </c>
      <c r="L69" s="10" t="s">
        <v>6184</v>
      </c>
    </row>
    <row r="70">
      <c r="A70" s="2" t="s">
        <v>5286</v>
      </c>
      <c r="B70" s="2" t="s">
        <v>6185</v>
      </c>
      <c r="C70" s="2">
        <v>2.125775959E9</v>
      </c>
      <c r="D70" s="2" t="s">
        <v>6186</v>
      </c>
      <c r="E70" s="2">
        <v>85525.0</v>
      </c>
      <c r="F70" s="2">
        <v>39.0</v>
      </c>
      <c r="G70" s="2">
        <v>588.0</v>
      </c>
      <c r="H70" s="2" t="s">
        <v>5906</v>
      </c>
      <c r="I70" s="2" t="s">
        <v>5906</v>
      </c>
      <c r="K70" s="2" t="s">
        <v>6187</v>
      </c>
      <c r="L70" s="10" t="s">
        <v>6188</v>
      </c>
    </row>
    <row r="71">
      <c r="A71" s="2" t="s">
        <v>5572</v>
      </c>
      <c r="B71" s="2" t="s">
        <v>6189</v>
      </c>
      <c r="C71" s="2">
        <v>5.103013767E10</v>
      </c>
      <c r="D71" s="2" t="s">
        <v>6190</v>
      </c>
      <c r="E71" s="2">
        <v>10085.0</v>
      </c>
      <c r="F71" s="2">
        <v>290.0</v>
      </c>
      <c r="G71" s="2">
        <v>248.0</v>
      </c>
      <c r="H71" s="2" t="s">
        <v>5905</v>
      </c>
      <c r="I71" s="2" t="s">
        <v>5905</v>
      </c>
      <c r="J71" s="2" t="s">
        <v>6002</v>
      </c>
      <c r="K71" s="2" t="s">
        <v>6191</v>
      </c>
      <c r="L71" s="10" t="s">
        <v>6192</v>
      </c>
    </row>
    <row r="72">
      <c r="A72" s="2" t="s">
        <v>5572</v>
      </c>
      <c r="B72" s="2" t="s">
        <v>6193</v>
      </c>
      <c r="C72" s="2">
        <v>5.930280007E9</v>
      </c>
      <c r="D72" s="2" t="s">
        <v>6194</v>
      </c>
      <c r="E72" s="2">
        <v>10933.0</v>
      </c>
      <c r="F72" s="2">
        <v>5046.0</v>
      </c>
      <c r="G72" s="2">
        <v>442.0</v>
      </c>
      <c r="H72" s="2" t="s">
        <v>5905</v>
      </c>
      <c r="I72" s="2" t="s">
        <v>5906</v>
      </c>
      <c r="K72" s="13" t="s">
        <v>6195</v>
      </c>
      <c r="L72" s="10" t="s">
        <v>6196</v>
      </c>
    </row>
    <row r="73">
      <c r="A73" s="2" t="s">
        <v>5572</v>
      </c>
      <c r="B73" s="2" t="s">
        <v>6197</v>
      </c>
      <c r="C73" s="2">
        <v>1.915896309E9</v>
      </c>
      <c r="D73" s="2" t="s">
        <v>6198</v>
      </c>
      <c r="E73" s="2">
        <v>16882.0</v>
      </c>
      <c r="F73" s="2">
        <v>7474.0</v>
      </c>
      <c r="G73" s="2">
        <v>704.0</v>
      </c>
      <c r="H73" s="2" t="s">
        <v>5905</v>
      </c>
      <c r="I73" s="2" t="s">
        <v>5906</v>
      </c>
      <c r="J73" s="2" t="s">
        <v>6199</v>
      </c>
      <c r="K73" s="2" t="s">
        <v>6200</v>
      </c>
      <c r="L73" s="10" t="s">
        <v>6201</v>
      </c>
    </row>
    <row r="74">
      <c r="A74" s="2" t="s">
        <v>5284</v>
      </c>
      <c r="B74" s="2" t="s">
        <v>6202</v>
      </c>
      <c r="C74" s="2">
        <v>6.946980135E9</v>
      </c>
      <c r="D74" s="2" t="s">
        <v>5284</v>
      </c>
      <c r="E74" s="2">
        <v>274042.0</v>
      </c>
      <c r="F74" s="2">
        <v>216.0</v>
      </c>
      <c r="G74" s="2">
        <v>4582.0</v>
      </c>
      <c r="H74" s="2" t="s">
        <v>5906</v>
      </c>
      <c r="I74" s="2" t="s">
        <v>5906</v>
      </c>
      <c r="J74" s="2" t="s">
        <v>5911</v>
      </c>
      <c r="K74" s="2" t="s">
        <v>6203</v>
      </c>
      <c r="L74" s="10" t="s">
        <v>6204</v>
      </c>
    </row>
    <row r="75">
      <c r="A75" s="2" t="s">
        <v>5284</v>
      </c>
      <c r="B75" s="2" t="s">
        <v>6205</v>
      </c>
      <c r="C75" s="2">
        <v>1.771810911E9</v>
      </c>
      <c r="D75" s="2" t="s">
        <v>6206</v>
      </c>
      <c r="E75" s="2">
        <v>433650.0</v>
      </c>
      <c r="F75" s="2">
        <v>704.0</v>
      </c>
      <c r="G75" s="2">
        <v>14501.0</v>
      </c>
      <c r="H75" s="2" t="s">
        <v>5906</v>
      </c>
      <c r="I75" s="2" t="s">
        <v>5906</v>
      </c>
      <c r="J75" s="2" t="s">
        <v>5907</v>
      </c>
      <c r="K75" s="2" t="s">
        <v>6207</v>
      </c>
      <c r="L75" s="10" t="s">
        <v>6208</v>
      </c>
    </row>
    <row r="76">
      <c r="A76" s="2" t="s">
        <v>5284</v>
      </c>
      <c r="B76" s="2" t="s">
        <v>6209</v>
      </c>
      <c r="C76" s="2">
        <v>6.1463752575E10</v>
      </c>
      <c r="D76" s="2" t="s">
        <v>6210</v>
      </c>
      <c r="E76" s="2">
        <v>22596.0</v>
      </c>
      <c r="F76" s="2">
        <v>361.0</v>
      </c>
      <c r="G76" s="2">
        <v>485.0</v>
      </c>
      <c r="H76" s="2" t="s">
        <v>5905</v>
      </c>
      <c r="I76" s="2" t="s">
        <v>5906</v>
      </c>
      <c r="J76" s="2" t="s">
        <v>5907</v>
      </c>
      <c r="K76" s="2" t="s">
        <v>6211</v>
      </c>
      <c r="L76" s="10" t="s">
        <v>6212</v>
      </c>
    </row>
    <row r="77">
      <c r="A77" s="2" t="s">
        <v>5284</v>
      </c>
      <c r="B77" s="2" t="s">
        <v>6213</v>
      </c>
      <c r="C77" s="2">
        <v>4.4775199587E10</v>
      </c>
      <c r="D77" s="2" t="s">
        <v>6214</v>
      </c>
      <c r="E77" s="2">
        <v>101305.0</v>
      </c>
      <c r="F77" s="2">
        <v>1092.0</v>
      </c>
      <c r="G77" s="2">
        <v>1246.0</v>
      </c>
      <c r="H77" s="2" t="s">
        <v>5906</v>
      </c>
      <c r="I77" s="2" t="s">
        <v>5906</v>
      </c>
      <c r="J77" s="2" t="s">
        <v>5907</v>
      </c>
      <c r="K77" s="2" t="s">
        <v>6215</v>
      </c>
      <c r="L77" s="10" t="s">
        <v>6216</v>
      </c>
    </row>
    <row r="78">
      <c r="A78" s="2" t="s">
        <v>5387</v>
      </c>
      <c r="B78" s="2" t="s">
        <v>6217</v>
      </c>
      <c r="C78" s="2">
        <v>7.163509324E9</v>
      </c>
      <c r="D78" s="2" t="s">
        <v>5387</v>
      </c>
      <c r="E78" s="2">
        <v>222228.0</v>
      </c>
      <c r="F78" s="2">
        <v>11.0</v>
      </c>
      <c r="G78" s="2">
        <v>2630.0</v>
      </c>
      <c r="H78" s="2" t="s">
        <v>5906</v>
      </c>
      <c r="I78" s="2" t="s">
        <v>5906</v>
      </c>
      <c r="J78" s="2" t="s">
        <v>6002</v>
      </c>
      <c r="K78" s="2" t="s">
        <v>6218</v>
      </c>
      <c r="L78" s="10" t="s">
        <v>6219</v>
      </c>
    </row>
    <row r="79">
      <c r="A79" s="2" t="s">
        <v>5387</v>
      </c>
      <c r="B79" s="2" t="s">
        <v>6220</v>
      </c>
      <c r="C79" s="2">
        <v>5.838873283E10</v>
      </c>
      <c r="D79" s="2" t="s">
        <v>6221</v>
      </c>
      <c r="E79" s="2">
        <v>10534.0</v>
      </c>
      <c r="F79" s="2">
        <v>19.0</v>
      </c>
      <c r="G79" s="2">
        <v>36.0</v>
      </c>
      <c r="H79" s="2" t="s">
        <v>5905</v>
      </c>
      <c r="I79" s="2" t="s">
        <v>5906</v>
      </c>
      <c r="J79" s="2" t="s">
        <v>6002</v>
      </c>
      <c r="K79" s="2" t="s">
        <v>6222</v>
      </c>
      <c r="L79" s="10" t="s">
        <v>6223</v>
      </c>
    </row>
    <row r="80">
      <c r="A80" s="2" t="s">
        <v>5387</v>
      </c>
      <c r="B80" s="2" t="s">
        <v>6224</v>
      </c>
      <c r="C80" s="2">
        <v>7.4890760383E10</v>
      </c>
      <c r="D80" s="2" t="s">
        <v>6225</v>
      </c>
      <c r="E80" s="2">
        <v>259067.0</v>
      </c>
      <c r="F80" s="2">
        <v>182.0</v>
      </c>
      <c r="G80" s="2">
        <v>225.0</v>
      </c>
      <c r="H80" s="2" t="s">
        <v>5905</v>
      </c>
      <c r="I80" s="2" t="s">
        <v>5905</v>
      </c>
      <c r="J80" s="2" t="s">
        <v>6171</v>
      </c>
      <c r="K80" s="2" t="s">
        <v>6226</v>
      </c>
      <c r="L80" s="10" t="s">
        <v>6227</v>
      </c>
    </row>
    <row r="81">
      <c r="A81" s="2" t="s">
        <v>5387</v>
      </c>
      <c r="B81" s="2" t="s">
        <v>6228</v>
      </c>
      <c r="C81" s="2">
        <v>6.7808576637E10</v>
      </c>
      <c r="D81" s="2" t="s">
        <v>6229</v>
      </c>
      <c r="E81" s="2">
        <v>171074.0</v>
      </c>
      <c r="F81" s="2">
        <v>1269.0</v>
      </c>
      <c r="G81" s="2">
        <v>52.0</v>
      </c>
      <c r="H81" s="2" t="s">
        <v>5905</v>
      </c>
      <c r="I81" s="2" t="s">
        <v>5905</v>
      </c>
      <c r="J81" s="2" t="s">
        <v>6171</v>
      </c>
      <c r="K81" s="2" t="s">
        <v>6230</v>
      </c>
      <c r="L81" s="10" t="s">
        <v>6231</v>
      </c>
    </row>
    <row r="82">
      <c r="A82" s="2" t="s">
        <v>5288</v>
      </c>
      <c r="B82" s="2" t="s">
        <v>6232</v>
      </c>
      <c r="C82" s="2">
        <v>2.244940797E9</v>
      </c>
      <c r="D82" s="2" t="s">
        <v>5288</v>
      </c>
      <c r="E82" s="2">
        <v>6220364.0</v>
      </c>
      <c r="F82" s="2">
        <v>196.0</v>
      </c>
      <c r="G82" s="2">
        <v>33786.0</v>
      </c>
      <c r="H82" s="2" t="s">
        <v>5906</v>
      </c>
      <c r="I82" s="2" t="s">
        <v>5906</v>
      </c>
      <c r="K82" s="2" t="s">
        <v>6233</v>
      </c>
      <c r="L82" s="10" t="s">
        <v>6234</v>
      </c>
    </row>
    <row r="83">
      <c r="A83" s="2" t="s">
        <v>5288</v>
      </c>
      <c r="B83" s="2" t="s">
        <v>6235</v>
      </c>
      <c r="C83" s="2">
        <v>2.5980197E8</v>
      </c>
      <c r="D83" s="2" t="s">
        <v>6236</v>
      </c>
      <c r="E83" s="2">
        <v>633373.0</v>
      </c>
      <c r="F83" s="2">
        <v>2018.0</v>
      </c>
      <c r="G83" s="2">
        <v>11730.0</v>
      </c>
      <c r="H83" s="2" t="s">
        <v>5906</v>
      </c>
      <c r="I83" s="2" t="s">
        <v>5906</v>
      </c>
      <c r="J83" s="2" t="s">
        <v>6237</v>
      </c>
      <c r="K83" s="2" t="s">
        <v>6238</v>
      </c>
      <c r="L83" s="10" t="s">
        <v>6239</v>
      </c>
    </row>
    <row r="84">
      <c r="A84" s="2" t="s">
        <v>5288</v>
      </c>
      <c r="B84" s="2" t="s">
        <v>6240</v>
      </c>
      <c r="C84" s="2">
        <v>1.599860099E9</v>
      </c>
      <c r="D84" s="2" t="s">
        <v>6241</v>
      </c>
      <c r="E84" s="2">
        <v>2634739.0</v>
      </c>
      <c r="F84" s="2">
        <v>18.0</v>
      </c>
      <c r="G84" s="2">
        <v>17221.0</v>
      </c>
      <c r="H84" s="2" t="s">
        <v>5906</v>
      </c>
      <c r="I84" s="2" t="s">
        <v>5906</v>
      </c>
      <c r="J84" s="2" t="s">
        <v>5911</v>
      </c>
      <c r="K84" s="12" t="s">
        <v>6242</v>
      </c>
      <c r="L84" s="10" t="s">
        <v>6243</v>
      </c>
    </row>
    <row r="85">
      <c r="A85" s="2" t="s">
        <v>5288</v>
      </c>
      <c r="B85" s="2" t="s">
        <v>6244</v>
      </c>
      <c r="C85" s="2">
        <v>1.83660174E8</v>
      </c>
      <c r="D85" s="2" t="s">
        <v>6245</v>
      </c>
      <c r="E85" s="2">
        <v>4430465.0</v>
      </c>
      <c r="F85" s="2">
        <v>18.0</v>
      </c>
      <c r="G85" s="2">
        <v>15545.0</v>
      </c>
      <c r="H85" s="2" t="s">
        <v>5906</v>
      </c>
      <c r="I85" s="2" t="s">
        <v>5905</v>
      </c>
      <c r="K85" s="2" t="s">
        <v>6246</v>
      </c>
      <c r="L85" s="10" t="s">
        <v>6247</v>
      </c>
    </row>
    <row r="86">
      <c r="A86" s="2" t="s">
        <v>5288</v>
      </c>
      <c r="B86" s="2" t="s">
        <v>6248</v>
      </c>
      <c r="C86" s="2">
        <v>1.538376018E9</v>
      </c>
      <c r="D86" s="2" t="s">
        <v>6249</v>
      </c>
      <c r="E86" s="2">
        <v>340881.0</v>
      </c>
      <c r="F86" s="2">
        <v>263.0</v>
      </c>
      <c r="G86" s="2">
        <v>1410.0</v>
      </c>
      <c r="H86" s="2" t="s">
        <v>5906</v>
      </c>
      <c r="I86" s="2" t="s">
        <v>5906</v>
      </c>
      <c r="K86" s="2" t="s">
        <v>6250</v>
      </c>
      <c r="L86" s="10" t="s">
        <v>6251</v>
      </c>
    </row>
    <row r="87">
      <c r="A87" s="2" t="s">
        <v>5288</v>
      </c>
      <c r="B87" s="2" t="s">
        <v>6252</v>
      </c>
      <c r="C87" s="2">
        <v>1.364162422E9</v>
      </c>
      <c r="D87" s="2" t="s">
        <v>6253</v>
      </c>
      <c r="E87" s="2">
        <v>1.0654588E7</v>
      </c>
      <c r="F87" s="2">
        <v>415.0</v>
      </c>
      <c r="G87" s="2">
        <v>7315.0</v>
      </c>
      <c r="H87" s="2" t="s">
        <v>5906</v>
      </c>
      <c r="I87" s="2" t="s">
        <v>5906</v>
      </c>
      <c r="K87" s="2" t="s">
        <v>6254</v>
      </c>
      <c r="L87" s="10" t="s">
        <v>6255</v>
      </c>
    </row>
    <row r="88">
      <c r="A88" s="2" t="s">
        <v>5288</v>
      </c>
      <c r="B88" s="2" t="s">
        <v>6256</v>
      </c>
      <c r="C88" s="2">
        <v>2.284416575E9</v>
      </c>
      <c r="D88" s="2" t="s">
        <v>6257</v>
      </c>
      <c r="E88" s="2">
        <v>1305869.0</v>
      </c>
      <c r="F88" s="2">
        <v>721.0</v>
      </c>
      <c r="G88" s="2">
        <v>6612.0</v>
      </c>
      <c r="H88" s="2" t="s">
        <v>5906</v>
      </c>
      <c r="I88" s="2" t="s">
        <v>5906</v>
      </c>
      <c r="J88" s="2" t="s">
        <v>5968</v>
      </c>
      <c r="K88" s="2" t="s">
        <v>6258</v>
      </c>
      <c r="L88" s="10" t="s">
        <v>6259</v>
      </c>
    </row>
    <row r="89">
      <c r="A89" s="2" t="s">
        <v>5288</v>
      </c>
      <c r="B89" s="2" t="s">
        <v>6260</v>
      </c>
      <c r="C89" s="2">
        <v>2.46165002E8</v>
      </c>
      <c r="D89" s="2" t="s">
        <v>6261</v>
      </c>
      <c r="E89" s="2">
        <v>2888960.0</v>
      </c>
      <c r="F89" s="2">
        <v>276.0</v>
      </c>
      <c r="G89" s="2">
        <v>14722.0</v>
      </c>
      <c r="H89" s="2" t="s">
        <v>5906</v>
      </c>
      <c r="I89" s="2" t="s">
        <v>5905</v>
      </c>
      <c r="K89" s="2" t="s">
        <v>6262</v>
      </c>
      <c r="L89" s="10" t="s">
        <v>6263</v>
      </c>
    </row>
    <row r="90">
      <c r="A90" s="2" t="s">
        <v>5288</v>
      </c>
      <c r="B90" s="2" t="s">
        <v>6264</v>
      </c>
      <c r="C90" s="2">
        <v>1.6278726E7</v>
      </c>
      <c r="D90" s="2" t="s">
        <v>6265</v>
      </c>
      <c r="E90" s="2">
        <v>2.9457087E7</v>
      </c>
      <c r="F90" s="2">
        <v>16.0</v>
      </c>
      <c r="G90" s="2">
        <v>24947.0</v>
      </c>
      <c r="H90" s="2" t="s">
        <v>5906</v>
      </c>
      <c r="I90" s="2" t="s">
        <v>5906</v>
      </c>
      <c r="K90" s="2" t="s">
        <v>6266</v>
      </c>
      <c r="L90" s="10" t="s">
        <v>6267</v>
      </c>
    </row>
    <row r="91">
      <c r="A91" s="2" t="s">
        <v>5288</v>
      </c>
      <c r="B91" s="2" t="s">
        <v>6268</v>
      </c>
      <c r="C91" s="2">
        <v>5.758249963E9</v>
      </c>
      <c r="D91" s="2" t="s">
        <v>6269</v>
      </c>
      <c r="E91" s="2">
        <v>967819.0</v>
      </c>
      <c r="F91" s="2">
        <v>91.0</v>
      </c>
      <c r="G91" s="2">
        <v>14421.0</v>
      </c>
      <c r="H91" s="2" t="s">
        <v>5906</v>
      </c>
      <c r="I91" s="2" t="s">
        <v>5906</v>
      </c>
      <c r="J91" s="2" t="s">
        <v>5959</v>
      </c>
      <c r="K91" s="2" t="s">
        <v>6270</v>
      </c>
      <c r="L91" s="10" t="s">
        <v>6271</v>
      </c>
    </row>
    <row r="92">
      <c r="A92" s="2" t="s">
        <v>5288</v>
      </c>
      <c r="B92" s="2" t="s">
        <v>6272</v>
      </c>
      <c r="C92" s="2">
        <v>1.381895679E9</v>
      </c>
      <c r="D92" s="2" t="s">
        <v>6273</v>
      </c>
      <c r="E92" s="2">
        <v>2.3084832E7</v>
      </c>
      <c r="F92" s="2">
        <v>18.0</v>
      </c>
      <c r="G92" s="2">
        <v>121595.0</v>
      </c>
      <c r="H92" s="2" t="s">
        <v>5906</v>
      </c>
      <c r="I92" s="2" t="s">
        <v>5906</v>
      </c>
      <c r="K92" s="12" t="s">
        <v>6274</v>
      </c>
      <c r="L92" s="10" t="s">
        <v>6275</v>
      </c>
    </row>
    <row r="93">
      <c r="A93" s="2" t="s">
        <v>5288</v>
      </c>
      <c r="B93" s="2" t="s">
        <v>6276</v>
      </c>
      <c r="C93" s="2">
        <v>3810502.0</v>
      </c>
      <c r="D93" s="2" t="s">
        <v>6277</v>
      </c>
      <c r="E93" s="2">
        <v>1945829.0</v>
      </c>
      <c r="F93" s="2">
        <v>592.0</v>
      </c>
      <c r="G93" s="2">
        <v>16026.0</v>
      </c>
      <c r="H93" s="2" t="s">
        <v>5906</v>
      </c>
      <c r="I93" s="2" t="s">
        <v>5906</v>
      </c>
      <c r="J93" s="2" t="s">
        <v>6237</v>
      </c>
      <c r="K93" s="2" t="s">
        <v>6278</v>
      </c>
      <c r="L93" s="10" t="s">
        <v>6279</v>
      </c>
    </row>
    <row r="94">
      <c r="A94" s="2" t="s">
        <v>5288</v>
      </c>
      <c r="B94" s="2" t="s">
        <v>6280</v>
      </c>
      <c r="C94" s="2">
        <v>3.276826776E9</v>
      </c>
      <c r="D94" s="2" t="s">
        <v>6281</v>
      </c>
      <c r="E94" s="2">
        <v>364926.0</v>
      </c>
      <c r="F94" s="2">
        <v>126.0</v>
      </c>
      <c r="G94" s="2">
        <v>3408.0</v>
      </c>
      <c r="H94" s="2" t="s">
        <v>5906</v>
      </c>
      <c r="I94" s="2" t="s">
        <v>5906</v>
      </c>
      <c r="J94" s="2" t="s">
        <v>6237</v>
      </c>
      <c r="K94" s="2" t="s">
        <v>6282</v>
      </c>
      <c r="L94" s="10" t="s">
        <v>6283</v>
      </c>
    </row>
    <row r="95">
      <c r="A95" s="2" t="s">
        <v>5288</v>
      </c>
      <c r="B95" s="2" t="s">
        <v>6284</v>
      </c>
      <c r="C95" s="2">
        <v>2.236797564E9</v>
      </c>
      <c r="D95" s="2" t="s">
        <v>6285</v>
      </c>
      <c r="E95" s="2">
        <v>624171.0</v>
      </c>
      <c r="F95" s="2">
        <v>108.0</v>
      </c>
      <c r="G95" s="2">
        <v>13570.0</v>
      </c>
      <c r="H95" s="2" t="s">
        <v>5906</v>
      </c>
      <c r="I95" s="2" t="s">
        <v>5906</v>
      </c>
      <c r="K95" s="2" t="s">
        <v>6286</v>
      </c>
      <c r="L95" s="10" t="s">
        <v>6287</v>
      </c>
    </row>
    <row r="96">
      <c r="A96" s="2" t="s">
        <v>5288</v>
      </c>
      <c r="B96" s="2" t="s">
        <v>6288</v>
      </c>
      <c r="C96" s="2">
        <v>3.49617059E8</v>
      </c>
      <c r="D96" s="2" t="s">
        <v>6289</v>
      </c>
      <c r="E96" s="2">
        <v>3562592.0</v>
      </c>
      <c r="F96" s="2">
        <v>735.0</v>
      </c>
      <c r="G96" s="2">
        <v>37429.0</v>
      </c>
      <c r="H96" s="2" t="s">
        <v>5906</v>
      </c>
      <c r="I96" s="2" t="s">
        <v>5906</v>
      </c>
      <c r="J96" s="2" t="s">
        <v>6290</v>
      </c>
      <c r="K96" s="2" t="s">
        <v>6291</v>
      </c>
      <c r="L96" s="10" t="s">
        <v>6292</v>
      </c>
    </row>
    <row r="97">
      <c r="A97" s="2" t="s">
        <v>5288</v>
      </c>
      <c r="B97" s="2" t="s">
        <v>6293</v>
      </c>
      <c r="C97" s="2">
        <v>2.14191157E8</v>
      </c>
      <c r="D97" s="2" t="s">
        <v>6294</v>
      </c>
      <c r="E97" s="2">
        <v>606350.0</v>
      </c>
      <c r="F97" s="2">
        <v>810.0</v>
      </c>
      <c r="G97" s="2">
        <v>1503.0</v>
      </c>
      <c r="H97" s="2" t="s">
        <v>5905</v>
      </c>
      <c r="I97" s="2" t="s">
        <v>5905</v>
      </c>
      <c r="J97" s="2" t="s">
        <v>5959</v>
      </c>
      <c r="K97" s="2" t="s">
        <v>6295</v>
      </c>
      <c r="L97" s="10" t="s">
        <v>6296</v>
      </c>
    </row>
    <row r="98">
      <c r="A98" s="2" t="s">
        <v>5288</v>
      </c>
      <c r="B98" s="2" t="s">
        <v>6297</v>
      </c>
      <c r="C98" s="2">
        <v>7.438309308E9</v>
      </c>
      <c r="D98" s="2" t="s">
        <v>6298</v>
      </c>
      <c r="E98" s="2">
        <v>117235.0</v>
      </c>
      <c r="F98" s="2">
        <v>514.0</v>
      </c>
      <c r="G98" s="2">
        <v>3278.0</v>
      </c>
      <c r="H98" s="2" t="s">
        <v>5906</v>
      </c>
      <c r="I98" s="2" t="s">
        <v>5906</v>
      </c>
      <c r="J98" s="2" t="s">
        <v>5907</v>
      </c>
      <c r="K98" s="2" t="s">
        <v>6299</v>
      </c>
      <c r="L98" s="10" t="s">
        <v>6300</v>
      </c>
    </row>
    <row r="99">
      <c r="A99" s="2" t="s">
        <v>5441</v>
      </c>
      <c r="B99" s="2" t="s">
        <v>6301</v>
      </c>
      <c r="C99" s="2">
        <v>5.4105378E7</v>
      </c>
      <c r="D99" s="2" t="s">
        <v>5441</v>
      </c>
      <c r="E99" s="2">
        <v>3255205.0</v>
      </c>
      <c r="F99" s="2">
        <v>1259.0</v>
      </c>
      <c r="G99" s="2">
        <v>12070.0</v>
      </c>
      <c r="H99" s="2" t="s">
        <v>5906</v>
      </c>
      <c r="I99" s="2" t="s">
        <v>5906</v>
      </c>
      <c r="K99" s="2" t="s">
        <v>6302</v>
      </c>
      <c r="L99" s="10" t="s">
        <v>6303</v>
      </c>
    </row>
    <row r="100">
      <c r="A100" s="2" t="s">
        <v>5312</v>
      </c>
      <c r="B100" s="2" t="s">
        <v>6304</v>
      </c>
      <c r="C100" s="2">
        <v>1022625.0</v>
      </c>
      <c r="D100" s="2" t="s">
        <v>6304</v>
      </c>
      <c r="E100" s="2">
        <v>1.7544413E7</v>
      </c>
      <c r="F100" s="2">
        <v>2327.0</v>
      </c>
      <c r="G100" s="2">
        <v>38678.0</v>
      </c>
      <c r="H100" s="2" t="s">
        <v>5906</v>
      </c>
      <c r="I100" s="2" t="s">
        <v>5906</v>
      </c>
      <c r="K100" s="2" t="s">
        <v>6305</v>
      </c>
      <c r="L100" s="10" t="s">
        <v>6306</v>
      </c>
    </row>
    <row r="101">
      <c r="A101" s="2" t="s">
        <v>5312</v>
      </c>
      <c r="B101" s="2" t="s">
        <v>6307</v>
      </c>
      <c r="C101" s="2">
        <v>4.95189397E8</v>
      </c>
      <c r="D101" s="2" t="s">
        <v>6308</v>
      </c>
      <c r="E101" s="2">
        <v>1529427.0</v>
      </c>
      <c r="F101" s="2">
        <v>2653.0</v>
      </c>
      <c r="G101" s="2">
        <v>18754.0</v>
      </c>
      <c r="H101" s="2" t="s">
        <v>5906</v>
      </c>
      <c r="I101" s="2" t="s">
        <v>5905</v>
      </c>
      <c r="J101" s="2" t="s">
        <v>5911</v>
      </c>
      <c r="K101" s="2" t="s">
        <v>6309</v>
      </c>
      <c r="L101" s="10" t="s">
        <v>6310</v>
      </c>
    </row>
    <row r="102">
      <c r="A102" s="2" t="s">
        <v>5312</v>
      </c>
      <c r="B102" s="2" t="s">
        <v>6311</v>
      </c>
      <c r="C102" s="2">
        <v>3.60005626E8</v>
      </c>
      <c r="D102" s="2" t="s">
        <v>6312</v>
      </c>
      <c r="E102" s="2">
        <v>726974.0</v>
      </c>
      <c r="F102" s="2">
        <v>812.0</v>
      </c>
      <c r="G102" s="2">
        <v>11101.0</v>
      </c>
      <c r="H102" s="2" t="s">
        <v>5906</v>
      </c>
      <c r="I102" s="2" t="s">
        <v>5906</v>
      </c>
      <c r="J102" s="2" t="s">
        <v>5518</v>
      </c>
      <c r="K102" s="2" t="s">
        <v>6313</v>
      </c>
      <c r="L102" s="10" t="s">
        <v>6314</v>
      </c>
    </row>
    <row r="103">
      <c r="A103" s="2" t="s">
        <v>5312</v>
      </c>
      <c r="B103" s="2" t="s">
        <v>6315</v>
      </c>
      <c r="C103" s="2">
        <v>5.9193604826E10</v>
      </c>
      <c r="D103" s="2" t="s">
        <v>6316</v>
      </c>
      <c r="E103" s="2">
        <v>44069.0</v>
      </c>
      <c r="F103" s="2">
        <v>518.0</v>
      </c>
      <c r="G103" s="2">
        <v>793.0</v>
      </c>
      <c r="H103" s="2" t="s">
        <v>5906</v>
      </c>
      <c r="I103" s="2" t="s">
        <v>5905</v>
      </c>
      <c r="J103" s="2" t="s">
        <v>5911</v>
      </c>
      <c r="K103" s="2" t="s">
        <v>6317</v>
      </c>
      <c r="L103" s="10" t="s">
        <v>6318</v>
      </c>
    </row>
    <row r="104">
      <c r="A104" s="2" t="s">
        <v>5312</v>
      </c>
      <c r="B104" s="2" t="s">
        <v>6319</v>
      </c>
      <c r="C104" s="2">
        <v>8.512771184E9</v>
      </c>
      <c r="D104" s="2" t="s">
        <v>6320</v>
      </c>
      <c r="E104" s="2">
        <v>971782.0</v>
      </c>
      <c r="F104" s="2">
        <v>20.0</v>
      </c>
      <c r="G104" s="2">
        <v>2579.0</v>
      </c>
      <c r="H104" s="2" t="s">
        <v>5906</v>
      </c>
      <c r="I104" s="2" t="s">
        <v>5906</v>
      </c>
      <c r="J104" s="2" t="s">
        <v>6321</v>
      </c>
      <c r="K104" s="2" t="s">
        <v>6322</v>
      </c>
      <c r="L104" s="10" t="s">
        <v>6323</v>
      </c>
    </row>
    <row r="105">
      <c r="A105" s="2" t="s">
        <v>5312</v>
      </c>
      <c r="B105" s="2" t="s">
        <v>6324</v>
      </c>
      <c r="C105" s="2">
        <v>5.8722885014E10</v>
      </c>
      <c r="D105" s="2" t="s">
        <v>6325</v>
      </c>
      <c r="E105" s="2">
        <v>85511.0</v>
      </c>
      <c r="F105" s="2">
        <v>549.0</v>
      </c>
      <c r="G105" s="2">
        <v>2182.0</v>
      </c>
      <c r="H105" s="2" t="s">
        <v>5906</v>
      </c>
      <c r="I105" s="2" t="s">
        <v>5905</v>
      </c>
      <c r="J105" s="2" t="s">
        <v>5561</v>
      </c>
      <c r="K105" s="2" t="s">
        <v>6326</v>
      </c>
      <c r="L105" s="10" t="s">
        <v>6327</v>
      </c>
    </row>
    <row r="106">
      <c r="A106" s="2" t="s">
        <v>5312</v>
      </c>
      <c r="B106" s="2" t="s">
        <v>6328</v>
      </c>
      <c r="C106" s="2">
        <v>1.804261342E9</v>
      </c>
      <c r="D106" s="2" t="s">
        <v>6329</v>
      </c>
      <c r="E106" s="2">
        <v>317118.0</v>
      </c>
      <c r="F106" s="2">
        <v>1107.0</v>
      </c>
      <c r="G106" s="2">
        <v>2237.0</v>
      </c>
      <c r="H106" s="2" t="s">
        <v>5906</v>
      </c>
      <c r="I106" s="2" t="s">
        <v>5906</v>
      </c>
      <c r="J106" s="2" t="s">
        <v>5911</v>
      </c>
      <c r="K106" s="2" t="s">
        <v>6330</v>
      </c>
      <c r="L106" s="10" t="s">
        <v>6331</v>
      </c>
    </row>
    <row r="107">
      <c r="A107" s="2" t="s">
        <v>5312</v>
      </c>
      <c r="B107" s="2" t="s">
        <v>6332</v>
      </c>
      <c r="C107" s="2">
        <v>1.0258010126E10</v>
      </c>
      <c r="D107" s="2" t="s">
        <v>6333</v>
      </c>
      <c r="E107" s="2">
        <v>161978.0</v>
      </c>
      <c r="F107" s="2">
        <v>1035.0</v>
      </c>
      <c r="G107" s="2">
        <v>634.0</v>
      </c>
      <c r="H107" s="2" t="s">
        <v>5906</v>
      </c>
      <c r="I107" s="2" t="s">
        <v>5906</v>
      </c>
      <c r="J107" s="2" t="s">
        <v>5480</v>
      </c>
      <c r="K107" s="2" t="s">
        <v>6334</v>
      </c>
      <c r="L107" s="10" t="s">
        <v>6335</v>
      </c>
    </row>
    <row r="108">
      <c r="A108" s="2" t="s">
        <v>5312</v>
      </c>
      <c r="B108" s="2" t="s">
        <v>6336</v>
      </c>
      <c r="C108" s="2">
        <v>4.541183689E9</v>
      </c>
      <c r="D108" s="2" t="s">
        <v>6337</v>
      </c>
      <c r="E108" s="2">
        <v>745702.0</v>
      </c>
      <c r="F108" s="2">
        <v>622.0</v>
      </c>
      <c r="G108" s="2">
        <v>8537.0</v>
      </c>
      <c r="H108" s="2" t="s">
        <v>5906</v>
      </c>
      <c r="I108" s="2" t="s">
        <v>5906</v>
      </c>
      <c r="J108" s="2" t="s">
        <v>5911</v>
      </c>
      <c r="K108" s="2" t="s">
        <v>6338</v>
      </c>
      <c r="L108" s="10" t="s">
        <v>6339</v>
      </c>
    </row>
    <row r="109">
      <c r="A109" s="2" t="s">
        <v>5312</v>
      </c>
      <c r="B109" s="2" t="s">
        <v>6340</v>
      </c>
      <c r="C109" s="2">
        <v>7.304559845E9</v>
      </c>
      <c r="D109" s="2" t="s">
        <v>6341</v>
      </c>
      <c r="E109" s="2">
        <v>1208077.0</v>
      </c>
      <c r="F109" s="2">
        <v>1.0</v>
      </c>
      <c r="G109" s="2">
        <v>1898.0</v>
      </c>
      <c r="H109" s="2" t="s">
        <v>5906</v>
      </c>
      <c r="I109" s="2" t="s">
        <v>5905</v>
      </c>
      <c r="J109" s="2" t="s">
        <v>5561</v>
      </c>
      <c r="K109" s="2" t="s">
        <v>6342</v>
      </c>
      <c r="L109" s="10" t="s">
        <v>6343</v>
      </c>
    </row>
    <row r="110">
      <c r="A110" s="2" t="s">
        <v>5312</v>
      </c>
      <c r="B110" s="2" t="s">
        <v>6344</v>
      </c>
      <c r="C110" s="2">
        <v>2.208920994E9</v>
      </c>
      <c r="D110" s="2" t="s">
        <v>6345</v>
      </c>
      <c r="E110" s="2">
        <v>1567842.0</v>
      </c>
      <c r="F110" s="2">
        <v>971.0</v>
      </c>
      <c r="G110" s="2">
        <v>9462.0</v>
      </c>
      <c r="H110" s="2" t="s">
        <v>5906</v>
      </c>
      <c r="I110" s="2" t="s">
        <v>5906</v>
      </c>
      <c r="J110" s="2" t="s">
        <v>5911</v>
      </c>
      <c r="K110" s="2" t="s">
        <v>6346</v>
      </c>
      <c r="L110" s="10" t="s">
        <v>6347</v>
      </c>
    </row>
    <row r="111">
      <c r="A111" s="2" t="s">
        <v>5312</v>
      </c>
      <c r="B111" s="2" t="s">
        <v>6348</v>
      </c>
      <c r="C111" s="2">
        <v>5.9015294895E10</v>
      </c>
      <c r="D111" s="2" t="s">
        <v>6349</v>
      </c>
      <c r="E111" s="2">
        <v>119575.0</v>
      </c>
      <c r="F111" s="2">
        <v>12.0</v>
      </c>
      <c r="G111" s="2">
        <v>1850.0</v>
      </c>
      <c r="H111" s="2" t="s">
        <v>5906</v>
      </c>
      <c r="I111" s="2" t="s">
        <v>5906</v>
      </c>
      <c r="J111" s="2" t="s">
        <v>6124</v>
      </c>
      <c r="K111" s="2" t="s">
        <v>6350</v>
      </c>
      <c r="L111" s="10" t="s">
        <v>6351</v>
      </c>
    </row>
    <row r="112">
      <c r="A112" s="2" t="s">
        <v>5312</v>
      </c>
      <c r="B112" s="2" t="s">
        <v>6352</v>
      </c>
      <c r="C112" s="2">
        <v>3.8402930374E10</v>
      </c>
      <c r="D112" s="2" t="s">
        <v>6353</v>
      </c>
      <c r="E112" s="2">
        <v>196950.0</v>
      </c>
      <c r="F112" s="2">
        <v>600.0</v>
      </c>
      <c r="G112" s="2">
        <v>209.0</v>
      </c>
      <c r="H112" s="2" t="s">
        <v>5905</v>
      </c>
      <c r="I112" s="2" t="s">
        <v>5905</v>
      </c>
      <c r="J112" s="2" t="s">
        <v>6354</v>
      </c>
      <c r="K112" s="2" t="s">
        <v>6355</v>
      </c>
    </row>
    <row r="113">
      <c r="A113" s="2" t="s">
        <v>5421</v>
      </c>
      <c r="B113" s="2" t="s">
        <v>6356</v>
      </c>
      <c r="C113" s="2">
        <v>2.8995773E7</v>
      </c>
      <c r="D113" s="2" t="s">
        <v>5421</v>
      </c>
      <c r="E113" s="2">
        <v>2.2540991E7</v>
      </c>
      <c r="F113" s="2">
        <v>898.0</v>
      </c>
      <c r="G113" s="2">
        <v>33298.0</v>
      </c>
      <c r="H113" s="2" t="s">
        <v>5906</v>
      </c>
      <c r="I113" s="2" t="s">
        <v>5906</v>
      </c>
      <c r="K113" s="2" t="s">
        <v>6357</v>
      </c>
      <c r="L113" s="10" t="s">
        <v>6358</v>
      </c>
    </row>
    <row r="114">
      <c r="A114" s="2" t="s">
        <v>5421</v>
      </c>
      <c r="B114" s="2" t="s">
        <v>6359</v>
      </c>
      <c r="C114" s="2">
        <v>4.07612085E8</v>
      </c>
      <c r="D114" s="2" t="s">
        <v>6360</v>
      </c>
      <c r="E114" s="2">
        <v>1.6379753E7</v>
      </c>
      <c r="F114" s="2">
        <v>2030.0</v>
      </c>
      <c r="G114" s="2">
        <v>57963.0</v>
      </c>
      <c r="H114" s="2" t="s">
        <v>5906</v>
      </c>
      <c r="I114" s="2" t="s">
        <v>5906</v>
      </c>
      <c r="K114" s="2" t="s">
        <v>6361</v>
      </c>
      <c r="L114" s="10" t="s">
        <v>6362</v>
      </c>
    </row>
    <row r="115">
      <c r="A115" s="2" t="s">
        <v>5421</v>
      </c>
      <c r="B115" s="2" t="s">
        <v>6363</v>
      </c>
      <c r="C115" s="2">
        <v>2.243851407E9</v>
      </c>
      <c r="D115" s="2" t="s">
        <v>6364</v>
      </c>
      <c r="E115" s="2">
        <v>1642663.0</v>
      </c>
      <c r="F115" s="2">
        <v>1482.0</v>
      </c>
      <c r="G115" s="2">
        <v>6765.0</v>
      </c>
      <c r="H115" s="2" t="s">
        <v>5906</v>
      </c>
      <c r="I115" s="2" t="s">
        <v>5906</v>
      </c>
      <c r="J115" s="2" t="s">
        <v>6290</v>
      </c>
      <c r="K115" s="2" t="s">
        <v>6365</v>
      </c>
      <c r="L115" s="10" t="s">
        <v>6366</v>
      </c>
    </row>
    <row r="116">
      <c r="A116" s="2" t="s">
        <v>5421</v>
      </c>
      <c r="B116" s="2" t="s">
        <v>6367</v>
      </c>
      <c r="C116" s="2">
        <v>2.280658981E9</v>
      </c>
      <c r="D116" s="2" t="s">
        <v>6368</v>
      </c>
      <c r="E116" s="2">
        <v>2381642.0</v>
      </c>
      <c r="F116" s="2">
        <v>665.0</v>
      </c>
      <c r="G116" s="2">
        <v>27817.0</v>
      </c>
      <c r="H116" s="2" t="s">
        <v>5906</v>
      </c>
      <c r="I116" s="2" t="s">
        <v>5906</v>
      </c>
      <c r="J116" s="2" t="s">
        <v>5561</v>
      </c>
      <c r="K116" s="2" t="s">
        <v>6369</v>
      </c>
      <c r="L116" s="10" t="s">
        <v>6370</v>
      </c>
    </row>
    <row r="117">
      <c r="A117" s="2" t="s">
        <v>5421</v>
      </c>
      <c r="B117" s="2" t="s">
        <v>6371</v>
      </c>
      <c r="C117" s="2">
        <v>4.156637834E9</v>
      </c>
      <c r="D117" s="2" t="s">
        <v>6372</v>
      </c>
      <c r="E117" s="2">
        <v>74278.0</v>
      </c>
      <c r="F117" s="2">
        <v>4.0</v>
      </c>
      <c r="G117" s="2">
        <v>149.0</v>
      </c>
      <c r="H117" s="2" t="s">
        <v>5905</v>
      </c>
      <c r="I117" s="2" t="s">
        <v>5905</v>
      </c>
      <c r="J117" s="2" t="s">
        <v>5928</v>
      </c>
      <c r="K117" s="2" t="s">
        <v>6373</v>
      </c>
    </row>
    <row r="118">
      <c r="A118" s="2" t="s">
        <v>5557</v>
      </c>
      <c r="B118" s="2" t="s">
        <v>6374</v>
      </c>
      <c r="C118" s="2">
        <v>1.1844933115E10</v>
      </c>
      <c r="D118" s="2" t="s">
        <v>6375</v>
      </c>
      <c r="E118" s="2">
        <v>12333.0</v>
      </c>
      <c r="F118" s="2">
        <v>1153.0</v>
      </c>
      <c r="G118" s="2">
        <v>276.0</v>
      </c>
      <c r="H118" s="2" t="s">
        <v>5905</v>
      </c>
      <c r="I118" s="2" t="s">
        <v>5905</v>
      </c>
      <c r="J118" s="2" t="s">
        <v>5959</v>
      </c>
      <c r="K118" s="2" t="s">
        <v>6376</v>
      </c>
    </row>
    <row r="119">
      <c r="A119" s="2" t="s">
        <v>5557</v>
      </c>
      <c r="B119" s="2" t="s">
        <v>6377</v>
      </c>
      <c r="C119" s="2">
        <v>5.581334718E9</v>
      </c>
      <c r="D119" s="2" t="s">
        <v>6378</v>
      </c>
      <c r="E119" s="2">
        <v>70024.0</v>
      </c>
      <c r="F119" s="2">
        <v>3847.0</v>
      </c>
      <c r="G119" s="2">
        <v>1470.0</v>
      </c>
      <c r="H119" s="2" t="s">
        <v>5905</v>
      </c>
      <c r="I119" s="2" t="s">
        <v>5905</v>
      </c>
      <c r="J119" s="2" t="s">
        <v>5492</v>
      </c>
      <c r="K119" s="2" t="s">
        <v>6379</v>
      </c>
    </row>
    <row r="120">
      <c r="A120" s="2" t="s">
        <v>5557</v>
      </c>
      <c r="B120" s="2" t="s">
        <v>6380</v>
      </c>
      <c r="C120" s="2">
        <v>1.4317300628E10</v>
      </c>
      <c r="D120" s="2" t="s">
        <v>6380</v>
      </c>
      <c r="E120" s="2">
        <v>510508.0</v>
      </c>
      <c r="F120" s="2">
        <v>80.0</v>
      </c>
      <c r="G120" s="2">
        <v>772.0</v>
      </c>
      <c r="H120" s="2" t="s">
        <v>5905</v>
      </c>
      <c r="I120" s="2" t="s">
        <v>5906</v>
      </c>
      <c r="J120" s="2" t="s">
        <v>5993</v>
      </c>
      <c r="K120" s="2" t="s">
        <v>6381</v>
      </c>
      <c r="L120" s="10" t="s">
        <v>6382</v>
      </c>
    </row>
    <row r="121">
      <c r="A121" s="2" t="s">
        <v>5557</v>
      </c>
      <c r="B121" s="2" t="s">
        <v>6383</v>
      </c>
      <c r="C121" s="2">
        <v>1.4544181E8</v>
      </c>
      <c r="D121" s="2" t="s">
        <v>6384</v>
      </c>
      <c r="E121" s="2">
        <v>3268776.0</v>
      </c>
      <c r="F121" s="2">
        <v>1011.0</v>
      </c>
      <c r="G121" s="2">
        <v>6293.0</v>
      </c>
      <c r="H121" s="2" t="s">
        <v>5906</v>
      </c>
      <c r="I121" s="2" t="s">
        <v>5905</v>
      </c>
      <c r="J121" s="2" t="s">
        <v>5391</v>
      </c>
      <c r="K121" s="2" t="s">
        <v>6385</v>
      </c>
      <c r="L121" s="10" t="s">
        <v>6386</v>
      </c>
    </row>
    <row r="122">
      <c r="A122" s="2" t="s">
        <v>5557</v>
      </c>
      <c r="B122" s="2" t="s">
        <v>6387</v>
      </c>
      <c r="C122" s="2">
        <v>5.789221354E9</v>
      </c>
      <c r="D122" s="2" t="s">
        <v>6388</v>
      </c>
      <c r="E122" s="2">
        <v>4382861.0</v>
      </c>
      <c r="F122" s="2">
        <v>2235.0</v>
      </c>
      <c r="G122" s="2">
        <v>3076.0</v>
      </c>
      <c r="H122" s="2" t="s">
        <v>5906</v>
      </c>
      <c r="I122" s="2" t="s">
        <v>5905</v>
      </c>
      <c r="J122" s="2" t="s">
        <v>5993</v>
      </c>
      <c r="K122" s="2" t="s">
        <v>6389</v>
      </c>
      <c r="L122" s="10" t="s">
        <v>6390</v>
      </c>
    </row>
    <row r="123">
      <c r="A123" s="2" t="s">
        <v>5557</v>
      </c>
      <c r="B123" s="2" t="s">
        <v>6391</v>
      </c>
      <c r="C123" s="2">
        <v>2.1523794433E10</v>
      </c>
      <c r="D123" s="2" t="s">
        <v>6392</v>
      </c>
      <c r="E123" s="2">
        <v>1054551.0</v>
      </c>
      <c r="F123" s="2">
        <v>883.0</v>
      </c>
      <c r="G123" s="2">
        <v>400.0</v>
      </c>
      <c r="H123" s="2" t="s">
        <v>5906</v>
      </c>
      <c r="I123" s="2" t="s">
        <v>5905</v>
      </c>
      <c r="J123" s="2" t="s">
        <v>6393</v>
      </c>
      <c r="K123" s="2" t="s">
        <v>6394</v>
      </c>
      <c r="L123" s="10" t="s">
        <v>6395</v>
      </c>
    </row>
    <row r="124">
      <c r="A124" s="2" t="s">
        <v>5557</v>
      </c>
      <c r="B124" s="2" t="s">
        <v>6396</v>
      </c>
      <c r="C124" s="2">
        <v>1.258093252E9</v>
      </c>
      <c r="D124" s="2" t="s">
        <v>6397</v>
      </c>
      <c r="E124" s="2">
        <v>1807323.0</v>
      </c>
      <c r="F124" s="2">
        <v>6.0</v>
      </c>
      <c r="G124" s="2">
        <v>12433.0</v>
      </c>
      <c r="H124" s="2" t="s">
        <v>5905</v>
      </c>
      <c r="I124" s="2" t="s">
        <v>5905</v>
      </c>
      <c r="J124" s="2" t="s">
        <v>6393</v>
      </c>
      <c r="K124" s="2" t="s">
        <v>6398</v>
      </c>
      <c r="L124" s="10" t="s">
        <v>6399</v>
      </c>
    </row>
    <row r="125">
      <c r="A125" s="2" t="s">
        <v>5557</v>
      </c>
      <c r="B125" s="2" t="s">
        <v>6400</v>
      </c>
      <c r="C125" s="2">
        <v>5.8437663861E10</v>
      </c>
      <c r="D125" s="2" t="s">
        <v>6401</v>
      </c>
      <c r="E125" s="2">
        <v>14767.0</v>
      </c>
      <c r="F125" s="2">
        <v>1233.0</v>
      </c>
      <c r="G125" s="2">
        <v>151.0</v>
      </c>
      <c r="H125" s="2" t="s">
        <v>5905</v>
      </c>
      <c r="I125" s="2" t="s">
        <v>5906</v>
      </c>
      <c r="J125" s="2" t="s">
        <v>5959</v>
      </c>
      <c r="K125" s="2" t="s">
        <v>6402</v>
      </c>
      <c r="L125" s="10" t="s">
        <v>6403</v>
      </c>
    </row>
    <row r="126">
      <c r="A126" s="2" t="s">
        <v>5557</v>
      </c>
      <c r="B126" s="2" t="s">
        <v>6404</v>
      </c>
      <c r="C126" s="2">
        <v>5.947035561E9</v>
      </c>
      <c r="D126" s="2" t="s">
        <v>6405</v>
      </c>
      <c r="E126" s="2">
        <v>285612.0</v>
      </c>
      <c r="F126" s="2">
        <v>84.0</v>
      </c>
      <c r="G126" s="2">
        <v>2090.0</v>
      </c>
      <c r="H126" s="2" t="s">
        <v>5906</v>
      </c>
      <c r="I126" s="2" t="s">
        <v>5905</v>
      </c>
      <c r="J126" s="2" t="s">
        <v>5492</v>
      </c>
      <c r="K126" s="2" t="s">
        <v>6406</v>
      </c>
      <c r="L126" s="10" t="s">
        <v>6407</v>
      </c>
    </row>
    <row r="127">
      <c r="A127" s="2" t="s">
        <v>5557</v>
      </c>
      <c r="B127" s="2" t="s">
        <v>6408</v>
      </c>
      <c r="C127" s="2">
        <v>5.91067385E9</v>
      </c>
      <c r="D127" s="2" t="s">
        <v>6409</v>
      </c>
      <c r="E127" s="2">
        <v>452977.0</v>
      </c>
      <c r="F127" s="2">
        <v>389.0</v>
      </c>
      <c r="G127" s="2">
        <v>1896.0</v>
      </c>
      <c r="H127" s="2" t="s">
        <v>5905</v>
      </c>
      <c r="I127" s="2" t="s">
        <v>5905</v>
      </c>
      <c r="J127" s="2" t="s">
        <v>6410</v>
      </c>
      <c r="K127" s="2" t="s">
        <v>6411</v>
      </c>
    </row>
    <row r="128">
      <c r="A128" s="2" t="s">
        <v>5557</v>
      </c>
      <c r="B128" s="2" t="s">
        <v>6412</v>
      </c>
      <c r="C128" s="2">
        <v>1.1210761391E10</v>
      </c>
      <c r="D128" s="2" t="s">
        <v>6413</v>
      </c>
      <c r="E128" s="2">
        <v>3619317.0</v>
      </c>
      <c r="F128" s="2">
        <v>1059.0</v>
      </c>
      <c r="G128" s="2">
        <v>1021.0</v>
      </c>
      <c r="H128" s="2" t="s">
        <v>5906</v>
      </c>
      <c r="I128" s="2" t="s">
        <v>5905</v>
      </c>
      <c r="J128" s="2" t="s">
        <v>6414</v>
      </c>
      <c r="K128" s="2" t="s">
        <v>6415</v>
      </c>
    </row>
    <row r="129">
      <c r="A129" s="2" t="s">
        <v>5557</v>
      </c>
      <c r="B129" s="2" t="s">
        <v>6416</v>
      </c>
      <c r="C129" s="2">
        <v>7.1441352445E10</v>
      </c>
      <c r="D129" s="2" t="s">
        <v>6417</v>
      </c>
      <c r="E129" s="2">
        <v>13655.0</v>
      </c>
      <c r="F129" s="2">
        <v>4.0</v>
      </c>
      <c r="G129" s="2">
        <v>439.0</v>
      </c>
      <c r="H129" s="2" t="s">
        <v>5905</v>
      </c>
      <c r="I129" s="2" t="s">
        <v>5905</v>
      </c>
      <c r="J129" s="2" t="s">
        <v>5492</v>
      </c>
      <c r="K129" s="2" t="s">
        <v>6418</v>
      </c>
      <c r="L129" s="10" t="s">
        <v>6419</v>
      </c>
    </row>
    <row r="130">
      <c r="A130" s="2" t="s">
        <v>5557</v>
      </c>
      <c r="B130" s="2" t="s">
        <v>6420</v>
      </c>
      <c r="C130" s="2">
        <v>9.24036632E8</v>
      </c>
      <c r="D130" s="2" t="s">
        <v>6421</v>
      </c>
      <c r="E130" s="2">
        <v>1143294.0</v>
      </c>
      <c r="F130" s="2">
        <v>1.0</v>
      </c>
      <c r="G130" s="2">
        <v>6953.0</v>
      </c>
      <c r="H130" s="2" t="s">
        <v>5905</v>
      </c>
      <c r="I130" s="2" t="s">
        <v>5905</v>
      </c>
      <c r="J130" s="2" t="s">
        <v>5959</v>
      </c>
      <c r="L130" s="10" t="s">
        <v>6422</v>
      </c>
    </row>
    <row r="131">
      <c r="A131" s="2" t="s">
        <v>5492</v>
      </c>
      <c r="B131" s="2" t="s">
        <v>6423</v>
      </c>
      <c r="C131" s="2">
        <v>3.05638773E8</v>
      </c>
      <c r="D131" s="12" t="s">
        <v>6424</v>
      </c>
      <c r="E131" s="2">
        <v>167218.0</v>
      </c>
      <c r="F131" s="2">
        <v>984.0</v>
      </c>
      <c r="G131" s="2">
        <v>398.0</v>
      </c>
      <c r="H131" s="2" t="s">
        <v>5905</v>
      </c>
      <c r="I131" s="2" t="s">
        <v>5905</v>
      </c>
      <c r="J131" s="2" t="s">
        <v>5492</v>
      </c>
      <c r="K131" s="12" t="s">
        <v>6425</v>
      </c>
    </row>
    <row r="132">
      <c r="A132" s="2" t="s">
        <v>5492</v>
      </c>
      <c r="B132" s="2" t="s">
        <v>6426</v>
      </c>
      <c r="C132" s="2">
        <v>2.121679415E9</v>
      </c>
      <c r="D132" s="2" t="s">
        <v>6427</v>
      </c>
      <c r="E132" s="2">
        <v>122469.0</v>
      </c>
      <c r="F132" s="2">
        <v>198.0</v>
      </c>
      <c r="G132" s="2">
        <v>655.0</v>
      </c>
      <c r="H132" s="2" t="s">
        <v>5906</v>
      </c>
      <c r="I132" s="2" t="s">
        <v>5906</v>
      </c>
      <c r="J132" s="2" t="s">
        <v>5959</v>
      </c>
      <c r="K132" s="2" t="s">
        <v>6428</v>
      </c>
    </row>
    <row r="133">
      <c r="A133" s="2" t="s">
        <v>5492</v>
      </c>
      <c r="B133" s="2" t="s">
        <v>6429</v>
      </c>
      <c r="C133" s="2">
        <v>2.2588247E7</v>
      </c>
      <c r="D133" s="2" t="s">
        <v>6430</v>
      </c>
      <c r="E133" s="2">
        <v>29676.0</v>
      </c>
      <c r="F133" s="2">
        <v>434.0</v>
      </c>
      <c r="G133" s="2">
        <v>377.0</v>
      </c>
      <c r="H133" s="2" t="s">
        <v>5906</v>
      </c>
      <c r="I133" s="2" t="s">
        <v>5905</v>
      </c>
      <c r="J133" s="2" t="s">
        <v>5959</v>
      </c>
      <c r="K133" s="12" t="s">
        <v>6431</v>
      </c>
      <c r="L133" s="10" t="s">
        <v>6432</v>
      </c>
    </row>
    <row r="134">
      <c r="A134" s="2" t="s">
        <v>5492</v>
      </c>
      <c r="B134" s="2" t="s">
        <v>6433</v>
      </c>
      <c r="C134" s="2">
        <v>1.491637794E9</v>
      </c>
      <c r="D134" s="2" t="s">
        <v>6434</v>
      </c>
      <c r="E134" s="2">
        <v>2519307.0</v>
      </c>
      <c r="F134" s="2">
        <v>1489.0</v>
      </c>
      <c r="G134" s="2">
        <v>3178.0</v>
      </c>
      <c r="H134" s="2" t="s">
        <v>5906</v>
      </c>
      <c r="I134" s="2" t="s">
        <v>5906</v>
      </c>
      <c r="J134" s="2" t="s">
        <v>5928</v>
      </c>
      <c r="K134" s="2" t="s">
        <v>6435</v>
      </c>
      <c r="L134" s="10" t="s">
        <v>6436</v>
      </c>
    </row>
    <row r="135">
      <c r="A135" s="2" t="s">
        <v>5492</v>
      </c>
      <c r="B135" s="2" t="s">
        <v>6437</v>
      </c>
      <c r="C135" s="2">
        <v>2.36027314E8</v>
      </c>
      <c r="D135" s="12" t="s">
        <v>6438</v>
      </c>
      <c r="E135" s="2">
        <v>35819.0</v>
      </c>
      <c r="F135" s="2">
        <v>1644.0</v>
      </c>
      <c r="G135" s="2">
        <v>627.0</v>
      </c>
      <c r="H135" s="2" t="s">
        <v>5906</v>
      </c>
      <c r="I135" s="2" t="s">
        <v>5905</v>
      </c>
      <c r="J135" s="2" t="s">
        <v>6393</v>
      </c>
      <c r="K135" s="12" t="s">
        <v>6439</v>
      </c>
      <c r="L135" s="10" t="s">
        <v>6440</v>
      </c>
    </row>
    <row r="136">
      <c r="A136" s="2" t="s">
        <v>5492</v>
      </c>
      <c r="B136" s="2" t="s">
        <v>6441</v>
      </c>
      <c r="C136" s="2">
        <v>1.0687023E7</v>
      </c>
      <c r="D136" s="2" t="s">
        <v>6442</v>
      </c>
      <c r="E136" s="2">
        <v>269580.0</v>
      </c>
      <c r="F136" s="2">
        <v>1499.0</v>
      </c>
      <c r="G136" s="2">
        <v>2204.0</v>
      </c>
      <c r="H136" s="2" t="s">
        <v>5906</v>
      </c>
      <c r="I136" s="2" t="s">
        <v>5905</v>
      </c>
      <c r="J136" s="2" t="s">
        <v>5492</v>
      </c>
      <c r="K136" s="2" t="s">
        <v>6443</v>
      </c>
      <c r="L136" s="10" t="s">
        <v>6444</v>
      </c>
    </row>
    <row r="137">
      <c r="A137" s="2" t="s">
        <v>5492</v>
      </c>
      <c r="B137" s="2" t="s">
        <v>6445</v>
      </c>
      <c r="C137" s="2">
        <v>2.5325170316E10</v>
      </c>
      <c r="D137" s="2" t="s">
        <v>6446</v>
      </c>
      <c r="E137" s="2">
        <v>75569.0</v>
      </c>
      <c r="F137" s="2">
        <v>557.0</v>
      </c>
      <c r="G137" s="2">
        <v>709.0</v>
      </c>
      <c r="H137" s="2" t="s">
        <v>5906</v>
      </c>
      <c r="I137" s="2" t="s">
        <v>5906</v>
      </c>
      <c r="J137" s="2" t="s">
        <v>5391</v>
      </c>
      <c r="K137" s="2" t="s">
        <v>6447</v>
      </c>
      <c r="L137" s="10" t="s">
        <v>6448</v>
      </c>
    </row>
    <row r="138">
      <c r="A138" s="2" t="s">
        <v>5492</v>
      </c>
      <c r="B138" s="2" t="s">
        <v>6449</v>
      </c>
      <c r="C138" s="2">
        <v>1.98451955E8</v>
      </c>
      <c r="D138" s="12" t="s">
        <v>6450</v>
      </c>
      <c r="E138" s="2">
        <v>138768.0</v>
      </c>
      <c r="F138" s="2">
        <v>540.0</v>
      </c>
      <c r="G138" s="2">
        <v>1351.0</v>
      </c>
      <c r="H138" s="2" t="s">
        <v>5906</v>
      </c>
      <c r="I138" s="2" t="s">
        <v>5905</v>
      </c>
      <c r="J138" s="2" t="s">
        <v>6393</v>
      </c>
      <c r="K138" s="12" t="s">
        <v>6451</v>
      </c>
      <c r="L138" s="10" t="s">
        <v>6452</v>
      </c>
    </row>
    <row r="139">
      <c r="A139" s="2" t="s">
        <v>5492</v>
      </c>
      <c r="B139" s="2" t="s">
        <v>6453</v>
      </c>
      <c r="C139" s="2">
        <v>3.350171919E10</v>
      </c>
      <c r="D139" s="2" t="s">
        <v>6454</v>
      </c>
      <c r="E139" s="2">
        <v>252795.0</v>
      </c>
      <c r="F139" s="2">
        <v>615.0</v>
      </c>
      <c r="G139" s="2">
        <v>13893.0</v>
      </c>
      <c r="H139" s="2" t="s">
        <v>5906</v>
      </c>
      <c r="I139" s="2" t="s">
        <v>5906</v>
      </c>
      <c r="J139" s="2" t="s">
        <v>5492</v>
      </c>
      <c r="K139" s="2" t="s">
        <v>6455</v>
      </c>
      <c r="L139" s="10" t="s">
        <v>6456</v>
      </c>
    </row>
    <row r="140">
      <c r="A140" s="2" t="s">
        <v>5492</v>
      </c>
      <c r="B140" s="2" t="s">
        <v>6457</v>
      </c>
      <c r="C140" s="2">
        <v>7.406590874E9</v>
      </c>
      <c r="D140" s="2" t="s">
        <v>6458</v>
      </c>
      <c r="E140" s="2">
        <v>29556.0</v>
      </c>
      <c r="F140" s="2">
        <v>807.0</v>
      </c>
      <c r="G140" s="2">
        <v>875.0</v>
      </c>
      <c r="H140" s="2" t="s">
        <v>5906</v>
      </c>
      <c r="I140" s="2" t="s">
        <v>5905</v>
      </c>
      <c r="J140" s="2" t="s">
        <v>6073</v>
      </c>
      <c r="K140" s="2" t="s">
        <v>6459</v>
      </c>
      <c r="L140" s="10" t="s">
        <v>6460</v>
      </c>
    </row>
    <row r="141">
      <c r="A141" s="2" t="s">
        <v>5492</v>
      </c>
      <c r="B141" s="2" t="s">
        <v>6461</v>
      </c>
      <c r="C141" s="2">
        <v>1.447555018E9</v>
      </c>
      <c r="D141" s="2" t="s">
        <v>6462</v>
      </c>
      <c r="E141" s="2">
        <v>92805.0</v>
      </c>
      <c r="F141" s="2">
        <v>4049.0</v>
      </c>
      <c r="G141" s="2">
        <v>2365.0</v>
      </c>
      <c r="H141" s="2" t="s">
        <v>5905</v>
      </c>
      <c r="I141" s="2" t="s">
        <v>5906</v>
      </c>
      <c r="J141" s="2" t="s">
        <v>5485</v>
      </c>
      <c r="K141" s="2" t="s">
        <v>6463</v>
      </c>
    </row>
    <row r="142">
      <c r="A142" s="2" t="s">
        <v>5492</v>
      </c>
      <c r="B142" s="2" t="s">
        <v>6464</v>
      </c>
      <c r="C142" s="2">
        <v>7.34300134E8</v>
      </c>
      <c r="D142" s="2" t="s">
        <v>6465</v>
      </c>
      <c r="E142" s="2">
        <v>438306.0</v>
      </c>
      <c r="F142" s="2">
        <v>3268.0</v>
      </c>
      <c r="G142" s="2">
        <v>3405.0</v>
      </c>
      <c r="H142" s="2" t="s">
        <v>5905</v>
      </c>
      <c r="I142" s="2" t="s">
        <v>5905</v>
      </c>
      <c r="J142" s="2" t="s">
        <v>5959</v>
      </c>
      <c r="K142" s="2" t="s">
        <v>6466</v>
      </c>
      <c r="L142" s="10" t="s">
        <v>6467</v>
      </c>
    </row>
    <row r="143">
      <c r="A143" s="2" t="s">
        <v>5265</v>
      </c>
      <c r="B143" s="2" t="s">
        <v>6468</v>
      </c>
      <c r="C143" s="2">
        <v>1.557582469E9</v>
      </c>
      <c r="D143" s="2" t="s">
        <v>5265</v>
      </c>
      <c r="E143" s="2">
        <v>688624.0</v>
      </c>
      <c r="F143" s="2">
        <v>17.0</v>
      </c>
      <c r="G143" s="2">
        <v>699.0</v>
      </c>
      <c r="H143" s="2" t="s">
        <v>5906</v>
      </c>
      <c r="I143" s="2" t="s">
        <v>5906</v>
      </c>
      <c r="K143" s="2" t="s">
        <v>6469</v>
      </c>
    </row>
    <row r="144">
      <c r="A144" s="2" t="s">
        <v>5265</v>
      </c>
      <c r="B144" s="2" t="s">
        <v>6470</v>
      </c>
      <c r="C144" s="2">
        <v>8.179897352E9</v>
      </c>
      <c r="D144" s="2" t="s">
        <v>6471</v>
      </c>
      <c r="E144" s="2">
        <v>30900.0</v>
      </c>
      <c r="F144" s="2">
        <v>1036.0</v>
      </c>
      <c r="G144" s="2">
        <v>1205.0</v>
      </c>
      <c r="H144" s="2" t="s">
        <v>5906</v>
      </c>
      <c r="I144" s="2" t="s">
        <v>5906</v>
      </c>
      <c r="J144" s="2" t="s">
        <v>6472</v>
      </c>
      <c r="K144" s="2" t="s">
        <v>6473</v>
      </c>
      <c r="L144" s="10" t="s">
        <v>6474</v>
      </c>
    </row>
    <row r="145">
      <c r="A145" s="2" t="s">
        <v>5265</v>
      </c>
      <c r="B145" s="2" t="s">
        <v>6475</v>
      </c>
      <c r="C145" s="2">
        <v>1.502777818E9</v>
      </c>
      <c r="D145" s="2" t="s">
        <v>6476</v>
      </c>
      <c r="E145" s="2">
        <v>5874101.0</v>
      </c>
      <c r="F145" s="2">
        <v>183.0</v>
      </c>
      <c r="G145" s="2">
        <v>19950.0</v>
      </c>
      <c r="H145" s="2" t="s">
        <v>5906</v>
      </c>
      <c r="I145" s="2" t="s">
        <v>5906</v>
      </c>
      <c r="J145" s="2" t="s">
        <v>5907</v>
      </c>
      <c r="K145" s="2" t="s">
        <v>6477</v>
      </c>
      <c r="L145" s="10" t="s">
        <v>6478</v>
      </c>
    </row>
    <row r="146">
      <c r="A146" s="2" t="s">
        <v>5265</v>
      </c>
      <c r="B146" s="2" t="s">
        <v>6479</v>
      </c>
      <c r="C146" s="2">
        <v>2.9585407E8</v>
      </c>
      <c r="D146" s="2" t="s">
        <v>6480</v>
      </c>
      <c r="E146" s="2">
        <v>126403.0</v>
      </c>
      <c r="F146" s="2">
        <v>185.0</v>
      </c>
      <c r="G146" s="2">
        <v>2509.0</v>
      </c>
      <c r="H146" s="2" t="s">
        <v>5906</v>
      </c>
      <c r="I146" s="2" t="s">
        <v>5906</v>
      </c>
      <c r="K146" s="2" t="s">
        <v>6481</v>
      </c>
      <c r="L146" s="10" t="s">
        <v>6482</v>
      </c>
    </row>
    <row r="147">
      <c r="A147" s="2" t="s">
        <v>5265</v>
      </c>
      <c r="B147" s="2" t="s">
        <v>6483</v>
      </c>
      <c r="C147" s="2">
        <v>2.6252880324E10</v>
      </c>
      <c r="D147" s="2" t="s">
        <v>6484</v>
      </c>
      <c r="E147" s="2">
        <v>252873.0</v>
      </c>
      <c r="F147" s="2">
        <v>20.0</v>
      </c>
      <c r="G147" s="2">
        <v>3453.0</v>
      </c>
      <c r="H147" s="2" t="s">
        <v>5906</v>
      </c>
      <c r="I147" s="2" t="s">
        <v>5906</v>
      </c>
      <c r="J147" s="2" t="s">
        <v>5907</v>
      </c>
      <c r="K147" s="2" t="s">
        <v>6485</v>
      </c>
      <c r="L147" s="10" t="s">
        <v>6486</v>
      </c>
    </row>
    <row r="148">
      <c r="A148" s="2" t="s">
        <v>5265</v>
      </c>
      <c r="B148" s="2" t="s">
        <v>6487</v>
      </c>
      <c r="C148" s="2">
        <v>1.615074668E9</v>
      </c>
      <c r="D148" s="2" t="s">
        <v>6488</v>
      </c>
      <c r="E148" s="2">
        <v>68103.0</v>
      </c>
      <c r="F148" s="2">
        <v>39.0</v>
      </c>
      <c r="G148" s="2">
        <v>896.0</v>
      </c>
      <c r="H148" s="2" t="s">
        <v>5906</v>
      </c>
      <c r="I148" s="2" t="s">
        <v>5906</v>
      </c>
      <c r="J148" s="2" t="s">
        <v>5911</v>
      </c>
      <c r="K148" s="2" t="s">
        <v>6489</v>
      </c>
      <c r="L148" s="10" t="s">
        <v>6490</v>
      </c>
    </row>
    <row r="149">
      <c r="A149" s="2" t="s">
        <v>5265</v>
      </c>
      <c r="B149" s="2" t="s">
        <v>6491</v>
      </c>
      <c r="C149" s="2">
        <v>4.6936708366E10</v>
      </c>
      <c r="D149" s="2" t="s">
        <v>6492</v>
      </c>
      <c r="E149" s="2">
        <v>248953.0</v>
      </c>
      <c r="F149" s="2">
        <v>19.0</v>
      </c>
      <c r="G149" s="2">
        <v>16702.0</v>
      </c>
      <c r="H149" s="2" t="s">
        <v>5906</v>
      </c>
      <c r="I149" s="2" t="s">
        <v>5906</v>
      </c>
      <c r="J149" s="2" t="s">
        <v>5959</v>
      </c>
      <c r="K149" s="2" t="s">
        <v>6493</v>
      </c>
      <c r="L149" s="10" t="s">
        <v>6494</v>
      </c>
    </row>
    <row r="150">
      <c r="A150" s="2" t="s">
        <v>5265</v>
      </c>
      <c r="B150" s="2" t="s">
        <v>6495</v>
      </c>
      <c r="C150" s="2">
        <v>8.403284392E9</v>
      </c>
      <c r="D150" s="2" t="s">
        <v>6496</v>
      </c>
      <c r="E150" s="2">
        <v>1352097.0</v>
      </c>
      <c r="F150" s="2">
        <v>94.0</v>
      </c>
      <c r="G150" s="2">
        <v>6583.0</v>
      </c>
      <c r="H150" s="2" t="s">
        <v>5906</v>
      </c>
      <c r="I150" s="2" t="s">
        <v>5906</v>
      </c>
      <c r="K150" s="2" t="s">
        <v>6497</v>
      </c>
      <c r="L150" s="10" t="s">
        <v>6498</v>
      </c>
    </row>
    <row r="151">
      <c r="A151" s="2" t="s">
        <v>5265</v>
      </c>
      <c r="B151" s="2" t="s">
        <v>6499</v>
      </c>
      <c r="C151" s="2">
        <v>6.744051217E9</v>
      </c>
      <c r="D151" s="2" t="s">
        <v>6500</v>
      </c>
      <c r="E151" s="2">
        <v>585968.0</v>
      </c>
      <c r="F151" s="2">
        <v>94.0</v>
      </c>
      <c r="G151" s="2">
        <v>6710.0</v>
      </c>
      <c r="H151" s="2" t="s">
        <v>5906</v>
      </c>
      <c r="I151" s="2" t="s">
        <v>5906</v>
      </c>
      <c r="J151" s="2" t="s">
        <v>5911</v>
      </c>
      <c r="K151" s="2" t="s">
        <v>6501</v>
      </c>
      <c r="L151" s="10" t="s">
        <v>6502</v>
      </c>
    </row>
    <row r="152">
      <c r="A152" s="2" t="s">
        <v>5265</v>
      </c>
      <c r="B152" s="2" t="s">
        <v>6503</v>
      </c>
      <c r="C152" s="2">
        <v>1.570033654E9</v>
      </c>
      <c r="D152" s="2" t="s">
        <v>6504</v>
      </c>
      <c r="E152" s="2">
        <v>19751.0</v>
      </c>
      <c r="F152" s="2">
        <v>224.0</v>
      </c>
      <c r="G152" s="2">
        <v>789.0</v>
      </c>
      <c r="H152" s="2" t="s">
        <v>5906</v>
      </c>
      <c r="I152" s="2" t="s">
        <v>5906</v>
      </c>
      <c r="J152" s="2" t="s">
        <v>5561</v>
      </c>
      <c r="K152" s="2" t="s">
        <v>6505</v>
      </c>
    </row>
    <row r="153">
      <c r="A153" s="2" t="s">
        <v>5265</v>
      </c>
      <c r="B153" s="2" t="s">
        <v>6506</v>
      </c>
      <c r="C153" s="2">
        <v>5.7681775152E10</v>
      </c>
      <c r="D153" s="2" t="s">
        <v>6507</v>
      </c>
      <c r="E153" s="2">
        <v>102136.0</v>
      </c>
      <c r="F153" s="2">
        <v>14.0</v>
      </c>
      <c r="G153" s="2">
        <v>3552.0</v>
      </c>
      <c r="H153" s="2" t="s">
        <v>5906</v>
      </c>
      <c r="I153" s="2" t="s">
        <v>5906</v>
      </c>
      <c r="J153" s="2" t="s">
        <v>5907</v>
      </c>
      <c r="K153" s="2" t="s">
        <v>6508</v>
      </c>
      <c r="L153" s="10" t="s">
        <v>6509</v>
      </c>
    </row>
    <row r="154">
      <c r="A154" s="2" t="s">
        <v>5265</v>
      </c>
      <c r="B154" s="2" t="s">
        <v>6510</v>
      </c>
      <c r="C154" s="2">
        <v>1.169778892E9</v>
      </c>
      <c r="D154" s="2" t="s">
        <v>6511</v>
      </c>
      <c r="E154" s="2">
        <v>280917.0</v>
      </c>
      <c r="F154" s="2">
        <v>100.0</v>
      </c>
      <c r="G154" s="2">
        <v>3119.0</v>
      </c>
      <c r="H154" s="2" t="s">
        <v>5906</v>
      </c>
      <c r="I154" s="2" t="s">
        <v>5906</v>
      </c>
      <c r="K154" s="2" t="s">
        <v>6512</v>
      </c>
      <c r="L154" s="10" t="s">
        <v>6513</v>
      </c>
    </row>
    <row r="155">
      <c r="A155" s="2" t="s">
        <v>5265</v>
      </c>
      <c r="B155" s="2" t="s">
        <v>6514</v>
      </c>
      <c r="C155" s="2">
        <v>1.89423657E8</v>
      </c>
      <c r="D155" s="2" t="s">
        <v>6515</v>
      </c>
      <c r="E155" s="2">
        <v>427138.0</v>
      </c>
      <c r="F155" s="2">
        <v>56.0</v>
      </c>
      <c r="G155" s="2">
        <v>3950.0</v>
      </c>
      <c r="H155" s="2" t="s">
        <v>5906</v>
      </c>
      <c r="I155" s="2" t="s">
        <v>5906</v>
      </c>
      <c r="K155" s="2" t="s">
        <v>6516</v>
      </c>
      <c r="L155" s="10" t="s">
        <v>6517</v>
      </c>
    </row>
    <row r="156">
      <c r="A156" s="2" t="s">
        <v>5265</v>
      </c>
      <c r="B156" s="2" t="s">
        <v>6518</v>
      </c>
      <c r="C156" s="2">
        <v>1.299131784E9</v>
      </c>
      <c r="D156" s="2" t="s">
        <v>6519</v>
      </c>
      <c r="E156" s="2">
        <v>3317138.0</v>
      </c>
      <c r="F156" s="2">
        <v>100.0</v>
      </c>
      <c r="G156" s="2">
        <v>7393.0</v>
      </c>
      <c r="H156" s="2" t="s">
        <v>5906</v>
      </c>
      <c r="I156" s="2" t="s">
        <v>5906</v>
      </c>
      <c r="J156" s="2" t="s">
        <v>5907</v>
      </c>
      <c r="K156" s="2" t="s">
        <v>6520</v>
      </c>
      <c r="L156" s="10" t="s">
        <v>6521</v>
      </c>
    </row>
    <row r="157">
      <c r="A157" s="2" t="s">
        <v>5459</v>
      </c>
      <c r="B157" s="2" t="s">
        <v>6522</v>
      </c>
      <c r="C157" s="2">
        <v>4.469758695E9</v>
      </c>
      <c r="D157" s="2" t="s">
        <v>6523</v>
      </c>
      <c r="E157" s="2">
        <v>134925.0</v>
      </c>
      <c r="F157" s="2">
        <v>13.0</v>
      </c>
      <c r="G157" s="2">
        <v>3777.0</v>
      </c>
      <c r="H157" s="2" t="s">
        <v>5906</v>
      </c>
      <c r="I157" s="2" t="s">
        <v>5905</v>
      </c>
      <c r="K157" s="2" t="s">
        <v>6524</v>
      </c>
      <c r="L157" s="10" t="s">
        <v>6525</v>
      </c>
    </row>
    <row r="158">
      <c r="A158" s="2" t="s">
        <v>5459</v>
      </c>
      <c r="B158" s="2" t="s">
        <v>6514</v>
      </c>
      <c r="C158" s="2">
        <v>1.89423657E8</v>
      </c>
      <c r="D158" s="2" t="s">
        <v>6515</v>
      </c>
      <c r="E158" s="2">
        <v>427218.0</v>
      </c>
      <c r="F158" s="2">
        <v>56.0</v>
      </c>
      <c r="G158" s="2">
        <v>3950.0</v>
      </c>
      <c r="H158" s="2" t="s">
        <v>5906</v>
      </c>
      <c r="I158" s="2" t="s">
        <v>5906</v>
      </c>
      <c r="K158" s="2" t="s">
        <v>6516</v>
      </c>
      <c r="L158" s="10" t="s">
        <v>6517</v>
      </c>
    </row>
    <row r="159">
      <c r="A159" s="2" t="s">
        <v>5459</v>
      </c>
      <c r="B159" s="2" t="s">
        <v>6526</v>
      </c>
      <c r="C159" s="2">
        <v>3.461515189E9</v>
      </c>
      <c r="D159" s="2" t="s">
        <v>6527</v>
      </c>
      <c r="E159" s="2">
        <v>63841.0</v>
      </c>
      <c r="F159" s="2">
        <v>27.0</v>
      </c>
      <c r="G159" s="2">
        <v>3971.0</v>
      </c>
      <c r="H159" s="2" t="s">
        <v>5906</v>
      </c>
      <c r="I159" s="2" t="s">
        <v>5906</v>
      </c>
      <c r="J159" s="2" t="s">
        <v>5911</v>
      </c>
      <c r="K159" s="2" t="s">
        <v>6528</v>
      </c>
      <c r="L159" s="10" t="s">
        <v>6529</v>
      </c>
    </row>
    <row r="160">
      <c r="A160" s="2" t="s">
        <v>5445</v>
      </c>
      <c r="B160" s="2" t="s">
        <v>6530</v>
      </c>
      <c r="C160" s="2">
        <v>2.201367745E9</v>
      </c>
      <c r="D160" s="2" t="s">
        <v>6531</v>
      </c>
      <c r="E160" s="2">
        <v>335636.0</v>
      </c>
      <c r="F160" s="2">
        <v>12.0</v>
      </c>
      <c r="G160" s="2">
        <v>1050.0</v>
      </c>
      <c r="H160" s="2" t="s">
        <v>5905</v>
      </c>
      <c r="I160" s="2" t="s">
        <v>5905</v>
      </c>
      <c r="J160" s="2" t="s">
        <v>6199</v>
      </c>
      <c r="K160" s="2" t="s">
        <v>6532</v>
      </c>
      <c r="L160" s="10" t="s">
        <v>6533</v>
      </c>
    </row>
    <row r="161">
      <c r="A161" s="2" t="s">
        <v>5445</v>
      </c>
      <c r="B161" s="2" t="s">
        <v>6534</v>
      </c>
      <c r="C161" s="2">
        <v>5.0600893E7</v>
      </c>
      <c r="D161" s="2" t="s">
        <v>6534</v>
      </c>
      <c r="E161" s="2">
        <v>4995537.0</v>
      </c>
      <c r="F161" s="2">
        <v>247.0</v>
      </c>
      <c r="G161" s="2">
        <v>13419.0</v>
      </c>
      <c r="H161" s="2" t="s">
        <v>5906</v>
      </c>
      <c r="I161" s="2" t="s">
        <v>5906</v>
      </c>
      <c r="K161" s="2" t="s">
        <v>6535</v>
      </c>
      <c r="L161" s="10" t="s">
        <v>6536</v>
      </c>
    </row>
    <row r="162">
      <c r="A162" s="2" t="s">
        <v>5445</v>
      </c>
      <c r="B162" s="10" t="s">
        <v>6537</v>
      </c>
      <c r="C162" s="2">
        <v>2.926899085E9</v>
      </c>
      <c r="D162" s="2" t="s">
        <v>6538</v>
      </c>
      <c r="E162" s="2">
        <v>34635.0</v>
      </c>
      <c r="F162" s="2">
        <v>3.0</v>
      </c>
      <c r="G162" s="2">
        <v>2013.0</v>
      </c>
      <c r="H162" s="2" t="s">
        <v>5905</v>
      </c>
      <c r="I162" s="2" t="s">
        <v>5906</v>
      </c>
      <c r="J162" s="2" t="s">
        <v>6539</v>
      </c>
      <c r="K162" s="2" t="s">
        <v>6540</v>
      </c>
    </row>
    <row r="163">
      <c r="A163" s="2" t="s">
        <v>5580</v>
      </c>
      <c r="B163" s="2" t="s">
        <v>6541</v>
      </c>
      <c r="C163" s="2">
        <v>2.12411488E8</v>
      </c>
      <c r="D163" s="2" t="s">
        <v>6542</v>
      </c>
      <c r="E163" s="2">
        <v>1754426.0</v>
      </c>
      <c r="F163" s="2">
        <v>27.0</v>
      </c>
      <c r="G163" s="2">
        <v>243.0</v>
      </c>
      <c r="H163" s="2" t="s">
        <v>5906</v>
      </c>
      <c r="I163" s="2" t="s">
        <v>5906</v>
      </c>
      <c r="J163" s="2" t="s">
        <v>6199</v>
      </c>
      <c r="K163" s="2" t="s">
        <v>6543</v>
      </c>
      <c r="L163" s="10" t="s">
        <v>6544</v>
      </c>
    </row>
    <row r="164">
      <c r="A164" s="2" t="s">
        <v>5580</v>
      </c>
      <c r="B164" s="2" t="s">
        <v>6545</v>
      </c>
      <c r="C164" s="2">
        <v>4.8029920608E10</v>
      </c>
      <c r="D164" s="2" t="s">
        <v>6546</v>
      </c>
      <c r="E164" s="2">
        <v>495256.0</v>
      </c>
      <c r="F164" s="2">
        <v>41.0</v>
      </c>
      <c r="G164" s="2">
        <v>1366.0</v>
      </c>
      <c r="H164" s="2" t="s">
        <v>5905</v>
      </c>
      <c r="I164" s="2" t="s">
        <v>5905</v>
      </c>
      <c r="J164" s="2" t="s">
        <v>6393</v>
      </c>
      <c r="K164" s="2" t="s">
        <v>6547</v>
      </c>
      <c r="L164" s="10" t="s">
        <v>6548</v>
      </c>
    </row>
    <row r="165">
      <c r="A165" s="2" t="s">
        <v>5580</v>
      </c>
      <c r="B165" s="2" t="s">
        <v>6549</v>
      </c>
      <c r="C165" s="2">
        <v>3.664210239E9</v>
      </c>
      <c r="D165" s="2" t="s">
        <v>6550</v>
      </c>
      <c r="E165" s="2">
        <v>123808.0</v>
      </c>
      <c r="F165" s="2">
        <v>4565.0</v>
      </c>
      <c r="G165" s="2">
        <v>2205.0</v>
      </c>
      <c r="H165" s="2" t="s">
        <v>5906</v>
      </c>
      <c r="I165" s="2" t="s">
        <v>5905</v>
      </c>
      <c r="K165" s="2" t="s">
        <v>6551</v>
      </c>
      <c r="L165" s="10" t="s">
        <v>6552</v>
      </c>
    </row>
    <row r="166">
      <c r="A166" s="2" t="s">
        <v>5580</v>
      </c>
      <c r="B166" s="2" t="s">
        <v>6553</v>
      </c>
      <c r="C166" s="2">
        <v>1.755732367E9</v>
      </c>
      <c r="D166" s="2" t="s">
        <v>6554</v>
      </c>
      <c r="E166" s="2">
        <v>1039395.0</v>
      </c>
      <c r="F166" s="2">
        <v>271.0</v>
      </c>
      <c r="G166" s="2">
        <v>1269.0</v>
      </c>
      <c r="H166" s="2" t="s">
        <v>5906</v>
      </c>
      <c r="I166" s="2" t="s">
        <v>5906</v>
      </c>
      <c r="J166" s="2" t="s">
        <v>6124</v>
      </c>
      <c r="K166" s="2" t="s">
        <v>6555</v>
      </c>
      <c r="L166" s="10" t="s">
        <v>6556</v>
      </c>
    </row>
    <row r="167">
      <c r="A167" s="2" t="s">
        <v>5580</v>
      </c>
      <c r="B167" s="2" t="s">
        <v>6557</v>
      </c>
      <c r="C167" s="2">
        <v>7.2514413891E10</v>
      </c>
      <c r="D167" s="2" t="s">
        <v>6558</v>
      </c>
      <c r="E167" s="2">
        <v>19894.0</v>
      </c>
      <c r="F167" s="2">
        <v>44.0</v>
      </c>
      <c r="G167" s="2">
        <v>177.0</v>
      </c>
      <c r="H167" s="2" t="s">
        <v>5905</v>
      </c>
      <c r="I167" s="2" t="s">
        <v>5905</v>
      </c>
      <c r="J167" s="2" t="s">
        <v>6559</v>
      </c>
      <c r="K167" s="2" t="s">
        <v>6560</v>
      </c>
      <c r="L167" s="10" t="s">
        <v>6561</v>
      </c>
    </row>
    <row r="168">
      <c r="A168" s="2" t="s">
        <v>5580</v>
      </c>
      <c r="B168" s="2" t="s">
        <v>6562</v>
      </c>
      <c r="C168" s="2">
        <v>6.1381364227E10</v>
      </c>
      <c r="D168" s="2" t="s">
        <v>6563</v>
      </c>
      <c r="E168" s="2">
        <v>37614.0</v>
      </c>
      <c r="F168" s="2">
        <v>23.0</v>
      </c>
      <c r="G168" s="2">
        <v>390.0</v>
      </c>
      <c r="H168" s="2" t="s">
        <v>5905</v>
      </c>
      <c r="I168" s="2" t="s">
        <v>5905</v>
      </c>
      <c r="J168" s="2" t="s">
        <v>6199</v>
      </c>
      <c r="K168" s="2" t="s">
        <v>6564</v>
      </c>
      <c r="L168" s="10" t="s">
        <v>6565</v>
      </c>
    </row>
    <row r="169">
      <c r="A169" s="2" t="s">
        <v>5580</v>
      </c>
      <c r="B169" s="2" t="s">
        <v>6566</v>
      </c>
      <c r="C169" s="2">
        <v>3.2061546711E10</v>
      </c>
      <c r="D169" s="2" t="s">
        <v>6567</v>
      </c>
      <c r="E169" s="2">
        <v>37596.0</v>
      </c>
      <c r="F169" s="2">
        <v>25.0</v>
      </c>
      <c r="G169" s="2">
        <v>6909.0</v>
      </c>
      <c r="H169" s="2" t="s">
        <v>5905</v>
      </c>
      <c r="I169" s="2" t="s">
        <v>5906</v>
      </c>
      <c r="J169" s="2" t="s">
        <v>5911</v>
      </c>
      <c r="K169" s="2" t="s">
        <v>6568</v>
      </c>
      <c r="L169" s="10" t="s">
        <v>6569</v>
      </c>
    </row>
    <row r="170">
      <c r="A170" s="2" t="s">
        <v>5580</v>
      </c>
      <c r="B170" s="2" t="s">
        <v>6570</v>
      </c>
      <c r="C170" s="2">
        <v>4.85289116E9</v>
      </c>
      <c r="D170" s="2" t="s">
        <v>6571</v>
      </c>
      <c r="E170" s="2">
        <v>252012.0</v>
      </c>
      <c r="F170" s="2">
        <v>18.0</v>
      </c>
      <c r="G170" s="2">
        <v>7225.0</v>
      </c>
      <c r="H170" s="2" t="s">
        <v>5905</v>
      </c>
      <c r="I170" s="2" t="s">
        <v>5905</v>
      </c>
      <c r="K170" s="2" t="s">
        <v>6572</v>
      </c>
    </row>
    <row r="171">
      <c r="A171" s="2" t="s">
        <v>5580</v>
      </c>
      <c r="B171" s="2" t="s">
        <v>6573</v>
      </c>
      <c r="C171" s="2">
        <v>1325315.0</v>
      </c>
      <c r="D171" s="2" t="s">
        <v>6574</v>
      </c>
      <c r="E171" s="2">
        <v>296042.0</v>
      </c>
      <c r="F171" s="2">
        <v>176.0</v>
      </c>
      <c r="G171" s="2">
        <v>304.0</v>
      </c>
      <c r="H171" s="2" t="s">
        <v>5906</v>
      </c>
      <c r="I171" s="2" t="s">
        <v>5906</v>
      </c>
      <c r="K171" s="2" t="s">
        <v>6575</v>
      </c>
      <c r="L171" s="10" t="s">
        <v>6576</v>
      </c>
    </row>
    <row r="172">
      <c r="A172" s="2" t="s">
        <v>5580</v>
      </c>
      <c r="B172" s="2" t="s">
        <v>6577</v>
      </c>
      <c r="C172" s="2">
        <v>4.8543349925E10</v>
      </c>
      <c r="D172" s="2" t="s">
        <v>6578</v>
      </c>
      <c r="E172" s="2">
        <v>293841.0</v>
      </c>
      <c r="F172" s="2">
        <v>154.0</v>
      </c>
      <c r="G172" s="2">
        <v>974.0</v>
      </c>
      <c r="H172" s="2" t="s">
        <v>5905</v>
      </c>
      <c r="I172" s="2" t="s">
        <v>5905</v>
      </c>
      <c r="J172" s="2" t="s">
        <v>5993</v>
      </c>
      <c r="K172" s="2" t="s">
        <v>6579</v>
      </c>
      <c r="L172" s="10" t="s">
        <v>6580</v>
      </c>
    </row>
    <row r="173">
      <c r="A173" s="2" t="s">
        <v>5580</v>
      </c>
      <c r="B173" s="2" t="s">
        <v>6581</v>
      </c>
      <c r="C173" s="2">
        <v>5.7749007033E10</v>
      </c>
      <c r="D173" s="2" t="s">
        <v>6542</v>
      </c>
      <c r="E173" s="2">
        <v>58062.0</v>
      </c>
      <c r="F173" s="2">
        <v>0.0</v>
      </c>
      <c r="G173" s="2">
        <v>368.0</v>
      </c>
      <c r="H173" s="2" t="s">
        <v>5905</v>
      </c>
      <c r="I173" s="2" t="s">
        <v>5905</v>
      </c>
      <c r="J173" s="2" t="s">
        <v>6582</v>
      </c>
      <c r="K173" s="2" t="s">
        <v>6583</v>
      </c>
    </row>
    <row r="174">
      <c r="A174" s="2" t="s">
        <v>5580</v>
      </c>
      <c r="B174" s="2" t="s">
        <v>6584</v>
      </c>
      <c r="C174" s="2">
        <v>5.558747324E9</v>
      </c>
      <c r="D174" s="2" t="s">
        <v>6585</v>
      </c>
      <c r="E174" s="2">
        <v>377909.0</v>
      </c>
      <c r="F174" s="2">
        <v>15.0</v>
      </c>
      <c r="G174" s="2">
        <v>5354.0</v>
      </c>
      <c r="H174" s="2" t="s">
        <v>5905</v>
      </c>
      <c r="I174" s="2" t="s">
        <v>5905</v>
      </c>
      <c r="J174" s="2" t="s">
        <v>5480</v>
      </c>
      <c r="K174" s="2" t="s">
        <v>6586</v>
      </c>
      <c r="L174" s="10" t="s">
        <v>6587</v>
      </c>
    </row>
    <row r="175">
      <c r="A175" s="2" t="s">
        <v>5511</v>
      </c>
      <c r="B175" s="2" t="s">
        <v>6588</v>
      </c>
      <c r="C175" s="2">
        <v>4.790569182E10</v>
      </c>
      <c r="D175" s="2" t="s">
        <v>5511</v>
      </c>
      <c r="E175" s="2">
        <v>21030.0</v>
      </c>
      <c r="F175" s="2">
        <v>78.0</v>
      </c>
      <c r="G175" s="2">
        <v>2596.0</v>
      </c>
      <c r="H175" s="2" t="s">
        <v>5905</v>
      </c>
      <c r="I175" s="2" t="s">
        <v>5905</v>
      </c>
      <c r="J175" s="2" t="s">
        <v>5907</v>
      </c>
      <c r="K175" s="2" t="s">
        <v>6589</v>
      </c>
    </row>
    <row r="176">
      <c r="A176" s="2" t="s">
        <v>5511</v>
      </c>
      <c r="B176" s="2" t="s">
        <v>6573</v>
      </c>
      <c r="C176" s="2">
        <v>1325315.0</v>
      </c>
      <c r="D176" s="2" t="s">
        <v>6574</v>
      </c>
      <c r="E176" s="2">
        <v>296042.0</v>
      </c>
      <c r="F176" s="2">
        <v>176.0</v>
      </c>
      <c r="G176" s="2">
        <v>304.0</v>
      </c>
      <c r="H176" s="2" t="s">
        <v>5906</v>
      </c>
      <c r="I176" s="2" t="s">
        <v>5906</v>
      </c>
      <c r="K176" s="2" t="s">
        <v>6575</v>
      </c>
      <c r="L176" s="10" t="s">
        <v>6576</v>
      </c>
    </row>
    <row r="177">
      <c r="A177" s="2" t="s">
        <v>5511</v>
      </c>
      <c r="B177" s="2" t="s">
        <v>6590</v>
      </c>
      <c r="C177" s="2">
        <v>1.44982828E9</v>
      </c>
      <c r="D177" s="12" t="s">
        <v>6591</v>
      </c>
      <c r="E177" s="2">
        <v>252934.0</v>
      </c>
      <c r="F177" s="2">
        <v>154.0</v>
      </c>
      <c r="G177" s="2">
        <v>20473.0</v>
      </c>
      <c r="H177" s="2" t="s">
        <v>5906</v>
      </c>
      <c r="I177" s="2" t="s">
        <v>5905</v>
      </c>
      <c r="J177" s="2" t="s">
        <v>6592</v>
      </c>
      <c r="K177" s="12" t="s">
        <v>6593</v>
      </c>
    </row>
    <row r="178">
      <c r="A178" s="2" t="s">
        <v>5511</v>
      </c>
      <c r="B178" s="10" t="s">
        <v>6594</v>
      </c>
      <c r="C178" s="2">
        <v>7.2833787849E10</v>
      </c>
      <c r="D178" s="2" t="s">
        <v>6595</v>
      </c>
      <c r="E178" s="2">
        <v>21098.0</v>
      </c>
      <c r="F178" s="2">
        <v>779.0</v>
      </c>
      <c r="G178" s="2">
        <v>273.0</v>
      </c>
      <c r="H178" s="2" t="s">
        <v>5905</v>
      </c>
      <c r="I178" s="2" t="s">
        <v>5905</v>
      </c>
      <c r="J178" s="2" t="s">
        <v>5928</v>
      </c>
      <c r="K178" s="2" t="s">
        <v>6596</v>
      </c>
    </row>
    <row r="179">
      <c r="A179" s="2" t="s">
        <v>5511</v>
      </c>
      <c r="B179" s="2" t="s">
        <v>6597</v>
      </c>
      <c r="C179" s="2">
        <v>3.9645476137E10</v>
      </c>
      <c r="D179" s="2" t="s">
        <v>6598</v>
      </c>
      <c r="E179" s="2">
        <v>26229.0</v>
      </c>
      <c r="F179" s="2">
        <v>9.0</v>
      </c>
      <c r="G179" s="2">
        <v>5692.0</v>
      </c>
      <c r="H179" s="2" t="s">
        <v>5905</v>
      </c>
      <c r="I179" s="2" t="s">
        <v>5905</v>
      </c>
      <c r="J179" s="2" t="s">
        <v>6592</v>
      </c>
      <c r="K179" s="2" t="s">
        <v>6599</v>
      </c>
      <c r="L179" s="10" t="s">
        <v>6600</v>
      </c>
    </row>
    <row r="180">
      <c r="A180" s="2" t="s">
        <v>5511</v>
      </c>
      <c r="B180" s="2" t="s">
        <v>6601</v>
      </c>
      <c r="C180" s="2">
        <v>5.0640718996E10</v>
      </c>
      <c r="D180" s="2" t="s">
        <v>6602</v>
      </c>
      <c r="E180" s="2">
        <v>10026.0</v>
      </c>
      <c r="F180" s="2">
        <v>17.0</v>
      </c>
      <c r="G180" s="2">
        <v>218.0</v>
      </c>
      <c r="H180" s="2" t="s">
        <v>5905</v>
      </c>
      <c r="I180" s="2" t="s">
        <v>5905</v>
      </c>
      <c r="J180" s="2" t="s">
        <v>5485</v>
      </c>
      <c r="K180" s="2" t="s">
        <v>6603</v>
      </c>
      <c r="L180" s="10" t="s">
        <v>6604</v>
      </c>
    </row>
    <row r="181">
      <c r="A181" s="2" t="s">
        <v>5511</v>
      </c>
      <c r="B181" s="2" t="s">
        <v>6605</v>
      </c>
      <c r="C181" s="2">
        <v>7.151699887E9</v>
      </c>
      <c r="D181" s="2" t="s">
        <v>6606</v>
      </c>
      <c r="E181" s="2">
        <v>47420.0</v>
      </c>
      <c r="F181" s="2">
        <v>1.0</v>
      </c>
      <c r="G181" s="2">
        <v>1794.0</v>
      </c>
      <c r="H181" s="2" t="s">
        <v>5905</v>
      </c>
      <c r="I181" s="2" t="s">
        <v>5906</v>
      </c>
      <c r="K181" s="2" t="s">
        <v>6607</v>
      </c>
      <c r="L181" s="10" t="s">
        <v>6608</v>
      </c>
    </row>
    <row r="182">
      <c r="A182" s="2" t="s">
        <v>5511</v>
      </c>
      <c r="B182" s="2" t="s">
        <v>6609</v>
      </c>
      <c r="C182" s="2">
        <v>1.365440032E9</v>
      </c>
      <c r="D182" s="2" t="s">
        <v>6610</v>
      </c>
      <c r="E182" s="2">
        <v>991218.0</v>
      </c>
      <c r="F182" s="2">
        <v>0.0</v>
      </c>
      <c r="G182" s="2">
        <v>24491.0</v>
      </c>
      <c r="H182" s="2" t="s">
        <v>5906</v>
      </c>
      <c r="I182" s="2" t="s">
        <v>5906</v>
      </c>
      <c r="J182" s="2" t="s">
        <v>5907</v>
      </c>
      <c r="K182" s="2" t="s">
        <v>6611</v>
      </c>
      <c r="L182" s="10" t="s">
        <v>6612</v>
      </c>
    </row>
    <row r="183">
      <c r="A183" s="2" t="s">
        <v>5511</v>
      </c>
      <c r="B183" s="2" t="s">
        <v>6613</v>
      </c>
      <c r="C183" s="2">
        <v>5.71629646E8</v>
      </c>
      <c r="D183" s="2" t="s">
        <v>6614</v>
      </c>
      <c r="E183" s="2">
        <v>258870.0</v>
      </c>
      <c r="F183" s="2">
        <v>40.0</v>
      </c>
      <c r="G183" s="2">
        <v>3440.0</v>
      </c>
      <c r="H183" s="2" t="s">
        <v>5906</v>
      </c>
      <c r="I183" s="2" t="s">
        <v>5906</v>
      </c>
      <c r="J183" s="2" t="s">
        <v>5911</v>
      </c>
      <c r="K183" s="2" t="s">
        <v>6615</v>
      </c>
      <c r="L183" s="10" t="s">
        <v>6616</v>
      </c>
    </row>
    <row r="184">
      <c r="A184" s="2" t="s">
        <v>5511</v>
      </c>
      <c r="B184" s="10" t="s">
        <v>6617</v>
      </c>
      <c r="C184" s="2">
        <v>9.947035844E9</v>
      </c>
      <c r="D184" s="2" t="s">
        <v>6618</v>
      </c>
      <c r="E184" s="2">
        <v>482561.0</v>
      </c>
      <c r="F184" s="2">
        <v>11.0</v>
      </c>
      <c r="G184" s="2">
        <v>4879.0</v>
      </c>
      <c r="H184" s="2" t="s">
        <v>5905</v>
      </c>
      <c r="I184" s="2" t="s">
        <v>5905</v>
      </c>
      <c r="J184" s="2" t="s">
        <v>5907</v>
      </c>
      <c r="K184" s="2" t="s">
        <v>6619</v>
      </c>
      <c r="L184" s="10" t="s">
        <v>6620</v>
      </c>
    </row>
    <row r="185">
      <c r="A185" s="2" t="s">
        <v>5514</v>
      </c>
      <c r="B185" s="2" t="s">
        <v>6621</v>
      </c>
      <c r="C185" s="2">
        <v>4.0964437433E10</v>
      </c>
      <c r="D185" s="2" t="s">
        <v>6622</v>
      </c>
      <c r="E185" s="2">
        <v>325142.0</v>
      </c>
      <c r="F185" s="2">
        <v>2063.0</v>
      </c>
      <c r="G185" s="2">
        <v>1544.0</v>
      </c>
      <c r="H185" s="2" t="s">
        <v>5906</v>
      </c>
      <c r="I185" s="2" t="s">
        <v>5905</v>
      </c>
      <c r="J185" s="2" t="s">
        <v>6623</v>
      </c>
      <c r="K185" s="2" t="s">
        <v>6624</v>
      </c>
      <c r="L185" s="10" t="s">
        <v>6625</v>
      </c>
    </row>
    <row r="186">
      <c r="A186" s="2" t="s">
        <v>5514</v>
      </c>
      <c r="B186" s="2" t="s">
        <v>6626</v>
      </c>
      <c r="C186" s="2">
        <v>2.12176424E8</v>
      </c>
      <c r="D186" s="2" t="s">
        <v>6627</v>
      </c>
      <c r="E186" s="2">
        <v>250799.0</v>
      </c>
      <c r="F186" s="2">
        <v>1965.0</v>
      </c>
      <c r="G186" s="2">
        <v>7203.0</v>
      </c>
      <c r="H186" s="2" t="s">
        <v>5906</v>
      </c>
      <c r="I186" s="2" t="s">
        <v>5906</v>
      </c>
      <c r="J186" s="2" t="s">
        <v>6628</v>
      </c>
      <c r="K186" s="2" t="s">
        <v>6629</v>
      </c>
      <c r="L186" s="10" t="s">
        <v>6630</v>
      </c>
    </row>
    <row r="187">
      <c r="A187" s="2" t="s">
        <v>5514</v>
      </c>
      <c r="B187" s="2" t="s">
        <v>6631</v>
      </c>
      <c r="C187" s="2">
        <v>2.0065034694E10</v>
      </c>
      <c r="D187" s="2" t="s">
        <v>6632</v>
      </c>
      <c r="E187" s="2">
        <v>311524.0</v>
      </c>
      <c r="F187" s="2">
        <v>334.0</v>
      </c>
      <c r="G187" s="2">
        <v>549.0</v>
      </c>
      <c r="H187" s="2" t="s">
        <v>5905</v>
      </c>
      <c r="I187" s="2" t="s">
        <v>5905</v>
      </c>
      <c r="J187" s="2" t="s">
        <v>5928</v>
      </c>
      <c r="K187" s="2" t="s">
        <v>6633</v>
      </c>
      <c r="L187" s="10" t="s">
        <v>6634</v>
      </c>
    </row>
    <row r="188">
      <c r="A188" s="2" t="s">
        <v>5514</v>
      </c>
      <c r="B188" s="2" t="s">
        <v>6635</v>
      </c>
      <c r="C188" s="2">
        <v>6.854154453E9</v>
      </c>
      <c r="D188" s="2" t="s">
        <v>6636</v>
      </c>
      <c r="E188" s="2">
        <v>803257.0</v>
      </c>
      <c r="F188" s="2">
        <v>481.0</v>
      </c>
      <c r="G188" s="2">
        <v>1408.0</v>
      </c>
      <c r="H188" s="2" t="s">
        <v>5906</v>
      </c>
      <c r="I188" s="2" t="s">
        <v>5906</v>
      </c>
      <c r="J188" s="2" t="s">
        <v>5959</v>
      </c>
      <c r="K188" s="2" t="s">
        <v>6637</v>
      </c>
      <c r="L188" s="10" t="s">
        <v>6638</v>
      </c>
    </row>
    <row r="189">
      <c r="A189" s="2" t="s">
        <v>5488</v>
      </c>
      <c r="B189" s="2" t="s">
        <v>6639</v>
      </c>
      <c r="C189" s="2">
        <v>4.400018985E9</v>
      </c>
      <c r="D189" s="2" t="s">
        <v>6640</v>
      </c>
      <c r="E189" s="2">
        <v>10618.0</v>
      </c>
      <c r="F189" s="2">
        <v>33.0</v>
      </c>
      <c r="G189" s="2">
        <v>558.0</v>
      </c>
      <c r="H189" s="2" t="s">
        <v>5905</v>
      </c>
      <c r="I189" s="2" t="s">
        <v>5906</v>
      </c>
      <c r="K189" s="2" t="s">
        <v>6641</v>
      </c>
    </row>
    <row r="190">
      <c r="A190" s="2" t="s">
        <v>5488</v>
      </c>
      <c r="B190" s="2" t="s">
        <v>6642</v>
      </c>
      <c r="C190" s="2">
        <v>5.3940027194E10</v>
      </c>
      <c r="D190" s="2" t="s">
        <v>6643</v>
      </c>
      <c r="E190" s="2">
        <v>11830.0</v>
      </c>
      <c r="F190" s="2">
        <v>519.0</v>
      </c>
      <c r="G190" s="2">
        <v>62.0</v>
      </c>
      <c r="H190" s="2" t="s">
        <v>5905</v>
      </c>
      <c r="I190" s="2" t="s">
        <v>5905</v>
      </c>
      <c r="J190" s="2" t="s">
        <v>5993</v>
      </c>
      <c r="K190" s="2" t="s">
        <v>6644</v>
      </c>
    </row>
    <row r="191">
      <c r="A191" s="2" t="s">
        <v>5302</v>
      </c>
      <c r="B191" s="2" t="s">
        <v>6645</v>
      </c>
      <c r="C191" s="2">
        <v>2.893005656E9</v>
      </c>
      <c r="D191" s="2" t="s">
        <v>6646</v>
      </c>
      <c r="E191" s="2">
        <v>34184.0</v>
      </c>
      <c r="F191" s="2">
        <v>67.0</v>
      </c>
      <c r="G191" s="2">
        <v>5496.0</v>
      </c>
      <c r="H191" s="2" t="s">
        <v>5906</v>
      </c>
      <c r="I191" s="2" t="s">
        <v>5906</v>
      </c>
      <c r="K191" s="2" t="s">
        <v>6647</v>
      </c>
      <c r="L191" s="10" t="s">
        <v>6648</v>
      </c>
    </row>
    <row r="192">
      <c r="A192" s="2" t="s">
        <v>5302</v>
      </c>
      <c r="B192" s="2" t="s">
        <v>6649</v>
      </c>
      <c r="C192" s="2">
        <v>7.3376696422E10</v>
      </c>
      <c r="D192" s="2" t="s">
        <v>5302</v>
      </c>
      <c r="E192" s="2">
        <v>220146.0</v>
      </c>
      <c r="F192" s="2">
        <v>44.0</v>
      </c>
      <c r="G192" s="2">
        <v>318.0</v>
      </c>
      <c r="H192" s="2" t="s">
        <v>5905</v>
      </c>
      <c r="I192" s="2" t="s">
        <v>5905</v>
      </c>
      <c r="J192" s="2" t="s">
        <v>5480</v>
      </c>
      <c r="K192" s="2" t="s">
        <v>6650</v>
      </c>
    </row>
    <row r="193">
      <c r="A193" s="2" t="s">
        <v>5302</v>
      </c>
      <c r="B193" s="2" t="s">
        <v>6651</v>
      </c>
      <c r="C193" s="2">
        <v>7.42357635E8</v>
      </c>
      <c r="D193" s="2" t="s">
        <v>5302</v>
      </c>
      <c r="E193" s="2">
        <v>4909001.0</v>
      </c>
      <c r="F193" s="2">
        <v>206.0</v>
      </c>
      <c r="G193" s="2">
        <v>8331.0</v>
      </c>
      <c r="H193" s="2" t="s">
        <v>5906</v>
      </c>
      <c r="I193" s="2" t="s">
        <v>5906</v>
      </c>
      <c r="K193" s="2" t="s">
        <v>6652</v>
      </c>
      <c r="L193" s="10" t="s">
        <v>6653</v>
      </c>
    </row>
    <row r="194">
      <c r="A194" s="2" t="s">
        <v>5302</v>
      </c>
      <c r="B194" s="10" t="s">
        <v>6654</v>
      </c>
      <c r="C194" s="2">
        <v>2.097003693E9</v>
      </c>
      <c r="D194" s="2" t="s">
        <v>6655</v>
      </c>
      <c r="E194" s="2">
        <v>243576.0</v>
      </c>
      <c r="F194" s="2">
        <v>9.0</v>
      </c>
      <c r="G194" s="2">
        <v>8594.0</v>
      </c>
      <c r="H194" s="2" t="s">
        <v>5906</v>
      </c>
      <c r="I194" s="2" t="s">
        <v>5906</v>
      </c>
      <c r="J194" s="2" t="s">
        <v>6002</v>
      </c>
      <c r="K194" s="2" t="s">
        <v>6656</v>
      </c>
      <c r="L194" s="10" t="s">
        <v>6657</v>
      </c>
    </row>
    <row r="195">
      <c r="A195" s="2" t="s">
        <v>5302</v>
      </c>
      <c r="B195" s="2" t="s">
        <v>6658</v>
      </c>
      <c r="C195" s="2">
        <v>6.27930948E9</v>
      </c>
      <c r="D195" s="2" t="s">
        <v>6659</v>
      </c>
      <c r="E195" s="2">
        <v>246631.0</v>
      </c>
      <c r="F195" s="2">
        <v>113.0</v>
      </c>
      <c r="G195" s="2">
        <v>2271.0</v>
      </c>
      <c r="H195" s="2" t="s">
        <v>5906</v>
      </c>
      <c r="I195" s="2" t="s">
        <v>5906</v>
      </c>
      <c r="K195" s="2" t="s">
        <v>6660</v>
      </c>
      <c r="L195" s="10" t="s">
        <v>6661</v>
      </c>
    </row>
    <row r="196">
      <c r="A196" s="2" t="s">
        <v>5302</v>
      </c>
      <c r="B196" s="2" t="s">
        <v>6662</v>
      </c>
      <c r="C196" s="2">
        <v>3.150424488E9</v>
      </c>
      <c r="D196" s="2" t="s">
        <v>6663</v>
      </c>
      <c r="E196" s="2">
        <v>1302257.0</v>
      </c>
      <c r="F196" s="2">
        <v>0.0</v>
      </c>
      <c r="G196" s="2">
        <v>9834.0</v>
      </c>
      <c r="H196" s="2" t="s">
        <v>5906</v>
      </c>
      <c r="I196" s="2" t="s">
        <v>5905</v>
      </c>
      <c r="J196" s="2" t="s">
        <v>5911</v>
      </c>
      <c r="K196" s="2" t="s">
        <v>6664</v>
      </c>
      <c r="L196" s="10" t="s">
        <v>6665</v>
      </c>
    </row>
    <row r="197">
      <c r="A197" s="2" t="s">
        <v>5302</v>
      </c>
      <c r="B197" s="2" t="s">
        <v>6666</v>
      </c>
      <c r="C197" s="2">
        <v>1.4076803258E10</v>
      </c>
      <c r="D197" s="2" t="s">
        <v>6667</v>
      </c>
      <c r="E197" s="2">
        <v>10590.0</v>
      </c>
      <c r="F197" s="2">
        <v>64.0</v>
      </c>
      <c r="G197" s="2">
        <v>1239.0</v>
      </c>
      <c r="H197" s="2" t="s">
        <v>5906</v>
      </c>
      <c r="I197" s="2" t="s">
        <v>5906</v>
      </c>
      <c r="K197" s="2" t="s">
        <v>6668</v>
      </c>
      <c r="L197" s="10" t="s">
        <v>6669</v>
      </c>
    </row>
    <row r="198">
      <c r="A198" s="2" t="s">
        <v>5302</v>
      </c>
      <c r="B198" s="2" t="s">
        <v>6670</v>
      </c>
      <c r="C198" s="2">
        <v>7.338252923E9</v>
      </c>
      <c r="D198" s="2" t="s">
        <v>6671</v>
      </c>
      <c r="E198" s="2">
        <v>576197.0</v>
      </c>
      <c r="F198" s="2">
        <v>77.0</v>
      </c>
      <c r="G198" s="2">
        <v>21676.0</v>
      </c>
      <c r="H198" s="2" t="s">
        <v>5906</v>
      </c>
      <c r="I198" s="2" t="s">
        <v>5906</v>
      </c>
      <c r="J198" s="2" t="s">
        <v>5911</v>
      </c>
      <c r="K198" s="2" t="s">
        <v>6672</v>
      </c>
      <c r="L198" s="10" t="s">
        <v>6673</v>
      </c>
    </row>
    <row r="199">
      <c r="A199" s="2" t="s">
        <v>5340</v>
      </c>
      <c r="B199" s="2" t="s">
        <v>6674</v>
      </c>
      <c r="C199" s="2">
        <v>2219379.0</v>
      </c>
      <c r="D199" s="2" t="s">
        <v>6675</v>
      </c>
      <c r="E199" s="2">
        <v>3079453.0</v>
      </c>
      <c r="F199" s="2">
        <v>843.0</v>
      </c>
      <c r="G199" s="2">
        <v>11420.0</v>
      </c>
      <c r="H199" s="2" t="s">
        <v>5906</v>
      </c>
      <c r="I199" s="2" t="s">
        <v>5906</v>
      </c>
      <c r="K199" s="2" t="s">
        <v>6676</v>
      </c>
      <c r="L199" s="10" t="s">
        <v>6677</v>
      </c>
    </row>
    <row r="200">
      <c r="A200" s="2" t="s">
        <v>5381</v>
      </c>
      <c r="B200" s="2" t="s">
        <v>6518</v>
      </c>
      <c r="C200" s="2">
        <v>1.299131784E9</v>
      </c>
      <c r="D200" s="2" t="s">
        <v>6519</v>
      </c>
      <c r="E200" s="2">
        <v>3317138.0</v>
      </c>
      <c r="F200" s="2">
        <v>100.0</v>
      </c>
      <c r="G200" s="2">
        <v>7393.0</v>
      </c>
      <c r="H200" s="2" t="s">
        <v>5906</v>
      </c>
      <c r="I200" s="2" t="s">
        <v>5906</v>
      </c>
      <c r="J200" s="2" t="s">
        <v>5907</v>
      </c>
      <c r="K200" s="2" t="s">
        <v>6520</v>
      </c>
      <c r="L200" s="10" t="s">
        <v>6521</v>
      </c>
    </row>
    <row r="201">
      <c r="A201" s="2" t="s">
        <v>5381</v>
      </c>
      <c r="B201" s="2" t="s">
        <v>6678</v>
      </c>
      <c r="C201" s="2">
        <v>3.661139285E10</v>
      </c>
      <c r="D201" s="2" t="s">
        <v>6679</v>
      </c>
      <c r="E201" s="2">
        <v>14401.0</v>
      </c>
      <c r="F201" s="2">
        <v>5.0</v>
      </c>
      <c r="G201" s="2">
        <v>215.0</v>
      </c>
      <c r="H201" s="2" t="s">
        <v>5906</v>
      </c>
      <c r="I201" s="2" t="s">
        <v>5906</v>
      </c>
      <c r="J201" s="2" t="s">
        <v>5907</v>
      </c>
      <c r="K201" s="2" t="s">
        <v>6680</v>
      </c>
      <c r="L201" s="10" t="s">
        <v>6681</v>
      </c>
    </row>
    <row r="202">
      <c r="A202" s="2" t="s">
        <v>5381</v>
      </c>
      <c r="B202" s="2" t="s">
        <v>6682</v>
      </c>
      <c r="C202" s="2">
        <v>5.2769662132E10</v>
      </c>
      <c r="D202" s="2" t="s">
        <v>6683</v>
      </c>
      <c r="E202" s="2">
        <v>30430.0</v>
      </c>
      <c r="F202" s="2">
        <v>123.0</v>
      </c>
      <c r="G202" s="2">
        <v>691.0</v>
      </c>
      <c r="H202" s="2" t="s">
        <v>5906</v>
      </c>
      <c r="I202" s="2" t="s">
        <v>5906</v>
      </c>
      <c r="J202" s="2" t="s">
        <v>5907</v>
      </c>
      <c r="K202" s="2" t="s">
        <v>6684</v>
      </c>
      <c r="L202" s="10" t="s">
        <v>6685</v>
      </c>
    </row>
    <row r="203">
      <c r="A203" s="2" t="s">
        <v>5368</v>
      </c>
      <c r="B203" s="2" t="s">
        <v>6686</v>
      </c>
      <c r="C203" s="2">
        <v>1.538653985E9</v>
      </c>
      <c r="D203" s="2" t="s">
        <v>5368</v>
      </c>
      <c r="E203" s="2">
        <v>5677474.0</v>
      </c>
      <c r="F203" s="2">
        <v>465.0</v>
      </c>
      <c r="G203" s="2">
        <v>47871.0</v>
      </c>
      <c r="H203" s="2" t="s">
        <v>5906</v>
      </c>
      <c r="I203" s="2" t="s">
        <v>5906</v>
      </c>
      <c r="K203" s="2" t="s">
        <v>6687</v>
      </c>
      <c r="L203" s="10" t="s">
        <v>6688</v>
      </c>
    </row>
    <row r="204">
      <c r="A204" s="2" t="s">
        <v>5368</v>
      </c>
      <c r="B204" s="2" t="s">
        <v>6689</v>
      </c>
      <c r="C204" s="2">
        <v>8.14692222E8</v>
      </c>
      <c r="D204" s="2" t="s">
        <v>6690</v>
      </c>
      <c r="E204" s="2">
        <v>483918.0</v>
      </c>
      <c r="F204" s="2">
        <v>399.0</v>
      </c>
      <c r="G204" s="2">
        <v>26063.0</v>
      </c>
      <c r="H204" s="2" t="s">
        <v>5906</v>
      </c>
      <c r="I204" s="2" t="s">
        <v>5906</v>
      </c>
      <c r="K204" s="2" t="s">
        <v>6691</v>
      </c>
      <c r="L204" s="10" t="s">
        <v>6692</v>
      </c>
    </row>
    <row r="205">
      <c r="A205" s="2" t="s">
        <v>5368</v>
      </c>
      <c r="B205" s="2" t="s">
        <v>6693</v>
      </c>
      <c r="C205" s="2">
        <v>2.40284198E8</v>
      </c>
      <c r="D205" s="2" t="s">
        <v>6694</v>
      </c>
      <c r="E205" s="2">
        <v>3009162.0</v>
      </c>
      <c r="F205" s="2">
        <v>354.0</v>
      </c>
      <c r="G205" s="2">
        <v>13144.0</v>
      </c>
      <c r="H205" s="2" t="s">
        <v>5906</v>
      </c>
      <c r="I205" s="2" t="s">
        <v>5906</v>
      </c>
      <c r="K205" s="2" t="s">
        <v>6695</v>
      </c>
      <c r="L205" s="10" t="s">
        <v>6696</v>
      </c>
    </row>
    <row r="206">
      <c r="A206" s="2" t="s">
        <v>5368</v>
      </c>
      <c r="B206" s="2" t="s">
        <v>6697</v>
      </c>
      <c r="C206" s="2">
        <v>2.125506698E9</v>
      </c>
      <c r="D206" s="2" t="s">
        <v>6698</v>
      </c>
      <c r="E206" s="2">
        <v>4.4830436E7</v>
      </c>
      <c r="F206" s="2">
        <v>368.0</v>
      </c>
      <c r="G206" s="2">
        <v>17242.0</v>
      </c>
      <c r="H206" s="2" t="s">
        <v>5906</v>
      </c>
      <c r="I206" s="2" t="s">
        <v>5906</v>
      </c>
      <c r="J206" s="2" t="s">
        <v>6699</v>
      </c>
      <c r="K206" s="2" t="s">
        <v>6700</v>
      </c>
      <c r="L206" s="10" t="s">
        <v>6701</v>
      </c>
    </row>
    <row r="207">
      <c r="A207" s="2" t="s">
        <v>5368</v>
      </c>
      <c r="B207" s="2" t="s">
        <v>6702</v>
      </c>
      <c r="C207" s="2">
        <v>1.4461785157E10</v>
      </c>
      <c r="D207" s="2" t="s">
        <v>6703</v>
      </c>
      <c r="E207" s="2">
        <v>1119700.0</v>
      </c>
      <c r="F207" s="2">
        <v>7.0</v>
      </c>
      <c r="G207" s="2">
        <v>14661.0</v>
      </c>
      <c r="H207" s="2" t="s">
        <v>5906</v>
      </c>
      <c r="I207" s="2" t="s">
        <v>5906</v>
      </c>
      <c r="J207" s="2" t="s">
        <v>5911</v>
      </c>
      <c r="K207" s="2" t="s">
        <v>6704</v>
      </c>
      <c r="L207" s="10" t="s">
        <v>6705</v>
      </c>
    </row>
    <row r="208">
      <c r="A208" s="2" t="s">
        <v>5368</v>
      </c>
      <c r="B208" s="2" t="s">
        <v>6706</v>
      </c>
      <c r="C208" s="2">
        <v>1.771959235E9</v>
      </c>
      <c r="D208" s="2" t="s">
        <v>6707</v>
      </c>
      <c r="E208" s="2">
        <v>181930.0</v>
      </c>
      <c r="F208" s="2">
        <v>839.0</v>
      </c>
      <c r="G208" s="2">
        <v>14117.0</v>
      </c>
      <c r="H208" s="2" t="s">
        <v>5906</v>
      </c>
      <c r="I208" s="2" t="s">
        <v>5906</v>
      </c>
      <c r="K208" s="2" t="s">
        <v>6687</v>
      </c>
      <c r="L208" s="10" t="s">
        <v>6708</v>
      </c>
    </row>
    <row r="209">
      <c r="A209" s="2" t="s">
        <v>5368</v>
      </c>
      <c r="B209" s="2" t="s">
        <v>6709</v>
      </c>
      <c r="C209" s="2">
        <v>6.036568923E9</v>
      </c>
      <c r="D209" s="2" t="s">
        <v>6710</v>
      </c>
      <c r="E209" s="2">
        <v>475296.0</v>
      </c>
      <c r="F209" s="2">
        <v>5.0</v>
      </c>
      <c r="G209" s="2">
        <v>722.0</v>
      </c>
      <c r="H209" s="2" t="s">
        <v>5906</v>
      </c>
      <c r="I209" s="2" t="s">
        <v>5906</v>
      </c>
      <c r="J209" s="2" t="s">
        <v>5911</v>
      </c>
      <c r="K209" s="2" t="s">
        <v>6711</v>
      </c>
      <c r="L209" s="10" t="s">
        <v>6712</v>
      </c>
    </row>
    <row r="210">
      <c r="A210" s="2" t="s">
        <v>5368</v>
      </c>
      <c r="B210" s="2" t="s">
        <v>6713</v>
      </c>
      <c r="C210" s="2">
        <v>1.538655159E9</v>
      </c>
      <c r="D210" s="2" t="s">
        <v>6714</v>
      </c>
      <c r="E210" s="2">
        <v>998272.0</v>
      </c>
      <c r="F210" s="2">
        <v>307.0</v>
      </c>
      <c r="G210" s="2">
        <v>12946.0</v>
      </c>
      <c r="H210" s="2" t="s">
        <v>5906</v>
      </c>
      <c r="I210" s="2" t="s">
        <v>5906</v>
      </c>
      <c r="J210" s="2" t="s">
        <v>6414</v>
      </c>
      <c r="K210" s="2" t="s">
        <v>6715</v>
      </c>
      <c r="L210" s="10" t="s">
        <v>6716</v>
      </c>
    </row>
    <row r="211">
      <c r="A211" s="2" t="s">
        <v>5368</v>
      </c>
      <c r="B211" s="2" t="s">
        <v>6717</v>
      </c>
      <c r="C211" s="2">
        <v>7.291638301E9</v>
      </c>
      <c r="D211" s="2" t="s">
        <v>6718</v>
      </c>
      <c r="E211" s="2">
        <v>196981.0</v>
      </c>
      <c r="F211" s="2">
        <v>8.0</v>
      </c>
      <c r="G211" s="2">
        <v>198.0</v>
      </c>
      <c r="H211" s="2" t="s">
        <v>5906</v>
      </c>
      <c r="I211" s="2" t="s">
        <v>5906</v>
      </c>
      <c r="J211" s="2" t="s">
        <v>5548</v>
      </c>
      <c r="K211" s="2" t="s">
        <v>6719</v>
      </c>
      <c r="L211" s="10" t="s">
        <v>6720</v>
      </c>
    </row>
    <row r="212">
      <c r="A212" s="2" t="s">
        <v>5506</v>
      </c>
      <c r="B212" s="2" t="s">
        <v>6721</v>
      </c>
      <c r="C212" s="2">
        <v>7.96400913E8</v>
      </c>
      <c r="D212" s="2" t="s">
        <v>6722</v>
      </c>
      <c r="E212" s="2">
        <v>35640.0</v>
      </c>
      <c r="F212" s="2">
        <v>468.0</v>
      </c>
      <c r="G212" s="2">
        <v>2452.0</v>
      </c>
      <c r="H212" s="2" t="s">
        <v>5906</v>
      </c>
      <c r="I212" s="2" t="s">
        <v>5906</v>
      </c>
      <c r="K212" s="2" t="s">
        <v>6723</v>
      </c>
      <c r="L212" s="10" t="s">
        <v>6724</v>
      </c>
    </row>
    <row r="213">
      <c r="A213" s="2" t="s">
        <v>5506</v>
      </c>
      <c r="B213" s="2" t="s">
        <v>6725</v>
      </c>
      <c r="C213" s="2">
        <v>5.6711251498E10</v>
      </c>
      <c r="D213" s="2" t="s">
        <v>6726</v>
      </c>
      <c r="E213" s="2">
        <v>28412.0</v>
      </c>
      <c r="F213" s="2">
        <v>205.0</v>
      </c>
      <c r="G213" s="2">
        <v>416.0</v>
      </c>
      <c r="H213" s="2" t="s">
        <v>5905</v>
      </c>
      <c r="I213" s="2" t="s">
        <v>5906</v>
      </c>
      <c r="J213" s="2" t="s">
        <v>5518</v>
      </c>
      <c r="K213" s="2" t="s">
        <v>6727</v>
      </c>
      <c r="L213" s="10" t="s">
        <v>6728</v>
      </c>
    </row>
    <row r="214">
      <c r="A214" s="2" t="s">
        <v>5001</v>
      </c>
      <c r="B214" s="2" t="s">
        <v>6729</v>
      </c>
      <c r="C214" s="2">
        <v>4.71425823E8</v>
      </c>
      <c r="D214" s="2" t="s">
        <v>5001</v>
      </c>
      <c r="E214" s="2">
        <v>20888.0</v>
      </c>
      <c r="F214" s="2">
        <v>476.0</v>
      </c>
      <c r="G214" s="2">
        <v>533.0</v>
      </c>
      <c r="H214" s="2" t="s">
        <v>5906</v>
      </c>
      <c r="I214" s="2" t="s">
        <v>5906</v>
      </c>
      <c r="K214" s="2" t="s">
        <v>6730</v>
      </c>
      <c r="L214" s="10" t="s">
        <v>6731</v>
      </c>
    </row>
    <row r="215">
      <c r="A215" s="2" t="s">
        <v>5001</v>
      </c>
      <c r="B215" s="2" t="s">
        <v>6732</v>
      </c>
      <c r="C215" s="2">
        <v>2.12575342E8</v>
      </c>
      <c r="D215" s="2" t="s">
        <v>6733</v>
      </c>
      <c r="E215" s="2">
        <v>138061.0</v>
      </c>
      <c r="F215" s="2">
        <v>1006.0</v>
      </c>
      <c r="G215" s="2">
        <v>561.0</v>
      </c>
      <c r="H215" s="2" t="s">
        <v>5905</v>
      </c>
      <c r="I215" s="2" t="s">
        <v>5905</v>
      </c>
      <c r="J215" s="2" t="s">
        <v>5993</v>
      </c>
      <c r="L215" s="10" t="s">
        <v>6734</v>
      </c>
    </row>
    <row r="216">
      <c r="A216" s="2" t="s">
        <v>5001</v>
      </c>
      <c r="B216" s="2" t="s">
        <v>6735</v>
      </c>
      <c r="C216" s="2">
        <v>2.14869298E9</v>
      </c>
      <c r="D216" s="2" t="s">
        <v>6736</v>
      </c>
      <c r="E216" s="2">
        <v>80811.0</v>
      </c>
      <c r="F216" s="2">
        <v>234.0</v>
      </c>
      <c r="G216" s="2">
        <v>1164.0</v>
      </c>
      <c r="H216" s="2" t="s">
        <v>5906</v>
      </c>
      <c r="I216" s="2" t="s">
        <v>5906</v>
      </c>
      <c r="J216" s="2" t="s">
        <v>5518</v>
      </c>
      <c r="K216" s="2" t="s">
        <v>6737</v>
      </c>
      <c r="L216" s="10" t="s">
        <v>6738</v>
      </c>
    </row>
    <row r="217">
      <c r="A217" s="2" t="s">
        <v>5001</v>
      </c>
      <c r="B217" s="2" t="s">
        <v>6739</v>
      </c>
      <c r="C217" s="2">
        <v>3.0004999205E10</v>
      </c>
      <c r="D217" s="2" t="s">
        <v>6740</v>
      </c>
      <c r="E217" s="2">
        <v>23852.0</v>
      </c>
      <c r="F217" s="2">
        <v>120.0</v>
      </c>
      <c r="G217" s="2">
        <v>10449.0</v>
      </c>
      <c r="H217" s="2" t="s">
        <v>5906</v>
      </c>
      <c r="I217" s="2" t="s">
        <v>5906</v>
      </c>
      <c r="J217" s="2" t="s">
        <v>5911</v>
      </c>
      <c r="K217" s="2" t="s">
        <v>6741</v>
      </c>
      <c r="L217" s="10" t="s">
        <v>6742</v>
      </c>
    </row>
    <row r="218">
      <c r="A218" s="2" t="s">
        <v>5001</v>
      </c>
      <c r="B218" s="2" t="s">
        <v>6743</v>
      </c>
      <c r="C218" s="2">
        <v>3.6990312146E10</v>
      </c>
      <c r="D218" s="2" t="s">
        <v>6744</v>
      </c>
      <c r="E218" s="2">
        <v>284742.0</v>
      </c>
      <c r="F218" s="2">
        <v>65.0</v>
      </c>
      <c r="G218" s="2">
        <v>584.0</v>
      </c>
      <c r="H218" s="2" t="s">
        <v>5906</v>
      </c>
      <c r="I218" s="2" t="s">
        <v>5906</v>
      </c>
      <c r="J218" s="2" t="s">
        <v>6745</v>
      </c>
      <c r="K218" s="2" t="s">
        <v>6746</v>
      </c>
      <c r="L218" s="10" t="s">
        <v>6747</v>
      </c>
    </row>
    <row r="219">
      <c r="A219" s="2" t="s">
        <v>5001</v>
      </c>
      <c r="B219" s="2" t="s">
        <v>6748</v>
      </c>
      <c r="C219" s="2">
        <v>2.958547455E9</v>
      </c>
      <c r="D219" s="2" t="s">
        <v>6749</v>
      </c>
      <c r="E219" s="2">
        <v>29534.0</v>
      </c>
      <c r="F219" s="2">
        <v>3369.0</v>
      </c>
      <c r="G219" s="2">
        <v>437.0</v>
      </c>
      <c r="H219" s="2" t="s">
        <v>5905</v>
      </c>
      <c r="I219" s="2" t="s">
        <v>5906</v>
      </c>
      <c r="K219" s="2" t="s">
        <v>6750</v>
      </c>
      <c r="L219" s="10" t="s">
        <v>6751</v>
      </c>
    </row>
    <row r="220">
      <c r="A220" s="2" t="s">
        <v>5293</v>
      </c>
      <c r="B220" s="2" t="s">
        <v>6752</v>
      </c>
      <c r="C220" s="2">
        <v>6.10733756E8</v>
      </c>
      <c r="D220" s="2" t="s">
        <v>6753</v>
      </c>
      <c r="E220" s="2">
        <v>50847.0</v>
      </c>
      <c r="F220" s="2">
        <v>42.0</v>
      </c>
      <c r="G220" s="2">
        <v>6813.0</v>
      </c>
      <c r="H220" s="2" t="s">
        <v>5906</v>
      </c>
      <c r="I220" s="2" t="s">
        <v>5906</v>
      </c>
      <c r="K220" s="2" t="s">
        <v>6754</v>
      </c>
      <c r="L220" s="10" t="s">
        <v>6755</v>
      </c>
    </row>
    <row r="221">
      <c r="A221" s="2" t="s">
        <v>5293</v>
      </c>
      <c r="B221" s="2" t="s">
        <v>6756</v>
      </c>
      <c r="C221" s="2">
        <v>1.08859627E9</v>
      </c>
      <c r="D221" s="2" t="s">
        <v>6757</v>
      </c>
      <c r="E221" s="2">
        <v>12718.0</v>
      </c>
      <c r="F221" s="2">
        <v>734.0</v>
      </c>
      <c r="G221" s="2">
        <v>4933.0</v>
      </c>
      <c r="H221" s="2" t="s">
        <v>5906</v>
      </c>
      <c r="I221" s="2" t="s">
        <v>5906</v>
      </c>
      <c r="J221" s="2" t="s">
        <v>5911</v>
      </c>
      <c r="K221" s="2" t="s">
        <v>6758</v>
      </c>
      <c r="L221" s="10" t="s">
        <v>6759</v>
      </c>
    </row>
    <row r="222">
      <c r="A222" s="2" t="s">
        <v>5293</v>
      </c>
      <c r="B222" s="2" t="s">
        <v>6760</v>
      </c>
      <c r="C222" s="2">
        <v>4.48147393E8</v>
      </c>
      <c r="D222" s="2" t="s">
        <v>6761</v>
      </c>
      <c r="E222" s="2">
        <v>94766.0</v>
      </c>
      <c r="F222" s="2">
        <v>248.0</v>
      </c>
      <c r="G222" s="2">
        <v>4669.0</v>
      </c>
      <c r="H222" s="2" t="s">
        <v>5906</v>
      </c>
      <c r="I222" s="2" t="s">
        <v>5906</v>
      </c>
      <c r="J222" s="2" t="s">
        <v>5907</v>
      </c>
      <c r="K222" s="2" t="s">
        <v>6762</v>
      </c>
      <c r="L222" s="10" t="s">
        <v>6763</v>
      </c>
    </row>
    <row r="223">
      <c r="A223" s="2" t="s">
        <v>5293</v>
      </c>
      <c r="B223" s="2" t="s">
        <v>6764</v>
      </c>
      <c r="C223" s="2">
        <v>4.80609945E8</v>
      </c>
      <c r="D223" s="2" t="s">
        <v>6765</v>
      </c>
      <c r="E223" s="2">
        <v>527278.0</v>
      </c>
      <c r="F223" s="2">
        <v>252.0</v>
      </c>
      <c r="G223" s="2">
        <v>21600.0</v>
      </c>
      <c r="H223" s="2" t="s">
        <v>5906</v>
      </c>
      <c r="I223" s="2" t="s">
        <v>5906</v>
      </c>
      <c r="J223" s="2" t="s">
        <v>6199</v>
      </c>
      <c r="K223" s="2" t="s">
        <v>6766</v>
      </c>
      <c r="L223" s="10" t="s">
        <v>6767</v>
      </c>
    </row>
    <row r="224">
      <c r="A224" s="2" t="s">
        <v>5293</v>
      </c>
      <c r="B224" s="2" t="s">
        <v>6768</v>
      </c>
      <c r="C224" s="2">
        <v>2.37113088E8</v>
      </c>
      <c r="D224" s="2" t="s">
        <v>6769</v>
      </c>
      <c r="E224" s="2">
        <v>73748.0</v>
      </c>
      <c r="F224" s="2">
        <v>659.0</v>
      </c>
      <c r="G224" s="2">
        <v>6251.0</v>
      </c>
      <c r="H224" s="2" t="s">
        <v>5906</v>
      </c>
      <c r="I224" s="2" t="s">
        <v>5906</v>
      </c>
      <c r="J224" s="2" t="s">
        <v>5907</v>
      </c>
      <c r="K224" s="2" t="s">
        <v>6770</v>
      </c>
      <c r="L224" s="10" t="s">
        <v>6771</v>
      </c>
    </row>
    <row r="225">
      <c r="A225" s="2" t="s">
        <v>5293</v>
      </c>
      <c r="B225" s="2" t="s">
        <v>6772</v>
      </c>
      <c r="C225" s="2">
        <v>3048245.0</v>
      </c>
      <c r="D225" s="2" t="s">
        <v>5293</v>
      </c>
      <c r="E225" s="2">
        <v>2520454.0</v>
      </c>
      <c r="F225" s="2">
        <v>286.0</v>
      </c>
      <c r="G225" s="2">
        <v>63809.0</v>
      </c>
      <c r="H225" s="2" t="s">
        <v>5906</v>
      </c>
      <c r="I225" s="2" t="s">
        <v>5906</v>
      </c>
      <c r="J225" s="2" t="s">
        <v>5911</v>
      </c>
      <c r="K225" s="2" t="s">
        <v>6773</v>
      </c>
      <c r="L225" s="10" t="s">
        <v>6774</v>
      </c>
    </row>
    <row r="226">
      <c r="A226" s="2" t="s">
        <v>5293</v>
      </c>
      <c r="B226" s="2" t="s">
        <v>6775</v>
      </c>
      <c r="C226" s="2">
        <v>5.8609004792E10</v>
      </c>
      <c r="D226" s="2" t="s">
        <v>6776</v>
      </c>
      <c r="E226" s="2">
        <v>95843.0</v>
      </c>
      <c r="F226" s="2">
        <v>170.0</v>
      </c>
      <c r="G226" s="2">
        <v>5111.0</v>
      </c>
      <c r="H226" s="2" t="s">
        <v>5906</v>
      </c>
      <c r="I226" s="2" t="s">
        <v>5906</v>
      </c>
      <c r="J226" s="2" t="s">
        <v>5911</v>
      </c>
      <c r="K226" s="2" t="s">
        <v>6777</v>
      </c>
      <c r="L226" s="10" t="s">
        <v>6778</v>
      </c>
    </row>
    <row r="227">
      <c r="A227" s="2" t="s">
        <v>5293</v>
      </c>
      <c r="B227" s="2" t="s">
        <v>6779</v>
      </c>
      <c r="C227" s="2">
        <v>1.297043635E9</v>
      </c>
      <c r="D227" s="2" t="s">
        <v>6780</v>
      </c>
      <c r="E227" s="2">
        <v>82590.0</v>
      </c>
      <c r="F227" s="2">
        <v>317.0</v>
      </c>
      <c r="G227" s="2">
        <v>4975.0</v>
      </c>
      <c r="H227" s="2" t="s">
        <v>5906</v>
      </c>
      <c r="I227" s="2" t="s">
        <v>5906</v>
      </c>
      <c r="K227" s="2" t="s">
        <v>6781</v>
      </c>
      <c r="L227" s="10" t="s">
        <v>6782</v>
      </c>
    </row>
    <row r="228">
      <c r="A228" s="2" t="s">
        <v>5293</v>
      </c>
      <c r="B228" s="2" t="s">
        <v>6783</v>
      </c>
      <c r="C228" s="2">
        <v>2.954532141E9</v>
      </c>
      <c r="D228" s="2" t="s">
        <v>6784</v>
      </c>
      <c r="E228" s="2">
        <v>176507.0</v>
      </c>
      <c r="F228" s="2">
        <v>355.0</v>
      </c>
      <c r="G228" s="2">
        <v>7680.0</v>
      </c>
      <c r="H228" s="2" t="s">
        <v>5906</v>
      </c>
      <c r="I228" s="2" t="s">
        <v>5906</v>
      </c>
      <c r="K228" s="2" t="s">
        <v>6785</v>
      </c>
      <c r="L228" s="10" t="s">
        <v>6786</v>
      </c>
    </row>
    <row r="229">
      <c r="A229" s="2" t="s">
        <v>5293</v>
      </c>
      <c r="B229" s="2" t="s">
        <v>6787</v>
      </c>
      <c r="C229" s="2">
        <v>1.463297458E9</v>
      </c>
      <c r="D229" s="2" t="s">
        <v>6788</v>
      </c>
      <c r="E229" s="2">
        <v>71323.0</v>
      </c>
      <c r="F229" s="2">
        <v>250.0</v>
      </c>
      <c r="G229" s="2">
        <v>4430.0</v>
      </c>
      <c r="H229" s="2" t="s">
        <v>5906</v>
      </c>
      <c r="I229" s="2" t="s">
        <v>5906</v>
      </c>
      <c r="K229" s="2" t="s">
        <v>6789</v>
      </c>
      <c r="L229" s="10" t="s">
        <v>6790</v>
      </c>
    </row>
    <row r="230">
      <c r="A230" s="2" t="s">
        <v>5293</v>
      </c>
      <c r="B230" s="2" t="s">
        <v>6791</v>
      </c>
      <c r="C230" s="2">
        <v>2.13818563E9</v>
      </c>
      <c r="D230" s="2" t="s">
        <v>6792</v>
      </c>
      <c r="E230" s="2">
        <v>756211.0</v>
      </c>
      <c r="F230" s="2">
        <v>185.0</v>
      </c>
      <c r="G230" s="2">
        <v>14437.0</v>
      </c>
      <c r="H230" s="2" t="s">
        <v>5906</v>
      </c>
      <c r="I230" s="2" t="s">
        <v>5906</v>
      </c>
      <c r="J230" s="2" t="s">
        <v>5484</v>
      </c>
      <c r="K230" s="2" t="s">
        <v>6793</v>
      </c>
      <c r="L230" s="10" t="s">
        <v>6794</v>
      </c>
    </row>
    <row r="231">
      <c r="A231" s="2" t="s">
        <v>5293</v>
      </c>
      <c r="B231" s="2" t="s">
        <v>6795</v>
      </c>
      <c r="C231" s="2">
        <v>1.107242222E9</v>
      </c>
      <c r="D231" s="2" t="s">
        <v>6796</v>
      </c>
      <c r="E231" s="2">
        <v>62486.0</v>
      </c>
      <c r="F231" s="2">
        <v>1328.0</v>
      </c>
      <c r="G231" s="2">
        <v>11877.0</v>
      </c>
      <c r="H231" s="2" t="s">
        <v>5906</v>
      </c>
      <c r="I231" s="2" t="s">
        <v>5906</v>
      </c>
      <c r="J231" s="2" t="s">
        <v>5920</v>
      </c>
      <c r="K231" s="2" t="s">
        <v>6797</v>
      </c>
      <c r="L231" s="10" t="s">
        <v>6798</v>
      </c>
    </row>
    <row r="232">
      <c r="A232" s="2" t="s">
        <v>5293</v>
      </c>
      <c r="B232" s="2" t="s">
        <v>6799</v>
      </c>
      <c r="C232" s="2">
        <v>2.60266887E9</v>
      </c>
      <c r="D232" s="2" t="s">
        <v>6800</v>
      </c>
      <c r="E232" s="2">
        <v>92515.0</v>
      </c>
      <c r="F232" s="2">
        <v>499.0</v>
      </c>
      <c r="G232" s="2">
        <v>9635.0</v>
      </c>
      <c r="H232" s="2" t="s">
        <v>5906</v>
      </c>
      <c r="I232" s="2" t="s">
        <v>5906</v>
      </c>
      <c r="J232" s="2" t="s">
        <v>5911</v>
      </c>
      <c r="K232" s="2" t="s">
        <v>6801</v>
      </c>
      <c r="L232" s="10" t="s">
        <v>6802</v>
      </c>
    </row>
    <row r="233">
      <c r="A233" s="2" t="s">
        <v>5293</v>
      </c>
      <c r="B233" s="2" t="s">
        <v>6803</v>
      </c>
      <c r="C233" s="2">
        <v>2.14644839E8</v>
      </c>
      <c r="D233" s="2" t="s">
        <v>6804</v>
      </c>
      <c r="E233" s="2">
        <v>48383.0</v>
      </c>
      <c r="F233" s="2">
        <v>1635.0</v>
      </c>
      <c r="G233" s="2">
        <v>4957.0</v>
      </c>
      <c r="H233" s="2" t="s">
        <v>5906</v>
      </c>
      <c r="I233" s="2" t="s">
        <v>5906</v>
      </c>
      <c r="K233" s="2" t="s">
        <v>6805</v>
      </c>
      <c r="L233" s="10" t="s">
        <v>6806</v>
      </c>
    </row>
    <row r="234">
      <c r="A234" s="2" t="s">
        <v>5524</v>
      </c>
      <c r="B234" s="2" t="s">
        <v>6807</v>
      </c>
      <c r="C234" s="2">
        <v>2.106638359E9</v>
      </c>
      <c r="E234" s="2">
        <v>1528558.0</v>
      </c>
      <c r="F234" s="2">
        <v>0.0</v>
      </c>
      <c r="G234" s="2">
        <v>8.0</v>
      </c>
      <c r="H234" s="2" t="s">
        <v>5905</v>
      </c>
      <c r="I234" s="2" t="s">
        <v>5906</v>
      </c>
      <c r="J234" s="2" t="s">
        <v>5561</v>
      </c>
      <c r="K234" s="2" t="s">
        <v>6808</v>
      </c>
      <c r="L234" s="10" t="s">
        <v>6809</v>
      </c>
    </row>
    <row r="235">
      <c r="A235" s="2" t="s">
        <v>5524</v>
      </c>
      <c r="B235" s="2" t="s">
        <v>6810</v>
      </c>
      <c r="C235" s="2">
        <v>2.24246697E8</v>
      </c>
      <c r="D235" s="2" t="s">
        <v>6811</v>
      </c>
      <c r="E235" s="2">
        <v>848853.0</v>
      </c>
      <c r="F235" s="2">
        <v>118.0</v>
      </c>
      <c r="G235" s="2">
        <v>11960.0</v>
      </c>
      <c r="H235" s="2" t="s">
        <v>5906</v>
      </c>
      <c r="I235" s="2" t="s">
        <v>5906</v>
      </c>
      <c r="J235" s="2" t="s">
        <v>5920</v>
      </c>
      <c r="K235" s="2" t="s">
        <v>6812</v>
      </c>
      <c r="L235" s="10" t="s">
        <v>6813</v>
      </c>
    </row>
    <row r="236">
      <c r="A236" s="2" t="s">
        <v>5524</v>
      </c>
      <c r="B236" s="2" t="s">
        <v>6814</v>
      </c>
      <c r="C236" s="2">
        <v>4.180244073E9</v>
      </c>
      <c r="D236" s="12" t="s">
        <v>6815</v>
      </c>
      <c r="E236" s="2">
        <v>246100.0</v>
      </c>
      <c r="F236" s="2">
        <v>1.0</v>
      </c>
      <c r="G236" s="2">
        <v>517.0</v>
      </c>
      <c r="H236" s="2" t="s">
        <v>5905</v>
      </c>
      <c r="I236" s="2" t="s">
        <v>5905</v>
      </c>
      <c r="J236" s="2" t="s">
        <v>5551</v>
      </c>
      <c r="K236" s="12" t="s">
        <v>6816</v>
      </c>
      <c r="L236" s="10" t="s">
        <v>6817</v>
      </c>
    </row>
    <row r="237">
      <c r="A237" s="2" t="s">
        <v>5524</v>
      </c>
      <c r="B237" s="2" t="s">
        <v>6818</v>
      </c>
      <c r="C237" s="2">
        <v>6.465590218E9</v>
      </c>
      <c r="D237" s="2" t="s">
        <v>6819</v>
      </c>
      <c r="E237" s="2">
        <v>3185325.0</v>
      </c>
      <c r="F237" s="2">
        <v>0.0</v>
      </c>
      <c r="G237" s="2">
        <v>74.0</v>
      </c>
      <c r="H237" s="2" t="s">
        <v>5905</v>
      </c>
      <c r="I237" s="2" t="s">
        <v>5906</v>
      </c>
      <c r="J237" s="2" t="s">
        <v>5561</v>
      </c>
      <c r="K237" s="2" t="s">
        <v>6820</v>
      </c>
    </row>
    <row r="238">
      <c r="A238" s="2" t="s">
        <v>5524</v>
      </c>
      <c r="B238" s="2" t="s">
        <v>6821</v>
      </c>
      <c r="C238" s="2">
        <v>2.07567201E8</v>
      </c>
      <c r="D238" s="2" t="s">
        <v>6822</v>
      </c>
      <c r="E238" s="2">
        <v>1160480.0</v>
      </c>
      <c r="F238" s="2">
        <v>2.0</v>
      </c>
      <c r="G238" s="2">
        <v>13312.0</v>
      </c>
      <c r="H238" s="2" t="s">
        <v>5906</v>
      </c>
      <c r="I238" s="2" t="s">
        <v>5906</v>
      </c>
      <c r="J238" s="2" t="s">
        <v>5911</v>
      </c>
      <c r="K238" s="2" t="s">
        <v>6823</v>
      </c>
      <c r="L238" s="10" t="s">
        <v>6824</v>
      </c>
    </row>
    <row r="239">
      <c r="A239" s="2" t="s">
        <v>5524</v>
      </c>
      <c r="B239" s="2" t="s">
        <v>6825</v>
      </c>
      <c r="C239" s="2">
        <v>2.308985963E9</v>
      </c>
      <c r="D239" s="2" t="s">
        <v>6826</v>
      </c>
      <c r="E239" s="2">
        <v>1667682.0</v>
      </c>
      <c r="F239" s="2">
        <v>20.0</v>
      </c>
      <c r="G239" s="2">
        <v>29477.0</v>
      </c>
      <c r="H239" s="2" t="s">
        <v>5906</v>
      </c>
      <c r="I239" s="2" t="s">
        <v>5906</v>
      </c>
      <c r="J239" s="2" t="s">
        <v>5920</v>
      </c>
      <c r="K239" s="2" t="s">
        <v>6827</v>
      </c>
      <c r="L239" s="10" t="s">
        <v>6828</v>
      </c>
    </row>
    <row r="240">
      <c r="A240" s="2" t="s">
        <v>5524</v>
      </c>
      <c r="B240" s="2" t="s">
        <v>6829</v>
      </c>
      <c r="C240" s="2">
        <v>2.901049451E9</v>
      </c>
      <c r="D240" s="2" t="s">
        <v>6830</v>
      </c>
      <c r="E240" s="2">
        <v>174603.0</v>
      </c>
      <c r="F240" s="2">
        <v>258.0</v>
      </c>
      <c r="G240" s="2">
        <v>681.0</v>
      </c>
      <c r="H240" s="2" t="s">
        <v>5905</v>
      </c>
      <c r="I240" s="2" t="s">
        <v>5906</v>
      </c>
      <c r="J240" s="2" t="s">
        <v>5911</v>
      </c>
      <c r="K240" s="2" t="s">
        <v>6831</v>
      </c>
      <c r="L240" s="10" t="s">
        <v>6832</v>
      </c>
    </row>
    <row r="241">
      <c r="A241" s="2" t="s">
        <v>5524</v>
      </c>
      <c r="B241" s="2" t="s">
        <v>6833</v>
      </c>
      <c r="C241" s="2">
        <v>3.55934968E8</v>
      </c>
      <c r="D241" s="2" t="s">
        <v>6834</v>
      </c>
      <c r="E241" s="2">
        <v>9284111.0</v>
      </c>
      <c r="F241" s="2">
        <v>290.0</v>
      </c>
      <c r="G241" s="2">
        <v>6813.0</v>
      </c>
      <c r="H241" s="2" t="s">
        <v>5906</v>
      </c>
      <c r="I241" s="2" t="s">
        <v>5906</v>
      </c>
      <c r="K241" s="2" t="s">
        <v>6835</v>
      </c>
    </row>
    <row r="242">
      <c r="A242" s="2" t="s">
        <v>5524</v>
      </c>
      <c r="B242" s="2" t="s">
        <v>6836</v>
      </c>
      <c r="C242" s="2">
        <v>1.880311E7</v>
      </c>
      <c r="D242" s="2" t="s">
        <v>6837</v>
      </c>
      <c r="E242" s="2">
        <v>1574411.0</v>
      </c>
      <c r="F242" s="2">
        <v>503.0</v>
      </c>
      <c r="G242" s="2">
        <v>28617.0</v>
      </c>
      <c r="H242" s="2" t="s">
        <v>5906</v>
      </c>
      <c r="I242" s="2" t="s">
        <v>5906</v>
      </c>
      <c r="K242" s="2" t="s">
        <v>6838</v>
      </c>
      <c r="L242" s="10" t="s">
        <v>6839</v>
      </c>
    </row>
    <row r="243">
      <c r="A243" s="2" t="s">
        <v>5524</v>
      </c>
      <c r="B243" s="2" t="s">
        <v>6840</v>
      </c>
      <c r="C243" s="2">
        <v>5.919292223E9</v>
      </c>
      <c r="D243" s="2" t="s">
        <v>6841</v>
      </c>
      <c r="E243" s="2">
        <v>3042025.0</v>
      </c>
      <c r="F243" s="2">
        <v>2.0</v>
      </c>
      <c r="G243" s="2">
        <v>274.0</v>
      </c>
      <c r="H243" s="2" t="s">
        <v>5905</v>
      </c>
      <c r="I243" s="2" t="s">
        <v>5905</v>
      </c>
      <c r="J243" s="2" t="s">
        <v>5928</v>
      </c>
      <c r="L243" s="10" t="s">
        <v>6842</v>
      </c>
    </row>
    <row r="244">
      <c r="A244" s="2" t="s">
        <v>5524</v>
      </c>
      <c r="B244" s="2" t="s">
        <v>6843</v>
      </c>
      <c r="C244" s="2">
        <v>1.299768606E10</v>
      </c>
      <c r="D244" s="2" t="s">
        <v>6844</v>
      </c>
      <c r="E244" s="2">
        <v>11256.0</v>
      </c>
      <c r="F244" s="2">
        <v>1674.0</v>
      </c>
      <c r="G244" s="2">
        <v>600.0</v>
      </c>
      <c r="H244" s="2" t="s">
        <v>5906</v>
      </c>
      <c r="I244" s="2" t="s">
        <v>5905</v>
      </c>
      <c r="J244" s="2" t="s">
        <v>5928</v>
      </c>
      <c r="K244" s="2" t="s">
        <v>6845</v>
      </c>
      <c r="L244" s="10" t="s">
        <v>6846</v>
      </c>
    </row>
    <row r="245">
      <c r="A245" s="2" t="s">
        <v>5524</v>
      </c>
      <c r="B245" s="2" t="s">
        <v>6847</v>
      </c>
      <c r="C245" s="2">
        <v>8.07890248E9</v>
      </c>
      <c r="D245" s="2" t="s">
        <v>6848</v>
      </c>
      <c r="E245" s="2">
        <v>3049860.0</v>
      </c>
      <c r="F245" s="2">
        <v>43.0</v>
      </c>
      <c r="G245" s="2">
        <v>3376.0</v>
      </c>
      <c r="H245" s="2" t="s">
        <v>5906</v>
      </c>
      <c r="I245" s="2" t="s">
        <v>5905</v>
      </c>
      <c r="J245" s="2" t="s">
        <v>6699</v>
      </c>
      <c r="K245" s="2" t="s">
        <v>6849</v>
      </c>
      <c r="L245" s="10" t="s">
        <v>6850</v>
      </c>
    </row>
    <row r="246">
      <c r="A246" s="2" t="s">
        <v>5524</v>
      </c>
      <c r="B246" s="2" t="s">
        <v>6851</v>
      </c>
      <c r="C246" s="2">
        <v>7.5872868478E10</v>
      </c>
      <c r="E246" s="2">
        <v>405416.0</v>
      </c>
      <c r="F246" s="2">
        <v>15.0</v>
      </c>
      <c r="G246" s="2">
        <v>195.0</v>
      </c>
      <c r="H246" s="2" t="s">
        <v>5905</v>
      </c>
      <c r="I246" s="2" t="s">
        <v>5905</v>
      </c>
      <c r="J246" s="2" t="s">
        <v>4404</v>
      </c>
      <c r="K246" s="12" t="s">
        <v>6852</v>
      </c>
      <c r="L246" s="10" t="s">
        <v>6853</v>
      </c>
    </row>
    <row r="247">
      <c r="A247" s="2" t="s">
        <v>5460</v>
      </c>
      <c r="B247" s="2" t="s">
        <v>6854</v>
      </c>
      <c r="C247" s="2">
        <v>6.7931741247E10</v>
      </c>
      <c r="D247" s="2" t="s">
        <v>6855</v>
      </c>
      <c r="E247" s="2">
        <v>12072.0</v>
      </c>
      <c r="F247" s="2">
        <v>70.0</v>
      </c>
      <c r="G247" s="2">
        <v>145.0</v>
      </c>
      <c r="H247" s="2" t="s">
        <v>5905</v>
      </c>
      <c r="I247" s="2" t="s">
        <v>5905</v>
      </c>
      <c r="J247" s="2" t="s">
        <v>6856</v>
      </c>
      <c r="K247" s="2" t="s">
        <v>6857</v>
      </c>
      <c r="L247" s="10" t="s">
        <v>6858</v>
      </c>
    </row>
    <row r="248">
      <c r="A248" s="2" t="s">
        <v>5460</v>
      </c>
      <c r="B248" s="2" t="s">
        <v>6859</v>
      </c>
      <c r="C248" s="2">
        <v>2.959783072E9</v>
      </c>
      <c r="D248" s="2" t="s">
        <v>5460</v>
      </c>
      <c r="E248" s="2">
        <v>777515.0</v>
      </c>
      <c r="F248" s="2">
        <v>350.0</v>
      </c>
      <c r="G248" s="2">
        <v>13846.0</v>
      </c>
      <c r="H248" s="2" t="s">
        <v>5906</v>
      </c>
      <c r="I248" s="2" t="s">
        <v>5906</v>
      </c>
      <c r="J248" s="2" t="s">
        <v>5936</v>
      </c>
      <c r="K248" s="2" t="s">
        <v>6860</v>
      </c>
      <c r="L248" s="10" t="s">
        <v>6861</v>
      </c>
    </row>
    <row r="249">
      <c r="A249" s="2" t="s">
        <v>5460</v>
      </c>
      <c r="B249" s="2" t="s">
        <v>6862</v>
      </c>
      <c r="C249" s="2">
        <v>5.7772179591E10</v>
      </c>
      <c r="D249" s="2" t="s">
        <v>6863</v>
      </c>
      <c r="E249" s="2">
        <v>16033.0</v>
      </c>
      <c r="F249" s="2">
        <v>162.0</v>
      </c>
      <c r="G249" s="2">
        <v>470.0</v>
      </c>
      <c r="H249" s="2" t="s">
        <v>5906</v>
      </c>
      <c r="I249" s="2" t="s">
        <v>5905</v>
      </c>
      <c r="J249" s="2" t="s">
        <v>6393</v>
      </c>
      <c r="K249" s="2" t="s">
        <v>6864</v>
      </c>
      <c r="L249" s="10" t="s">
        <v>6865</v>
      </c>
    </row>
    <row r="250">
      <c r="A250" s="2" t="s">
        <v>5460</v>
      </c>
      <c r="B250" s="2" t="s">
        <v>6866</v>
      </c>
      <c r="C250" s="2">
        <v>5.5125997144E10</v>
      </c>
      <c r="D250" s="2" t="s">
        <v>5460</v>
      </c>
      <c r="E250" s="2">
        <v>722879.0</v>
      </c>
      <c r="F250" s="2">
        <v>9.0</v>
      </c>
      <c r="G250" s="2">
        <v>1085.0</v>
      </c>
      <c r="H250" s="2" t="s">
        <v>5906</v>
      </c>
      <c r="I250" s="2" t="s">
        <v>5905</v>
      </c>
      <c r="J250" s="2" t="s">
        <v>6414</v>
      </c>
      <c r="K250" s="2" t="s">
        <v>6867</v>
      </c>
      <c r="L250" s="10" t="s">
        <v>6868</v>
      </c>
    </row>
    <row r="251">
      <c r="A251" s="2" t="s">
        <v>5460</v>
      </c>
      <c r="B251" s="10" t="s">
        <v>6869</v>
      </c>
      <c r="C251" s="2">
        <v>1.4420428113E10</v>
      </c>
      <c r="D251" s="2" t="s">
        <v>6870</v>
      </c>
      <c r="E251" s="2">
        <v>80865.0</v>
      </c>
      <c r="F251" s="2">
        <v>451.0</v>
      </c>
      <c r="G251" s="2">
        <v>297.0</v>
      </c>
      <c r="H251" s="2" t="s">
        <v>5906</v>
      </c>
      <c r="I251" s="2" t="s">
        <v>5906</v>
      </c>
      <c r="J251" s="2" t="s">
        <v>6871</v>
      </c>
      <c r="K251" s="2" t="s">
        <v>6872</v>
      </c>
      <c r="L251" s="10" t="s">
        <v>6873</v>
      </c>
    </row>
    <row r="252">
      <c r="A252" s="2" t="s">
        <v>5468</v>
      </c>
      <c r="B252" s="2" t="s">
        <v>6874</v>
      </c>
      <c r="C252" s="2">
        <v>3.8033628E7</v>
      </c>
      <c r="D252" s="2" t="s">
        <v>5468</v>
      </c>
      <c r="E252" s="2">
        <v>238669.0</v>
      </c>
      <c r="F252" s="2">
        <v>42.0</v>
      </c>
      <c r="G252" s="2">
        <v>7400.0</v>
      </c>
      <c r="H252" s="2" t="s">
        <v>5906</v>
      </c>
      <c r="I252" s="2" t="s">
        <v>5906</v>
      </c>
      <c r="K252" s="2" t="s">
        <v>6875</v>
      </c>
      <c r="L252" s="10" t="s">
        <v>6876</v>
      </c>
    </row>
    <row r="253">
      <c r="A253" s="2" t="s">
        <v>5468</v>
      </c>
      <c r="B253" s="2" t="s">
        <v>6877</v>
      </c>
      <c r="C253" s="2">
        <v>1.914134142E9</v>
      </c>
      <c r="D253" s="2" t="s">
        <v>6878</v>
      </c>
      <c r="E253" s="2">
        <v>25029.0</v>
      </c>
      <c r="F253" s="2">
        <v>738.0</v>
      </c>
      <c r="G253" s="2">
        <v>1150.0</v>
      </c>
      <c r="H253" s="2" t="s">
        <v>5906</v>
      </c>
      <c r="I253" s="2" t="s">
        <v>5906</v>
      </c>
      <c r="K253" s="2" t="s">
        <v>6879</v>
      </c>
      <c r="L253" s="10" t="s">
        <v>6880</v>
      </c>
    </row>
    <row r="254">
      <c r="A254" s="2" t="s">
        <v>5416</v>
      </c>
      <c r="B254" s="2" t="s">
        <v>6881</v>
      </c>
      <c r="C254" s="2">
        <v>5.440664084E9</v>
      </c>
      <c r="D254" s="2" t="s">
        <v>5416</v>
      </c>
      <c r="E254" s="2">
        <v>278829.0</v>
      </c>
      <c r="F254" s="2">
        <v>445.0</v>
      </c>
      <c r="G254" s="2">
        <v>5212.0</v>
      </c>
      <c r="H254" s="2" t="s">
        <v>5906</v>
      </c>
      <c r="I254" s="2" t="s">
        <v>5905</v>
      </c>
      <c r="J254" s="2" t="s">
        <v>6882</v>
      </c>
      <c r="K254" s="2" t="s">
        <v>6883</v>
      </c>
      <c r="L254" s="10" t="s">
        <v>6884</v>
      </c>
    </row>
    <row r="255">
      <c r="A255" s="2" t="s">
        <v>5575</v>
      </c>
      <c r="B255" s="2" t="s">
        <v>6885</v>
      </c>
      <c r="C255" s="2">
        <v>1.954469147E9</v>
      </c>
      <c r="D255" s="2" t="s">
        <v>6886</v>
      </c>
      <c r="E255" s="2">
        <v>12856.0</v>
      </c>
      <c r="F255" s="2">
        <v>399.0</v>
      </c>
      <c r="G255" s="2">
        <v>78.0</v>
      </c>
      <c r="H255" s="2" t="s">
        <v>5905</v>
      </c>
      <c r="I255" s="2" t="s">
        <v>5905</v>
      </c>
      <c r="J255" s="2" t="s">
        <v>6887</v>
      </c>
      <c r="K255" s="2" t="s">
        <v>6888</v>
      </c>
      <c r="L255" s="10" t="s">
        <v>6889</v>
      </c>
    </row>
    <row r="256">
      <c r="A256" s="2" t="s">
        <v>5540</v>
      </c>
      <c r="B256" s="2" t="s">
        <v>6890</v>
      </c>
      <c r="C256" s="2">
        <v>1.0646492179E10</v>
      </c>
      <c r="D256" s="2" t="s">
        <v>6891</v>
      </c>
      <c r="E256" s="2">
        <v>41556.0</v>
      </c>
      <c r="F256" s="2">
        <v>1.0</v>
      </c>
      <c r="G256" s="2">
        <v>164.0</v>
      </c>
      <c r="H256" s="2" t="s">
        <v>5905</v>
      </c>
      <c r="I256" s="2" t="s">
        <v>5906</v>
      </c>
      <c r="J256" s="2" t="s">
        <v>6393</v>
      </c>
      <c r="K256" s="2" t="s">
        <v>6892</v>
      </c>
    </row>
    <row r="257">
      <c r="A257" s="2" t="s">
        <v>5540</v>
      </c>
      <c r="B257" s="2" t="s">
        <v>6893</v>
      </c>
      <c r="C257" s="2">
        <v>3.771237477E10</v>
      </c>
      <c r="D257" s="2" t="s">
        <v>6894</v>
      </c>
      <c r="E257" s="2">
        <v>175768.0</v>
      </c>
      <c r="F257" s="2">
        <v>229.0</v>
      </c>
      <c r="G257" s="2">
        <v>3990.0</v>
      </c>
      <c r="H257" s="2" t="s">
        <v>5905</v>
      </c>
      <c r="I257" s="2" t="s">
        <v>5906</v>
      </c>
      <c r="J257" s="2" t="s">
        <v>5928</v>
      </c>
    </row>
    <row r="258">
      <c r="A258" s="2" t="s">
        <v>5540</v>
      </c>
      <c r="B258" s="2" t="s">
        <v>6895</v>
      </c>
      <c r="C258" s="2">
        <v>1.1289387616E10</v>
      </c>
      <c r="D258" s="2" t="s">
        <v>6896</v>
      </c>
      <c r="E258" s="2">
        <v>77948.0</v>
      </c>
      <c r="F258" s="2">
        <v>605.0</v>
      </c>
      <c r="G258" s="2">
        <v>261.0</v>
      </c>
      <c r="H258" s="2" t="s">
        <v>5906</v>
      </c>
      <c r="I258" s="2" t="s">
        <v>5906</v>
      </c>
      <c r="J258" s="2" t="s">
        <v>5492</v>
      </c>
      <c r="K258" s="2" t="s">
        <v>6897</v>
      </c>
      <c r="L258" s="10" t="s">
        <v>6898</v>
      </c>
    </row>
    <row r="259">
      <c r="A259" s="2" t="s">
        <v>5540</v>
      </c>
      <c r="B259" s="2" t="s">
        <v>6899</v>
      </c>
      <c r="C259" s="2">
        <v>4.6015500762E10</v>
      </c>
      <c r="D259" s="2" t="s">
        <v>6900</v>
      </c>
      <c r="E259" s="2">
        <v>70505.0</v>
      </c>
      <c r="F259" s="2">
        <v>0.0</v>
      </c>
      <c r="G259" s="2">
        <v>280.0</v>
      </c>
      <c r="H259" s="2" t="s">
        <v>5905</v>
      </c>
      <c r="I259" s="2" t="s">
        <v>5905</v>
      </c>
      <c r="J259" s="2" t="s">
        <v>5928</v>
      </c>
      <c r="K259" s="2" t="s">
        <v>6901</v>
      </c>
    </row>
    <row r="260">
      <c r="A260" s="2" t="s">
        <v>5540</v>
      </c>
      <c r="B260" s="2" t="s">
        <v>6902</v>
      </c>
      <c r="C260" s="2">
        <v>4.4202000698E10</v>
      </c>
      <c r="D260" s="2" t="s">
        <v>6903</v>
      </c>
      <c r="E260" s="2">
        <v>26536.0</v>
      </c>
      <c r="F260" s="2">
        <v>7.0</v>
      </c>
      <c r="G260" s="2">
        <v>14.0</v>
      </c>
      <c r="H260" s="2" t="s">
        <v>5905</v>
      </c>
      <c r="I260" s="2" t="s">
        <v>5905</v>
      </c>
    </row>
    <row r="261">
      <c r="A261" s="2" t="s">
        <v>5589</v>
      </c>
      <c r="B261" s="2" t="s">
        <v>6904</v>
      </c>
      <c r="C261" s="2">
        <v>3.585062269E9</v>
      </c>
      <c r="D261" s="2" t="s">
        <v>6905</v>
      </c>
      <c r="E261" s="2">
        <v>79517.0</v>
      </c>
      <c r="F261" s="2">
        <v>3238.0</v>
      </c>
      <c r="G261" s="2">
        <v>452.0</v>
      </c>
      <c r="H261" s="2" t="s">
        <v>5906</v>
      </c>
      <c r="I261" s="2" t="s">
        <v>5906</v>
      </c>
      <c r="J261" s="2" t="s">
        <v>5561</v>
      </c>
      <c r="K261" s="2" t="s">
        <v>6906</v>
      </c>
      <c r="L261" s="10" t="s">
        <v>6907</v>
      </c>
    </row>
    <row r="262">
      <c r="A262" s="2" t="s">
        <v>5589</v>
      </c>
      <c r="B262" s="2" t="s">
        <v>6908</v>
      </c>
      <c r="C262" s="2">
        <v>5.7167624192E10</v>
      </c>
      <c r="D262" s="2" t="s">
        <v>6909</v>
      </c>
      <c r="E262" s="2">
        <v>11625.0</v>
      </c>
      <c r="F262" s="2">
        <v>159.0</v>
      </c>
      <c r="G262" s="2">
        <v>781.0</v>
      </c>
      <c r="H262" s="2" t="s">
        <v>5905</v>
      </c>
      <c r="I262" s="2" t="s">
        <v>5905</v>
      </c>
      <c r="J262" s="2" t="s">
        <v>5480</v>
      </c>
      <c r="K262" s="2" t="s">
        <v>6910</v>
      </c>
      <c r="L262" s="10" t="s">
        <v>6911</v>
      </c>
    </row>
    <row r="263">
      <c r="A263" s="2" t="s">
        <v>5583</v>
      </c>
      <c r="B263" s="2" t="s">
        <v>6912</v>
      </c>
      <c r="C263" s="2">
        <v>4.517334587E10</v>
      </c>
      <c r="D263" s="2" t="s">
        <v>5583</v>
      </c>
      <c r="E263" s="2">
        <v>1268517.0</v>
      </c>
      <c r="F263" s="2">
        <v>39.0</v>
      </c>
      <c r="G263" s="2">
        <v>309.0</v>
      </c>
      <c r="H263" s="2" t="s">
        <v>5906</v>
      </c>
      <c r="I263" s="2" t="s">
        <v>5905</v>
      </c>
      <c r="J263" s="2" t="s">
        <v>5911</v>
      </c>
      <c r="K263" s="2" t="s">
        <v>6913</v>
      </c>
    </row>
    <row r="264">
      <c r="A264" s="2" t="s">
        <v>5583</v>
      </c>
      <c r="B264" s="2" t="s">
        <v>6914</v>
      </c>
      <c r="C264" s="2">
        <v>4.177176678E10</v>
      </c>
      <c r="D264" s="2" t="s">
        <v>6915</v>
      </c>
      <c r="E264" s="2">
        <v>29031.0</v>
      </c>
      <c r="F264" s="2">
        <v>43.0</v>
      </c>
      <c r="G264" s="2">
        <v>533.0</v>
      </c>
      <c r="H264" s="2" t="s">
        <v>5906</v>
      </c>
      <c r="I264" s="2" t="s">
        <v>5906</v>
      </c>
      <c r="J264" s="2" t="s">
        <v>5551</v>
      </c>
      <c r="K264" s="2" t="s">
        <v>6916</v>
      </c>
      <c r="L264" s="10" t="s">
        <v>6917</v>
      </c>
    </row>
    <row r="265">
      <c r="A265" s="2" t="s">
        <v>5583</v>
      </c>
      <c r="B265" s="2" t="s">
        <v>6918</v>
      </c>
      <c r="C265" s="2">
        <v>7.3207505814E10</v>
      </c>
      <c r="D265" s="2" t="s">
        <v>6919</v>
      </c>
      <c r="E265" s="2">
        <v>13472.0</v>
      </c>
      <c r="F265" s="2">
        <v>1.0</v>
      </c>
      <c r="G265" s="2">
        <v>190.0</v>
      </c>
      <c r="H265" s="2" t="s">
        <v>5905</v>
      </c>
      <c r="I265" s="2" t="s">
        <v>5905</v>
      </c>
      <c r="J265" s="2" t="s">
        <v>5959</v>
      </c>
      <c r="K265" s="2" t="s">
        <v>6920</v>
      </c>
    </row>
    <row r="266">
      <c r="A266" s="2" t="s">
        <v>5545</v>
      </c>
      <c r="B266" s="2" t="s">
        <v>6921</v>
      </c>
      <c r="C266" s="2">
        <v>2.5311302581E10</v>
      </c>
      <c r="D266" s="2" t="s">
        <v>6922</v>
      </c>
      <c r="E266" s="2">
        <v>20959.0</v>
      </c>
      <c r="F266" s="2">
        <v>211.0</v>
      </c>
      <c r="G266" s="2">
        <v>306.0</v>
      </c>
      <c r="H266" s="2" t="s">
        <v>5905</v>
      </c>
      <c r="I266" s="2" t="s">
        <v>5906</v>
      </c>
      <c r="J266" s="2" t="s">
        <v>5485</v>
      </c>
      <c r="K266" s="12" t="s">
        <v>6923</v>
      </c>
    </row>
    <row r="267">
      <c r="A267" s="2" t="s">
        <v>5545</v>
      </c>
      <c r="B267" s="2" t="s">
        <v>6924</v>
      </c>
      <c r="C267" s="2">
        <v>7.325693179E9</v>
      </c>
      <c r="D267" s="2" t="s">
        <v>6925</v>
      </c>
      <c r="E267" s="2">
        <v>99165.0</v>
      </c>
      <c r="F267" s="2">
        <v>2330.0</v>
      </c>
      <c r="G267" s="2">
        <v>9.0</v>
      </c>
      <c r="H267" s="2" t="s">
        <v>5906</v>
      </c>
      <c r="I267" s="2" t="s">
        <v>5905</v>
      </c>
      <c r="J267" s="2" t="s">
        <v>6124</v>
      </c>
      <c r="K267" s="2" t="s">
        <v>6926</v>
      </c>
      <c r="L267" s="10" t="s">
        <v>6927</v>
      </c>
    </row>
    <row r="268">
      <c r="A268" s="2" t="s">
        <v>5545</v>
      </c>
      <c r="B268" s="2" t="s">
        <v>6928</v>
      </c>
      <c r="C268" s="2">
        <v>2.100344783E9</v>
      </c>
      <c r="D268" s="2" t="s">
        <v>6929</v>
      </c>
      <c r="E268" s="2">
        <v>12477.0</v>
      </c>
      <c r="F268" s="2">
        <v>7154.0</v>
      </c>
      <c r="G268" s="2">
        <v>3358.0</v>
      </c>
      <c r="H268" s="2" t="s">
        <v>5905</v>
      </c>
      <c r="I268" s="2" t="s">
        <v>5906</v>
      </c>
      <c r="J268" s="2" t="s">
        <v>5391</v>
      </c>
      <c r="K268" s="2" t="s">
        <v>6930</v>
      </c>
    </row>
    <row r="269">
      <c r="A269" s="2" t="s">
        <v>5545</v>
      </c>
      <c r="B269" s="2" t="s">
        <v>6931</v>
      </c>
      <c r="C269" s="2">
        <v>2.6971404497E10</v>
      </c>
      <c r="D269" s="2" t="s">
        <v>6932</v>
      </c>
      <c r="E269" s="2">
        <v>13913.0</v>
      </c>
      <c r="F269" s="2">
        <v>888.0</v>
      </c>
      <c r="G269" s="2">
        <v>115.0</v>
      </c>
      <c r="H269" s="2" t="s">
        <v>5906</v>
      </c>
      <c r="I269" s="2" t="s">
        <v>5905</v>
      </c>
      <c r="J269" s="2" t="s">
        <v>5959</v>
      </c>
      <c r="K269" s="2" t="s">
        <v>6933</v>
      </c>
      <c r="L269" s="10" t="s">
        <v>6934</v>
      </c>
    </row>
    <row r="270">
      <c r="A270" s="2" t="s">
        <v>5545</v>
      </c>
      <c r="B270" s="2" t="s">
        <v>6935</v>
      </c>
      <c r="C270" s="2">
        <v>3.9639006E8</v>
      </c>
      <c r="D270" s="2" t="s">
        <v>6936</v>
      </c>
      <c r="E270" s="2">
        <v>307368.0</v>
      </c>
      <c r="F270" s="2">
        <v>0.0</v>
      </c>
      <c r="G270" s="2">
        <v>5263.0</v>
      </c>
      <c r="H270" s="2" t="s">
        <v>5905</v>
      </c>
      <c r="I270" s="2" t="s">
        <v>5906</v>
      </c>
      <c r="J270" s="2" t="s">
        <v>5492</v>
      </c>
      <c r="K270" s="2" t="s">
        <v>6937</v>
      </c>
      <c r="L270" s="10" t="s">
        <v>6938</v>
      </c>
    </row>
    <row r="271">
      <c r="A271" s="2" t="s">
        <v>5545</v>
      </c>
      <c r="B271" s="2" t="s">
        <v>6939</v>
      </c>
      <c r="C271" s="2">
        <v>5.516224448E10</v>
      </c>
      <c r="E271" s="2">
        <v>14795.0</v>
      </c>
      <c r="F271" s="2">
        <v>147.0</v>
      </c>
      <c r="G271" s="2">
        <v>1127.0</v>
      </c>
      <c r="H271" s="2" t="s">
        <v>5905</v>
      </c>
      <c r="I271" s="2" t="s">
        <v>5906</v>
      </c>
      <c r="J271" s="2" t="s">
        <v>6940</v>
      </c>
      <c r="K271" s="2" t="s">
        <v>6941</v>
      </c>
      <c r="L271" s="10" t="s">
        <v>6942</v>
      </c>
    </row>
    <row r="272">
      <c r="A272" s="2" t="s">
        <v>5545</v>
      </c>
      <c r="B272" s="2" t="s">
        <v>6943</v>
      </c>
      <c r="C272" s="2">
        <v>8.10675847E8</v>
      </c>
      <c r="D272" s="2" t="s">
        <v>6944</v>
      </c>
      <c r="E272" s="2">
        <v>1.4341796E7</v>
      </c>
      <c r="F272" s="2">
        <v>248.0</v>
      </c>
      <c r="G272" s="2">
        <v>9201.0</v>
      </c>
      <c r="H272" s="2" t="s">
        <v>5905</v>
      </c>
      <c r="I272" s="2" t="s">
        <v>5906</v>
      </c>
      <c r="K272" s="2" t="s">
        <v>6945</v>
      </c>
    </row>
    <row r="273">
      <c r="A273" s="2" t="s">
        <v>5545</v>
      </c>
      <c r="B273" s="2" t="s">
        <v>6946</v>
      </c>
      <c r="C273" s="2">
        <v>4.9942584353E10</v>
      </c>
      <c r="D273" s="2" t="s">
        <v>6947</v>
      </c>
      <c r="E273" s="2">
        <v>161056.0</v>
      </c>
      <c r="F273" s="2">
        <v>3.0</v>
      </c>
      <c r="G273" s="2">
        <v>55.0</v>
      </c>
      <c r="H273" s="2" t="s">
        <v>5906</v>
      </c>
      <c r="I273" s="2" t="s">
        <v>5906</v>
      </c>
      <c r="J273" s="2" t="s">
        <v>6948</v>
      </c>
      <c r="K273" s="2" t="s">
        <v>6949</v>
      </c>
      <c r="L273" s="10" t="s">
        <v>6950</v>
      </c>
    </row>
    <row r="274">
      <c r="A274" s="2" t="s">
        <v>5545</v>
      </c>
      <c r="B274" s="2" t="s">
        <v>6951</v>
      </c>
      <c r="C274" s="2">
        <v>2.6987708E7</v>
      </c>
      <c r="D274" s="2" t="s">
        <v>6952</v>
      </c>
      <c r="E274" s="2">
        <v>5330293.0</v>
      </c>
      <c r="F274" s="2">
        <v>305.0</v>
      </c>
      <c r="G274" s="2">
        <v>18417.0</v>
      </c>
      <c r="H274" s="2" t="s">
        <v>5906</v>
      </c>
      <c r="I274" s="2" t="s">
        <v>5905</v>
      </c>
      <c r="K274" s="2" t="s">
        <v>6953</v>
      </c>
      <c r="L274" s="10" t="s">
        <v>6954</v>
      </c>
    </row>
    <row r="275">
      <c r="A275" s="2" t="s">
        <v>5545</v>
      </c>
      <c r="B275" s="2" t="s">
        <v>6955</v>
      </c>
      <c r="C275" s="2">
        <v>7.1631422244E10</v>
      </c>
      <c r="D275" s="2" t="s">
        <v>6956</v>
      </c>
      <c r="E275" s="2">
        <v>12699.0</v>
      </c>
      <c r="F275" s="2">
        <v>0.0</v>
      </c>
      <c r="G275" s="2">
        <v>38.0</v>
      </c>
      <c r="H275" s="2" t="s">
        <v>5905</v>
      </c>
      <c r="I275" s="2" t="s">
        <v>5905</v>
      </c>
      <c r="J275" s="2" t="s">
        <v>5928</v>
      </c>
      <c r="K275" s="2" t="s">
        <v>6957</v>
      </c>
      <c r="L275" s="10" t="s">
        <v>6958</v>
      </c>
    </row>
    <row r="276">
      <c r="A276" s="2" t="s">
        <v>5458</v>
      </c>
      <c r="B276" s="2" t="s">
        <v>6959</v>
      </c>
      <c r="C276" s="2">
        <v>2.59533357E8</v>
      </c>
      <c r="D276" s="2" t="s">
        <v>5458</v>
      </c>
      <c r="E276" s="2">
        <v>2940778.0</v>
      </c>
      <c r="F276" s="2">
        <v>133.0</v>
      </c>
      <c r="G276" s="2">
        <v>18465.0</v>
      </c>
      <c r="H276" s="2" t="s">
        <v>5906</v>
      </c>
      <c r="I276" s="2" t="s">
        <v>5906</v>
      </c>
      <c r="J276" s="2" t="s">
        <v>5936</v>
      </c>
      <c r="K276" s="2" t="s">
        <v>6960</v>
      </c>
      <c r="L276" s="10" t="s">
        <v>6961</v>
      </c>
    </row>
    <row r="277">
      <c r="A277" s="2" t="s">
        <v>5458</v>
      </c>
      <c r="B277" s="2" t="s">
        <v>6962</v>
      </c>
      <c r="C277" s="2">
        <v>1.690583826E9</v>
      </c>
      <c r="D277" s="2" t="s">
        <v>6963</v>
      </c>
      <c r="E277" s="2">
        <v>1002679.0</v>
      </c>
      <c r="F277" s="2">
        <v>1.0</v>
      </c>
      <c r="G277" s="2">
        <v>49770.0</v>
      </c>
      <c r="H277" s="2" t="s">
        <v>5906</v>
      </c>
      <c r="I277" s="2" t="s">
        <v>5906</v>
      </c>
      <c r="K277" s="12" t="s">
        <v>6964</v>
      </c>
      <c r="L277" s="10" t="s">
        <v>6965</v>
      </c>
    </row>
    <row r="278">
      <c r="A278" s="2" t="s">
        <v>5458</v>
      </c>
      <c r="B278" s="2" t="s">
        <v>6966</v>
      </c>
      <c r="C278" s="2">
        <v>6.5155058078E10</v>
      </c>
      <c r="D278" s="2" t="s">
        <v>6967</v>
      </c>
      <c r="E278" s="2">
        <v>268888.0</v>
      </c>
      <c r="F278" s="2">
        <v>2.0</v>
      </c>
      <c r="G278" s="2">
        <v>1651.0</v>
      </c>
      <c r="H278" s="2" t="s">
        <v>5906</v>
      </c>
      <c r="I278" s="2" t="s">
        <v>5906</v>
      </c>
      <c r="J278" s="2" t="s">
        <v>5920</v>
      </c>
      <c r="K278" s="2" t="s">
        <v>6968</v>
      </c>
      <c r="L278" s="10" t="s">
        <v>6969</v>
      </c>
    </row>
    <row r="279">
      <c r="A279" s="2" t="s">
        <v>5458</v>
      </c>
      <c r="B279" s="2" t="s">
        <v>6970</v>
      </c>
      <c r="C279" s="2">
        <v>4.857774026E9</v>
      </c>
      <c r="D279" s="2" t="s">
        <v>6971</v>
      </c>
      <c r="E279" s="2">
        <v>1021453.0</v>
      </c>
      <c r="F279" s="2">
        <v>11.0</v>
      </c>
      <c r="G279" s="2">
        <v>23037.0</v>
      </c>
      <c r="H279" s="2" t="s">
        <v>5906</v>
      </c>
      <c r="I279" s="2" t="s">
        <v>5906</v>
      </c>
      <c r="K279" s="2" t="s">
        <v>6972</v>
      </c>
      <c r="L279" s="10" t="s">
        <v>6973</v>
      </c>
    </row>
    <row r="280">
      <c r="A280" s="2" t="s">
        <v>5458</v>
      </c>
      <c r="B280" s="2" t="s">
        <v>6974</v>
      </c>
      <c r="C280" s="2">
        <v>1.65056164E9</v>
      </c>
      <c r="D280" s="2" t="s">
        <v>6975</v>
      </c>
      <c r="E280" s="2">
        <v>689627.0</v>
      </c>
      <c r="F280" s="2">
        <v>199.0</v>
      </c>
      <c r="G280" s="2">
        <v>6580.0</v>
      </c>
      <c r="H280" s="2" t="s">
        <v>5906</v>
      </c>
      <c r="I280" s="2" t="s">
        <v>5906</v>
      </c>
      <c r="J280" s="2" t="s">
        <v>5907</v>
      </c>
      <c r="K280" s="2" t="s">
        <v>6976</v>
      </c>
      <c r="L280" s="10" t="s">
        <v>6977</v>
      </c>
    </row>
    <row r="281">
      <c r="A281" s="2" t="s">
        <v>5458</v>
      </c>
      <c r="B281" s="2" t="s">
        <v>6978</v>
      </c>
      <c r="C281" s="2">
        <v>3.125310079E9</v>
      </c>
      <c r="D281" s="2" t="s">
        <v>6979</v>
      </c>
      <c r="E281" s="2">
        <v>859227.0</v>
      </c>
      <c r="F281" s="2">
        <v>171.0</v>
      </c>
      <c r="G281" s="2">
        <v>11340.0</v>
      </c>
      <c r="H281" s="2" t="s">
        <v>5906</v>
      </c>
      <c r="I281" s="2" t="s">
        <v>5906</v>
      </c>
      <c r="K281" s="2" t="s">
        <v>6980</v>
      </c>
      <c r="L281" s="10" t="s">
        <v>6981</v>
      </c>
    </row>
    <row r="282">
      <c r="A282" s="2" t="s">
        <v>5458</v>
      </c>
      <c r="B282" s="2" t="s">
        <v>6982</v>
      </c>
      <c r="C282" s="2">
        <v>5.6733186644E10</v>
      </c>
      <c r="D282" s="2" t="s">
        <v>6983</v>
      </c>
      <c r="E282" s="2">
        <v>82622.0</v>
      </c>
      <c r="F282" s="2">
        <v>38.0</v>
      </c>
      <c r="G282" s="2">
        <v>2140.0</v>
      </c>
      <c r="H282" s="2" t="s">
        <v>5905</v>
      </c>
      <c r="I282" s="2" t="s">
        <v>5905</v>
      </c>
      <c r="J282" s="2" t="s">
        <v>5911</v>
      </c>
      <c r="K282" s="2" t="s">
        <v>6984</v>
      </c>
      <c r="L282" s="10" t="s">
        <v>6985</v>
      </c>
    </row>
    <row r="283">
      <c r="A283" s="2" t="s">
        <v>5458</v>
      </c>
      <c r="B283" s="2" t="s">
        <v>6986</v>
      </c>
      <c r="C283" s="2">
        <v>7.2184914499E10</v>
      </c>
      <c r="D283" s="2" t="s">
        <v>6987</v>
      </c>
      <c r="E283" s="2">
        <v>35539.0</v>
      </c>
      <c r="F283" s="2">
        <v>1.0</v>
      </c>
      <c r="G283" s="2">
        <v>261.0</v>
      </c>
      <c r="H283" s="2" t="s">
        <v>5906</v>
      </c>
      <c r="I283" s="2" t="s">
        <v>5906</v>
      </c>
      <c r="J283" s="2" t="s">
        <v>5920</v>
      </c>
      <c r="K283" s="2" t="s">
        <v>6968</v>
      </c>
      <c r="L283" s="10" t="s">
        <v>6988</v>
      </c>
    </row>
    <row r="284">
      <c r="A284" s="2" t="s">
        <v>5458</v>
      </c>
      <c r="B284" s="2" t="s">
        <v>6989</v>
      </c>
      <c r="C284" s="2">
        <v>2.1840339664E10</v>
      </c>
      <c r="D284" s="2" t="s">
        <v>6990</v>
      </c>
      <c r="E284" s="2">
        <v>45285.0</v>
      </c>
      <c r="F284" s="2">
        <v>101.0</v>
      </c>
      <c r="G284" s="2">
        <v>150.0</v>
      </c>
      <c r="H284" s="2" t="s">
        <v>5906</v>
      </c>
      <c r="I284" s="2" t="s">
        <v>5906</v>
      </c>
      <c r="J284" s="2" t="s">
        <v>6199</v>
      </c>
      <c r="K284" s="2" t="s">
        <v>6991</v>
      </c>
      <c r="L284" s="10" t="s">
        <v>6992</v>
      </c>
    </row>
    <row r="285">
      <c r="A285" s="2" t="s">
        <v>5458</v>
      </c>
      <c r="B285" s="2" t="s">
        <v>6993</v>
      </c>
      <c r="C285" s="2">
        <v>7.289275343E9</v>
      </c>
      <c r="D285" s="2" t="s">
        <v>6994</v>
      </c>
      <c r="E285" s="2">
        <v>901588.0</v>
      </c>
      <c r="F285" s="2">
        <v>23.0</v>
      </c>
      <c r="G285" s="2">
        <v>43687.0</v>
      </c>
      <c r="H285" s="2" t="s">
        <v>5906</v>
      </c>
      <c r="I285" s="2" t="s">
        <v>5906</v>
      </c>
      <c r="J285" s="2" t="s">
        <v>5959</v>
      </c>
      <c r="K285" s="2" t="s">
        <v>6995</v>
      </c>
      <c r="L285" s="10" t="s">
        <v>6996</v>
      </c>
    </row>
    <row r="286">
      <c r="A286" s="2" t="s">
        <v>5458</v>
      </c>
      <c r="B286" s="2" t="s">
        <v>6997</v>
      </c>
      <c r="C286" s="2">
        <v>2.84830645E9</v>
      </c>
      <c r="D286" s="2" t="s">
        <v>6998</v>
      </c>
      <c r="E286" s="2">
        <v>98777.0</v>
      </c>
      <c r="F286" s="2">
        <v>169.0</v>
      </c>
      <c r="G286" s="2">
        <v>347.0</v>
      </c>
      <c r="H286" s="2" t="s">
        <v>5906</v>
      </c>
      <c r="I286" s="2" t="s">
        <v>5906</v>
      </c>
      <c r="K286" s="2" t="s">
        <v>6999</v>
      </c>
      <c r="L286" s="10" t="s">
        <v>7000</v>
      </c>
    </row>
    <row r="287">
      <c r="A287" s="2" t="s">
        <v>5458</v>
      </c>
      <c r="B287" s="2" t="s">
        <v>7001</v>
      </c>
      <c r="C287" s="2">
        <v>6.8275191119E10</v>
      </c>
      <c r="D287" s="2" t="s">
        <v>7002</v>
      </c>
      <c r="E287" s="2">
        <v>122809.0</v>
      </c>
      <c r="F287" s="2">
        <v>4.0</v>
      </c>
      <c r="G287" s="2">
        <v>6308.0</v>
      </c>
      <c r="H287" s="2" t="s">
        <v>5906</v>
      </c>
      <c r="I287" s="2" t="s">
        <v>5906</v>
      </c>
      <c r="J287" s="2" t="s">
        <v>5920</v>
      </c>
      <c r="K287" s="2" t="s">
        <v>7003</v>
      </c>
      <c r="L287" s="10" t="s">
        <v>7004</v>
      </c>
    </row>
    <row r="288">
      <c r="A288" s="2" t="s">
        <v>5398</v>
      </c>
      <c r="B288" s="2" t="s">
        <v>7005</v>
      </c>
      <c r="C288" s="2">
        <v>2.1193118E7</v>
      </c>
      <c r="D288" s="2" t="s">
        <v>7006</v>
      </c>
      <c r="E288" s="2">
        <v>3.5679026E7</v>
      </c>
      <c r="F288" s="2">
        <v>261.0</v>
      </c>
      <c r="G288" s="2">
        <v>1546.0</v>
      </c>
      <c r="H288" s="2" t="s">
        <v>5906</v>
      </c>
      <c r="I288" s="2" t="s">
        <v>5905</v>
      </c>
      <c r="K288" s="2" t="s">
        <v>7007</v>
      </c>
      <c r="L288" s="10" t="s">
        <v>7008</v>
      </c>
    </row>
    <row r="289">
      <c r="A289" s="2" t="s">
        <v>5398</v>
      </c>
      <c r="B289" s="2" t="s">
        <v>7009</v>
      </c>
      <c r="C289" s="2">
        <v>2.71968239E8</v>
      </c>
      <c r="D289" s="2" t="s">
        <v>7010</v>
      </c>
      <c r="E289" s="2">
        <v>1.568295E7</v>
      </c>
      <c r="F289" s="2">
        <v>690.0</v>
      </c>
      <c r="G289" s="2">
        <v>202.0</v>
      </c>
      <c r="H289" s="2" t="s">
        <v>5906</v>
      </c>
      <c r="I289" s="2" t="s">
        <v>5905</v>
      </c>
      <c r="J289" s="2" t="s">
        <v>5391</v>
      </c>
    </row>
    <row r="290">
      <c r="A290" s="2" t="s">
        <v>5398</v>
      </c>
      <c r="B290" s="2" t="s">
        <v>7011</v>
      </c>
      <c r="C290" s="2">
        <v>2.96868919E8</v>
      </c>
      <c r="D290" s="12" t="s">
        <v>7012</v>
      </c>
      <c r="E290" s="2">
        <v>127111.0</v>
      </c>
      <c r="F290" s="2">
        <v>1.0</v>
      </c>
      <c r="G290" s="2">
        <v>171.0</v>
      </c>
      <c r="H290" s="2" t="s">
        <v>5905</v>
      </c>
      <c r="I290" s="2" t="s">
        <v>5906</v>
      </c>
      <c r="J290" s="2" t="s">
        <v>6027</v>
      </c>
      <c r="K290" s="12" t="s">
        <v>7013</v>
      </c>
      <c r="L290" s="10" t="s">
        <v>7014</v>
      </c>
    </row>
    <row r="291">
      <c r="A291" s="2" t="s">
        <v>5398</v>
      </c>
      <c r="B291" s="2" t="s">
        <v>7015</v>
      </c>
      <c r="C291" s="2">
        <v>6169156.0</v>
      </c>
      <c r="D291" s="2" t="s">
        <v>5398</v>
      </c>
      <c r="E291" s="2">
        <v>1313263.0</v>
      </c>
      <c r="F291" s="2">
        <v>306.0</v>
      </c>
      <c r="G291" s="2">
        <v>10288.0</v>
      </c>
      <c r="H291" s="2" t="s">
        <v>5906</v>
      </c>
      <c r="I291" s="2" t="s">
        <v>5906</v>
      </c>
      <c r="J291" s="2" t="s">
        <v>5911</v>
      </c>
      <c r="K291" s="2" t="s">
        <v>7016</v>
      </c>
      <c r="L291" s="10" t="s">
        <v>7017</v>
      </c>
    </row>
    <row r="292">
      <c r="A292" s="2" t="s">
        <v>5398</v>
      </c>
      <c r="B292" s="2" t="s">
        <v>7018</v>
      </c>
      <c r="C292" s="2">
        <v>6.1622408275E10</v>
      </c>
      <c r="D292" s="2" t="s">
        <v>7019</v>
      </c>
      <c r="E292" s="2">
        <v>30240.0</v>
      </c>
      <c r="F292" s="2">
        <v>23.0</v>
      </c>
      <c r="G292" s="2">
        <v>186.0</v>
      </c>
      <c r="H292" s="2" t="s">
        <v>5905</v>
      </c>
      <c r="I292" s="2" t="s">
        <v>5905</v>
      </c>
      <c r="J292" s="2" t="s">
        <v>5480</v>
      </c>
      <c r="K292" s="2" t="s">
        <v>7020</v>
      </c>
      <c r="L292" s="10" t="s">
        <v>7021</v>
      </c>
    </row>
    <row r="293">
      <c r="A293" s="2" t="s">
        <v>5398</v>
      </c>
      <c r="B293" s="2" t="s">
        <v>7022</v>
      </c>
      <c r="C293" s="2">
        <v>1.540555408E9</v>
      </c>
      <c r="D293" s="2" t="s">
        <v>7023</v>
      </c>
      <c r="E293" s="2">
        <v>370711.0</v>
      </c>
      <c r="F293" s="2">
        <v>7.0</v>
      </c>
      <c r="G293" s="2">
        <v>1210.0</v>
      </c>
      <c r="H293" s="2" t="s">
        <v>5905</v>
      </c>
      <c r="I293" s="2" t="s">
        <v>5906</v>
      </c>
      <c r="K293" s="2" t="s">
        <v>7024</v>
      </c>
    </row>
    <row r="294">
      <c r="A294" s="2" t="s">
        <v>5287</v>
      </c>
      <c r="B294" s="2" t="s">
        <v>7025</v>
      </c>
      <c r="C294" s="2">
        <v>2.17723373E8</v>
      </c>
      <c r="D294" s="2" t="s">
        <v>5287</v>
      </c>
      <c r="E294" s="2">
        <v>2.1516708E7</v>
      </c>
      <c r="F294" s="2">
        <v>352.0</v>
      </c>
      <c r="G294" s="2">
        <v>20911.0</v>
      </c>
      <c r="H294" s="2" t="s">
        <v>5906</v>
      </c>
      <c r="I294" s="2" t="s">
        <v>5906</v>
      </c>
      <c r="K294" s="2" t="s">
        <v>7026</v>
      </c>
      <c r="L294" s="10" t="s">
        <v>7027</v>
      </c>
    </row>
    <row r="295">
      <c r="A295" s="2" t="s">
        <v>5287</v>
      </c>
      <c r="B295" s="2" t="s">
        <v>7028</v>
      </c>
      <c r="C295" s="2">
        <v>1.2509759344E10</v>
      </c>
      <c r="D295" s="2" t="s">
        <v>7029</v>
      </c>
      <c r="E295" s="2">
        <v>5222561.0</v>
      </c>
      <c r="F295" s="2">
        <v>8.0</v>
      </c>
      <c r="G295" s="2">
        <v>20309.0</v>
      </c>
      <c r="H295" s="2" t="s">
        <v>5906</v>
      </c>
      <c r="I295" s="2" t="s">
        <v>5905</v>
      </c>
      <c r="J295" s="2" t="s">
        <v>5959</v>
      </c>
      <c r="K295" s="2" t="s">
        <v>7030</v>
      </c>
      <c r="L295" s="10" t="s">
        <v>7031</v>
      </c>
    </row>
    <row r="296">
      <c r="A296" s="2" t="s">
        <v>5287</v>
      </c>
      <c r="B296" s="2" t="s">
        <v>7032</v>
      </c>
      <c r="C296" s="2">
        <v>2.15487662E8</v>
      </c>
      <c r="D296" s="2" t="s">
        <v>7033</v>
      </c>
      <c r="E296" s="2">
        <v>8540250.0</v>
      </c>
      <c r="F296" s="2">
        <v>261.0</v>
      </c>
      <c r="G296" s="2">
        <v>23910.0</v>
      </c>
      <c r="H296" s="2" t="s">
        <v>5906</v>
      </c>
      <c r="I296" s="2" t="s">
        <v>5906</v>
      </c>
      <c r="K296" s="2" t="s">
        <v>7034</v>
      </c>
      <c r="L296" s="10" t="s">
        <v>7035</v>
      </c>
    </row>
    <row r="297">
      <c r="A297" s="2" t="s">
        <v>5287</v>
      </c>
      <c r="B297" s="2" t="s">
        <v>7036</v>
      </c>
      <c r="C297" s="2">
        <v>1.107201643E9</v>
      </c>
      <c r="D297" s="2" t="s">
        <v>7037</v>
      </c>
      <c r="E297" s="2">
        <v>2738055.0</v>
      </c>
      <c r="F297" s="2">
        <v>9.0</v>
      </c>
      <c r="G297" s="2">
        <v>15758.0</v>
      </c>
      <c r="H297" s="2" t="s">
        <v>5906</v>
      </c>
      <c r="I297" s="2" t="s">
        <v>5906</v>
      </c>
      <c r="J297" s="2" t="s">
        <v>5911</v>
      </c>
      <c r="K297" s="2" t="s">
        <v>7038</v>
      </c>
      <c r="L297" s="10" t="s">
        <v>7039</v>
      </c>
    </row>
    <row r="298">
      <c r="A298" s="2" t="s">
        <v>5287</v>
      </c>
      <c r="B298" s="2" t="s">
        <v>7040</v>
      </c>
      <c r="C298" s="2">
        <v>4.8136417921E10</v>
      </c>
      <c r="D298" s="2" t="s">
        <v>7041</v>
      </c>
      <c r="E298" s="2">
        <v>20979.0</v>
      </c>
      <c r="F298" s="2">
        <v>38.0</v>
      </c>
      <c r="G298" s="2">
        <v>0.0</v>
      </c>
      <c r="H298" s="2" t="s">
        <v>5906</v>
      </c>
      <c r="I298" s="2" t="s">
        <v>5906</v>
      </c>
      <c r="J298" s="2" t="s">
        <v>5936</v>
      </c>
    </row>
    <row r="299">
      <c r="A299" s="2" t="s">
        <v>5287</v>
      </c>
      <c r="B299" s="2" t="s">
        <v>7042</v>
      </c>
      <c r="C299" s="2">
        <v>3.1445223492E10</v>
      </c>
      <c r="D299" s="2" t="s">
        <v>7043</v>
      </c>
      <c r="E299" s="2">
        <v>704626.0</v>
      </c>
      <c r="F299" s="2">
        <v>9.0</v>
      </c>
      <c r="G299" s="2">
        <v>7544.0</v>
      </c>
      <c r="H299" s="2" t="s">
        <v>5906</v>
      </c>
      <c r="I299" s="2" t="s">
        <v>5906</v>
      </c>
      <c r="J299" s="2" t="s">
        <v>5920</v>
      </c>
      <c r="K299" s="2" t="s">
        <v>7044</v>
      </c>
      <c r="L299" s="10" t="s">
        <v>7045</v>
      </c>
    </row>
    <row r="300">
      <c r="A300" s="2" t="s">
        <v>5287</v>
      </c>
      <c r="B300" s="2" t="s">
        <v>7046</v>
      </c>
      <c r="C300" s="2">
        <v>2.05433543E8</v>
      </c>
      <c r="D300" s="2" t="s">
        <v>7047</v>
      </c>
      <c r="E300" s="2">
        <v>2242268.0</v>
      </c>
      <c r="F300" s="2">
        <v>186.0</v>
      </c>
      <c r="G300" s="2">
        <v>6081.0</v>
      </c>
      <c r="H300" s="2" t="s">
        <v>5906</v>
      </c>
      <c r="I300" s="2" t="s">
        <v>5906</v>
      </c>
      <c r="J300" s="2" t="s">
        <v>5911</v>
      </c>
      <c r="K300" s="2" t="s">
        <v>7048</v>
      </c>
      <c r="L300" s="10" t="s">
        <v>7049</v>
      </c>
    </row>
    <row r="301">
      <c r="A301" s="2" t="s">
        <v>5417</v>
      </c>
      <c r="B301" s="2" t="s">
        <v>7050</v>
      </c>
      <c r="C301" s="2">
        <v>1.536667195E9</v>
      </c>
      <c r="D301" s="2" t="s">
        <v>5417</v>
      </c>
      <c r="E301" s="2">
        <v>127370.0</v>
      </c>
      <c r="F301" s="2">
        <v>279.0</v>
      </c>
      <c r="G301" s="2">
        <v>13918.0</v>
      </c>
      <c r="H301" s="2" t="s">
        <v>5906</v>
      </c>
      <c r="I301" s="2" t="s">
        <v>5906</v>
      </c>
      <c r="J301" s="2" t="s">
        <v>5907</v>
      </c>
      <c r="K301" s="2" t="s">
        <v>7051</v>
      </c>
      <c r="L301" s="10" t="s">
        <v>7052</v>
      </c>
    </row>
    <row r="302">
      <c r="A302" s="2" t="s">
        <v>5417</v>
      </c>
      <c r="B302" s="2" t="s">
        <v>7053</v>
      </c>
      <c r="C302" s="2">
        <v>2.49197353E8</v>
      </c>
      <c r="D302" s="2" t="s">
        <v>7054</v>
      </c>
      <c r="E302" s="2">
        <v>16146.0</v>
      </c>
      <c r="F302" s="2">
        <v>457.0</v>
      </c>
      <c r="G302" s="2">
        <v>3293.0</v>
      </c>
      <c r="H302" s="2" t="s">
        <v>5906</v>
      </c>
      <c r="I302" s="2" t="s">
        <v>5905</v>
      </c>
      <c r="J302" s="2" t="s">
        <v>5484</v>
      </c>
      <c r="K302" s="2" t="s">
        <v>7055</v>
      </c>
      <c r="L302" s="10" t="s">
        <v>7056</v>
      </c>
    </row>
    <row r="303">
      <c r="A303" s="2" t="s">
        <v>5417</v>
      </c>
      <c r="B303" s="2" t="s">
        <v>7057</v>
      </c>
      <c r="C303" s="2">
        <v>4.351443432E9</v>
      </c>
      <c r="D303" s="2" t="s">
        <v>7058</v>
      </c>
      <c r="E303" s="2">
        <v>18885.0</v>
      </c>
      <c r="F303" s="2">
        <v>82.0</v>
      </c>
      <c r="G303" s="2">
        <v>45.0</v>
      </c>
      <c r="H303" s="2" t="s">
        <v>5905</v>
      </c>
      <c r="I303" s="2" t="s">
        <v>5906</v>
      </c>
      <c r="J303" s="2" t="s">
        <v>7059</v>
      </c>
      <c r="K303" s="2" t="s">
        <v>7060</v>
      </c>
      <c r="L303" s="10" t="s">
        <v>7061</v>
      </c>
    </row>
    <row r="304">
      <c r="A304" s="2" t="s">
        <v>5490</v>
      </c>
      <c r="B304" s="2" t="s">
        <v>7062</v>
      </c>
      <c r="C304" s="2">
        <v>2.880751234E9</v>
      </c>
      <c r="D304" s="2" t="s">
        <v>7063</v>
      </c>
      <c r="E304" s="2">
        <v>12186.0</v>
      </c>
      <c r="F304" s="2">
        <v>406.0</v>
      </c>
      <c r="G304" s="2">
        <v>666.0</v>
      </c>
      <c r="H304" s="2" t="s">
        <v>5905</v>
      </c>
      <c r="I304" s="2" t="s">
        <v>5905</v>
      </c>
      <c r="J304" s="2" t="s">
        <v>6856</v>
      </c>
      <c r="K304" s="2" t="s">
        <v>7064</v>
      </c>
    </row>
    <row r="305">
      <c r="A305" s="2" t="s">
        <v>5490</v>
      </c>
      <c r="B305" s="2" t="s">
        <v>7065</v>
      </c>
      <c r="C305" s="2">
        <v>3.5791027E8</v>
      </c>
      <c r="D305" s="2" t="s">
        <v>7066</v>
      </c>
      <c r="E305" s="2">
        <v>181368.0</v>
      </c>
      <c r="F305" s="2">
        <v>1238.0</v>
      </c>
      <c r="G305" s="2">
        <v>823.0</v>
      </c>
      <c r="H305" s="2" t="s">
        <v>5905</v>
      </c>
      <c r="I305" s="2" t="s">
        <v>5905</v>
      </c>
      <c r="J305" s="2" t="s">
        <v>5959</v>
      </c>
      <c r="K305" s="2" t="s">
        <v>7067</v>
      </c>
      <c r="L305" s="10" t="s">
        <v>7068</v>
      </c>
    </row>
    <row r="306">
      <c r="A306" s="10" t="s">
        <v>5419</v>
      </c>
      <c r="B306" s="2" t="s">
        <v>7069</v>
      </c>
      <c r="C306" s="2">
        <v>1.345906695E9</v>
      </c>
      <c r="D306" s="10" t="s">
        <v>5419</v>
      </c>
      <c r="E306" s="2">
        <v>1753283.0</v>
      </c>
      <c r="F306" s="2">
        <v>236.0</v>
      </c>
      <c r="G306" s="2">
        <v>40091.0</v>
      </c>
      <c r="H306" s="2" t="s">
        <v>5906</v>
      </c>
      <c r="I306" s="2" t="s">
        <v>5906</v>
      </c>
      <c r="J306" s="2" t="s">
        <v>5907</v>
      </c>
      <c r="K306" s="2" t="s">
        <v>7070</v>
      </c>
      <c r="L306" s="10" t="s">
        <v>7071</v>
      </c>
    </row>
    <row r="307">
      <c r="A307" s="2" t="s">
        <v>5497</v>
      </c>
      <c r="B307" s="2" t="s">
        <v>7072</v>
      </c>
      <c r="C307" s="2">
        <v>3.0146667657E10</v>
      </c>
      <c r="D307" s="2" t="s">
        <v>7073</v>
      </c>
      <c r="E307" s="2">
        <v>185177.0</v>
      </c>
      <c r="F307" s="2">
        <v>347.0</v>
      </c>
      <c r="G307" s="2">
        <v>878.0</v>
      </c>
      <c r="H307" s="2" t="s">
        <v>5905</v>
      </c>
      <c r="I307" s="2" t="s">
        <v>5905</v>
      </c>
      <c r="J307" s="2" t="s">
        <v>6414</v>
      </c>
      <c r="K307" s="2" t="s">
        <v>7074</v>
      </c>
    </row>
    <row r="308">
      <c r="A308" s="2" t="s">
        <v>5497</v>
      </c>
      <c r="B308" s="2" t="s">
        <v>7075</v>
      </c>
      <c r="C308" s="2">
        <v>3.02379508E8</v>
      </c>
      <c r="D308" s="2" t="s">
        <v>5497</v>
      </c>
      <c r="E308" s="2">
        <v>18386.0</v>
      </c>
      <c r="F308" s="2">
        <v>952.0</v>
      </c>
      <c r="G308" s="2">
        <v>4133.0</v>
      </c>
      <c r="H308" s="2" t="s">
        <v>5905</v>
      </c>
      <c r="I308" s="2" t="s">
        <v>5905</v>
      </c>
      <c r="J308" s="2" t="s">
        <v>5959</v>
      </c>
      <c r="K308" s="2" t="s">
        <v>7076</v>
      </c>
    </row>
    <row r="309">
      <c r="A309" s="2" t="s">
        <v>5561</v>
      </c>
      <c r="B309" s="2" t="s">
        <v>7077</v>
      </c>
      <c r="C309" s="2">
        <v>4.05231015E8</v>
      </c>
      <c r="D309" s="2" t="s">
        <v>7078</v>
      </c>
      <c r="E309" s="2">
        <v>11130.0</v>
      </c>
      <c r="F309" s="2">
        <v>2767.0</v>
      </c>
      <c r="G309" s="2">
        <v>2096.0</v>
      </c>
      <c r="H309" s="2" t="s">
        <v>5905</v>
      </c>
      <c r="I309" s="2" t="s">
        <v>5906</v>
      </c>
      <c r="J309" s="2" t="s">
        <v>5391</v>
      </c>
      <c r="K309" s="2" t="s">
        <v>7079</v>
      </c>
      <c r="L309" s="10" t="s">
        <v>7080</v>
      </c>
    </row>
    <row r="310">
      <c r="A310" s="2" t="s">
        <v>5561</v>
      </c>
      <c r="B310" s="2" t="s">
        <v>7081</v>
      </c>
      <c r="C310" s="2">
        <v>1.1816900709E10</v>
      </c>
      <c r="D310" s="2" t="s">
        <v>7082</v>
      </c>
      <c r="E310" s="2">
        <v>707883.0</v>
      </c>
      <c r="F310" s="2">
        <v>82.0</v>
      </c>
      <c r="G310" s="2">
        <v>2302.0</v>
      </c>
      <c r="H310" s="2" t="s">
        <v>5905</v>
      </c>
      <c r="I310" s="2" t="s">
        <v>5906</v>
      </c>
      <c r="J310" s="2" t="s">
        <v>7083</v>
      </c>
      <c r="K310" s="2" t="s">
        <v>7084</v>
      </c>
    </row>
    <row r="311">
      <c r="A311" s="2" t="s">
        <v>5561</v>
      </c>
      <c r="B311" s="2" t="s">
        <v>7085</v>
      </c>
      <c r="C311" s="2">
        <v>1.968082487E9</v>
      </c>
      <c r="D311" s="2" t="s">
        <v>7086</v>
      </c>
      <c r="E311" s="2">
        <v>22969.0</v>
      </c>
      <c r="F311" s="2">
        <v>155.0</v>
      </c>
      <c r="G311" s="2">
        <v>593.0</v>
      </c>
      <c r="H311" s="2" t="s">
        <v>5906</v>
      </c>
      <c r="I311" s="2" t="s">
        <v>5906</v>
      </c>
      <c r="K311" s="2" t="s">
        <v>7087</v>
      </c>
      <c r="L311" s="10" t="s">
        <v>7088</v>
      </c>
    </row>
    <row r="312">
      <c r="A312" s="2" t="s">
        <v>5561</v>
      </c>
      <c r="B312" s="2" t="s">
        <v>7089</v>
      </c>
      <c r="C312" s="2">
        <v>2.55749861E8</v>
      </c>
      <c r="D312" s="2" t="s">
        <v>5561</v>
      </c>
      <c r="E312" s="2">
        <v>231040.0</v>
      </c>
      <c r="F312" s="2">
        <v>70.0</v>
      </c>
      <c r="G312" s="2">
        <v>767.0</v>
      </c>
      <c r="H312" s="2" t="s">
        <v>5906</v>
      </c>
      <c r="I312" s="2" t="s">
        <v>5906</v>
      </c>
      <c r="J312" s="2" t="s">
        <v>6199</v>
      </c>
      <c r="K312" s="2" t="s">
        <v>7090</v>
      </c>
    </row>
    <row r="313">
      <c r="A313" s="2" t="s">
        <v>5561</v>
      </c>
      <c r="B313" s="2" t="s">
        <v>7091</v>
      </c>
      <c r="C313" s="2">
        <v>9.454328916E9</v>
      </c>
      <c r="D313" s="2" t="s">
        <v>5561</v>
      </c>
      <c r="E313" s="2">
        <v>31305.0</v>
      </c>
      <c r="F313" s="2">
        <v>1056.0</v>
      </c>
      <c r="G313" s="2">
        <v>293.0</v>
      </c>
      <c r="H313" s="2" t="s">
        <v>5906</v>
      </c>
      <c r="I313" s="2" t="s">
        <v>5906</v>
      </c>
      <c r="J313" s="2" t="s">
        <v>6002</v>
      </c>
      <c r="K313" s="2" t="s">
        <v>7092</v>
      </c>
      <c r="L313" s="10" t="s">
        <v>7093</v>
      </c>
    </row>
    <row r="314">
      <c r="A314" s="2" t="s">
        <v>5561</v>
      </c>
      <c r="B314" s="2" t="s">
        <v>7094</v>
      </c>
      <c r="C314" s="2">
        <v>8.148648774E9</v>
      </c>
      <c r="D314" s="2" t="s">
        <v>7095</v>
      </c>
      <c r="E314" s="2">
        <v>437973.0</v>
      </c>
      <c r="F314" s="2">
        <v>6.0</v>
      </c>
      <c r="G314" s="2">
        <v>8509.0</v>
      </c>
      <c r="H314" s="2" t="s">
        <v>5906</v>
      </c>
      <c r="I314" s="2" t="s">
        <v>5905</v>
      </c>
      <c r="J314" s="2" t="s">
        <v>6290</v>
      </c>
      <c r="K314" s="2" t="s">
        <v>7096</v>
      </c>
      <c r="L314" s="10" t="s">
        <v>7097</v>
      </c>
    </row>
    <row r="315">
      <c r="A315" s="2" t="s">
        <v>5561</v>
      </c>
      <c r="B315" s="2" t="s">
        <v>7098</v>
      </c>
      <c r="C315" s="2">
        <v>1.2376368346E10</v>
      </c>
      <c r="D315" s="2" t="s">
        <v>7099</v>
      </c>
      <c r="E315" s="2">
        <v>1013825.0</v>
      </c>
      <c r="F315" s="2">
        <v>365.0</v>
      </c>
      <c r="G315" s="2">
        <v>6003.0</v>
      </c>
      <c r="H315" s="2" t="s">
        <v>5906</v>
      </c>
      <c r="I315" s="2" t="s">
        <v>5905</v>
      </c>
      <c r="J315" s="2" t="s">
        <v>5561</v>
      </c>
      <c r="K315" s="2" t="s">
        <v>7100</v>
      </c>
      <c r="L315" s="10" t="s">
        <v>7101</v>
      </c>
    </row>
    <row r="316">
      <c r="A316" s="2" t="s">
        <v>5316</v>
      </c>
      <c r="B316" s="2" t="s">
        <v>7102</v>
      </c>
      <c r="C316" s="2">
        <v>1.1954021E7</v>
      </c>
      <c r="D316" s="2" t="s">
        <v>7103</v>
      </c>
      <c r="E316" s="2">
        <v>1.0924166E7</v>
      </c>
      <c r="F316" s="2">
        <v>1032.0</v>
      </c>
      <c r="G316" s="2">
        <v>70025.0</v>
      </c>
      <c r="H316" s="2" t="s">
        <v>5906</v>
      </c>
      <c r="I316" s="2" t="s">
        <v>5906</v>
      </c>
      <c r="K316" s="2" t="s">
        <v>7104</v>
      </c>
      <c r="L316" s="10" t="s">
        <v>7105</v>
      </c>
    </row>
    <row r="317">
      <c r="A317" s="2" t="s">
        <v>5316</v>
      </c>
      <c r="B317" s="2" t="s">
        <v>7106</v>
      </c>
      <c r="C317" s="2">
        <v>2.959121989E9</v>
      </c>
      <c r="D317" s="2" t="s">
        <v>7107</v>
      </c>
      <c r="E317" s="2">
        <v>413291.0</v>
      </c>
      <c r="F317" s="2">
        <v>983.0</v>
      </c>
      <c r="G317" s="2">
        <v>4019.0</v>
      </c>
      <c r="H317" s="2" t="s">
        <v>5906</v>
      </c>
      <c r="I317" s="2" t="s">
        <v>5906</v>
      </c>
      <c r="K317" s="2" t="s">
        <v>7108</v>
      </c>
      <c r="L317" s="10" t="s">
        <v>7109</v>
      </c>
    </row>
    <row r="318">
      <c r="A318" s="2" t="s">
        <v>5316</v>
      </c>
      <c r="B318" s="2" t="s">
        <v>7110</v>
      </c>
      <c r="C318" s="2">
        <v>1.2790857096E10</v>
      </c>
      <c r="D318" s="2" t="s">
        <v>7111</v>
      </c>
      <c r="E318" s="2">
        <v>2013192.0</v>
      </c>
      <c r="F318" s="2">
        <v>582.0</v>
      </c>
      <c r="G318" s="2">
        <v>14791.0</v>
      </c>
      <c r="H318" s="2" t="s">
        <v>5906</v>
      </c>
      <c r="I318" s="2" t="s">
        <v>5906</v>
      </c>
      <c r="J318" s="2" t="s">
        <v>5556</v>
      </c>
      <c r="K318" s="2" t="s">
        <v>7112</v>
      </c>
      <c r="L318" s="10" t="s">
        <v>7113</v>
      </c>
    </row>
    <row r="319">
      <c r="A319" s="2" t="s">
        <v>5316</v>
      </c>
      <c r="B319" s="2" t="s">
        <v>7114</v>
      </c>
      <c r="C319" s="2">
        <v>9.17916419E8</v>
      </c>
      <c r="D319" s="2" t="s">
        <v>7115</v>
      </c>
      <c r="E319" s="2">
        <v>241433.0</v>
      </c>
      <c r="F319" s="2">
        <v>47.0</v>
      </c>
      <c r="G319" s="2">
        <v>4450.0</v>
      </c>
      <c r="H319" s="2" t="s">
        <v>5906</v>
      </c>
      <c r="I319" s="2" t="s">
        <v>5906</v>
      </c>
      <c r="J319" s="2" t="s">
        <v>5911</v>
      </c>
      <c r="K319" s="2" t="s">
        <v>7116</v>
      </c>
      <c r="L319" s="10" t="s">
        <v>7117</v>
      </c>
    </row>
    <row r="320">
      <c r="A320" s="2" t="s">
        <v>5316</v>
      </c>
      <c r="B320" s="2" t="s">
        <v>7118</v>
      </c>
      <c r="C320" s="2">
        <v>6.674162549E9</v>
      </c>
      <c r="D320" s="2" t="s">
        <v>7119</v>
      </c>
      <c r="E320" s="2">
        <v>82461.0</v>
      </c>
      <c r="F320" s="2">
        <v>903.0</v>
      </c>
      <c r="G320" s="2">
        <v>2230.0</v>
      </c>
      <c r="H320" s="2" t="s">
        <v>5906</v>
      </c>
      <c r="I320" s="2" t="s">
        <v>5906</v>
      </c>
      <c r="J320" s="2" t="s">
        <v>6393</v>
      </c>
      <c r="K320" s="2" t="s">
        <v>7120</v>
      </c>
      <c r="L320" s="10" t="s">
        <v>7121</v>
      </c>
    </row>
    <row r="321">
      <c r="A321" s="2" t="s">
        <v>5316</v>
      </c>
      <c r="B321" s="2" t="s">
        <v>7122</v>
      </c>
      <c r="C321" s="2">
        <v>1.798823097E9</v>
      </c>
      <c r="D321" s="2" t="s">
        <v>7123</v>
      </c>
      <c r="E321" s="2">
        <v>521998.0</v>
      </c>
      <c r="F321" s="2">
        <v>1287.0</v>
      </c>
      <c r="G321" s="2">
        <v>11851.0</v>
      </c>
      <c r="H321" s="2" t="s">
        <v>5906</v>
      </c>
      <c r="I321" s="2" t="s">
        <v>5906</v>
      </c>
      <c r="J321" s="2" t="s">
        <v>5911</v>
      </c>
      <c r="K321" s="2" t="s">
        <v>7124</v>
      </c>
      <c r="L321" s="10" t="s">
        <v>7125</v>
      </c>
    </row>
    <row r="322">
      <c r="A322" s="2" t="s">
        <v>5316</v>
      </c>
      <c r="B322" s="2" t="s">
        <v>7126</v>
      </c>
      <c r="C322" s="2">
        <v>2.1869359572E10</v>
      </c>
      <c r="D322" s="2" t="s">
        <v>7127</v>
      </c>
      <c r="E322" s="2">
        <v>751500.0</v>
      </c>
      <c r="F322" s="2">
        <v>14.0</v>
      </c>
      <c r="G322" s="2">
        <v>806.0</v>
      </c>
      <c r="H322" s="2" t="s">
        <v>5906</v>
      </c>
      <c r="I322" s="2" t="s">
        <v>5906</v>
      </c>
      <c r="J322" s="2" t="s">
        <v>5963</v>
      </c>
      <c r="K322" s="2" t="s">
        <v>7128</v>
      </c>
      <c r="L322" s="10" t="s">
        <v>7129</v>
      </c>
    </row>
    <row r="323">
      <c r="A323" s="2" t="s">
        <v>5316</v>
      </c>
      <c r="B323" s="2" t="s">
        <v>7130</v>
      </c>
      <c r="C323" s="2">
        <v>2.30506167E8</v>
      </c>
      <c r="D323" s="2" t="s">
        <v>7131</v>
      </c>
      <c r="E323" s="2">
        <v>1802709.0</v>
      </c>
      <c r="F323" s="2">
        <v>1008.0</v>
      </c>
      <c r="G323" s="2">
        <v>29774.0</v>
      </c>
      <c r="H323" s="2" t="s">
        <v>5906</v>
      </c>
      <c r="I323" s="2" t="s">
        <v>5906</v>
      </c>
      <c r="J323" s="2" t="s">
        <v>5911</v>
      </c>
      <c r="K323" s="2" t="s">
        <v>7132</v>
      </c>
      <c r="L323" s="10" t="s">
        <v>7133</v>
      </c>
    </row>
    <row r="324">
      <c r="A324" s="2" t="s">
        <v>5316</v>
      </c>
      <c r="B324" s="2" t="s">
        <v>7134</v>
      </c>
      <c r="C324" s="2">
        <v>1.131348283E9</v>
      </c>
      <c r="D324" s="2" t="s">
        <v>7135</v>
      </c>
      <c r="E324" s="2">
        <v>758776.0</v>
      </c>
      <c r="F324" s="2">
        <v>531.0</v>
      </c>
      <c r="G324" s="2">
        <v>8933.0</v>
      </c>
      <c r="H324" s="2" t="s">
        <v>5906</v>
      </c>
      <c r="I324" s="2" t="s">
        <v>5906</v>
      </c>
      <c r="J324" s="2" t="s">
        <v>5556</v>
      </c>
      <c r="K324" s="2" t="s">
        <v>7136</v>
      </c>
      <c r="L324" s="10" t="s">
        <v>7137</v>
      </c>
    </row>
    <row r="325">
      <c r="A325" s="2" t="s">
        <v>5316</v>
      </c>
      <c r="B325" s="2" t="s">
        <v>7138</v>
      </c>
      <c r="C325" s="2">
        <v>6.8721530671E10</v>
      </c>
      <c r="D325" s="2" t="s">
        <v>7139</v>
      </c>
      <c r="E325" s="2">
        <v>56974.0</v>
      </c>
      <c r="F325" s="2">
        <v>0.0</v>
      </c>
      <c r="G325" s="2">
        <v>35.0</v>
      </c>
      <c r="H325" s="2" t="s">
        <v>5906</v>
      </c>
      <c r="I325" s="2" t="s">
        <v>5905</v>
      </c>
      <c r="J325" s="2" t="s">
        <v>7140</v>
      </c>
      <c r="K325" s="2" t="s">
        <v>7141</v>
      </c>
    </row>
    <row r="326">
      <c r="A326" s="2" t="s">
        <v>5316</v>
      </c>
      <c r="B326" s="2" t="s">
        <v>7142</v>
      </c>
      <c r="C326" s="2">
        <v>1.600017421E9</v>
      </c>
      <c r="D326" s="2" t="s">
        <v>7143</v>
      </c>
      <c r="E326" s="2">
        <v>361055.0</v>
      </c>
      <c r="F326" s="2">
        <v>714.0</v>
      </c>
      <c r="G326" s="2">
        <v>6392.0</v>
      </c>
      <c r="H326" s="2" t="s">
        <v>5905</v>
      </c>
      <c r="I326" s="2" t="s">
        <v>5905</v>
      </c>
      <c r="J326" s="2" t="s">
        <v>5959</v>
      </c>
      <c r="K326" s="2" t="s">
        <v>7144</v>
      </c>
      <c r="L326" s="10" t="s">
        <v>7145</v>
      </c>
    </row>
    <row r="327">
      <c r="A327" s="2" t="s">
        <v>5432</v>
      </c>
      <c r="B327" s="2" t="s">
        <v>7146</v>
      </c>
      <c r="C327" s="2">
        <v>2.551310688E9</v>
      </c>
      <c r="D327" s="2" t="s">
        <v>7147</v>
      </c>
      <c r="E327" s="2">
        <v>11682.0</v>
      </c>
      <c r="F327" s="2">
        <v>135.0</v>
      </c>
      <c r="G327" s="2">
        <v>945.0</v>
      </c>
      <c r="H327" s="2" t="s">
        <v>5905</v>
      </c>
      <c r="I327" s="2" t="s">
        <v>5906</v>
      </c>
      <c r="J327" s="2" t="s">
        <v>5391</v>
      </c>
      <c r="K327" s="2" t="s">
        <v>7148</v>
      </c>
      <c r="L327" s="10" t="s">
        <v>7149</v>
      </c>
    </row>
    <row r="328">
      <c r="A328" s="2" t="s">
        <v>5432</v>
      </c>
      <c r="B328" s="2" t="s">
        <v>7150</v>
      </c>
      <c r="C328" s="2">
        <v>4.289576071E9</v>
      </c>
      <c r="D328" s="2" t="s">
        <v>5432</v>
      </c>
      <c r="E328" s="2">
        <v>1204060.0</v>
      </c>
      <c r="F328" s="2">
        <v>724.0</v>
      </c>
      <c r="G328" s="2">
        <v>13351.0</v>
      </c>
      <c r="H328" s="2" t="s">
        <v>5906</v>
      </c>
      <c r="I328" s="2" t="s">
        <v>5906</v>
      </c>
      <c r="J328" s="2" t="s">
        <v>5911</v>
      </c>
      <c r="K328" s="2" t="s">
        <v>7151</v>
      </c>
      <c r="L328" s="10" t="s">
        <v>7152</v>
      </c>
    </row>
    <row r="329">
      <c r="A329" s="2" t="s">
        <v>5432</v>
      </c>
      <c r="B329" s="2" t="s">
        <v>7153</v>
      </c>
      <c r="C329" s="2">
        <v>5.2355305968E10</v>
      </c>
      <c r="D329" s="2" t="s">
        <v>7154</v>
      </c>
      <c r="E329" s="2">
        <v>13073.0</v>
      </c>
      <c r="F329" s="2">
        <v>62.0</v>
      </c>
      <c r="G329" s="2">
        <v>569.0</v>
      </c>
      <c r="H329" s="2" t="s">
        <v>5905</v>
      </c>
      <c r="I329" s="2" t="s">
        <v>5905</v>
      </c>
      <c r="J329" s="2" t="s">
        <v>7155</v>
      </c>
      <c r="K329" s="2" t="s">
        <v>7156</v>
      </c>
      <c r="L329" s="10" t="s">
        <v>7157</v>
      </c>
    </row>
    <row r="330">
      <c r="A330" s="2" t="s">
        <v>5454</v>
      </c>
      <c r="B330" s="2" t="s">
        <v>7158</v>
      </c>
      <c r="C330" s="2">
        <v>1.04887415E8</v>
      </c>
      <c r="D330" s="2" t="s">
        <v>7159</v>
      </c>
      <c r="E330" s="2">
        <v>3421170.0</v>
      </c>
      <c r="F330" s="2">
        <v>1048.0</v>
      </c>
      <c r="G330" s="2">
        <v>12410.0</v>
      </c>
      <c r="H330" s="2" t="s">
        <v>5906</v>
      </c>
      <c r="I330" s="2" t="s">
        <v>5906</v>
      </c>
      <c r="K330" s="2" t="s">
        <v>7160</v>
      </c>
      <c r="L330" s="10" t="s">
        <v>7161</v>
      </c>
    </row>
    <row r="331">
      <c r="A331" s="2" t="s">
        <v>5454</v>
      </c>
      <c r="B331" s="2" t="s">
        <v>7162</v>
      </c>
      <c r="C331" s="2">
        <v>3.07435738E8</v>
      </c>
      <c r="D331" s="2" t="s">
        <v>7163</v>
      </c>
      <c r="E331" s="2">
        <v>175191.0</v>
      </c>
      <c r="F331" s="2">
        <v>778.0</v>
      </c>
      <c r="G331" s="2">
        <v>4797.0</v>
      </c>
      <c r="H331" s="2" t="s">
        <v>5906</v>
      </c>
      <c r="I331" s="2" t="s">
        <v>5906</v>
      </c>
      <c r="K331" s="2" t="s">
        <v>7164</v>
      </c>
      <c r="L331" s="10" t="s">
        <v>7165</v>
      </c>
    </row>
    <row r="332">
      <c r="A332" s="2" t="s">
        <v>5565</v>
      </c>
      <c r="B332" s="2" t="s">
        <v>7166</v>
      </c>
      <c r="C332" s="2">
        <v>2.256588811E9</v>
      </c>
      <c r="D332" s="2" t="s">
        <v>7167</v>
      </c>
      <c r="E332" s="2">
        <v>195171.0</v>
      </c>
      <c r="F332" s="2">
        <v>20.0</v>
      </c>
      <c r="G332" s="2">
        <v>1169.0</v>
      </c>
      <c r="H332" s="2" t="s">
        <v>5905</v>
      </c>
      <c r="I332" s="2" t="s">
        <v>5906</v>
      </c>
      <c r="J332" s="2" t="s">
        <v>6111</v>
      </c>
      <c r="K332" s="2" t="s">
        <v>7168</v>
      </c>
      <c r="L332" s="10" t="s">
        <v>7169</v>
      </c>
    </row>
    <row r="333">
      <c r="A333" s="2" t="s">
        <v>5565</v>
      </c>
      <c r="B333" s="10" t="s">
        <v>7170</v>
      </c>
      <c r="C333" s="2">
        <v>5.435818649E9</v>
      </c>
      <c r="D333" s="10" t="s">
        <v>7171</v>
      </c>
      <c r="E333" s="2">
        <v>758470.0</v>
      </c>
      <c r="F333" s="2">
        <v>149.0</v>
      </c>
      <c r="G333" s="2">
        <v>2621.0</v>
      </c>
      <c r="H333" s="2" t="s">
        <v>5906</v>
      </c>
      <c r="I333" s="2" t="s">
        <v>5906</v>
      </c>
      <c r="J333" s="2" t="s">
        <v>5959</v>
      </c>
      <c r="K333" s="2" t="s">
        <v>7172</v>
      </c>
      <c r="L333" s="10" t="s">
        <v>7173</v>
      </c>
    </row>
    <row r="334">
      <c r="A334" s="2" t="s">
        <v>5565</v>
      </c>
      <c r="B334" s="2" t="s">
        <v>7174</v>
      </c>
      <c r="C334" s="2">
        <v>6.3143233497E10</v>
      </c>
      <c r="D334" s="2" t="s">
        <v>7175</v>
      </c>
      <c r="E334" s="2">
        <v>463941.0</v>
      </c>
      <c r="F334" s="2">
        <v>85.0</v>
      </c>
      <c r="G334" s="2">
        <v>957.0</v>
      </c>
      <c r="H334" s="2" t="s">
        <v>5906</v>
      </c>
      <c r="I334" s="2" t="s">
        <v>5906</v>
      </c>
      <c r="J334" s="2" t="s">
        <v>5928</v>
      </c>
      <c r="K334" s="2" t="s">
        <v>7176</v>
      </c>
      <c r="L334" s="10" t="s">
        <v>7177</v>
      </c>
    </row>
    <row r="335">
      <c r="A335" s="2" t="s">
        <v>5565</v>
      </c>
      <c r="B335" s="2" t="s">
        <v>7178</v>
      </c>
      <c r="C335" s="2">
        <v>6.9391739396E10</v>
      </c>
      <c r="D335" s="2" t="s">
        <v>7179</v>
      </c>
      <c r="E335" s="2">
        <v>321679.0</v>
      </c>
      <c r="F335" s="2">
        <v>127.0</v>
      </c>
      <c r="G335" s="2">
        <v>65.0</v>
      </c>
      <c r="H335" s="2" t="s">
        <v>5905</v>
      </c>
      <c r="I335" s="2" t="s">
        <v>5905</v>
      </c>
      <c r="J335" s="2" t="s">
        <v>5959</v>
      </c>
      <c r="K335" s="2" t="s">
        <v>7180</v>
      </c>
    </row>
    <row r="336">
      <c r="A336" s="2" t="s">
        <v>5565</v>
      </c>
      <c r="B336" s="2" t="s">
        <v>7181</v>
      </c>
      <c r="C336" s="2">
        <v>7.310432158E9</v>
      </c>
      <c r="D336" s="2" t="s">
        <v>7182</v>
      </c>
      <c r="E336" s="2">
        <v>385809.0</v>
      </c>
      <c r="F336" s="2">
        <v>93.0</v>
      </c>
      <c r="G336" s="2">
        <v>173.0</v>
      </c>
      <c r="H336" s="2" t="s">
        <v>5906</v>
      </c>
      <c r="I336" s="2" t="s">
        <v>5906</v>
      </c>
      <c r="J336" s="2" t="s">
        <v>5391</v>
      </c>
      <c r="K336" s="2" t="s">
        <v>7183</v>
      </c>
      <c r="L336" s="10" t="s">
        <v>7184</v>
      </c>
    </row>
    <row r="337">
      <c r="A337" s="2" t="s">
        <v>5565</v>
      </c>
      <c r="B337" s="2" t="s">
        <v>7185</v>
      </c>
      <c r="C337" s="2">
        <v>1.309902683E9</v>
      </c>
      <c r="D337" s="2" t="s">
        <v>7186</v>
      </c>
      <c r="E337" s="2">
        <v>581838.0</v>
      </c>
      <c r="F337" s="2">
        <v>1781.0</v>
      </c>
      <c r="G337" s="2">
        <v>1390.0</v>
      </c>
      <c r="H337" s="2" t="s">
        <v>5905</v>
      </c>
      <c r="I337" s="2" t="s">
        <v>5906</v>
      </c>
      <c r="J337" s="2" t="s">
        <v>5959</v>
      </c>
      <c r="K337" s="2" t="s">
        <v>7187</v>
      </c>
      <c r="L337" s="10" t="s">
        <v>7188</v>
      </c>
    </row>
    <row r="338">
      <c r="A338" s="2" t="s">
        <v>5565</v>
      </c>
      <c r="B338" s="2" t="s">
        <v>7189</v>
      </c>
      <c r="C338" s="2">
        <v>2.701198834E9</v>
      </c>
      <c r="D338" s="2" t="s">
        <v>7190</v>
      </c>
      <c r="E338" s="2">
        <v>12597.0</v>
      </c>
      <c r="F338" s="2">
        <v>983.0</v>
      </c>
      <c r="G338" s="2">
        <v>1039.0</v>
      </c>
      <c r="H338" s="2" t="s">
        <v>5905</v>
      </c>
      <c r="I338" s="2" t="s">
        <v>5905</v>
      </c>
      <c r="J338" s="2" t="s">
        <v>5959</v>
      </c>
      <c r="K338" s="2" t="s">
        <v>7191</v>
      </c>
      <c r="L338" s="10" t="s">
        <v>7192</v>
      </c>
    </row>
    <row r="339">
      <c r="A339" s="2" t="s">
        <v>5565</v>
      </c>
      <c r="B339" s="2" t="s">
        <v>7193</v>
      </c>
      <c r="C339" s="2">
        <v>7.6288849611E10</v>
      </c>
      <c r="D339" s="2" t="s">
        <v>7194</v>
      </c>
      <c r="E339" s="2">
        <v>32806.0</v>
      </c>
      <c r="F339" s="2">
        <v>199.0</v>
      </c>
      <c r="G339" s="2">
        <v>39.0</v>
      </c>
      <c r="H339" s="2" t="s">
        <v>5905</v>
      </c>
      <c r="I339" s="2" t="s">
        <v>5905</v>
      </c>
      <c r="J339" s="2" t="s">
        <v>5959</v>
      </c>
      <c r="K339" s="2" t="s">
        <v>7195</v>
      </c>
      <c r="L339" s="10" t="s">
        <v>7196</v>
      </c>
    </row>
    <row r="340">
      <c r="A340" s="2" t="s">
        <v>5565</v>
      </c>
      <c r="B340" s="2" t="s">
        <v>7197</v>
      </c>
      <c r="C340" s="2">
        <v>1.88302473E8</v>
      </c>
      <c r="D340" s="2" t="s">
        <v>7198</v>
      </c>
      <c r="E340" s="2">
        <v>48636.0</v>
      </c>
      <c r="F340" s="2">
        <v>998.0</v>
      </c>
      <c r="G340" s="2">
        <v>1815.0</v>
      </c>
      <c r="H340" s="2" t="s">
        <v>5906</v>
      </c>
      <c r="I340" s="2" t="s">
        <v>5905</v>
      </c>
      <c r="J340" s="2" t="s">
        <v>6393</v>
      </c>
      <c r="K340" s="2" t="s">
        <v>7199</v>
      </c>
      <c r="L340" s="10" t="s">
        <v>7200</v>
      </c>
    </row>
    <row r="341">
      <c r="A341" s="2" t="s">
        <v>5565</v>
      </c>
      <c r="B341" s="2" t="s">
        <v>7201</v>
      </c>
      <c r="C341" s="2">
        <v>1.6475155467E10</v>
      </c>
      <c r="D341" s="2" t="s">
        <v>7202</v>
      </c>
      <c r="E341" s="2">
        <v>14909.0</v>
      </c>
      <c r="F341" s="2">
        <v>329.0</v>
      </c>
      <c r="G341" s="2">
        <v>28.0</v>
      </c>
      <c r="H341" s="2" t="s">
        <v>5905</v>
      </c>
      <c r="I341" s="2" t="s">
        <v>5906</v>
      </c>
      <c r="J341" s="2" t="s">
        <v>5959</v>
      </c>
      <c r="K341" s="2" t="s">
        <v>7203</v>
      </c>
    </row>
    <row r="342">
      <c r="A342" s="2" t="s">
        <v>5565</v>
      </c>
      <c r="B342" s="2" t="s">
        <v>7204</v>
      </c>
      <c r="C342" s="2">
        <v>5.6413349678E10</v>
      </c>
      <c r="D342" s="2" t="s">
        <v>7205</v>
      </c>
      <c r="E342" s="2">
        <v>685781.0</v>
      </c>
      <c r="F342" s="2">
        <v>123.0</v>
      </c>
      <c r="G342" s="2">
        <v>1089.0</v>
      </c>
      <c r="H342" s="2" t="s">
        <v>5906</v>
      </c>
      <c r="I342" s="2" t="s">
        <v>5906</v>
      </c>
      <c r="J342" s="2" t="s">
        <v>7206</v>
      </c>
      <c r="K342" s="2" t="s">
        <v>7207</v>
      </c>
      <c r="L342" s="10" t="s">
        <v>7208</v>
      </c>
    </row>
    <row r="343">
      <c r="A343" s="2" t="s">
        <v>5565</v>
      </c>
      <c r="B343" s="2" t="s">
        <v>7209</v>
      </c>
      <c r="C343" s="2">
        <v>4.8750303017E10</v>
      </c>
      <c r="D343" s="2" t="s">
        <v>7210</v>
      </c>
      <c r="E343" s="2">
        <v>45904.0</v>
      </c>
      <c r="F343" s="2">
        <v>59.0</v>
      </c>
      <c r="G343" s="2">
        <v>626.0</v>
      </c>
      <c r="H343" s="2" t="s">
        <v>5906</v>
      </c>
      <c r="I343" s="2" t="s">
        <v>5905</v>
      </c>
      <c r="J343" s="2" t="s">
        <v>5959</v>
      </c>
      <c r="K343" s="2" t="s">
        <v>7211</v>
      </c>
      <c r="L343" s="10" t="s">
        <v>7212</v>
      </c>
    </row>
    <row r="344">
      <c r="A344" s="2" t="s">
        <v>5565</v>
      </c>
      <c r="B344" s="2" t="s">
        <v>7213</v>
      </c>
      <c r="C344" s="2">
        <v>6.1381831832E10</v>
      </c>
      <c r="D344" s="2" t="s">
        <v>7214</v>
      </c>
      <c r="E344" s="2">
        <v>142338.0</v>
      </c>
      <c r="F344" s="2">
        <v>1752.0</v>
      </c>
      <c r="G344" s="2">
        <v>935.0</v>
      </c>
      <c r="H344" s="2" t="s">
        <v>5905</v>
      </c>
      <c r="I344" s="2" t="s">
        <v>5906</v>
      </c>
      <c r="J344" s="2" t="s">
        <v>5928</v>
      </c>
      <c r="K344" s="2" t="s">
        <v>7215</v>
      </c>
      <c r="L344" s="10" t="s">
        <v>7216</v>
      </c>
    </row>
    <row r="345">
      <c r="A345" s="2" t="s">
        <v>5565</v>
      </c>
      <c r="B345" s="2" t="s">
        <v>7217</v>
      </c>
      <c r="C345" s="2">
        <v>4.867617185E10</v>
      </c>
      <c r="D345" s="2" t="s">
        <v>7218</v>
      </c>
      <c r="E345" s="2">
        <v>1307919.0</v>
      </c>
      <c r="F345" s="2">
        <v>46.0</v>
      </c>
      <c r="G345" s="2">
        <v>984.0</v>
      </c>
      <c r="H345" s="2" t="s">
        <v>5905</v>
      </c>
      <c r="I345" s="2" t="s">
        <v>5905</v>
      </c>
      <c r="J345" s="2" t="s">
        <v>5928</v>
      </c>
      <c r="K345" s="2" t="s">
        <v>7219</v>
      </c>
    </row>
    <row r="346">
      <c r="A346" s="2" t="s">
        <v>5565</v>
      </c>
      <c r="B346" s="2" t="s">
        <v>7220</v>
      </c>
      <c r="C346" s="2">
        <v>5.4512658634E10</v>
      </c>
      <c r="D346" s="2" t="s">
        <v>7221</v>
      </c>
      <c r="E346" s="2">
        <v>79595.0</v>
      </c>
      <c r="F346" s="2">
        <v>17.0</v>
      </c>
      <c r="G346" s="2">
        <v>335.0</v>
      </c>
      <c r="H346" s="2" t="s">
        <v>5905</v>
      </c>
      <c r="I346" s="2" t="s">
        <v>5905</v>
      </c>
      <c r="J346" s="2" t="s">
        <v>5959</v>
      </c>
      <c r="K346" s="2" t="s">
        <v>7222</v>
      </c>
      <c r="L346" s="10" t="s">
        <v>7223</v>
      </c>
    </row>
    <row r="347">
      <c r="A347" s="2" t="s">
        <v>5565</v>
      </c>
      <c r="B347" s="2" t="s">
        <v>7224</v>
      </c>
      <c r="C347" s="2">
        <v>3.33040118E8</v>
      </c>
      <c r="D347" s="2" t="s">
        <v>7225</v>
      </c>
      <c r="E347" s="2">
        <v>635852.0</v>
      </c>
      <c r="F347" s="2">
        <v>248.0</v>
      </c>
      <c r="G347" s="2">
        <v>1899.0</v>
      </c>
      <c r="H347" s="2" t="s">
        <v>5906</v>
      </c>
      <c r="I347" s="2" t="s">
        <v>5906</v>
      </c>
      <c r="J347" s="2" t="s">
        <v>5959</v>
      </c>
      <c r="K347" s="2" t="s">
        <v>7226</v>
      </c>
      <c r="L347" s="10" t="s">
        <v>7227</v>
      </c>
    </row>
    <row r="348">
      <c r="A348" s="2" t="s">
        <v>5565</v>
      </c>
      <c r="B348" s="2" t="s">
        <v>7228</v>
      </c>
      <c r="C348" s="2">
        <v>4.9338669789E10</v>
      </c>
      <c r="D348" s="2" t="s">
        <v>7229</v>
      </c>
      <c r="E348" s="2">
        <v>338092.0</v>
      </c>
      <c r="F348" s="2">
        <v>249.0</v>
      </c>
      <c r="G348" s="2">
        <v>260.0</v>
      </c>
      <c r="H348" s="2" t="s">
        <v>5905</v>
      </c>
      <c r="I348" s="2" t="s">
        <v>5905</v>
      </c>
      <c r="J348" s="2" t="s">
        <v>7206</v>
      </c>
      <c r="K348" s="2" t="s">
        <v>7230</v>
      </c>
      <c r="L348" s="10" t="s">
        <v>7231</v>
      </c>
    </row>
    <row r="349">
      <c r="A349" s="2" t="s">
        <v>5565</v>
      </c>
      <c r="B349" s="2" t="s">
        <v>7232</v>
      </c>
      <c r="C349" s="2">
        <v>1.621335307E9</v>
      </c>
      <c r="D349" s="2" t="s">
        <v>7233</v>
      </c>
      <c r="E349" s="2">
        <v>25026.0</v>
      </c>
      <c r="F349" s="2">
        <v>2014.0</v>
      </c>
      <c r="G349" s="2">
        <v>75.0</v>
      </c>
      <c r="H349" s="2" t="s">
        <v>5905</v>
      </c>
      <c r="I349" s="2" t="s">
        <v>5906</v>
      </c>
      <c r="J349" s="2" t="s">
        <v>5959</v>
      </c>
      <c r="K349" s="2" t="s">
        <v>7234</v>
      </c>
    </row>
    <row r="350">
      <c r="A350" s="2" t="s">
        <v>5500</v>
      </c>
      <c r="B350" s="2" t="s">
        <v>7235</v>
      </c>
      <c r="C350" s="2">
        <v>2.32624846E8</v>
      </c>
      <c r="D350" s="2" t="s">
        <v>7236</v>
      </c>
      <c r="E350" s="2">
        <v>162168.0</v>
      </c>
      <c r="F350" s="2">
        <v>1723.0</v>
      </c>
      <c r="G350" s="2">
        <v>4774.0</v>
      </c>
      <c r="H350" s="2" t="s">
        <v>5905</v>
      </c>
      <c r="I350" s="2" t="s">
        <v>5906</v>
      </c>
      <c r="J350" s="2" t="s">
        <v>5517</v>
      </c>
      <c r="K350" s="2" t="s">
        <v>7237</v>
      </c>
      <c r="L350" s="10" t="s">
        <v>7238</v>
      </c>
    </row>
    <row r="351">
      <c r="A351" s="2" t="s">
        <v>5500</v>
      </c>
      <c r="B351" s="2" t="s">
        <v>7239</v>
      </c>
      <c r="C351" s="2">
        <v>1.80968715E8</v>
      </c>
      <c r="D351" s="2" t="s">
        <v>7240</v>
      </c>
      <c r="E351" s="2">
        <v>279767.0</v>
      </c>
      <c r="F351" s="2">
        <v>785.0</v>
      </c>
      <c r="G351" s="2">
        <v>4789.0</v>
      </c>
      <c r="H351" s="2" t="s">
        <v>5906</v>
      </c>
      <c r="I351" s="2" t="s">
        <v>5906</v>
      </c>
      <c r="J351" s="2" t="s">
        <v>6414</v>
      </c>
      <c r="K351" s="2" t="s">
        <v>7241</v>
      </c>
      <c r="L351" s="10" t="s">
        <v>7242</v>
      </c>
    </row>
    <row r="352">
      <c r="A352" s="2" t="s">
        <v>5500</v>
      </c>
      <c r="B352" s="2" t="s">
        <v>7243</v>
      </c>
      <c r="C352" s="2">
        <v>6.464866831E9</v>
      </c>
      <c r="D352" s="2" t="s">
        <v>7244</v>
      </c>
      <c r="E352" s="2">
        <v>189637.0</v>
      </c>
      <c r="F352" s="2">
        <v>412.0</v>
      </c>
      <c r="G352" s="2">
        <v>1789.0</v>
      </c>
      <c r="H352" s="2" t="s">
        <v>5906</v>
      </c>
      <c r="I352" s="2" t="s">
        <v>5905</v>
      </c>
      <c r="J352" s="2" t="s">
        <v>6856</v>
      </c>
      <c r="K352" s="2" t="s">
        <v>7245</v>
      </c>
      <c r="L352" s="10" t="s">
        <v>7246</v>
      </c>
    </row>
    <row r="353">
      <c r="A353" s="2" t="s">
        <v>5487</v>
      </c>
      <c r="B353" s="2" t="s">
        <v>7247</v>
      </c>
      <c r="C353" s="2">
        <v>6.1485274138E10</v>
      </c>
      <c r="D353" s="2" t="s">
        <v>7248</v>
      </c>
      <c r="E353" s="2">
        <v>26270.0</v>
      </c>
      <c r="F353" s="2">
        <v>350.0</v>
      </c>
      <c r="G353" s="2">
        <v>377.0</v>
      </c>
      <c r="H353" s="2" t="s">
        <v>5906</v>
      </c>
      <c r="I353" s="2" t="s">
        <v>5906</v>
      </c>
      <c r="J353" s="2" t="s">
        <v>6002</v>
      </c>
      <c r="K353" s="2" t="s">
        <v>7249</v>
      </c>
      <c r="L353" s="10" t="s">
        <v>7250</v>
      </c>
    </row>
    <row r="354">
      <c r="A354" s="2" t="s">
        <v>5487</v>
      </c>
      <c r="B354" s="2" t="s">
        <v>7251</v>
      </c>
      <c r="C354" s="2">
        <v>1.3500835125E10</v>
      </c>
      <c r="D354" s="2" t="s">
        <v>7252</v>
      </c>
      <c r="E354" s="2">
        <v>121921.0</v>
      </c>
      <c r="F354" s="2">
        <v>117.0</v>
      </c>
      <c r="G354" s="2">
        <v>729.0</v>
      </c>
      <c r="H354" s="2" t="s">
        <v>5906</v>
      </c>
      <c r="I354" s="2" t="s">
        <v>5906</v>
      </c>
      <c r="J354" s="2" t="s">
        <v>6290</v>
      </c>
      <c r="K354" s="2" t="s">
        <v>7253</v>
      </c>
      <c r="L354" s="10" t="s">
        <v>7254</v>
      </c>
    </row>
    <row r="355">
      <c r="A355" s="2" t="s">
        <v>5487</v>
      </c>
      <c r="B355" s="2" t="s">
        <v>7255</v>
      </c>
      <c r="C355" s="2">
        <v>6.4388609977E10</v>
      </c>
      <c r="D355" s="2" t="s">
        <v>7256</v>
      </c>
      <c r="E355" s="2">
        <v>52952.0</v>
      </c>
      <c r="F355" s="2">
        <v>82.0</v>
      </c>
      <c r="G355" s="2">
        <v>817.0</v>
      </c>
      <c r="H355" s="2" t="s">
        <v>5905</v>
      </c>
      <c r="I355" s="2" t="s">
        <v>5905</v>
      </c>
      <c r="J355" s="2" t="s">
        <v>5959</v>
      </c>
      <c r="K355" s="2" t="s">
        <v>7257</v>
      </c>
    </row>
    <row r="356">
      <c r="A356" s="2" t="s">
        <v>5487</v>
      </c>
      <c r="B356" s="2" t="s">
        <v>7258</v>
      </c>
      <c r="C356" s="2">
        <v>3.7967193E8</v>
      </c>
      <c r="D356" s="2" t="s">
        <v>7259</v>
      </c>
      <c r="E356" s="2">
        <v>16520.0</v>
      </c>
      <c r="F356" s="2">
        <v>1158.0</v>
      </c>
      <c r="G356" s="2">
        <v>223.0</v>
      </c>
      <c r="H356" s="2" t="s">
        <v>5905</v>
      </c>
      <c r="I356" s="2" t="s">
        <v>5905</v>
      </c>
      <c r="J356" s="2" t="s">
        <v>5993</v>
      </c>
    </row>
    <row r="357">
      <c r="A357" s="2" t="s">
        <v>5487</v>
      </c>
      <c r="B357" s="2" t="s">
        <v>7260</v>
      </c>
      <c r="C357" s="2">
        <v>5.4961002588E10</v>
      </c>
      <c r="D357" s="2" t="s">
        <v>7261</v>
      </c>
      <c r="E357" s="2">
        <v>54307.0</v>
      </c>
      <c r="F357" s="2">
        <v>156.0</v>
      </c>
      <c r="G357" s="2">
        <v>3280.0</v>
      </c>
      <c r="H357" s="2" t="s">
        <v>5905</v>
      </c>
      <c r="I357" s="2" t="s">
        <v>5906</v>
      </c>
      <c r="J357" s="2" t="s">
        <v>5480</v>
      </c>
      <c r="K357" s="2" t="s">
        <v>7262</v>
      </c>
      <c r="L357" s="10" t="s">
        <v>7263</v>
      </c>
    </row>
    <row r="358">
      <c r="A358" s="2" t="s">
        <v>5277</v>
      </c>
      <c r="B358" s="2" t="s">
        <v>7264</v>
      </c>
      <c r="C358" s="2">
        <v>4.81777763E8</v>
      </c>
      <c r="D358" s="2" t="s">
        <v>5277</v>
      </c>
      <c r="E358" s="2">
        <v>2299141.0</v>
      </c>
      <c r="F358" s="2">
        <v>26.0</v>
      </c>
      <c r="G358" s="2">
        <v>42158.0</v>
      </c>
      <c r="H358" s="2" t="s">
        <v>5906</v>
      </c>
      <c r="I358" s="2" t="s">
        <v>5906</v>
      </c>
      <c r="J358" s="2" t="s">
        <v>5517</v>
      </c>
      <c r="K358" s="2" t="s">
        <v>7265</v>
      </c>
      <c r="L358" s="10" t="s">
        <v>7266</v>
      </c>
    </row>
    <row r="359">
      <c r="A359" s="2" t="s">
        <v>5277</v>
      </c>
      <c r="B359" s="2" t="s">
        <v>7267</v>
      </c>
      <c r="C359" s="2">
        <v>7.111120947E9</v>
      </c>
      <c r="D359" s="2" t="s">
        <v>7268</v>
      </c>
      <c r="E359" s="2">
        <v>613144.0</v>
      </c>
      <c r="F359" s="2">
        <v>76.0</v>
      </c>
      <c r="G359" s="2">
        <v>1877.0</v>
      </c>
      <c r="H359" s="2" t="s">
        <v>5906</v>
      </c>
      <c r="I359" s="2" t="s">
        <v>5906</v>
      </c>
      <c r="J359" s="2" t="s">
        <v>5907</v>
      </c>
      <c r="K359" s="2" t="s">
        <v>7269</v>
      </c>
      <c r="L359" s="10" t="s">
        <v>7270</v>
      </c>
    </row>
    <row r="360">
      <c r="A360" s="2" t="s">
        <v>5277</v>
      </c>
      <c r="B360" s="2" t="s">
        <v>7271</v>
      </c>
      <c r="C360" s="2">
        <v>5.95464374E8</v>
      </c>
      <c r="D360" s="2" t="s">
        <v>7272</v>
      </c>
      <c r="E360" s="2">
        <v>618796.0</v>
      </c>
      <c r="F360" s="2">
        <v>255.0</v>
      </c>
      <c r="G360" s="2">
        <v>6271.0</v>
      </c>
      <c r="H360" s="2" t="s">
        <v>5906</v>
      </c>
      <c r="I360" s="2" t="s">
        <v>5906</v>
      </c>
      <c r="J360" s="2" t="s">
        <v>5489</v>
      </c>
      <c r="K360" s="2" t="s">
        <v>7273</v>
      </c>
      <c r="L360" s="10" t="s">
        <v>7274</v>
      </c>
    </row>
    <row r="361">
      <c r="A361" s="2" t="s">
        <v>5326</v>
      </c>
      <c r="B361" s="2" t="s">
        <v>7275</v>
      </c>
      <c r="C361" s="2">
        <v>4.2725516E7</v>
      </c>
      <c r="D361" s="2" t="s">
        <v>5326</v>
      </c>
      <c r="E361" s="2">
        <v>4324695.0</v>
      </c>
      <c r="F361" s="2">
        <v>783.0</v>
      </c>
      <c r="G361" s="2">
        <v>15429.0</v>
      </c>
      <c r="H361" s="2" t="s">
        <v>5906</v>
      </c>
      <c r="I361" s="2" t="s">
        <v>5906</v>
      </c>
      <c r="J361" s="2" t="s">
        <v>5518</v>
      </c>
      <c r="K361" s="2" t="s">
        <v>7276</v>
      </c>
      <c r="L361" s="10" t="s">
        <v>7277</v>
      </c>
    </row>
    <row r="362">
      <c r="A362" s="2" t="s">
        <v>5326</v>
      </c>
      <c r="B362" s="2" t="s">
        <v>7278</v>
      </c>
      <c r="C362" s="2">
        <v>7.12952527E8</v>
      </c>
      <c r="D362" s="2" t="s">
        <v>7279</v>
      </c>
      <c r="E362" s="2">
        <v>963584.0</v>
      </c>
      <c r="F362" s="2">
        <v>684.0</v>
      </c>
      <c r="G362" s="2">
        <v>7723.0</v>
      </c>
      <c r="H362" s="2" t="s">
        <v>5906</v>
      </c>
      <c r="I362" s="2" t="s">
        <v>5906</v>
      </c>
      <c r="J362" s="2" t="s">
        <v>5518</v>
      </c>
      <c r="K362" s="2" t="s">
        <v>7280</v>
      </c>
      <c r="L362" s="10" t="s">
        <v>7281</v>
      </c>
    </row>
    <row r="363">
      <c r="A363" s="2" t="s">
        <v>5326</v>
      </c>
      <c r="B363" s="2" t="s">
        <v>7282</v>
      </c>
      <c r="C363" s="2">
        <v>9477936.0</v>
      </c>
      <c r="D363" s="2" t="s">
        <v>7283</v>
      </c>
      <c r="E363" s="2">
        <v>407628.0</v>
      </c>
      <c r="F363" s="2">
        <v>731.0</v>
      </c>
      <c r="G363" s="2">
        <v>10639.0</v>
      </c>
      <c r="H363" s="2" t="s">
        <v>5906</v>
      </c>
      <c r="I363" s="2" t="s">
        <v>5906</v>
      </c>
      <c r="K363" s="2" t="s">
        <v>7284</v>
      </c>
      <c r="L363" s="10" t="s">
        <v>7285</v>
      </c>
    </row>
    <row r="364">
      <c r="A364" s="2" t="s">
        <v>5326</v>
      </c>
      <c r="B364" s="2" t="s">
        <v>7286</v>
      </c>
      <c r="C364" s="2">
        <v>6.90260743E8</v>
      </c>
      <c r="D364" s="2" t="s">
        <v>7287</v>
      </c>
      <c r="E364" s="2">
        <v>175609.0</v>
      </c>
      <c r="F364" s="2">
        <v>243.0</v>
      </c>
      <c r="G364" s="2">
        <v>16246.0</v>
      </c>
      <c r="H364" s="2" t="s">
        <v>5906</v>
      </c>
      <c r="I364" s="2" t="s">
        <v>5906</v>
      </c>
      <c r="K364" s="2" t="s">
        <v>7288</v>
      </c>
      <c r="L364" s="10" t="s">
        <v>7289</v>
      </c>
    </row>
    <row r="365">
      <c r="A365" s="2" t="s">
        <v>5326</v>
      </c>
      <c r="B365" s="2" t="s">
        <v>7290</v>
      </c>
      <c r="C365" s="2">
        <v>6.93353179E8</v>
      </c>
      <c r="D365" s="2" t="s">
        <v>7291</v>
      </c>
      <c r="E365" s="2">
        <v>2375224.0</v>
      </c>
      <c r="F365" s="2">
        <v>2.0</v>
      </c>
      <c r="G365" s="2">
        <v>22583.0</v>
      </c>
      <c r="H365" s="2" t="s">
        <v>5906</v>
      </c>
      <c r="I365" s="2" t="s">
        <v>5906</v>
      </c>
      <c r="J365" s="2" t="s">
        <v>5993</v>
      </c>
      <c r="K365" s="2" t="s">
        <v>7292</v>
      </c>
      <c r="L365" s="10" t="s">
        <v>7293</v>
      </c>
    </row>
    <row r="366">
      <c r="A366" s="2" t="s">
        <v>5326</v>
      </c>
      <c r="B366" s="2" t="s">
        <v>7294</v>
      </c>
      <c r="C366" s="2">
        <v>2.97684999E8</v>
      </c>
      <c r="D366" s="2" t="s">
        <v>7295</v>
      </c>
      <c r="E366" s="2">
        <v>274640.0</v>
      </c>
      <c r="F366" s="2">
        <v>220.0</v>
      </c>
      <c r="G366" s="2">
        <v>3286.0</v>
      </c>
      <c r="H366" s="2" t="s">
        <v>5906</v>
      </c>
      <c r="I366" s="2" t="s">
        <v>5906</v>
      </c>
      <c r="J366" s="2" t="s">
        <v>7296</v>
      </c>
      <c r="K366" s="2" t="s">
        <v>7297</v>
      </c>
      <c r="L366" s="10" t="s">
        <v>7298</v>
      </c>
    </row>
    <row r="367">
      <c r="A367" s="2" t="s">
        <v>5326</v>
      </c>
      <c r="B367" s="2" t="s">
        <v>7299</v>
      </c>
      <c r="C367" s="2">
        <v>4.13156264E8</v>
      </c>
      <c r="D367" s="2" t="s">
        <v>7300</v>
      </c>
      <c r="E367" s="2">
        <v>650466.0</v>
      </c>
      <c r="F367" s="2">
        <v>748.0</v>
      </c>
      <c r="G367" s="2">
        <v>18820.0</v>
      </c>
      <c r="H367" s="2" t="s">
        <v>5906</v>
      </c>
      <c r="I367" s="2" t="s">
        <v>5905</v>
      </c>
      <c r="J367" s="2" t="s">
        <v>5959</v>
      </c>
      <c r="K367" s="2" t="s">
        <v>7301</v>
      </c>
      <c r="L367" s="10" t="s">
        <v>7302</v>
      </c>
    </row>
    <row r="368">
      <c r="A368" s="2" t="s">
        <v>5326</v>
      </c>
      <c r="B368" s="2" t="s">
        <v>7303</v>
      </c>
      <c r="C368" s="2">
        <v>1.8092017E8</v>
      </c>
      <c r="D368" s="2" t="s">
        <v>7304</v>
      </c>
      <c r="E368" s="2">
        <v>276595.0</v>
      </c>
      <c r="F368" s="2">
        <v>609.0</v>
      </c>
      <c r="G368" s="2">
        <v>14656.0</v>
      </c>
      <c r="H368" s="2" t="s">
        <v>5906</v>
      </c>
      <c r="I368" s="2" t="s">
        <v>5906</v>
      </c>
      <c r="J368" s="2" t="s">
        <v>5518</v>
      </c>
      <c r="K368" s="2" t="s">
        <v>7305</v>
      </c>
      <c r="L368" s="10" t="s">
        <v>7306</v>
      </c>
    </row>
    <row r="369">
      <c r="A369" s="2" t="s">
        <v>5326</v>
      </c>
      <c r="B369" s="2" t="s">
        <v>7307</v>
      </c>
      <c r="C369" s="2">
        <v>1.155557563E9</v>
      </c>
      <c r="D369" s="2" t="s">
        <v>7308</v>
      </c>
      <c r="E369" s="2">
        <v>201962.0</v>
      </c>
      <c r="F369" s="2">
        <v>130.0</v>
      </c>
      <c r="G369" s="2">
        <v>10529.0</v>
      </c>
      <c r="H369" s="2" t="s">
        <v>5906</v>
      </c>
      <c r="I369" s="2" t="s">
        <v>5906</v>
      </c>
      <c r="K369" s="2" t="s">
        <v>7309</v>
      </c>
      <c r="L369" s="10" t="s">
        <v>7310</v>
      </c>
    </row>
    <row r="370">
      <c r="A370" s="2" t="s">
        <v>5326</v>
      </c>
      <c r="B370" s="2" t="s">
        <v>7311</v>
      </c>
      <c r="C370" s="2">
        <v>1.9156428E7</v>
      </c>
      <c r="D370" s="2" t="s">
        <v>7312</v>
      </c>
      <c r="E370" s="2">
        <v>467594.0</v>
      </c>
      <c r="F370" s="2">
        <v>1282.0</v>
      </c>
      <c r="G370" s="2">
        <v>17265.0</v>
      </c>
      <c r="H370" s="2" t="s">
        <v>5906</v>
      </c>
      <c r="I370" s="2" t="s">
        <v>5906</v>
      </c>
      <c r="J370" s="2" t="s">
        <v>5518</v>
      </c>
      <c r="K370" s="2" t="s">
        <v>7313</v>
      </c>
      <c r="L370" s="10" t="s">
        <v>7314</v>
      </c>
    </row>
    <row r="371">
      <c r="A371" s="2" t="s">
        <v>5326</v>
      </c>
      <c r="B371" s="2" t="s">
        <v>7315</v>
      </c>
      <c r="C371" s="2">
        <v>3.21272416E8</v>
      </c>
      <c r="D371" s="2" t="s">
        <v>7316</v>
      </c>
      <c r="E371" s="2">
        <v>65260.0</v>
      </c>
      <c r="F371" s="2">
        <v>169.0</v>
      </c>
      <c r="G371" s="2">
        <v>7810.0</v>
      </c>
      <c r="H371" s="2" t="s">
        <v>5906</v>
      </c>
      <c r="I371" s="2" t="s">
        <v>5906</v>
      </c>
      <c r="J371" s="2" t="s">
        <v>5561</v>
      </c>
      <c r="K371" s="2" t="s">
        <v>7317</v>
      </c>
      <c r="L371" s="10" t="s">
        <v>7318</v>
      </c>
    </row>
    <row r="372">
      <c r="A372" s="2" t="s">
        <v>5326</v>
      </c>
      <c r="B372" s="2" t="s">
        <v>7319</v>
      </c>
      <c r="C372" s="2">
        <v>6.8047066575E10</v>
      </c>
      <c r="D372" s="2" t="s">
        <v>7320</v>
      </c>
      <c r="E372" s="2">
        <v>16229.0</v>
      </c>
      <c r="F372" s="2">
        <v>133.0</v>
      </c>
      <c r="G372" s="2">
        <v>247.0</v>
      </c>
      <c r="H372" s="2" t="s">
        <v>5906</v>
      </c>
      <c r="I372" s="2" t="s">
        <v>5906</v>
      </c>
      <c r="J372" s="2" t="s">
        <v>7321</v>
      </c>
      <c r="K372" s="2" t="s">
        <v>7322</v>
      </c>
      <c r="L372" s="10" t="s">
        <v>7323</v>
      </c>
    </row>
    <row r="373">
      <c r="A373" s="2" t="s">
        <v>5326</v>
      </c>
      <c r="B373" s="2" t="s">
        <v>7324</v>
      </c>
      <c r="C373" s="2">
        <v>3.605302181E9</v>
      </c>
      <c r="D373" s="2" t="s">
        <v>7325</v>
      </c>
      <c r="E373" s="2">
        <v>2228628.0</v>
      </c>
      <c r="F373" s="2">
        <v>34.0</v>
      </c>
      <c r="G373" s="2">
        <v>5727.0</v>
      </c>
      <c r="H373" s="2" t="s">
        <v>5905</v>
      </c>
      <c r="I373" s="2" t="s">
        <v>5905</v>
      </c>
      <c r="J373" s="2" t="s">
        <v>5959</v>
      </c>
      <c r="K373" s="2" t="s">
        <v>7326</v>
      </c>
      <c r="L373" s="10" t="s">
        <v>7327</v>
      </c>
    </row>
    <row r="374">
      <c r="A374" s="2" t="s">
        <v>5510</v>
      </c>
      <c r="B374" s="2" t="s">
        <v>7328</v>
      </c>
      <c r="C374" s="2">
        <v>1.962353823E9</v>
      </c>
      <c r="D374" s="2" t="s">
        <v>7329</v>
      </c>
      <c r="E374" s="2">
        <v>100933.0</v>
      </c>
      <c r="F374" s="2">
        <v>315.0</v>
      </c>
      <c r="G374" s="2">
        <v>6245.0</v>
      </c>
      <c r="H374" s="2" t="s">
        <v>5905</v>
      </c>
      <c r="I374" s="2" t="s">
        <v>5905</v>
      </c>
      <c r="J374" s="2" t="s">
        <v>5911</v>
      </c>
      <c r="K374" s="2" t="s">
        <v>7330</v>
      </c>
      <c r="L374" s="10" t="s">
        <v>7331</v>
      </c>
    </row>
    <row r="375">
      <c r="A375" s="2" t="s">
        <v>5510</v>
      </c>
      <c r="B375" s="2" t="s">
        <v>7332</v>
      </c>
      <c r="C375" s="2">
        <v>3.65619308E9</v>
      </c>
      <c r="D375" s="2" t="s">
        <v>7333</v>
      </c>
      <c r="E375" s="2">
        <v>15942.0</v>
      </c>
      <c r="F375" s="2">
        <v>770.0</v>
      </c>
      <c r="G375" s="2">
        <v>1066.0</v>
      </c>
      <c r="H375" s="2" t="s">
        <v>5905</v>
      </c>
      <c r="I375" s="2" t="s">
        <v>5906</v>
      </c>
      <c r="J375" s="2" t="s">
        <v>6124</v>
      </c>
      <c r="K375" s="2" t="s">
        <v>7334</v>
      </c>
      <c r="L375" s="10" t="s">
        <v>7335</v>
      </c>
    </row>
    <row r="376">
      <c r="A376" s="2" t="s">
        <v>5510</v>
      </c>
      <c r="B376" s="2" t="s">
        <v>7336</v>
      </c>
      <c r="C376" s="2">
        <v>4.9929151463E10</v>
      </c>
      <c r="D376" s="12" t="s">
        <v>7337</v>
      </c>
      <c r="E376" s="2">
        <v>12266.0</v>
      </c>
      <c r="F376" s="2">
        <v>93.0</v>
      </c>
      <c r="G376" s="2">
        <v>5123.0</v>
      </c>
      <c r="H376" s="2" t="s">
        <v>5905</v>
      </c>
      <c r="I376" s="2" t="s">
        <v>5905</v>
      </c>
      <c r="J376" s="2" t="s">
        <v>7338</v>
      </c>
      <c r="K376" s="12" t="s">
        <v>7339</v>
      </c>
      <c r="L376" s="10" t="s">
        <v>7340</v>
      </c>
    </row>
    <row r="377">
      <c r="A377" s="2" t="s">
        <v>5510</v>
      </c>
      <c r="B377" s="2" t="s">
        <v>7341</v>
      </c>
      <c r="C377" s="2">
        <v>6.4272155422E10</v>
      </c>
      <c r="D377" s="2" t="s">
        <v>7342</v>
      </c>
      <c r="E377" s="2">
        <v>15103.0</v>
      </c>
      <c r="F377" s="2">
        <v>0.0</v>
      </c>
      <c r="G377" s="2">
        <v>217.0</v>
      </c>
      <c r="H377" s="2" t="s">
        <v>5906</v>
      </c>
      <c r="I377" s="2" t="s">
        <v>5906</v>
      </c>
      <c r="J377" s="2" t="s">
        <v>7140</v>
      </c>
      <c r="K377" s="2" t="s">
        <v>7343</v>
      </c>
      <c r="L377" s="10" t="s">
        <v>7344</v>
      </c>
    </row>
    <row r="378">
      <c r="A378" s="2" t="s">
        <v>5510</v>
      </c>
      <c r="B378" s="2" t="s">
        <v>7345</v>
      </c>
      <c r="C378" s="2">
        <v>1.497654273E9</v>
      </c>
      <c r="D378" s="2" t="s">
        <v>7346</v>
      </c>
      <c r="E378" s="2">
        <v>114027.0</v>
      </c>
      <c r="F378" s="2">
        <v>6104.0</v>
      </c>
      <c r="G378" s="2">
        <v>3683.0</v>
      </c>
      <c r="H378" s="2" t="s">
        <v>5906</v>
      </c>
      <c r="I378" s="2" t="s">
        <v>5906</v>
      </c>
      <c r="J378" s="2" t="s">
        <v>7347</v>
      </c>
      <c r="K378" s="2" t="s">
        <v>7348</v>
      </c>
      <c r="L378" s="10" t="s">
        <v>7349</v>
      </c>
    </row>
    <row r="379">
      <c r="A379" s="2" t="s">
        <v>5510</v>
      </c>
      <c r="B379" s="2" t="s">
        <v>7350</v>
      </c>
      <c r="C379" s="2">
        <v>2.1170239184E10</v>
      </c>
      <c r="D379" s="2" t="s">
        <v>7351</v>
      </c>
      <c r="E379" s="2">
        <v>258928.0</v>
      </c>
      <c r="F379" s="2">
        <v>72.0</v>
      </c>
      <c r="G379" s="2">
        <v>3619.0</v>
      </c>
      <c r="H379" s="2" t="s">
        <v>5905</v>
      </c>
      <c r="I379" s="2" t="s">
        <v>5906</v>
      </c>
      <c r="J379" s="2" t="s">
        <v>5907</v>
      </c>
      <c r="K379" s="2" t="s">
        <v>7352</v>
      </c>
      <c r="L379" s="10" t="s">
        <v>7353</v>
      </c>
    </row>
    <row r="380">
      <c r="A380" s="2" t="s">
        <v>5510</v>
      </c>
      <c r="B380" s="2" t="s">
        <v>7354</v>
      </c>
      <c r="C380" s="2">
        <v>6.7528967296E10</v>
      </c>
      <c r="D380" s="2" t="s">
        <v>7355</v>
      </c>
      <c r="E380" s="2">
        <v>18331.0</v>
      </c>
      <c r="F380" s="2">
        <v>32.0</v>
      </c>
      <c r="G380" s="2">
        <v>34.0</v>
      </c>
      <c r="H380" s="2" t="s">
        <v>5905</v>
      </c>
      <c r="I380" s="2" t="s">
        <v>5905</v>
      </c>
      <c r="J380" s="2" t="s">
        <v>5959</v>
      </c>
      <c r="K380" s="2" t="s">
        <v>7356</v>
      </c>
    </row>
    <row r="381">
      <c r="A381" s="2" t="s">
        <v>5510</v>
      </c>
      <c r="B381" s="2" t="s">
        <v>7357</v>
      </c>
      <c r="C381" s="2">
        <v>5.46847431E9</v>
      </c>
      <c r="D381" s="2" t="s">
        <v>7358</v>
      </c>
      <c r="E381" s="2">
        <v>64980.0</v>
      </c>
      <c r="F381" s="2">
        <v>7418.0</v>
      </c>
      <c r="G381" s="2">
        <v>2821.0</v>
      </c>
      <c r="H381" s="2" t="s">
        <v>5906</v>
      </c>
      <c r="I381" s="2" t="s">
        <v>5906</v>
      </c>
      <c r="J381" s="2" t="s">
        <v>6171</v>
      </c>
      <c r="K381" s="2" t="s">
        <v>7359</v>
      </c>
      <c r="L381" s="10" t="s">
        <v>7360</v>
      </c>
    </row>
    <row r="382">
      <c r="A382" s="2" t="s">
        <v>5584</v>
      </c>
      <c r="B382" s="2" t="s">
        <v>7361</v>
      </c>
      <c r="C382" s="2">
        <v>8.786984636E9</v>
      </c>
      <c r="D382" s="2" t="s">
        <v>7362</v>
      </c>
      <c r="E382" s="2">
        <v>40829.0</v>
      </c>
      <c r="F382" s="2">
        <v>883.0</v>
      </c>
      <c r="G382" s="2">
        <v>2860.0</v>
      </c>
      <c r="H382" s="2" t="s">
        <v>5905</v>
      </c>
      <c r="I382" s="2" t="s">
        <v>5905</v>
      </c>
      <c r="J382" s="2" t="s">
        <v>7363</v>
      </c>
      <c r="K382" s="2" t="s">
        <v>7364</v>
      </c>
    </row>
    <row r="383">
      <c r="A383" s="2" t="s">
        <v>5564</v>
      </c>
      <c r="B383" s="2" t="s">
        <v>7365</v>
      </c>
      <c r="C383" s="2">
        <v>2.053524067E9</v>
      </c>
      <c r="D383" s="2" t="s">
        <v>7366</v>
      </c>
      <c r="E383" s="2">
        <v>94254.0</v>
      </c>
      <c r="F383" s="2">
        <v>58.0</v>
      </c>
      <c r="G383" s="2">
        <v>462.0</v>
      </c>
      <c r="H383" s="2" t="s">
        <v>5905</v>
      </c>
      <c r="I383" s="2" t="s">
        <v>5906</v>
      </c>
      <c r="J383" s="2" t="s">
        <v>5911</v>
      </c>
      <c r="K383" s="2" t="s">
        <v>7367</v>
      </c>
    </row>
    <row r="384">
      <c r="A384" s="2" t="s">
        <v>5564</v>
      </c>
      <c r="B384" s="2" t="s">
        <v>7368</v>
      </c>
      <c r="C384" s="2">
        <v>8.663171404E9</v>
      </c>
      <c r="D384" s="2" t="s">
        <v>7369</v>
      </c>
      <c r="E384" s="2">
        <v>2.0646046E7</v>
      </c>
      <c r="F384" s="2">
        <v>283.0</v>
      </c>
      <c r="G384" s="2">
        <v>2752.0</v>
      </c>
      <c r="H384" s="2" t="s">
        <v>5906</v>
      </c>
      <c r="I384" s="2" t="s">
        <v>5905</v>
      </c>
      <c r="J384" s="2" t="s">
        <v>5561</v>
      </c>
      <c r="K384" s="2" t="s">
        <v>7370</v>
      </c>
      <c r="L384" s="10" t="s">
        <v>7371</v>
      </c>
    </row>
    <row r="385">
      <c r="A385" s="2" t="s">
        <v>5564</v>
      </c>
      <c r="B385" s="2" t="s">
        <v>7372</v>
      </c>
      <c r="C385" s="2">
        <v>2.61081791E8</v>
      </c>
      <c r="D385" s="2" t="s">
        <v>7373</v>
      </c>
      <c r="E385" s="2">
        <v>1.7632133E7</v>
      </c>
      <c r="F385" s="2">
        <v>214.0</v>
      </c>
      <c r="G385" s="2">
        <v>65.0</v>
      </c>
      <c r="H385" s="2" t="s">
        <v>5906</v>
      </c>
      <c r="I385" s="2" t="s">
        <v>5905</v>
      </c>
      <c r="J385" s="2" t="s">
        <v>6124</v>
      </c>
      <c r="K385" s="2" t="s">
        <v>7374</v>
      </c>
      <c r="L385" s="10" t="s">
        <v>7375</v>
      </c>
    </row>
    <row r="386">
      <c r="A386" s="2" t="s">
        <v>5499</v>
      </c>
      <c r="B386" s="2" t="s">
        <v>7376</v>
      </c>
      <c r="C386" s="2">
        <v>2938836.0</v>
      </c>
      <c r="D386" s="2" t="s">
        <v>7377</v>
      </c>
      <c r="E386" s="2">
        <v>286095.0</v>
      </c>
      <c r="F386" s="2">
        <v>641.0</v>
      </c>
      <c r="G386" s="2">
        <v>3907.0</v>
      </c>
      <c r="H386" s="2" t="s">
        <v>5906</v>
      </c>
      <c r="I386" s="2" t="s">
        <v>5906</v>
      </c>
      <c r="J386" s="2" t="s">
        <v>6393</v>
      </c>
      <c r="K386" s="2" t="s">
        <v>7378</v>
      </c>
      <c r="L386" s="10" t="s">
        <v>7379</v>
      </c>
    </row>
    <row r="387">
      <c r="A387" s="2" t="s">
        <v>5499</v>
      </c>
      <c r="B387" s="2" t="s">
        <v>7380</v>
      </c>
      <c r="C387" s="2">
        <v>1.0262888874E10</v>
      </c>
      <c r="D387" s="2" t="s">
        <v>7381</v>
      </c>
      <c r="E387" s="2">
        <v>1080977.0</v>
      </c>
      <c r="F387" s="2">
        <v>37.0</v>
      </c>
      <c r="G387" s="2">
        <v>1708.0</v>
      </c>
      <c r="H387" s="2" t="s">
        <v>5906</v>
      </c>
      <c r="I387" s="2" t="s">
        <v>5906</v>
      </c>
      <c r="J387" s="2" t="s">
        <v>6199</v>
      </c>
      <c r="K387" s="2" t="s">
        <v>7382</v>
      </c>
      <c r="L387" s="10" t="s">
        <v>7383</v>
      </c>
    </row>
    <row r="388">
      <c r="A388" s="2" t="s">
        <v>5499</v>
      </c>
      <c r="B388" s="2" t="s">
        <v>7384</v>
      </c>
      <c r="C388" s="2">
        <v>4.8521271625E10</v>
      </c>
      <c r="D388" s="2" t="s">
        <v>7385</v>
      </c>
      <c r="E388" s="2">
        <v>603367.0</v>
      </c>
      <c r="F388" s="2">
        <v>254.0</v>
      </c>
      <c r="G388" s="2">
        <v>27191.0</v>
      </c>
      <c r="H388" s="2" t="s">
        <v>5905</v>
      </c>
      <c r="I388" s="2" t="s">
        <v>5906</v>
      </c>
      <c r="J388" s="2" t="s">
        <v>5485</v>
      </c>
      <c r="K388" s="2" t="s">
        <v>7386</v>
      </c>
      <c r="L388" s="10" t="s">
        <v>7387</v>
      </c>
    </row>
    <row r="389">
      <c r="A389" s="2" t="s">
        <v>5499</v>
      </c>
      <c r="B389" s="2" t="s">
        <v>7388</v>
      </c>
      <c r="C389" s="2">
        <v>7.5522286586E10</v>
      </c>
      <c r="D389" s="2" t="s">
        <v>7389</v>
      </c>
      <c r="E389" s="2">
        <v>16706.0</v>
      </c>
      <c r="F389" s="2">
        <v>194.0</v>
      </c>
      <c r="G389" s="2">
        <v>79.0</v>
      </c>
      <c r="H389" s="2" t="s">
        <v>5905</v>
      </c>
      <c r="I389" s="2" t="s">
        <v>5905</v>
      </c>
      <c r="J389" s="2" t="s">
        <v>5928</v>
      </c>
      <c r="K389" s="2" t="s">
        <v>7390</v>
      </c>
    </row>
    <row r="390">
      <c r="A390" s="2" t="s">
        <v>5499</v>
      </c>
      <c r="B390" s="2" t="s">
        <v>7391</v>
      </c>
      <c r="C390" s="2">
        <v>9497609.0</v>
      </c>
      <c r="D390" s="2" t="s">
        <v>7392</v>
      </c>
      <c r="E390" s="2">
        <v>148619.0</v>
      </c>
      <c r="F390" s="2">
        <v>792.0</v>
      </c>
      <c r="G390" s="2">
        <v>6514.0</v>
      </c>
      <c r="H390" s="2" t="s">
        <v>5905</v>
      </c>
      <c r="I390" s="2" t="s">
        <v>5906</v>
      </c>
      <c r="K390" s="2" t="s">
        <v>7393</v>
      </c>
      <c r="L390" s="10" t="s">
        <v>7394</v>
      </c>
    </row>
    <row r="391">
      <c r="A391" s="2" t="s">
        <v>5499</v>
      </c>
      <c r="B391" s="2" t="s">
        <v>7395</v>
      </c>
      <c r="C391" s="2">
        <v>1.7799529334E10</v>
      </c>
      <c r="D391" s="2" t="s">
        <v>7396</v>
      </c>
      <c r="E391" s="2">
        <v>80985.0</v>
      </c>
      <c r="F391" s="2">
        <v>334.0</v>
      </c>
      <c r="G391" s="2">
        <v>263.0</v>
      </c>
      <c r="H391" s="2" t="s">
        <v>5906</v>
      </c>
      <c r="I391" s="2" t="s">
        <v>5905</v>
      </c>
      <c r="J391" s="2" t="s">
        <v>5959</v>
      </c>
      <c r="K391" s="2" t="s">
        <v>7397</v>
      </c>
      <c r="L391" s="10" t="s">
        <v>7398</v>
      </c>
    </row>
    <row r="392">
      <c r="A392" s="2" t="s">
        <v>5499</v>
      </c>
      <c r="B392" s="2" t="s">
        <v>7399</v>
      </c>
      <c r="C392" s="2">
        <v>1.5981836905E10</v>
      </c>
      <c r="D392" s="2" t="s">
        <v>7400</v>
      </c>
      <c r="E392" s="2">
        <v>34077.0</v>
      </c>
      <c r="F392" s="2">
        <v>94.0</v>
      </c>
      <c r="G392" s="2">
        <v>2038.0</v>
      </c>
      <c r="H392" s="2" t="s">
        <v>5906</v>
      </c>
      <c r="I392" s="2" t="s">
        <v>5905</v>
      </c>
      <c r="J392" s="2" t="s">
        <v>5959</v>
      </c>
      <c r="K392" s="2" t="s">
        <v>7401</v>
      </c>
      <c r="L392" s="10" t="s">
        <v>7402</v>
      </c>
    </row>
    <row r="393">
      <c r="A393" s="2" t="s">
        <v>5499</v>
      </c>
      <c r="B393" s="2" t="s">
        <v>7403</v>
      </c>
      <c r="C393" s="2">
        <v>1.245850703E9</v>
      </c>
      <c r="D393" s="2" t="s">
        <v>7404</v>
      </c>
      <c r="E393" s="2">
        <v>24962.0</v>
      </c>
      <c r="F393" s="2">
        <v>153.0</v>
      </c>
      <c r="G393" s="2">
        <v>1470.0</v>
      </c>
      <c r="H393" s="2" t="s">
        <v>5906</v>
      </c>
      <c r="I393" s="2" t="s">
        <v>5905</v>
      </c>
      <c r="J393" s="2" t="s">
        <v>7405</v>
      </c>
      <c r="K393" s="2" t="s">
        <v>7406</v>
      </c>
      <c r="L393" s="10" t="s">
        <v>7407</v>
      </c>
    </row>
    <row r="394">
      <c r="A394" s="2" t="s">
        <v>5499</v>
      </c>
      <c r="B394" s="2" t="s">
        <v>7408</v>
      </c>
      <c r="C394" s="2">
        <v>6.187334462E9</v>
      </c>
      <c r="D394" s="2" t="s">
        <v>7409</v>
      </c>
      <c r="E394" s="2">
        <v>518339.0</v>
      </c>
      <c r="F394" s="2">
        <v>201.0</v>
      </c>
      <c r="G394" s="2">
        <v>2706.0</v>
      </c>
      <c r="H394" s="2" t="s">
        <v>5906</v>
      </c>
      <c r="I394" s="2" t="s">
        <v>5905</v>
      </c>
      <c r="J394" s="2" t="s">
        <v>6699</v>
      </c>
      <c r="K394" s="2" t="s">
        <v>7410</v>
      </c>
      <c r="L394" s="10" t="s">
        <v>7411</v>
      </c>
    </row>
    <row r="395">
      <c r="A395" s="2" t="s">
        <v>5499</v>
      </c>
      <c r="B395" s="2" t="s">
        <v>7412</v>
      </c>
      <c r="C395" s="2">
        <v>1.036167922E9</v>
      </c>
      <c r="D395" s="2" t="s">
        <v>7413</v>
      </c>
      <c r="E395" s="2">
        <v>16941.0</v>
      </c>
      <c r="F395" s="2">
        <v>3406.0</v>
      </c>
      <c r="G395" s="2">
        <v>771.0</v>
      </c>
      <c r="H395" s="2" t="s">
        <v>5906</v>
      </c>
      <c r="I395" s="2" t="s">
        <v>5905</v>
      </c>
      <c r="J395" s="2" t="s">
        <v>7414</v>
      </c>
      <c r="K395" s="2" t="s">
        <v>7415</v>
      </c>
      <c r="L395" s="10" t="s">
        <v>7416</v>
      </c>
    </row>
    <row r="396">
      <c r="A396" s="2" t="s">
        <v>5499</v>
      </c>
      <c r="B396" s="2" t="s">
        <v>7417</v>
      </c>
      <c r="C396" s="2">
        <v>3.5609720958E10</v>
      </c>
      <c r="D396" s="2" t="s">
        <v>7418</v>
      </c>
      <c r="E396" s="2">
        <v>1042373.0</v>
      </c>
      <c r="F396" s="2">
        <v>1006.0</v>
      </c>
      <c r="G396" s="2">
        <v>1109.0</v>
      </c>
      <c r="H396" s="2" t="s">
        <v>5906</v>
      </c>
      <c r="I396" s="2" t="s">
        <v>5905</v>
      </c>
      <c r="J396" s="2" t="s">
        <v>5959</v>
      </c>
      <c r="K396" s="2" t="s">
        <v>7419</v>
      </c>
      <c r="L396" s="10" t="s">
        <v>7420</v>
      </c>
    </row>
    <row r="397">
      <c r="A397" s="2" t="s">
        <v>5499</v>
      </c>
      <c r="B397" s="2" t="s">
        <v>7421</v>
      </c>
      <c r="C397" s="2">
        <v>1.63075564E9</v>
      </c>
      <c r="D397" s="2" t="s">
        <v>7422</v>
      </c>
      <c r="E397" s="2">
        <v>34903.0</v>
      </c>
      <c r="F397" s="2">
        <v>287.0</v>
      </c>
      <c r="G397" s="2">
        <v>1230.0</v>
      </c>
      <c r="H397" s="2" t="s">
        <v>5905</v>
      </c>
      <c r="I397" s="2" t="s">
        <v>5906</v>
      </c>
      <c r="J397" s="2" t="s">
        <v>5959</v>
      </c>
      <c r="K397" s="2" t="s">
        <v>7423</v>
      </c>
      <c r="L397" s="10" t="s">
        <v>7424</v>
      </c>
    </row>
    <row r="398">
      <c r="A398" s="2" t="s">
        <v>5456</v>
      </c>
      <c r="B398" s="2" t="s">
        <v>7425</v>
      </c>
      <c r="C398" s="2">
        <v>1.5241210136E10</v>
      </c>
      <c r="D398" s="2" t="s">
        <v>7426</v>
      </c>
      <c r="E398" s="2">
        <v>40642.0</v>
      </c>
      <c r="F398" s="2">
        <v>56.0</v>
      </c>
      <c r="G398" s="2">
        <v>252.0</v>
      </c>
      <c r="H398" s="2" t="s">
        <v>5905</v>
      </c>
      <c r="I398" s="2" t="s">
        <v>5906</v>
      </c>
      <c r="J398" s="2" t="s">
        <v>7427</v>
      </c>
      <c r="K398" s="2" t="s">
        <v>7428</v>
      </c>
      <c r="L398" s="10" t="s">
        <v>7429</v>
      </c>
    </row>
    <row r="399">
      <c r="A399" s="2" t="s">
        <v>5456</v>
      </c>
      <c r="B399" s="2" t="s">
        <v>7430</v>
      </c>
      <c r="C399" s="2">
        <v>9.80973569E8</v>
      </c>
      <c r="D399" s="2" t="s">
        <v>5456</v>
      </c>
      <c r="E399" s="2">
        <v>618026.0</v>
      </c>
      <c r="F399" s="2">
        <v>1327.0</v>
      </c>
      <c r="G399" s="2">
        <v>9251.0</v>
      </c>
      <c r="H399" s="2" t="s">
        <v>5906</v>
      </c>
      <c r="I399" s="2" t="s">
        <v>5906</v>
      </c>
      <c r="J399" s="2" t="s">
        <v>7431</v>
      </c>
      <c r="K399" s="2" t="s">
        <v>7432</v>
      </c>
      <c r="L399" s="10" t="s">
        <v>7433</v>
      </c>
    </row>
    <row r="400">
      <c r="A400" s="2" t="s">
        <v>5456</v>
      </c>
      <c r="B400" s="2" t="s">
        <v>7434</v>
      </c>
      <c r="C400" s="2">
        <v>5.1960934636E10</v>
      </c>
      <c r="D400" s="2" t="s">
        <v>7435</v>
      </c>
      <c r="E400" s="2">
        <v>11185.0</v>
      </c>
      <c r="F400" s="2">
        <v>2800.0</v>
      </c>
      <c r="G400" s="2">
        <v>2414.0</v>
      </c>
      <c r="H400" s="2" t="s">
        <v>5905</v>
      </c>
      <c r="I400" s="2" t="s">
        <v>5905</v>
      </c>
      <c r="J400" s="2" t="s">
        <v>5561</v>
      </c>
      <c r="K400" s="2" t="s">
        <v>7436</v>
      </c>
    </row>
    <row r="401">
      <c r="A401" s="2" t="s">
        <v>5376</v>
      </c>
      <c r="B401" s="2" t="s">
        <v>7437</v>
      </c>
      <c r="C401" s="2">
        <v>3536815.0</v>
      </c>
      <c r="D401" s="2" t="s">
        <v>7438</v>
      </c>
      <c r="E401" s="2">
        <v>475616.0</v>
      </c>
      <c r="F401" s="2">
        <v>273.0</v>
      </c>
      <c r="G401" s="2">
        <v>13348.0</v>
      </c>
      <c r="H401" s="2" t="s">
        <v>5906</v>
      </c>
      <c r="I401" s="2" t="s">
        <v>5906</v>
      </c>
      <c r="K401" s="2" t="s">
        <v>7439</v>
      </c>
      <c r="L401" s="10" t="s">
        <v>7440</v>
      </c>
    </row>
    <row r="402">
      <c r="A402" s="2" t="s">
        <v>5463</v>
      </c>
      <c r="B402" s="2" t="s">
        <v>7441</v>
      </c>
      <c r="C402" s="2">
        <v>1.407740121E9</v>
      </c>
      <c r="D402" s="2" t="s">
        <v>5463</v>
      </c>
      <c r="E402" s="2">
        <v>4326281.0</v>
      </c>
      <c r="F402" s="2">
        <v>1389.0</v>
      </c>
      <c r="G402" s="2">
        <v>16266.0</v>
      </c>
      <c r="H402" s="2" t="s">
        <v>5906</v>
      </c>
      <c r="I402" s="2" t="s">
        <v>5905</v>
      </c>
      <c r="K402" s="2" t="s">
        <v>7442</v>
      </c>
      <c r="L402" s="10" t="s">
        <v>7443</v>
      </c>
    </row>
    <row r="403">
      <c r="A403" s="2" t="s">
        <v>5463</v>
      </c>
      <c r="B403" s="2" t="s">
        <v>7444</v>
      </c>
      <c r="C403" s="2">
        <v>7.07186438E9</v>
      </c>
      <c r="D403" s="2" t="s">
        <v>7445</v>
      </c>
      <c r="E403" s="2">
        <v>176227.0</v>
      </c>
      <c r="F403" s="2">
        <v>998.0</v>
      </c>
      <c r="G403" s="2">
        <v>3122.0</v>
      </c>
      <c r="H403" s="2" t="s">
        <v>5906</v>
      </c>
      <c r="I403" s="2" t="s">
        <v>5906</v>
      </c>
      <c r="K403" s="2" t="s">
        <v>7446</v>
      </c>
      <c r="L403" s="10" t="s">
        <v>7447</v>
      </c>
    </row>
    <row r="404">
      <c r="A404" s="2" t="s">
        <v>5463</v>
      </c>
      <c r="B404" s="2" t="s">
        <v>7448</v>
      </c>
      <c r="C404" s="2">
        <v>6.7545343148E10</v>
      </c>
      <c r="D404" s="2" t="s">
        <v>7449</v>
      </c>
      <c r="E404" s="2">
        <v>247018.0</v>
      </c>
      <c r="F404" s="2">
        <v>96.0</v>
      </c>
      <c r="G404" s="2">
        <v>1229.0</v>
      </c>
      <c r="H404" s="2" t="s">
        <v>5905</v>
      </c>
      <c r="I404" s="2" t="s">
        <v>5906</v>
      </c>
      <c r="J404" s="2" t="s">
        <v>5907</v>
      </c>
      <c r="K404" s="2" t="s">
        <v>7450</v>
      </c>
      <c r="L404" s="10" t="s">
        <v>7451</v>
      </c>
    </row>
    <row r="405">
      <c r="A405" s="2" t="s">
        <v>5463</v>
      </c>
      <c r="B405" s="2" t="s">
        <v>7452</v>
      </c>
      <c r="C405" s="2">
        <v>4.105717763E9</v>
      </c>
      <c r="D405" s="2" t="s">
        <v>7453</v>
      </c>
      <c r="E405" s="2">
        <v>1073017.0</v>
      </c>
      <c r="F405" s="2">
        <v>544.0</v>
      </c>
      <c r="G405" s="2">
        <v>12461.0</v>
      </c>
      <c r="H405" s="2" t="s">
        <v>5906</v>
      </c>
      <c r="I405" s="2" t="s">
        <v>5906</v>
      </c>
      <c r="K405" s="2" t="s">
        <v>7454</v>
      </c>
      <c r="L405" s="10" t="s">
        <v>7455</v>
      </c>
    </row>
    <row r="406">
      <c r="A406" s="2" t="s">
        <v>5463</v>
      </c>
      <c r="B406" s="2" t="s">
        <v>7456</v>
      </c>
      <c r="C406" s="2">
        <v>7.2261602397E10</v>
      </c>
      <c r="E406" s="2">
        <v>159193.0</v>
      </c>
      <c r="F406" s="2">
        <v>13.0</v>
      </c>
      <c r="G406" s="2">
        <v>597.0</v>
      </c>
      <c r="H406" s="2" t="s">
        <v>5905</v>
      </c>
      <c r="I406" s="2" t="s">
        <v>5906</v>
      </c>
      <c r="J406" s="2" t="s">
        <v>5907</v>
      </c>
      <c r="K406" s="2" t="s">
        <v>7457</v>
      </c>
      <c r="L406" s="10" t="s">
        <v>7458</v>
      </c>
    </row>
    <row r="407">
      <c r="A407" s="2" t="s">
        <v>5470</v>
      </c>
      <c r="B407" s="2" t="s">
        <v>7459</v>
      </c>
      <c r="C407" s="2">
        <v>1.84485871E8</v>
      </c>
      <c r="D407" s="2" t="s">
        <v>7460</v>
      </c>
      <c r="E407" s="2">
        <v>326081.0</v>
      </c>
      <c r="F407" s="2">
        <v>365.0</v>
      </c>
      <c r="G407" s="2">
        <v>5841.0</v>
      </c>
      <c r="H407" s="2" t="s">
        <v>5906</v>
      </c>
      <c r="I407" s="2" t="s">
        <v>5906</v>
      </c>
      <c r="J407" s="2" t="s">
        <v>5911</v>
      </c>
      <c r="K407" s="2" t="s">
        <v>7461</v>
      </c>
      <c r="L407" s="10" t="s">
        <v>7462</v>
      </c>
    </row>
    <row r="408">
      <c r="A408" s="2" t="s">
        <v>5334</v>
      </c>
      <c r="B408" s="2" t="s">
        <v>7463</v>
      </c>
      <c r="C408" s="2">
        <v>6894374.0</v>
      </c>
      <c r="D408" s="2" t="s">
        <v>5334</v>
      </c>
      <c r="E408" s="2">
        <v>2135205.0</v>
      </c>
      <c r="F408" s="2">
        <v>3073.0</v>
      </c>
      <c r="G408" s="2">
        <v>8957.0</v>
      </c>
      <c r="H408" s="2" t="s">
        <v>5906</v>
      </c>
      <c r="I408" s="2" t="s">
        <v>5906</v>
      </c>
      <c r="J408" s="2" t="s">
        <v>5489</v>
      </c>
      <c r="K408" s="2" t="s">
        <v>7464</v>
      </c>
      <c r="L408" s="10" t="s">
        <v>7465</v>
      </c>
    </row>
    <row r="409">
      <c r="A409" s="2" t="s">
        <v>5334</v>
      </c>
      <c r="B409" s="2" t="s">
        <v>7466</v>
      </c>
      <c r="C409" s="2">
        <v>1.638673454E9</v>
      </c>
      <c r="D409" s="2" t="s">
        <v>7467</v>
      </c>
      <c r="E409" s="2">
        <v>93808.0</v>
      </c>
      <c r="F409" s="2">
        <v>3176.0</v>
      </c>
      <c r="G409" s="2">
        <v>5150.0</v>
      </c>
      <c r="H409" s="2" t="s">
        <v>5905</v>
      </c>
      <c r="I409" s="2" t="s">
        <v>5906</v>
      </c>
      <c r="J409" s="2" t="s">
        <v>6166</v>
      </c>
      <c r="K409" s="2" t="s">
        <v>7468</v>
      </c>
      <c r="L409" s="10" t="s">
        <v>7469</v>
      </c>
    </row>
    <row r="410">
      <c r="A410" s="2" t="s">
        <v>5334</v>
      </c>
      <c r="B410" s="2" t="s">
        <v>7470</v>
      </c>
      <c r="C410" s="2">
        <v>4.206522962E9</v>
      </c>
      <c r="D410" s="2" t="s">
        <v>7471</v>
      </c>
      <c r="E410" s="2">
        <v>395276.0</v>
      </c>
      <c r="F410" s="2">
        <v>929.0</v>
      </c>
      <c r="G410" s="2">
        <v>6306.0</v>
      </c>
      <c r="H410" s="2" t="s">
        <v>5906</v>
      </c>
      <c r="I410" s="2" t="s">
        <v>5905</v>
      </c>
      <c r="J410" s="2" t="s">
        <v>5489</v>
      </c>
      <c r="K410" s="2" t="s">
        <v>7472</v>
      </c>
      <c r="L410" s="10" t="s">
        <v>7473</v>
      </c>
    </row>
    <row r="411">
      <c r="A411" s="2" t="s">
        <v>5334</v>
      </c>
      <c r="B411" s="2" t="s">
        <v>7474</v>
      </c>
      <c r="C411" s="2">
        <v>2977253.0</v>
      </c>
      <c r="D411" s="2" t="s">
        <v>7475</v>
      </c>
      <c r="E411" s="2">
        <v>101509.0</v>
      </c>
      <c r="F411" s="2">
        <v>1066.0</v>
      </c>
      <c r="G411" s="2">
        <v>3486.0</v>
      </c>
      <c r="H411" s="2" t="s">
        <v>5906</v>
      </c>
      <c r="I411" s="2" t="s">
        <v>5906</v>
      </c>
      <c r="J411" s="2" t="s">
        <v>5391</v>
      </c>
      <c r="K411" s="2" t="s">
        <v>7476</v>
      </c>
      <c r="L411" s="10" t="s">
        <v>7477</v>
      </c>
    </row>
    <row r="412">
      <c r="A412" s="2" t="s">
        <v>5334</v>
      </c>
      <c r="B412" s="2" t="s">
        <v>7478</v>
      </c>
      <c r="C412" s="2">
        <v>4.8420556013E10</v>
      </c>
      <c r="D412" s="2" t="s">
        <v>5334</v>
      </c>
      <c r="E412" s="2">
        <v>11333.0</v>
      </c>
      <c r="F412" s="2">
        <v>571.0</v>
      </c>
      <c r="G412" s="2">
        <v>241.0</v>
      </c>
      <c r="H412" s="2" t="s">
        <v>5906</v>
      </c>
      <c r="I412" s="2" t="s">
        <v>5905</v>
      </c>
      <c r="J412" s="2" t="s">
        <v>5963</v>
      </c>
      <c r="K412" s="2" t="s">
        <v>7479</v>
      </c>
      <c r="L412" s="10" t="s">
        <v>7480</v>
      </c>
    </row>
    <row r="413">
      <c r="A413" s="2" t="s">
        <v>5334</v>
      </c>
      <c r="B413" s="2" t="s">
        <v>7481</v>
      </c>
      <c r="C413" s="2">
        <v>7.2121457154E10</v>
      </c>
      <c r="D413" s="2" t="s">
        <v>5334</v>
      </c>
      <c r="E413" s="2">
        <v>397285.0</v>
      </c>
      <c r="F413" s="2">
        <v>60.0</v>
      </c>
      <c r="G413" s="2">
        <v>108.0</v>
      </c>
      <c r="H413" s="2" t="s">
        <v>5905</v>
      </c>
      <c r="I413" s="2" t="s">
        <v>5905</v>
      </c>
      <c r="J413" s="2" t="s">
        <v>7482</v>
      </c>
      <c r="K413" s="2" t="s">
        <v>7483</v>
      </c>
      <c r="L413" s="10" t="s">
        <v>7484</v>
      </c>
    </row>
    <row r="414">
      <c r="A414" s="2" t="s">
        <v>5334</v>
      </c>
      <c r="B414" s="2" t="s">
        <v>7485</v>
      </c>
      <c r="C414" s="2">
        <v>2.093917585E9</v>
      </c>
      <c r="D414" s="2" t="s">
        <v>7486</v>
      </c>
      <c r="E414" s="2">
        <v>1396985.0</v>
      </c>
      <c r="F414" s="2">
        <v>705.0</v>
      </c>
      <c r="G414" s="2">
        <v>5267.0</v>
      </c>
      <c r="H414" s="2" t="s">
        <v>5906</v>
      </c>
      <c r="I414" s="2" t="s">
        <v>5906</v>
      </c>
      <c r="J414" s="2" t="s">
        <v>5489</v>
      </c>
      <c r="K414" s="2" t="s">
        <v>7487</v>
      </c>
      <c r="L414" s="10" t="s">
        <v>7488</v>
      </c>
    </row>
    <row r="415">
      <c r="A415" s="2" t="s">
        <v>5334</v>
      </c>
      <c r="B415" s="2" t="s">
        <v>7489</v>
      </c>
      <c r="C415" s="2">
        <v>1.372875199E9</v>
      </c>
      <c r="D415" s="2" t="s">
        <v>7490</v>
      </c>
      <c r="E415" s="2">
        <v>1303319.0</v>
      </c>
      <c r="F415" s="2">
        <v>0.0</v>
      </c>
      <c r="G415" s="2">
        <v>16772.0</v>
      </c>
      <c r="H415" s="2" t="s">
        <v>5906</v>
      </c>
      <c r="I415" s="2" t="s">
        <v>5906</v>
      </c>
      <c r="K415" s="2" t="s">
        <v>7491</v>
      </c>
      <c r="L415" s="10" t="s">
        <v>7492</v>
      </c>
    </row>
    <row r="416">
      <c r="A416" s="2" t="s">
        <v>5334</v>
      </c>
      <c r="B416" s="2" t="s">
        <v>7493</v>
      </c>
      <c r="C416" s="2">
        <v>6.7661871476E10</v>
      </c>
      <c r="D416" s="2" t="s">
        <v>7494</v>
      </c>
      <c r="E416" s="2">
        <v>48867.0</v>
      </c>
      <c r="F416" s="2">
        <v>14.0</v>
      </c>
      <c r="G416" s="2">
        <v>534.0</v>
      </c>
      <c r="H416" s="2" t="s">
        <v>5905</v>
      </c>
      <c r="I416" s="2" t="s">
        <v>5905</v>
      </c>
      <c r="J416" s="2" t="s">
        <v>5959</v>
      </c>
      <c r="K416" s="2" t="s">
        <v>7495</v>
      </c>
      <c r="L416" s="10" t="s">
        <v>7496</v>
      </c>
    </row>
    <row r="417">
      <c r="A417" s="2" t="s">
        <v>5334</v>
      </c>
      <c r="B417" s="2" t="s">
        <v>7497</v>
      </c>
      <c r="C417" s="2">
        <v>3.583804974E9</v>
      </c>
      <c r="D417" s="2" t="s">
        <v>5334</v>
      </c>
      <c r="E417" s="2">
        <v>245089.0</v>
      </c>
      <c r="F417" s="2">
        <v>686.0</v>
      </c>
      <c r="G417" s="2">
        <v>3080.0</v>
      </c>
      <c r="H417" s="2" t="s">
        <v>5905</v>
      </c>
      <c r="I417" s="2" t="s">
        <v>5905</v>
      </c>
      <c r="J417" s="2" t="s">
        <v>6111</v>
      </c>
      <c r="K417" s="2" t="s">
        <v>7498</v>
      </c>
      <c r="L417" s="10" t="s">
        <v>7499</v>
      </c>
    </row>
    <row r="418">
      <c r="A418" s="2" t="s">
        <v>5348</v>
      </c>
      <c r="B418" s="2" t="s">
        <v>7500</v>
      </c>
      <c r="C418" s="2">
        <v>2.67295083E8</v>
      </c>
      <c r="D418" s="2" t="s">
        <v>5348</v>
      </c>
      <c r="E418" s="2">
        <v>564845.0</v>
      </c>
      <c r="F418" s="2">
        <v>1544.0</v>
      </c>
      <c r="G418" s="2">
        <v>9061.0</v>
      </c>
      <c r="H418" s="2" t="s">
        <v>5906</v>
      </c>
      <c r="I418" s="2" t="s">
        <v>5906</v>
      </c>
      <c r="J418" s="2" t="s">
        <v>5907</v>
      </c>
      <c r="K418" s="2" t="s">
        <v>7501</v>
      </c>
      <c r="L418" s="10" t="s">
        <v>7502</v>
      </c>
    </row>
    <row r="419">
      <c r="A419" s="2" t="s">
        <v>5348</v>
      </c>
      <c r="B419" s="2" t="s">
        <v>7503</v>
      </c>
      <c r="C419" s="2">
        <v>3.004887316E9</v>
      </c>
      <c r="D419" s="2" t="s">
        <v>5348</v>
      </c>
      <c r="E419" s="2">
        <v>18330.0</v>
      </c>
      <c r="F419" s="2">
        <v>104.0</v>
      </c>
      <c r="G419" s="2">
        <v>808.0</v>
      </c>
      <c r="H419" s="2" t="s">
        <v>5905</v>
      </c>
      <c r="I419" s="2" t="s">
        <v>5905</v>
      </c>
      <c r="J419" s="2" t="s">
        <v>6199</v>
      </c>
      <c r="K419" s="2" t="s">
        <v>7504</v>
      </c>
      <c r="L419" s="10" t="s">
        <v>7505</v>
      </c>
    </row>
    <row r="420">
      <c r="A420" s="2" t="s">
        <v>5430</v>
      </c>
      <c r="B420" s="2" t="s">
        <v>7506</v>
      </c>
      <c r="C420" s="2">
        <v>5.766141093E9</v>
      </c>
      <c r="D420" s="2" t="s">
        <v>7506</v>
      </c>
      <c r="E420" s="2">
        <v>27391.0</v>
      </c>
      <c r="F420" s="2">
        <v>21.0</v>
      </c>
      <c r="G420" s="2">
        <v>708.0</v>
      </c>
      <c r="H420" s="2" t="s">
        <v>5906</v>
      </c>
      <c r="I420" s="2" t="s">
        <v>5906</v>
      </c>
      <c r="K420" s="2" t="s">
        <v>7507</v>
      </c>
      <c r="L420" s="10" t="s">
        <v>7508</v>
      </c>
    </row>
    <row r="421">
      <c r="A421" s="2" t="s">
        <v>5449</v>
      </c>
      <c r="B421" s="2" t="s">
        <v>7509</v>
      </c>
      <c r="C421" s="2">
        <v>2.4511824481E10</v>
      </c>
      <c r="D421" s="2" t="s">
        <v>7510</v>
      </c>
      <c r="E421" s="2">
        <v>1634542.0</v>
      </c>
      <c r="F421" s="2">
        <v>451.0</v>
      </c>
      <c r="G421" s="2">
        <v>236.0</v>
      </c>
      <c r="H421" s="2" t="s">
        <v>5906</v>
      </c>
      <c r="I421" s="2" t="s">
        <v>5905</v>
      </c>
      <c r="J421" s="2" t="s">
        <v>5993</v>
      </c>
      <c r="K421" s="2" t="s">
        <v>7511</v>
      </c>
      <c r="L421" s="10" t="s">
        <v>7512</v>
      </c>
    </row>
    <row r="422">
      <c r="A422" s="2" t="s">
        <v>5449</v>
      </c>
      <c r="B422" s="2" t="s">
        <v>7513</v>
      </c>
      <c r="C422" s="2">
        <v>2.2015459939E10</v>
      </c>
      <c r="D422" s="2" t="s">
        <v>7514</v>
      </c>
      <c r="E422" s="2">
        <v>11572.0</v>
      </c>
      <c r="F422" s="2">
        <v>558.0</v>
      </c>
      <c r="G422" s="2">
        <v>72.0</v>
      </c>
      <c r="H422" s="2" t="s">
        <v>5905</v>
      </c>
      <c r="I422" s="2" t="s">
        <v>5905</v>
      </c>
      <c r="J422" s="2" t="s">
        <v>5928</v>
      </c>
      <c r="K422" s="2" t="s">
        <v>7515</v>
      </c>
      <c r="L422" s="10" t="s">
        <v>7516</v>
      </c>
    </row>
    <row r="423">
      <c r="A423" s="2" t="s">
        <v>5449</v>
      </c>
      <c r="B423" s="2" t="s">
        <v>7517</v>
      </c>
      <c r="C423" s="2">
        <v>1.96473929E8</v>
      </c>
      <c r="D423" s="2" t="s">
        <v>5449</v>
      </c>
      <c r="E423" s="2">
        <v>3227509.0</v>
      </c>
      <c r="F423" s="2">
        <v>110.0</v>
      </c>
      <c r="G423" s="2">
        <v>12709.0</v>
      </c>
      <c r="H423" s="2" t="s">
        <v>5906</v>
      </c>
      <c r="I423" s="2" t="s">
        <v>5906</v>
      </c>
      <c r="J423" s="2" t="s">
        <v>5907</v>
      </c>
      <c r="K423" s="2" t="s">
        <v>7518</v>
      </c>
      <c r="L423" s="10" t="s">
        <v>7519</v>
      </c>
    </row>
    <row r="424">
      <c r="A424" s="2" t="s">
        <v>5449</v>
      </c>
      <c r="B424" s="2" t="s">
        <v>7520</v>
      </c>
      <c r="C424" s="2">
        <v>5.8134184923E10</v>
      </c>
      <c r="D424" s="2" t="s">
        <v>5449</v>
      </c>
      <c r="E424" s="2">
        <v>55810.0</v>
      </c>
      <c r="F424" s="2">
        <v>298.0</v>
      </c>
      <c r="G424" s="2">
        <v>188.0</v>
      </c>
      <c r="H424" s="2" t="s">
        <v>5905</v>
      </c>
      <c r="I424" s="2" t="s">
        <v>5905</v>
      </c>
      <c r="J424" s="2" t="s">
        <v>6393</v>
      </c>
      <c r="K424" s="2" t="s">
        <v>7521</v>
      </c>
    </row>
    <row r="425">
      <c r="A425" s="2" t="s">
        <v>5449</v>
      </c>
      <c r="B425" s="2" t="s">
        <v>7522</v>
      </c>
      <c r="C425" s="2">
        <v>4.2796311623E10</v>
      </c>
      <c r="D425" s="12" t="s">
        <v>7523</v>
      </c>
      <c r="E425" s="2">
        <v>63176.0</v>
      </c>
      <c r="F425" s="2">
        <v>235.0</v>
      </c>
      <c r="G425" s="2">
        <v>173.0</v>
      </c>
      <c r="H425" s="2" t="s">
        <v>5905</v>
      </c>
      <c r="I425" s="2" t="s">
        <v>5906</v>
      </c>
      <c r="J425" s="2" t="s">
        <v>5963</v>
      </c>
      <c r="K425" s="12" t="s">
        <v>7524</v>
      </c>
      <c r="L425" s="10" t="s">
        <v>7525</v>
      </c>
    </row>
    <row r="426">
      <c r="A426" s="2" t="s">
        <v>5449</v>
      </c>
      <c r="B426" s="2" t="s">
        <v>7526</v>
      </c>
      <c r="C426" s="2">
        <v>3.9609775259E10</v>
      </c>
      <c r="D426" s="12" t="s">
        <v>7527</v>
      </c>
      <c r="E426" s="2">
        <v>70065.0</v>
      </c>
      <c r="F426" s="2">
        <v>31.0</v>
      </c>
      <c r="G426" s="2">
        <v>326.0</v>
      </c>
      <c r="H426" s="2" t="s">
        <v>5905</v>
      </c>
      <c r="I426" s="2" t="s">
        <v>5906</v>
      </c>
      <c r="J426" s="2" t="s">
        <v>5963</v>
      </c>
      <c r="K426" s="12" t="s">
        <v>7528</v>
      </c>
      <c r="L426" s="10" t="s">
        <v>7529</v>
      </c>
    </row>
    <row r="427">
      <c r="A427" s="2" t="s">
        <v>5449</v>
      </c>
      <c r="B427" s="2" t="s">
        <v>7530</v>
      </c>
      <c r="C427" s="2">
        <v>5.3895518529E10</v>
      </c>
      <c r="D427" s="12" t="s">
        <v>7531</v>
      </c>
      <c r="E427" s="2">
        <v>70852.0</v>
      </c>
      <c r="F427" s="2">
        <v>109.0</v>
      </c>
      <c r="G427" s="2">
        <v>132.0</v>
      </c>
      <c r="H427" s="2" t="s">
        <v>5905</v>
      </c>
      <c r="I427" s="2" t="s">
        <v>5905</v>
      </c>
      <c r="J427" s="2" t="s">
        <v>7414</v>
      </c>
      <c r="K427" s="12" t="s">
        <v>7532</v>
      </c>
      <c r="L427" s="10" t="s">
        <v>7533</v>
      </c>
    </row>
    <row r="428">
      <c r="A428" s="2" t="s">
        <v>5449</v>
      </c>
      <c r="B428" s="2" t="s">
        <v>7534</v>
      </c>
      <c r="C428" s="2">
        <v>2.362669716E9</v>
      </c>
      <c r="D428" s="2" t="s">
        <v>5449</v>
      </c>
      <c r="E428" s="2">
        <v>45608.0</v>
      </c>
      <c r="F428" s="2">
        <v>603.0</v>
      </c>
      <c r="G428" s="2">
        <v>5147.0</v>
      </c>
      <c r="H428" s="2" t="s">
        <v>5905</v>
      </c>
      <c r="I428" s="2" t="s">
        <v>5906</v>
      </c>
      <c r="K428" s="2" t="s">
        <v>7535</v>
      </c>
      <c r="L428" s="10" t="s">
        <v>7536</v>
      </c>
    </row>
    <row r="429">
      <c r="A429" s="2" t="s">
        <v>5449</v>
      </c>
      <c r="B429" s="2" t="s">
        <v>7537</v>
      </c>
      <c r="C429" s="2">
        <v>4.6898951E8</v>
      </c>
      <c r="D429" s="2" t="s">
        <v>7538</v>
      </c>
      <c r="E429" s="2">
        <v>801322.0</v>
      </c>
      <c r="F429" s="2">
        <v>2173.0</v>
      </c>
      <c r="G429" s="2">
        <v>3026.0</v>
      </c>
      <c r="H429" s="2" t="s">
        <v>5906</v>
      </c>
      <c r="I429" s="2" t="s">
        <v>5905</v>
      </c>
      <c r="K429" s="2" t="s">
        <v>7539</v>
      </c>
      <c r="L429" s="10" t="s">
        <v>7540</v>
      </c>
    </row>
    <row r="430">
      <c r="A430" s="2" t="s">
        <v>5449</v>
      </c>
      <c r="B430" s="2" t="s">
        <v>7541</v>
      </c>
      <c r="C430" s="2">
        <v>4.9176245756E10</v>
      </c>
      <c r="D430" s="12" t="s">
        <v>7542</v>
      </c>
      <c r="E430" s="2">
        <v>682913.0</v>
      </c>
      <c r="F430" s="2">
        <v>167.0</v>
      </c>
      <c r="G430" s="2">
        <v>240.0</v>
      </c>
      <c r="H430" s="2" t="s">
        <v>5905</v>
      </c>
      <c r="I430" s="2" t="s">
        <v>5905</v>
      </c>
      <c r="J430" s="2" t="s">
        <v>7543</v>
      </c>
      <c r="K430" s="12" t="s">
        <v>7544</v>
      </c>
    </row>
    <row r="431">
      <c r="A431" s="2" t="s">
        <v>5449</v>
      </c>
      <c r="B431" s="2" t="s">
        <v>7545</v>
      </c>
      <c r="C431" s="2">
        <v>4.3137585429E10</v>
      </c>
      <c r="D431" s="2" t="s">
        <v>7546</v>
      </c>
      <c r="E431" s="2">
        <v>1361646.0</v>
      </c>
      <c r="F431" s="2">
        <v>102.0</v>
      </c>
      <c r="G431" s="2">
        <v>1753.0</v>
      </c>
      <c r="H431" s="2" t="s">
        <v>5905</v>
      </c>
      <c r="I431" s="2" t="s">
        <v>5905</v>
      </c>
      <c r="K431" s="2" t="s">
        <v>7547</v>
      </c>
      <c r="L431" s="10" t="s">
        <v>7548</v>
      </c>
    </row>
    <row r="432">
      <c r="A432" s="2" t="s">
        <v>5420</v>
      </c>
      <c r="B432" s="2" t="s">
        <v>7549</v>
      </c>
      <c r="C432" s="2">
        <v>1.968182661E9</v>
      </c>
      <c r="D432" s="2" t="s">
        <v>5420</v>
      </c>
      <c r="E432" s="2">
        <v>58935.0</v>
      </c>
      <c r="F432" s="2">
        <v>842.0</v>
      </c>
      <c r="G432" s="2">
        <v>5385.0</v>
      </c>
      <c r="H432" s="2" t="s">
        <v>5905</v>
      </c>
      <c r="I432" s="2" t="s">
        <v>5906</v>
      </c>
      <c r="J432" s="2" t="s">
        <v>5518</v>
      </c>
      <c r="K432" s="2" t="s">
        <v>7550</v>
      </c>
      <c r="L432" s="10" t="s">
        <v>7551</v>
      </c>
    </row>
    <row r="433">
      <c r="A433" s="2" t="s">
        <v>5281</v>
      </c>
      <c r="B433" s="2" t="s">
        <v>7552</v>
      </c>
      <c r="C433" s="2">
        <v>2.227874357E9</v>
      </c>
      <c r="D433" s="2" t="s">
        <v>7553</v>
      </c>
      <c r="E433" s="2">
        <v>1391856.0</v>
      </c>
      <c r="F433" s="2">
        <v>23.0</v>
      </c>
      <c r="G433" s="2">
        <v>13913.0</v>
      </c>
      <c r="H433" s="2" t="s">
        <v>5906</v>
      </c>
      <c r="I433" s="2" t="s">
        <v>5905</v>
      </c>
      <c r="K433" s="2" t="s">
        <v>7554</v>
      </c>
      <c r="L433" s="10" t="s">
        <v>7555</v>
      </c>
    </row>
    <row r="434">
      <c r="A434" s="2" t="s">
        <v>5437</v>
      </c>
      <c r="B434" s="2" t="s">
        <v>7556</v>
      </c>
      <c r="C434" s="2">
        <v>2.13577409E8</v>
      </c>
      <c r="D434" s="2" t="s">
        <v>7557</v>
      </c>
      <c r="E434" s="2">
        <v>4113298.0</v>
      </c>
      <c r="F434" s="2">
        <v>7.0</v>
      </c>
      <c r="G434" s="2">
        <v>16020.0</v>
      </c>
      <c r="H434" s="2" t="s">
        <v>5906</v>
      </c>
      <c r="I434" s="2" t="s">
        <v>5906</v>
      </c>
      <c r="K434" s="2" t="s">
        <v>7558</v>
      </c>
      <c r="L434" s="10" t="s">
        <v>7559</v>
      </c>
    </row>
    <row r="435">
      <c r="A435" s="2" t="s">
        <v>5437</v>
      </c>
      <c r="B435" s="2" t="s">
        <v>7560</v>
      </c>
      <c r="C435" s="2">
        <v>4.7600051589E10</v>
      </c>
      <c r="D435" s="2" t="s">
        <v>7561</v>
      </c>
      <c r="E435" s="2">
        <v>135478.0</v>
      </c>
      <c r="F435" s="2">
        <v>0.0</v>
      </c>
      <c r="G435" s="2">
        <v>1897.0</v>
      </c>
      <c r="H435" s="2" t="s">
        <v>5905</v>
      </c>
      <c r="I435" s="2" t="s">
        <v>5905</v>
      </c>
      <c r="J435" s="2" t="s">
        <v>5959</v>
      </c>
      <c r="L435" s="10" t="s">
        <v>7562</v>
      </c>
    </row>
    <row r="436">
      <c r="A436" s="2" t="s">
        <v>5437</v>
      </c>
      <c r="B436" s="10" t="s">
        <v>7563</v>
      </c>
      <c r="C436" s="2">
        <v>3.44579129E8</v>
      </c>
      <c r="D436" s="2" t="s">
        <v>7564</v>
      </c>
      <c r="E436" s="2">
        <v>128768.0</v>
      </c>
      <c r="F436" s="2">
        <v>5.0</v>
      </c>
      <c r="G436" s="2">
        <v>3689.0</v>
      </c>
      <c r="H436" s="2" t="s">
        <v>5905</v>
      </c>
      <c r="I436" s="2" t="s">
        <v>5906</v>
      </c>
      <c r="J436" s="2" t="s">
        <v>6161</v>
      </c>
      <c r="K436" s="2" t="s">
        <v>7565</v>
      </c>
      <c r="L436" s="10" t="s">
        <v>7566</v>
      </c>
    </row>
    <row r="437">
      <c r="A437" s="2" t="s">
        <v>5437</v>
      </c>
      <c r="B437" s="2" t="s">
        <v>7567</v>
      </c>
      <c r="C437" s="2">
        <v>1.605388762E9</v>
      </c>
      <c r="E437" s="2">
        <v>24057.0</v>
      </c>
      <c r="F437" s="2">
        <v>277.0</v>
      </c>
      <c r="G437" s="2">
        <v>1179.0</v>
      </c>
      <c r="H437" s="2" t="s">
        <v>5905</v>
      </c>
      <c r="I437" s="2" t="s">
        <v>5906</v>
      </c>
      <c r="J437" s="2" t="s">
        <v>5963</v>
      </c>
      <c r="K437" s="2" t="s">
        <v>7568</v>
      </c>
      <c r="L437" s="10" t="s">
        <v>7569</v>
      </c>
    </row>
    <row r="438">
      <c r="A438" s="2" t="s">
        <v>5436</v>
      </c>
      <c r="B438" s="2" t="s">
        <v>7570</v>
      </c>
      <c r="C438" s="2">
        <v>4.39932286E8</v>
      </c>
      <c r="D438" s="2" t="s">
        <v>5436</v>
      </c>
      <c r="E438" s="2">
        <v>3579317.0</v>
      </c>
      <c r="F438" s="2">
        <v>2019.0</v>
      </c>
      <c r="G438" s="2">
        <v>14118.0</v>
      </c>
      <c r="H438" s="2" t="s">
        <v>5906</v>
      </c>
      <c r="I438" s="2" t="s">
        <v>5906</v>
      </c>
      <c r="K438" s="2" t="s">
        <v>7571</v>
      </c>
      <c r="L438" s="10" t="s">
        <v>7572</v>
      </c>
    </row>
    <row r="439">
      <c r="A439" s="2" t="s">
        <v>5436</v>
      </c>
      <c r="B439" s="2" t="s">
        <v>7573</v>
      </c>
      <c r="C439" s="2">
        <v>5.1865638599E10</v>
      </c>
      <c r="D439" s="2" t="s">
        <v>7574</v>
      </c>
      <c r="E439" s="2">
        <v>25460.0</v>
      </c>
      <c r="F439" s="2">
        <v>2123.0</v>
      </c>
      <c r="G439" s="2">
        <v>221.0</v>
      </c>
      <c r="H439" s="2" t="s">
        <v>5905</v>
      </c>
      <c r="I439" s="2" t="s">
        <v>5906</v>
      </c>
      <c r="J439" s="2" t="s">
        <v>5911</v>
      </c>
      <c r="K439" s="2" t="s">
        <v>7575</v>
      </c>
      <c r="L439" s="10" t="s">
        <v>7576</v>
      </c>
    </row>
    <row r="440">
      <c r="A440" s="2" t="s">
        <v>5436</v>
      </c>
      <c r="B440" s="2" t="s">
        <v>7577</v>
      </c>
      <c r="C440" s="2">
        <v>2.202300911E9</v>
      </c>
      <c r="D440" s="2" t="s">
        <v>7578</v>
      </c>
      <c r="E440" s="2">
        <v>48936.0</v>
      </c>
      <c r="F440" s="2">
        <v>7329.0</v>
      </c>
      <c r="G440" s="2">
        <v>2625.0</v>
      </c>
      <c r="H440" s="2" t="s">
        <v>5905</v>
      </c>
      <c r="I440" s="2" t="s">
        <v>5906</v>
      </c>
      <c r="K440" s="2" t="s">
        <v>7579</v>
      </c>
      <c r="L440" s="10" t="s">
        <v>7580</v>
      </c>
    </row>
    <row r="441">
      <c r="A441" s="2" t="s">
        <v>5279</v>
      </c>
      <c r="B441" s="2" t="s">
        <v>7581</v>
      </c>
      <c r="C441" s="2">
        <v>6.6993640064E10</v>
      </c>
      <c r="D441" s="2" t="s">
        <v>7582</v>
      </c>
      <c r="E441" s="2">
        <v>108527.0</v>
      </c>
      <c r="F441" s="2">
        <v>0.0</v>
      </c>
      <c r="G441" s="2">
        <v>261.0</v>
      </c>
      <c r="H441" s="2" t="s">
        <v>5905</v>
      </c>
      <c r="I441" s="2" t="s">
        <v>5905</v>
      </c>
      <c r="J441" s="2" t="s">
        <v>5561</v>
      </c>
      <c r="K441" s="2" t="s">
        <v>7583</v>
      </c>
      <c r="L441" s="10" t="s">
        <v>7584</v>
      </c>
    </row>
    <row r="442">
      <c r="A442" s="2" t="s">
        <v>5279</v>
      </c>
      <c r="B442" s="2" t="s">
        <v>7585</v>
      </c>
      <c r="C442" s="2">
        <v>7.01934676E8</v>
      </c>
      <c r="D442" s="2" t="s">
        <v>7586</v>
      </c>
      <c r="E442" s="2">
        <v>1352619.0</v>
      </c>
      <c r="F442" s="2">
        <v>159.0</v>
      </c>
      <c r="G442" s="2">
        <v>11536.0</v>
      </c>
      <c r="H442" s="2" t="s">
        <v>5906</v>
      </c>
      <c r="I442" s="2" t="s">
        <v>5906</v>
      </c>
      <c r="K442" s="2" t="s">
        <v>7587</v>
      </c>
      <c r="L442" s="10" t="s">
        <v>7588</v>
      </c>
    </row>
    <row r="443">
      <c r="A443" s="2" t="s">
        <v>5392</v>
      </c>
      <c r="B443" s="2" t="s">
        <v>7589</v>
      </c>
      <c r="C443" s="2">
        <v>2.60413824E8</v>
      </c>
      <c r="D443" s="2" t="s">
        <v>5392</v>
      </c>
      <c r="E443" s="2">
        <v>53293.0</v>
      </c>
      <c r="F443" s="2">
        <v>460.0</v>
      </c>
      <c r="G443" s="2">
        <v>2678.0</v>
      </c>
      <c r="H443" s="2" t="s">
        <v>5906</v>
      </c>
      <c r="I443" s="2" t="s">
        <v>5906</v>
      </c>
      <c r="J443" s="2" t="s">
        <v>5907</v>
      </c>
      <c r="K443" s="2" t="s">
        <v>7590</v>
      </c>
      <c r="L443" s="10" t="s">
        <v>7591</v>
      </c>
    </row>
    <row r="444">
      <c r="A444" s="2" t="s">
        <v>5397</v>
      </c>
      <c r="B444" s="2" t="s">
        <v>7592</v>
      </c>
      <c r="C444" s="2">
        <v>4.61283324E8</v>
      </c>
      <c r="D444" s="2" t="s">
        <v>5397</v>
      </c>
      <c r="E444" s="2">
        <v>1346674.0</v>
      </c>
      <c r="F444" s="2">
        <v>1268.0</v>
      </c>
      <c r="G444" s="2">
        <v>9186.0</v>
      </c>
      <c r="H444" s="2" t="s">
        <v>5906</v>
      </c>
      <c r="I444" s="2" t="s">
        <v>5906</v>
      </c>
      <c r="K444" s="2" t="s">
        <v>7593</v>
      </c>
      <c r="L444" s="10" t="s">
        <v>7594</v>
      </c>
    </row>
    <row r="445">
      <c r="A445" s="2" t="s">
        <v>5397</v>
      </c>
      <c r="B445" s="2" t="s">
        <v>7595</v>
      </c>
      <c r="C445" s="2">
        <v>5.1570609726E10</v>
      </c>
      <c r="D445" s="2" t="s">
        <v>5397</v>
      </c>
      <c r="E445" s="2">
        <v>14735.0</v>
      </c>
      <c r="F445" s="2">
        <v>19.0</v>
      </c>
      <c r="G445" s="2">
        <v>1364.0</v>
      </c>
      <c r="H445" s="2" t="s">
        <v>5905</v>
      </c>
      <c r="I445" s="2" t="s">
        <v>5905</v>
      </c>
      <c r="J445" s="2" t="s">
        <v>5928</v>
      </c>
      <c r="K445" s="2" t="s">
        <v>7596</v>
      </c>
    </row>
    <row r="446">
      <c r="A446" s="2" t="s">
        <v>5397</v>
      </c>
      <c r="B446" s="2" t="s">
        <v>7597</v>
      </c>
      <c r="C446" s="2">
        <v>5.2022990081E10</v>
      </c>
      <c r="D446" s="2" t="s">
        <v>7598</v>
      </c>
      <c r="E446" s="2">
        <v>24081.0</v>
      </c>
      <c r="F446" s="2">
        <v>150.0</v>
      </c>
      <c r="G446" s="2">
        <v>236.0</v>
      </c>
      <c r="H446" s="2" t="s">
        <v>5905</v>
      </c>
      <c r="I446" s="2" t="s">
        <v>5905</v>
      </c>
      <c r="J446" s="2" t="s">
        <v>7599</v>
      </c>
      <c r="K446" s="2" t="s">
        <v>7600</v>
      </c>
      <c r="L446" s="10" t="s">
        <v>7601</v>
      </c>
    </row>
    <row r="447">
      <c r="A447" s="2" t="s">
        <v>5529</v>
      </c>
      <c r="B447" s="2" t="s">
        <v>7602</v>
      </c>
      <c r="C447" s="2">
        <v>7.016309821E9</v>
      </c>
      <c r="D447" s="2" t="s">
        <v>7603</v>
      </c>
      <c r="E447" s="2">
        <v>22327.0</v>
      </c>
      <c r="F447" s="2">
        <v>334.0</v>
      </c>
      <c r="G447" s="2">
        <v>2133.0</v>
      </c>
      <c r="H447" s="2" t="s">
        <v>5905</v>
      </c>
      <c r="I447" s="2" t="s">
        <v>5906</v>
      </c>
      <c r="J447" s="2" t="s">
        <v>7604</v>
      </c>
      <c r="K447" s="2" t="s">
        <v>7605</v>
      </c>
      <c r="L447" s="10" t="s">
        <v>7606</v>
      </c>
    </row>
    <row r="448">
      <c r="A448" s="2" t="s">
        <v>5529</v>
      </c>
      <c r="B448" s="2" t="s">
        <v>7607</v>
      </c>
      <c r="C448" s="2">
        <v>2.9136289727E10</v>
      </c>
      <c r="D448" s="2" t="s">
        <v>7608</v>
      </c>
      <c r="E448" s="2">
        <v>37384.0</v>
      </c>
      <c r="F448" s="2">
        <v>16.0</v>
      </c>
      <c r="G448" s="2">
        <v>715.0</v>
      </c>
      <c r="H448" s="2" t="s">
        <v>5905</v>
      </c>
      <c r="I448" s="2" t="s">
        <v>5906</v>
      </c>
      <c r="J448" s="2" t="s">
        <v>7414</v>
      </c>
      <c r="K448" s="2" t="s">
        <v>7609</v>
      </c>
      <c r="L448" s="10" t="s">
        <v>7610</v>
      </c>
    </row>
    <row r="449">
      <c r="A449" s="2" t="s">
        <v>5529</v>
      </c>
      <c r="B449" s="2" t="s">
        <v>7611</v>
      </c>
      <c r="C449" s="2">
        <v>1.416702944E10</v>
      </c>
      <c r="D449" s="2" t="s">
        <v>7612</v>
      </c>
      <c r="E449" s="2">
        <v>52054.0</v>
      </c>
      <c r="F449" s="2">
        <v>348.0</v>
      </c>
      <c r="G449" s="2">
        <v>105.0</v>
      </c>
      <c r="H449" s="2" t="s">
        <v>5906</v>
      </c>
      <c r="I449" s="2" t="s">
        <v>5906</v>
      </c>
      <c r="J449" s="2" t="s">
        <v>7613</v>
      </c>
      <c r="K449" s="2" t="s">
        <v>7614</v>
      </c>
    </row>
    <row r="450">
      <c r="A450" s="2" t="s">
        <v>5529</v>
      </c>
      <c r="B450" s="2" t="s">
        <v>7615</v>
      </c>
      <c r="C450" s="2">
        <v>2.263988457E9</v>
      </c>
      <c r="D450" s="2" t="s">
        <v>7616</v>
      </c>
      <c r="E450" s="2">
        <v>27621.0</v>
      </c>
      <c r="F450" s="2">
        <v>482.0</v>
      </c>
      <c r="G450" s="2">
        <v>7747.0</v>
      </c>
      <c r="H450" s="2" t="s">
        <v>5905</v>
      </c>
      <c r="I450" s="2" t="s">
        <v>5906</v>
      </c>
      <c r="J450" s="2" t="s">
        <v>7604</v>
      </c>
      <c r="K450" s="2" t="s">
        <v>7617</v>
      </c>
    </row>
    <row r="451">
      <c r="A451" s="2" t="s">
        <v>5550</v>
      </c>
      <c r="B451" s="2" t="s">
        <v>7618</v>
      </c>
      <c r="C451" s="2">
        <v>1.351285912E9</v>
      </c>
      <c r="D451" s="2" t="s">
        <v>7619</v>
      </c>
      <c r="E451" s="2">
        <v>11584.0</v>
      </c>
      <c r="F451" s="2">
        <v>5769.0</v>
      </c>
      <c r="G451" s="2">
        <v>1276.0</v>
      </c>
      <c r="H451" s="2" t="s">
        <v>5905</v>
      </c>
      <c r="I451" s="2" t="s">
        <v>5905</v>
      </c>
      <c r="J451" s="2" t="s">
        <v>7620</v>
      </c>
      <c r="K451" s="2" t="s">
        <v>7621</v>
      </c>
      <c r="L451" s="10" t="s">
        <v>7622</v>
      </c>
    </row>
    <row r="452">
      <c r="A452" s="2" t="s">
        <v>5550</v>
      </c>
      <c r="B452" s="2" t="s">
        <v>7623</v>
      </c>
      <c r="C452" s="2">
        <v>6.7148674952E10</v>
      </c>
      <c r="E452" s="2">
        <v>19352.0</v>
      </c>
      <c r="F452" s="2">
        <v>1.0</v>
      </c>
      <c r="G452" s="2">
        <v>103.0</v>
      </c>
      <c r="H452" s="2" t="s">
        <v>5905</v>
      </c>
      <c r="I452" s="2" t="s">
        <v>5905</v>
      </c>
      <c r="J452" s="2" t="s">
        <v>5928</v>
      </c>
      <c r="K452" s="12" t="s">
        <v>7624</v>
      </c>
    </row>
    <row r="453">
      <c r="A453" s="2" t="s">
        <v>5550</v>
      </c>
      <c r="B453" s="2" t="s">
        <v>7625</v>
      </c>
      <c r="C453" s="2">
        <v>1.497621002E9</v>
      </c>
      <c r="D453" s="2" t="s">
        <v>7626</v>
      </c>
      <c r="E453" s="2">
        <v>24615.0</v>
      </c>
      <c r="F453" s="2">
        <v>663.0</v>
      </c>
      <c r="G453" s="2">
        <v>2537.0</v>
      </c>
      <c r="H453" s="2" t="s">
        <v>5905</v>
      </c>
      <c r="I453" s="2" t="s">
        <v>5906</v>
      </c>
      <c r="K453" s="2" t="s">
        <v>7627</v>
      </c>
      <c r="L453" s="10" t="s">
        <v>7628</v>
      </c>
    </row>
    <row r="454">
      <c r="A454" s="2" t="s">
        <v>5550</v>
      </c>
      <c r="B454" s="2" t="s">
        <v>7629</v>
      </c>
      <c r="C454" s="2">
        <v>6.2311668108E10</v>
      </c>
      <c r="D454" s="2" t="s">
        <v>7630</v>
      </c>
      <c r="E454" s="2">
        <v>11605.0</v>
      </c>
      <c r="F454" s="2">
        <v>76.0</v>
      </c>
      <c r="G454" s="2">
        <v>31.0</v>
      </c>
      <c r="H454" s="2" t="s">
        <v>5905</v>
      </c>
      <c r="I454" s="2" t="s">
        <v>5905</v>
      </c>
      <c r="J454" s="2" t="s">
        <v>7631</v>
      </c>
      <c r="K454" s="2" t="s">
        <v>7632</v>
      </c>
    </row>
    <row r="455">
      <c r="A455" s="2" t="s">
        <v>5550</v>
      </c>
      <c r="B455" s="2" t="s">
        <v>7633</v>
      </c>
      <c r="C455" s="2">
        <v>3.2026503233E10</v>
      </c>
      <c r="D455" s="2" t="s">
        <v>7634</v>
      </c>
      <c r="E455" s="2">
        <v>23279.0</v>
      </c>
      <c r="F455" s="2">
        <v>764.0</v>
      </c>
      <c r="G455" s="2">
        <v>716.0</v>
      </c>
      <c r="H455" s="2" t="s">
        <v>5905</v>
      </c>
      <c r="I455" s="2" t="s">
        <v>5906</v>
      </c>
      <c r="J455" s="2" t="s">
        <v>5920</v>
      </c>
      <c r="K455" s="2" t="s">
        <v>7635</v>
      </c>
      <c r="L455" s="10" t="s">
        <v>7636</v>
      </c>
    </row>
    <row r="456">
      <c r="A456" s="2" t="s">
        <v>5550</v>
      </c>
      <c r="B456" s="2" t="s">
        <v>7637</v>
      </c>
      <c r="C456" s="2">
        <v>5.542172247E9</v>
      </c>
      <c r="D456" s="2" t="s">
        <v>7638</v>
      </c>
      <c r="E456" s="2">
        <v>240566.0</v>
      </c>
      <c r="F456" s="2">
        <v>125.0</v>
      </c>
      <c r="G456" s="2">
        <v>2632.0</v>
      </c>
      <c r="H456" s="2" t="s">
        <v>5906</v>
      </c>
      <c r="I456" s="2" t="s">
        <v>5906</v>
      </c>
      <c r="J456" s="2" t="s">
        <v>6290</v>
      </c>
      <c r="K456" s="2" t="s">
        <v>7639</v>
      </c>
      <c r="L456" s="10" t="s">
        <v>7640</v>
      </c>
    </row>
    <row r="457">
      <c r="A457" s="2" t="s">
        <v>5550</v>
      </c>
      <c r="B457" s="2" t="s">
        <v>7641</v>
      </c>
      <c r="C457" s="2">
        <v>1.3345683631E10</v>
      </c>
      <c r="D457" s="2" t="s">
        <v>5550</v>
      </c>
      <c r="E457" s="2">
        <v>1062191.0</v>
      </c>
      <c r="F457" s="2">
        <v>0.0</v>
      </c>
      <c r="G457" s="2">
        <v>234.0</v>
      </c>
      <c r="H457" s="2" t="s">
        <v>5905</v>
      </c>
      <c r="I457" s="2" t="s">
        <v>5906</v>
      </c>
      <c r="J457" s="2" t="s">
        <v>6171</v>
      </c>
      <c r="K457" s="2" t="s">
        <v>7642</v>
      </c>
      <c r="L457" s="10" t="s">
        <v>7643</v>
      </c>
    </row>
    <row r="458">
      <c r="A458" s="2" t="s">
        <v>5550</v>
      </c>
      <c r="B458" s="2" t="s">
        <v>7644</v>
      </c>
      <c r="C458" s="2">
        <v>2.9683345214E10</v>
      </c>
      <c r="D458" s="2" t="s">
        <v>7645</v>
      </c>
      <c r="E458" s="2">
        <v>162780.0</v>
      </c>
      <c r="F458" s="2">
        <v>330.0</v>
      </c>
      <c r="G458" s="2">
        <v>704.0</v>
      </c>
      <c r="H458" s="2" t="s">
        <v>5905</v>
      </c>
      <c r="I458" s="2" t="s">
        <v>5906</v>
      </c>
      <c r="J458" s="2" t="s">
        <v>6290</v>
      </c>
      <c r="K458" s="2" t="s">
        <v>7646</v>
      </c>
      <c r="L458" s="10" t="s">
        <v>7647</v>
      </c>
    </row>
    <row r="459">
      <c r="A459" s="2" t="s">
        <v>5550</v>
      </c>
      <c r="B459" s="2" t="s">
        <v>7648</v>
      </c>
      <c r="C459" s="2">
        <v>6.41799492E10</v>
      </c>
      <c r="D459" s="2" t="s">
        <v>7649</v>
      </c>
      <c r="E459" s="2">
        <v>1507146.0</v>
      </c>
      <c r="F459" s="2">
        <v>907.0</v>
      </c>
      <c r="G459" s="2">
        <v>1092.0</v>
      </c>
      <c r="H459" s="2" t="s">
        <v>5906</v>
      </c>
      <c r="I459" s="2" t="s">
        <v>5905</v>
      </c>
      <c r="J459" s="2" t="s">
        <v>5907</v>
      </c>
      <c r="K459" s="2" t="s">
        <v>7650</v>
      </c>
      <c r="L459" s="10" t="s">
        <v>7651</v>
      </c>
    </row>
    <row r="460">
      <c r="A460" s="2" t="s">
        <v>5439</v>
      </c>
      <c r="B460" s="2" t="s">
        <v>7652</v>
      </c>
      <c r="C460" s="2">
        <v>5.46893336E8</v>
      </c>
      <c r="D460" s="2" t="s">
        <v>7652</v>
      </c>
      <c r="E460" s="2">
        <v>123927.0</v>
      </c>
      <c r="F460" s="2">
        <v>1291.0</v>
      </c>
      <c r="G460" s="2">
        <v>1687.0</v>
      </c>
      <c r="H460" s="2" t="s">
        <v>5905</v>
      </c>
      <c r="I460" s="2" t="s">
        <v>5906</v>
      </c>
      <c r="J460" s="2" t="s">
        <v>6002</v>
      </c>
      <c r="K460" s="2" t="s">
        <v>7653</v>
      </c>
      <c r="L460" s="10" t="s">
        <v>7654</v>
      </c>
    </row>
    <row r="461">
      <c r="A461" s="2" t="s">
        <v>5439</v>
      </c>
      <c r="B461" s="2" t="s">
        <v>7655</v>
      </c>
      <c r="C461" s="2">
        <v>2034098.0</v>
      </c>
      <c r="D461" s="2" t="s">
        <v>5439</v>
      </c>
      <c r="E461" s="2">
        <v>12457.0</v>
      </c>
      <c r="F461" s="2">
        <v>4947.0</v>
      </c>
      <c r="G461" s="2">
        <v>1282.0</v>
      </c>
      <c r="H461" s="2" t="s">
        <v>5905</v>
      </c>
      <c r="I461" s="2" t="s">
        <v>5906</v>
      </c>
      <c r="J461" s="2" t="s">
        <v>7059</v>
      </c>
      <c r="K461" s="2" t="s">
        <v>7656</v>
      </c>
      <c r="L461" s="10" t="s">
        <v>7657</v>
      </c>
    </row>
    <row r="462">
      <c r="A462" s="2" t="s">
        <v>5439</v>
      </c>
      <c r="B462" s="2" t="s">
        <v>7658</v>
      </c>
      <c r="C462" s="2">
        <v>2.957588414E9</v>
      </c>
      <c r="D462" s="2" t="s">
        <v>5439</v>
      </c>
      <c r="E462" s="2">
        <v>139543.0</v>
      </c>
      <c r="F462" s="2">
        <v>210.0</v>
      </c>
      <c r="G462" s="2">
        <v>708.0</v>
      </c>
      <c r="H462" s="2" t="s">
        <v>5905</v>
      </c>
      <c r="I462" s="2" t="s">
        <v>5906</v>
      </c>
      <c r="J462" s="2" t="s">
        <v>6161</v>
      </c>
      <c r="K462" s="2" t="s">
        <v>7659</v>
      </c>
      <c r="L462" s="10" t="s">
        <v>7660</v>
      </c>
    </row>
    <row r="463">
      <c r="A463" s="2" t="s">
        <v>5439</v>
      </c>
      <c r="B463" s="2" t="s">
        <v>7661</v>
      </c>
      <c r="C463" s="2">
        <v>3.180593991E9</v>
      </c>
      <c r="D463" s="2" t="s">
        <v>5439</v>
      </c>
      <c r="E463" s="2">
        <v>88092.0</v>
      </c>
      <c r="F463" s="2">
        <v>989.0</v>
      </c>
      <c r="G463" s="2">
        <v>617.0</v>
      </c>
      <c r="H463" s="2" t="s">
        <v>5905</v>
      </c>
      <c r="I463" s="2" t="s">
        <v>5906</v>
      </c>
      <c r="J463" s="2" t="s">
        <v>6002</v>
      </c>
      <c r="K463" s="2" t="s">
        <v>7662</v>
      </c>
      <c r="L463" s="10" t="s">
        <v>7663</v>
      </c>
    </row>
    <row r="464">
      <c r="A464" s="2" t="s">
        <v>5439</v>
      </c>
      <c r="B464" s="2" t="s">
        <v>7664</v>
      </c>
      <c r="C464" s="2">
        <v>1.2823594937E10</v>
      </c>
      <c r="D464" s="2" t="s">
        <v>7665</v>
      </c>
      <c r="E464" s="2">
        <v>84494.0</v>
      </c>
      <c r="F464" s="2">
        <v>83.0</v>
      </c>
      <c r="G464" s="2">
        <v>13.0</v>
      </c>
      <c r="H464" s="2" t="s">
        <v>5905</v>
      </c>
      <c r="I464" s="2" t="s">
        <v>5906</v>
      </c>
      <c r="J464" s="2" t="s">
        <v>5959</v>
      </c>
      <c r="K464" s="2" t="s">
        <v>7666</v>
      </c>
    </row>
    <row r="465">
      <c r="A465" s="2" t="s">
        <v>5439</v>
      </c>
      <c r="B465" s="2" t="s">
        <v>7667</v>
      </c>
      <c r="C465" s="2">
        <v>4.6679137007E10</v>
      </c>
      <c r="D465" s="2" t="s">
        <v>7668</v>
      </c>
      <c r="E465" s="2">
        <v>50485.0</v>
      </c>
      <c r="F465" s="2">
        <v>167.0</v>
      </c>
      <c r="G465" s="2">
        <v>993.0</v>
      </c>
      <c r="H465" s="2" t="s">
        <v>5905</v>
      </c>
      <c r="I465" s="2" t="s">
        <v>5906</v>
      </c>
      <c r="J465" s="2" t="s">
        <v>7669</v>
      </c>
      <c r="K465" s="2" t="s">
        <v>7670</v>
      </c>
      <c r="L465" s="10" t="s">
        <v>7671</v>
      </c>
    </row>
    <row r="466">
      <c r="A466" s="2" t="s">
        <v>5439</v>
      </c>
      <c r="B466" s="2" t="s">
        <v>7672</v>
      </c>
      <c r="C466" s="2">
        <v>3.43751428E8</v>
      </c>
      <c r="D466" s="2" t="s">
        <v>5439</v>
      </c>
      <c r="E466" s="2">
        <v>506860.0</v>
      </c>
      <c r="F466" s="2">
        <v>3983.0</v>
      </c>
      <c r="G466" s="2">
        <v>5862.0</v>
      </c>
      <c r="H466" s="2" t="s">
        <v>5905</v>
      </c>
      <c r="I466" s="2" t="s">
        <v>5906</v>
      </c>
      <c r="K466" s="2" t="s">
        <v>7673</v>
      </c>
      <c r="L466" s="10" t="s">
        <v>7674</v>
      </c>
    </row>
    <row r="467">
      <c r="A467" s="2" t="s">
        <v>5439</v>
      </c>
      <c r="B467" s="2" t="s">
        <v>7675</v>
      </c>
      <c r="C467" s="2">
        <v>3.620012639E9</v>
      </c>
      <c r="D467" s="2" t="s">
        <v>7676</v>
      </c>
      <c r="E467" s="2">
        <v>25458.0</v>
      </c>
      <c r="F467" s="2">
        <v>816.0</v>
      </c>
      <c r="G467" s="2">
        <v>1141.0</v>
      </c>
      <c r="H467" s="2" t="s">
        <v>5905</v>
      </c>
      <c r="I467" s="2" t="s">
        <v>5906</v>
      </c>
      <c r="J467" s="2" t="s">
        <v>7677</v>
      </c>
      <c r="K467" s="2" t="s">
        <v>7678</v>
      </c>
      <c r="L467" s="10" t="s">
        <v>7679</v>
      </c>
    </row>
    <row r="468">
      <c r="A468" s="2" t="s">
        <v>5446</v>
      </c>
      <c r="B468" s="2" t="s">
        <v>7680</v>
      </c>
      <c r="C468" s="2">
        <v>2.498887287E9</v>
      </c>
      <c r="D468" s="2" t="s">
        <v>7681</v>
      </c>
      <c r="E468" s="2">
        <v>119285.0</v>
      </c>
      <c r="F468" s="2">
        <v>652.0</v>
      </c>
      <c r="G468" s="2">
        <v>5466.0</v>
      </c>
      <c r="H468" s="2" t="s">
        <v>5905</v>
      </c>
      <c r="I468" s="2" t="s">
        <v>5905</v>
      </c>
      <c r="J468" s="2" t="s">
        <v>5928</v>
      </c>
      <c r="K468" s="2" t="s">
        <v>7682</v>
      </c>
      <c r="L468" s="10" t="s">
        <v>7683</v>
      </c>
    </row>
    <row r="469">
      <c r="A469" s="2" t="s">
        <v>5446</v>
      </c>
      <c r="B469" s="2" t="s">
        <v>7684</v>
      </c>
      <c r="C469" s="2">
        <v>9.3731622E8</v>
      </c>
      <c r="D469" s="2" t="s">
        <v>5446</v>
      </c>
      <c r="E469" s="2">
        <v>1522910.0</v>
      </c>
      <c r="F469" s="2">
        <v>609.0</v>
      </c>
      <c r="G469" s="2">
        <v>6053.0</v>
      </c>
      <c r="H469" s="2" t="s">
        <v>5906</v>
      </c>
      <c r="I469" s="2" t="s">
        <v>5906</v>
      </c>
      <c r="K469" s="2" t="s">
        <v>7685</v>
      </c>
      <c r="L469" s="10" t="s">
        <v>7686</v>
      </c>
    </row>
    <row r="470">
      <c r="A470" s="2" t="s">
        <v>5446</v>
      </c>
      <c r="B470" s="2" t="s">
        <v>7687</v>
      </c>
      <c r="C470" s="2">
        <v>3.538464482E9</v>
      </c>
      <c r="D470" s="2" t="s">
        <v>7688</v>
      </c>
      <c r="E470" s="2">
        <v>41249.0</v>
      </c>
      <c r="F470" s="2">
        <v>90.0</v>
      </c>
      <c r="G470" s="2">
        <v>727.0</v>
      </c>
      <c r="H470" s="2" t="s">
        <v>5905</v>
      </c>
      <c r="I470" s="2" t="s">
        <v>5906</v>
      </c>
      <c r="J470" s="2" t="s">
        <v>7689</v>
      </c>
      <c r="K470" s="2" t="s">
        <v>7690</v>
      </c>
      <c r="L470" s="10" t="s">
        <v>7691</v>
      </c>
    </row>
    <row r="471">
      <c r="A471" s="2" t="s">
        <v>5446</v>
      </c>
      <c r="B471" s="2" t="s">
        <v>7692</v>
      </c>
      <c r="C471" s="2">
        <v>1.74981706E9</v>
      </c>
      <c r="D471" s="2" t="s">
        <v>7693</v>
      </c>
      <c r="E471" s="2">
        <v>211860.0</v>
      </c>
      <c r="F471" s="2">
        <v>253.0</v>
      </c>
      <c r="G471" s="2">
        <v>2674.0</v>
      </c>
      <c r="H471" s="2" t="s">
        <v>5906</v>
      </c>
      <c r="I471" s="2" t="s">
        <v>5906</v>
      </c>
      <c r="K471" s="2" t="s">
        <v>7694</v>
      </c>
      <c r="L471" s="10" t="s">
        <v>7695</v>
      </c>
    </row>
    <row r="472">
      <c r="A472" s="2" t="s">
        <v>5446</v>
      </c>
      <c r="B472" s="2" t="s">
        <v>7696</v>
      </c>
      <c r="C472" s="2">
        <v>4.945678059E9</v>
      </c>
      <c r="D472" s="2" t="s">
        <v>7697</v>
      </c>
      <c r="E472" s="2">
        <v>116335.0</v>
      </c>
      <c r="F472" s="2">
        <v>72.0</v>
      </c>
      <c r="G472" s="2">
        <v>1084.0</v>
      </c>
      <c r="H472" s="2" t="s">
        <v>5906</v>
      </c>
      <c r="I472" s="2" t="s">
        <v>5906</v>
      </c>
      <c r="J472" s="2" t="s">
        <v>7689</v>
      </c>
      <c r="K472" s="2" t="s">
        <v>7698</v>
      </c>
      <c r="L472" s="10" t="s">
        <v>7699</v>
      </c>
    </row>
    <row r="473">
      <c r="A473" s="2" t="s">
        <v>5446</v>
      </c>
      <c r="B473" s="2" t="s">
        <v>7700</v>
      </c>
      <c r="C473" s="2">
        <v>6.20660115E8</v>
      </c>
      <c r="D473" s="2" t="s">
        <v>7701</v>
      </c>
      <c r="E473" s="2">
        <v>586694.0</v>
      </c>
      <c r="F473" s="2">
        <v>53.0</v>
      </c>
      <c r="G473" s="2">
        <v>4230.0</v>
      </c>
      <c r="H473" s="2" t="s">
        <v>5906</v>
      </c>
      <c r="I473" s="2" t="s">
        <v>5906</v>
      </c>
      <c r="J473" s="2" t="s">
        <v>7689</v>
      </c>
      <c r="K473" s="2" t="s">
        <v>7702</v>
      </c>
      <c r="L473" s="10" t="s">
        <v>7703</v>
      </c>
    </row>
    <row r="474">
      <c r="A474" s="2" t="s">
        <v>5446</v>
      </c>
      <c r="B474" s="2" t="s">
        <v>7704</v>
      </c>
      <c r="C474" s="2">
        <v>5.560000717E9</v>
      </c>
      <c r="D474" s="2" t="s">
        <v>7705</v>
      </c>
      <c r="E474" s="2">
        <v>43368.0</v>
      </c>
      <c r="F474" s="2">
        <v>286.0</v>
      </c>
      <c r="G474" s="2">
        <v>433.0</v>
      </c>
      <c r="H474" s="2" t="s">
        <v>5905</v>
      </c>
      <c r="I474" s="2" t="s">
        <v>5906</v>
      </c>
      <c r="J474" s="2" t="s">
        <v>5907</v>
      </c>
      <c r="K474" s="2" t="s">
        <v>7706</v>
      </c>
      <c r="L474" s="10" t="s">
        <v>7707</v>
      </c>
    </row>
    <row r="475">
      <c r="A475" s="2" t="s">
        <v>5446</v>
      </c>
      <c r="B475" s="2" t="s">
        <v>7708</v>
      </c>
      <c r="C475" s="2">
        <v>3.78425809E8</v>
      </c>
      <c r="D475" s="2" t="s">
        <v>7709</v>
      </c>
      <c r="E475" s="2">
        <v>11691.0</v>
      </c>
      <c r="F475" s="2">
        <v>365.0</v>
      </c>
      <c r="G475" s="2">
        <v>38.0</v>
      </c>
      <c r="H475" s="2" t="s">
        <v>5905</v>
      </c>
      <c r="I475" s="2" t="s">
        <v>5906</v>
      </c>
      <c r="J475" s="2" t="s">
        <v>5993</v>
      </c>
      <c r="K475" s="2" t="s">
        <v>7710</v>
      </c>
      <c r="L475" s="10" t="s">
        <v>7711</v>
      </c>
    </row>
    <row r="476">
      <c r="A476" s="2" t="s">
        <v>5446</v>
      </c>
      <c r="B476" s="2" t="s">
        <v>7712</v>
      </c>
      <c r="C476" s="2">
        <v>2.113346221E9</v>
      </c>
      <c r="D476" s="2" t="s">
        <v>7713</v>
      </c>
      <c r="E476" s="2">
        <v>525740.0</v>
      </c>
      <c r="F476" s="2">
        <v>75.0</v>
      </c>
      <c r="G476" s="2">
        <v>2497.0</v>
      </c>
      <c r="H476" s="2" t="s">
        <v>5906</v>
      </c>
      <c r="I476" s="2" t="s">
        <v>5906</v>
      </c>
      <c r="J476" s="2" t="s">
        <v>5480</v>
      </c>
      <c r="K476" s="2" t="s">
        <v>7714</v>
      </c>
      <c r="L476" s="10" t="s">
        <v>7715</v>
      </c>
    </row>
    <row r="477">
      <c r="A477" s="2" t="s">
        <v>5446</v>
      </c>
      <c r="B477" s="2" t="s">
        <v>7716</v>
      </c>
      <c r="C477" s="2">
        <v>2.160805301E9</v>
      </c>
      <c r="D477" s="2" t="s">
        <v>7717</v>
      </c>
      <c r="E477" s="2">
        <v>140926.0</v>
      </c>
      <c r="F477" s="2">
        <v>123.0</v>
      </c>
      <c r="G477" s="2">
        <v>1745.0</v>
      </c>
      <c r="H477" s="2" t="s">
        <v>5906</v>
      </c>
      <c r="I477" s="2" t="s">
        <v>5906</v>
      </c>
      <c r="J477" s="2" t="s">
        <v>5556</v>
      </c>
      <c r="K477" s="2" t="s">
        <v>7718</v>
      </c>
      <c r="L477" s="10" t="s">
        <v>7719</v>
      </c>
    </row>
    <row r="478">
      <c r="A478" s="2" t="s">
        <v>5446</v>
      </c>
      <c r="B478" s="2" t="s">
        <v>7720</v>
      </c>
      <c r="C478" s="2">
        <v>6.4675339936E10</v>
      </c>
      <c r="D478" s="12" t="s">
        <v>7721</v>
      </c>
      <c r="E478" s="2">
        <v>17280.0</v>
      </c>
      <c r="F478" s="2">
        <v>0.0</v>
      </c>
      <c r="G478" s="2">
        <v>96.0</v>
      </c>
      <c r="H478" s="2" t="s">
        <v>5905</v>
      </c>
      <c r="I478" s="2" t="s">
        <v>5906</v>
      </c>
      <c r="J478" s="2" t="s">
        <v>7722</v>
      </c>
      <c r="K478" s="2" t="s">
        <v>7723</v>
      </c>
      <c r="L478" s="10" t="s">
        <v>7724</v>
      </c>
    </row>
    <row r="479">
      <c r="A479" s="2" t="s">
        <v>5446</v>
      </c>
      <c r="B479" s="2" t="s">
        <v>7725</v>
      </c>
      <c r="C479" s="2">
        <v>5.4871920571E10</v>
      </c>
      <c r="D479" s="2" t="s">
        <v>7726</v>
      </c>
      <c r="E479" s="2">
        <v>18850.0</v>
      </c>
      <c r="F479" s="2">
        <v>133.0</v>
      </c>
      <c r="G479" s="2">
        <v>53.0</v>
      </c>
      <c r="H479" s="2" t="s">
        <v>5905</v>
      </c>
      <c r="I479" s="2" t="s">
        <v>5906</v>
      </c>
      <c r="J479" s="2" t="s">
        <v>5492</v>
      </c>
      <c r="K479" s="2" t="s">
        <v>7727</v>
      </c>
    </row>
    <row r="480">
      <c r="A480" s="2" t="s">
        <v>5485</v>
      </c>
      <c r="B480" s="2" t="s">
        <v>7728</v>
      </c>
      <c r="C480" s="2">
        <v>5.8950443387E10</v>
      </c>
      <c r="D480" s="2" t="s">
        <v>7729</v>
      </c>
      <c r="E480" s="2">
        <v>1242389.0</v>
      </c>
      <c r="F480" s="2">
        <v>43.0</v>
      </c>
      <c r="G480" s="2">
        <v>2982.0</v>
      </c>
      <c r="H480" s="2" t="s">
        <v>5905</v>
      </c>
      <c r="I480" s="2" t="s">
        <v>5905</v>
      </c>
      <c r="J480" s="2" t="s">
        <v>5959</v>
      </c>
      <c r="K480" s="2" t="s">
        <v>7730</v>
      </c>
      <c r="L480" s="10" t="s">
        <v>7731</v>
      </c>
    </row>
    <row r="481">
      <c r="A481" s="2" t="s">
        <v>5485</v>
      </c>
      <c r="B481" s="2" t="s">
        <v>7732</v>
      </c>
      <c r="C481" s="2">
        <v>5.3719981549E10</v>
      </c>
      <c r="D481" s="12" t="s">
        <v>7733</v>
      </c>
      <c r="E481" s="2">
        <v>88465.0</v>
      </c>
      <c r="F481" s="2">
        <v>115.0</v>
      </c>
      <c r="G481" s="2">
        <v>461.0</v>
      </c>
      <c r="H481" s="2" t="s">
        <v>5905</v>
      </c>
      <c r="I481" s="2" t="s">
        <v>5905</v>
      </c>
      <c r="J481" s="2" t="s">
        <v>5928</v>
      </c>
      <c r="K481" s="12" t="s">
        <v>7734</v>
      </c>
      <c r="L481" s="10" t="s">
        <v>7735</v>
      </c>
    </row>
    <row r="482">
      <c r="A482" s="2" t="s">
        <v>5485</v>
      </c>
      <c r="B482" s="2" t="s">
        <v>7736</v>
      </c>
      <c r="C482" s="2">
        <v>6.5502832514E10</v>
      </c>
      <c r="D482" s="2" t="s">
        <v>7737</v>
      </c>
      <c r="E482" s="2">
        <v>30074.0</v>
      </c>
      <c r="F482" s="2">
        <v>66.0</v>
      </c>
      <c r="G482" s="2">
        <v>129.0</v>
      </c>
      <c r="H482" s="2" t="s">
        <v>5905</v>
      </c>
      <c r="I482" s="2" t="s">
        <v>5905</v>
      </c>
      <c r="J482" s="2" t="s">
        <v>5485</v>
      </c>
      <c r="K482" s="12" t="s">
        <v>7738</v>
      </c>
    </row>
    <row r="483">
      <c r="A483" s="2" t="s">
        <v>5485</v>
      </c>
      <c r="B483" s="2" t="s">
        <v>7739</v>
      </c>
      <c r="C483" s="2">
        <v>6.1515322282E10</v>
      </c>
      <c r="D483" s="2" t="s">
        <v>7740</v>
      </c>
      <c r="E483" s="2">
        <v>132082.0</v>
      </c>
      <c r="F483" s="2">
        <v>19.0</v>
      </c>
      <c r="G483" s="2">
        <v>235.0</v>
      </c>
      <c r="H483" s="2" t="s">
        <v>5905</v>
      </c>
      <c r="I483" s="2" t="s">
        <v>5905</v>
      </c>
      <c r="J483" s="2" t="s">
        <v>7741</v>
      </c>
      <c r="K483" s="2" t="s">
        <v>7742</v>
      </c>
    </row>
    <row r="484">
      <c r="A484" s="2" t="s">
        <v>5504</v>
      </c>
      <c r="B484" s="2" t="s">
        <v>7743</v>
      </c>
      <c r="C484" s="2">
        <v>3.85558462E8</v>
      </c>
      <c r="D484" s="2" t="s">
        <v>7744</v>
      </c>
      <c r="E484" s="2">
        <v>72364.0</v>
      </c>
      <c r="F484" s="2">
        <v>1945.0</v>
      </c>
      <c r="G484" s="2">
        <v>522.0</v>
      </c>
      <c r="H484" s="2" t="s">
        <v>5906</v>
      </c>
      <c r="I484" s="2" t="s">
        <v>5905</v>
      </c>
      <c r="J484" s="2" t="s">
        <v>7620</v>
      </c>
      <c r="K484" s="2" t="s">
        <v>7745</v>
      </c>
      <c r="L484" s="10" t="s">
        <v>7746</v>
      </c>
    </row>
    <row r="485">
      <c r="A485" s="2" t="s">
        <v>5504</v>
      </c>
      <c r="B485" s="2" t="s">
        <v>7747</v>
      </c>
      <c r="C485" s="2">
        <v>3.6739726863E10</v>
      </c>
      <c r="D485" s="2" t="s">
        <v>7748</v>
      </c>
      <c r="E485" s="2">
        <v>223655.0</v>
      </c>
      <c r="F485" s="2">
        <v>1069.0</v>
      </c>
      <c r="G485" s="2">
        <v>5689.0</v>
      </c>
      <c r="H485" s="2" t="s">
        <v>5906</v>
      </c>
      <c r="I485" s="2" t="s">
        <v>5906</v>
      </c>
      <c r="J485" s="2" t="s">
        <v>5517</v>
      </c>
      <c r="K485" s="2" t="s">
        <v>7749</v>
      </c>
      <c r="L485" s="10" t="s">
        <v>7750</v>
      </c>
    </row>
    <row r="486">
      <c r="A486" s="2" t="s">
        <v>5504</v>
      </c>
      <c r="B486" s="2" t="s">
        <v>7751</v>
      </c>
      <c r="C486" s="2">
        <v>2.56248814E8</v>
      </c>
      <c r="D486" s="2" t="s">
        <v>7752</v>
      </c>
      <c r="E486" s="2">
        <v>204210.0</v>
      </c>
      <c r="F486" s="2">
        <v>94.0</v>
      </c>
      <c r="G486" s="2">
        <v>2047.0</v>
      </c>
      <c r="H486" s="2" t="s">
        <v>5906</v>
      </c>
      <c r="I486" s="2" t="s">
        <v>5906</v>
      </c>
      <c r="J486" s="2" t="s">
        <v>7753</v>
      </c>
      <c r="K486" s="2" t="s">
        <v>7754</v>
      </c>
      <c r="L486" s="10" t="s">
        <v>7755</v>
      </c>
    </row>
    <row r="487">
      <c r="A487" s="2" t="s">
        <v>5504</v>
      </c>
      <c r="B487" s="2" t="s">
        <v>7756</v>
      </c>
      <c r="C487" s="2">
        <v>4.462598E8</v>
      </c>
      <c r="D487" s="2" t="s">
        <v>7757</v>
      </c>
      <c r="E487" s="2">
        <v>461023.0</v>
      </c>
      <c r="F487" s="2">
        <v>784.0</v>
      </c>
      <c r="G487" s="2">
        <v>6229.0</v>
      </c>
      <c r="H487" s="2" t="s">
        <v>5906</v>
      </c>
      <c r="I487" s="2" t="s">
        <v>5906</v>
      </c>
      <c r="K487" s="2" t="s">
        <v>7758</v>
      </c>
      <c r="L487" s="10" t="s">
        <v>7759</v>
      </c>
    </row>
    <row r="488">
      <c r="A488" s="2" t="s">
        <v>5504</v>
      </c>
      <c r="B488" s="2" t="s">
        <v>7760</v>
      </c>
      <c r="C488" s="2">
        <v>1.803304206E9</v>
      </c>
      <c r="D488" s="2" t="s">
        <v>7761</v>
      </c>
      <c r="E488" s="2">
        <v>29289.0</v>
      </c>
      <c r="F488" s="2">
        <v>946.0</v>
      </c>
      <c r="G488" s="2">
        <v>919.0</v>
      </c>
      <c r="H488" s="2" t="s">
        <v>5906</v>
      </c>
      <c r="I488" s="2" t="s">
        <v>5905</v>
      </c>
      <c r="J488" s="2" t="s">
        <v>7620</v>
      </c>
      <c r="K488" s="2" t="s">
        <v>7762</v>
      </c>
      <c r="L488" s="10" t="s">
        <v>7763</v>
      </c>
    </row>
    <row r="489">
      <c r="A489" s="2" t="s">
        <v>5504</v>
      </c>
      <c r="B489" s="2" t="s">
        <v>7764</v>
      </c>
      <c r="C489" s="2">
        <v>1.426211341E9</v>
      </c>
      <c r="D489" s="2" t="s">
        <v>7765</v>
      </c>
      <c r="E489" s="2">
        <v>175267.0</v>
      </c>
      <c r="F489" s="2">
        <v>1188.0</v>
      </c>
      <c r="G489" s="2">
        <v>2506.0</v>
      </c>
      <c r="H489" s="2" t="s">
        <v>5906</v>
      </c>
      <c r="I489" s="2" t="s">
        <v>5906</v>
      </c>
      <c r="J489" s="2" t="s">
        <v>5485</v>
      </c>
      <c r="K489" s="2" t="s">
        <v>7766</v>
      </c>
      <c r="L489" s="10" t="s">
        <v>7767</v>
      </c>
    </row>
    <row r="490">
      <c r="A490" s="2" t="s">
        <v>5504</v>
      </c>
      <c r="B490" s="2" t="s">
        <v>7768</v>
      </c>
      <c r="C490" s="2">
        <v>1.0856609799E10</v>
      </c>
      <c r="D490" s="2" t="s">
        <v>7769</v>
      </c>
      <c r="E490" s="2">
        <v>19712.0</v>
      </c>
      <c r="F490" s="2">
        <v>1210.0</v>
      </c>
      <c r="G490" s="2">
        <v>943.0</v>
      </c>
      <c r="H490" s="2" t="s">
        <v>5905</v>
      </c>
      <c r="I490" s="2" t="s">
        <v>5905</v>
      </c>
      <c r="J490" s="2" t="s">
        <v>7620</v>
      </c>
      <c r="K490" s="2" t="s">
        <v>7770</v>
      </c>
      <c r="L490" s="10" t="s">
        <v>7771</v>
      </c>
    </row>
    <row r="491">
      <c r="A491" s="2" t="s">
        <v>5504</v>
      </c>
      <c r="B491" s="2" t="s">
        <v>7772</v>
      </c>
      <c r="C491" s="2">
        <v>1.494547944E9</v>
      </c>
      <c r="D491" s="2" t="s">
        <v>7773</v>
      </c>
      <c r="E491" s="2">
        <v>43802.0</v>
      </c>
      <c r="F491" s="2">
        <v>1018.0</v>
      </c>
      <c r="G491" s="2">
        <v>1808.0</v>
      </c>
      <c r="H491" s="2" t="s">
        <v>5906</v>
      </c>
      <c r="I491" s="2" t="s">
        <v>5906</v>
      </c>
      <c r="J491" s="2" t="s">
        <v>7347</v>
      </c>
      <c r="K491" s="2" t="s">
        <v>7774</v>
      </c>
      <c r="L491" s="10" t="s">
        <v>7775</v>
      </c>
    </row>
    <row r="492">
      <c r="A492" s="2" t="s">
        <v>5504</v>
      </c>
      <c r="B492" s="2" t="s">
        <v>7776</v>
      </c>
      <c r="C492" s="2">
        <v>2.80221648E8</v>
      </c>
      <c r="D492" s="2" t="s">
        <v>7777</v>
      </c>
      <c r="E492" s="2">
        <v>36163.0</v>
      </c>
      <c r="F492" s="2">
        <v>1685.0</v>
      </c>
      <c r="G492" s="2">
        <v>974.0</v>
      </c>
      <c r="H492" s="2" t="s">
        <v>5906</v>
      </c>
      <c r="I492" s="2" t="s">
        <v>5906</v>
      </c>
      <c r="J492" s="2" t="s">
        <v>7620</v>
      </c>
      <c r="K492" s="2" t="s">
        <v>7778</v>
      </c>
      <c r="L492" s="10" t="s">
        <v>7779</v>
      </c>
    </row>
    <row r="493">
      <c r="A493" s="2" t="s">
        <v>5324</v>
      </c>
      <c r="B493" s="2" t="s">
        <v>7780</v>
      </c>
      <c r="C493" s="2">
        <v>6.074904409E9</v>
      </c>
      <c r="D493" s="2" t="s">
        <v>7781</v>
      </c>
      <c r="E493" s="2">
        <v>17490.0</v>
      </c>
      <c r="F493" s="2">
        <v>398.0</v>
      </c>
      <c r="G493" s="2">
        <v>721.0</v>
      </c>
      <c r="H493" s="2" t="s">
        <v>5905</v>
      </c>
      <c r="I493" s="2" t="s">
        <v>5906</v>
      </c>
      <c r="J493" s="2" t="s">
        <v>6027</v>
      </c>
      <c r="K493" s="2" t="s">
        <v>7782</v>
      </c>
      <c r="L493" s="10" t="s">
        <v>7783</v>
      </c>
    </row>
    <row r="494">
      <c r="A494" s="2" t="s">
        <v>5324</v>
      </c>
      <c r="B494" s="2" t="s">
        <v>7784</v>
      </c>
      <c r="C494" s="2">
        <v>5.755837092E9</v>
      </c>
      <c r="D494" s="2" t="s">
        <v>7785</v>
      </c>
      <c r="E494" s="2">
        <v>3780201.0</v>
      </c>
      <c r="F494" s="2">
        <v>4.0</v>
      </c>
      <c r="G494" s="2">
        <v>167.0</v>
      </c>
      <c r="H494" s="2" t="s">
        <v>5906</v>
      </c>
      <c r="I494" s="2" t="s">
        <v>5905</v>
      </c>
      <c r="K494" s="2" t="s">
        <v>7786</v>
      </c>
    </row>
    <row r="495">
      <c r="A495" s="2" t="s">
        <v>5324</v>
      </c>
      <c r="B495" s="2" t="s">
        <v>7787</v>
      </c>
      <c r="C495" s="2">
        <v>2.2658829E7</v>
      </c>
      <c r="D495" s="2" t="s">
        <v>7788</v>
      </c>
      <c r="E495" s="2">
        <v>662479.0</v>
      </c>
      <c r="F495" s="2">
        <v>990.0</v>
      </c>
      <c r="G495" s="2">
        <v>9521.0</v>
      </c>
      <c r="H495" s="2" t="s">
        <v>5906</v>
      </c>
      <c r="I495" s="2" t="s">
        <v>5906</v>
      </c>
      <c r="J495" s="2" t="s">
        <v>7414</v>
      </c>
      <c r="K495" s="2" t="s">
        <v>7789</v>
      </c>
      <c r="L495" s="10" t="s">
        <v>7790</v>
      </c>
    </row>
    <row r="496">
      <c r="A496" s="2" t="s">
        <v>5324</v>
      </c>
      <c r="B496" s="2" t="s">
        <v>7791</v>
      </c>
      <c r="C496" s="2">
        <v>2.19835077E8</v>
      </c>
      <c r="D496" s="2" t="s">
        <v>7792</v>
      </c>
      <c r="E496" s="2">
        <v>468254.0</v>
      </c>
      <c r="F496" s="2">
        <v>1600.0</v>
      </c>
      <c r="G496" s="2">
        <v>7677.0</v>
      </c>
      <c r="H496" s="2" t="s">
        <v>5906</v>
      </c>
      <c r="I496" s="2" t="s">
        <v>5906</v>
      </c>
      <c r="K496" s="2" t="s">
        <v>7793</v>
      </c>
      <c r="L496" s="10" t="s">
        <v>7794</v>
      </c>
    </row>
    <row r="497">
      <c r="A497" s="2" t="s">
        <v>5324</v>
      </c>
      <c r="B497" s="2" t="s">
        <v>7795</v>
      </c>
      <c r="C497" s="2">
        <v>2.9447207E7</v>
      </c>
      <c r="D497" s="2" t="s">
        <v>7796</v>
      </c>
      <c r="E497" s="2">
        <v>668809.0</v>
      </c>
      <c r="F497" s="2">
        <v>1085.0</v>
      </c>
      <c r="G497" s="2">
        <v>2085.0</v>
      </c>
      <c r="H497" s="2" t="s">
        <v>5906</v>
      </c>
      <c r="I497" s="2" t="s">
        <v>5905</v>
      </c>
      <c r="J497" s="2" t="s">
        <v>5492</v>
      </c>
      <c r="K497" s="2" t="s">
        <v>7797</v>
      </c>
      <c r="L497" s="10" t="s">
        <v>7798</v>
      </c>
    </row>
    <row r="498">
      <c r="A498" s="2" t="s">
        <v>5324</v>
      </c>
      <c r="B498" s="2" t="s">
        <v>7799</v>
      </c>
      <c r="C498" s="2">
        <v>4.5603022E8</v>
      </c>
      <c r="D498" s="2" t="s">
        <v>7800</v>
      </c>
      <c r="E498" s="2">
        <v>640032.0</v>
      </c>
      <c r="F498" s="2">
        <v>100.0</v>
      </c>
      <c r="G498" s="2">
        <v>26493.0</v>
      </c>
      <c r="H498" s="2" t="s">
        <v>5906</v>
      </c>
      <c r="I498" s="2" t="s">
        <v>5906</v>
      </c>
      <c r="J498" s="2" t="s">
        <v>5480</v>
      </c>
      <c r="K498" s="2" t="s">
        <v>7801</v>
      </c>
      <c r="L498" s="10" t="s">
        <v>7802</v>
      </c>
    </row>
    <row r="499">
      <c r="A499" s="2" t="s">
        <v>5324</v>
      </c>
      <c r="B499" s="2" t="s">
        <v>7803</v>
      </c>
      <c r="C499" s="2">
        <v>1.78598981E8</v>
      </c>
      <c r="D499" s="2" t="s">
        <v>7804</v>
      </c>
      <c r="E499" s="2">
        <v>7511810.0</v>
      </c>
      <c r="F499" s="2">
        <v>879.0</v>
      </c>
      <c r="G499" s="2">
        <v>12958.0</v>
      </c>
      <c r="H499" s="2" t="s">
        <v>5906</v>
      </c>
      <c r="I499" s="2" t="s">
        <v>5906</v>
      </c>
      <c r="J499" s="2" t="s">
        <v>7140</v>
      </c>
      <c r="K499" s="2" t="s">
        <v>7805</v>
      </c>
      <c r="L499" s="10" t="s">
        <v>7806</v>
      </c>
    </row>
    <row r="500">
      <c r="A500" s="2" t="s">
        <v>5324</v>
      </c>
      <c r="B500" s="2" t="s">
        <v>7807</v>
      </c>
      <c r="C500" s="2">
        <v>2.270546995E9</v>
      </c>
      <c r="D500" s="2" t="s">
        <v>7808</v>
      </c>
      <c r="E500" s="2">
        <v>20613.0</v>
      </c>
      <c r="F500" s="2">
        <v>2114.0</v>
      </c>
      <c r="G500" s="2">
        <v>1387.0</v>
      </c>
      <c r="H500" s="2" t="s">
        <v>5906</v>
      </c>
      <c r="I500" s="2" t="s">
        <v>5905</v>
      </c>
      <c r="J500" s="2" t="s">
        <v>7809</v>
      </c>
      <c r="K500" s="2" t="s">
        <v>7810</v>
      </c>
      <c r="L500" s="10" t="s">
        <v>7811</v>
      </c>
    </row>
    <row r="501">
      <c r="A501" s="2" t="s">
        <v>5440</v>
      </c>
      <c r="B501" s="2" t="s">
        <v>7812</v>
      </c>
      <c r="C501" s="2">
        <v>5.3018426494E10</v>
      </c>
      <c r="D501" s="2" t="s">
        <v>7813</v>
      </c>
      <c r="E501" s="2">
        <v>28463.0</v>
      </c>
      <c r="F501" s="2">
        <v>135.0</v>
      </c>
      <c r="G501" s="2">
        <v>286.0</v>
      </c>
      <c r="H501" s="2" t="s">
        <v>5906</v>
      </c>
      <c r="I501" s="2" t="s">
        <v>5906</v>
      </c>
      <c r="J501" s="2" t="s">
        <v>5911</v>
      </c>
      <c r="K501" s="2" t="s">
        <v>7814</v>
      </c>
      <c r="L501" s="10" t="s">
        <v>7815</v>
      </c>
    </row>
    <row r="502">
      <c r="A502" s="2" t="s">
        <v>5440</v>
      </c>
      <c r="B502" s="2" t="s">
        <v>7816</v>
      </c>
      <c r="C502" s="2">
        <v>4.014153443E9</v>
      </c>
      <c r="D502" s="2" t="s">
        <v>7817</v>
      </c>
      <c r="E502" s="2">
        <v>27353.0</v>
      </c>
      <c r="F502" s="2">
        <v>401.0</v>
      </c>
      <c r="G502" s="2">
        <v>2039.0</v>
      </c>
      <c r="H502" s="2" t="s">
        <v>5905</v>
      </c>
      <c r="I502" s="2" t="s">
        <v>5906</v>
      </c>
      <c r="J502" s="2" t="s">
        <v>5518</v>
      </c>
      <c r="K502" s="2" t="s">
        <v>7818</v>
      </c>
      <c r="L502" s="10" t="s">
        <v>7819</v>
      </c>
    </row>
    <row r="503">
      <c r="A503" s="2" t="s">
        <v>5440</v>
      </c>
      <c r="B503" s="2" t="s">
        <v>7820</v>
      </c>
      <c r="C503" s="2">
        <v>4.8376318E7</v>
      </c>
      <c r="D503" s="2" t="s">
        <v>7821</v>
      </c>
      <c r="E503" s="2">
        <v>4391906.0</v>
      </c>
      <c r="F503" s="2">
        <v>1000.0</v>
      </c>
      <c r="G503" s="2">
        <v>9223.0</v>
      </c>
      <c r="H503" s="2" t="s">
        <v>5906</v>
      </c>
      <c r="I503" s="2" t="s">
        <v>5906</v>
      </c>
      <c r="K503" s="2" t="s">
        <v>7822</v>
      </c>
      <c r="L503" s="10" t="s">
        <v>7823</v>
      </c>
    </row>
    <row r="504">
      <c r="A504" s="2" t="s">
        <v>5440</v>
      </c>
      <c r="B504" s="2" t="s">
        <v>7824</v>
      </c>
      <c r="C504" s="2">
        <v>4.677960179E9</v>
      </c>
      <c r="D504" s="2" t="s">
        <v>7825</v>
      </c>
      <c r="E504" s="2">
        <v>150622.0</v>
      </c>
      <c r="F504" s="2">
        <v>1136.0</v>
      </c>
      <c r="G504" s="2">
        <v>3163.0</v>
      </c>
      <c r="H504" s="2" t="s">
        <v>5906</v>
      </c>
      <c r="I504" s="2" t="s">
        <v>5906</v>
      </c>
      <c r="J504" s="2" t="s">
        <v>6161</v>
      </c>
      <c r="K504" s="2" t="s">
        <v>7826</v>
      </c>
      <c r="L504" s="10" t="s">
        <v>7827</v>
      </c>
    </row>
    <row r="505">
      <c r="A505" s="2" t="s">
        <v>5440</v>
      </c>
      <c r="B505" s="2" t="s">
        <v>7828</v>
      </c>
      <c r="C505" s="2">
        <v>2.2462734E8</v>
      </c>
      <c r="D505" s="2" t="s">
        <v>7829</v>
      </c>
      <c r="E505" s="2">
        <v>1146482.0</v>
      </c>
      <c r="F505" s="2">
        <v>794.0</v>
      </c>
      <c r="G505" s="2">
        <v>5878.0</v>
      </c>
      <c r="H505" s="2" t="s">
        <v>5906</v>
      </c>
      <c r="I505" s="2" t="s">
        <v>5906</v>
      </c>
      <c r="J505" s="2" t="s">
        <v>5480</v>
      </c>
      <c r="K505" s="2" t="s">
        <v>7830</v>
      </c>
      <c r="L505" s="10" t="s">
        <v>7831</v>
      </c>
    </row>
    <row r="506">
      <c r="A506" s="2" t="s">
        <v>5440</v>
      </c>
      <c r="B506" s="2" t="s">
        <v>7832</v>
      </c>
      <c r="C506" s="2">
        <v>3.10695705E8</v>
      </c>
      <c r="D506" s="2" t="s">
        <v>7833</v>
      </c>
      <c r="E506" s="2">
        <v>542795.0</v>
      </c>
      <c r="F506" s="2">
        <v>2947.0</v>
      </c>
      <c r="G506" s="2">
        <v>4111.0</v>
      </c>
      <c r="H506" s="2" t="s">
        <v>5906</v>
      </c>
      <c r="I506" s="2" t="s">
        <v>5906</v>
      </c>
      <c r="K506" s="2" t="s">
        <v>7834</v>
      </c>
      <c r="L506" s="10" t="s">
        <v>7835</v>
      </c>
    </row>
    <row r="507">
      <c r="A507" s="2" t="s">
        <v>5440</v>
      </c>
      <c r="B507" s="2" t="s">
        <v>7836</v>
      </c>
      <c r="C507" s="2">
        <v>1.686117683E9</v>
      </c>
      <c r="D507" s="2" t="s">
        <v>7837</v>
      </c>
      <c r="E507" s="2">
        <v>989177.0</v>
      </c>
      <c r="F507" s="2">
        <v>804.0</v>
      </c>
      <c r="G507" s="2">
        <v>2891.0</v>
      </c>
      <c r="H507" s="2" t="s">
        <v>5906</v>
      </c>
      <c r="I507" s="2" t="s">
        <v>5906</v>
      </c>
      <c r="K507" s="2" t="s">
        <v>7838</v>
      </c>
      <c r="L507" s="10" t="s">
        <v>7839</v>
      </c>
    </row>
    <row r="508">
      <c r="A508" s="2" t="s">
        <v>5440</v>
      </c>
      <c r="B508" s="2" t="s">
        <v>7840</v>
      </c>
      <c r="C508" s="2">
        <v>1.364056386E9</v>
      </c>
      <c r="D508" s="2" t="s">
        <v>7841</v>
      </c>
      <c r="E508" s="2">
        <v>420996.0</v>
      </c>
      <c r="F508" s="2">
        <v>1130.0</v>
      </c>
      <c r="G508" s="2">
        <v>12207.0</v>
      </c>
      <c r="H508" s="2" t="s">
        <v>5906</v>
      </c>
      <c r="I508" s="2" t="s">
        <v>5906</v>
      </c>
      <c r="K508" s="2" t="s">
        <v>7842</v>
      </c>
      <c r="L508" s="10" t="s">
        <v>7843</v>
      </c>
    </row>
    <row r="509">
      <c r="A509" s="2" t="s">
        <v>5440</v>
      </c>
      <c r="B509" s="2" t="s">
        <v>7844</v>
      </c>
      <c r="C509" s="2">
        <v>2.282272785E9</v>
      </c>
      <c r="D509" s="2" t="s">
        <v>7845</v>
      </c>
      <c r="E509" s="2">
        <v>1026602.0</v>
      </c>
      <c r="F509" s="2">
        <v>2167.0</v>
      </c>
      <c r="G509" s="2">
        <v>9515.0</v>
      </c>
      <c r="H509" s="2" t="s">
        <v>5906</v>
      </c>
      <c r="I509" s="2" t="s">
        <v>5905</v>
      </c>
      <c r="K509" s="2" t="s">
        <v>7846</v>
      </c>
      <c r="L509" s="10" t="s">
        <v>7847</v>
      </c>
    </row>
    <row r="510">
      <c r="A510" s="2" t="s">
        <v>5440</v>
      </c>
      <c r="B510" s="2" t="s">
        <v>7848</v>
      </c>
      <c r="C510" s="2">
        <v>1.807422142E9</v>
      </c>
      <c r="D510" s="2" t="s">
        <v>7849</v>
      </c>
      <c r="E510" s="2">
        <v>107688.0</v>
      </c>
      <c r="F510" s="2">
        <v>702.0</v>
      </c>
      <c r="G510" s="2">
        <v>2260.0</v>
      </c>
      <c r="H510" s="2" t="s">
        <v>5906</v>
      </c>
      <c r="I510" s="2" t="s">
        <v>5906</v>
      </c>
      <c r="K510" s="2" t="s">
        <v>7850</v>
      </c>
      <c r="L510" s="10" t="s">
        <v>7851</v>
      </c>
    </row>
    <row r="511">
      <c r="A511" s="2" t="s">
        <v>5440</v>
      </c>
      <c r="B511" s="10" t="s">
        <v>7852</v>
      </c>
      <c r="C511" s="2">
        <v>5.3665209926E10</v>
      </c>
      <c r="D511" s="2" t="s">
        <v>7853</v>
      </c>
      <c r="E511" s="2">
        <v>12073.0</v>
      </c>
      <c r="F511" s="2">
        <v>91.0</v>
      </c>
      <c r="G511" s="2">
        <v>213.0</v>
      </c>
      <c r="H511" s="2" t="s">
        <v>5905</v>
      </c>
      <c r="I511" s="2" t="s">
        <v>5905</v>
      </c>
      <c r="J511" s="2" t="s">
        <v>6940</v>
      </c>
      <c r="K511" s="2" t="s">
        <v>7854</v>
      </c>
    </row>
    <row r="512">
      <c r="A512" s="2" t="s">
        <v>5440</v>
      </c>
      <c r="B512" s="2" t="s">
        <v>7855</v>
      </c>
      <c r="C512" s="2">
        <v>1.296032828E9</v>
      </c>
      <c r="D512" s="2" t="s">
        <v>7856</v>
      </c>
      <c r="E512" s="2">
        <v>51830.0</v>
      </c>
      <c r="F512" s="2">
        <v>28.0</v>
      </c>
      <c r="G512" s="2">
        <v>1113.0</v>
      </c>
      <c r="H512" s="2" t="s">
        <v>5905</v>
      </c>
      <c r="I512" s="2" t="s">
        <v>5906</v>
      </c>
      <c r="J512" s="2" t="s">
        <v>5518</v>
      </c>
      <c r="K512" s="2" t="s">
        <v>7857</v>
      </c>
      <c r="L512" s="10" t="s">
        <v>7858</v>
      </c>
    </row>
    <row r="513">
      <c r="A513" s="2" t="s">
        <v>5276</v>
      </c>
      <c r="B513" s="2" t="s">
        <v>7859</v>
      </c>
      <c r="C513" s="2">
        <v>5.5997001E9</v>
      </c>
      <c r="D513" s="2" t="s">
        <v>7860</v>
      </c>
      <c r="E513" s="2">
        <v>55196.0</v>
      </c>
      <c r="F513" s="2">
        <v>137.0</v>
      </c>
      <c r="G513" s="2">
        <v>13561.0</v>
      </c>
      <c r="H513" s="2" t="s">
        <v>5905</v>
      </c>
      <c r="I513" s="2" t="s">
        <v>5906</v>
      </c>
      <c r="J513" s="2" t="s">
        <v>5911</v>
      </c>
      <c r="K513" s="2" t="s">
        <v>7861</v>
      </c>
      <c r="L513" s="10" t="s">
        <v>7862</v>
      </c>
    </row>
    <row r="514">
      <c r="A514" s="2" t="s">
        <v>5276</v>
      </c>
      <c r="B514" s="2" t="s">
        <v>7863</v>
      </c>
      <c r="C514" s="2">
        <v>5.39570294E8</v>
      </c>
      <c r="D514" s="2" t="s">
        <v>7864</v>
      </c>
      <c r="E514" s="2">
        <v>2357328.0</v>
      </c>
      <c r="F514" s="2">
        <v>459.0</v>
      </c>
      <c r="G514" s="2">
        <v>16921.0</v>
      </c>
      <c r="H514" s="2" t="s">
        <v>5906</v>
      </c>
      <c r="I514" s="2" t="s">
        <v>5906</v>
      </c>
      <c r="K514" s="2" t="s">
        <v>7865</v>
      </c>
      <c r="L514" s="10" t="s">
        <v>7866</v>
      </c>
    </row>
    <row r="515">
      <c r="A515" s="2" t="s">
        <v>5276</v>
      </c>
      <c r="B515" s="2" t="s">
        <v>7867</v>
      </c>
      <c r="C515" s="2">
        <v>3.7346596733E10</v>
      </c>
      <c r="D515" s="2" t="s">
        <v>7868</v>
      </c>
      <c r="E515" s="2">
        <v>74003.0</v>
      </c>
      <c r="F515" s="2">
        <v>90.0</v>
      </c>
      <c r="G515" s="2">
        <v>8911.0</v>
      </c>
      <c r="H515" s="2" t="s">
        <v>5906</v>
      </c>
      <c r="I515" s="2" t="s">
        <v>5906</v>
      </c>
      <c r="J515" s="2" t="s">
        <v>5911</v>
      </c>
      <c r="K515" s="2" t="s">
        <v>7869</v>
      </c>
      <c r="L515" s="10" t="s">
        <v>7870</v>
      </c>
    </row>
    <row r="516">
      <c r="A516" s="2" t="s">
        <v>5276</v>
      </c>
      <c r="B516" s="2" t="s">
        <v>7871</v>
      </c>
      <c r="C516" s="2">
        <v>3.036441475E9</v>
      </c>
      <c r="D516" s="2" t="s">
        <v>7872</v>
      </c>
      <c r="E516" s="2">
        <v>580098.0</v>
      </c>
      <c r="F516" s="2">
        <v>104.0</v>
      </c>
      <c r="G516" s="2">
        <v>2718.0</v>
      </c>
      <c r="H516" s="2" t="s">
        <v>5906</v>
      </c>
      <c r="I516" s="2" t="s">
        <v>5906</v>
      </c>
      <c r="L516" s="10" t="s">
        <v>7873</v>
      </c>
    </row>
    <row r="517">
      <c r="A517" s="2" t="s">
        <v>5276</v>
      </c>
      <c r="B517" s="2" t="s">
        <v>7874</v>
      </c>
      <c r="C517" s="2">
        <v>7.25153885E8</v>
      </c>
      <c r="D517" s="2" t="s">
        <v>7875</v>
      </c>
      <c r="E517" s="2">
        <v>385895.0</v>
      </c>
      <c r="F517" s="2">
        <v>397.0</v>
      </c>
      <c r="G517" s="2">
        <v>39111.0</v>
      </c>
      <c r="H517" s="2" t="s">
        <v>5905</v>
      </c>
      <c r="I517" s="2" t="s">
        <v>5905</v>
      </c>
      <c r="J517" s="2" t="s">
        <v>5484</v>
      </c>
      <c r="K517" s="2" t="s">
        <v>7876</v>
      </c>
      <c r="L517" s="10" t="s">
        <v>7877</v>
      </c>
    </row>
    <row r="518">
      <c r="A518" s="2" t="s">
        <v>5276</v>
      </c>
      <c r="B518" s="2" t="s">
        <v>7878</v>
      </c>
      <c r="C518" s="2">
        <v>6.0411353132E10</v>
      </c>
      <c r="D518" s="2" t="s">
        <v>7879</v>
      </c>
      <c r="E518" s="2">
        <v>28194.0</v>
      </c>
      <c r="F518" s="2">
        <v>354.0</v>
      </c>
      <c r="G518" s="2">
        <v>2979.0</v>
      </c>
      <c r="H518" s="2" t="s">
        <v>5906</v>
      </c>
      <c r="I518" s="2" t="s">
        <v>5905</v>
      </c>
      <c r="J518" s="2" t="s">
        <v>5959</v>
      </c>
      <c r="K518" s="2" t="s">
        <v>7880</v>
      </c>
      <c r="L518" s="10" t="s">
        <v>7881</v>
      </c>
    </row>
    <row r="519">
      <c r="A519" s="2" t="s">
        <v>5276</v>
      </c>
      <c r="B519" s="2" t="s">
        <v>7882</v>
      </c>
      <c r="C519" s="2">
        <v>4.2839180339E10</v>
      </c>
      <c r="D519" s="2" t="s">
        <v>7883</v>
      </c>
      <c r="E519" s="2">
        <v>14803.0</v>
      </c>
      <c r="F519" s="2">
        <v>8.0</v>
      </c>
      <c r="G519" s="2">
        <v>5107.0</v>
      </c>
      <c r="H519" s="2" t="s">
        <v>5905</v>
      </c>
      <c r="I519" s="2" t="s">
        <v>5906</v>
      </c>
      <c r="J519" s="2" t="s">
        <v>7884</v>
      </c>
      <c r="K519" s="2" t="s">
        <v>7885</v>
      </c>
    </row>
    <row r="520">
      <c r="A520" s="2" t="s">
        <v>5276</v>
      </c>
      <c r="B520" s="2" t="s">
        <v>7886</v>
      </c>
      <c r="C520" s="2">
        <v>3.4929901941E10</v>
      </c>
      <c r="D520" s="2" t="s">
        <v>7887</v>
      </c>
      <c r="E520" s="2">
        <v>17066.0</v>
      </c>
      <c r="F520" s="2">
        <v>243.0</v>
      </c>
      <c r="G520" s="2">
        <v>827.0</v>
      </c>
      <c r="H520" s="2" t="s">
        <v>5905</v>
      </c>
      <c r="I520" s="2" t="s">
        <v>5906</v>
      </c>
      <c r="J520" s="2" t="s">
        <v>5492</v>
      </c>
      <c r="K520" s="2" t="s">
        <v>7888</v>
      </c>
      <c r="L520" s="10" t="s">
        <v>7889</v>
      </c>
    </row>
    <row r="521">
      <c r="A521" s="2" t="s">
        <v>5276</v>
      </c>
      <c r="B521" s="2" t="s">
        <v>7890</v>
      </c>
      <c r="C521" s="2">
        <v>5.7324070274E10</v>
      </c>
      <c r="D521" s="2" t="s">
        <v>7891</v>
      </c>
      <c r="E521" s="2">
        <v>95739.0</v>
      </c>
      <c r="F521" s="2">
        <v>234.0</v>
      </c>
      <c r="G521" s="2">
        <v>2111.0</v>
      </c>
      <c r="H521" s="2" t="s">
        <v>5905</v>
      </c>
      <c r="I521" s="2" t="s">
        <v>5906</v>
      </c>
      <c r="J521" s="2" t="s">
        <v>6002</v>
      </c>
      <c r="K521" s="2" t="s">
        <v>7892</v>
      </c>
      <c r="L521" s="10" t="s">
        <v>7893</v>
      </c>
    </row>
    <row r="522">
      <c r="A522" s="2" t="s">
        <v>5276</v>
      </c>
      <c r="B522" s="2" t="s">
        <v>7894</v>
      </c>
      <c r="C522" s="2">
        <v>5.1309577456E10</v>
      </c>
      <c r="D522" s="2" t="s">
        <v>7895</v>
      </c>
      <c r="E522" s="2">
        <v>196730.0</v>
      </c>
      <c r="F522" s="2">
        <v>60.0</v>
      </c>
      <c r="G522" s="2">
        <v>4833.0</v>
      </c>
      <c r="H522" s="2" t="s">
        <v>5905</v>
      </c>
      <c r="I522" s="2" t="s">
        <v>5906</v>
      </c>
      <c r="J522" s="2" t="s">
        <v>5518</v>
      </c>
      <c r="K522" s="2" t="s">
        <v>7896</v>
      </c>
      <c r="L522" s="10" t="s">
        <v>7897</v>
      </c>
    </row>
    <row r="523">
      <c r="A523" s="2" t="s">
        <v>5276</v>
      </c>
      <c r="B523" s="2" t="s">
        <v>7898</v>
      </c>
      <c r="C523" s="2">
        <v>4.9851943342E10</v>
      </c>
      <c r="D523" s="2" t="s">
        <v>7899</v>
      </c>
      <c r="E523" s="2">
        <v>11448.0</v>
      </c>
      <c r="F523" s="2">
        <v>161.0</v>
      </c>
      <c r="G523" s="2">
        <v>2215.0</v>
      </c>
      <c r="H523" s="2" t="s">
        <v>5905</v>
      </c>
      <c r="I523" s="2" t="s">
        <v>5905</v>
      </c>
      <c r="J523" s="2" t="s">
        <v>5959</v>
      </c>
      <c r="K523" s="2" t="s">
        <v>7900</v>
      </c>
      <c r="L523" s="10" t="s">
        <v>7901</v>
      </c>
    </row>
    <row r="524">
      <c r="A524" s="2" t="s">
        <v>5276</v>
      </c>
      <c r="B524" s="2" t="s">
        <v>7902</v>
      </c>
      <c r="C524" s="2">
        <v>4.958325631E9</v>
      </c>
      <c r="D524" s="2" t="s">
        <v>7903</v>
      </c>
      <c r="E524" s="2">
        <v>231634.0</v>
      </c>
      <c r="F524" s="2">
        <v>267.0</v>
      </c>
      <c r="G524" s="2">
        <v>12212.0</v>
      </c>
      <c r="H524" s="2" t="s">
        <v>5906</v>
      </c>
      <c r="I524" s="2" t="s">
        <v>5906</v>
      </c>
      <c r="J524" s="2" t="s">
        <v>5959</v>
      </c>
      <c r="K524" s="2" t="s">
        <v>7904</v>
      </c>
      <c r="L524" s="10" t="s">
        <v>7905</v>
      </c>
    </row>
    <row r="525">
      <c r="A525" s="2" t="s">
        <v>5276</v>
      </c>
      <c r="B525" s="2" t="s">
        <v>7906</v>
      </c>
      <c r="C525" s="2">
        <v>4.7361376495E10</v>
      </c>
      <c r="D525" s="2" t="s">
        <v>7907</v>
      </c>
      <c r="E525" s="2">
        <v>411898.0</v>
      </c>
      <c r="F525" s="2">
        <v>18.0</v>
      </c>
      <c r="G525" s="2">
        <v>6500.0</v>
      </c>
      <c r="H525" s="2" t="s">
        <v>5905</v>
      </c>
      <c r="I525" s="2" t="s">
        <v>5906</v>
      </c>
      <c r="J525" s="2" t="s">
        <v>5480</v>
      </c>
      <c r="K525" s="2" t="s">
        <v>7908</v>
      </c>
      <c r="L525" s="10" t="s">
        <v>7909</v>
      </c>
    </row>
    <row r="526">
      <c r="A526" s="2" t="s">
        <v>5276</v>
      </c>
      <c r="B526" s="2" t="s">
        <v>7910</v>
      </c>
      <c r="C526" s="2">
        <v>2.15428181E8</v>
      </c>
      <c r="D526" s="2" t="s">
        <v>7911</v>
      </c>
      <c r="E526" s="2">
        <v>198092.0</v>
      </c>
      <c r="F526" s="2">
        <v>198.0</v>
      </c>
      <c r="G526" s="2">
        <v>6293.0</v>
      </c>
      <c r="H526" s="2" t="s">
        <v>5906</v>
      </c>
      <c r="I526" s="2" t="s">
        <v>5906</v>
      </c>
      <c r="K526" s="2" t="s">
        <v>7912</v>
      </c>
      <c r="L526" s="10" t="s">
        <v>7913</v>
      </c>
    </row>
    <row r="527">
      <c r="A527" s="2" t="s">
        <v>5276</v>
      </c>
      <c r="B527" s="2" t="s">
        <v>7914</v>
      </c>
      <c r="C527" s="2">
        <v>6.6343551347E10</v>
      </c>
      <c r="D527" s="2" t="s">
        <v>7915</v>
      </c>
      <c r="E527" s="2">
        <v>13835.0</v>
      </c>
      <c r="F527" s="2">
        <v>90.0</v>
      </c>
      <c r="G527" s="2">
        <v>2971.0</v>
      </c>
      <c r="H527" s="2" t="s">
        <v>5905</v>
      </c>
      <c r="I527" s="2" t="s">
        <v>5906</v>
      </c>
      <c r="J527" s="2" t="s">
        <v>5907</v>
      </c>
      <c r="K527" s="2" t="s">
        <v>7916</v>
      </c>
      <c r="L527" s="10" t="s">
        <v>7917</v>
      </c>
    </row>
    <row r="528">
      <c r="A528" s="2" t="s">
        <v>5276</v>
      </c>
      <c r="B528" s="2" t="s">
        <v>7918</v>
      </c>
      <c r="C528" s="2">
        <v>1.09226222E9</v>
      </c>
      <c r="D528" s="2" t="s">
        <v>7919</v>
      </c>
      <c r="E528" s="2">
        <v>428379.0</v>
      </c>
      <c r="F528" s="2">
        <v>11.0</v>
      </c>
      <c r="G528" s="2">
        <v>45599.0</v>
      </c>
      <c r="H528" s="2" t="s">
        <v>5906</v>
      </c>
      <c r="I528" s="2" t="s">
        <v>5906</v>
      </c>
      <c r="J528" s="2" t="s">
        <v>5480</v>
      </c>
      <c r="K528" s="2" t="s">
        <v>7920</v>
      </c>
      <c r="L528" s="10" t="s">
        <v>7921</v>
      </c>
    </row>
    <row r="529">
      <c r="A529" s="2" t="s">
        <v>5276</v>
      </c>
      <c r="B529" s="2" t="s">
        <v>7922</v>
      </c>
      <c r="C529" s="2">
        <v>6.8822050565E10</v>
      </c>
      <c r="D529" s="2" t="s">
        <v>7923</v>
      </c>
      <c r="E529" s="2">
        <v>26014.0</v>
      </c>
      <c r="F529" s="2">
        <v>724.0</v>
      </c>
      <c r="G529" s="2">
        <v>260.0</v>
      </c>
      <c r="H529" s="2" t="s">
        <v>5906</v>
      </c>
      <c r="I529" s="2" t="s">
        <v>5905</v>
      </c>
      <c r="J529" s="2" t="s">
        <v>6027</v>
      </c>
      <c r="K529" s="2" t="s">
        <v>7924</v>
      </c>
    </row>
    <row r="530">
      <c r="A530" s="2" t="s">
        <v>5396</v>
      </c>
      <c r="B530" s="2" t="s">
        <v>7925</v>
      </c>
      <c r="C530" s="2">
        <v>5.20771652E8</v>
      </c>
      <c r="D530" s="2" t="s">
        <v>5396</v>
      </c>
      <c r="E530" s="2">
        <v>367986.0</v>
      </c>
      <c r="F530" s="2">
        <v>155.0</v>
      </c>
      <c r="G530" s="2">
        <v>3578.0</v>
      </c>
      <c r="H530" s="2" t="s">
        <v>5906</v>
      </c>
      <c r="I530" s="2" t="s">
        <v>5906</v>
      </c>
      <c r="J530" s="2" t="s">
        <v>7926</v>
      </c>
      <c r="K530" s="2" t="s">
        <v>7927</v>
      </c>
      <c r="L530" s="10" t="s">
        <v>7928</v>
      </c>
    </row>
    <row r="531">
      <c r="A531" s="2" t="s">
        <v>5571</v>
      </c>
      <c r="B531" s="2" t="s">
        <v>7929</v>
      </c>
      <c r="C531" s="2">
        <v>1.92260134E8</v>
      </c>
      <c r="D531" s="2" t="s">
        <v>7930</v>
      </c>
      <c r="E531" s="2">
        <v>873852.0</v>
      </c>
      <c r="F531" s="2">
        <v>101.0</v>
      </c>
      <c r="G531" s="2">
        <v>586.0</v>
      </c>
      <c r="H531" s="2" t="s">
        <v>5906</v>
      </c>
      <c r="I531" s="2" t="s">
        <v>5905</v>
      </c>
      <c r="J531" s="2" t="s">
        <v>7931</v>
      </c>
      <c r="K531" s="2" t="s">
        <v>7932</v>
      </c>
      <c r="L531" s="10" t="s">
        <v>7933</v>
      </c>
    </row>
    <row r="532">
      <c r="A532" s="2" t="s">
        <v>5571</v>
      </c>
      <c r="B532" s="2" t="s">
        <v>7934</v>
      </c>
      <c r="C532" s="2">
        <v>2.296074304E9</v>
      </c>
      <c r="D532" s="2" t="s">
        <v>7935</v>
      </c>
      <c r="E532" s="2">
        <v>428725.0</v>
      </c>
      <c r="F532" s="2">
        <v>828.0</v>
      </c>
      <c r="G532" s="2">
        <v>891.0</v>
      </c>
      <c r="H532" s="2" t="s">
        <v>5906</v>
      </c>
      <c r="I532" s="2" t="s">
        <v>5906</v>
      </c>
      <c r="J532" s="2" t="s">
        <v>5391</v>
      </c>
      <c r="K532" s="2" t="s">
        <v>7936</v>
      </c>
      <c r="L532" s="10" t="s">
        <v>7937</v>
      </c>
    </row>
    <row r="533">
      <c r="A533" s="2" t="s">
        <v>5571</v>
      </c>
      <c r="B533" s="2" t="s">
        <v>7938</v>
      </c>
      <c r="C533" s="2">
        <v>1.687866427E9</v>
      </c>
      <c r="D533" s="2" t="s">
        <v>7939</v>
      </c>
      <c r="E533" s="2">
        <v>186087.0</v>
      </c>
      <c r="F533" s="2">
        <v>4400.0</v>
      </c>
      <c r="G533" s="2">
        <v>3322.0</v>
      </c>
      <c r="H533" s="2" t="s">
        <v>5906</v>
      </c>
      <c r="I533" s="2" t="s">
        <v>5906</v>
      </c>
      <c r="J533" s="2" t="s">
        <v>7940</v>
      </c>
      <c r="K533" s="2" t="s">
        <v>7941</v>
      </c>
      <c r="L533" s="10" t="s">
        <v>7942</v>
      </c>
    </row>
    <row r="534">
      <c r="A534" s="2" t="s">
        <v>5571</v>
      </c>
      <c r="B534" s="2" t="s">
        <v>7943</v>
      </c>
      <c r="C534" s="2">
        <v>1.9310006E8</v>
      </c>
      <c r="D534" s="2" t="s">
        <v>7944</v>
      </c>
      <c r="E534" s="2">
        <v>162796.0</v>
      </c>
      <c r="F534" s="2">
        <v>975.0</v>
      </c>
      <c r="G534" s="2">
        <v>1957.0</v>
      </c>
      <c r="H534" s="2" t="s">
        <v>5906</v>
      </c>
      <c r="I534" s="2" t="s">
        <v>5906</v>
      </c>
      <c r="J534" s="2" t="s">
        <v>7931</v>
      </c>
      <c r="K534" s="2" t="s">
        <v>7945</v>
      </c>
      <c r="L534" s="10" t="s">
        <v>7946</v>
      </c>
    </row>
    <row r="535">
      <c r="A535" s="2" t="s">
        <v>5571</v>
      </c>
      <c r="B535" s="2" t="s">
        <v>7947</v>
      </c>
      <c r="C535" s="2">
        <v>8.192740888E9</v>
      </c>
      <c r="D535" s="2" t="s">
        <v>7948</v>
      </c>
      <c r="E535" s="2">
        <v>316392.0</v>
      </c>
      <c r="F535" s="2">
        <v>193.0</v>
      </c>
      <c r="G535" s="2">
        <v>2940.0</v>
      </c>
      <c r="H535" s="2" t="s">
        <v>5906</v>
      </c>
      <c r="I535" s="2" t="s">
        <v>5906</v>
      </c>
      <c r="J535" s="2" t="s">
        <v>7931</v>
      </c>
      <c r="K535" s="2" t="s">
        <v>7949</v>
      </c>
      <c r="L535" s="10" t="s">
        <v>7950</v>
      </c>
    </row>
    <row r="536">
      <c r="A536" s="2" t="s">
        <v>5571</v>
      </c>
      <c r="B536" s="2" t="s">
        <v>7951</v>
      </c>
      <c r="C536" s="2">
        <v>2.7528564E8</v>
      </c>
      <c r="D536" s="2" t="s">
        <v>7952</v>
      </c>
      <c r="E536" s="2">
        <v>158431.0</v>
      </c>
      <c r="F536" s="2">
        <v>2790.0</v>
      </c>
      <c r="G536" s="2">
        <v>3420.0</v>
      </c>
      <c r="H536" s="2" t="s">
        <v>5905</v>
      </c>
      <c r="I536" s="2" t="s">
        <v>5906</v>
      </c>
      <c r="J536" s="2" t="s">
        <v>7931</v>
      </c>
      <c r="K536" s="2" t="s">
        <v>7953</v>
      </c>
      <c r="L536" s="10" t="s">
        <v>7954</v>
      </c>
    </row>
    <row r="537">
      <c r="A537" s="2" t="s">
        <v>5571</v>
      </c>
      <c r="B537" s="2" t="s">
        <v>7955</v>
      </c>
      <c r="C537" s="2">
        <v>1.669783461E9</v>
      </c>
      <c r="D537" s="2" t="s">
        <v>7956</v>
      </c>
      <c r="E537" s="2">
        <v>123023.0</v>
      </c>
      <c r="F537" s="2">
        <v>5.0</v>
      </c>
      <c r="G537" s="2">
        <v>2358.0</v>
      </c>
      <c r="H537" s="2" t="s">
        <v>5905</v>
      </c>
      <c r="I537" s="2" t="s">
        <v>5906</v>
      </c>
      <c r="J537" s="2" t="s">
        <v>7931</v>
      </c>
      <c r="K537" s="2" t="s">
        <v>7957</v>
      </c>
      <c r="L537" s="10" t="s">
        <v>7958</v>
      </c>
    </row>
    <row r="538">
      <c r="A538" s="2" t="s">
        <v>5571</v>
      </c>
      <c r="B538" s="2" t="s">
        <v>7959</v>
      </c>
      <c r="C538" s="2">
        <v>4.094830371E9</v>
      </c>
      <c r="D538" s="2" t="s">
        <v>7960</v>
      </c>
      <c r="E538" s="2">
        <v>288028.0</v>
      </c>
      <c r="F538" s="2">
        <v>536.0</v>
      </c>
      <c r="G538" s="2">
        <v>7269.0</v>
      </c>
      <c r="H538" s="2" t="s">
        <v>5905</v>
      </c>
      <c r="I538" s="2" t="s">
        <v>5905</v>
      </c>
      <c r="J538" s="2" t="s">
        <v>7931</v>
      </c>
      <c r="K538" s="2" t="s">
        <v>7961</v>
      </c>
    </row>
    <row r="539">
      <c r="A539" s="2" t="s">
        <v>5571</v>
      </c>
      <c r="B539" s="2" t="s">
        <v>7962</v>
      </c>
      <c r="C539" s="2">
        <v>5.704692045E9</v>
      </c>
      <c r="D539" s="2" t="s">
        <v>7963</v>
      </c>
      <c r="E539" s="2">
        <v>216540.0</v>
      </c>
      <c r="F539" s="2">
        <v>246.0</v>
      </c>
      <c r="G539" s="2">
        <v>978.0</v>
      </c>
      <c r="H539" s="2" t="s">
        <v>5906</v>
      </c>
      <c r="I539" s="2" t="s">
        <v>5906</v>
      </c>
      <c r="J539" s="2" t="s">
        <v>5391</v>
      </c>
      <c r="K539" s="2" t="s">
        <v>7964</v>
      </c>
      <c r="L539" s="10" t="s">
        <v>7965</v>
      </c>
    </row>
    <row r="540">
      <c r="A540" s="2" t="s">
        <v>5571</v>
      </c>
      <c r="B540" s="2" t="s">
        <v>7966</v>
      </c>
      <c r="C540" s="2">
        <v>2.1036723137E10</v>
      </c>
      <c r="D540" s="2" t="s">
        <v>7967</v>
      </c>
      <c r="E540" s="2">
        <v>40807.0</v>
      </c>
      <c r="F540" s="2">
        <v>2821.0</v>
      </c>
      <c r="G540" s="2">
        <v>1455.0</v>
      </c>
      <c r="H540" s="2" t="s">
        <v>5905</v>
      </c>
      <c r="I540" s="2" t="s">
        <v>5906</v>
      </c>
      <c r="J540" s="2" t="s">
        <v>7931</v>
      </c>
      <c r="K540" s="2" t="s">
        <v>7968</v>
      </c>
      <c r="L540" s="10" t="s">
        <v>7969</v>
      </c>
    </row>
    <row r="541">
      <c r="A541" s="2" t="s">
        <v>5571</v>
      </c>
      <c r="B541" s="2" t="s">
        <v>7970</v>
      </c>
      <c r="C541" s="2">
        <v>5.4147151E7</v>
      </c>
      <c r="D541" s="2" t="s">
        <v>7971</v>
      </c>
      <c r="E541" s="2">
        <v>1198379.0</v>
      </c>
      <c r="F541" s="2">
        <v>322.0</v>
      </c>
      <c r="G541" s="2">
        <v>1325.0</v>
      </c>
      <c r="H541" s="2" t="s">
        <v>5905</v>
      </c>
      <c r="I541" s="2" t="s">
        <v>5906</v>
      </c>
      <c r="J541" s="2" t="s">
        <v>5993</v>
      </c>
      <c r="K541" s="2" t="s">
        <v>7972</v>
      </c>
      <c r="L541" s="10" t="s">
        <v>7973</v>
      </c>
    </row>
    <row r="542">
      <c r="A542" s="2" t="s">
        <v>5571</v>
      </c>
      <c r="B542" s="2" t="s">
        <v>7974</v>
      </c>
      <c r="C542" s="2">
        <v>1.700831404E9</v>
      </c>
      <c r="D542" s="2" t="s">
        <v>7975</v>
      </c>
      <c r="E542" s="2">
        <v>213164.0</v>
      </c>
      <c r="F542" s="2">
        <v>2306.0</v>
      </c>
      <c r="G542" s="2">
        <v>5046.0</v>
      </c>
      <c r="H542" s="2" t="s">
        <v>5905</v>
      </c>
      <c r="I542" s="2" t="s">
        <v>5906</v>
      </c>
      <c r="J542" s="2" t="s">
        <v>7940</v>
      </c>
      <c r="K542" s="2" t="s">
        <v>7976</v>
      </c>
      <c r="L542" s="10" t="s">
        <v>7977</v>
      </c>
    </row>
    <row r="543">
      <c r="A543" s="2" t="s">
        <v>5571</v>
      </c>
      <c r="B543" s="2" t="s">
        <v>7978</v>
      </c>
      <c r="C543" s="2">
        <v>1.193135463E9</v>
      </c>
      <c r="D543" s="2" t="s">
        <v>7979</v>
      </c>
      <c r="E543" s="2">
        <v>153794.0</v>
      </c>
      <c r="F543" s="2">
        <v>896.0</v>
      </c>
      <c r="G543" s="2">
        <v>2949.0</v>
      </c>
      <c r="H543" s="2" t="s">
        <v>5906</v>
      </c>
      <c r="I543" s="2" t="s">
        <v>5906</v>
      </c>
      <c r="J543" s="2" t="s">
        <v>5391</v>
      </c>
      <c r="K543" s="2" t="s">
        <v>7980</v>
      </c>
      <c r="L543" s="10" t="s">
        <v>7981</v>
      </c>
    </row>
    <row r="544">
      <c r="A544" s="2" t="s">
        <v>5571</v>
      </c>
      <c r="B544" s="2" t="s">
        <v>7982</v>
      </c>
      <c r="C544" s="2">
        <v>1.451871582E9</v>
      </c>
      <c r="D544" s="2" t="s">
        <v>7983</v>
      </c>
      <c r="E544" s="2">
        <v>86226.0</v>
      </c>
      <c r="F544" s="2">
        <v>2426.0</v>
      </c>
      <c r="G544" s="2">
        <v>3774.0</v>
      </c>
      <c r="H544" s="2" t="s">
        <v>5906</v>
      </c>
      <c r="I544" s="2" t="s">
        <v>5905</v>
      </c>
      <c r="J544" s="2" t="s">
        <v>7931</v>
      </c>
      <c r="K544" s="2" t="s">
        <v>7984</v>
      </c>
      <c r="L544" s="10" t="s">
        <v>7985</v>
      </c>
    </row>
    <row r="545">
      <c r="A545" s="2" t="s">
        <v>5571</v>
      </c>
      <c r="B545" s="2" t="s">
        <v>7986</v>
      </c>
      <c r="C545" s="2">
        <v>3.117124661E9</v>
      </c>
      <c r="D545" s="2" t="s">
        <v>7935</v>
      </c>
      <c r="E545" s="2">
        <v>150166.0</v>
      </c>
      <c r="F545" s="2">
        <v>449.0</v>
      </c>
      <c r="G545" s="2">
        <v>1425.0</v>
      </c>
      <c r="H545" s="2" t="s">
        <v>5906</v>
      </c>
      <c r="I545" s="2" t="s">
        <v>5905</v>
      </c>
      <c r="J545" s="2" t="s">
        <v>7931</v>
      </c>
      <c r="K545" s="2" t="s">
        <v>7987</v>
      </c>
      <c r="L545" s="10" t="s">
        <v>7988</v>
      </c>
    </row>
    <row r="546">
      <c r="A546" s="2" t="s">
        <v>5571</v>
      </c>
      <c r="B546" s="2" t="s">
        <v>7989</v>
      </c>
      <c r="C546" s="2">
        <v>2.941702356E9</v>
      </c>
      <c r="D546" s="2" t="s">
        <v>7990</v>
      </c>
      <c r="E546" s="2">
        <v>935253.0</v>
      </c>
      <c r="F546" s="2">
        <v>253.0</v>
      </c>
      <c r="G546" s="2">
        <v>9126.0</v>
      </c>
      <c r="H546" s="2" t="s">
        <v>5905</v>
      </c>
      <c r="I546" s="2" t="s">
        <v>5906</v>
      </c>
      <c r="J546" s="2" t="s">
        <v>7931</v>
      </c>
      <c r="K546" s="2" t="s">
        <v>7991</v>
      </c>
      <c r="L546" s="10" t="s">
        <v>7992</v>
      </c>
    </row>
    <row r="547">
      <c r="A547" s="2" t="s">
        <v>5571</v>
      </c>
      <c r="B547" s="2" t="s">
        <v>7993</v>
      </c>
      <c r="C547" s="2">
        <v>4.34167603E9</v>
      </c>
      <c r="D547" s="2" t="s">
        <v>7994</v>
      </c>
      <c r="E547" s="2">
        <v>92915.0</v>
      </c>
      <c r="F547" s="2">
        <v>226.0</v>
      </c>
      <c r="G547" s="2">
        <v>5805.0</v>
      </c>
      <c r="H547" s="2" t="s">
        <v>5906</v>
      </c>
      <c r="I547" s="2" t="s">
        <v>5905</v>
      </c>
      <c r="J547" s="2" t="s">
        <v>5963</v>
      </c>
      <c r="K547" s="2" t="s">
        <v>7995</v>
      </c>
      <c r="L547" s="10" t="s">
        <v>7996</v>
      </c>
    </row>
    <row r="548">
      <c r="A548" s="2" t="s">
        <v>5571</v>
      </c>
      <c r="B548" s="2" t="s">
        <v>7997</v>
      </c>
      <c r="C548" s="2">
        <v>2.245118753E9</v>
      </c>
      <c r="D548" s="2" t="s">
        <v>7998</v>
      </c>
      <c r="E548" s="2">
        <v>34311.0</v>
      </c>
      <c r="F548" s="2">
        <v>1954.0</v>
      </c>
      <c r="G548" s="2">
        <v>3680.0</v>
      </c>
      <c r="H548" s="2" t="s">
        <v>5905</v>
      </c>
      <c r="I548" s="2" t="s">
        <v>5906</v>
      </c>
      <c r="J548" s="2" t="s">
        <v>5391</v>
      </c>
      <c r="K548" s="2" t="s">
        <v>7999</v>
      </c>
      <c r="L548" s="10" t="s">
        <v>8000</v>
      </c>
    </row>
    <row r="549">
      <c r="A549" s="2" t="s">
        <v>5391</v>
      </c>
      <c r="B549" s="2" t="s">
        <v>8001</v>
      </c>
      <c r="C549" s="2">
        <v>5.2280319348E10</v>
      </c>
      <c r="D549" s="2" t="s">
        <v>8002</v>
      </c>
      <c r="E549" s="2">
        <v>35877.0</v>
      </c>
      <c r="F549" s="2">
        <v>293.0</v>
      </c>
      <c r="G549" s="2">
        <v>368.0</v>
      </c>
      <c r="H549" s="2" t="s">
        <v>5905</v>
      </c>
      <c r="I549" s="2" t="s">
        <v>5906</v>
      </c>
      <c r="J549" s="2" t="s">
        <v>5391</v>
      </c>
      <c r="K549" s="2" t="s">
        <v>8003</v>
      </c>
      <c r="L549" s="10" t="s">
        <v>8004</v>
      </c>
    </row>
    <row r="550">
      <c r="A550" s="2" t="s">
        <v>5391</v>
      </c>
      <c r="B550" s="2" t="s">
        <v>8005</v>
      </c>
      <c r="C550" s="2">
        <v>4.154508339E9</v>
      </c>
      <c r="D550" s="2" t="s">
        <v>8006</v>
      </c>
      <c r="E550" s="2">
        <v>2850315.0</v>
      </c>
      <c r="F550" s="2">
        <v>852.0</v>
      </c>
      <c r="G550" s="2">
        <v>2137.0</v>
      </c>
      <c r="H550" s="2" t="s">
        <v>5906</v>
      </c>
      <c r="I550" s="2" t="s">
        <v>5905</v>
      </c>
      <c r="J550" s="2" t="s">
        <v>6414</v>
      </c>
      <c r="K550" s="2" t="s">
        <v>8007</v>
      </c>
      <c r="L550" s="10" t="s">
        <v>8008</v>
      </c>
    </row>
    <row r="551">
      <c r="A551" s="2" t="s">
        <v>5391</v>
      </c>
      <c r="B551" s="2" t="s">
        <v>620</v>
      </c>
      <c r="C551" s="2">
        <v>2.71036387E8</v>
      </c>
      <c r="D551" s="2" t="s">
        <v>5391</v>
      </c>
      <c r="E551" s="2">
        <v>4617909.0</v>
      </c>
      <c r="F551" s="2">
        <v>252.0</v>
      </c>
      <c r="G551" s="2">
        <v>9604.0</v>
      </c>
      <c r="H551" s="2" t="s">
        <v>5906</v>
      </c>
      <c r="I551" s="2" t="s">
        <v>5906</v>
      </c>
      <c r="K551" s="2" t="s">
        <v>8009</v>
      </c>
      <c r="L551" s="10" t="s">
        <v>8010</v>
      </c>
    </row>
    <row r="552">
      <c r="A552" s="2" t="s">
        <v>5391</v>
      </c>
      <c r="B552" s="2" t="s">
        <v>8011</v>
      </c>
      <c r="C552" s="2">
        <v>1.2371448182E10</v>
      </c>
      <c r="D552" s="2" t="s">
        <v>8012</v>
      </c>
      <c r="E552" s="2">
        <v>49393.0</v>
      </c>
      <c r="F552" s="2">
        <v>2.0</v>
      </c>
      <c r="G552" s="2">
        <v>4125.0</v>
      </c>
      <c r="H552" s="2" t="s">
        <v>5905</v>
      </c>
      <c r="I552" s="2" t="s">
        <v>5906</v>
      </c>
      <c r="J552" s="2" t="s">
        <v>8013</v>
      </c>
      <c r="K552" s="2" t="s">
        <v>8014</v>
      </c>
    </row>
    <row r="553">
      <c r="A553" s="2" t="s">
        <v>5391</v>
      </c>
      <c r="B553" s="2" t="s">
        <v>8015</v>
      </c>
      <c r="C553" s="2">
        <v>6.5561734425E10</v>
      </c>
      <c r="D553" s="2" t="s">
        <v>8016</v>
      </c>
      <c r="E553" s="2">
        <v>750557.0</v>
      </c>
      <c r="F553" s="2">
        <v>40.0</v>
      </c>
      <c r="G553" s="2">
        <v>1302.0</v>
      </c>
      <c r="H553" s="2" t="s">
        <v>5905</v>
      </c>
      <c r="I553" s="2" t="s">
        <v>5905</v>
      </c>
      <c r="J553" s="2" t="s">
        <v>5391</v>
      </c>
      <c r="K553" s="2" t="s">
        <v>8017</v>
      </c>
    </row>
    <row r="554">
      <c r="A554" s="2" t="s">
        <v>5391</v>
      </c>
      <c r="B554" s="2" t="s">
        <v>8018</v>
      </c>
      <c r="C554" s="2">
        <v>3.221188912E9</v>
      </c>
      <c r="D554" s="2" t="s">
        <v>8019</v>
      </c>
      <c r="E554" s="2">
        <v>2738567.0</v>
      </c>
      <c r="F554" s="2">
        <v>184.0</v>
      </c>
      <c r="G554" s="2">
        <v>9129.0</v>
      </c>
      <c r="H554" s="2" t="s">
        <v>5906</v>
      </c>
      <c r="I554" s="2" t="s">
        <v>5905</v>
      </c>
      <c r="J554" s="2" t="s">
        <v>5391</v>
      </c>
      <c r="K554" s="2" t="s">
        <v>8020</v>
      </c>
      <c r="L554" s="10" t="s">
        <v>8021</v>
      </c>
    </row>
    <row r="555">
      <c r="A555" s="2" t="s">
        <v>5391</v>
      </c>
      <c r="B555" s="2" t="s">
        <v>8022</v>
      </c>
      <c r="C555" s="2">
        <v>5.598810345E9</v>
      </c>
      <c r="D555" s="2" t="s">
        <v>8023</v>
      </c>
      <c r="E555" s="2">
        <v>2992886.0</v>
      </c>
      <c r="F555" s="2">
        <v>29.0</v>
      </c>
      <c r="G555" s="2">
        <v>5101.0</v>
      </c>
      <c r="H555" s="2" t="s">
        <v>5906</v>
      </c>
      <c r="I555" s="2" t="s">
        <v>5905</v>
      </c>
      <c r="J555" s="2" t="s">
        <v>5391</v>
      </c>
      <c r="K555" s="2" t="s">
        <v>8024</v>
      </c>
    </row>
    <row r="556">
      <c r="A556" s="2" t="s">
        <v>5391</v>
      </c>
      <c r="B556" s="2" t="s">
        <v>8025</v>
      </c>
      <c r="C556" s="2">
        <v>6.6535610953E10</v>
      </c>
      <c r="D556" s="2" t="s">
        <v>8026</v>
      </c>
      <c r="E556" s="2">
        <v>1250684.0</v>
      </c>
      <c r="F556" s="2">
        <v>114.0</v>
      </c>
      <c r="G556" s="2">
        <v>1301.0</v>
      </c>
      <c r="H556" s="2" t="s">
        <v>5905</v>
      </c>
      <c r="I556" s="2" t="s">
        <v>5906</v>
      </c>
      <c r="J556" s="2" t="s">
        <v>5391</v>
      </c>
      <c r="K556" s="2" t="s">
        <v>8027</v>
      </c>
      <c r="L556" s="10" t="s">
        <v>8028</v>
      </c>
    </row>
    <row r="557">
      <c r="A557" s="2" t="s">
        <v>5391</v>
      </c>
      <c r="B557" s="2" t="s">
        <v>8029</v>
      </c>
      <c r="C557" s="2">
        <v>5.408444603E9</v>
      </c>
      <c r="D557" s="2" t="s">
        <v>8030</v>
      </c>
      <c r="E557" s="2">
        <v>251063.0</v>
      </c>
      <c r="F557" s="2">
        <v>5.0</v>
      </c>
      <c r="G557" s="2">
        <v>2538.0</v>
      </c>
      <c r="H557" s="2" t="s">
        <v>5906</v>
      </c>
      <c r="I557" s="2" t="s">
        <v>5906</v>
      </c>
      <c r="J557" s="2" t="s">
        <v>5391</v>
      </c>
      <c r="K557" s="2" t="s">
        <v>8031</v>
      </c>
      <c r="L557" s="10" t="s">
        <v>8032</v>
      </c>
    </row>
    <row r="558">
      <c r="A558" s="2" t="s">
        <v>5391</v>
      </c>
      <c r="B558" s="2" t="s">
        <v>8033</v>
      </c>
      <c r="C558" s="2">
        <v>6.57135976E10</v>
      </c>
      <c r="D558" s="2" t="s">
        <v>8034</v>
      </c>
      <c r="E558" s="2">
        <v>593911.0</v>
      </c>
      <c r="F558" s="2">
        <v>6.0</v>
      </c>
      <c r="G558" s="2">
        <v>561.0</v>
      </c>
      <c r="H558" s="2" t="s">
        <v>5905</v>
      </c>
      <c r="I558" s="2" t="s">
        <v>5905</v>
      </c>
      <c r="J558" s="2" t="s">
        <v>5391</v>
      </c>
      <c r="K558" s="2" t="s">
        <v>8035</v>
      </c>
      <c r="L558" s="10" t="s">
        <v>8036</v>
      </c>
    </row>
    <row r="559">
      <c r="A559" s="2" t="s">
        <v>5391</v>
      </c>
      <c r="B559" s="2" t="s">
        <v>8037</v>
      </c>
      <c r="C559" s="2">
        <v>2572665.0</v>
      </c>
      <c r="D559" s="2" t="s">
        <v>8038</v>
      </c>
      <c r="E559" s="2">
        <v>921888.0</v>
      </c>
      <c r="F559" s="2">
        <v>587.0</v>
      </c>
      <c r="G559" s="2">
        <v>3098.0</v>
      </c>
      <c r="H559" s="2" t="s">
        <v>5906</v>
      </c>
      <c r="I559" s="2" t="s">
        <v>5905</v>
      </c>
      <c r="J559" s="2" t="s">
        <v>6414</v>
      </c>
      <c r="K559" s="2" t="s">
        <v>8039</v>
      </c>
      <c r="L559" s="10" t="s">
        <v>8040</v>
      </c>
    </row>
    <row r="560">
      <c r="A560" s="2" t="s">
        <v>5391</v>
      </c>
      <c r="B560" s="2" t="s">
        <v>8041</v>
      </c>
      <c r="C560" s="2">
        <v>9.375595988E9</v>
      </c>
      <c r="D560" s="2" t="s">
        <v>8023</v>
      </c>
      <c r="E560" s="2">
        <v>2350265.0</v>
      </c>
      <c r="F560" s="2">
        <v>14.0</v>
      </c>
      <c r="G560" s="2">
        <v>3854.0</v>
      </c>
      <c r="H560" s="2" t="s">
        <v>5906</v>
      </c>
      <c r="I560" s="2" t="s">
        <v>5906</v>
      </c>
      <c r="J560" s="2" t="s">
        <v>5391</v>
      </c>
      <c r="K560" s="2" t="s">
        <v>8042</v>
      </c>
    </row>
    <row r="561">
      <c r="A561" s="2" t="s">
        <v>5448</v>
      </c>
      <c r="B561" s="2" t="s">
        <v>8043</v>
      </c>
      <c r="C561" s="2">
        <v>3.12865729E8</v>
      </c>
      <c r="D561" s="2" t="s">
        <v>8043</v>
      </c>
      <c r="E561" s="2">
        <v>890327.0</v>
      </c>
      <c r="F561" s="2">
        <v>397.0</v>
      </c>
      <c r="G561" s="2">
        <v>8940.0</v>
      </c>
      <c r="H561" s="2" t="s">
        <v>5906</v>
      </c>
      <c r="I561" s="2" t="s">
        <v>5906</v>
      </c>
      <c r="J561" s="2" t="s">
        <v>8044</v>
      </c>
      <c r="K561" s="2" t="s">
        <v>8045</v>
      </c>
      <c r="L561" s="10" t="s">
        <v>8046</v>
      </c>
    </row>
    <row r="562">
      <c r="A562" s="2" t="s">
        <v>5448</v>
      </c>
      <c r="B562" s="2" t="s">
        <v>8047</v>
      </c>
      <c r="C562" s="2">
        <v>6.1501858423E10</v>
      </c>
      <c r="D562" s="2" t="s">
        <v>8048</v>
      </c>
      <c r="E562" s="2">
        <v>292405.0</v>
      </c>
      <c r="F562" s="2">
        <v>706.0</v>
      </c>
      <c r="G562" s="2">
        <v>268.0</v>
      </c>
      <c r="H562" s="2" t="s">
        <v>5905</v>
      </c>
      <c r="I562" s="2" t="s">
        <v>5905</v>
      </c>
      <c r="J562" s="2" t="s">
        <v>5959</v>
      </c>
      <c r="K562" s="2" t="s">
        <v>8049</v>
      </c>
      <c r="L562" s="10" t="s">
        <v>8050</v>
      </c>
    </row>
    <row r="563">
      <c r="A563" s="2" t="s">
        <v>5424</v>
      </c>
      <c r="B563" s="2" t="s">
        <v>8051</v>
      </c>
      <c r="C563" s="2">
        <v>1320207.0</v>
      </c>
      <c r="D563" s="2" t="s">
        <v>5424</v>
      </c>
      <c r="E563" s="2">
        <v>2.8285266E7</v>
      </c>
      <c r="F563" s="2">
        <v>521.0</v>
      </c>
      <c r="G563" s="2">
        <v>66319.0</v>
      </c>
      <c r="H563" s="2" t="s">
        <v>5906</v>
      </c>
      <c r="I563" s="2" t="s">
        <v>5906</v>
      </c>
      <c r="K563" s="2" t="s">
        <v>8052</v>
      </c>
      <c r="L563" s="10" t="s">
        <v>8053</v>
      </c>
    </row>
    <row r="564">
      <c r="A564" s="2" t="s">
        <v>5424</v>
      </c>
      <c r="B564" s="2" t="s">
        <v>8054</v>
      </c>
      <c r="C564" s="2">
        <v>3.9930451E8</v>
      </c>
      <c r="D564" s="2" t="s">
        <v>8055</v>
      </c>
      <c r="E564" s="2">
        <v>2366046.0</v>
      </c>
      <c r="F564" s="2">
        <v>150.0</v>
      </c>
      <c r="G564" s="2">
        <v>6053.0</v>
      </c>
      <c r="H564" s="2" t="s">
        <v>5906</v>
      </c>
      <c r="I564" s="2" t="s">
        <v>5906</v>
      </c>
      <c r="K564" s="2" t="s">
        <v>8056</v>
      </c>
      <c r="L564" s="10" t="s">
        <v>8057</v>
      </c>
    </row>
    <row r="565">
      <c r="A565" s="2" t="s">
        <v>5424</v>
      </c>
      <c r="B565" s="2" t="s">
        <v>8058</v>
      </c>
      <c r="C565" s="2">
        <v>1.96857221E8</v>
      </c>
      <c r="D565" s="2" t="s">
        <v>8059</v>
      </c>
      <c r="E565" s="2">
        <v>4132384.0</v>
      </c>
      <c r="F565" s="2">
        <v>21.0</v>
      </c>
      <c r="G565" s="2">
        <v>125216.0</v>
      </c>
      <c r="H565" s="2" t="s">
        <v>5906</v>
      </c>
      <c r="I565" s="2" t="s">
        <v>5906</v>
      </c>
      <c r="J565" s="2" t="s">
        <v>5484</v>
      </c>
      <c r="K565" s="2" t="s">
        <v>8060</v>
      </c>
      <c r="L565" s="10" t="s">
        <v>8061</v>
      </c>
    </row>
    <row r="566">
      <c r="A566" s="2" t="s">
        <v>5424</v>
      </c>
      <c r="B566" s="2" t="s">
        <v>8062</v>
      </c>
      <c r="C566" s="2">
        <v>2.35026597E8</v>
      </c>
      <c r="D566" s="2" t="s">
        <v>8063</v>
      </c>
      <c r="E566" s="2">
        <v>2338509.0</v>
      </c>
      <c r="F566" s="2">
        <v>228.0</v>
      </c>
      <c r="G566" s="2">
        <v>12463.0</v>
      </c>
      <c r="H566" s="2" t="s">
        <v>5906</v>
      </c>
      <c r="I566" s="2" t="s">
        <v>5906</v>
      </c>
      <c r="K566" s="2" t="s">
        <v>8064</v>
      </c>
      <c r="L566" s="10" t="s">
        <v>8053</v>
      </c>
    </row>
    <row r="567">
      <c r="A567" s="2" t="s">
        <v>5424</v>
      </c>
      <c r="B567" s="2" t="s">
        <v>8065</v>
      </c>
      <c r="C567" s="2">
        <v>5.387942195E9</v>
      </c>
      <c r="D567" s="2" t="s">
        <v>8066</v>
      </c>
      <c r="E567" s="2">
        <v>1579911.0</v>
      </c>
      <c r="F567" s="2">
        <v>170.0</v>
      </c>
      <c r="G567" s="2">
        <v>5234.0</v>
      </c>
      <c r="H567" s="2" t="s">
        <v>5906</v>
      </c>
      <c r="I567" s="2" t="s">
        <v>5905</v>
      </c>
      <c r="K567" s="2" t="s">
        <v>8067</v>
      </c>
      <c r="L567" s="10" t="s">
        <v>8068</v>
      </c>
    </row>
    <row r="568">
      <c r="A568" s="2" t="s">
        <v>5424</v>
      </c>
      <c r="B568" s="2" t="s">
        <v>8069</v>
      </c>
      <c r="C568" s="2">
        <v>1.127617482E9</v>
      </c>
      <c r="D568" s="2" t="s">
        <v>8070</v>
      </c>
      <c r="E568" s="2">
        <v>6341932.0</v>
      </c>
      <c r="F568" s="2">
        <v>497.0</v>
      </c>
      <c r="G568" s="2">
        <v>32517.0</v>
      </c>
      <c r="H568" s="2" t="s">
        <v>5906</v>
      </c>
      <c r="I568" s="2" t="s">
        <v>5906</v>
      </c>
      <c r="J568" s="2" t="s">
        <v>5911</v>
      </c>
      <c r="K568" s="2" t="s">
        <v>8071</v>
      </c>
      <c r="L568" s="10" t="s">
        <v>8072</v>
      </c>
    </row>
    <row r="569">
      <c r="A569" s="2" t="s">
        <v>5424</v>
      </c>
      <c r="B569" s="2" t="s">
        <v>8073</v>
      </c>
      <c r="C569" s="2">
        <v>1.285710711E9</v>
      </c>
      <c r="D569" s="2" t="s">
        <v>8074</v>
      </c>
      <c r="E569" s="2">
        <v>109024.0</v>
      </c>
      <c r="F569" s="2">
        <v>5823.0</v>
      </c>
      <c r="G569" s="2">
        <v>16957.0</v>
      </c>
      <c r="H569" s="2" t="s">
        <v>5905</v>
      </c>
      <c r="I569" s="2" t="s">
        <v>5905</v>
      </c>
      <c r="J569" s="2" t="s">
        <v>5911</v>
      </c>
      <c r="K569" s="2" t="s">
        <v>8075</v>
      </c>
      <c r="L569" s="10" t="s">
        <v>8076</v>
      </c>
    </row>
    <row r="570">
      <c r="A570" s="2" t="s">
        <v>5424</v>
      </c>
      <c r="B570" s="2" t="s">
        <v>8077</v>
      </c>
      <c r="C570" s="2">
        <v>1.2512177673E10</v>
      </c>
      <c r="D570" s="2" t="s">
        <v>8078</v>
      </c>
      <c r="E570" s="2">
        <v>797682.0</v>
      </c>
      <c r="F570" s="2">
        <v>531.0</v>
      </c>
      <c r="G570" s="2">
        <v>22600.0</v>
      </c>
      <c r="H570" s="2" t="s">
        <v>5906</v>
      </c>
      <c r="I570" s="2" t="s">
        <v>5906</v>
      </c>
      <c r="J570" s="2" t="s">
        <v>6199</v>
      </c>
      <c r="K570" s="2" t="s">
        <v>8079</v>
      </c>
      <c r="L570" s="10" t="s">
        <v>8080</v>
      </c>
    </row>
    <row r="571">
      <c r="A571" s="2" t="s">
        <v>5424</v>
      </c>
      <c r="B571" s="2" t="s">
        <v>8081</v>
      </c>
      <c r="C571" s="2">
        <v>9.155181033E9</v>
      </c>
      <c r="D571" s="2" t="s">
        <v>8082</v>
      </c>
      <c r="E571" s="2">
        <v>4705651.0</v>
      </c>
      <c r="F571" s="2">
        <v>807.0</v>
      </c>
      <c r="G571" s="2">
        <v>15637.0</v>
      </c>
      <c r="H571" s="2" t="s">
        <v>5906</v>
      </c>
      <c r="I571" s="2" t="s">
        <v>5906</v>
      </c>
      <c r="K571" s="2" t="s">
        <v>8083</v>
      </c>
      <c r="L571" s="10" t="s">
        <v>8084</v>
      </c>
    </row>
    <row r="572">
      <c r="A572" s="2" t="s">
        <v>5424</v>
      </c>
      <c r="B572" s="2" t="s">
        <v>8085</v>
      </c>
      <c r="C572" s="2">
        <v>1.254050784E9</v>
      </c>
      <c r="D572" s="2" t="s">
        <v>8086</v>
      </c>
      <c r="E572" s="2">
        <v>4237672.0</v>
      </c>
      <c r="F572" s="2">
        <v>624.0</v>
      </c>
      <c r="G572" s="2">
        <v>30974.0</v>
      </c>
      <c r="H572" s="2" t="s">
        <v>5906</v>
      </c>
      <c r="I572" s="2" t="s">
        <v>5906</v>
      </c>
      <c r="J572" s="2" t="s">
        <v>4397</v>
      </c>
      <c r="K572" s="2" t="s">
        <v>8087</v>
      </c>
      <c r="L572" s="10" t="s">
        <v>8053</v>
      </c>
    </row>
    <row r="573">
      <c r="A573" s="2" t="s">
        <v>5424</v>
      </c>
      <c r="B573" s="2" t="s">
        <v>8088</v>
      </c>
      <c r="C573" s="2">
        <v>2.5287997449E10</v>
      </c>
      <c r="D573" s="2" t="s">
        <v>8089</v>
      </c>
      <c r="E573" s="2">
        <v>838552.0</v>
      </c>
      <c r="F573" s="2">
        <v>376.0</v>
      </c>
      <c r="G573" s="2">
        <v>10472.0</v>
      </c>
      <c r="H573" s="2" t="s">
        <v>5906</v>
      </c>
      <c r="I573" s="2" t="s">
        <v>5906</v>
      </c>
      <c r="K573" s="2" t="s">
        <v>8090</v>
      </c>
      <c r="L573" s="10" t="s">
        <v>8091</v>
      </c>
    </row>
    <row r="574">
      <c r="A574" s="2" t="s">
        <v>5424</v>
      </c>
      <c r="B574" s="2" t="s">
        <v>8092</v>
      </c>
      <c r="C574" s="2">
        <v>2.119061979E9</v>
      </c>
      <c r="D574" s="2" t="s">
        <v>8093</v>
      </c>
      <c r="E574" s="2">
        <v>2047427.0</v>
      </c>
      <c r="F574" s="2">
        <v>431.0</v>
      </c>
      <c r="G574" s="2">
        <v>28989.0</v>
      </c>
      <c r="H574" s="2" t="s">
        <v>5906</v>
      </c>
      <c r="I574" s="2" t="s">
        <v>5906</v>
      </c>
      <c r="J574" s="2" t="s">
        <v>5911</v>
      </c>
      <c r="K574" s="2" t="s">
        <v>8094</v>
      </c>
      <c r="L574" s="10" t="s">
        <v>8095</v>
      </c>
    </row>
    <row r="575">
      <c r="A575" s="2" t="s">
        <v>5424</v>
      </c>
      <c r="B575" s="2" t="s">
        <v>8096</v>
      </c>
      <c r="C575" s="2">
        <v>1.8473521E7</v>
      </c>
      <c r="D575" s="2" t="s">
        <v>8097</v>
      </c>
      <c r="E575" s="2">
        <v>1276414.0</v>
      </c>
      <c r="F575" s="2">
        <v>588.0</v>
      </c>
      <c r="G575" s="2">
        <v>20643.0</v>
      </c>
      <c r="H575" s="2" t="s">
        <v>5906</v>
      </c>
      <c r="I575" s="2" t="s">
        <v>5906</v>
      </c>
      <c r="K575" s="2" t="s">
        <v>8098</v>
      </c>
      <c r="L575" s="10" t="s">
        <v>8053</v>
      </c>
    </row>
    <row r="576">
      <c r="A576" s="2" t="s">
        <v>5424</v>
      </c>
      <c r="B576" s="2" t="s">
        <v>8099</v>
      </c>
      <c r="C576" s="2">
        <v>1.31613671E9</v>
      </c>
      <c r="D576" s="2" t="s">
        <v>8100</v>
      </c>
      <c r="E576" s="2">
        <v>7384852.0</v>
      </c>
      <c r="F576" s="2">
        <v>360.0</v>
      </c>
      <c r="G576" s="2">
        <v>39811.0</v>
      </c>
      <c r="H576" s="2" t="s">
        <v>5906</v>
      </c>
      <c r="I576" s="2" t="s">
        <v>5906</v>
      </c>
      <c r="K576" s="2" t="s">
        <v>8101</v>
      </c>
      <c r="L576" s="10" t="s">
        <v>8053</v>
      </c>
    </row>
    <row r="577">
      <c r="A577" s="2" t="s">
        <v>5321</v>
      </c>
      <c r="B577" s="2" t="s">
        <v>8102</v>
      </c>
      <c r="C577" s="2">
        <v>4.89340919E8</v>
      </c>
      <c r="D577" s="2" t="s">
        <v>5321</v>
      </c>
      <c r="E577" s="2">
        <v>627682.0</v>
      </c>
      <c r="F577" s="2">
        <v>1421.0</v>
      </c>
      <c r="G577" s="2">
        <v>14089.0</v>
      </c>
      <c r="H577" s="2" t="s">
        <v>5906</v>
      </c>
      <c r="I577" s="2" t="s">
        <v>5906</v>
      </c>
      <c r="K577" s="2" t="s">
        <v>8103</v>
      </c>
      <c r="L577" s="10" t="s">
        <v>8104</v>
      </c>
    </row>
    <row r="578">
      <c r="A578" s="2" t="s">
        <v>5321</v>
      </c>
      <c r="B578" s="2" t="s">
        <v>8105</v>
      </c>
      <c r="C578" s="2">
        <v>2.932008175E9</v>
      </c>
      <c r="D578" s="2" t="s">
        <v>5321</v>
      </c>
      <c r="E578" s="2">
        <v>12655.0</v>
      </c>
      <c r="F578" s="2">
        <v>896.0</v>
      </c>
      <c r="G578" s="2">
        <v>106.0</v>
      </c>
      <c r="H578" s="2" t="s">
        <v>5905</v>
      </c>
      <c r="I578" s="2" t="s">
        <v>5906</v>
      </c>
      <c r="J578" s="2" t="s">
        <v>6414</v>
      </c>
      <c r="K578" s="2" t="s">
        <v>8106</v>
      </c>
      <c r="L578" s="10" t="s">
        <v>8107</v>
      </c>
    </row>
    <row r="579">
      <c r="A579" s="2" t="s">
        <v>5321</v>
      </c>
      <c r="B579" s="2" t="s">
        <v>8108</v>
      </c>
      <c r="C579" s="2">
        <v>1.7036572E7</v>
      </c>
      <c r="D579" s="2" t="s">
        <v>8109</v>
      </c>
      <c r="E579" s="2">
        <v>440556.0</v>
      </c>
      <c r="F579" s="2">
        <v>127.0</v>
      </c>
      <c r="G579" s="2">
        <v>14480.0</v>
      </c>
      <c r="H579" s="2" t="s">
        <v>5906</v>
      </c>
      <c r="I579" s="2" t="s">
        <v>5906</v>
      </c>
      <c r="J579" s="2" t="s">
        <v>5518</v>
      </c>
      <c r="K579" s="2" t="s">
        <v>8110</v>
      </c>
      <c r="L579" s="10" t="s">
        <v>8111</v>
      </c>
    </row>
    <row r="580">
      <c r="A580" s="2" t="s">
        <v>5321</v>
      </c>
      <c r="B580" s="2" t="s">
        <v>8112</v>
      </c>
      <c r="C580" s="2">
        <v>1.426297454E9</v>
      </c>
      <c r="D580" s="2" t="s">
        <v>5321</v>
      </c>
      <c r="E580" s="2">
        <v>161457.0</v>
      </c>
      <c r="F580" s="2">
        <v>4578.0</v>
      </c>
      <c r="G580" s="2">
        <v>4660.0</v>
      </c>
      <c r="H580" s="2" t="s">
        <v>5905</v>
      </c>
      <c r="I580" s="2" t="s">
        <v>5906</v>
      </c>
      <c r="J580" s="2" t="s">
        <v>6166</v>
      </c>
      <c r="K580" s="2" t="s">
        <v>8113</v>
      </c>
      <c r="L580" s="10" t="s">
        <v>8114</v>
      </c>
    </row>
    <row r="581">
      <c r="A581" s="2" t="s">
        <v>5321</v>
      </c>
      <c r="B581" s="2" t="s">
        <v>8115</v>
      </c>
      <c r="C581" s="2">
        <v>6.0986295878E10</v>
      </c>
      <c r="D581" s="2" t="s">
        <v>8116</v>
      </c>
      <c r="E581" s="2">
        <v>40384.0</v>
      </c>
      <c r="F581" s="2">
        <v>3075.0</v>
      </c>
      <c r="G581" s="2">
        <v>483.0</v>
      </c>
      <c r="H581" s="2" t="s">
        <v>5906</v>
      </c>
      <c r="I581" s="2" t="s">
        <v>5905</v>
      </c>
      <c r="J581" s="2" t="s">
        <v>5959</v>
      </c>
      <c r="K581" s="2" t="s">
        <v>8117</v>
      </c>
      <c r="L581" s="10" t="s">
        <v>8118</v>
      </c>
    </row>
    <row r="582">
      <c r="A582" s="2" t="s">
        <v>5321</v>
      </c>
      <c r="B582" s="2" t="s">
        <v>8119</v>
      </c>
      <c r="C582" s="2">
        <v>1.486346339E9</v>
      </c>
      <c r="D582" s="2" t="s">
        <v>8120</v>
      </c>
      <c r="E582" s="2">
        <v>292259.0</v>
      </c>
      <c r="F582" s="2">
        <v>19.0</v>
      </c>
      <c r="G582" s="2">
        <v>15548.0</v>
      </c>
      <c r="H582" s="2" t="s">
        <v>5906</v>
      </c>
      <c r="I582" s="2" t="s">
        <v>5906</v>
      </c>
      <c r="J582" s="2" t="s">
        <v>5480</v>
      </c>
      <c r="K582" s="2" t="s">
        <v>8121</v>
      </c>
      <c r="L582" s="10" t="s">
        <v>8122</v>
      </c>
    </row>
    <row r="583">
      <c r="A583" s="2" t="s">
        <v>5321</v>
      </c>
      <c r="B583" s="2" t="s">
        <v>8123</v>
      </c>
      <c r="C583" s="2">
        <v>6.6649705728E10</v>
      </c>
      <c r="D583" s="2" t="s">
        <v>8124</v>
      </c>
      <c r="E583" s="2">
        <v>15429.0</v>
      </c>
      <c r="F583" s="2">
        <v>4.0</v>
      </c>
      <c r="G583" s="2">
        <v>841.0</v>
      </c>
      <c r="H583" s="2" t="s">
        <v>5906</v>
      </c>
      <c r="I583" s="2" t="s">
        <v>5906</v>
      </c>
      <c r="J583" s="2" t="s">
        <v>5518</v>
      </c>
      <c r="K583" s="2" t="s">
        <v>8125</v>
      </c>
      <c r="L583" s="10" t="s">
        <v>8126</v>
      </c>
    </row>
    <row r="584">
      <c r="A584" s="2" t="s">
        <v>5321</v>
      </c>
      <c r="B584" s="2" t="s">
        <v>8127</v>
      </c>
      <c r="C584" s="2">
        <v>3.445917245E9</v>
      </c>
      <c r="D584" s="2" t="s">
        <v>8128</v>
      </c>
      <c r="E584" s="2">
        <v>1883315.0</v>
      </c>
      <c r="F584" s="2">
        <v>2.0</v>
      </c>
      <c r="G584" s="2">
        <v>14929.0</v>
      </c>
      <c r="H584" s="2" t="s">
        <v>5906</v>
      </c>
      <c r="I584" s="2" t="s">
        <v>5905</v>
      </c>
      <c r="J584" s="2" t="s">
        <v>5959</v>
      </c>
      <c r="K584" s="2" t="s">
        <v>8129</v>
      </c>
      <c r="L584" s="10" t="s">
        <v>8130</v>
      </c>
    </row>
    <row r="585">
      <c r="A585" s="2" t="s">
        <v>5321</v>
      </c>
      <c r="B585" s="2" t="s">
        <v>8131</v>
      </c>
      <c r="C585" s="2">
        <v>7.033021049E9</v>
      </c>
      <c r="D585" s="2" t="s">
        <v>8132</v>
      </c>
      <c r="E585" s="2">
        <v>17038.0</v>
      </c>
      <c r="F585" s="2">
        <v>13.0</v>
      </c>
      <c r="G585" s="2">
        <v>1159.0</v>
      </c>
      <c r="H585" s="2" t="s">
        <v>5905</v>
      </c>
      <c r="I585" s="2" t="s">
        <v>5906</v>
      </c>
      <c r="K585" s="2" t="s">
        <v>8133</v>
      </c>
      <c r="L585" s="10" t="s">
        <v>8134</v>
      </c>
    </row>
    <row r="586">
      <c r="A586" s="2" t="s">
        <v>5321</v>
      </c>
      <c r="B586" s="2" t="s">
        <v>8135</v>
      </c>
      <c r="C586" s="2">
        <v>7.17310406E8</v>
      </c>
      <c r="D586" s="2" t="s">
        <v>8136</v>
      </c>
      <c r="E586" s="2">
        <v>17630.0</v>
      </c>
      <c r="F586" s="2">
        <v>387.0</v>
      </c>
      <c r="G586" s="2">
        <v>1370.0</v>
      </c>
      <c r="H586" s="2" t="s">
        <v>5905</v>
      </c>
      <c r="I586" s="2" t="s">
        <v>5906</v>
      </c>
      <c r="K586" s="2" t="s">
        <v>8137</v>
      </c>
      <c r="L586" s="10" t="s">
        <v>8138</v>
      </c>
    </row>
    <row r="587">
      <c r="A587" s="2" t="s">
        <v>5321</v>
      </c>
      <c r="B587" s="2" t="s">
        <v>8139</v>
      </c>
      <c r="C587" s="2">
        <v>1.567809638E9</v>
      </c>
      <c r="D587" s="2" t="s">
        <v>8140</v>
      </c>
      <c r="E587" s="2">
        <v>86826.0</v>
      </c>
      <c r="F587" s="2">
        <v>0.0</v>
      </c>
      <c r="G587" s="2">
        <v>2569.0</v>
      </c>
      <c r="H587" s="2" t="s">
        <v>5905</v>
      </c>
      <c r="I587" s="2" t="s">
        <v>5906</v>
      </c>
      <c r="J587" s="2" t="s">
        <v>5518</v>
      </c>
      <c r="K587" s="2" t="s">
        <v>8141</v>
      </c>
    </row>
    <row r="588">
      <c r="A588" s="2" t="s">
        <v>5321</v>
      </c>
      <c r="B588" s="2" t="s">
        <v>8142</v>
      </c>
      <c r="C588" s="2">
        <v>4.8132888802E10</v>
      </c>
      <c r="D588" s="2" t="s">
        <v>8143</v>
      </c>
      <c r="E588" s="2">
        <v>11437.0</v>
      </c>
      <c r="F588" s="2">
        <v>258.0</v>
      </c>
      <c r="G588" s="2">
        <v>3.0</v>
      </c>
      <c r="H588" s="2" t="s">
        <v>5905</v>
      </c>
      <c r="I588" s="2" t="s">
        <v>5905</v>
      </c>
      <c r="J588" s="2" t="s">
        <v>8144</v>
      </c>
      <c r="K588" s="2" t="s">
        <v>8145</v>
      </c>
    </row>
    <row r="589">
      <c r="A589" s="2" t="s">
        <v>5321</v>
      </c>
      <c r="B589" s="2" t="s">
        <v>8146</v>
      </c>
      <c r="C589" s="2">
        <v>2.3540385E7</v>
      </c>
      <c r="D589" s="2" t="s">
        <v>8147</v>
      </c>
      <c r="E589" s="2">
        <v>327637.0</v>
      </c>
      <c r="F589" s="2">
        <v>610.0</v>
      </c>
      <c r="G589" s="2">
        <v>7134.0</v>
      </c>
      <c r="H589" s="2" t="s">
        <v>5906</v>
      </c>
      <c r="I589" s="2" t="s">
        <v>5906</v>
      </c>
      <c r="K589" s="2" t="s">
        <v>8148</v>
      </c>
      <c r="L589" s="10" t="s">
        <v>8149</v>
      </c>
    </row>
    <row r="590">
      <c r="A590" s="2" t="s">
        <v>5410</v>
      </c>
      <c r="B590" s="2" t="s">
        <v>8150</v>
      </c>
      <c r="C590" s="2">
        <v>8.279970066E9</v>
      </c>
      <c r="D590" s="2" t="s">
        <v>5410</v>
      </c>
      <c r="E590" s="2">
        <v>15423.0</v>
      </c>
      <c r="F590" s="2">
        <v>25.0</v>
      </c>
      <c r="G590" s="2">
        <v>840.0</v>
      </c>
      <c r="H590" s="2" t="s">
        <v>5906</v>
      </c>
      <c r="I590" s="2" t="s">
        <v>5906</v>
      </c>
      <c r="J590" s="2" t="s">
        <v>5907</v>
      </c>
      <c r="K590" s="2" t="s">
        <v>8151</v>
      </c>
      <c r="L590" s="10" t="s">
        <v>8152</v>
      </c>
    </row>
    <row r="591">
      <c r="A591" s="2" t="s">
        <v>5410</v>
      </c>
      <c r="B591" s="2" t="s">
        <v>8153</v>
      </c>
      <c r="C591" s="2">
        <v>2.143743631E9</v>
      </c>
      <c r="D591" s="10" t="s">
        <v>8154</v>
      </c>
      <c r="E591" s="2">
        <v>12346.0</v>
      </c>
      <c r="F591" s="2">
        <v>105.0</v>
      </c>
      <c r="G591" s="2">
        <v>3936.0</v>
      </c>
      <c r="H591" s="2" t="s">
        <v>5905</v>
      </c>
      <c r="I591" s="2" t="s">
        <v>5906</v>
      </c>
      <c r="K591" s="2" t="s">
        <v>8155</v>
      </c>
      <c r="L591" s="10" t="s">
        <v>8156</v>
      </c>
    </row>
    <row r="592">
      <c r="A592" s="2" t="s">
        <v>5410</v>
      </c>
      <c r="B592" s="2" t="s">
        <v>8157</v>
      </c>
      <c r="C592" s="2">
        <v>1.531262267E9</v>
      </c>
      <c r="D592" s="10" t="s">
        <v>8158</v>
      </c>
      <c r="E592" s="2">
        <v>40727.0</v>
      </c>
      <c r="F592" s="2">
        <v>46.0</v>
      </c>
      <c r="G592" s="2">
        <v>146.0</v>
      </c>
      <c r="H592" s="2" t="s">
        <v>5905</v>
      </c>
      <c r="I592" s="2" t="s">
        <v>5906</v>
      </c>
      <c r="K592" s="2" t="s">
        <v>8159</v>
      </c>
    </row>
    <row r="593">
      <c r="A593" s="2" t="s">
        <v>5296</v>
      </c>
      <c r="B593" s="2" t="s">
        <v>8160</v>
      </c>
      <c r="C593" s="2">
        <v>8.567969207E9</v>
      </c>
      <c r="D593" s="2" t="s">
        <v>8161</v>
      </c>
      <c r="E593" s="2">
        <v>161334.0</v>
      </c>
      <c r="F593" s="2">
        <v>17.0</v>
      </c>
      <c r="G593" s="2">
        <v>21963.0</v>
      </c>
      <c r="H593" s="2" t="s">
        <v>5906</v>
      </c>
      <c r="I593" s="2" t="s">
        <v>5906</v>
      </c>
      <c r="J593" s="2" t="s">
        <v>5911</v>
      </c>
      <c r="K593" s="2" t="s">
        <v>8162</v>
      </c>
      <c r="L593" s="10" t="s">
        <v>8163</v>
      </c>
    </row>
    <row r="594">
      <c r="A594" s="2" t="s">
        <v>5296</v>
      </c>
      <c r="B594" s="2" t="s">
        <v>8164</v>
      </c>
      <c r="C594" s="2">
        <v>6.743535297E9</v>
      </c>
      <c r="D594" s="12" t="s">
        <v>8165</v>
      </c>
      <c r="E594" s="2">
        <v>127433.0</v>
      </c>
      <c r="F594" s="2">
        <v>16.0</v>
      </c>
      <c r="G594" s="2">
        <v>7605.0</v>
      </c>
      <c r="H594" s="2" t="s">
        <v>5906</v>
      </c>
      <c r="I594" s="2" t="s">
        <v>5906</v>
      </c>
      <c r="K594" s="12" t="s">
        <v>8166</v>
      </c>
      <c r="L594" s="10" t="s">
        <v>8167</v>
      </c>
    </row>
    <row r="595">
      <c r="A595" s="2" t="s">
        <v>5296</v>
      </c>
      <c r="B595" s="2" t="s">
        <v>8168</v>
      </c>
      <c r="C595" s="2">
        <v>3.966099973E9</v>
      </c>
      <c r="D595" s="2" t="s">
        <v>8169</v>
      </c>
      <c r="E595" s="2">
        <v>29662.0</v>
      </c>
      <c r="F595" s="2">
        <v>69.0</v>
      </c>
      <c r="G595" s="2">
        <v>5543.0</v>
      </c>
      <c r="H595" s="2" t="s">
        <v>5906</v>
      </c>
      <c r="I595" s="2" t="s">
        <v>5906</v>
      </c>
      <c r="J595" s="2" t="s">
        <v>5911</v>
      </c>
      <c r="K595" s="2" t="s">
        <v>8170</v>
      </c>
      <c r="L595" s="10" t="s">
        <v>8171</v>
      </c>
    </row>
    <row r="596">
      <c r="A596" s="2" t="s">
        <v>5296</v>
      </c>
      <c r="B596" s="2" t="s">
        <v>8172</v>
      </c>
      <c r="C596" s="2">
        <v>7.182162967E9</v>
      </c>
      <c r="D596" s="2" t="s">
        <v>8173</v>
      </c>
      <c r="E596" s="2">
        <v>142116.0</v>
      </c>
      <c r="F596" s="2">
        <v>22.0</v>
      </c>
      <c r="G596" s="2">
        <v>6153.0</v>
      </c>
      <c r="H596" s="2" t="s">
        <v>5906</v>
      </c>
      <c r="I596" s="2" t="s">
        <v>5906</v>
      </c>
      <c r="J596" s="2" t="s">
        <v>5911</v>
      </c>
      <c r="K596" s="2" t="s">
        <v>8174</v>
      </c>
      <c r="L596" s="10" t="s">
        <v>8175</v>
      </c>
    </row>
    <row r="597">
      <c r="A597" s="2" t="s">
        <v>5296</v>
      </c>
      <c r="B597" s="2" t="s">
        <v>8176</v>
      </c>
      <c r="C597" s="2">
        <v>7.668327028E9</v>
      </c>
      <c r="D597" s="2" t="s">
        <v>8177</v>
      </c>
      <c r="E597" s="2">
        <v>38277.0</v>
      </c>
      <c r="F597" s="2">
        <v>139.0</v>
      </c>
      <c r="G597" s="2">
        <v>5090.0</v>
      </c>
      <c r="H597" s="2" t="s">
        <v>5906</v>
      </c>
      <c r="I597" s="2" t="s">
        <v>5906</v>
      </c>
      <c r="K597" s="2" t="s">
        <v>8178</v>
      </c>
      <c r="L597" s="10" t="s">
        <v>8179</v>
      </c>
    </row>
    <row r="598">
      <c r="A598" s="2" t="s">
        <v>5296</v>
      </c>
      <c r="B598" s="2" t="s">
        <v>8180</v>
      </c>
      <c r="C598" s="2">
        <v>3.9466179003E10</v>
      </c>
      <c r="D598" s="2" t="s">
        <v>8181</v>
      </c>
      <c r="E598" s="2">
        <v>20328.0</v>
      </c>
      <c r="F598" s="2">
        <v>3.0</v>
      </c>
      <c r="G598" s="2">
        <v>7193.0</v>
      </c>
      <c r="H598" s="2" t="s">
        <v>5906</v>
      </c>
      <c r="I598" s="2" t="s">
        <v>5906</v>
      </c>
      <c r="J598" s="2" t="s">
        <v>5911</v>
      </c>
      <c r="K598" s="2" t="s">
        <v>8182</v>
      </c>
      <c r="L598" s="10" t="s">
        <v>8183</v>
      </c>
    </row>
    <row r="599">
      <c r="A599" s="2" t="s">
        <v>5296</v>
      </c>
      <c r="B599" s="2" t="s">
        <v>8184</v>
      </c>
      <c r="C599" s="2">
        <v>2.003616263E9</v>
      </c>
      <c r="D599" s="12" t="s">
        <v>8185</v>
      </c>
      <c r="E599" s="2">
        <v>2983354.0</v>
      </c>
      <c r="F599" s="2">
        <v>18.0</v>
      </c>
      <c r="G599" s="2">
        <v>44468.0</v>
      </c>
      <c r="H599" s="2" t="s">
        <v>5906</v>
      </c>
      <c r="I599" s="2" t="s">
        <v>5906</v>
      </c>
      <c r="J599" s="2" t="s">
        <v>5907</v>
      </c>
      <c r="K599" s="12" t="s">
        <v>8186</v>
      </c>
      <c r="L599" s="10" t="s">
        <v>8187</v>
      </c>
    </row>
    <row r="600">
      <c r="A600" s="2" t="s">
        <v>5296</v>
      </c>
      <c r="B600" s="2" t="s">
        <v>8188</v>
      </c>
      <c r="C600" s="2">
        <v>3.244005898E9</v>
      </c>
      <c r="D600" s="2" t="s">
        <v>8188</v>
      </c>
      <c r="E600" s="2">
        <v>88353.0</v>
      </c>
      <c r="F600" s="2">
        <v>385.0</v>
      </c>
      <c r="G600" s="2">
        <v>2727.0</v>
      </c>
      <c r="H600" s="2" t="s">
        <v>5906</v>
      </c>
      <c r="I600" s="2" t="s">
        <v>5906</v>
      </c>
      <c r="J600" s="2" t="s">
        <v>5911</v>
      </c>
      <c r="K600" s="2" t="s">
        <v>8189</v>
      </c>
      <c r="L600" s="10" t="s">
        <v>8190</v>
      </c>
    </row>
    <row r="601">
      <c r="A601" s="2" t="s">
        <v>5296</v>
      </c>
      <c r="B601" s="2" t="s">
        <v>8191</v>
      </c>
      <c r="C601" s="2">
        <v>4.514519831E9</v>
      </c>
      <c r="D601" s="2" t="s">
        <v>8192</v>
      </c>
      <c r="E601" s="2">
        <v>264822.0</v>
      </c>
      <c r="F601" s="2">
        <v>16.0</v>
      </c>
      <c r="G601" s="2">
        <v>4912.0</v>
      </c>
      <c r="H601" s="2" t="s">
        <v>5906</v>
      </c>
      <c r="I601" s="2" t="s">
        <v>5906</v>
      </c>
      <c r="K601" s="2" t="s">
        <v>8193</v>
      </c>
      <c r="L601" s="10" t="s">
        <v>8194</v>
      </c>
    </row>
    <row r="602">
      <c r="A602" s="2" t="s">
        <v>5296</v>
      </c>
      <c r="B602" s="10" t="s">
        <v>8195</v>
      </c>
      <c r="C602" s="2">
        <v>1.453020368E9</v>
      </c>
      <c r="D602" s="2" t="s">
        <v>8196</v>
      </c>
      <c r="E602" s="2">
        <v>712274.0</v>
      </c>
      <c r="F602" s="2">
        <v>96.0</v>
      </c>
      <c r="G602" s="2">
        <v>8964.0</v>
      </c>
      <c r="H602" s="2" t="s">
        <v>5906</v>
      </c>
      <c r="I602" s="2" t="s">
        <v>5906</v>
      </c>
      <c r="J602" s="2" t="s">
        <v>5480</v>
      </c>
      <c r="K602" s="2" t="s">
        <v>8197</v>
      </c>
      <c r="L602" s="10" t="s">
        <v>8198</v>
      </c>
    </row>
    <row r="603">
      <c r="A603" s="2" t="s">
        <v>5581</v>
      </c>
      <c r="B603" s="2" t="s">
        <v>8199</v>
      </c>
      <c r="C603" s="2">
        <v>7.0293425054E10</v>
      </c>
      <c r="D603" s="2" t="s">
        <v>8200</v>
      </c>
      <c r="E603" s="2">
        <v>11421.0</v>
      </c>
      <c r="F603" s="2">
        <v>1.0</v>
      </c>
      <c r="G603" s="2">
        <v>9.0</v>
      </c>
      <c r="H603" s="2" t="s">
        <v>5905</v>
      </c>
      <c r="I603" s="2" t="s">
        <v>5906</v>
      </c>
      <c r="J603" s="2" t="s">
        <v>8201</v>
      </c>
      <c r="K603" s="2" t="s">
        <v>8202</v>
      </c>
    </row>
    <row r="604">
      <c r="A604" s="2" t="s">
        <v>5581</v>
      </c>
      <c r="B604" s="2" t="s">
        <v>8203</v>
      </c>
      <c r="C604" s="2">
        <v>1244695.0</v>
      </c>
      <c r="D604" s="2" t="s">
        <v>8204</v>
      </c>
      <c r="E604" s="2">
        <v>240529.0</v>
      </c>
      <c r="F604" s="2">
        <v>1144.0</v>
      </c>
      <c r="G604" s="2">
        <v>3586.0</v>
      </c>
      <c r="H604" s="2" t="s">
        <v>5905</v>
      </c>
      <c r="I604" s="2" t="s">
        <v>5905</v>
      </c>
      <c r="J604" s="2" t="s">
        <v>6414</v>
      </c>
      <c r="K604" s="2" t="s">
        <v>8205</v>
      </c>
    </row>
    <row r="605">
      <c r="A605" s="2" t="s">
        <v>5581</v>
      </c>
      <c r="B605" s="2" t="s">
        <v>8206</v>
      </c>
      <c r="C605" s="2">
        <v>2.36364349E8</v>
      </c>
      <c r="E605" s="2">
        <v>156948.0</v>
      </c>
      <c r="F605" s="2">
        <v>649.0</v>
      </c>
      <c r="G605" s="2">
        <v>50.0</v>
      </c>
      <c r="H605" s="2" t="s">
        <v>5905</v>
      </c>
      <c r="I605" s="2" t="s">
        <v>5905</v>
      </c>
      <c r="J605" s="2" t="s">
        <v>5959</v>
      </c>
      <c r="K605" s="2" t="s">
        <v>8207</v>
      </c>
      <c r="L605" s="10" t="s">
        <v>8208</v>
      </c>
    </row>
    <row r="606">
      <c r="A606" s="2" t="s">
        <v>5581</v>
      </c>
      <c r="B606" s="2" t="s">
        <v>8209</v>
      </c>
      <c r="C606" s="2">
        <v>2.254296543E9</v>
      </c>
      <c r="D606" s="2" t="s">
        <v>8210</v>
      </c>
      <c r="E606" s="2">
        <v>493095.0</v>
      </c>
      <c r="F606" s="2">
        <v>232.0</v>
      </c>
      <c r="G606" s="2">
        <v>2640.0</v>
      </c>
      <c r="H606" s="2" t="s">
        <v>5905</v>
      </c>
      <c r="I606" s="2" t="s">
        <v>5906</v>
      </c>
      <c r="J606" s="2" t="s">
        <v>6166</v>
      </c>
      <c r="K606" s="2" t="s">
        <v>8211</v>
      </c>
      <c r="L606" s="10" t="s">
        <v>8212</v>
      </c>
    </row>
    <row r="607">
      <c r="A607" s="2" t="s">
        <v>5581</v>
      </c>
      <c r="B607" s="2" t="s">
        <v>8213</v>
      </c>
      <c r="C607" s="2">
        <v>2.38816505E8</v>
      </c>
      <c r="D607" s="2" t="s">
        <v>8214</v>
      </c>
      <c r="E607" s="2">
        <v>15110.0</v>
      </c>
      <c r="F607" s="2">
        <v>1462.0</v>
      </c>
      <c r="G607" s="2">
        <v>221.0</v>
      </c>
      <c r="H607" s="2" t="s">
        <v>5906</v>
      </c>
      <c r="I607" s="2" t="s">
        <v>5906</v>
      </c>
      <c r="J607" s="2" t="s">
        <v>5993</v>
      </c>
      <c r="K607" s="2" t="s">
        <v>8215</v>
      </c>
      <c r="L607" s="10" t="s">
        <v>8216</v>
      </c>
    </row>
    <row r="608">
      <c r="A608" s="2" t="s">
        <v>5581</v>
      </c>
      <c r="B608" s="2" t="s">
        <v>8217</v>
      </c>
      <c r="C608" s="2">
        <v>3.0996629E7</v>
      </c>
      <c r="E608" s="2">
        <v>11922.0</v>
      </c>
      <c r="F608" s="2">
        <v>7499.0</v>
      </c>
      <c r="G608" s="2">
        <v>18.0</v>
      </c>
      <c r="H608" s="2" t="s">
        <v>5905</v>
      </c>
      <c r="I608" s="2" t="s">
        <v>5905</v>
      </c>
      <c r="K608" s="2" t="s">
        <v>8218</v>
      </c>
      <c r="L608" s="10" t="s">
        <v>8219</v>
      </c>
    </row>
    <row r="609">
      <c r="A609" s="2" t="s">
        <v>5581</v>
      </c>
      <c r="B609" s="2" t="s">
        <v>8220</v>
      </c>
      <c r="C609" s="2">
        <v>7.4272328265E10</v>
      </c>
      <c r="E609" s="2">
        <v>68156.0</v>
      </c>
      <c r="F609" s="2">
        <v>1026.0</v>
      </c>
      <c r="G609" s="2">
        <v>233.0</v>
      </c>
      <c r="H609" s="2" t="s">
        <v>5905</v>
      </c>
      <c r="I609" s="2" t="s">
        <v>5905</v>
      </c>
      <c r="J609" s="2" t="s">
        <v>5561</v>
      </c>
      <c r="K609" s="2" t="s">
        <v>8221</v>
      </c>
    </row>
    <row r="610">
      <c r="A610" s="2" t="s">
        <v>5536</v>
      </c>
      <c r="B610" s="2" t="s">
        <v>8222</v>
      </c>
      <c r="C610" s="2">
        <v>8.633746335E9</v>
      </c>
      <c r="D610" s="2" t="s">
        <v>8223</v>
      </c>
      <c r="E610" s="2">
        <v>32526.0</v>
      </c>
      <c r="F610" s="2">
        <v>8.0</v>
      </c>
      <c r="G610" s="2">
        <v>20.0</v>
      </c>
      <c r="H610" s="2" t="s">
        <v>5905</v>
      </c>
      <c r="I610" s="2" t="s">
        <v>5905</v>
      </c>
      <c r="J610" s="2" t="s">
        <v>5907</v>
      </c>
      <c r="K610" s="2" t="s">
        <v>8224</v>
      </c>
    </row>
    <row r="611">
      <c r="A611" s="2" t="s">
        <v>5536</v>
      </c>
      <c r="B611" s="2" t="s">
        <v>8225</v>
      </c>
      <c r="C611" s="2">
        <v>4.4986797715E10</v>
      </c>
      <c r="D611" s="10" t="s">
        <v>8226</v>
      </c>
      <c r="E611" s="2">
        <v>35282.0</v>
      </c>
      <c r="F611" s="2">
        <v>1.0</v>
      </c>
      <c r="G611" s="2">
        <v>433.0</v>
      </c>
      <c r="H611" s="2" t="s">
        <v>5906</v>
      </c>
      <c r="I611" s="2" t="s">
        <v>5906</v>
      </c>
      <c r="J611" s="2" t="s">
        <v>8227</v>
      </c>
      <c r="K611" s="2" t="s">
        <v>8228</v>
      </c>
      <c r="L611" s="10" t="s">
        <v>8229</v>
      </c>
    </row>
    <row r="612">
      <c r="A612" s="2" t="s">
        <v>5536</v>
      </c>
      <c r="B612" s="2" t="s">
        <v>8230</v>
      </c>
      <c r="C612" s="2">
        <v>4.8055948772E10</v>
      </c>
      <c r="D612" s="10" t="s">
        <v>8231</v>
      </c>
      <c r="E612" s="2">
        <v>490831.0</v>
      </c>
      <c r="F612" s="2">
        <v>18.0</v>
      </c>
      <c r="G612" s="2">
        <v>1334.0</v>
      </c>
      <c r="H612" s="2" t="s">
        <v>5906</v>
      </c>
      <c r="I612" s="2" t="s">
        <v>5906</v>
      </c>
      <c r="J612" s="2" t="s">
        <v>5907</v>
      </c>
      <c r="K612" s="2" t="s">
        <v>8232</v>
      </c>
      <c r="L612" s="10" t="s">
        <v>8233</v>
      </c>
    </row>
    <row r="613">
      <c r="A613" s="2" t="s">
        <v>5536</v>
      </c>
      <c r="B613" s="2" t="s">
        <v>8234</v>
      </c>
      <c r="C613" s="2">
        <v>2.5480631704E10</v>
      </c>
      <c r="D613" s="2" t="s">
        <v>8235</v>
      </c>
      <c r="E613" s="2">
        <v>836823.0</v>
      </c>
      <c r="F613" s="2">
        <v>271.0</v>
      </c>
      <c r="G613" s="2">
        <v>6747.0</v>
      </c>
      <c r="H613" s="2" t="s">
        <v>5905</v>
      </c>
      <c r="I613" s="2" t="s">
        <v>5906</v>
      </c>
      <c r="J613" s="2" t="s">
        <v>5911</v>
      </c>
      <c r="K613" s="2" t="s">
        <v>8236</v>
      </c>
      <c r="L613" s="10" t="s">
        <v>8237</v>
      </c>
    </row>
    <row r="614">
      <c r="A614" s="2" t="s">
        <v>5342</v>
      </c>
      <c r="B614" s="2" t="s">
        <v>8238</v>
      </c>
      <c r="C614" s="2">
        <v>5.472255871E9</v>
      </c>
      <c r="D614" s="2" t="s">
        <v>8239</v>
      </c>
      <c r="E614" s="2">
        <v>156855.0</v>
      </c>
      <c r="F614" s="2">
        <v>260.0</v>
      </c>
      <c r="G614" s="2">
        <v>996.0</v>
      </c>
      <c r="H614" s="2" t="s">
        <v>5905</v>
      </c>
      <c r="I614" s="2" t="s">
        <v>5906</v>
      </c>
      <c r="J614" s="2" t="s">
        <v>6393</v>
      </c>
      <c r="K614" s="2" t="s">
        <v>8240</v>
      </c>
    </row>
    <row r="615">
      <c r="A615" s="2" t="s">
        <v>5342</v>
      </c>
      <c r="B615" s="2" t="s">
        <v>8241</v>
      </c>
      <c r="C615" s="2">
        <v>2.018459463E9</v>
      </c>
      <c r="D615" s="2" t="s">
        <v>8242</v>
      </c>
      <c r="E615" s="2">
        <v>38813.0</v>
      </c>
      <c r="F615" s="2">
        <v>342.0</v>
      </c>
      <c r="G615" s="2">
        <v>2456.0</v>
      </c>
      <c r="H615" s="2" t="s">
        <v>5905</v>
      </c>
      <c r="I615" s="2" t="s">
        <v>5905</v>
      </c>
      <c r="J615" s="2" t="s">
        <v>5492</v>
      </c>
      <c r="K615" s="2" t="s">
        <v>8243</v>
      </c>
    </row>
    <row r="616">
      <c r="A616" s="2" t="s">
        <v>5342</v>
      </c>
      <c r="B616" s="2" t="s">
        <v>8244</v>
      </c>
      <c r="C616" s="2">
        <v>1.6929279E7</v>
      </c>
      <c r="D616" s="2" t="s">
        <v>5342</v>
      </c>
      <c r="E616" s="2">
        <v>618238.0</v>
      </c>
      <c r="F616" s="2">
        <v>640.0</v>
      </c>
      <c r="G616" s="2">
        <v>1560.0</v>
      </c>
      <c r="H616" s="2" t="s">
        <v>5906</v>
      </c>
      <c r="I616" s="2" t="s">
        <v>5906</v>
      </c>
      <c r="J616" s="2" t="s">
        <v>8245</v>
      </c>
      <c r="K616" s="2" t="s">
        <v>8246</v>
      </c>
      <c r="L616" s="10" t="s">
        <v>8247</v>
      </c>
    </row>
    <row r="617">
      <c r="A617" s="2" t="s">
        <v>5342</v>
      </c>
      <c r="B617" s="2" t="s">
        <v>8248</v>
      </c>
      <c r="C617" s="2">
        <v>6.29234724E8</v>
      </c>
      <c r="D617" s="2" t="s">
        <v>8249</v>
      </c>
      <c r="E617" s="2">
        <v>333712.0</v>
      </c>
      <c r="F617" s="2">
        <v>53.0</v>
      </c>
      <c r="G617" s="2">
        <v>57488.0</v>
      </c>
      <c r="H617" s="2" t="s">
        <v>5905</v>
      </c>
      <c r="I617" s="2" t="s">
        <v>5905</v>
      </c>
      <c r="J617" s="2" t="s">
        <v>5492</v>
      </c>
      <c r="K617" s="2" t="s">
        <v>8250</v>
      </c>
    </row>
    <row r="618">
      <c r="A618" s="2" t="s">
        <v>5342</v>
      </c>
      <c r="B618" s="2" t="s">
        <v>8251</v>
      </c>
      <c r="C618" s="2">
        <v>4.8177277845E10</v>
      </c>
      <c r="D618" s="2" t="s">
        <v>8252</v>
      </c>
      <c r="E618" s="2">
        <v>40810.0</v>
      </c>
      <c r="F618" s="2">
        <v>23.0</v>
      </c>
      <c r="G618" s="2">
        <v>6050.0</v>
      </c>
      <c r="H618" s="2" t="s">
        <v>5905</v>
      </c>
      <c r="I618" s="2" t="s">
        <v>5906</v>
      </c>
      <c r="J618" s="2" t="s">
        <v>6023</v>
      </c>
      <c r="K618" s="12" t="s">
        <v>8253</v>
      </c>
      <c r="L618" s="10" t="s">
        <v>8254</v>
      </c>
    </row>
    <row r="619">
      <c r="A619" s="2" t="s">
        <v>5342</v>
      </c>
      <c r="B619" s="2" t="s">
        <v>8255</v>
      </c>
      <c r="C619" s="2">
        <v>7.46357996E8</v>
      </c>
      <c r="D619" s="2" t="s">
        <v>8256</v>
      </c>
      <c r="E619" s="2">
        <v>119783.0</v>
      </c>
      <c r="F619" s="2">
        <v>453.0</v>
      </c>
      <c r="G619" s="2">
        <v>2995.0</v>
      </c>
      <c r="H619" s="2" t="s">
        <v>5905</v>
      </c>
      <c r="I619" s="2" t="s">
        <v>5906</v>
      </c>
      <c r="J619" s="2" t="s">
        <v>6166</v>
      </c>
      <c r="K619" s="2" t="s">
        <v>8257</v>
      </c>
      <c r="L619" s="10" t="s">
        <v>8258</v>
      </c>
    </row>
    <row r="620">
      <c r="A620" s="2" t="s">
        <v>5342</v>
      </c>
      <c r="B620" s="10" t="s">
        <v>8259</v>
      </c>
      <c r="C620" s="2">
        <v>1.083630926E10</v>
      </c>
      <c r="D620" s="2" t="s">
        <v>8260</v>
      </c>
      <c r="E620" s="2">
        <v>191094.0</v>
      </c>
      <c r="F620" s="2">
        <v>3053.0</v>
      </c>
      <c r="G620" s="2">
        <v>861.0</v>
      </c>
      <c r="H620" s="2" t="s">
        <v>5905</v>
      </c>
      <c r="I620" s="2" t="s">
        <v>5906</v>
      </c>
      <c r="J620" s="2" t="s">
        <v>6393</v>
      </c>
      <c r="K620" s="2" t="s">
        <v>8261</v>
      </c>
      <c r="L620" s="10" t="s">
        <v>8262</v>
      </c>
    </row>
    <row r="621">
      <c r="A621" s="2" t="s">
        <v>5342</v>
      </c>
      <c r="B621" s="2" t="s">
        <v>8263</v>
      </c>
      <c r="C621" s="2">
        <v>1.943808484E9</v>
      </c>
      <c r="D621" s="2" t="s">
        <v>8264</v>
      </c>
      <c r="E621" s="2">
        <v>484318.0</v>
      </c>
      <c r="F621" s="2">
        <v>4.0</v>
      </c>
      <c r="G621" s="2">
        <v>9070.0</v>
      </c>
      <c r="H621" s="2" t="s">
        <v>5905</v>
      </c>
      <c r="I621" s="2" t="s">
        <v>5906</v>
      </c>
      <c r="J621" s="2" t="s">
        <v>6166</v>
      </c>
      <c r="K621" s="2" t="s">
        <v>8265</v>
      </c>
      <c r="L621" s="10" t="s">
        <v>8266</v>
      </c>
    </row>
    <row r="622">
      <c r="A622" s="2" t="s">
        <v>5342</v>
      </c>
      <c r="B622" s="2" t="s">
        <v>8267</v>
      </c>
      <c r="C622" s="2">
        <v>5.3720551E7</v>
      </c>
      <c r="D622" s="2" t="s">
        <v>8268</v>
      </c>
      <c r="E622" s="2">
        <v>60946.0</v>
      </c>
      <c r="F622" s="2">
        <v>957.0</v>
      </c>
      <c r="G622" s="2">
        <v>685.0</v>
      </c>
      <c r="H622" s="2" t="s">
        <v>5906</v>
      </c>
      <c r="I622" s="2" t="s">
        <v>5906</v>
      </c>
      <c r="J622" s="2" t="s">
        <v>4404</v>
      </c>
      <c r="K622" s="2" t="s">
        <v>8269</v>
      </c>
      <c r="L622" s="10" t="s">
        <v>8270</v>
      </c>
    </row>
    <row r="623">
      <c r="A623" s="2" t="s">
        <v>5303</v>
      </c>
      <c r="B623" s="2" t="s">
        <v>8271</v>
      </c>
      <c r="C623" s="2">
        <v>1.9255429E7</v>
      </c>
      <c r="D623" s="2" t="s">
        <v>5303</v>
      </c>
      <c r="E623" s="2">
        <v>743778.0</v>
      </c>
      <c r="F623" s="2">
        <v>634.0</v>
      </c>
      <c r="G623" s="2">
        <v>6853.0</v>
      </c>
      <c r="H623" s="2" t="s">
        <v>5906</v>
      </c>
      <c r="I623" s="2" t="s">
        <v>5906</v>
      </c>
      <c r="J623" s="2" t="s">
        <v>5907</v>
      </c>
      <c r="K623" s="2" t="s">
        <v>8272</v>
      </c>
      <c r="L623" s="10" t="s">
        <v>8273</v>
      </c>
    </row>
    <row r="624">
      <c r="A624" s="2" t="s">
        <v>5303</v>
      </c>
      <c r="B624" s="2" t="s">
        <v>8274</v>
      </c>
      <c r="C624" s="2">
        <v>4.4437700377E10</v>
      </c>
      <c r="D624" s="2" t="s">
        <v>8275</v>
      </c>
      <c r="E624" s="2">
        <v>39036.0</v>
      </c>
      <c r="F624" s="2">
        <v>317.0</v>
      </c>
      <c r="G624" s="2">
        <v>6553.0</v>
      </c>
      <c r="H624" s="2" t="s">
        <v>5905</v>
      </c>
      <c r="I624" s="2" t="s">
        <v>5906</v>
      </c>
      <c r="J624" s="2" t="s">
        <v>5911</v>
      </c>
      <c r="K624" s="2" t="s">
        <v>8276</v>
      </c>
      <c r="L624" s="10" t="s">
        <v>8277</v>
      </c>
    </row>
    <row r="625">
      <c r="A625" s="2" t="s">
        <v>5303</v>
      </c>
      <c r="B625" s="2" t="s">
        <v>8278</v>
      </c>
      <c r="C625" s="2">
        <v>2.5774840659E10</v>
      </c>
      <c r="D625" s="2" t="s">
        <v>8279</v>
      </c>
      <c r="E625" s="2">
        <v>12687.0</v>
      </c>
      <c r="F625" s="2">
        <v>1061.0</v>
      </c>
      <c r="G625" s="2">
        <v>574.0</v>
      </c>
      <c r="H625" s="2" t="s">
        <v>5905</v>
      </c>
      <c r="I625" s="2" t="s">
        <v>5906</v>
      </c>
      <c r="J625" s="2" t="s">
        <v>5518</v>
      </c>
      <c r="K625" s="2" t="s">
        <v>8280</v>
      </c>
      <c r="L625" s="10" t="s">
        <v>8281</v>
      </c>
    </row>
    <row r="626">
      <c r="A626" s="2" t="s">
        <v>5509</v>
      </c>
      <c r="B626" s="2" t="s">
        <v>8282</v>
      </c>
      <c r="C626" s="2">
        <v>6.745662867E9</v>
      </c>
      <c r="D626" s="2" t="s">
        <v>8283</v>
      </c>
      <c r="E626" s="2">
        <v>107124.0</v>
      </c>
      <c r="F626" s="2">
        <v>2046.0</v>
      </c>
      <c r="G626" s="2">
        <v>1075.0</v>
      </c>
      <c r="H626" s="2" t="s">
        <v>5905</v>
      </c>
      <c r="I626" s="2" t="s">
        <v>5906</v>
      </c>
      <c r="J626" s="2" t="s">
        <v>5561</v>
      </c>
      <c r="K626" s="2" t="s">
        <v>8284</v>
      </c>
      <c r="L626" s="10" t="s">
        <v>8285</v>
      </c>
    </row>
    <row r="627">
      <c r="A627" s="2" t="s">
        <v>5509</v>
      </c>
      <c r="B627" s="2" t="s">
        <v>8286</v>
      </c>
      <c r="C627" s="2">
        <v>2.053910755E9</v>
      </c>
      <c r="D627" s="2" t="s">
        <v>8287</v>
      </c>
      <c r="E627" s="2">
        <v>64175.0</v>
      </c>
      <c r="F627" s="2">
        <v>139.0</v>
      </c>
      <c r="G627" s="2">
        <v>1233.0</v>
      </c>
      <c r="H627" s="2" t="s">
        <v>5905</v>
      </c>
      <c r="I627" s="2" t="s">
        <v>5906</v>
      </c>
      <c r="K627" s="2" t="s">
        <v>8288</v>
      </c>
      <c r="L627" s="10" t="s">
        <v>8289</v>
      </c>
    </row>
    <row r="628">
      <c r="A628" s="2" t="s">
        <v>5509</v>
      </c>
      <c r="B628" s="2" t="s">
        <v>8290</v>
      </c>
      <c r="C628" s="2">
        <v>1.2399471E9</v>
      </c>
      <c r="D628" s="2" t="s">
        <v>8291</v>
      </c>
      <c r="E628" s="2">
        <v>75724.0</v>
      </c>
      <c r="F628" s="2">
        <v>122.0</v>
      </c>
      <c r="G628" s="2">
        <v>5493.0</v>
      </c>
      <c r="H628" s="2" t="s">
        <v>5905</v>
      </c>
      <c r="I628" s="2" t="s">
        <v>5905</v>
      </c>
      <c r="J628" s="2" t="s">
        <v>7620</v>
      </c>
      <c r="K628" s="2" t="s">
        <v>8292</v>
      </c>
      <c r="L628" s="10" t="s">
        <v>8293</v>
      </c>
    </row>
    <row r="629">
      <c r="A629" s="2" t="s">
        <v>5509</v>
      </c>
      <c r="B629" s="2" t="s">
        <v>8294</v>
      </c>
      <c r="C629" s="2">
        <v>4.8002275308E10</v>
      </c>
      <c r="D629" s="2" t="s">
        <v>8295</v>
      </c>
      <c r="E629" s="2">
        <v>39430.0</v>
      </c>
      <c r="F629" s="2">
        <v>1055.0</v>
      </c>
      <c r="G629" s="2">
        <v>3374.0</v>
      </c>
      <c r="H629" s="2" t="s">
        <v>5905</v>
      </c>
      <c r="I629" s="2" t="s">
        <v>5905</v>
      </c>
      <c r="K629" s="2" t="s">
        <v>8296</v>
      </c>
    </row>
    <row r="630">
      <c r="A630" s="2" t="s">
        <v>5509</v>
      </c>
      <c r="B630" s="2" t="s">
        <v>8297</v>
      </c>
      <c r="C630" s="2">
        <v>1.2849745E7</v>
      </c>
      <c r="D630" s="2" t="s">
        <v>8298</v>
      </c>
      <c r="E630" s="2">
        <v>314136.0</v>
      </c>
      <c r="F630" s="2">
        <v>1162.0</v>
      </c>
      <c r="G630" s="2">
        <v>23951.0</v>
      </c>
      <c r="H630" s="2" t="s">
        <v>5906</v>
      </c>
      <c r="I630" s="2" t="s">
        <v>5906</v>
      </c>
      <c r="J630" s="2" t="s">
        <v>5963</v>
      </c>
      <c r="K630" s="2" t="s">
        <v>8299</v>
      </c>
      <c r="L630" s="10" t="s">
        <v>8300</v>
      </c>
    </row>
    <row r="631">
      <c r="A631" s="2" t="s">
        <v>5509</v>
      </c>
      <c r="B631" s="2" t="s">
        <v>8301</v>
      </c>
      <c r="C631" s="2">
        <v>5.0783058694E10</v>
      </c>
      <c r="D631" s="2" t="s">
        <v>8302</v>
      </c>
      <c r="E631" s="2">
        <v>14929.0</v>
      </c>
      <c r="F631" s="2">
        <v>3540.0</v>
      </c>
      <c r="G631" s="2">
        <v>13684.0</v>
      </c>
      <c r="H631" s="2" t="s">
        <v>5905</v>
      </c>
      <c r="I631" s="2" t="s">
        <v>5906</v>
      </c>
      <c r="J631" s="2" t="s">
        <v>6002</v>
      </c>
      <c r="K631" s="2" t="s">
        <v>8303</v>
      </c>
      <c r="L631" s="10" t="s">
        <v>8304</v>
      </c>
    </row>
    <row r="632">
      <c r="A632" s="2" t="s">
        <v>5509</v>
      </c>
      <c r="B632" s="2" t="s">
        <v>8305</v>
      </c>
      <c r="C632" s="2">
        <v>5.320653487E9</v>
      </c>
      <c r="D632" s="2" t="s">
        <v>8306</v>
      </c>
      <c r="E632" s="2">
        <v>33063.0</v>
      </c>
      <c r="F632" s="2">
        <v>92.0</v>
      </c>
      <c r="G632" s="2">
        <v>673.0</v>
      </c>
      <c r="H632" s="2" t="s">
        <v>5905</v>
      </c>
      <c r="I632" s="2" t="s">
        <v>5905</v>
      </c>
      <c r="J632" s="2" t="s">
        <v>5561</v>
      </c>
      <c r="K632" s="2" t="s">
        <v>8307</v>
      </c>
    </row>
    <row r="633">
      <c r="A633" s="2" t="s">
        <v>5509</v>
      </c>
      <c r="B633" s="2" t="s">
        <v>8308</v>
      </c>
      <c r="C633" s="2">
        <v>6.01832498E8</v>
      </c>
      <c r="D633" s="2" t="s">
        <v>8309</v>
      </c>
      <c r="E633" s="2">
        <v>208437.0</v>
      </c>
      <c r="F633" s="2">
        <v>2538.0</v>
      </c>
      <c r="G633" s="2">
        <v>15928.0</v>
      </c>
      <c r="H633" s="2" t="s">
        <v>5905</v>
      </c>
      <c r="I633" s="2" t="s">
        <v>5906</v>
      </c>
      <c r="J633" s="2" t="s">
        <v>5480</v>
      </c>
      <c r="K633" s="2" t="s">
        <v>8310</v>
      </c>
      <c r="L633" s="10" t="s">
        <v>8311</v>
      </c>
    </row>
    <row r="634">
      <c r="A634" s="2" t="s">
        <v>5509</v>
      </c>
      <c r="B634" s="2" t="s">
        <v>8312</v>
      </c>
      <c r="C634" s="2">
        <v>5.09247209E8</v>
      </c>
      <c r="D634" s="2" t="s">
        <v>8313</v>
      </c>
      <c r="E634" s="2">
        <v>468919.0</v>
      </c>
      <c r="F634" s="2">
        <v>729.0</v>
      </c>
      <c r="G634" s="2">
        <v>2635.0</v>
      </c>
      <c r="H634" s="2" t="s">
        <v>5906</v>
      </c>
      <c r="I634" s="2" t="s">
        <v>5906</v>
      </c>
      <c r="K634" s="2" t="s">
        <v>8314</v>
      </c>
      <c r="L634" s="10" t="s">
        <v>8315</v>
      </c>
    </row>
    <row r="635">
      <c r="A635" s="2" t="s">
        <v>5509</v>
      </c>
      <c r="B635" s="2" t="s">
        <v>8316</v>
      </c>
      <c r="C635" s="2">
        <v>9.61290319E8</v>
      </c>
      <c r="D635" s="2" t="s">
        <v>8317</v>
      </c>
      <c r="E635" s="2">
        <v>197859.0</v>
      </c>
      <c r="F635" s="2">
        <v>0.0</v>
      </c>
      <c r="G635" s="2">
        <v>163.0</v>
      </c>
      <c r="H635" s="2" t="s">
        <v>5905</v>
      </c>
      <c r="I635" s="2" t="s">
        <v>5905</v>
      </c>
      <c r="K635" s="2" t="s">
        <v>8318</v>
      </c>
    </row>
    <row r="636">
      <c r="A636" s="2" t="s">
        <v>5509</v>
      </c>
      <c r="B636" s="2" t="s">
        <v>8319</v>
      </c>
      <c r="C636" s="2">
        <v>6.716800513E9</v>
      </c>
      <c r="D636" s="2" t="s">
        <v>8320</v>
      </c>
      <c r="E636" s="2">
        <v>66246.0</v>
      </c>
      <c r="F636" s="2">
        <v>434.0</v>
      </c>
      <c r="G636" s="2">
        <v>2485.0</v>
      </c>
      <c r="H636" s="2" t="s">
        <v>5905</v>
      </c>
      <c r="I636" s="2" t="s">
        <v>5906</v>
      </c>
      <c r="J636" s="2" t="s">
        <v>5911</v>
      </c>
      <c r="K636" s="2" t="s">
        <v>8321</v>
      </c>
      <c r="L636" s="10" t="s">
        <v>8322</v>
      </c>
    </row>
    <row r="637">
      <c r="A637" s="2" t="s">
        <v>5509</v>
      </c>
      <c r="B637" s="2" t="s">
        <v>8323</v>
      </c>
      <c r="C637" s="2">
        <v>5.1033324822E10</v>
      </c>
      <c r="D637" s="2" t="s">
        <v>8324</v>
      </c>
      <c r="E637" s="2">
        <v>13021.0</v>
      </c>
      <c r="F637" s="2">
        <v>2149.0</v>
      </c>
      <c r="G637" s="2">
        <v>1185.0</v>
      </c>
      <c r="H637" s="2" t="s">
        <v>5906</v>
      </c>
      <c r="I637" s="2" t="s">
        <v>5905</v>
      </c>
      <c r="J637" s="2" t="s">
        <v>5492</v>
      </c>
      <c r="K637" s="2" t="s">
        <v>8325</v>
      </c>
      <c r="L637" s="10" t="s">
        <v>8326</v>
      </c>
    </row>
    <row r="638">
      <c r="A638" s="2" t="s">
        <v>5351</v>
      </c>
      <c r="B638" s="2" t="s">
        <v>8327</v>
      </c>
      <c r="C638" s="2">
        <v>2.928173681E9</v>
      </c>
      <c r="D638" s="2" t="s">
        <v>5351</v>
      </c>
      <c r="E638" s="2">
        <v>23133.0</v>
      </c>
      <c r="F638" s="2">
        <v>202.0</v>
      </c>
      <c r="G638" s="2">
        <v>783.0</v>
      </c>
      <c r="H638" s="2" t="s">
        <v>5905</v>
      </c>
      <c r="I638" s="2" t="s">
        <v>5906</v>
      </c>
      <c r="K638" s="2" t="s">
        <v>8328</v>
      </c>
      <c r="L638" s="10" t="s">
        <v>8329</v>
      </c>
    </row>
    <row r="639">
      <c r="A639" s="2" t="s">
        <v>5351</v>
      </c>
      <c r="B639" s="2" t="s">
        <v>8330</v>
      </c>
      <c r="C639" s="2">
        <v>6.9568532863E10</v>
      </c>
      <c r="D639" s="2" t="s">
        <v>8331</v>
      </c>
      <c r="E639" s="2">
        <v>94201.0</v>
      </c>
      <c r="F639" s="2">
        <v>24.0</v>
      </c>
      <c r="G639" s="2">
        <v>130.0</v>
      </c>
      <c r="H639" s="2" t="s">
        <v>5905</v>
      </c>
      <c r="I639" s="2" t="s">
        <v>5905</v>
      </c>
      <c r="J639" s="2" t="s">
        <v>5561</v>
      </c>
      <c r="K639" s="2" t="s">
        <v>8332</v>
      </c>
    </row>
    <row r="640">
      <c r="A640" s="2" t="s">
        <v>5267</v>
      </c>
      <c r="B640" s="2" t="s">
        <v>8333</v>
      </c>
      <c r="C640" s="2">
        <v>2.5004361E7</v>
      </c>
      <c r="D640" s="2" t="s">
        <v>5267</v>
      </c>
      <c r="E640" s="2">
        <v>4117157.0</v>
      </c>
      <c r="F640" s="2">
        <v>284.0</v>
      </c>
      <c r="G640" s="2">
        <v>9000.0</v>
      </c>
      <c r="H640" s="2" t="s">
        <v>5906</v>
      </c>
      <c r="I640" s="2" t="s">
        <v>5906</v>
      </c>
      <c r="J640" s="2" t="s">
        <v>5517</v>
      </c>
      <c r="K640" s="2" t="s">
        <v>8334</v>
      </c>
      <c r="L640" s="10" t="s">
        <v>8335</v>
      </c>
    </row>
    <row r="641">
      <c r="A641" s="2" t="s">
        <v>5267</v>
      </c>
      <c r="B641" s="2" t="s">
        <v>8336</v>
      </c>
      <c r="C641" s="2">
        <v>6.90950896E9</v>
      </c>
      <c r="D641" s="2" t="s">
        <v>8337</v>
      </c>
      <c r="E641" s="2">
        <v>157996.0</v>
      </c>
      <c r="F641" s="2">
        <v>560.0</v>
      </c>
      <c r="G641" s="2">
        <v>3253.0</v>
      </c>
      <c r="H641" s="2" t="s">
        <v>5906</v>
      </c>
      <c r="I641" s="2" t="s">
        <v>5906</v>
      </c>
      <c r="K641" s="2" t="s">
        <v>8338</v>
      </c>
      <c r="L641" s="10" t="s">
        <v>8339</v>
      </c>
    </row>
    <row r="642">
      <c r="A642" s="2" t="s">
        <v>5267</v>
      </c>
      <c r="B642" s="2" t="s">
        <v>8340</v>
      </c>
      <c r="C642" s="2">
        <v>2.6609058E7</v>
      </c>
      <c r="D642" s="2" t="s">
        <v>8341</v>
      </c>
      <c r="E642" s="2">
        <v>78966.0</v>
      </c>
      <c r="F642" s="2">
        <v>208.0</v>
      </c>
      <c r="G642" s="2">
        <v>1279.0</v>
      </c>
      <c r="H642" s="2" t="s">
        <v>5906</v>
      </c>
      <c r="I642" s="2" t="s">
        <v>5906</v>
      </c>
      <c r="J642" s="2" t="s">
        <v>5911</v>
      </c>
      <c r="K642" s="2" t="s">
        <v>8342</v>
      </c>
      <c r="L642" s="10" t="s">
        <v>8343</v>
      </c>
    </row>
    <row r="643">
      <c r="A643" s="2" t="s">
        <v>5267</v>
      </c>
      <c r="B643" s="2" t="s">
        <v>8344</v>
      </c>
      <c r="C643" s="2">
        <v>4.212274503E9</v>
      </c>
      <c r="D643" s="2" t="s">
        <v>8345</v>
      </c>
      <c r="E643" s="2">
        <v>54485.0</v>
      </c>
      <c r="F643" s="2">
        <v>296.0</v>
      </c>
      <c r="G643" s="2">
        <v>1368.0</v>
      </c>
      <c r="H643" s="2" t="s">
        <v>5906</v>
      </c>
      <c r="I643" s="2" t="s">
        <v>5906</v>
      </c>
      <c r="K643" s="2" t="s">
        <v>8346</v>
      </c>
      <c r="L643" s="10" t="s">
        <v>8347</v>
      </c>
    </row>
    <row r="644">
      <c r="A644" s="2" t="s">
        <v>5444</v>
      </c>
      <c r="B644" s="2" t="s">
        <v>8348</v>
      </c>
      <c r="C644" s="2">
        <v>2.5742083E7</v>
      </c>
      <c r="D644" s="2" t="s">
        <v>5444</v>
      </c>
      <c r="E644" s="2">
        <v>1.3050971E7</v>
      </c>
      <c r="F644" s="2">
        <v>1461.0</v>
      </c>
      <c r="G644" s="2">
        <v>33315.0</v>
      </c>
      <c r="H644" s="2" t="s">
        <v>5906</v>
      </c>
      <c r="I644" s="2" t="s">
        <v>5906</v>
      </c>
      <c r="J644" s="2" t="s">
        <v>5936</v>
      </c>
      <c r="K644" s="2" t="s">
        <v>8349</v>
      </c>
      <c r="L644" s="10" t="s">
        <v>8350</v>
      </c>
    </row>
    <row r="645">
      <c r="A645" s="2" t="s">
        <v>5444</v>
      </c>
      <c r="B645" s="2" t="s">
        <v>8351</v>
      </c>
      <c r="C645" s="2">
        <v>5.86042693E8</v>
      </c>
      <c r="D645" s="2" t="s">
        <v>8352</v>
      </c>
      <c r="E645" s="2">
        <v>54019.0</v>
      </c>
      <c r="F645" s="2">
        <v>114.0</v>
      </c>
      <c r="G645" s="2">
        <v>858.0</v>
      </c>
      <c r="H645" s="2" t="s">
        <v>5906</v>
      </c>
      <c r="I645" s="2" t="s">
        <v>5906</v>
      </c>
      <c r="K645" s="2" t="s">
        <v>8353</v>
      </c>
      <c r="L645" s="10" t="s">
        <v>8354</v>
      </c>
    </row>
    <row r="646">
      <c r="A646" s="2" t="s">
        <v>5444</v>
      </c>
      <c r="B646" s="2" t="s">
        <v>8355</v>
      </c>
      <c r="C646" s="2">
        <v>1.350021025E9</v>
      </c>
      <c r="D646" s="2" t="s">
        <v>8356</v>
      </c>
      <c r="E646" s="2">
        <v>235799.0</v>
      </c>
      <c r="F646" s="2">
        <v>296.0</v>
      </c>
      <c r="G646" s="2">
        <v>3656.0</v>
      </c>
      <c r="H646" s="2" t="s">
        <v>5906</v>
      </c>
      <c r="I646" s="2" t="s">
        <v>5906</v>
      </c>
      <c r="K646" s="2" t="s">
        <v>8357</v>
      </c>
      <c r="L646" s="10" t="s">
        <v>8358</v>
      </c>
    </row>
    <row r="647">
      <c r="A647" s="2" t="s">
        <v>5444</v>
      </c>
      <c r="B647" s="2" t="s">
        <v>8359</v>
      </c>
      <c r="C647" s="2">
        <v>4.63207472E9</v>
      </c>
      <c r="D647" s="2" t="s">
        <v>8360</v>
      </c>
      <c r="E647" s="2">
        <v>168198.0</v>
      </c>
      <c r="F647" s="2">
        <v>251.0</v>
      </c>
      <c r="G647" s="2">
        <v>3442.0</v>
      </c>
      <c r="H647" s="2" t="s">
        <v>5906</v>
      </c>
      <c r="I647" s="2" t="s">
        <v>5906</v>
      </c>
      <c r="J647" s="2" t="s">
        <v>5920</v>
      </c>
      <c r="K647" s="2" t="s">
        <v>8361</v>
      </c>
      <c r="L647" s="10" t="s">
        <v>8362</v>
      </c>
    </row>
    <row r="648">
      <c r="A648" s="2" t="s">
        <v>5444</v>
      </c>
      <c r="B648" s="2" t="s">
        <v>8363</v>
      </c>
      <c r="C648" s="2">
        <v>1.8046409185E10</v>
      </c>
      <c r="D648" s="2" t="s">
        <v>8364</v>
      </c>
      <c r="E648" s="2">
        <v>1253070.0</v>
      </c>
      <c r="F648" s="2">
        <v>137.0</v>
      </c>
      <c r="G648" s="2">
        <v>4560.0</v>
      </c>
      <c r="H648" s="2" t="s">
        <v>5906</v>
      </c>
      <c r="I648" s="2" t="s">
        <v>5906</v>
      </c>
      <c r="J648" s="2" t="s">
        <v>5480</v>
      </c>
      <c r="L648" s="10" t="s">
        <v>8365</v>
      </c>
    </row>
    <row r="649">
      <c r="A649" s="2" t="s">
        <v>5444</v>
      </c>
      <c r="B649" s="2" t="s">
        <v>8366</v>
      </c>
      <c r="C649" s="2">
        <v>2.016575779E9</v>
      </c>
      <c r="D649" s="2" t="s">
        <v>8367</v>
      </c>
      <c r="E649" s="2">
        <v>346581.0</v>
      </c>
      <c r="F649" s="2">
        <v>362.0</v>
      </c>
      <c r="G649" s="2">
        <v>4625.0</v>
      </c>
      <c r="H649" s="2" t="s">
        <v>5906</v>
      </c>
      <c r="I649" s="2" t="s">
        <v>5906</v>
      </c>
      <c r="K649" s="2" t="s">
        <v>8368</v>
      </c>
      <c r="L649" s="10" t="s">
        <v>8369</v>
      </c>
    </row>
    <row r="650">
      <c r="A650" s="2" t="s">
        <v>5444</v>
      </c>
      <c r="B650" s="2" t="s">
        <v>8370</v>
      </c>
      <c r="C650" s="2">
        <v>8.358524703E9</v>
      </c>
      <c r="D650" s="2" t="s">
        <v>8371</v>
      </c>
      <c r="E650" s="2">
        <v>79988.0</v>
      </c>
      <c r="F650" s="2">
        <v>449.0</v>
      </c>
      <c r="G650" s="2">
        <v>853.0</v>
      </c>
      <c r="H650" s="2" t="s">
        <v>5906</v>
      </c>
      <c r="I650" s="2" t="s">
        <v>5906</v>
      </c>
      <c r="J650" s="2" t="s">
        <v>5518</v>
      </c>
      <c r="K650" s="2" t="s">
        <v>8372</v>
      </c>
      <c r="L650" s="10" t="s">
        <v>8373</v>
      </c>
    </row>
    <row r="651">
      <c r="A651" s="2" t="s">
        <v>5444</v>
      </c>
      <c r="B651" s="2" t="s">
        <v>8374</v>
      </c>
      <c r="C651" s="2">
        <v>7.595921423E9</v>
      </c>
      <c r="D651" s="2" t="s">
        <v>8375</v>
      </c>
      <c r="E651" s="2">
        <v>163442.0</v>
      </c>
      <c r="F651" s="2">
        <v>179.0</v>
      </c>
      <c r="G651" s="2">
        <v>994.0</v>
      </c>
      <c r="H651" s="2" t="s">
        <v>5905</v>
      </c>
      <c r="I651" s="2" t="s">
        <v>5905</v>
      </c>
      <c r="J651" s="2" t="s">
        <v>5492</v>
      </c>
      <c r="K651" s="2" t="s">
        <v>8376</v>
      </c>
      <c r="L651" s="10" t="s">
        <v>8377</v>
      </c>
    </row>
    <row r="652">
      <c r="A652" s="2" t="s">
        <v>5444</v>
      </c>
      <c r="B652" s="2" t="s">
        <v>8378</v>
      </c>
      <c r="C652" s="2">
        <v>2.4570182E7</v>
      </c>
      <c r="D652" s="2" t="s">
        <v>8378</v>
      </c>
      <c r="E652" s="2">
        <v>338661.0</v>
      </c>
      <c r="F652" s="2">
        <v>710.0</v>
      </c>
      <c r="G652" s="2">
        <v>3243.0</v>
      </c>
      <c r="H652" s="2" t="s">
        <v>5906</v>
      </c>
      <c r="I652" s="2" t="s">
        <v>5906</v>
      </c>
      <c r="K652" s="2" t="s">
        <v>8379</v>
      </c>
      <c r="L652" s="10" t="s">
        <v>8380</v>
      </c>
    </row>
    <row r="653">
      <c r="A653" s="2" t="s">
        <v>5444</v>
      </c>
      <c r="B653" s="2" t="s">
        <v>8381</v>
      </c>
      <c r="C653" s="2">
        <v>7.05781492E9</v>
      </c>
      <c r="D653" s="2" t="s">
        <v>8382</v>
      </c>
      <c r="E653" s="2">
        <v>228990.0</v>
      </c>
      <c r="F653" s="2">
        <v>221.0</v>
      </c>
      <c r="G653" s="2">
        <v>3333.0</v>
      </c>
      <c r="H653" s="2" t="s">
        <v>5905</v>
      </c>
      <c r="I653" s="2" t="s">
        <v>5906</v>
      </c>
      <c r="K653" s="2" t="s">
        <v>8383</v>
      </c>
    </row>
    <row r="654">
      <c r="A654" s="2" t="s">
        <v>5544</v>
      </c>
      <c r="B654" s="2" t="s">
        <v>8384</v>
      </c>
      <c r="C654" s="2">
        <v>5.6940918625E10</v>
      </c>
      <c r="D654" s="2" t="s">
        <v>8385</v>
      </c>
      <c r="E654" s="2">
        <v>54163.0</v>
      </c>
      <c r="F654" s="2">
        <v>1075.0</v>
      </c>
      <c r="G654" s="2">
        <v>946.0</v>
      </c>
      <c r="H654" s="2" t="s">
        <v>5906</v>
      </c>
      <c r="I654" s="2" t="s">
        <v>5905</v>
      </c>
      <c r="J654" s="2" t="s">
        <v>5561</v>
      </c>
      <c r="K654" s="2" t="s">
        <v>8386</v>
      </c>
      <c r="L654" s="10" t="s">
        <v>8387</v>
      </c>
    </row>
    <row r="655">
      <c r="A655" s="2" t="s">
        <v>5544</v>
      </c>
      <c r="B655" s="2" t="s">
        <v>8388</v>
      </c>
      <c r="C655" s="2">
        <v>6.7527162037E10</v>
      </c>
      <c r="D655" s="2" t="s">
        <v>5544</v>
      </c>
      <c r="E655" s="2">
        <v>34592.0</v>
      </c>
      <c r="F655" s="2">
        <v>10.0</v>
      </c>
      <c r="G655" s="2">
        <v>354.0</v>
      </c>
      <c r="H655" s="2" t="s">
        <v>5905</v>
      </c>
      <c r="I655" s="2" t="s">
        <v>5906</v>
      </c>
      <c r="J655" s="2" t="s">
        <v>6882</v>
      </c>
      <c r="K655" s="2" t="s">
        <v>8389</v>
      </c>
    </row>
    <row r="656">
      <c r="A656" s="2" t="s">
        <v>5544</v>
      </c>
      <c r="B656" s="2" t="s">
        <v>8390</v>
      </c>
      <c r="C656" s="2">
        <v>4.312534611E9</v>
      </c>
      <c r="D656" s="2" t="s">
        <v>8391</v>
      </c>
      <c r="E656" s="2">
        <v>1649144.0</v>
      </c>
      <c r="F656" s="2">
        <v>282.0</v>
      </c>
      <c r="G656" s="2">
        <v>472.0</v>
      </c>
      <c r="H656" s="2" t="s">
        <v>5905</v>
      </c>
      <c r="I656" s="2" t="s">
        <v>5905</v>
      </c>
      <c r="J656" s="2" t="s">
        <v>7604</v>
      </c>
      <c r="K656" s="2" t="s">
        <v>8392</v>
      </c>
      <c r="L656" s="10" t="s">
        <v>8393</v>
      </c>
    </row>
    <row r="657">
      <c r="A657" s="2" t="s">
        <v>5544</v>
      </c>
      <c r="B657" s="2" t="s">
        <v>8394</v>
      </c>
      <c r="C657" s="2">
        <v>4.3827562E8</v>
      </c>
      <c r="D657" s="2" t="s">
        <v>8395</v>
      </c>
      <c r="E657" s="2">
        <v>69346.0</v>
      </c>
      <c r="F657" s="2">
        <v>2514.0</v>
      </c>
      <c r="G657" s="2">
        <v>1442.0</v>
      </c>
      <c r="H657" s="2" t="s">
        <v>5905</v>
      </c>
      <c r="I657" s="2" t="s">
        <v>5905</v>
      </c>
      <c r="K657" s="10" t="s">
        <v>8396</v>
      </c>
    </row>
    <row r="658">
      <c r="A658" s="2" t="s">
        <v>5544</v>
      </c>
      <c r="B658" s="2" t="s">
        <v>8397</v>
      </c>
      <c r="C658" s="2">
        <v>5.7885328118E10</v>
      </c>
      <c r="D658" s="2" t="s">
        <v>8398</v>
      </c>
      <c r="E658" s="2">
        <v>163581.0</v>
      </c>
      <c r="F658" s="2">
        <v>11.0</v>
      </c>
      <c r="G658" s="2">
        <v>170.0</v>
      </c>
      <c r="H658" s="2" t="s">
        <v>5905</v>
      </c>
      <c r="I658" s="2" t="s">
        <v>5905</v>
      </c>
      <c r="J658" s="2" t="s">
        <v>5561</v>
      </c>
      <c r="K658" s="2" t="s">
        <v>8399</v>
      </c>
    </row>
    <row r="659">
      <c r="A659" s="2" t="s">
        <v>5544</v>
      </c>
      <c r="B659" s="2" t="s">
        <v>8400</v>
      </c>
      <c r="C659" s="2">
        <v>1.953088799E9</v>
      </c>
      <c r="D659" s="2" t="s">
        <v>8401</v>
      </c>
      <c r="E659" s="2">
        <v>392429.0</v>
      </c>
      <c r="F659" s="2">
        <v>9.0</v>
      </c>
      <c r="G659" s="2">
        <v>396.0</v>
      </c>
      <c r="H659" s="2" t="s">
        <v>5905</v>
      </c>
      <c r="I659" s="2" t="s">
        <v>5905</v>
      </c>
      <c r="J659" s="2" t="s">
        <v>6393</v>
      </c>
      <c r="K659" s="2" t="s">
        <v>8402</v>
      </c>
    </row>
    <row r="660">
      <c r="A660" s="2" t="s">
        <v>5266</v>
      </c>
      <c r="B660" s="2" t="s">
        <v>8403</v>
      </c>
      <c r="C660" s="2">
        <v>2.47784713E8</v>
      </c>
      <c r="D660" s="2" t="s">
        <v>5266</v>
      </c>
      <c r="E660" s="2">
        <v>7218999.0</v>
      </c>
      <c r="F660" s="2">
        <v>153.0</v>
      </c>
      <c r="G660" s="2">
        <v>26459.0</v>
      </c>
      <c r="H660" s="2" t="s">
        <v>5906</v>
      </c>
      <c r="I660" s="2" t="s">
        <v>5906</v>
      </c>
      <c r="J660" s="2" t="s">
        <v>5907</v>
      </c>
      <c r="K660" s="2" t="s">
        <v>8404</v>
      </c>
      <c r="L660" s="10" t="s">
        <v>8405</v>
      </c>
    </row>
    <row r="661">
      <c r="A661" s="2" t="s">
        <v>5266</v>
      </c>
      <c r="B661" s="2" t="s">
        <v>8406</v>
      </c>
      <c r="C661" s="2">
        <v>1.932536652E9</v>
      </c>
      <c r="D661" s="2" t="s">
        <v>8407</v>
      </c>
      <c r="E661" s="2">
        <v>42734.0</v>
      </c>
      <c r="F661" s="2">
        <v>481.0</v>
      </c>
      <c r="G661" s="2">
        <v>5271.0</v>
      </c>
      <c r="H661" s="2" t="s">
        <v>5906</v>
      </c>
      <c r="I661" s="2" t="s">
        <v>5906</v>
      </c>
      <c r="K661" s="2" t="s">
        <v>8408</v>
      </c>
      <c r="L661" s="10" t="s">
        <v>8409</v>
      </c>
    </row>
    <row r="662">
      <c r="A662" s="2" t="s">
        <v>5266</v>
      </c>
      <c r="B662" s="2" t="s">
        <v>8410</v>
      </c>
      <c r="C662" s="2">
        <v>2.35069696E8</v>
      </c>
      <c r="D662" s="2" t="s">
        <v>8411</v>
      </c>
      <c r="E662" s="2">
        <v>8166496.0</v>
      </c>
      <c r="F662" s="2">
        <v>317.0</v>
      </c>
      <c r="G662" s="2">
        <v>18968.0</v>
      </c>
      <c r="H662" s="2" t="s">
        <v>5906</v>
      </c>
      <c r="I662" s="2" t="s">
        <v>5906</v>
      </c>
      <c r="J662" s="2" t="s">
        <v>5911</v>
      </c>
      <c r="K662" s="2" t="s">
        <v>8412</v>
      </c>
      <c r="L662" s="10" t="s">
        <v>8413</v>
      </c>
    </row>
    <row r="663">
      <c r="A663" s="2" t="s">
        <v>5266</v>
      </c>
      <c r="B663" s="2" t="s">
        <v>8414</v>
      </c>
      <c r="C663" s="2">
        <v>5.630572184E9</v>
      </c>
      <c r="D663" s="2" t="s">
        <v>5266</v>
      </c>
      <c r="E663" s="2">
        <v>157171.0</v>
      </c>
      <c r="F663" s="2">
        <v>69.0</v>
      </c>
      <c r="G663" s="2">
        <v>2761.0</v>
      </c>
      <c r="H663" s="2" t="s">
        <v>5906</v>
      </c>
      <c r="I663" s="2" t="s">
        <v>5906</v>
      </c>
      <c r="J663" s="2" t="s">
        <v>5518</v>
      </c>
      <c r="K663" s="2" t="s">
        <v>8415</v>
      </c>
      <c r="L663" s="10" t="s">
        <v>8416</v>
      </c>
    </row>
    <row r="664">
      <c r="A664" s="2" t="s">
        <v>5266</v>
      </c>
      <c r="B664" s="2" t="s">
        <v>8417</v>
      </c>
      <c r="C664" s="2">
        <v>1.749448574E9</v>
      </c>
      <c r="D664" s="2" t="s">
        <v>8418</v>
      </c>
      <c r="E664" s="2">
        <v>234082.0</v>
      </c>
      <c r="F664" s="2">
        <v>4.0</v>
      </c>
      <c r="G664" s="2">
        <v>2116.0</v>
      </c>
      <c r="H664" s="2" t="s">
        <v>5906</v>
      </c>
      <c r="I664" s="2" t="s">
        <v>5906</v>
      </c>
      <c r="J664" s="2" t="s">
        <v>5480</v>
      </c>
      <c r="K664" s="2" t="s">
        <v>8419</v>
      </c>
      <c r="L664" s="10" t="s">
        <v>8420</v>
      </c>
    </row>
    <row r="665">
      <c r="A665" s="2" t="s">
        <v>5266</v>
      </c>
      <c r="B665" s="2" t="s">
        <v>8421</v>
      </c>
      <c r="C665" s="2">
        <v>3.724590095E9</v>
      </c>
      <c r="D665" s="2" t="s">
        <v>8422</v>
      </c>
      <c r="E665" s="2">
        <v>365075.0</v>
      </c>
      <c r="F665" s="2">
        <v>50.0</v>
      </c>
      <c r="G665" s="2">
        <v>1465.0</v>
      </c>
      <c r="H665" s="2" t="s">
        <v>5905</v>
      </c>
      <c r="I665" s="2" t="s">
        <v>5906</v>
      </c>
      <c r="J665" s="2" t="s">
        <v>5907</v>
      </c>
      <c r="K665" s="2" t="s">
        <v>8423</v>
      </c>
      <c r="L665" s="10" t="s">
        <v>8424</v>
      </c>
    </row>
    <row r="666">
      <c r="A666" s="2" t="s">
        <v>5266</v>
      </c>
      <c r="B666" s="2" t="s">
        <v>8425</v>
      </c>
      <c r="C666" s="2">
        <v>5.35631174E9</v>
      </c>
      <c r="D666" s="2" t="s">
        <v>8426</v>
      </c>
      <c r="E666" s="2">
        <v>57577.0</v>
      </c>
      <c r="F666" s="2">
        <v>332.0</v>
      </c>
      <c r="G666" s="2">
        <v>1570.0</v>
      </c>
      <c r="H666" s="2" t="s">
        <v>5906</v>
      </c>
      <c r="I666" s="2" t="s">
        <v>5906</v>
      </c>
      <c r="K666" s="2" t="s">
        <v>8427</v>
      </c>
      <c r="L666" s="10" t="s">
        <v>8428</v>
      </c>
    </row>
    <row r="667">
      <c r="A667" s="2" t="s">
        <v>5266</v>
      </c>
      <c r="B667" s="2" t="s">
        <v>8429</v>
      </c>
      <c r="C667" s="2">
        <v>3.60128399E8</v>
      </c>
      <c r="D667" s="2" t="s">
        <v>8430</v>
      </c>
      <c r="E667" s="2">
        <v>1621541.0</v>
      </c>
      <c r="F667" s="2">
        <v>23.0</v>
      </c>
      <c r="G667" s="2">
        <v>4753.0</v>
      </c>
      <c r="H667" s="2" t="s">
        <v>5906</v>
      </c>
      <c r="I667" s="2" t="s">
        <v>5906</v>
      </c>
      <c r="K667" s="2" t="s">
        <v>8431</v>
      </c>
      <c r="L667" s="10" t="s">
        <v>8432</v>
      </c>
    </row>
    <row r="668">
      <c r="A668" s="2" t="s">
        <v>5266</v>
      </c>
      <c r="B668" s="2" t="s">
        <v>8433</v>
      </c>
      <c r="C668" s="2">
        <v>2.9852401989E10</v>
      </c>
      <c r="D668" s="2" t="s">
        <v>8434</v>
      </c>
      <c r="E668" s="2">
        <v>294568.0</v>
      </c>
      <c r="F668" s="2">
        <v>21.0</v>
      </c>
      <c r="G668" s="2">
        <v>1613.0</v>
      </c>
      <c r="H668" s="2" t="s">
        <v>5905</v>
      </c>
      <c r="I668" s="2" t="s">
        <v>5906</v>
      </c>
      <c r="J668" s="2" t="s">
        <v>5907</v>
      </c>
      <c r="K668" s="2" t="s">
        <v>8435</v>
      </c>
      <c r="L668" s="10" t="s">
        <v>8436</v>
      </c>
    </row>
    <row r="669">
      <c r="A669" s="2" t="s">
        <v>5266</v>
      </c>
      <c r="B669" s="2" t="s">
        <v>8437</v>
      </c>
      <c r="C669" s="2">
        <v>3.821221163E9</v>
      </c>
      <c r="D669" s="2" t="s">
        <v>8438</v>
      </c>
      <c r="E669" s="2">
        <v>448678.0</v>
      </c>
      <c r="F669" s="2">
        <v>396.0</v>
      </c>
      <c r="G669" s="2">
        <v>2948.0</v>
      </c>
      <c r="H669" s="2" t="s">
        <v>5906</v>
      </c>
      <c r="I669" s="2" t="s">
        <v>5906</v>
      </c>
      <c r="J669" s="2" t="s">
        <v>5907</v>
      </c>
      <c r="K669" s="2" t="s">
        <v>8439</v>
      </c>
      <c r="L669" s="10" t="s">
        <v>8440</v>
      </c>
    </row>
    <row r="670">
      <c r="A670" s="2" t="s">
        <v>5266</v>
      </c>
      <c r="B670" s="2" t="s">
        <v>8441</v>
      </c>
      <c r="C670" s="2">
        <v>4.4242722316E10</v>
      </c>
      <c r="D670" s="2" t="s">
        <v>8442</v>
      </c>
      <c r="E670" s="2">
        <v>99117.0</v>
      </c>
      <c r="F670" s="2">
        <v>3131.0</v>
      </c>
      <c r="G670" s="2">
        <v>116.0</v>
      </c>
      <c r="H670" s="2" t="s">
        <v>5906</v>
      </c>
      <c r="I670" s="2" t="s">
        <v>5905</v>
      </c>
      <c r="J670" s="2" t="s">
        <v>5993</v>
      </c>
      <c r="K670" s="2" t="s">
        <v>8443</v>
      </c>
      <c r="L670" s="10" t="s">
        <v>8444</v>
      </c>
    </row>
    <row r="671">
      <c r="A671" s="2" t="s">
        <v>5266</v>
      </c>
      <c r="B671" s="2" t="s">
        <v>8445</v>
      </c>
      <c r="C671" s="2">
        <v>1.2021920426E10</v>
      </c>
      <c r="D671" s="2" t="s">
        <v>8446</v>
      </c>
      <c r="E671" s="2">
        <v>13003.0</v>
      </c>
      <c r="F671" s="2">
        <v>4009.0</v>
      </c>
      <c r="G671" s="2">
        <v>223.0</v>
      </c>
      <c r="H671" s="2" t="s">
        <v>5906</v>
      </c>
      <c r="I671" s="2" t="s">
        <v>5905</v>
      </c>
      <c r="J671" s="2" t="s">
        <v>7140</v>
      </c>
      <c r="K671" s="2" t="s">
        <v>8447</v>
      </c>
      <c r="L671" s="10" t="s">
        <v>8448</v>
      </c>
    </row>
    <row r="672">
      <c r="A672" s="2" t="s">
        <v>5363</v>
      </c>
      <c r="B672" s="2" t="s">
        <v>8449</v>
      </c>
      <c r="C672" s="2">
        <v>1.774976944E9</v>
      </c>
      <c r="D672" s="2" t="s">
        <v>8450</v>
      </c>
      <c r="E672" s="2">
        <v>125583.0</v>
      </c>
      <c r="F672" s="2">
        <v>45.0</v>
      </c>
      <c r="G672" s="2">
        <v>1271.0</v>
      </c>
      <c r="H672" s="2" t="s">
        <v>5906</v>
      </c>
      <c r="I672" s="2" t="s">
        <v>5906</v>
      </c>
      <c r="K672" s="2" t="s">
        <v>8451</v>
      </c>
      <c r="L672" s="10" t="s">
        <v>8452</v>
      </c>
    </row>
    <row r="673">
      <c r="A673" s="2" t="s">
        <v>5363</v>
      </c>
      <c r="B673" s="2" t="s">
        <v>8453</v>
      </c>
      <c r="C673" s="2">
        <v>2.708628504E9</v>
      </c>
      <c r="D673" s="2" t="s">
        <v>8454</v>
      </c>
      <c r="E673" s="2">
        <v>14304.0</v>
      </c>
      <c r="F673" s="2">
        <v>123.0</v>
      </c>
      <c r="G673" s="2">
        <v>34.0</v>
      </c>
      <c r="H673" s="2" t="s">
        <v>5905</v>
      </c>
      <c r="I673" s="2" t="s">
        <v>5905</v>
      </c>
      <c r="J673" s="2" t="s">
        <v>8455</v>
      </c>
      <c r="K673" s="2" t="s">
        <v>8456</v>
      </c>
    </row>
    <row r="674">
      <c r="A674" s="2" t="s">
        <v>5363</v>
      </c>
      <c r="B674" s="2" t="s">
        <v>8457</v>
      </c>
      <c r="C674" s="2">
        <v>8.482275001E9</v>
      </c>
      <c r="D674" s="2" t="s">
        <v>8458</v>
      </c>
      <c r="E674" s="2">
        <v>14786.0</v>
      </c>
      <c r="F674" s="2">
        <v>115.0</v>
      </c>
      <c r="G674" s="2">
        <v>475.0</v>
      </c>
      <c r="H674" s="2" t="s">
        <v>5906</v>
      </c>
      <c r="I674" s="2" t="s">
        <v>5905</v>
      </c>
      <c r="J674" s="2" t="s">
        <v>8459</v>
      </c>
      <c r="K674" s="2" t="s">
        <v>8460</v>
      </c>
      <c r="L674" s="10" t="s">
        <v>8461</v>
      </c>
    </row>
    <row r="675">
      <c r="A675" s="2" t="s">
        <v>5364</v>
      </c>
      <c r="B675" s="2" t="s">
        <v>8462</v>
      </c>
      <c r="C675" s="2">
        <v>2.5954955E7</v>
      </c>
      <c r="D675" s="2" t="s">
        <v>8463</v>
      </c>
      <c r="E675" s="2">
        <v>40255.0</v>
      </c>
      <c r="F675" s="2">
        <v>2653.0</v>
      </c>
      <c r="G675" s="2">
        <v>383.0</v>
      </c>
      <c r="H675" s="2" t="s">
        <v>5905</v>
      </c>
      <c r="I675" s="2" t="s">
        <v>5906</v>
      </c>
      <c r="J675" s="2" t="s">
        <v>5391</v>
      </c>
      <c r="K675" s="2" t="s">
        <v>8464</v>
      </c>
      <c r="L675" s="10" t="s">
        <v>8465</v>
      </c>
    </row>
    <row r="676">
      <c r="A676" s="2" t="s">
        <v>5364</v>
      </c>
      <c r="B676" s="2" t="s">
        <v>8466</v>
      </c>
      <c r="C676" s="2">
        <v>7.61820664E8</v>
      </c>
      <c r="D676" s="2" t="s">
        <v>8467</v>
      </c>
      <c r="E676" s="2">
        <v>209882.0</v>
      </c>
      <c r="F676" s="2">
        <v>66.0</v>
      </c>
      <c r="G676" s="2">
        <v>2243.0</v>
      </c>
      <c r="H676" s="2" t="s">
        <v>5906</v>
      </c>
      <c r="I676" s="2" t="s">
        <v>5906</v>
      </c>
      <c r="J676" s="2" t="s">
        <v>5911</v>
      </c>
      <c r="K676" s="2" t="s">
        <v>8468</v>
      </c>
      <c r="L676" s="10" t="s">
        <v>8469</v>
      </c>
    </row>
    <row r="677">
      <c r="A677" s="2" t="s">
        <v>5364</v>
      </c>
      <c r="B677" s="2" t="s">
        <v>8470</v>
      </c>
      <c r="C677" s="2">
        <v>2.118502402E9</v>
      </c>
      <c r="D677" s="2" t="s">
        <v>8471</v>
      </c>
      <c r="E677" s="2">
        <v>70559.0</v>
      </c>
      <c r="F677" s="2">
        <v>98.0</v>
      </c>
      <c r="G677" s="2">
        <v>2615.0</v>
      </c>
      <c r="H677" s="2" t="s">
        <v>5905</v>
      </c>
      <c r="I677" s="2" t="s">
        <v>5905</v>
      </c>
      <c r="K677" s="2" t="s">
        <v>8472</v>
      </c>
      <c r="L677" s="10" t="s">
        <v>8473</v>
      </c>
    </row>
    <row r="678">
      <c r="A678" s="2" t="s">
        <v>5389</v>
      </c>
      <c r="B678" s="2" t="s">
        <v>8474</v>
      </c>
      <c r="C678" s="2">
        <v>6.3992428469E10</v>
      </c>
      <c r="D678" s="2" t="s">
        <v>8475</v>
      </c>
      <c r="E678" s="2">
        <v>80414.0</v>
      </c>
      <c r="F678" s="2">
        <v>222.0</v>
      </c>
      <c r="G678" s="2">
        <v>1460.0</v>
      </c>
      <c r="H678" s="2" t="s">
        <v>5905</v>
      </c>
      <c r="I678" s="2" t="s">
        <v>5906</v>
      </c>
      <c r="J678" s="2" t="s">
        <v>5561</v>
      </c>
      <c r="K678" s="2" t="s">
        <v>8476</v>
      </c>
    </row>
    <row r="679">
      <c r="A679" s="2" t="s">
        <v>5389</v>
      </c>
      <c r="B679" s="2" t="s">
        <v>8477</v>
      </c>
      <c r="C679" s="2">
        <v>5.1625729133E10</v>
      </c>
      <c r="D679" s="2" t="s">
        <v>8478</v>
      </c>
      <c r="E679" s="2">
        <v>12542.0</v>
      </c>
      <c r="F679" s="2">
        <v>31.0</v>
      </c>
      <c r="G679" s="2">
        <v>1047.0</v>
      </c>
      <c r="H679" s="2" t="s">
        <v>5906</v>
      </c>
      <c r="I679" s="2" t="s">
        <v>5906</v>
      </c>
      <c r="J679" s="2" t="s">
        <v>8479</v>
      </c>
      <c r="K679" s="2" t="s">
        <v>8480</v>
      </c>
      <c r="L679" s="10" t="s">
        <v>8481</v>
      </c>
    </row>
    <row r="680">
      <c r="A680" s="2" t="s">
        <v>5389</v>
      </c>
      <c r="B680" s="2" t="s">
        <v>8482</v>
      </c>
      <c r="C680" s="2">
        <v>4.84807492E9</v>
      </c>
      <c r="D680" s="2" t="s">
        <v>5389</v>
      </c>
      <c r="E680" s="2">
        <v>11758.0</v>
      </c>
      <c r="F680" s="2">
        <v>20.0</v>
      </c>
      <c r="G680" s="2">
        <v>8.0</v>
      </c>
      <c r="H680" s="2" t="s">
        <v>5905</v>
      </c>
      <c r="I680" s="2" t="s">
        <v>5906</v>
      </c>
      <c r="K680" s="2" t="s">
        <v>8483</v>
      </c>
      <c r="L680" s="10" t="s">
        <v>8484</v>
      </c>
    </row>
    <row r="681">
      <c r="A681" s="2" t="s">
        <v>5389</v>
      </c>
      <c r="B681" s="2" t="s">
        <v>8485</v>
      </c>
      <c r="C681" s="2">
        <v>6.5683566198E10</v>
      </c>
      <c r="D681" s="2" t="s">
        <v>8486</v>
      </c>
      <c r="E681" s="2">
        <v>127486.0</v>
      </c>
      <c r="F681" s="2">
        <v>66.0</v>
      </c>
      <c r="G681" s="2">
        <v>67.0</v>
      </c>
      <c r="H681" s="2" t="s">
        <v>5905</v>
      </c>
      <c r="I681" s="2" t="s">
        <v>5905</v>
      </c>
      <c r="J681" s="2" t="s">
        <v>5928</v>
      </c>
      <c r="K681" s="2" t="s">
        <v>8487</v>
      </c>
      <c r="L681" s="10" t="s">
        <v>8488</v>
      </c>
    </row>
    <row r="682">
      <c r="A682" s="2" t="s">
        <v>5389</v>
      </c>
      <c r="B682" s="2" t="s">
        <v>8489</v>
      </c>
      <c r="C682" s="2">
        <v>5.466278785E9</v>
      </c>
      <c r="D682" s="2" t="s">
        <v>8490</v>
      </c>
      <c r="E682" s="2">
        <v>65498.0</v>
      </c>
      <c r="F682" s="2">
        <v>7.0</v>
      </c>
      <c r="G682" s="2">
        <v>1537.0</v>
      </c>
      <c r="H682" s="2" t="s">
        <v>5906</v>
      </c>
      <c r="I682" s="2" t="s">
        <v>5906</v>
      </c>
      <c r="J682" s="2" t="s">
        <v>4996</v>
      </c>
      <c r="K682" s="2" t="s">
        <v>8491</v>
      </c>
      <c r="L682" s="10" t="s">
        <v>8492</v>
      </c>
    </row>
    <row r="683">
      <c r="A683" s="2" t="s">
        <v>5389</v>
      </c>
      <c r="B683" s="2" t="s">
        <v>8493</v>
      </c>
      <c r="C683" s="2">
        <v>6.881932032E9</v>
      </c>
      <c r="D683" s="2" t="s">
        <v>8494</v>
      </c>
      <c r="E683" s="2">
        <v>63186.0</v>
      </c>
      <c r="F683" s="2">
        <v>16.0</v>
      </c>
      <c r="G683" s="2">
        <v>8314.0</v>
      </c>
      <c r="H683" s="2" t="s">
        <v>5905</v>
      </c>
      <c r="I683" s="2" t="s">
        <v>5906</v>
      </c>
      <c r="K683" s="2" t="s">
        <v>8495</v>
      </c>
      <c r="L683" s="10" t="s">
        <v>8496</v>
      </c>
    </row>
    <row r="684">
      <c r="A684" s="2" t="s">
        <v>5389</v>
      </c>
      <c r="B684" s="2" t="s">
        <v>8497</v>
      </c>
      <c r="C684" s="2">
        <v>1.93505338E8</v>
      </c>
      <c r="D684" s="2" t="s">
        <v>8498</v>
      </c>
      <c r="E684" s="2">
        <v>820276.0</v>
      </c>
      <c r="F684" s="2">
        <v>278.0</v>
      </c>
      <c r="G684" s="2">
        <v>9963.0</v>
      </c>
      <c r="H684" s="2" t="s">
        <v>5906</v>
      </c>
      <c r="I684" s="2" t="s">
        <v>5906</v>
      </c>
      <c r="J684" s="2" t="s">
        <v>5489</v>
      </c>
      <c r="K684" s="2" t="s">
        <v>8499</v>
      </c>
      <c r="L684" s="10" t="s">
        <v>8500</v>
      </c>
    </row>
    <row r="685">
      <c r="A685" s="2" t="s">
        <v>5560</v>
      </c>
      <c r="B685" s="2" t="s">
        <v>8501</v>
      </c>
      <c r="C685" s="2">
        <v>1.9717111107E10</v>
      </c>
      <c r="D685" s="2" t="s">
        <v>8502</v>
      </c>
      <c r="E685" s="2">
        <v>825579.0</v>
      </c>
      <c r="F685" s="2">
        <v>0.0</v>
      </c>
      <c r="G685" s="2">
        <v>1387.0</v>
      </c>
      <c r="H685" s="2" t="s">
        <v>5905</v>
      </c>
      <c r="I685" s="2" t="s">
        <v>5905</v>
      </c>
      <c r="J685" s="2" t="s">
        <v>5561</v>
      </c>
      <c r="K685" s="2" t="s">
        <v>8503</v>
      </c>
    </row>
    <row r="686">
      <c r="A686" s="2" t="s">
        <v>5560</v>
      </c>
      <c r="B686" s="2" t="s">
        <v>8504</v>
      </c>
      <c r="C686" s="2">
        <v>5.4461315084E10</v>
      </c>
      <c r="D686" s="2" t="s">
        <v>8505</v>
      </c>
      <c r="E686" s="2">
        <v>213414.0</v>
      </c>
      <c r="F686" s="2">
        <v>41.0</v>
      </c>
      <c r="G686" s="2">
        <v>3141.0</v>
      </c>
      <c r="H686" s="2" t="s">
        <v>5905</v>
      </c>
      <c r="I686" s="2" t="s">
        <v>5906</v>
      </c>
      <c r="J686" s="2" t="s">
        <v>5561</v>
      </c>
      <c r="K686" s="2" t="s">
        <v>8506</v>
      </c>
      <c r="L686" s="10" t="s">
        <v>8507</v>
      </c>
    </row>
    <row r="687">
      <c r="A687" s="2" t="s">
        <v>5560</v>
      </c>
      <c r="B687" s="2" t="s">
        <v>8508</v>
      </c>
      <c r="C687" s="2">
        <v>2.88807013E8</v>
      </c>
      <c r="D687" s="2" t="s">
        <v>8509</v>
      </c>
      <c r="E687" s="2">
        <v>552645.0</v>
      </c>
      <c r="F687" s="2">
        <v>293.0</v>
      </c>
      <c r="G687" s="2">
        <v>7593.0</v>
      </c>
      <c r="H687" s="2" t="s">
        <v>5905</v>
      </c>
      <c r="I687" s="2" t="s">
        <v>5905</v>
      </c>
      <c r="K687" s="2" t="s">
        <v>8510</v>
      </c>
      <c r="L687" s="10" t="s">
        <v>8511</v>
      </c>
    </row>
    <row r="688">
      <c r="A688" s="2" t="s">
        <v>5560</v>
      </c>
      <c r="B688" s="2" t="s">
        <v>8512</v>
      </c>
      <c r="C688" s="2">
        <v>1.3784365E7</v>
      </c>
      <c r="D688" s="2" t="s">
        <v>8513</v>
      </c>
      <c r="E688" s="2">
        <v>797641.0</v>
      </c>
      <c r="F688" s="2">
        <v>283.0</v>
      </c>
      <c r="G688" s="2">
        <v>9573.0</v>
      </c>
      <c r="H688" s="2" t="s">
        <v>5906</v>
      </c>
      <c r="I688" s="2" t="s">
        <v>5906</v>
      </c>
      <c r="J688" s="2" t="s">
        <v>6166</v>
      </c>
      <c r="K688" s="2" t="s">
        <v>8514</v>
      </c>
      <c r="L688" s="10" t="s">
        <v>8515</v>
      </c>
    </row>
    <row r="689">
      <c r="A689" s="2" t="s">
        <v>5560</v>
      </c>
      <c r="B689" s="2" t="s">
        <v>8516</v>
      </c>
      <c r="C689" s="2">
        <v>1.1697071238E10</v>
      </c>
      <c r="D689" s="2" t="s">
        <v>8517</v>
      </c>
      <c r="E689" s="2">
        <v>11033.0</v>
      </c>
      <c r="F689" s="2">
        <v>1347.0</v>
      </c>
      <c r="G689" s="2">
        <v>460.0</v>
      </c>
      <c r="H689" s="2" t="s">
        <v>5905</v>
      </c>
      <c r="I689" s="2" t="s">
        <v>5905</v>
      </c>
      <c r="J689" s="2" t="s">
        <v>8518</v>
      </c>
      <c r="K689" s="2" t="s">
        <v>8519</v>
      </c>
      <c r="L689" s="10" t="s">
        <v>8520</v>
      </c>
    </row>
    <row r="690">
      <c r="A690" s="2" t="s">
        <v>5560</v>
      </c>
      <c r="B690" s="2" t="s">
        <v>8521</v>
      </c>
      <c r="C690" s="2">
        <v>4.428258378E9</v>
      </c>
      <c r="D690" s="2" t="s">
        <v>8522</v>
      </c>
      <c r="E690" s="2">
        <v>12215.0</v>
      </c>
      <c r="F690" s="2">
        <v>667.0</v>
      </c>
      <c r="G690" s="2">
        <v>1531.0</v>
      </c>
      <c r="H690" s="2" t="s">
        <v>5906</v>
      </c>
      <c r="I690" s="2" t="s">
        <v>5906</v>
      </c>
      <c r="J690" s="2" t="s">
        <v>4404</v>
      </c>
      <c r="K690" s="2" t="s">
        <v>8523</v>
      </c>
      <c r="L690" s="10" t="s">
        <v>8524</v>
      </c>
    </row>
    <row r="691">
      <c r="A691" s="2" t="s">
        <v>5560</v>
      </c>
      <c r="B691" s="2" t="s">
        <v>8525</v>
      </c>
      <c r="C691" s="2">
        <v>6.5913628311E10</v>
      </c>
      <c r="D691" s="2" t="s">
        <v>8526</v>
      </c>
      <c r="E691" s="2">
        <v>52943.0</v>
      </c>
      <c r="F691" s="2">
        <v>159.0</v>
      </c>
      <c r="G691" s="2">
        <v>204.0</v>
      </c>
      <c r="H691" s="2" t="s">
        <v>5905</v>
      </c>
      <c r="I691" s="2" t="s">
        <v>5905</v>
      </c>
      <c r="J691" s="2" t="s">
        <v>6002</v>
      </c>
      <c r="K691" s="2" t="s">
        <v>8527</v>
      </c>
      <c r="L691" s="10" t="s">
        <v>8528</v>
      </c>
    </row>
    <row r="692">
      <c r="A692" s="2" t="s">
        <v>5560</v>
      </c>
      <c r="B692" s="2" t="s">
        <v>8529</v>
      </c>
      <c r="C692" s="2">
        <v>6.710402411E9</v>
      </c>
      <c r="D692" s="2" t="s">
        <v>8530</v>
      </c>
      <c r="E692" s="2">
        <v>41539.0</v>
      </c>
      <c r="F692" s="2">
        <v>1421.0</v>
      </c>
      <c r="G692" s="2">
        <v>8668.0</v>
      </c>
      <c r="H692" s="2" t="s">
        <v>5906</v>
      </c>
      <c r="I692" s="2" t="s">
        <v>5905</v>
      </c>
      <c r="J692" s="2" t="s">
        <v>5911</v>
      </c>
      <c r="K692" s="2" t="s">
        <v>8531</v>
      </c>
      <c r="L692" s="10" t="s">
        <v>8532</v>
      </c>
    </row>
    <row r="693">
      <c r="A693" s="2" t="s">
        <v>5560</v>
      </c>
      <c r="B693" s="2" t="s">
        <v>8533</v>
      </c>
      <c r="C693" s="2">
        <v>4.2615427E8</v>
      </c>
      <c r="D693" s="2" t="s">
        <v>8534</v>
      </c>
      <c r="E693" s="2">
        <v>196189.0</v>
      </c>
      <c r="F693" s="2">
        <v>334.0</v>
      </c>
      <c r="G693" s="2">
        <v>7988.0</v>
      </c>
      <c r="H693" s="2" t="s">
        <v>5906</v>
      </c>
      <c r="I693" s="2" t="s">
        <v>5906</v>
      </c>
      <c r="J693" s="2" t="s">
        <v>6393</v>
      </c>
      <c r="K693" s="2" t="s">
        <v>8535</v>
      </c>
      <c r="L693" s="10" t="s">
        <v>8536</v>
      </c>
    </row>
    <row r="694">
      <c r="A694" s="2" t="s">
        <v>5560</v>
      </c>
      <c r="B694" s="2" t="s">
        <v>8537</v>
      </c>
      <c r="C694" s="2">
        <v>6.896409736E10</v>
      </c>
      <c r="D694" s="2" t="s">
        <v>8538</v>
      </c>
      <c r="E694" s="2">
        <v>66984.0</v>
      </c>
      <c r="F694" s="2">
        <v>2.0</v>
      </c>
      <c r="G694" s="2">
        <v>20.0</v>
      </c>
      <c r="H694" s="2" t="s">
        <v>5905</v>
      </c>
      <c r="I694" s="2" t="s">
        <v>5906</v>
      </c>
      <c r="J694" s="2" t="s">
        <v>5561</v>
      </c>
      <c r="K694" s="2" t="s">
        <v>8539</v>
      </c>
      <c r="L694" s="10" t="s">
        <v>8540</v>
      </c>
    </row>
    <row r="695">
      <c r="A695" s="2" t="s">
        <v>5560</v>
      </c>
      <c r="B695" s="2" t="s">
        <v>8541</v>
      </c>
      <c r="C695" s="2">
        <v>9.9686715E8</v>
      </c>
      <c r="D695" s="2" t="s">
        <v>8542</v>
      </c>
      <c r="E695" s="2">
        <v>5068285.0</v>
      </c>
      <c r="F695" s="2">
        <v>317.0</v>
      </c>
      <c r="G695" s="2">
        <v>9289.0</v>
      </c>
      <c r="H695" s="2" t="s">
        <v>5906</v>
      </c>
      <c r="I695" s="2" t="s">
        <v>5905</v>
      </c>
      <c r="K695" s="2" t="s">
        <v>8543</v>
      </c>
      <c r="L695" s="10" t="s">
        <v>8544</v>
      </c>
    </row>
    <row r="696">
      <c r="A696" s="2" t="s">
        <v>5290</v>
      </c>
      <c r="B696" s="2" t="s">
        <v>8545</v>
      </c>
      <c r="C696" s="2">
        <v>1.88154866E8</v>
      </c>
      <c r="D696" s="2" t="s">
        <v>5290</v>
      </c>
      <c r="E696" s="2">
        <v>1.0580357E7</v>
      </c>
      <c r="F696" s="2">
        <v>110.0</v>
      </c>
      <c r="G696" s="2">
        <v>67462.0</v>
      </c>
      <c r="H696" s="2" t="s">
        <v>5906</v>
      </c>
      <c r="I696" s="2" t="s">
        <v>5906</v>
      </c>
      <c r="J696" s="2" t="s">
        <v>5911</v>
      </c>
      <c r="K696" s="2" t="s">
        <v>8546</v>
      </c>
      <c r="L696" s="10" t="s">
        <v>8547</v>
      </c>
    </row>
    <row r="697">
      <c r="A697" s="2" t="s">
        <v>5290</v>
      </c>
      <c r="B697" s="2" t="s">
        <v>8548</v>
      </c>
      <c r="C697" s="2">
        <v>2.253837526E9</v>
      </c>
      <c r="D697" s="2" t="s">
        <v>8549</v>
      </c>
      <c r="E697" s="2">
        <v>16696.0</v>
      </c>
      <c r="F697" s="2">
        <v>125.0</v>
      </c>
      <c r="G697" s="2">
        <v>118.0</v>
      </c>
      <c r="H697" s="2" t="s">
        <v>5906</v>
      </c>
      <c r="I697" s="2" t="s">
        <v>5905</v>
      </c>
      <c r="K697" s="2" t="s">
        <v>8550</v>
      </c>
      <c r="L697" s="10" t="s">
        <v>8551</v>
      </c>
    </row>
    <row r="698">
      <c r="A698" s="2" t="s">
        <v>5290</v>
      </c>
      <c r="B698" s="2" t="s">
        <v>8552</v>
      </c>
      <c r="C698" s="2">
        <v>6.268996646E9</v>
      </c>
      <c r="D698" s="2" t="s">
        <v>8553</v>
      </c>
      <c r="E698" s="2">
        <v>11326.0</v>
      </c>
      <c r="F698" s="2">
        <v>128.0</v>
      </c>
      <c r="G698" s="2">
        <v>2084.0</v>
      </c>
      <c r="H698" s="2" t="s">
        <v>5905</v>
      </c>
      <c r="I698" s="2" t="s">
        <v>5906</v>
      </c>
      <c r="J698" s="2" t="s">
        <v>5911</v>
      </c>
      <c r="K698" s="2" t="s">
        <v>8554</v>
      </c>
      <c r="L698" s="10" t="s">
        <v>8555</v>
      </c>
    </row>
    <row r="699">
      <c r="A699" s="2" t="s">
        <v>5290</v>
      </c>
      <c r="B699" s="2" t="s">
        <v>8556</v>
      </c>
      <c r="C699" s="2">
        <v>9.12370662E8</v>
      </c>
      <c r="D699" s="2" t="s">
        <v>8557</v>
      </c>
      <c r="E699" s="2">
        <v>388919.0</v>
      </c>
      <c r="F699" s="2">
        <v>186.0</v>
      </c>
      <c r="G699" s="2">
        <v>9223.0</v>
      </c>
      <c r="H699" s="2" t="s">
        <v>5906</v>
      </c>
      <c r="I699" s="2" t="s">
        <v>5906</v>
      </c>
      <c r="K699" s="2" t="s">
        <v>8558</v>
      </c>
      <c r="L699" s="10" t="s">
        <v>8559</v>
      </c>
    </row>
    <row r="700">
      <c r="A700" s="2" t="s">
        <v>5290</v>
      </c>
      <c r="B700" s="10" t="s">
        <v>8560</v>
      </c>
      <c r="C700" s="2">
        <v>5.9793652118E10</v>
      </c>
      <c r="D700" s="2" t="s">
        <v>8561</v>
      </c>
      <c r="E700" s="2">
        <v>103101.0</v>
      </c>
      <c r="F700" s="2">
        <v>49.0</v>
      </c>
      <c r="G700" s="2">
        <v>727.0</v>
      </c>
      <c r="H700" s="2" t="s">
        <v>5905</v>
      </c>
      <c r="I700" s="2" t="s">
        <v>5905</v>
      </c>
      <c r="J700" s="2" t="s">
        <v>5959</v>
      </c>
      <c r="K700" s="2" t="s">
        <v>8562</v>
      </c>
      <c r="L700" s="10" t="s">
        <v>8563</v>
      </c>
    </row>
    <row r="701">
      <c r="A701" s="2" t="s">
        <v>5290</v>
      </c>
      <c r="B701" s="2" t="s">
        <v>8564</v>
      </c>
      <c r="C701" s="2">
        <v>5.2281436896E10</v>
      </c>
      <c r="D701" s="2" t="s">
        <v>8565</v>
      </c>
      <c r="E701" s="2">
        <v>70536.0</v>
      </c>
      <c r="F701" s="2">
        <v>38.0</v>
      </c>
      <c r="G701" s="2">
        <v>33.0</v>
      </c>
      <c r="H701" s="2" t="s">
        <v>5905</v>
      </c>
      <c r="I701" s="2" t="s">
        <v>5905</v>
      </c>
      <c r="K701" s="2" t="s">
        <v>8566</v>
      </c>
    </row>
    <row r="702">
      <c r="A702" s="2" t="s">
        <v>5297</v>
      </c>
      <c r="B702" s="2" t="s">
        <v>8567</v>
      </c>
      <c r="C702" s="2">
        <v>1.8208728E7</v>
      </c>
      <c r="D702" s="2" t="s">
        <v>8568</v>
      </c>
      <c r="E702" s="2">
        <v>2029787.0</v>
      </c>
      <c r="F702" s="2">
        <v>275.0</v>
      </c>
      <c r="G702" s="2">
        <v>14422.0</v>
      </c>
      <c r="H702" s="2" t="s">
        <v>5906</v>
      </c>
      <c r="I702" s="2" t="s">
        <v>5906</v>
      </c>
      <c r="K702" s="2" t="s">
        <v>8569</v>
      </c>
      <c r="L702" s="10" t="s">
        <v>8570</v>
      </c>
    </row>
    <row r="703">
      <c r="A703" s="2" t="s">
        <v>5297</v>
      </c>
      <c r="B703" s="2" t="s">
        <v>8571</v>
      </c>
      <c r="C703" s="2">
        <v>1.258684628E9</v>
      </c>
      <c r="D703" s="12" t="s">
        <v>8572</v>
      </c>
      <c r="E703" s="2">
        <v>1008184.0</v>
      </c>
      <c r="F703" s="2">
        <v>71.0</v>
      </c>
      <c r="G703" s="2">
        <v>8984.0</v>
      </c>
      <c r="H703" s="2" t="s">
        <v>5906</v>
      </c>
      <c r="I703" s="2" t="s">
        <v>5906</v>
      </c>
      <c r="J703" s="2" t="s">
        <v>5907</v>
      </c>
      <c r="K703" s="12" t="s">
        <v>8573</v>
      </c>
      <c r="L703" s="10" t="s">
        <v>8574</v>
      </c>
    </row>
    <row r="704">
      <c r="A704" s="2" t="s">
        <v>5297</v>
      </c>
      <c r="B704" s="2" t="s">
        <v>8575</v>
      </c>
      <c r="C704" s="2">
        <v>4.945470051E9</v>
      </c>
      <c r="D704" s="2" t="s">
        <v>8576</v>
      </c>
      <c r="E704" s="2">
        <v>466944.0</v>
      </c>
      <c r="F704" s="2">
        <v>104.0</v>
      </c>
      <c r="G704" s="2">
        <v>9010.0</v>
      </c>
      <c r="H704" s="2" t="s">
        <v>5906</v>
      </c>
      <c r="I704" s="2" t="s">
        <v>5906</v>
      </c>
      <c r="K704" s="2" t="s">
        <v>8577</v>
      </c>
      <c r="L704" s="10" t="s">
        <v>8578</v>
      </c>
    </row>
    <row r="705">
      <c r="A705" s="2" t="s">
        <v>5297</v>
      </c>
      <c r="B705" s="2" t="s">
        <v>8579</v>
      </c>
      <c r="C705" s="2">
        <v>4.945814643E9</v>
      </c>
      <c r="D705" s="2" t="s">
        <v>8580</v>
      </c>
      <c r="E705" s="2">
        <v>205160.0</v>
      </c>
      <c r="F705" s="2">
        <v>72.0</v>
      </c>
      <c r="G705" s="2">
        <v>9805.0</v>
      </c>
      <c r="H705" s="2" t="s">
        <v>5906</v>
      </c>
      <c r="I705" s="2" t="s">
        <v>5905</v>
      </c>
      <c r="J705" s="2" t="s">
        <v>5907</v>
      </c>
      <c r="K705" s="2" t="s">
        <v>8581</v>
      </c>
      <c r="L705" s="10" t="s">
        <v>8582</v>
      </c>
    </row>
    <row r="706">
      <c r="A706" s="2" t="s">
        <v>5280</v>
      </c>
      <c r="B706" s="2" t="s">
        <v>8583</v>
      </c>
      <c r="C706" s="2">
        <v>3.9955484E7</v>
      </c>
      <c r="D706" s="2" t="s">
        <v>8584</v>
      </c>
      <c r="E706" s="2">
        <v>706883.0</v>
      </c>
      <c r="F706" s="2">
        <v>471.0</v>
      </c>
      <c r="G706" s="2">
        <v>27102.0</v>
      </c>
      <c r="H706" s="2" t="s">
        <v>5906</v>
      </c>
      <c r="I706" s="2" t="s">
        <v>5906</v>
      </c>
      <c r="K706" s="2" t="s">
        <v>8585</v>
      </c>
      <c r="L706" s="10" t="s">
        <v>8586</v>
      </c>
    </row>
    <row r="707">
      <c r="A707" s="2" t="s">
        <v>5280</v>
      </c>
      <c r="B707" s="2" t="s">
        <v>8587</v>
      </c>
      <c r="C707" s="2">
        <v>1.124363421E9</v>
      </c>
      <c r="D707" s="2" t="s">
        <v>8588</v>
      </c>
      <c r="E707" s="2">
        <v>41941.0</v>
      </c>
      <c r="F707" s="2">
        <v>1246.0</v>
      </c>
      <c r="G707" s="2">
        <v>4633.0</v>
      </c>
      <c r="H707" s="2" t="s">
        <v>5906</v>
      </c>
      <c r="I707" s="2" t="s">
        <v>5906</v>
      </c>
      <c r="K707" s="2" t="s">
        <v>8589</v>
      </c>
      <c r="L707" s="10" t="s">
        <v>8590</v>
      </c>
    </row>
    <row r="708">
      <c r="A708" s="2" t="s">
        <v>5501</v>
      </c>
      <c r="B708" s="2" t="s">
        <v>8591</v>
      </c>
      <c r="C708" s="2">
        <v>4.5000080745E10</v>
      </c>
      <c r="D708" s="2" t="s">
        <v>8592</v>
      </c>
      <c r="E708" s="2">
        <v>15074.0</v>
      </c>
      <c r="F708" s="2">
        <v>40.0</v>
      </c>
      <c r="G708" s="2">
        <v>435.0</v>
      </c>
      <c r="H708" s="2" t="s">
        <v>5905</v>
      </c>
      <c r="I708" s="2" t="s">
        <v>5905</v>
      </c>
      <c r="J708" s="2" t="s">
        <v>6199</v>
      </c>
      <c r="K708" s="2" t="s">
        <v>8593</v>
      </c>
      <c r="L708" s="10" t="s">
        <v>8594</v>
      </c>
    </row>
    <row r="709">
      <c r="A709" s="2" t="s">
        <v>5501</v>
      </c>
      <c r="B709" s="2" t="s">
        <v>8595</v>
      </c>
      <c r="C709" s="2">
        <v>5.50624433E8</v>
      </c>
      <c r="D709" s="2" t="s">
        <v>8596</v>
      </c>
      <c r="E709" s="2">
        <v>25638.0</v>
      </c>
      <c r="F709" s="2">
        <v>598.0</v>
      </c>
      <c r="G709" s="2">
        <v>1133.0</v>
      </c>
      <c r="H709" s="2" t="s">
        <v>5905</v>
      </c>
      <c r="I709" s="2" t="s">
        <v>5906</v>
      </c>
      <c r="J709" s="2" t="s">
        <v>6745</v>
      </c>
      <c r="K709" s="2" t="s">
        <v>8597</v>
      </c>
      <c r="L709" s="10" t="s">
        <v>8598</v>
      </c>
    </row>
    <row r="710">
      <c r="A710" s="2" t="s">
        <v>5501</v>
      </c>
      <c r="B710" s="2" t="s">
        <v>8599</v>
      </c>
      <c r="C710" s="2">
        <v>4.7860800978E10</v>
      </c>
      <c r="E710" s="2">
        <v>183317.0</v>
      </c>
      <c r="F710" s="2">
        <v>88.0</v>
      </c>
      <c r="G710" s="2">
        <v>1043.0</v>
      </c>
      <c r="H710" s="2" t="s">
        <v>5905</v>
      </c>
      <c r="I710" s="2" t="s">
        <v>5905</v>
      </c>
      <c r="J710" s="2" t="s">
        <v>5491</v>
      </c>
      <c r="K710" s="2" t="s">
        <v>8600</v>
      </c>
      <c r="L710" s="10" t="s">
        <v>8601</v>
      </c>
    </row>
    <row r="711">
      <c r="A711" s="2" t="s">
        <v>5501</v>
      </c>
      <c r="B711" s="2" t="s">
        <v>8602</v>
      </c>
      <c r="C711" s="2">
        <v>5.08642055E8</v>
      </c>
      <c r="D711" s="2" t="s">
        <v>8603</v>
      </c>
      <c r="E711" s="2">
        <v>443632.0</v>
      </c>
      <c r="F711" s="2">
        <v>1154.0</v>
      </c>
      <c r="G711" s="2">
        <v>3447.0</v>
      </c>
      <c r="H711" s="2" t="s">
        <v>5905</v>
      </c>
      <c r="I711" s="2" t="s">
        <v>5906</v>
      </c>
      <c r="J711" s="2" t="s">
        <v>8604</v>
      </c>
      <c r="K711" s="2" t="s">
        <v>8605</v>
      </c>
      <c r="L711" s="10" t="s">
        <v>8606</v>
      </c>
    </row>
    <row r="712">
      <c r="A712" s="2" t="s">
        <v>5501</v>
      </c>
      <c r="B712" s="2" t="s">
        <v>8607</v>
      </c>
      <c r="C712" s="2">
        <v>1.2342114E7</v>
      </c>
      <c r="D712" s="2" t="s">
        <v>8608</v>
      </c>
      <c r="E712" s="2">
        <v>28984.0</v>
      </c>
      <c r="F712" s="2">
        <v>3854.0</v>
      </c>
      <c r="G712" s="2">
        <v>1665.0</v>
      </c>
      <c r="H712" s="2" t="s">
        <v>5906</v>
      </c>
      <c r="I712" s="2" t="s">
        <v>5905</v>
      </c>
      <c r="J712" s="2" t="s">
        <v>5391</v>
      </c>
      <c r="K712" s="2" t="s">
        <v>8609</v>
      </c>
      <c r="L712" s="10" t="s">
        <v>8610</v>
      </c>
    </row>
    <row r="713">
      <c r="A713" s="2" t="s">
        <v>5411</v>
      </c>
      <c r="B713" s="2" t="s">
        <v>8611</v>
      </c>
      <c r="C713" s="2">
        <v>3.599903364E9</v>
      </c>
      <c r="D713" s="2" t="s">
        <v>5411</v>
      </c>
      <c r="E713" s="2">
        <v>306784.0</v>
      </c>
      <c r="F713" s="2">
        <v>142.0</v>
      </c>
      <c r="G713" s="2">
        <v>3572.0</v>
      </c>
      <c r="H713" s="2" t="s">
        <v>5906</v>
      </c>
      <c r="I713" s="2" t="s">
        <v>5906</v>
      </c>
      <c r="J713" s="2" t="s">
        <v>6111</v>
      </c>
      <c r="K713" s="2" t="s">
        <v>8612</v>
      </c>
      <c r="L713" s="10" t="s">
        <v>8613</v>
      </c>
    </row>
    <row r="714">
      <c r="A714" s="2" t="s">
        <v>5406</v>
      </c>
      <c r="B714" s="2" t="s">
        <v>8614</v>
      </c>
      <c r="C714" s="2">
        <v>3.00526603E8</v>
      </c>
      <c r="D714" s="2" t="s">
        <v>5406</v>
      </c>
      <c r="E714" s="2">
        <v>1100274.0</v>
      </c>
      <c r="F714" s="2">
        <v>253.0</v>
      </c>
      <c r="G714" s="2">
        <v>9670.0</v>
      </c>
      <c r="H714" s="2" t="s">
        <v>5906</v>
      </c>
      <c r="I714" s="2" t="s">
        <v>5906</v>
      </c>
      <c r="J714" s="2" t="s">
        <v>8615</v>
      </c>
      <c r="K714" s="2" t="s">
        <v>8616</v>
      </c>
      <c r="L714" s="10" t="s">
        <v>8617</v>
      </c>
    </row>
    <row r="715">
      <c r="A715" s="2" t="s">
        <v>5406</v>
      </c>
      <c r="B715" s="2" t="s">
        <v>8618</v>
      </c>
      <c r="C715" s="2">
        <v>6.222682844E10</v>
      </c>
      <c r="D715" s="2" t="s">
        <v>8619</v>
      </c>
      <c r="E715" s="2">
        <v>11971.0</v>
      </c>
      <c r="F715" s="2">
        <v>23.0</v>
      </c>
      <c r="G715" s="2">
        <v>336.0</v>
      </c>
      <c r="H715" s="2" t="s">
        <v>5906</v>
      </c>
      <c r="I715" s="2" t="s">
        <v>5906</v>
      </c>
      <c r="J715" s="2" t="s">
        <v>8620</v>
      </c>
      <c r="K715" s="2" t="s">
        <v>8621</v>
      </c>
      <c r="L715" s="10" t="s">
        <v>8622</v>
      </c>
    </row>
    <row r="716">
      <c r="A716" s="2" t="s">
        <v>5406</v>
      </c>
      <c r="B716" s="2" t="s">
        <v>8623</v>
      </c>
      <c r="C716" s="2">
        <v>7.94209678E8</v>
      </c>
      <c r="D716" s="12" t="s">
        <v>8624</v>
      </c>
      <c r="E716" s="2">
        <v>169148.0</v>
      </c>
      <c r="F716" s="2">
        <v>105.0</v>
      </c>
      <c r="G716" s="2">
        <v>2820.0</v>
      </c>
      <c r="H716" s="2" t="s">
        <v>5905</v>
      </c>
      <c r="I716" s="2" t="s">
        <v>5906</v>
      </c>
      <c r="J716" s="2" t="s">
        <v>8620</v>
      </c>
      <c r="K716" s="12" t="s">
        <v>8625</v>
      </c>
      <c r="L716" s="10" t="s">
        <v>8626</v>
      </c>
    </row>
    <row r="717">
      <c r="A717" s="2" t="s">
        <v>5327</v>
      </c>
      <c r="B717" s="2" t="s">
        <v>8627</v>
      </c>
      <c r="C717" s="2">
        <v>3.062301958E9</v>
      </c>
      <c r="D717" s="2" t="s">
        <v>8628</v>
      </c>
      <c r="E717" s="2">
        <v>135053.0</v>
      </c>
      <c r="F717" s="2">
        <v>27.0</v>
      </c>
      <c r="G717" s="2">
        <v>503.0</v>
      </c>
      <c r="H717" s="2" t="s">
        <v>5905</v>
      </c>
      <c r="I717" s="2" t="s">
        <v>5906</v>
      </c>
      <c r="K717" s="2" t="s">
        <v>8629</v>
      </c>
      <c r="L717" s="10" t="s">
        <v>8630</v>
      </c>
    </row>
    <row r="718">
      <c r="A718" s="2" t="s">
        <v>5327</v>
      </c>
      <c r="B718" s="2" t="s">
        <v>8631</v>
      </c>
      <c r="C718" s="2">
        <v>9.530521625E9</v>
      </c>
      <c r="E718" s="2">
        <v>226408.0</v>
      </c>
      <c r="F718" s="2">
        <v>142.0</v>
      </c>
      <c r="G718" s="2">
        <v>335.0</v>
      </c>
      <c r="H718" s="2" t="s">
        <v>5905</v>
      </c>
      <c r="I718" s="2" t="s">
        <v>5906</v>
      </c>
      <c r="J718" s="2" t="s">
        <v>6393</v>
      </c>
      <c r="K718" s="2" t="s">
        <v>8632</v>
      </c>
      <c r="L718" s="10" t="s">
        <v>8633</v>
      </c>
    </row>
    <row r="719">
      <c r="A719" s="2" t="s">
        <v>5327</v>
      </c>
      <c r="B719" s="2" t="s">
        <v>8634</v>
      </c>
      <c r="C719" s="2">
        <v>6.952018159E9</v>
      </c>
      <c r="D719" s="2" t="s">
        <v>8635</v>
      </c>
      <c r="E719" s="2">
        <v>98548.0</v>
      </c>
      <c r="F719" s="2">
        <v>2.0</v>
      </c>
      <c r="G719" s="2">
        <v>464.0</v>
      </c>
      <c r="H719" s="2" t="s">
        <v>5906</v>
      </c>
      <c r="I719" s="2" t="s">
        <v>5906</v>
      </c>
      <c r="J719" s="2" t="s">
        <v>6166</v>
      </c>
      <c r="K719" s="2" t="s">
        <v>8636</v>
      </c>
    </row>
    <row r="720">
      <c r="A720" s="2" t="s">
        <v>5327</v>
      </c>
      <c r="B720" s="2" t="s">
        <v>8637</v>
      </c>
      <c r="C720" s="2">
        <v>2.334315699E9</v>
      </c>
      <c r="D720" s="2" t="s">
        <v>8638</v>
      </c>
      <c r="E720" s="2">
        <v>26838.0</v>
      </c>
      <c r="F720" s="2">
        <v>3600.0</v>
      </c>
      <c r="G720" s="2">
        <v>636.0</v>
      </c>
      <c r="H720" s="2" t="s">
        <v>5905</v>
      </c>
      <c r="I720" s="2" t="s">
        <v>5905</v>
      </c>
      <c r="J720" s="2" t="s">
        <v>8639</v>
      </c>
      <c r="K720" s="2" t="s">
        <v>8640</v>
      </c>
      <c r="L720" s="10" t="s">
        <v>8641</v>
      </c>
    </row>
    <row r="721">
      <c r="A721" s="2" t="s">
        <v>5327</v>
      </c>
      <c r="B721" s="2" t="s">
        <v>8642</v>
      </c>
      <c r="C721" s="2">
        <v>2.7761026369E10</v>
      </c>
      <c r="D721" s="2" t="s">
        <v>8643</v>
      </c>
      <c r="E721" s="2">
        <v>783649.0</v>
      </c>
      <c r="F721" s="2">
        <v>47.0</v>
      </c>
      <c r="G721" s="2">
        <v>214.0</v>
      </c>
      <c r="H721" s="2" t="s">
        <v>5906</v>
      </c>
      <c r="I721" s="2" t="s">
        <v>5905</v>
      </c>
      <c r="J721" s="2" t="s">
        <v>6393</v>
      </c>
      <c r="K721" s="2" t="s">
        <v>8644</v>
      </c>
      <c r="L721" s="10" t="s">
        <v>8645</v>
      </c>
    </row>
    <row r="722">
      <c r="A722" s="2" t="s">
        <v>5327</v>
      </c>
      <c r="B722" s="2" t="s">
        <v>8646</v>
      </c>
      <c r="C722" s="2">
        <v>9.175863142E9</v>
      </c>
      <c r="D722" s="2" t="s">
        <v>8647</v>
      </c>
      <c r="E722" s="2">
        <v>35092.0</v>
      </c>
      <c r="F722" s="2">
        <v>254.0</v>
      </c>
      <c r="G722" s="2">
        <v>1662.0</v>
      </c>
      <c r="H722" s="2" t="s">
        <v>5905</v>
      </c>
      <c r="I722" s="2" t="s">
        <v>5906</v>
      </c>
      <c r="J722" s="2" t="s">
        <v>7140</v>
      </c>
      <c r="K722" s="2" t="s">
        <v>8648</v>
      </c>
    </row>
    <row r="723">
      <c r="A723" s="2" t="s">
        <v>5327</v>
      </c>
      <c r="B723" s="2" t="s">
        <v>8649</v>
      </c>
      <c r="C723" s="2">
        <v>7.709410917E9</v>
      </c>
      <c r="D723" s="2" t="s">
        <v>8650</v>
      </c>
      <c r="E723" s="2">
        <v>10345.0</v>
      </c>
      <c r="F723" s="2">
        <v>5834.0</v>
      </c>
      <c r="G723" s="2">
        <v>514.0</v>
      </c>
      <c r="H723" s="2" t="s">
        <v>5905</v>
      </c>
      <c r="I723" s="2" t="s">
        <v>5906</v>
      </c>
      <c r="J723" s="2" t="s">
        <v>6023</v>
      </c>
      <c r="K723" s="2" t="s">
        <v>8651</v>
      </c>
      <c r="L723" s="10" t="s">
        <v>8652</v>
      </c>
    </row>
    <row r="724">
      <c r="A724" s="2" t="s">
        <v>5327</v>
      </c>
      <c r="B724" s="2" t="s">
        <v>8653</v>
      </c>
      <c r="C724" s="2">
        <v>3.2259512891E10</v>
      </c>
      <c r="D724" s="2" t="s">
        <v>8654</v>
      </c>
      <c r="E724" s="2">
        <v>18170.0</v>
      </c>
      <c r="F724" s="2">
        <v>2314.0</v>
      </c>
      <c r="G724" s="2">
        <v>968.0</v>
      </c>
      <c r="H724" s="2" t="s">
        <v>5905</v>
      </c>
      <c r="I724" s="2" t="s">
        <v>5906</v>
      </c>
      <c r="J724" s="2" t="s">
        <v>5391</v>
      </c>
      <c r="K724" s="2" t="s">
        <v>8655</v>
      </c>
      <c r="L724" s="10" t="s">
        <v>8656</v>
      </c>
    </row>
    <row r="725">
      <c r="A725" s="2" t="s">
        <v>5327</v>
      </c>
      <c r="B725" s="2" t="s">
        <v>8657</v>
      </c>
      <c r="C725" s="2">
        <v>1.007023E7</v>
      </c>
      <c r="D725" s="2" t="s">
        <v>5327</v>
      </c>
      <c r="E725" s="2">
        <v>2715554.0</v>
      </c>
      <c r="F725" s="2">
        <v>1560.0</v>
      </c>
      <c r="G725" s="2">
        <v>14858.0</v>
      </c>
      <c r="H725" s="2" t="s">
        <v>5906</v>
      </c>
      <c r="I725" s="2" t="s">
        <v>5906</v>
      </c>
      <c r="K725" s="2" t="s">
        <v>8658</v>
      </c>
      <c r="L725" s="10" t="s">
        <v>8659</v>
      </c>
    </row>
    <row r="726">
      <c r="A726" s="2" t="s">
        <v>5327</v>
      </c>
      <c r="B726" s="2" t="s">
        <v>8660</v>
      </c>
      <c r="C726" s="2">
        <v>2.6677709726E10</v>
      </c>
      <c r="D726" s="2" t="s">
        <v>8661</v>
      </c>
      <c r="E726" s="2">
        <v>14364.0</v>
      </c>
      <c r="F726" s="2">
        <v>910.0</v>
      </c>
      <c r="G726" s="2">
        <v>5244.0</v>
      </c>
      <c r="H726" s="2" t="s">
        <v>5905</v>
      </c>
      <c r="I726" s="2" t="s">
        <v>5905</v>
      </c>
      <c r="J726" s="2" t="s">
        <v>6166</v>
      </c>
      <c r="K726" s="2" t="s">
        <v>8662</v>
      </c>
      <c r="L726" s="10" t="s">
        <v>8663</v>
      </c>
    </row>
    <row r="727">
      <c r="A727" s="2" t="s">
        <v>5327</v>
      </c>
      <c r="B727" s="10" t="s">
        <v>8664</v>
      </c>
      <c r="C727" s="2">
        <v>5.9217799343E10</v>
      </c>
      <c r="D727" s="2" t="s">
        <v>8665</v>
      </c>
      <c r="E727" s="2">
        <v>26377.0</v>
      </c>
      <c r="F727" s="2">
        <v>24.0</v>
      </c>
      <c r="G727" s="2">
        <v>640.0</v>
      </c>
      <c r="H727" s="2" t="s">
        <v>5905</v>
      </c>
      <c r="I727" s="2" t="s">
        <v>5906</v>
      </c>
      <c r="J727" s="2" t="s">
        <v>5391</v>
      </c>
      <c r="K727" s="2" t="s">
        <v>8666</v>
      </c>
    </row>
    <row r="728">
      <c r="A728" s="2" t="s">
        <v>5327</v>
      </c>
      <c r="B728" s="2" t="s">
        <v>8667</v>
      </c>
      <c r="C728" s="2">
        <v>6.84028281E8</v>
      </c>
      <c r="D728" s="2" t="s">
        <v>5327</v>
      </c>
      <c r="E728" s="2">
        <v>43952.0</v>
      </c>
      <c r="F728" s="2">
        <v>1649.0</v>
      </c>
      <c r="G728" s="2">
        <v>1286.0</v>
      </c>
      <c r="H728" s="2" t="s">
        <v>5905</v>
      </c>
      <c r="I728" s="2" t="s">
        <v>5906</v>
      </c>
      <c r="K728" s="2" t="s">
        <v>8668</v>
      </c>
      <c r="L728" s="10" t="s">
        <v>8669</v>
      </c>
    </row>
    <row r="729">
      <c r="A729" s="2" t="s">
        <v>5472</v>
      </c>
      <c r="B729" s="2" t="s">
        <v>8670</v>
      </c>
      <c r="C729" s="2">
        <v>9738597.0</v>
      </c>
      <c r="D729" s="2" t="s">
        <v>8671</v>
      </c>
      <c r="E729" s="2">
        <v>249608.0</v>
      </c>
      <c r="F729" s="2">
        <v>528.0</v>
      </c>
      <c r="G729" s="2">
        <v>7457.0</v>
      </c>
      <c r="H729" s="2" t="s">
        <v>5906</v>
      </c>
      <c r="I729" s="2" t="s">
        <v>5906</v>
      </c>
      <c r="J729" s="2" t="s">
        <v>5911</v>
      </c>
      <c r="K729" s="2" t="s">
        <v>8672</v>
      </c>
      <c r="L729" s="10" t="s">
        <v>8673</v>
      </c>
    </row>
    <row r="730">
      <c r="A730" s="2" t="s">
        <v>5472</v>
      </c>
      <c r="B730" s="2" t="s">
        <v>8674</v>
      </c>
      <c r="C730" s="2">
        <v>1.827580768E9</v>
      </c>
      <c r="D730" s="2" t="s">
        <v>8675</v>
      </c>
      <c r="E730" s="2">
        <v>11695.0</v>
      </c>
      <c r="F730" s="2">
        <v>1567.0</v>
      </c>
      <c r="G730" s="2">
        <v>2720.0</v>
      </c>
      <c r="H730" s="2" t="s">
        <v>5906</v>
      </c>
      <c r="I730" s="2" t="s">
        <v>5906</v>
      </c>
      <c r="J730" s="2" t="s">
        <v>5518</v>
      </c>
      <c r="K730" s="2" t="s">
        <v>8676</v>
      </c>
      <c r="L730" s="10" t="s">
        <v>8677</v>
      </c>
    </row>
    <row r="731">
      <c r="A731" s="10" t="s">
        <v>5428</v>
      </c>
      <c r="B731" s="2" t="s">
        <v>8678</v>
      </c>
      <c r="C731" s="2">
        <v>5.346031742E9</v>
      </c>
      <c r="D731" s="2" t="s">
        <v>8679</v>
      </c>
      <c r="E731" s="2">
        <v>785025.0</v>
      </c>
      <c r="F731" s="2">
        <v>631.0</v>
      </c>
      <c r="G731" s="2">
        <v>48509.0</v>
      </c>
      <c r="H731" s="2" t="s">
        <v>5906</v>
      </c>
      <c r="I731" s="2" t="s">
        <v>5906</v>
      </c>
      <c r="J731" s="2" t="s">
        <v>5907</v>
      </c>
      <c r="K731" s="2" t="s">
        <v>8680</v>
      </c>
      <c r="L731" s="10" t="s">
        <v>8681</v>
      </c>
    </row>
    <row r="732">
      <c r="A732" s="2" t="s">
        <v>5442</v>
      </c>
      <c r="B732" s="2" t="s">
        <v>8682</v>
      </c>
      <c r="C732" s="2">
        <v>6.63773E8</v>
      </c>
      <c r="D732" s="2" t="s">
        <v>5442</v>
      </c>
      <c r="E732" s="2">
        <v>1182694.0</v>
      </c>
      <c r="F732" s="2">
        <v>413.0</v>
      </c>
      <c r="G732" s="2">
        <v>7979.0</v>
      </c>
      <c r="H732" s="2" t="s">
        <v>5906</v>
      </c>
      <c r="I732" s="2" t="s">
        <v>5906</v>
      </c>
      <c r="K732" s="2" t="s">
        <v>8683</v>
      </c>
      <c r="L732" s="10" t="s">
        <v>8684</v>
      </c>
    </row>
    <row r="733">
      <c r="A733" s="2" t="s">
        <v>5442</v>
      </c>
      <c r="B733" s="2" t="s">
        <v>8685</v>
      </c>
      <c r="C733" s="2">
        <v>1.248216172E9</v>
      </c>
      <c r="D733" s="2" t="s">
        <v>8686</v>
      </c>
      <c r="E733" s="2">
        <v>79258.0</v>
      </c>
      <c r="F733" s="2">
        <v>4519.0</v>
      </c>
      <c r="G733" s="2">
        <v>10378.0</v>
      </c>
      <c r="H733" s="2" t="s">
        <v>5905</v>
      </c>
      <c r="I733" s="2" t="s">
        <v>5906</v>
      </c>
      <c r="K733" s="2" t="s">
        <v>8687</v>
      </c>
      <c r="L733" s="10" t="s">
        <v>8688</v>
      </c>
    </row>
    <row r="734">
      <c r="A734" s="2" t="s">
        <v>5442</v>
      </c>
      <c r="B734" s="2" t="s">
        <v>8689</v>
      </c>
      <c r="C734" s="2">
        <v>5.29474226E8</v>
      </c>
      <c r="D734" s="2" t="s">
        <v>8690</v>
      </c>
      <c r="E734" s="2">
        <v>242538.0</v>
      </c>
      <c r="F734" s="2">
        <v>734.0</v>
      </c>
      <c r="G734" s="2">
        <v>9059.0</v>
      </c>
      <c r="H734" s="2" t="s">
        <v>5906</v>
      </c>
      <c r="I734" s="2" t="s">
        <v>5906</v>
      </c>
      <c r="J734" s="2" t="s">
        <v>5959</v>
      </c>
      <c r="K734" s="2" t="s">
        <v>8691</v>
      </c>
      <c r="L734" s="10" t="s">
        <v>8692</v>
      </c>
    </row>
    <row r="735">
      <c r="A735" s="2" t="s">
        <v>5320</v>
      </c>
      <c r="B735" s="2" t="s">
        <v>8693</v>
      </c>
      <c r="C735" s="2">
        <v>2.17392306E8</v>
      </c>
      <c r="D735" s="2" t="s">
        <v>8694</v>
      </c>
      <c r="E735" s="2">
        <v>1267207.0</v>
      </c>
      <c r="F735" s="2">
        <v>867.0</v>
      </c>
      <c r="G735" s="2">
        <v>13532.0</v>
      </c>
      <c r="H735" s="2" t="s">
        <v>5906</v>
      </c>
      <c r="I735" s="2" t="s">
        <v>5906</v>
      </c>
      <c r="J735" s="2" t="s">
        <v>5518</v>
      </c>
      <c r="K735" s="2" t="s">
        <v>8695</v>
      </c>
      <c r="L735" s="10" t="s">
        <v>8696</v>
      </c>
    </row>
    <row r="736">
      <c r="A736" s="2" t="s">
        <v>5320</v>
      </c>
      <c r="B736" s="2" t="s">
        <v>8697</v>
      </c>
      <c r="C736" s="2">
        <v>1.2864526E7</v>
      </c>
      <c r="D736" s="2" t="s">
        <v>5320</v>
      </c>
      <c r="E736" s="2">
        <v>6981178.0</v>
      </c>
      <c r="F736" s="2">
        <v>950.0</v>
      </c>
      <c r="G736" s="2">
        <v>16501.0</v>
      </c>
      <c r="H736" s="2" t="s">
        <v>5906</v>
      </c>
      <c r="I736" s="2" t="s">
        <v>5906</v>
      </c>
      <c r="K736" s="2" t="s">
        <v>8698</v>
      </c>
      <c r="L736" s="10" t="s">
        <v>8699</v>
      </c>
    </row>
    <row r="737">
      <c r="A737" s="2" t="s">
        <v>5320</v>
      </c>
      <c r="B737" s="2" t="s">
        <v>8700</v>
      </c>
      <c r="C737" s="2">
        <v>3.89481387E8</v>
      </c>
      <c r="D737" s="2" t="s">
        <v>8701</v>
      </c>
      <c r="E737" s="2">
        <v>16813.0</v>
      </c>
      <c r="F737" s="2">
        <v>441.0</v>
      </c>
      <c r="G737" s="2">
        <v>43.0</v>
      </c>
      <c r="H737" s="2" t="s">
        <v>5905</v>
      </c>
      <c r="I737" s="2" t="s">
        <v>5905</v>
      </c>
      <c r="J737" s="2" t="s">
        <v>5391</v>
      </c>
    </row>
    <row r="738">
      <c r="A738" s="2" t="s">
        <v>5320</v>
      </c>
      <c r="B738" s="2" t="s">
        <v>8702</v>
      </c>
      <c r="C738" s="2">
        <v>2.098885733E9</v>
      </c>
      <c r="D738" s="2" t="s">
        <v>8703</v>
      </c>
      <c r="E738" s="2">
        <v>45889.0</v>
      </c>
      <c r="F738" s="2">
        <v>340.0</v>
      </c>
      <c r="G738" s="2">
        <v>333.0</v>
      </c>
      <c r="H738" s="2" t="s">
        <v>5906</v>
      </c>
      <c r="I738" s="2" t="s">
        <v>5905</v>
      </c>
      <c r="K738" s="2" t="s">
        <v>8704</v>
      </c>
    </row>
    <row r="739">
      <c r="A739" s="2" t="s">
        <v>5320</v>
      </c>
      <c r="B739" s="2" t="s">
        <v>8705</v>
      </c>
      <c r="C739" s="2">
        <v>2.5293493E7</v>
      </c>
      <c r="D739" s="2" t="s">
        <v>8706</v>
      </c>
      <c r="E739" s="2">
        <v>1183771.0</v>
      </c>
      <c r="F739" s="2">
        <v>269.0</v>
      </c>
      <c r="G739" s="2">
        <v>6754.0</v>
      </c>
      <c r="H739" s="2" t="s">
        <v>5906</v>
      </c>
      <c r="I739" s="2" t="s">
        <v>5906</v>
      </c>
      <c r="J739" s="2" t="s">
        <v>5518</v>
      </c>
      <c r="K739" s="2" t="s">
        <v>8707</v>
      </c>
      <c r="L739" s="10" t="s">
        <v>8708</v>
      </c>
    </row>
    <row r="740">
      <c r="A740" s="2" t="s">
        <v>5320</v>
      </c>
      <c r="B740" s="2" t="s">
        <v>8709</v>
      </c>
      <c r="C740" s="2">
        <v>6.7153980862E10</v>
      </c>
      <c r="D740" s="2" t="s">
        <v>8710</v>
      </c>
      <c r="E740" s="2">
        <v>32131.0</v>
      </c>
      <c r="F740" s="2">
        <v>22.0</v>
      </c>
      <c r="G740" s="2">
        <v>418.0</v>
      </c>
      <c r="H740" s="2" t="s">
        <v>5906</v>
      </c>
      <c r="I740" s="2" t="s">
        <v>5906</v>
      </c>
      <c r="K740" s="2" t="s">
        <v>8711</v>
      </c>
      <c r="L740" s="10" t="s">
        <v>8712</v>
      </c>
    </row>
    <row r="741">
      <c r="A741" s="2" t="s">
        <v>5320</v>
      </c>
      <c r="B741" s="2" t="s">
        <v>8713</v>
      </c>
      <c r="C741" s="2">
        <v>4.8428091E7</v>
      </c>
      <c r="D741" s="2" t="s">
        <v>8714</v>
      </c>
      <c r="E741" s="2">
        <v>335631.0</v>
      </c>
      <c r="F741" s="2">
        <v>198.0</v>
      </c>
      <c r="G741" s="2">
        <v>12269.0</v>
      </c>
      <c r="H741" s="2" t="s">
        <v>5906</v>
      </c>
      <c r="I741" s="2" t="s">
        <v>5906</v>
      </c>
      <c r="J741" s="2" t="s">
        <v>5485</v>
      </c>
      <c r="K741" s="2" t="s">
        <v>8715</v>
      </c>
      <c r="L741" s="10" t="s">
        <v>8716</v>
      </c>
    </row>
    <row r="742">
      <c r="A742" s="2" t="s">
        <v>5320</v>
      </c>
      <c r="B742" s="2" t="s">
        <v>8717</v>
      </c>
      <c r="C742" s="2">
        <v>4.6611094692E10</v>
      </c>
      <c r="D742" s="2" t="s">
        <v>8718</v>
      </c>
      <c r="E742" s="2">
        <v>1073327.0</v>
      </c>
      <c r="F742" s="2">
        <v>1862.0</v>
      </c>
      <c r="G742" s="2">
        <v>598.0</v>
      </c>
      <c r="H742" s="2" t="s">
        <v>5906</v>
      </c>
      <c r="I742" s="2" t="s">
        <v>5906</v>
      </c>
      <c r="J742" s="2" t="s">
        <v>8719</v>
      </c>
      <c r="K742" s="2" t="s">
        <v>8720</v>
      </c>
      <c r="L742" s="10" t="s">
        <v>8721</v>
      </c>
    </row>
    <row r="743">
      <c r="A743" s="2" t="s">
        <v>5320</v>
      </c>
      <c r="B743" s="2" t="s">
        <v>8722</v>
      </c>
      <c r="C743" s="2">
        <v>5.06084014E8</v>
      </c>
      <c r="D743" s="2" t="s">
        <v>8723</v>
      </c>
      <c r="E743" s="2">
        <v>1635534.0</v>
      </c>
      <c r="F743" s="2">
        <v>0.0</v>
      </c>
      <c r="G743" s="2">
        <v>17017.0</v>
      </c>
      <c r="H743" s="2" t="s">
        <v>5906</v>
      </c>
      <c r="I743" s="2" t="s">
        <v>5905</v>
      </c>
      <c r="L743" s="10" t="s">
        <v>8724</v>
      </c>
    </row>
    <row r="744">
      <c r="A744" s="2" t="s">
        <v>5320</v>
      </c>
      <c r="B744" s="2" t="s">
        <v>8725</v>
      </c>
      <c r="C744" s="2">
        <v>1.95972637E8</v>
      </c>
      <c r="D744" s="2" t="s">
        <v>8726</v>
      </c>
      <c r="E744" s="2">
        <v>380331.0</v>
      </c>
      <c r="F744" s="2">
        <v>558.0</v>
      </c>
      <c r="G744" s="2">
        <v>12986.0</v>
      </c>
      <c r="H744" s="2" t="s">
        <v>5906</v>
      </c>
      <c r="I744" s="2" t="s">
        <v>5906</v>
      </c>
      <c r="K744" s="2" t="s">
        <v>8727</v>
      </c>
      <c r="L744" s="10" t="s">
        <v>8728</v>
      </c>
    </row>
    <row r="745">
      <c r="A745" s="2" t="s">
        <v>5320</v>
      </c>
      <c r="B745" s="2" t="s">
        <v>8729</v>
      </c>
      <c r="C745" s="2">
        <v>1.4754552286E10</v>
      </c>
      <c r="D745" s="2" t="s">
        <v>8730</v>
      </c>
      <c r="E745" s="2">
        <v>592129.0</v>
      </c>
      <c r="F745" s="2">
        <v>1874.0</v>
      </c>
      <c r="G745" s="2">
        <v>6074.0</v>
      </c>
      <c r="H745" s="2" t="s">
        <v>5906</v>
      </c>
      <c r="I745" s="2" t="s">
        <v>5906</v>
      </c>
      <c r="J745" s="2" t="s">
        <v>4397</v>
      </c>
      <c r="K745" s="2" t="s">
        <v>8731</v>
      </c>
      <c r="L745" s="10" t="s">
        <v>8732</v>
      </c>
    </row>
    <row r="746">
      <c r="A746" s="2" t="s">
        <v>5320</v>
      </c>
      <c r="B746" s="2" t="s">
        <v>8733</v>
      </c>
      <c r="C746" s="2">
        <v>1.371344513E9</v>
      </c>
      <c r="D746" s="2" t="s">
        <v>8734</v>
      </c>
      <c r="E746" s="2">
        <v>416710.0</v>
      </c>
      <c r="F746" s="2">
        <v>21.0</v>
      </c>
      <c r="G746" s="2">
        <v>8964.0</v>
      </c>
      <c r="H746" s="2" t="s">
        <v>5906</v>
      </c>
      <c r="I746" s="2" t="s">
        <v>5906</v>
      </c>
      <c r="K746" s="2" t="s">
        <v>8735</v>
      </c>
      <c r="L746" s="10" t="s">
        <v>8736</v>
      </c>
    </row>
    <row r="747">
      <c r="A747" s="2" t="s">
        <v>5452</v>
      </c>
      <c r="B747" s="2" t="s">
        <v>8737</v>
      </c>
      <c r="C747" s="2">
        <v>1.4454589E7</v>
      </c>
      <c r="D747" s="2" t="s">
        <v>5452</v>
      </c>
      <c r="E747" s="2">
        <v>349647.0</v>
      </c>
      <c r="F747" s="2">
        <v>658.0</v>
      </c>
      <c r="G747" s="2">
        <v>6296.0</v>
      </c>
      <c r="H747" s="2" t="s">
        <v>5906</v>
      </c>
      <c r="I747" s="2" t="s">
        <v>5906</v>
      </c>
      <c r="K747" s="2" t="s">
        <v>8738</v>
      </c>
      <c r="L747" s="10" t="s">
        <v>8739</v>
      </c>
    </row>
    <row r="748">
      <c r="A748" s="2" t="s">
        <v>5282</v>
      </c>
      <c r="B748" s="2" t="s">
        <v>8740</v>
      </c>
      <c r="C748" s="2">
        <v>1.945095E9</v>
      </c>
      <c r="D748" s="2" t="s">
        <v>5282</v>
      </c>
      <c r="E748" s="2">
        <v>491256.0</v>
      </c>
      <c r="F748" s="2">
        <v>429.0</v>
      </c>
      <c r="G748" s="2">
        <v>10406.0</v>
      </c>
      <c r="H748" s="2" t="s">
        <v>5906</v>
      </c>
      <c r="I748" s="2" t="s">
        <v>5906</v>
      </c>
      <c r="K748" s="2" t="s">
        <v>8741</v>
      </c>
      <c r="L748" s="10" t="s">
        <v>8742</v>
      </c>
    </row>
    <row r="749">
      <c r="A749" s="2" t="s">
        <v>5282</v>
      </c>
      <c r="B749" s="2" t="s">
        <v>8743</v>
      </c>
      <c r="C749" s="2">
        <v>2.209515693E9</v>
      </c>
      <c r="D749" s="2" t="s">
        <v>8744</v>
      </c>
      <c r="E749" s="2">
        <v>44993.0</v>
      </c>
      <c r="F749" s="2">
        <v>415.0</v>
      </c>
      <c r="G749" s="2">
        <v>1738.0</v>
      </c>
      <c r="H749" s="2" t="s">
        <v>5906</v>
      </c>
      <c r="I749" s="2" t="s">
        <v>5906</v>
      </c>
      <c r="J749" s="2" t="s">
        <v>5911</v>
      </c>
      <c r="K749" s="2" t="s">
        <v>8745</v>
      </c>
      <c r="L749" s="10" t="s">
        <v>8746</v>
      </c>
    </row>
    <row r="750">
      <c r="A750" s="2" t="s">
        <v>5325</v>
      </c>
      <c r="B750" s="2" t="s">
        <v>8747</v>
      </c>
      <c r="C750" s="2">
        <v>1.2398129E7</v>
      </c>
      <c r="D750" s="2" t="s">
        <v>8748</v>
      </c>
      <c r="E750" s="2">
        <v>549709.0</v>
      </c>
      <c r="F750" s="2">
        <v>31.0</v>
      </c>
      <c r="G750" s="2">
        <v>40714.0</v>
      </c>
      <c r="H750" s="2" t="s">
        <v>5906</v>
      </c>
      <c r="I750" s="2" t="s">
        <v>5906</v>
      </c>
      <c r="J750" s="2" t="s">
        <v>5518</v>
      </c>
      <c r="K750" s="2" t="s">
        <v>8749</v>
      </c>
      <c r="L750" s="10" t="s">
        <v>8750</v>
      </c>
    </row>
    <row r="751">
      <c r="A751" s="2" t="s">
        <v>5325</v>
      </c>
      <c r="B751" s="2" t="s">
        <v>8751</v>
      </c>
      <c r="C751" s="2">
        <v>5.5896527997E10</v>
      </c>
      <c r="D751" s="2" t="s">
        <v>8752</v>
      </c>
      <c r="E751" s="2">
        <v>101358.0</v>
      </c>
      <c r="F751" s="2">
        <v>13.0</v>
      </c>
      <c r="G751" s="2">
        <v>2477.0</v>
      </c>
      <c r="H751" s="2" t="s">
        <v>5906</v>
      </c>
      <c r="I751" s="2" t="s">
        <v>5906</v>
      </c>
      <c r="J751" s="2" t="s">
        <v>8245</v>
      </c>
      <c r="K751" s="2" t="s">
        <v>8753</v>
      </c>
      <c r="L751" s="10" t="s">
        <v>8754</v>
      </c>
    </row>
    <row r="752">
      <c r="A752" s="2" t="s">
        <v>5325</v>
      </c>
      <c r="B752" s="2" t="s">
        <v>8755</v>
      </c>
      <c r="C752" s="2">
        <v>1.6432299819E10</v>
      </c>
      <c r="D752" s="2" t="s">
        <v>8756</v>
      </c>
      <c r="E752" s="2">
        <v>214418.0</v>
      </c>
      <c r="F752" s="2">
        <v>12.0</v>
      </c>
      <c r="G752" s="2">
        <v>5210.0</v>
      </c>
      <c r="H752" s="2" t="s">
        <v>5906</v>
      </c>
      <c r="I752" s="2" t="s">
        <v>5905</v>
      </c>
      <c r="J752" s="2" t="s">
        <v>7926</v>
      </c>
      <c r="K752" s="2" t="s">
        <v>8757</v>
      </c>
      <c r="L752" s="10" t="s">
        <v>8758</v>
      </c>
    </row>
    <row r="753">
      <c r="A753" s="2" t="s">
        <v>5325</v>
      </c>
      <c r="B753" s="2" t="s">
        <v>8759</v>
      </c>
      <c r="C753" s="2">
        <v>2.074883252E9</v>
      </c>
      <c r="D753" s="2" t="s">
        <v>8760</v>
      </c>
      <c r="E753" s="2">
        <v>134286.0</v>
      </c>
      <c r="F753" s="2">
        <v>208.0</v>
      </c>
      <c r="G753" s="2">
        <v>5159.0</v>
      </c>
      <c r="H753" s="2" t="s">
        <v>5905</v>
      </c>
      <c r="I753" s="2" t="s">
        <v>5906</v>
      </c>
      <c r="J753" s="2" t="s">
        <v>5518</v>
      </c>
      <c r="K753" s="2" t="s">
        <v>8761</v>
      </c>
      <c r="L753" s="10" t="s">
        <v>8762</v>
      </c>
    </row>
    <row r="754">
      <c r="A754" s="2" t="s">
        <v>5325</v>
      </c>
      <c r="B754" s="2" t="s">
        <v>8763</v>
      </c>
      <c r="C754" s="2">
        <v>2.38302977E8</v>
      </c>
      <c r="D754" s="2" t="s">
        <v>8764</v>
      </c>
      <c r="E754" s="2">
        <v>233014.0</v>
      </c>
      <c r="F754" s="2">
        <v>0.0</v>
      </c>
      <c r="G754" s="2">
        <v>4250.0</v>
      </c>
      <c r="H754" s="2" t="s">
        <v>5905</v>
      </c>
      <c r="I754" s="2" t="s">
        <v>5906</v>
      </c>
      <c r="J754" s="2" t="s">
        <v>5518</v>
      </c>
      <c r="L754" s="10" t="s">
        <v>8765</v>
      </c>
    </row>
    <row r="755">
      <c r="A755" s="2" t="s">
        <v>5325</v>
      </c>
      <c r="B755" s="2" t="s">
        <v>8766</v>
      </c>
      <c r="C755" s="2">
        <v>4.3088132E7</v>
      </c>
      <c r="D755" s="2" t="s">
        <v>8767</v>
      </c>
      <c r="E755" s="2">
        <v>1633736.0</v>
      </c>
      <c r="F755" s="2">
        <v>842.0</v>
      </c>
      <c r="G755" s="2">
        <v>12955.0</v>
      </c>
      <c r="H755" s="2" t="s">
        <v>5906</v>
      </c>
      <c r="I755" s="2" t="s">
        <v>5906</v>
      </c>
      <c r="K755" s="2" t="s">
        <v>8768</v>
      </c>
      <c r="L755" s="10" t="s">
        <v>8769</v>
      </c>
    </row>
    <row r="756">
      <c r="A756" s="2" t="s">
        <v>5325</v>
      </c>
      <c r="B756" s="2" t="s">
        <v>8770</v>
      </c>
      <c r="C756" s="2">
        <v>5.332870889E9</v>
      </c>
      <c r="D756" s="2" t="s">
        <v>8771</v>
      </c>
      <c r="E756" s="2">
        <v>544217.0</v>
      </c>
      <c r="F756" s="2">
        <v>673.0</v>
      </c>
      <c r="G756" s="2">
        <v>7423.0</v>
      </c>
      <c r="H756" s="2" t="s">
        <v>5906</v>
      </c>
      <c r="I756" s="2" t="s">
        <v>5906</v>
      </c>
      <c r="J756" s="2" t="s">
        <v>5518</v>
      </c>
      <c r="K756" s="2" t="s">
        <v>8772</v>
      </c>
      <c r="L756" s="10" t="s">
        <v>8773</v>
      </c>
    </row>
    <row r="757">
      <c r="A757" s="2" t="s">
        <v>5325</v>
      </c>
      <c r="B757" s="2" t="s">
        <v>8774</v>
      </c>
      <c r="C757" s="2">
        <v>4.3203831E8</v>
      </c>
      <c r="D757" s="2" t="s">
        <v>8775</v>
      </c>
      <c r="E757" s="2">
        <v>600800.0</v>
      </c>
      <c r="F757" s="2">
        <v>57.0</v>
      </c>
      <c r="G757" s="2">
        <v>8855.0</v>
      </c>
      <c r="H757" s="2" t="s">
        <v>5906</v>
      </c>
      <c r="I757" s="2" t="s">
        <v>5906</v>
      </c>
      <c r="K757" s="12" t="s">
        <v>8776</v>
      </c>
      <c r="L757" s="10" t="s">
        <v>8777</v>
      </c>
    </row>
    <row r="758">
      <c r="A758" s="2" t="s">
        <v>5325</v>
      </c>
      <c r="B758" s="2" t="s">
        <v>8778</v>
      </c>
      <c r="C758" s="2">
        <v>1.7036276E7</v>
      </c>
      <c r="D758" s="2" t="s">
        <v>8779</v>
      </c>
      <c r="E758" s="2">
        <v>711269.0</v>
      </c>
      <c r="F758" s="2">
        <v>681.0</v>
      </c>
      <c r="G758" s="2">
        <v>9775.0</v>
      </c>
      <c r="H758" s="2" t="s">
        <v>5906</v>
      </c>
      <c r="I758" s="2" t="s">
        <v>5905</v>
      </c>
      <c r="J758" s="2" t="s">
        <v>5518</v>
      </c>
      <c r="K758" s="2" t="s">
        <v>8780</v>
      </c>
      <c r="L758" s="10" t="s">
        <v>8781</v>
      </c>
    </row>
    <row r="759">
      <c r="A759" s="2" t="s">
        <v>5325</v>
      </c>
      <c r="B759" s="2" t="s">
        <v>8782</v>
      </c>
      <c r="C759" s="2">
        <v>5.37645055E8</v>
      </c>
      <c r="D759" s="2" t="s">
        <v>8783</v>
      </c>
      <c r="E759" s="2">
        <v>113783.0</v>
      </c>
      <c r="F759" s="2">
        <v>1020.0</v>
      </c>
      <c r="G759" s="2">
        <v>6026.0</v>
      </c>
      <c r="H759" s="2" t="s">
        <v>5906</v>
      </c>
      <c r="I759" s="2" t="s">
        <v>5906</v>
      </c>
      <c r="J759" s="2" t="s">
        <v>5518</v>
      </c>
      <c r="K759" s="2" t="s">
        <v>8784</v>
      </c>
      <c r="L759" s="10" t="s">
        <v>8785</v>
      </c>
    </row>
    <row r="760">
      <c r="A760" s="2" t="s">
        <v>5325</v>
      </c>
      <c r="B760" s="2" t="s">
        <v>8786</v>
      </c>
      <c r="C760" s="2">
        <v>1.460672949E9</v>
      </c>
      <c r="D760" s="2" t="s">
        <v>8787</v>
      </c>
      <c r="E760" s="2">
        <v>347267.0</v>
      </c>
      <c r="F760" s="2">
        <v>30.0</v>
      </c>
      <c r="G760" s="2">
        <v>14019.0</v>
      </c>
      <c r="H760" s="2" t="s">
        <v>5906</v>
      </c>
      <c r="I760" s="2" t="s">
        <v>5906</v>
      </c>
      <c r="K760" s="2" t="s">
        <v>8788</v>
      </c>
      <c r="L760" s="10" t="s">
        <v>8789</v>
      </c>
    </row>
    <row r="761">
      <c r="A761" s="2" t="s">
        <v>5325</v>
      </c>
      <c r="B761" s="2" t="s">
        <v>8790</v>
      </c>
      <c r="C761" s="2">
        <v>1.482963727E9</v>
      </c>
      <c r="D761" s="2" t="s">
        <v>8791</v>
      </c>
      <c r="E761" s="2">
        <v>285672.0</v>
      </c>
      <c r="F761" s="2">
        <v>517.0</v>
      </c>
      <c r="G761" s="2">
        <v>6009.0</v>
      </c>
      <c r="H761" s="2" t="s">
        <v>5906</v>
      </c>
      <c r="I761" s="2" t="s">
        <v>5905</v>
      </c>
      <c r="J761" s="2" t="s">
        <v>5518</v>
      </c>
      <c r="K761" s="2" t="s">
        <v>8792</v>
      </c>
      <c r="L761" s="10" t="s">
        <v>8793</v>
      </c>
    </row>
    <row r="762">
      <c r="A762" s="2" t="s">
        <v>5325</v>
      </c>
      <c r="B762" s="2" t="s">
        <v>8794</v>
      </c>
      <c r="C762" s="2">
        <v>3.446088299E9</v>
      </c>
      <c r="D762" s="2" t="s">
        <v>8795</v>
      </c>
      <c r="E762" s="2">
        <v>2146877.0</v>
      </c>
      <c r="F762" s="2">
        <v>5.0</v>
      </c>
      <c r="G762" s="2">
        <v>15049.0</v>
      </c>
      <c r="H762" s="2" t="s">
        <v>5906</v>
      </c>
      <c r="I762" s="2" t="s">
        <v>5906</v>
      </c>
      <c r="J762" s="2" t="s">
        <v>5518</v>
      </c>
      <c r="K762" s="2" t="s">
        <v>8796</v>
      </c>
      <c r="L762" s="10" t="s">
        <v>8797</v>
      </c>
    </row>
    <row r="763">
      <c r="A763" s="2" t="s">
        <v>5325</v>
      </c>
      <c r="B763" s="2" t="s">
        <v>8798</v>
      </c>
      <c r="C763" s="2">
        <v>2.68989091E8</v>
      </c>
      <c r="D763" s="2" t="s">
        <v>8799</v>
      </c>
      <c r="E763" s="2">
        <v>214006.0</v>
      </c>
      <c r="F763" s="2">
        <v>665.0</v>
      </c>
      <c r="G763" s="2">
        <v>17501.0</v>
      </c>
      <c r="H763" s="2" t="s">
        <v>5906</v>
      </c>
      <c r="I763" s="2" t="s">
        <v>5905</v>
      </c>
      <c r="J763" s="2" t="s">
        <v>5518</v>
      </c>
      <c r="K763" s="2" t="s">
        <v>8800</v>
      </c>
      <c r="L763" s="10" t="s">
        <v>8801</v>
      </c>
    </row>
    <row r="764">
      <c r="A764" s="2" t="s">
        <v>5325</v>
      </c>
      <c r="B764" s="2" t="s">
        <v>8802</v>
      </c>
      <c r="C764" s="2">
        <v>5.3253159E7</v>
      </c>
      <c r="D764" s="2" t="s">
        <v>8803</v>
      </c>
      <c r="E764" s="2">
        <v>505071.0</v>
      </c>
      <c r="F764" s="2">
        <v>1624.0</v>
      </c>
      <c r="G764" s="2">
        <v>934.0</v>
      </c>
      <c r="H764" s="2" t="s">
        <v>5906</v>
      </c>
      <c r="I764" s="2" t="s">
        <v>5906</v>
      </c>
      <c r="K764" s="2" t="s">
        <v>8804</v>
      </c>
      <c r="L764" s="10" t="s">
        <v>8805</v>
      </c>
    </row>
    <row r="765">
      <c r="A765" s="2" t="s">
        <v>5325</v>
      </c>
      <c r="B765" s="2" t="s">
        <v>8806</v>
      </c>
      <c r="C765" s="2">
        <v>3.18531422E8</v>
      </c>
      <c r="D765" s="2" t="s">
        <v>8807</v>
      </c>
      <c r="E765" s="2">
        <v>125502.0</v>
      </c>
      <c r="F765" s="2">
        <v>234.0</v>
      </c>
      <c r="G765" s="2">
        <v>4539.0</v>
      </c>
      <c r="H765" s="2" t="s">
        <v>5906</v>
      </c>
      <c r="I765" s="2" t="s">
        <v>5906</v>
      </c>
      <c r="J765" s="2" t="s">
        <v>5518</v>
      </c>
      <c r="K765" s="2" t="s">
        <v>8808</v>
      </c>
      <c r="L765" s="10" t="s">
        <v>8809</v>
      </c>
    </row>
    <row r="766">
      <c r="A766" s="2" t="s">
        <v>5325</v>
      </c>
      <c r="B766" s="2" t="s">
        <v>8810</v>
      </c>
      <c r="C766" s="2">
        <v>1.559038195E9</v>
      </c>
      <c r="D766" s="2" t="s">
        <v>8811</v>
      </c>
      <c r="E766" s="2">
        <v>199112.0</v>
      </c>
      <c r="F766" s="2">
        <v>80.0</v>
      </c>
      <c r="G766" s="2">
        <v>12670.0</v>
      </c>
      <c r="H766" s="2" t="s">
        <v>5906</v>
      </c>
      <c r="I766" s="2" t="s">
        <v>5906</v>
      </c>
      <c r="J766" s="2" t="s">
        <v>5561</v>
      </c>
      <c r="K766" s="2" t="s">
        <v>8812</v>
      </c>
      <c r="L766" s="10" t="s">
        <v>8813</v>
      </c>
    </row>
    <row r="767">
      <c r="A767" s="2" t="s">
        <v>5325</v>
      </c>
      <c r="B767" s="2" t="s">
        <v>8814</v>
      </c>
      <c r="C767" s="2">
        <v>1.98539316E8</v>
      </c>
      <c r="D767" s="2" t="s">
        <v>8815</v>
      </c>
      <c r="E767" s="2">
        <v>5771092.0</v>
      </c>
      <c r="F767" s="2">
        <v>2750.0</v>
      </c>
      <c r="G767" s="2">
        <v>12391.0</v>
      </c>
      <c r="H767" s="2" t="s">
        <v>5906</v>
      </c>
      <c r="I767" s="2" t="s">
        <v>5906</v>
      </c>
      <c r="J767" s="2" t="s">
        <v>5518</v>
      </c>
      <c r="K767" s="2" t="s">
        <v>8816</v>
      </c>
      <c r="L767" s="10" t="s">
        <v>8817</v>
      </c>
    </row>
    <row r="768">
      <c r="A768" s="2" t="s">
        <v>5301</v>
      </c>
      <c r="B768" s="2" t="s">
        <v>8818</v>
      </c>
      <c r="C768" s="2">
        <v>8.749965378E9</v>
      </c>
      <c r="D768" s="2" t="s">
        <v>8819</v>
      </c>
      <c r="E768" s="2">
        <v>21237.0</v>
      </c>
      <c r="F768" s="2">
        <v>28.0</v>
      </c>
      <c r="G768" s="2">
        <v>859.0</v>
      </c>
      <c r="H768" s="2" t="s">
        <v>5905</v>
      </c>
      <c r="I768" s="2" t="s">
        <v>5906</v>
      </c>
      <c r="J768" s="2" t="s">
        <v>4404</v>
      </c>
      <c r="K768" s="2" t="s">
        <v>8820</v>
      </c>
      <c r="L768" s="10" t="s">
        <v>8821</v>
      </c>
    </row>
    <row r="769">
      <c r="A769" s="2" t="s">
        <v>5301</v>
      </c>
      <c r="B769" s="2" t="s">
        <v>8822</v>
      </c>
      <c r="C769" s="2">
        <v>2.308133036E9</v>
      </c>
      <c r="D769" s="2" t="s">
        <v>5301</v>
      </c>
      <c r="E769" s="2">
        <v>3134435.0</v>
      </c>
      <c r="F769" s="2">
        <v>26.0</v>
      </c>
      <c r="G769" s="2">
        <v>2597.0</v>
      </c>
      <c r="H769" s="2" t="s">
        <v>5906</v>
      </c>
      <c r="I769" s="2" t="s">
        <v>5906</v>
      </c>
      <c r="K769" s="2" t="s">
        <v>8823</v>
      </c>
      <c r="L769" s="10" t="s">
        <v>8824</v>
      </c>
    </row>
    <row r="770">
      <c r="A770" s="2" t="s">
        <v>5301</v>
      </c>
      <c r="B770" s="2" t="s">
        <v>8825</v>
      </c>
      <c r="C770" s="2">
        <v>3.2099704412E10</v>
      </c>
      <c r="D770" s="2" t="s">
        <v>8826</v>
      </c>
      <c r="E770" s="2">
        <v>173760.0</v>
      </c>
      <c r="F770" s="2">
        <v>17.0</v>
      </c>
      <c r="G770" s="2">
        <v>587.0</v>
      </c>
      <c r="H770" s="2" t="s">
        <v>5906</v>
      </c>
      <c r="I770" s="2" t="s">
        <v>5906</v>
      </c>
      <c r="J770" s="2" t="s">
        <v>5489</v>
      </c>
      <c r="K770" s="2" t="s">
        <v>8827</v>
      </c>
      <c r="L770" s="10" t="s">
        <v>8828</v>
      </c>
    </row>
    <row r="771">
      <c r="A771" s="2" t="s">
        <v>5301</v>
      </c>
      <c r="B771" s="2" t="s">
        <v>8829</v>
      </c>
      <c r="C771" s="2">
        <v>2.691495151E9</v>
      </c>
      <c r="D771" s="2" t="s">
        <v>8830</v>
      </c>
      <c r="E771" s="2">
        <v>91037.0</v>
      </c>
      <c r="F771" s="2">
        <v>1.0</v>
      </c>
      <c r="G771" s="2">
        <v>1396.0</v>
      </c>
      <c r="H771" s="2" t="s">
        <v>5905</v>
      </c>
      <c r="I771" s="2" t="s">
        <v>5906</v>
      </c>
      <c r="J771" s="2" t="s">
        <v>5518</v>
      </c>
      <c r="K771" s="2" t="s">
        <v>8831</v>
      </c>
      <c r="L771" s="10" t="s">
        <v>8832</v>
      </c>
    </row>
    <row r="772">
      <c r="A772" s="2" t="s">
        <v>5579</v>
      </c>
      <c r="B772" s="2" t="s">
        <v>8833</v>
      </c>
      <c r="C772" s="2">
        <v>7.384130575E9</v>
      </c>
      <c r="D772" s="2" t="s">
        <v>8834</v>
      </c>
      <c r="E772" s="2">
        <v>123632.0</v>
      </c>
      <c r="F772" s="2">
        <v>350.0</v>
      </c>
      <c r="G772" s="2">
        <v>12852.0</v>
      </c>
      <c r="H772" s="2" t="s">
        <v>5905</v>
      </c>
      <c r="I772" s="2" t="s">
        <v>5905</v>
      </c>
      <c r="K772" s="2" t="s">
        <v>8835</v>
      </c>
    </row>
    <row r="773">
      <c r="A773" s="2" t="s">
        <v>5579</v>
      </c>
      <c r="B773" s="2" t="s">
        <v>8836</v>
      </c>
      <c r="C773" s="2">
        <v>5.062172674E9</v>
      </c>
      <c r="D773" s="2" t="s">
        <v>8837</v>
      </c>
      <c r="E773" s="2">
        <v>209387.0</v>
      </c>
      <c r="F773" s="2">
        <v>991.0</v>
      </c>
      <c r="G773" s="2">
        <v>1173.0</v>
      </c>
      <c r="H773" s="2" t="s">
        <v>5905</v>
      </c>
      <c r="I773" s="2" t="s">
        <v>5905</v>
      </c>
      <c r="J773" s="2" t="s">
        <v>8838</v>
      </c>
      <c r="K773" s="2" t="s">
        <v>8839</v>
      </c>
      <c r="L773" s="10" t="s">
        <v>8840</v>
      </c>
    </row>
    <row r="774">
      <c r="A774" s="2" t="s">
        <v>5579</v>
      </c>
      <c r="B774" s="2" t="s">
        <v>8841</v>
      </c>
      <c r="C774" s="2">
        <v>6.876863088E9</v>
      </c>
      <c r="D774" s="2" t="s">
        <v>8842</v>
      </c>
      <c r="E774" s="2">
        <v>287653.0</v>
      </c>
      <c r="F774" s="2">
        <v>46.0</v>
      </c>
      <c r="G774" s="2">
        <v>340.0</v>
      </c>
      <c r="H774" s="2" t="s">
        <v>5905</v>
      </c>
      <c r="I774" s="2" t="s">
        <v>5905</v>
      </c>
      <c r="J774" s="2" t="s">
        <v>8843</v>
      </c>
      <c r="K774" s="2" t="s">
        <v>8844</v>
      </c>
      <c r="L774" s="10" t="s">
        <v>8845</v>
      </c>
    </row>
    <row r="775">
      <c r="A775" s="2" t="s">
        <v>5579</v>
      </c>
      <c r="B775" s="2" t="s">
        <v>8846</v>
      </c>
      <c r="C775" s="2">
        <v>1.109171702E9</v>
      </c>
      <c r="D775" s="2" t="s">
        <v>5579</v>
      </c>
      <c r="E775" s="2">
        <v>259634.0</v>
      </c>
      <c r="F775" s="2">
        <v>2951.0</v>
      </c>
      <c r="G775" s="2">
        <v>14059.0</v>
      </c>
      <c r="H775" s="2" t="s">
        <v>5906</v>
      </c>
      <c r="I775" s="2" t="s">
        <v>5906</v>
      </c>
      <c r="J775" s="2" t="s">
        <v>5963</v>
      </c>
      <c r="K775" s="2" t="s">
        <v>8847</v>
      </c>
      <c r="L775" s="10" t="s">
        <v>8848</v>
      </c>
    </row>
    <row r="776">
      <c r="A776" s="2" t="s">
        <v>5579</v>
      </c>
      <c r="B776" s="2" t="s">
        <v>8849</v>
      </c>
      <c r="C776" s="2">
        <v>2.1336634E7</v>
      </c>
      <c r="D776" s="2" t="s">
        <v>8850</v>
      </c>
      <c r="E776" s="2">
        <v>310082.0</v>
      </c>
      <c r="F776" s="2">
        <v>5674.0</v>
      </c>
      <c r="G776" s="2">
        <v>187.0</v>
      </c>
      <c r="H776" s="2" t="s">
        <v>5906</v>
      </c>
      <c r="I776" s="2" t="s">
        <v>5905</v>
      </c>
      <c r="J776" s="2" t="s">
        <v>6393</v>
      </c>
      <c r="K776" s="2" t="s">
        <v>8851</v>
      </c>
      <c r="L776" s="10" t="s">
        <v>8852</v>
      </c>
    </row>
    <row r="777">
      <c r="A777" s="2" t="s">
        <v>5579</v>
      </c>
      <c r="B777" s="2" t="s">
        <v>8853</v>
      </c>
      <c r="C777" s="2">
        <v>6.7503614839E10</v>
      </c>
      <c r="D777" s="2" t="s">
        <v>8854</v>
      </c>
      <c r="E777" s="2">
        <v>429654.0</v>
      </c>
      <c r="F777" s="2">
        <v>1403.0</v>
      </c>
      <c r="G777" s="2">
        <v>54.0</v>
      </c>
      <c r="H777" s="2" t="s">
        <v>5905</v>
      </c>
      <c r="I777" s="2" t="s">
        <v>5905</v>
      </c>
      <c r="J777" s="2" t="s">
        <v>5959</v>
      </c>
      <c r="K777" s="2" t="s">
        <v>8855</v>
      </c>
      <c r="L777" s="10" t="s">
        <v>8856</v>
      </c>
    </row>
    <row r="778">
      <c r="A778" s="2" t="s">
        <v>5579</v>
      </c>
      <c r="B778" s="2" t="s">
        <v>8857</v>
      </c>
      <c r="C778" s="2">
        <v>8.244728339E9</v>
      </c>
      <c r="D778" s="2" t="s">
        <v>8858</v>
      </c>
      <c r="E778" s="2">
        <v>18195.0</v>
      </c>
      <c r="F778" s="2">
        <v>976.0</v>
      </c>
      <c r="G778" s="2">
        <v>813.0</v>
      </c>
      <c r="H778" s="2" t="s">
        <v>5905</v>
      </c>
      <c r="I778" s="2" t="s">
        <v>5906</v>
      </c>
      <c r="J778" s="2" t="s">
        <v>8843</v>
      </c>
      <c r="K778" s="2" t="s">
        <v>8859</v>
      </c>
      <c r="L778" s="10" t="s">
        <v>8860</v>
      </c>
    </row>
    <row r="779">
      <c r="A779" s="2" t="s">
        <v>5579</v>
      </c>
      <c r="B779" s="2" t="s">
        <v>8861</v>
      </c>
      <c r="C779" s="2">
        <v>4.560804134E10</v>
      </c>
      <c r="D779" s="2" t="s">
        <v>8862</v>
      </c>
      <c r="E779" s="2">
        <v>248942.0</v>
      </c>
      <c r="F779" s="2">
        <v>3.0</v>
      </c>
      <c r="G779" s="2">
        <v>1227.0</v>
      </c>
      <c r="H779" s="2" t="s">
        <v>5905</v>
      </c>
      <c r="I779" s="2" t="s">
        <v>5906</v>
      </c>
      <c r="J779" s="2" t="s">
        <v>5959</v>
      </c>
      <c r="K779" s="2" t="s">
        <v>8863</v>
      </c>
      <c r="L779" s="10" t="s">
        <v>8864</v>
      </c>
    </row>
    <row r="780">
      <c r="A780" s="2" t="s">
        <v>5505</v>
      </c>
      <c r="B780" s="2" t="s">
        <v>8865</v>
      </c>
      <c r="C780" s="2">
        <v>4.8919524303E10</v>
      </c>
      <c r="D780" s="2" t="s">
        <v>8866</v>
      </c>
      <c r="E780" s="2">
        <v>22088.0</v>
      </c>
      <c r="F780" s="2">
        <v>80.0</v>
      </c>
      <c r="G780" s="2">
        <v>763.0</v>
      </c>
      <c r="H780" s="2" t="s">
        <v>5905</v>
      </c>
      <c r="I780" s="2" t="s">
        <v>5906</v>
      </c>
      <c r="J780" s="2" t="s">
        <v>5491</v>
      </c>
      <c r="K780" s="12" t="s">
        <v>8867</v>
      </c>
    </row>
    <row r="781">
      <c r="A781" s="2" t="s">
        <v>5505</v>
      </c>
      <c r="B781" s="2" t="s">
        <v>8868</v>
      </c>
      <c r="C781" s="2">
        <v>4.8411035345E10</v>
      </c>
      <c r="D781" s="2" t="s">
        <v>8869</v>
      </c>
      <c r="E781" s="2">
        <v>39294.0</v>
      </c>
      <c r="F781" s="2">
        <v>3.0</v>
      </c>
      <c r="G781" s="2">
        <v>23079.0</v>
      </c>
      <c r="H781" s="2" t="s">
        <v>5905</v>
      </c>
      <c r="I781" s="2" t="s">
        <v>5906</v>
      </c>
      <c r="J781" s="2" t="s">
        <v>5907</v>
      </c>
      <c r="K781" s="2" t="s">
        <v>8870</v>
      </c>
      <c r="L781" s="10" t="s">
        <v>8871</v>
      </c>
    </row>
    <row r="782">
      <c r="A782" s="2" t="s">
        <v>5505</v>
      </c>
      <c r="B782" s="2" t="s">
        <v>8872</v>
      </c>
      <c r="C782" s="2">
        <v>4.8054017092E10</v>
      </c>
      <c r="D782" s="2" t="s">
        <v>8873</v>
      </c>
      <c r="E782" s="2">
        <v>46738.0</v>
      </c>
      <c r="F782" s="2">
        <v>96.0</v>
      </c>
      <c r="G782" s="2">
        <v>170.0</v>
      </c>
      <c r="H782" s="2" t="s">
        <v>5905</v>
      </c>
      <c r="I782" s="2" t="s">
        <v>5906</v>
      </c>
      <c r="J782" s="2" t="s">
        <v>7414</v>
      </c>
      <c r="K782" s="2" t="s">
        <v>8874</v>
      </c>
      <c r="L782" s="10" t="s">
        <v>8875</v>
      </c>
    </row>
    <row r="783">
      <c r="A783" s="2" t="s">
        <v>5505</v>
      </c>
      <c r="B783" s="2" t="s">
        <v>8876</v>
      </c>
      <c r="C783" s="2">
        <v>4.67279055E8</v>
      </c>
      <c r="D783" s="2" t="s">
        <v>8877</v>
      </c>
      <c r="E783" s="2">
        <v>24655.0</v>
      </c>
      <c r="F783" s="2">
        <v>4663.0</v>
      </c>
      <c r="G783" s="2">
        <v>4255.0</v>
      </c>
      <c r="H783" s="2" t="s">
        <v>5905</v>
      </c>
      <c r="I783" s="2" t="s">
        <v>5906</v>
      </c>
      <c r="J783" s="2" t="s">
        <v>8878</v>
      </c>
      <c r="K783" s="2" t="s">
        <v>8879</v>
      </c>
    </row>
    <row r="784">
      <c r="A784" s="2" t="s">
        <v>5505</v>
      </c>
      <c r="B784" s="10" t="s">
        <v>8880</v>
      </c>
      <c r="C784" s="2">
        <v>5.8685520001E10</v>
      </c>
      <c r="D784" s="2" t="s">
        <v>8881</v>
      </c>
      <c r="E784" s="2">
        <v>22049.0</v>
      </c>
      <c r="F784" s="2">
        <v>117.0</v>
      </c>
      <c r="G784" s="2">
        <v>688.0</v>
      </c>
      <c r="H784" s="2" t="s">
        <v>5905</v>
      </c>
      <c r="I784" s="2" t="s">
        <v>5906</v>
      </c>
      <c r="J784" s="2" t="s">
        <v>5993</v>
      </c>
      <c r="K784" s="2" t="s">
        <v>8882</v>
      </c>
      <c r="L784" s="10" t="s">
        <v>8883</v>
      </c>
    </row>
    <row r="785">
      <c r="A785" s="2" t="s">
        <v>5505</v>
      </c>
      <c r="B785" s="2" t="s">
        <v>8884</v>
      </c>
      <c r="C785" s="2">
        <v>2.39774295E8</v>
      </c>
      <c r="D785" s="2" t="s">
        <v>8885</v>
      </c>
      <c r="E785" s="2">
        <v>779988.0</v>
      </c>
      <c r="F785" s="2">
        <v>1195.0</v>
      </c>
      <c r="G785" s="2">
        <v>3937.0</v>
      </c>
      <c r="H785" s="2" t="s">
        <v>5905</v>
      </c>
      <c r="I785" s="2" t="s">
        <v>5906</v>
      </c>
      <c r="J785" s="2" t="s">
        <v>5391</v>
      </c>
      <c r="K785" s="2" t="s">
        <v>8886</v>
      </c>
    </row>
    <row r="786">
      <c r="A786" s="2" t="s">
        <v>5505</v>
      </c>
      <c r="B786" s="2" t="s">
        <v>8887</v>
      </c>
      <c r="C786" s="2">
        <v>6.6094079189E10</v>
      </c>
      <c r="D786" s="2" t="s">
        <v>8888</v>
      </c>
      <c r="E786" s="2">
        <v>18088.0</v>
      </c>
      <c r="F786" s="2">
        <v>0.0</v>
      </c>
      <c r="G786" s="2">
        <v>3173.0</v>
      </c>
      <c r="H786" s="2" t="s">
        <v>5905</v>
      </c>
      <c r="I786" s="2" t="s">
        <v>5906</v>
      </c>
      <c r="J786" s="2" t="s">
        <v>5907</v>
      </c>
      <c r="K786" s="2" t="s">
        <v>8889</v>
      </c>
    </row>
    <row r="787">
      <c r="A787" s="2" t="s">
        <v>5505</v>
      </c>
      <c r="B787" s="2" t="s">
        <v>8890</v>
      </c>
      <c r="C787" s="2">
        <v>2.0328257771E10</v>
      </c>
      <c r="D787" s="2" t="s">
        <v>8891</v>
      </c>
      <c r="E787" s="2">
        <v>51247.0</v>
      </c>
      <c r="F787" s="2">
        <v>32.0</v>
      </c>
      <c r="G787" s="2">
        <v>1732.0</v>
      </c>
      <c r="H787" s="2" t="s">
        <v>5905</v>
      </c>
      <c r="I787" s="2" t="s">
        <v>5906</v>
      </c>
      <c r="J787" s="2" t="s">
        <v>7809</v>
      </c>
      <c r="K787" s="2" t="s">
        <v>8892</v>
      </c>
      <c r="L787" s="10" t="s">
        <v>8893</v>
      </c>
    </row>
    <row r="788">
      <c r="A788" s="2" t="s">
        <v>5505</v>
      </c>
      <c r="B788" s="10" t="s">
        <v>8894</v>
      </c>
      <c r="C788" s="2">
        <v>6.7288139558E10</v>
      </c>
      <c r="D788" s="2" t="s">
        <v>8895</v>
      </c>
      <c r="E788" s="2">
        <v>11544.0</v>
      </c>
      <c r="F788" s="2">
        <v>21.0</v>
      </c>
      <c r="G788" s="2">
        <v>88.0</v>
      </c>
      <c r="H788" s="2" t="s">
        <v>5905</v>
      </c>
      <c r="I788" s="2" t="s">
        <v>5905</v>
      </c>
      <c r="J788" s="2" t="s">
        <v>5907</v>
      </c>
      <c r="K788" s="2" t="s">
        <v>8896</v>
      </c>
    </row>
    <row r="789">
      <c r="A789" s="2" t="s">
        <v>5505</v>
      </c>
      <c r="B789" s="2" t="s">
        <v>8897</v>
      </c>
      <c r="C789" s="2">
        <v>2.8599996E7</v>
      </c>
      <c r="D789" s="2" t="s">
        <v>8898</v>
      </c>
      <c r="E789" s="2">
        <v>542468.0</v>
      </c>
      <c r="F789" s="2">
        <v>233.0</v>
      </c>
      <c r="G789" s="2">
        <v>1355.0</v>
      </c>
      <c r="H789" s="2" t="s">
        <v>5906</v>
      </c>
      <c r="I789" s="2" t="s">
        <v>5905</v>
      </c>
      <c r="J789" s="2" t="s">
        <v>5959</v>
      </c>
      <c r="K789" s="2" t="s">
        <v>8899</v>
      </c>
      <c r="L789" s="10" t="s">
        <v>8900</v>
      </c>
    </row>
    <row r="790">
      <c r="A790" s="2" t="s">
        <v>5356</v>
      </c>
      <c r="B790" s="2" t="s">
        <v>8901</v>
      </c>
      <c r="C790" s="2">
        <v>4.1820434541E10</v>
      </c>
      <c r="D790" s="2" t="s">
        <v>8902</v>
      </c>
      <c r="E790" s="2">
        <v>120777.0</v>
      </c>
      <c r="F790" s="2">
        <v>196.0</v>
      </c>
      <c r="G790" s="2">
        <v>1955.0</v>
      </c>
      <c r="H790" s="2" t="s">
        <v>5906</v>
      </c>
      <c r="I790" s="2" t="s">
        <v>5905</v>
      </c>
      <c r="J790" s="2" t="s">
        <v>5959</v>
      </c>
      <c r="K790" s="2" t="s">
        <v>8903</v>
      </c>
      <c r="L790" s="10" t="s">
        <v>8904</v>
      </c>
    </row>
    <row r="791">
      <c r="A791" s="2" t="s">
        <v>5356</v>
      </c>
      <c r="B791" s="2" t="s">
        <v>8905</v>
      </c>
      <c r="C791" s="2">
        <v>1.1341294E7</v>
      </c>
      <c r="D791" s="2" t="s">
        <v>8906</v>
      </c>
      <c r="E791" s="2">
        <v>5969310.0</v>
      </c>
      <c r="F791" s="2">
        <v>313.0</v>
      </c>
      <c r="G791" s="2">
        <v>4606.0</v>
      </c>
      <c r="H791" s="2" t="s">
        <v>5906</v>
      </c>
      <c r="I791" s="2" t="s">
        <v>5906</v>
      </c>
      <c r="K791" s="2" t="s">
        <v>8907</v>
      </c>
      <c r="L791" s="10" t="s">
        <v>8908</v>
      </c>
    </row>
    <row r="792">
      <c r="A792" s="2" t="s">
        <v>5356</v>
      </c>
      <c r="B792" s="2" t="s">
        <v>8909</v>
      </c>
      <c r="C792" s="2">
        <v>7.1409292053E10</v>
      </c>
      <c r="D792" s="2" t="s">
        <v>8910</v>
      </c>
      <c r="E792" s="2">
        <v>12671.0</v>
      </c>
      <c r="F792" s="2">
        <v>60.0</v>
      </c>
      <c r="G792" s="2">
        <v>126.0</v>
      </c>
      <c r="H792" s="2" t="s">
        <v>5905</v>
      </c>
      <c r="I792" s="2" t="s">
        <v>5905</v>
      </c>
      <c r="J792" s="2" t="s">
        <v>8911</v>
      </c>
      <c r="K792" s="2" t="s">
        <v>8912</v>
      </c>
    </row>
    <row r="793">
      <c r="A793" s="2" t="s">
        <v>5356</v>
      </c>
      <c r="B793" s="2" t="s">
        <v>8913</v>
      </c>
      <c r="C793" s="2">
        <v>1.1794337402E10</v>
      </c>
      <c r="D793" s="2" t="s">
        <v>8914</v>
      </c>
      <c r="E793" s="2">
        <v>12720.0</v>
      </c>
      <c r="F793" s="2">
        <v>0.0</v>
      </c>
      <c r="G793" s="2">
        <v>654.0</v>
      </c>
      <c r="H793" s="2" t="s">
        <v>5905</v>
      </c>
      <c r="I793" s="2" t="s">
        <v>5905</v>
      </c>
      <c r="J793" s="2" t="s">
        <v>8915</v>
      </c>
      <c r="K793" s="2" t="s">
        <v>8916</v>
      </c>
      <c r="L793" s="10" t="s">
        <v>8917</v>
      </c>
    </row>
    <row r="794">
      <c r="A794" s="2" t="s">
        <v>5356</v>
      </c>
      <c r="B794" s="2" t="s">
        <v>8918</v>
      </c>
      <c r="C794" s="2">
        <v>4.157282124E9</v>
      </c>
      <c r="D794" s="2" t="s">
        <v>8919</v>
      </c>
      <c r="E794" s="2">
        <v>65928.0</v>
      </c>
      <c r="F794" s="2">
        <v>158.0</v>
      </c>
      <c r="G794" s="2">
        <v>903.0</v>
      </c>
      <c r="H794" s="2" t="s">
        <v>5905</v>
      </c>
      <c r="I794" s="2" t="s">
        <v>5905</v>
      </c>
      <c r="J794" s="2" t="s">
        <v>7140</v>
      </c>
      <c r="K794" s="2" t="s">
        <v>8920</v>
      </c>
      <c r="L794" s="10" t="s">
        <v>8921</v>
      </c>
    </row>
    <row r="795">
      <c r="A795" s="2" t="s">
        <v>5317</v>
      </c>
      <c r="B795" s="2" t="s">
        <v>8922</v>
      </c>
      <c r="C795" s="2">
        <v>1337336.0</v>
      </c>
      <c r="D795" s="2" t="s">
        <v>8923</v>
      </c>
      <c r="E795" s="2">
        <v>5518404.0</v>
      </c>
      <c r="F795" s="2">
        <v>1691.0</v>
      </c>
      <c r="G795" s="2">
        <v>22989.0</v>
      </c>
      <c r="H795" s="2" t="s">
        <v>5906</v>
      </c>
      <c r="I795" s="2" t="s">
        <v>5906</v>
      </c>
      <c r="K795" s="2" t="s">
        <v>8924</v>
      </c>
      <c r="L795" s="10" t="s">
        <v>8925</v>
      </c>
    </row>
    <row r="796">
      <c r="A796" s="2" t="s">
        <v>5317</v>
      </c>
      <c r="B796" s="2" t="s">
        <v>8926</v>
      </c>
      <c r="C796" s="2">
        <v>2.2161651E7</v>
      </c>
      <c r="D796" s="2" t="s">
        <v>8927</v>
      </c>
      <c r="E796" s="2">
        <v>501660.0</v>
      </c>
      <c r="F796" s="2">
        <v>636.0</v>
      </c>
      <c r="G796" s="2">
        <v>9237.0</v>
      </c>
      <c r="H796" s="2" t="s">
        <v>5906</v>
      </c>
      <c r="I796" s="2" t="s">
        <v>5906</v>
      </c>
      <c r="K796" s="2" t="s">
        <v>8928</v>
      </c>
      <c r="L796" s="10" t="s">
        <v>8929</v>
      </c>
    </row>
    <row r="797">
      <c r="A797" s="2" t="s">
        <v>5317</v>
      </c>
      <c r="B797" s="2" t="s">
        <v>8930</v>
      </c>
      <c r="C797" s="2">
        <v>5.748563345E9</v>
      </c>
      <c r="D797" s="2" t="s">
        <v>8931</v>
      </c>
      <c r="E797" s="2">
        <v>31110.0</v>
      </c>
      <c r="F797" s="2">
        <v>232.0</v>
      </c>
      <c r="G797" s="2">
        <v>2870.0</v>
      </c>
      <c r="H797" s="2" t="s">
        <v>5906</v>
      </c>
      <c r="I797" s="2" t="s">
        <v>5906</v>
      </c>
      <c r="J797" s="2" t="s">
        <v>5907</v>
      </c>
      <c r="K797" s="2" t="s">
        <v>8932</v>
      </c>
      <c r="L797" s="10" t="s">
        <v>8933</v>
      </c>
    </row>
    <row r="798">
      <c r="A798" s="2" t="s">
        <v>5317</v>
      </c>
      <c r="B798" s="2" t="s">
        <v>8934</v>
      </c>
      <c r="C798" s="2">
        <v>5.54258574E9</v>
      </c>
      <c r="D798" s="2" t="s">
        <v>8935</v>
      </c>
      <c r="E798" s="2">
        <v>11683.0</v>
      </c>
      <c r="F798" s="2">
        <v>84.0</v>
      </c>
      <c r="G798" s="2">
        <v>914.0</v>
      </c>
      <c r="H798" s="2" t="s">
        <v>5906</v>
      </c>
      <c r="I798" s="2" t="s">
        <v>5906</v>
      </c>
      <c r="J798" s="2" t="s">
        <v>6882</v>
      </c>
      <c r="K798" s="2" t="s">
        <v>8936</v>
      </c>
      <c r="L798" s="10" t="s">
        <v>8937</v>
      </c>
    </row>
    <row r="799">
      <c r="A799" s="2" t="s">
        <v>5317</v>
      </c>
      <c r="B799" s="2" t="s">
        <v>8938</v>
      </c>
      <c r="C799" s="2">
        <v>4.086189867E9</v>
      </c>
      <c r="D799" s="2" t="s">
        <v>8939</v>
      </c>
      <c r="E799" s="2">
        <v>136303.0</v>
      </c>
      <c r="F799" s="2">
        <v>391.0</v>
      </c>
      <c r="G799" s="2">
        <v>2284.0</v>
      </c>
      <c r="H799" s="2" t="s">
        <v>5906</v>
      </c>
      <c r="I799" s="2" t="s">
        <v>5906</v>
      </c>
      <c r="J799" s="2" t="s">
        <v>5518</v>
      </c>
      <c r="K799" s="2" t="s">
        <v>8940</v>
      </c>
      <c r="L799" s="10" t="s">
        <v>8941</v>
      </c>
    </row>
    <row r="800">
      <c r="A800" s="2" t="s">
        <v>5317</v>
      </c>
      <c r="B800" s="2" t="s">
        <v>8942</v>
      </c>
      <c r="C800" s="2">
        <v>1.576664535E9</v>
      </c>
      <c r="D800" s="2" t="s">
        <v>8943</v>
      </c>
      <c r="E800" s="2">
        <v>167756.0</v>
      </c>
      <c r="F800" s="2">
        <v>104.0</v>
      </c>
      <c r="G800" s="2">
        <v>3051.0</v>
      </c>
      <c r="H800" s="2" t="s">
        <v>5906</v>
      </c>
      <c r="I800" s="2" t="s">
        <v>5906</v>
      </c>
      <c r="J800" s="2" t="s">
        <v>5963</v>
      </c>
      <c r="K800" s="2" t="s">
        <v>8944</v>
      </c>
      <c r="L800" s="10" t="s">
        <v>8945</v>
      </c>
    </row>
    <row r="801">
      <c r="A801" s="2" t="s">
        <v>5317</v>
      </c>
      <c r="B801" s="2" t="s">
        <v>8946</v>
      </c>
      <c r="C801" s="2">
        <v>5.411195201E9</v>
      </c>
      <c r="D801" s="2" t="s">
        <v>8947</v>
      </c>
      <c r="E801" s="2">
        <v>1042249.0</v>
      </c>
      <c r="F801" s="2">
        <v>160.0</v>
      </c>
      <c r="G801" s="2">
        <v>12542.0</v>
      </c>
      <c r="H801" s="2" t="s">
        <v>5906</v>
      </c>
      <c r="I801" s="2" t="s">
        <v>5906</v>
      </c>
      <c r="J801" s="2" t="s">
        <v>5911</v>
      </c>
      <c r="K801" s="2" t="s">
        <v>8948</v>
      </c>
      <c r="L801" s="10" t="s">
        <v>8949</v>
      </c>
    </row>
    <row r="802">
      <c r="A802" s="2" t="s">
        <v>5317</v>
      </c>
      <c r="B802" s="2" t="s">
        <v>8950</v>
      </c>
      <c r="C802" s="2">
        <v>1.771681315E9</v>
      </c>
      <c r="D802" s="2" t="s">
        <v>8951</v>
      </c>
      <c r="E802" s="2">
        <v>694344.0</v>
      </c>
      <c r="F802" s="2">
        <v>200.0</v>
      </c>
      <c r="G802" s="2">
        <v>9834.0</v>
      </c>
      <c r="H802" s="2" t="s">
        <v>5906</v>
      </c>
      <c r="I802" s="2" t="s">
        <v>5906</v>
      </c>
      <c r="K802" s="2" t="s">
        <v>8952</v>
      </c>
      <c r="L802" s="10" t="s">
        <v>8953</v>
      </c>
    </row>
    <row r="803">
      <c r="A803" s="2" t="s">
        <v>5477</v>
      </c>
      <c r="B803" s="2" t="s">
        <v>8954</v>
      </c>
      <c r="C803" s="2">
        <v>1.072450671E9</v>
      </c>
      <c r="D803" s="2" t="s">
        <v>5477</v>
      </c>
      <c r="E803" s="2">
        <v>3285378.0</v>
      </c>
      <c r="F803" s="2">
        <v>18.0</v>
      </c>
      <c r="G803" s="2">
        <v>52413.0</v>
      </c>
      <c r="H803" s="2" t="s">
        <v>5906</v>
      </c>
      <c r="I803" s="2" t="s">
        <v>5906</v>
      </c>
      <c r="K803" s="2" t="s">
        <v>8955</v>
      </c>
      <c r="L803" s="10" t="s">
        <v>8956</v>
      </c>
    </row>
    <row r="804">
      <c r="A804" s="2" t="s">
        <v>5477</v>
      </c>
      <c r="B804" s="2" t="s">
        <v>8957</v>
      </c>
      <c r="C804" s="2">
        <v>4.4903300172E10</v>
      </c>
      <c r="D804" s="2" t="s">
        <v>8958</v>
      </c>
      <c r="E804" s="2">
        <v>51429.0</v>
      </c>
      <c r="F804" s="2">
        <v>43.0</v>
      </c>
      <c r="G804" s="2">
        <v>6690.0</v>
      </c>
      <c r="H804" s="2" t="s">
        <v>5906</v>
      </c>
      <c r="I804" s="2" t="s">
        <v>5906</v>
      </c>
      <c r="J804" s="2" t="s">
        <v>5911</v>
      </c>
      <c r="K804" s="2" t="s">
        <v>8959</v>
      </c>
      <c r="L804" s="10" t="s">
        <v>8960</v>
      </c>
    </row>
    <row r="805">
      <c r="A805" s="2" t="s">
        <v>5477</v>
      </c>
      <c r="B805" s="2" t="s">
        <v>8961</v>
      </c>
      <c r="C805" s="2">
        <v>3.0038971924E10</v>
      </c>
      <c r="D805" s="2" t="s">
        <v>8962</v>
      </c>
      <c r="E805" s="2">
        <v>51645.0</v>
      </c>
      <c r="F805" s="2">
        <v>8.0</v>
      </c>
      <c r="G805" s="2">
        <v>4297.0</v>
      </c>
      <c r="H805" s="2" t="s">
        <v>5906</v>
      </c>
      <c r="I805" s="2" t="s">
        <v>5906</v>
      </c>
      <c r="J805" s="2" t="s">
        <v>5911</v>
      </c>
      <c r="K805" s="2" t="s">
        <v>8963</v>
      </c>
      <c r="L805" s="10" t="s">
        <v>8964</v>
      </c>
    </row>
    <row r="806">
      <c r="A806" s="2" t="s">
        <v>5477</v>
      </c>
      <c r="B806" s="2" t="s">
        <v>8965</v>
      </c>
      <c r="C806" s="2">
        <v>1.472215388E9</v>
      </c>
      <c r="D806" s="2" t="s">
        <v>8966</v>
      </c>
      <c r="E806" s="2">
        <v>29798.0</v>
      </c>
      <c r="F806" s="2">
        <v>64.0</v>
      </c>
      <c r="G806" s="2">
        <v>11070.0</v>
      </c>
      <c r="H806" s="2" t="s">
        <v>5906</v>
      </c>
      <c r="I806" s="2" t="s">
        <v>5906</v>
      </c>
      <c r="J806" s="2" t="s">
        <v>5518</v>
      </c>
      <c r="K806" s="2" t="s">
        <v>8967</v>
      </c>
      <c r="L806" s="10" t="s">
        <v>8968</v>
      </c>
    </row>
    <row r="807">
      <c r="A807" s="2" t="s">
        <v>5495</v>
      </c>
      <c r="B807" s="2" t="s">
        <v>8969</v>
      </c>
      <c r="C807" s="2">
        <v>9078953.0</v>
      </c>
      <c r="D807" s="2" t="s">
        <v>8970</v>
      </c>
      <c r="E807" s="2">
        <v>1551793.0</v>
      </c>
      <c r="F807" s="2">
        <v>950.0</v>
      </c>
      <c r="G807" s="2">
        <v>1602.0</v>
      </c>
      <c r="H807" s="2" t="s">
        <v>5906</v>
      </c>
      <c r="I807" s="2" t="s">
        <v>5905</v>
      </c>
      <c r="J807" s="2" t="s">
        <v>6414</v>
      </c>
      <c r="K807" s="2" t="s">
        <v>8971</v>
      </c>
      <c r="L807" s="10" t="s">
        <v>8972</v>
      </c>
    </row>
    <row r="808">
      <c r="A808" s="2" t="s">
        <v>5495</v>
      </c>
      <c r="B808" s="2" t="s">
        <v>8973</v>
      </c>
      <c r="C808" s="2">
        <v>5.4565928223E10</v>
      </c>
      <c r="D808" s="2" t="s">
        <v>8974</v>
      </c>
      <c r="E808" s="2">
        <v>311521.0</v>
      </c>
      <c r="F808" s="2">
        <v>562.0</v>
      </c>
      <c r="G808" s="2">
        <v>329.0</v>
      </c>
      <c r="H808" s="2" t="s">
        <v>5905</v>
      </c>
      <c r="I808" s="2" t="s">
        <v>5906</v>
      </c>
      <c r="J808" s="2" t="s">
        <v>5959</v>
      </c>
      <c r="K808" s="2" t="s">
        <v>8975</v>
      </c>
      <c r="L808" s="10" t="s">
        <v>8976</v>
      </c>
    </row>
    <row r="809">
      <c r="A809" s="2" t="s">
        <v>5495</v>
      </c>
      <c r="B809" s="2" t="s">
        <v>8977</v>
      </c>
      <c r="C809" s="2">
        <v>7.5486769905E10</v>
      </c>
      <c r="D809" s="2" t="s">
        <v>8978</v>
      </c>
      <c r="E809" s="2">
        <v>232870.0</v>
      </c>
      <c r="F809" s="2">
        <v>0.0</v>
      </c>
      <c r="G809" s="2">
        <v>1431.0</v>
      </c>
      <c r="H809" s="2" t="s">
        <v>5905</v>
      </c>
      <c r="I809" s="2" t="s">
        <v>5905</v>
      </c>
      <c r="J809" s="2" t="s">
        <v>5928</v>
      </c>
      <c r="K809" s="2" t="s">
        <v>8979</v>
      </c>
    </row>
    <row r="810">
      <c r="A810" s="2" t="s">
        <v>5495</v>
      </c>
      <c r="B810" s="2" t="s">
        <v>8980</v>
      </c>
      <c r="C810" s="2">
        <v>7.437087308E9</v>
      </c>
      <c r="D810" s="2" t="s">
        <v>8981</v>
      </c>
      <c r="E810" s="2">
        <v>55142.0</v>
      </c>
      <c r="F810" s="2">
        <v>372.0</v>
      </c>
      <c r="G810" s="2">
        <v>469.0</v>
      </c>
      <c r="H810" s="2" t="s">
        <v>5906</v>
      </c>
      <c r="I810" s="2" t="s">
        <v>5906</v>
      </c>
      <c r="J810" s="2" t="s">
        <v>8982</v>
      </c>
      <c r="K810" s="2" t="s">
        <v>8983</v>
      </c>
      <c r="L810" s="10" t="s">
        <v>8984</v>
      </c>
    </row>
    <row r="811">
      <c r="A811" s="2" t="s">
        <v>5495</v>
      </c>
      <c r="B811" s="2" t="s">
        <v>8985</v>
      </c>
      <c r="C811" s="2">
        <v>3.130171036E9</v>
      </c>
      <c r="D811" s="2" t="s">
        <v>8986</v>
      </c>
      <c r="E811" s="2">
        <v>20567.0</v>
      </c>
      <c r="F811" s="2">
        <v>37.0</v>
      </c>
      <c r="G811" s="2">
        <v>4825.0</v>
      </c>
      <c r="H811" s="2" t="s">
        <v>5905</v>
      </c>
      <c r="I811" s="2" t="s">
        <v>5906</v>
      </c>
      <c r="J811" s="2" t="s">
        <v>5391</v>
      </c>
      <c r="K811" s="2" t="s">
        <v>8987</v>
      </c>
      <c r="L811" s="10" t="s">
        <v>8988</v>
      </c>
    </row>
    <row r="812">
      <c r="A812" s="2" t="s">
        <v>5495</v>
      </c>
      <c r="B812" s="2" t="s">
        <v>8989</v>
      </c>
      <c r="C812" s="2">
        <v>3.4319331E7</v>
      </c>
      <c r="D812" s="2" t="s">
        <v>8990</v>
      </c>
      <c r="E812" s="2">
        <v>69490.0</v>
      </c>
      <c r="F812" s="2">
        <v>1415.0</v>
      </c>
      <c r="G812" s="2">
        <v>487.0</v>
      </c>
      <c r="H812" s="2" t="s">
        <v>5905</v>
      </c>
      <c r="I812" s="2" t="s">
        <v>5905</v>
      </c>
      <c r="J812" s="2" t="s">
        <v>5959</v>
      </c>
      <c r="K812" s="2" t="s">
        <v>8991</v>
      </c>
      <c r="L812" s="10" t="s">
        <v>8992</v>
      </c>
    </row>
    <row r="813">
      <c r="A813" s="2" t="s">
        <v>5495</v>
      </c>
      <c r="B813" s="2" t="s">
        <v>8993</v>
      </c>
      <c r="C813" s="2">
        <v>5.0350276E7</v>
      </c>
      <c r="D813" s="2" t="s">
        <v>8994</v>
      </c>
      <c r="E813" s="2">
        <v>554294.0</v>
      </c>
      <c r="F813" s="2">
        <v>1924.0</v>
      </c>
      <c r="G813" s="2">
        <v>1094.0</v>
      </c>
      <c r="H813" s="2" t="s">
        <v>5906</v>
      </c>
      <c r="I813" s="2" t="s">
        <v>5905</v>
      </c>
      <c r="J813" s="2" t="s">
        <v>6592</v>
      </c>
      <c r="K813" s="2" t="s">
        <v>8995</v>
      </c>
    </row>
    <row r="814">
      <c r="A814" s="2" t="s">
        <v>5495</v>
      </c>
      <c r="B814" s="2" t="s">
        <v>8996</v>
      </c>
      <c r="C814" s="2">
        <v>6.2366649162E10</v>
      </c>
      <c r="D814" s="2" t="s">
        <v>8997</v>
      </c>
      <c r="E814" s="2">
        <v>20036.0</v>
      </c>
      <c r="F814" s="2">
        <v>72.0</v>
      </c>
      <c r="G814" s="2">
        <v>173.0</v>
      </c>
      <c r="H814" s="2" t="s">
        <v>5905</v>
      </c>
      <c r="I814" s="2" t="s">
        <v>5905</v>
      </c>
      <c r="J814" s="2" t="s">
        <v>8998</v>
      </c>
      <c r="K814" s="2" t="s">
        <v>8999</v>
      </c>
    </row>
    <row r="815">
      <c r="A815" s="2" t="s">
        <v>5495</v>
      </c>
      <c r="B815" s="2" t="s">
        <v>9000</v>
      </c>
      <c r="C815" s="2">
        <v>5.5311415721E10</v>
      </c>
      <c r="D815" s="2" t="s">
        <v>9001</v>
      </c>
      <c r="E815" s="2">
        <v>48869.0</v>
      </c>
      <c r="F815" s="2">
        <v>233.0</v>
      </c>
      <c r="G815" s="2">
        <v>2694.0</v>
      </c>
      <c r="H815" s="2" t="s">
        <v>5905</v>
      </c>
      <c r="I815" s="2" t="s">
        <v>5905</v>
      </c>
      <c r="J815" s="2" t="s">
        <v>5484</v>
      </c>
      <c r="K815" s="2" t="s">
        <v>9002</v>
      </c>
    </row>
    <row r="816">
      <c r="A816" s="2" t="s">
        <v>5434</v>
      </c>
      <c r="B816" s="2" t="s">
        <v>9003</v>
      </c>
      <c r="C816" s="2">
        <v>1.5537288E7</v>
      </c>
      <c r="D816" s="2" t="s">
        <v>5434</v>
      </c>
      <c r="E816" s="2">
        <v>3337076.0</v>
      </c>
      <c r="F816" s="2">
        <v>1131.0</v>
      </c>
      <c r="G816" s="2">
        <v>7796.0</v>
      </c>
      <c r="H816" s="2" t="s">
        <v>5906</v>
      </c>
      <c r="I816" s="2" t="s">
        <v>5906</v>
      </c>
      <c r="J816" s="2" t="s">
        <v>5518</v>
      </c>
      <c r="K816" s="2" t="s">
        <v>9004</v>
      </c>
      <c r="L816" s="10" t="s">
        <v>9005</v>
      </c>
    </row>
    <row r="817">
      <c r="A817" s="2" t="s">
        <v>5434</v>
      </c>
      <c r="B817" s="2" t="s">
        <v>9006</v>
      </c>
      <c r="C817" s="2">
        <v>3.0350288088E10</v>
      </c>
      <c r="D817" s="2" t="s">
        <v>9007</v>
      </c>
      <c r="E817" s="2">
        <v>154831.0</v>
      </c>
      <c r="F817" s="2">
        <v>120.0</v>
      </c>
      <c r="G817" s="2">
        <v>2791.0</v>
      </c>
      <c r="H817" s="2" t="s">
        <v>5905</v>
      </c>
      <c r="I817" s="2" t="s">
        <v>5906</v>
      </c>
      <c r="J817" s="2" t="s">
        <v>9008</v>
      </c>
      <c r="K817" s="12" t="s">
        <v>9009</v>
      </c>
    </row>
    <row r="818">
      <c r="A818" s="2" t="s">
        <v>5434</v>
      </c>
      <c r="B818" s="2" t="s">
        <v>9010</v>
      </c>
      <c r="C818" s="2">
        <v>3.56615519E9</v>
      </c>
      <c r="D818" s="2" t="s">
        <v>9011</v>
      </c>
      <c r="E818" s="2">
        <v>128780.0</v>
      </c>
      <c r="F818" s="2">
        <v>3739.0</v>
      </c>
      <c r="G818" s="2">
        <v>402.0</v>
      </c>
      <c r="H818" s="2" t="s">
        <v>5905</v>
      </c>
      <c r="I818" s="2" t="s">
        <v>5905</v>
      </c>
      <c r="K818" s="2" t="s">
        <v>9012</v>
      </c>
      <c r="L818" s="10" t="s">
        <v>9013</v>
      </c>
    </row>
    <row r="819">
      <c r="A819" s="2" t="s">
        <v>5434</v>
      </c>
      <c r="B819" s="2" t="s">
        <v>9014</v>
      </c>
      <c r="C819" s="2">
        <v>3.2243025343E10</v>
      </c>
      <c r="D819" s="2" t="s">
        <v>9015</v>
      </c>
      <c r="E819" s="2">
        <v>92359.0</v>
      </c>
      <c r="F819" s="2">
        <v>88.0</v>
      </c>
      <c r="G819" s="2">
        <v>2424.0</v>
      </c>
      <c r="H819" s="2" t="s">
        <v>5905</v>
      </c>
      <c r="I819" s="2" t="s">
        <v>5906</v>
      </c>
      <c r="J819" s="2" t="s">
        <v>9016</v>
      </c>
      <c r="K819" s="12" t="s">
        <v>9017</v>
      </c>
      <c r="L819" s="10" t="s">
        <v>9018</v>
      </c>
    </row>
    <row r="820">
      <c r="A820" s="2" t="s">
        <v>5434</v>
      </c>
      <c r="B820" s="2" t="s">
        <v>9019</v>
      </c>
      <c r="C820" s="2">
        <v>1.795850143E9</v>
      </c>
      <c r="D820" s="2" t="s">
        <v>9020</v>
      </c>
      <c r="E820" s="2">
        <v>18310.0</v>
      </c>
      <c r="F820" s="2">
        <v>512.0</v>
      </c>
      <c r="G820" s="2">
        <v>1733.0</v>
      </c>
      <c r="H820" s="2" t="s">
        <v>5906</v>
      </c>
      <c r="I820" s="2" t="s">
        <v>5906</v>
      </c>
      <c r="J820" s="2" t="s">
        <v>5518</v>
      </c>
      <c r="K820" s="2" t="s">
        <v>9021</v>
      </c>
      <c r="L820" s="10" t="s">
        <v>9022</v>
      </c>
    </row>
    <row r="821">
      <c r="A821" s="2" t="s">
        <v>5434</v>
      </c>
      <c r="B821" s="2" t="s">
        <v>9023</v>
      </c>
      <c r="C821" s="2">
        <v>1.360840653E9</v>
      </c>
      <c r="D821" s="2" t="s">
        <v>9024</v>
      </c>
      <c r="E821" s="2">
        <v>401510.0</v>
      </c>
      <c r="F821" s="2">
        <v>605.0</v>
      </c>
      <c r="G821" s="2">
        <v>3254.0</v>
      </c>
      <c r="H821" s="2" t="s">
        <v>5906</v>
      </c>
      <c r="I821" s="2" t="s">
        <v>5906</v>
      </c>
      <c r="K821" s="2" t="s">
        <v>9025</v>
      </c>
      <c r="L821" s="10" t="s">
        <v>9026</v>
      </c>
    </row>
    <row r="822">
      <c r="A822" s="2" t="s">
        <v>5434</v>
      </c>
      <c r="B822" s="2" t="s">
        <v>9027</v>
      </c>
      <c r="C822" s="2">
        <v>4.766767766E9</v>
      </c>
      <c r="D822" s="2" t="s">
        <v>9028</v>
      </c>
      <c r="E822" s="2">
        <v>28609.0</v>
      </c>
      <c r="F822" s="2">
        <v>619.0</v>
      </c>
      <c r="G822" s="2">
        <v>1096.0</v>
      </c>
      <c r="H822" s="2" t="s">
        <v>5905</v>
      </c>
      <c r="I822" s="2" t="s">
        <v>5906</v>
      </c>
      <c r="K822" s="2" t="s">
        <v>9029</v>
      </c>
      <c r="L822" s="10" t="s">
        <v>9030</v>
      </c>
    </row>
    <row r="823">
      <c r="A823" s="2" t="s">
        <v>5434</v>
      </c>
      <c r="B823" s="2" t="s">
        <v>9031</v>
      </c>
      <c r="C823" s="2">
        <v>3.0139966665E10</v>
      </c>
      <c r="D823" s="2" t="s">
        <v>9007</v>
      </c>
      <c r="E823" s="2">
        <v>69302.0</v>
      </c>
      <c r="F823" s="2">
        <v>172.0</v>
      </c>
      <c r="G823" s="2">
        <v>2755.0</v>
      </c>
      <c r="H823" s="2" t="s">
        <v>5905</v>
      </c>
      <c r="I823" s="2" t="s">
        <v>5906</v>
      </c>
      <c r="J823" s="2" t="s">
        <v>9008</v>
      </c>
      <c r="K823" s="12" t="s">
        <v>9032</v>
      </c>
      <c r="L823" s="10" t="s">
        <v>9033</v>
      </c>
    </row>
    <row r="824">
      <c r="A824" s="2" t="s">
        <v>5434</v>
      </c>
      <c r="B824" s="2" t="s">
        <v>9034</v>
      </c>
      <c r="C824" s="2">
        <v>3.0175435149E10</v>
      </c>
      <c r="D824" s="2" t="s">
        <v>9007</v>
      </c>
      <c r="E824" s="2">
        <v>49069.0</v>
      </c>
      <c r="F824" s="2">
        <v>63.0</v>
      </c>
      <c r="G824" s="2">
        <v>2076.0</v>
      </c>
      <c r="H824" s="2" t="s">
        <v>5905</v>
      </c>
      <c r="I824" s="2" t="s">
        <v>5905</v>
      </c>
      <c r="J824" s="2" t="s">
        <v>9008</v>
      </c>
      <c r="K824" s="12" t="s">
        <v>9032</v>
      </c>
      <c r="L824" s="10" t="s">
        <v>9035</v>
      </c>
    </row>
    <row r="825">
      <c r="A825" s="2" t="s">
        <v>5469</v>
      </c>
      <c r="B825" s="2" t="s">
        <v>9036</v>
      </c>
      <c r="C825" s="2">
        <v>2.22580356E8</v>
      </c>
      <c r="D825" s="2" t="s">
        <v>5469</v>
      </c>
      <c r="E825" s="2">
        <v>336221.0</v>
      </c>
      <c r="F825" s="2">
        <v>250.0</v>
      </c>
      <c r="G825" s="2">
        <v>13003.0</v>
      </c>
      <c r="H825" s="2" t="s">
        <v>5906</v>
      </c>
      <c r="I825" s="2" t="s">
        <v>5906</v>
      </c>
      <c r="J825" s="2" t="s">
        <v>5911</v>
      </c>
      <c r="K825" s="2" t="s">
        <v>9037</v>
      </c>
      <c r="L825" s="10" t="s">
        <v>9038</v>
      </c>
    </row>
    <row r="826">
      <c r="A826" s="2" t="s">
        <v>5375</v>
      </c>
      <c r="B826" s="2" t="s">
        <v>9039</v>
      </c>
      <c r="C826" s="2">
        <v>4.6212586E7</v>
      </c>
      <c r="D826" s="2" t="s">
        <v>9040</v>
      </c>
      <c r="E826" s="2">
        <v>416473.0</v>
      </c>
      <c r="F826" s="2">
        <v>431.0</v>
      </c>
      <c r="G826" s="2">
        <v>2958.0</v>
      </c>
      <c r="H826" s="2" t="s">
        <v>5906</v>
      </c>
      <c r="I826" s="2" t="s">
        <v>5906</v>
      </c>
      <c r="K826" s="2" t="s">
        <v>9041</v>
      </c>
      <c r="L826" s="10" t="s">
        <v>9042</v>
      </c>
    </row>
    <row r="827">
      <c r="A827" s="2" t="s">
        <v>5375</v>
      </c>
      <c r="B827" s="2" t="s">
        <v>9043</v>
      </c>
      <c r="C827" s="2">
        <v>3.07379119E8</v>
      </c>
      <c r="D827" s="2" t="s">
        <v>9044</v>
      </c>
      <c r="E827" s="2">
        <v>455330.0</v>
      </c>
      <c r="F827" s="2">
        <v>1174.0</v>
      </c>
      <c r="G827" s="2">
        <v>8739.0</v>
      </c>
      <c r="H827" s="2" t="s">
        <v>5906</v>
      </c>
      <c r="I827" s="2" t="s">
        <v>5906</v>
      </c>
      <c r="J827" s="2" t="s">
        <v>5907</v>
      </c>
      <c r="K827" s="10" t="s">
        <v>9045</v>
      </c>
      <c r="L827" s="10" t="s">
        <v>9046</v>
      </c>
    </row>
    <row r="828">
      <c r="A828" s="2" t="s">
        <v>5375</v>
      </c>
      <c r="B828" s="2" t="s">
        <v>9047</v>
      </c>
      <c r="C828" s="2">
        <v>2.1943587E7</v>
      </c>
      <c r="D828" s="2" t="s">
        <v>5375</v>
      </c>
      <c r="E828" s="2">
        <v>3341556.0</v>
      </c>
      <c r="F828" s="2">
        <v>704.0</v>
      </c>
      <c r="G828" s="2">
        <v>11917.0</v>
      </c>
      <c r="H828" s="2" t="s">
        <v>5906</v>
      </c>
      <c r="I828" s="2" t="s">
        <v>5906</v>
      </c>
      <c r="K828" s="2" t="s">
        <v>9048</v>
      </c>
      <c r="L828" s="10" t="s">
        <v>9049</v>
      </c>
    </row>
    <row r="829">
      <c r="A829" s="2" t="s">
        <v>5375</v>
      </c>
      <c r="B829" s="2" t="s">
        <v>9050</v>
      </c>
      <c r="C829" s="2">
        <v>5.890862555E9</v>
      </c>
      <c r="D829" s="2" t="s">
        <v>9051</v>
      </c>
      <c r="E829" s="2">
        <v>26109.0</v>
      </c>
      <c r="F829" s="2">
        <v>242.0</v>
      </c>
      <c r="G829" s="2">
        <v>648.0</v>
      </c>
      <c r="H829" s="2" t="s">
        <v>5906</v>
      </c>
      <c r="I829" s="2" t="s">
        <v>5906</v>
      </c>
      <c r="K829" s="2" t="s">
        <v>9052</v>
      </c>
      <c r="L829" s="10" t="s">
        <v>9053</v>
      </c>
    </row>
    <row r="830">
      <c r="A830" s="2" t="s">
        <v>5375</v>
      </c>
      <c r="B830" s="2" t="s">
        <v>9054</v>
      </c>
      <c r="C830" s="2">
        <v>1.968586601E9</v>
      </c>
      <c r="D830" s="2" t="s">
        <v>9055</v>
      </c>
      <c r="E830" s="2">
        <v>11515.0</v>
      </c>
      <c r="F830" s="2">
        <v>284.0</v>
      </c>
      <c r="G830" s="2">
        <v>754.0</v>
      </c>
      <c r="H830" s="2" t="s">
        <v>5906</v>
      </c>
      <c r="I830" s="2" t="s">
        <v>5906</v>
      </c>
      <c r="K830" s="2" t="s">
        <v>9056</v>
      </c>
      <c r="L830" s="10" t="s">
        <v>9057</v>
      </c>
    </row>
    <row r="831">
      <c r="A831" s="2" t="s">
        <v>5375</v>
      </c>
      <c r="B831" s="2" t="s">
        <v>9058</v>
      </c>
      <c r="C831" s="2">
        <v>1.664032621E9</v>
      </c>
      <c r="D831" s="2" t="s">
        <v>9059</v>
      </c>
      <c r="E831" s="2">
        <v>15300.0</v>
      </c>
      <c r="F831" s="2">
        <v>19.0</v>
      </c>
      <c r="G831" s="2">
        <v>375.0</v>
      </c>
      <c r="H831" s="2" t="s">
        <v>5906</v>
      </c>
      <c r="I831" s="2" t="s">
        <v>5906</v>
      </c>
      <c r="J831" s="2" t="s">
        <v>7926</v>
      </c>
      <c r="K831" s="2" t="s">
        <v>9060</v>
      </c>
      <c r="L831" s="10" t="s">
        <v>9061</v>
      </c>
    </row>
    <row r="832">
      <c r="A832" s="2" t="s">
        <v>5375</v>
      </c>
      <c r="B832" s="2" t="s">
        <v>9062</v>
      </c>
      <c r="C832" s="2">
        <v>2.17908491E8</v>
      </c>
      <c r="D832" s="2" t="s">
        <v>9063</v>
      </c>
      <c r="E832" s="2">
        <v>483460.0</v>
      </c>
      <c r="F832" s="2">
        <v>1158.0</v>
      </c>
      <c r="G832" s="2">
        <v>6319.0</v>
      </c>
      <c r="H832" s="2" t="s">
        <v>5906</v>
      </c>
      <c r="I832" s="2" t="s">
        <v>5906</v>
      </c>
      <c r="J832" s="2" t="s">
        <v>5911</v>
      </c>
      <c r="K832" s="2" t="s">
        <v>9064</v>
      </c>
      <c r="L832" s="10" t="s">
        <v>9065</v>
      </c>
    </row>
    <row r="833">
      <c r="A833" s="2" t="s">
        <v>5375</v>
      </c>
      <c r="B833" s="2" t="s">
        <v>9066</v>
      </c>
      <c r="C833" s="2">
        <v>2.61226392E8</v>
      </c>
      <c r="D833" s="2" t="s">
        <v>9067</v>
      </c>
      <c r="E833" s="2">
        <v>83349.0</v>
      </c>
      <c r="F833" s="2">
        <v>763.0</v>
      </c>
      <c r="G833" s="2">
        <v>3836.0</v>
      </c>
      <c r="H833" s="2" t="s">
        <v>5906</v>
      </c>
      <c r="I833" s="2" t="s">
        <v>5906</v>
      </c>
      <c r="J833" s="2" t="s">
        <v>5911</v>
      </c>
      <c r="K833" s="2" t="s">
        <v>9068</v>
      </c>
      <c r="L833" s="10" t="s">
        <v>9069</v>
      </c>
    </row>
    <row r="834">
      <c r="A834" s="2" t="s">
        <v>5375</v>
      </c>
      <c r="B834" s="2" t="s">
        <v>9070</v>
      </c>
      <c r="C834" s="2">
        <v>2.09418408E8</v>
      </c>
      <c r="D834" s="2" t="s">
        <v>9071</v>
      </c>
      <c r="E834" s="2">
        <v>798018.0</v>
      </c>
      <c r="F834" s="2">
        <v>1009.0</v>
      </c>
      <c r="G834" s="2">
        <v>4787.0</v>
      </c>
      <c r="H834" s="2" t="s">
        <v>5906</v>
      </c>
      <c r="I834" s="2" t="s">
        <v>5906</v>
      </c>
      <c r="K834" s="2" t="s">
        <v>9072</v>
      </c>
      <c r="L834" s="10" t="s">
        <v>9073</v>
      </c>
    </row>
    <row r="835">
      <c r="A835" s="2" t="s">
        <v>5375</v>
      </c>
      <c r="B835" s="2" t="s">
        <v>9074</v>
      </c>
      <c r="C835" s="2">
        <v>4.14258995E8</v>
      </c>
      <c r="D835" s="2" t="s">
        <v>9075</v>
      </c>
      <c r="E835" s="2">
        <v>95157.0</v>
      </c>
      <c r="F835" s="2">
        <v>1201.0</v>
      </c>
      <c r="G835" s="2">
        <v>2977.0</v>
      </c>
      <c r="H835" s="2" t="s">
        <v>5906</v>
      </c>
      <c r="I835" s="2" t="s">
        <v>5906</v>
      </c>
      <c r="K835" s="2" t="s">
        <v>9076</v>
      </c>
      <c r="L835" s="10" t="s">
        <v>9077</v>
      </c>
    </row>
    <row r="836">
      <c r="A836" s="2" t="s">
        <v>5318</v>
      </c>
      <c r="B836" s="2" t="s">
        <v>9078</v>
      </c>
      <c r="C836" s="2">
        <v>1.9719473E7</v>
      </c>
      <c r="D836" s="2" t="s">
        <v>9079</v>
      </c>
      <c r="E836" s="2">
        <v>1.0639078E7</v>
      </c>
      <c r="F836" s="2">
        <v>32.0</v>
      </c>
      <c r="G836" s="2">
        <v>61192.0</v>
      </c>
      <c r="H836" s="2" t="s">
        <v>5906</v>
      </c>
      <c r="I836" s="2" t="s">
        <v>5906</v>
      </c>
      <c r="K836" s="2" t="s">
        <v>9080</v>
      </c>
      <c r="L836" s="10" t="s">
        <v>9081</v>
      </c>
    </row>
    <row r="837">
      <c r="A837" s="2" t="s">
        <v>5318</v>
      </c>
      <c r="B837" s="2" t="s">
        <v>9082</v>
      </c>
      <c r="C837" s="2">
        <v>4.8158913099E10</v>
      </c>
      <c r="D837" s="2" t="s">
        <v>9083</v>
      </c>
      <c r="E837" s="2">
        <v>109810.0</v>
      </c>
      <c r="F837" s="2">
        <v>445.0</v>
      </c>
      <c r="G837" s="2">
        <v>2860.0</v>
      </c>
      <c r="H837" s="2" t="s">
        <v>5906</v>
      </c>
      <c r="I837" s="2" t="s">
        <v>5906</v>
      </c>
      <c r="J837" s="2" t="s">
        <v>5911</v>
      </c>
      <c r="K837" s="2" t="s">
        <v>9084</v>
      </c>
    </row>
    <row r="838">
      <c r="A838" s="2" t="s">
        <v>5335</v>
      </c>
      <c r="B838" s="2" t="s">
        <v>9085</v>
      </c>
      <c r="C838" s="2">
        <v>5.635271875E9</v>
      </c>
      <c r="D838" s="2" t="s">
        <v>9086</v>
      </c>
      <c r="E838" s="2">
        <v>23397.0</v>
      </c>
      <c r="F838" s="2">
        <v>80.0</v>
      </c>
      <c r="G838" s="2">
        <v>225.0</v>
      </c>
      <c r="H838" s="2" t="s">
        <v>5906</v>
      </c>
      <c r="I838" s="2" t="s">
        <v>5906</v>
      </c>
      <c r="J838" s="2" t="s">
        <v>6166</v>
      </c>
      <c r="K838" s="2" t="s">
        <v>9087</v>
      </c>
      <c r="L838" s="10" t="s">
        <v>9088</v>
      </c>
    </row>
    <row r="839">
      <c r="A839" s="2" t="s">
        <v>5335</v>
      </c>
      <c r="B839" s="10" t="s">
        <v>9089</v>
      </c>
      <c r="C839" s="2">
        <v>9.687012991E9</v>
      </c>
      <c r="D839" s="2" t="s">
        <v>9090</v>
      </c>
      <c r="E839" s="2">
        <v>7367936.0</v>
      </c>
      <c r="F839" s="2">
        <v>0.0</v>
      </c>
      <c r="G839" s="2">
        <v>540.0</v>
      </c>
      <c r="H839" s="2" t="s">
        <v>5906</v>
      </c>
      <c r="I839" s="2" t="s">
        <v>5906</v>
      </c>
      <c r="J839" s="2" t="s">
        <v>5968</v>
      </c>
      <c r="K839" s="2" t="s">
        <v>9091</v>
      </c>
      <c r="L839" s="10" t="s">
        <v>9092</v>
      </c>
    </row>
    <row r="840">
      <c r="A840" s="2" t="s">
        <v>5335</v>
      </c>
      <c r="B840" s="10" t="s">
        <v>9093</v>
      </c>
      <c r="C840" s="2">
        <v>1.103043005E9</v>
      </c>
      <c r="D840" s="2" t="s">
        <v>9094</v>
      </c>
      <c r="E840" s="2">
        <v>13518.0</v>
      </c>
      <c r="F840" s="2">
        <v>396.0</v>
      </c>
      <c r="G840" s="2">
        <v>535.0</v>
      </c>
      <c r="H840" s="2" t="s">
        <v>5905</v>
      </c>
      <c r="I840" s="2" t="s">
        <v>5905</v>
      </c>
      <c r="J840" s="2" t="s">
        <v>7414</v>
      </c>
      <c r="K840" s="2" t="s">
        <v>9095</v>
      </c>
      <c r="L840" s="10" t="s">
        <v>9096</v>
      </c>
    </row>
    <row r="841">
      <c r="A841" s="2" t="s">
        <v>5335</v>
      </c>
      <c r="B841" s="2" t="s">
        <v>9097</v>
      </c>
      <c r="C841" s="2">
        <v>1.9917521E8</v>
      </c>
      <c r="D841" s="2" t="s">
        <v>5335</v>
      </c>
      <c r="E841" s="2">
        <v>2358188.0</v>
      </c>
      <c r="F841" s="2">
        <v>1630.0</v>
      </c>
      <c r="G841" s="2">
        <v>14722.0</v>
      </c>
      <c r="H841" s="2" t="s">
        <v>5906</v>
      </c>
      <c r="I841" s="2" t="s">
        <v>5906</v>
      </c>
      <c r="J841" s="2" t="s">
        <v>5518</v>
      </c>
      <c r="K841" s="2" t="s">
        <v>9098</v>
      </c>
      <c r="L841" s="10" t="s">
        <v>9099</v>
      </c>
    </row>
    <row r="842">
      <c r="A842" s="2" t="s">
        <v>5335</v>
      </c>
      <c r="B842" s="2" t="s">
        <v>9100</v>
      </c>
      <c r="C842" s="2">
        <v>7.162738243E9</v>
      </c>
      <c r="D842" s="2" t="s">
        <v>9101</v>
      </c>
      <c r="E842" s="2">
        <v>1.3446658E7</v>
      </c>
      <c r="F842" s="2">
        <v>7.0</v>
      </c>
      <c r="G842" s="2">
        <v>6515.0</v>
      </c>
      <c r="H842" s="2" t="s">
        <v>5906</v>
      </c>
      <c r="I842" s="2" t="s">
        <v>5905</v>
      </c>
      <c r="J842" s="2" t="s">
        <v>5993</v>
      </c>
      <c r="K842" s="2" t="s">
        <v>9102</v>
      </c>
      <c r="L842" s="10" t="s">
        <v>9103</v>
      </c>
    </row>
    <row r="843">
      <c r="A843" s="2" t="s">
        <v>5335</v>
      </c>
      <c r="B843" s="2" t="s">
        <v>9104</v>
      </c>
      <c r="C843" s="2">
        <v>2.6472465292E10</v>
      </c>
      <c r="D843" s="2" t="s">
        <v>9105</v>
      </c>
      <c r="E843" s="2">
        <v>4075094.0</v>
      </c>
      <c r="F843" s="2">
        <v>78.0</v>
      </c>
      <c r="G843" s="2">
        <v>2.0</v>
      </c>
      <c r="H843" s="2" t="s">
        <v>5906</v>
      </c>
      <c r="I843" s="2" t="s">
        <v>5906</v>
      </c>
      <c r="J843" s="2" t="s">
        <v>6393</v>
      </c>
    </row>
    <row r="844">
      <c r="A844" s="2" t="s">
        <v>5335</v>
      </c>
      <c r="B844" s="10" t="s">
        <v>9106</v>
      </c>
      <c r="C844" s="2">
        <v>5.6494256511E10</v>
      </c>
      <c r="D844" s="2" t="s">
        <v>9107</v>
      </c>
      <c r="E844" s="2">
        <v>42138.0</v>
      </c>
      <c r="F844" s="2">
        <v>11.0</v>
      </c>
      <c r="G844" s="2">
        <v>247.0</v>
      </c>
      <c r="H844" s="2" t="s">
        <v>5905</v>
      </c>
      <c r="I844" s="2" t="s">
        <v>5906</v>
      </c>
      <c r="J844" s="2" t="s">
        <v>6166</v>
      </c>
    </row>
    <row r="845">
      <c r="A845" s="2" t="s">
        <v>5335</v>
      </c>
      <c r="B845" s="2" t="s">
        <v>9108</v>
      </c>
      <c r="C845" s="2">
        <v>7.029146472E10</v>
      </c>
      <c r="D845" s="2" t="s">
        <v>9109</v>
      </c>
      <c r="E845" s="2">
        <v>20437.0</v>
      </c>
      <c r="F845" s="2">
        <v>1.0</v>
      </c>
      <c r="G845" s="2">
        <v>94.0</v>
      </c>
      <c r="H845" s="2" t="s">
        <v>5906</v>
      </c>
      <c r="I845" s="2" t="s">
        <v>5905</v>
      </c>
      <c r="J845" s="2" t="s">
        <v>5968</v>
      </c>
      <c r="K845" s="2" t="s">
        <v>9110</v>
      </c>
      <c r="L845" s="10" t="s">
        <v>9111</v>
      </c>
    </row>
    <row r="846">
      <c r="A846" s="2" t="s">
        <v>5407</v>
      </c>
      <c r="B846" s="2" t="s">
        <v>9112</v>
      </c>
      <c r="C846" s="2">
        <v>4.6218147E7</v>
      </c>
      <c r="D846" s="2" t="s">
        <v>5407</v>
      </c>
      <c r="E846" s="2">
        <v>5626423.0</v>
      </c>
      <c r="F846" s="2">
        <v>344.0</v>
      </c>
      <c r="G846" s="2">
        <v>29696.0</v>
      </c>
      <c r="H846" s="2" t="s">
        <v>5906</v>
      </c>
      <c r="I846" s="2" t="s">
        <v>5905</v>
      </c>
      <c r="J846" s="2" t="s">
        <v>6111</v>
      </c>
      <c r="K846" s="2" t="s">
        <v>9113</v>
      </c>
      <c r="L846" s="10" t="s">
        <v>9114</v>
      </c>
    </row>
    <row r="847">
      <c r="A847" s="2" t="s">
        <v>5403</v>
      </c>
      <c r="B847" s="2" t="s">
        <v>9115</v>
      </c>
      <c r="C847" s="2">
        <v>2.6099635777E10</v>
      </c>
      <c r="D847" s="2" t="s">
        <v>9116</v>
      </c>
      <c r="E847" s="2">
        <v>13313.0</v>
      </c>
      <c r="F847" s="2">
        <v>727.0</v>
      </c>
      <c r="G847" s="2">
        <v>384.0</v>
      </c>
      <c r="H847" s="2" t="s">
        <v>5905</v>
      </c>
      <c r="I847" s="2" t="s">
        <v>5906</v>
      </c>
      <c r="K847" s="2" t="s">
        <v>9117</v>
      </c>
    </row>
    <row r="848">
      <c r="A848" s="2" t="s">
        <v>5403</v>
      </c>
      <c r="B848" s="2" t="s">
        <v>9118</v>
      </c>
      <c r="C848" s="2">
        <v>1.442471464E9</v>
      </c>
      <c r="D848" s="2" t="s">
        <v>9119</v>
      </c>
      <c r="E848" s="2">
        <v>33451.0</v>
      </c>
      <c r="F848" s="2">
        <v>336.0</v>
      </c>
      <c r="G848" s="2">
        <v>4281.0</v>
      </c>
      <c r="H848" s="2" t="s">
        <v>5905</v>
      </c>
      <c r="I848" s="2" t="s">
        <v>5906</v>
      </c>
      <c r="J848" s="2" t="s">
        <v>5517</v>
      </c>
      <c r="K848" s="2" t="s">
        <v>9120</v>
      </c>
      <c r="L848" s="10" t="s">
        <v>9121</v>
      </c>
    </row>
    <row r="849">
      <c r="A849" s="2" t="s">
        <v>5403</v>
      </c>
      <c r="B849" s="2" t="s">
        <v>9122</v>
      </c>
      <c r="C849" s="2">
        <v>2.1192292E7</v>
      </c>
      <c r="D849" s="2" t="s">
        <v>9123</v>
      </c>
      <c r="E849" s="2">
        <v>248399.0</v>
      </c>
      <c r="F849" s="2">
        <v>790.0</v>
      </c>
      <c r="G849" s="2">
        <v>41959.0</v>
      </c>
      <c r="H849" s="2" t="s">
        <v>5905</v>
      </c>
      <c r="I849" s="2" t="s">
        <v>5906</v>
      </c>
      <c r="J849" s="2" t="s">
        <v>6166</v>
      </c>
      <c r="K849" s="2" t="s">
        <v>9124</v>
      </c>
      <c r="L849" s="10" t="s">
        <v>9125</v>
      </c>
    </row>
    <row r="850">
      <c r="A850" s="2" t="s">
        <v>5390</v>
      </c>
      <c r="B850" s="2" t="s">
        <v>9126</v>
      </c>
      <c r="C850" s="2">
        <v>3.78651524E8</v>
      </c>
      <c r="D850" s="2" t="s">
        <v>9127</v>
      </c>
      <c r="E850" s="2">
        <v>1231694.0</v>
      </c>
      <c r="F850" s="2">
        <v>511.0</v>
      </c>
      <c r="G850" s="2">
        <v>7743.0</v>
      </c>
      <c r="H850" s="2" t="s">
        <v>5906</v>
      </c>
      <c r="I850" s="2" t="s">
        <v>5906</v>
      </c>
      <c r="J850" s="2" t="s">
        <v>4996</v>
      </c>
      <c r="K850" s="2" t="s">
        <v>9128</v>
      </c>
      <c r="L850" s="10" t="s">
        <v>9129</v>
      </c>
    </row>
    <row r="851">
      <c r="A851" s="2" t="s">
        <v>5390</v>
      </c>
      <c r="B851" s="2" t="s">
        <v>9130</v>
      </c>
      <c r="C851" s="2">
        <v>1.369970682E9</v>
      </c>
      <c r="D851" s="2" t="s">
        <v>9131</v>
      </c>
      <c r="E851" s="2">
        <v>3331265.0</v>
      </c>
      <c r="F851" s="2">
        <v>230.0</v>
      </c>
      <c r="G851" s="2">
        <v>10607.0</v>
      </c>
      <c r="H851" s="2" t="s">
        <v>5906</v>
      </c>
      <c r="I851" s="2" t="s">
        <v>5906</v>
      </c>
      <c r="J851" s="2" t="s">
        <v>5391</v>
      </c>
      <c r="K851" s="2" t="s">
        <v>9132</v>
      </c>
      <c r="L851" s="10" t="s">
        <v>9133</v>
      </c>
    </row>
    <row r="852">
      <c r="A852" s="2" t="s">
        <v>5390</v>
      </c>
      <c r="B852" s="2" t="s">
        <v>9134</v>
      </c>
      <c r="C852" s="2">
        <v>4.5643765256E10</v>
      </c>
      <c r="D852" s="2" t="s">
        <v>9135</v>
      </c>
      <c r="E852" s="2">
        <v>935355.0</v>
      </c>
      <c r="F852" s="2">
        <v>8.0</v>
      </c>
      <c r="G852" s="2">
        <v>2727.0</v>
      </c>
      <c r="H852" s="2" t="s">
        <v>5906</v>
      </c>
      <c r="I852" s="2" t="s">
        <v>5905</v>
      </c>
      <c r="J852" s="2" t="s">
        <v>5391</v>
      </c>
      <c r="K852" s="2" t="s">
        <v>9136</v>
      </c>
      <c r="L852" s="10" t="s">
        <v>9137</v>
      </c>
    </row>
    <row r="853">
      <c r="A853" s="2" t="s">
        <v>5390</v>
      </c>
      <c r="B853" s="2" t="s">
        <v>9138</v>
      </c>
      <c r="C853" s="2">
        <v>6.1813006407E10</v>
      </c>
      <c r="D853" s="2" t="s">
        <v>9139</v>
      </c>
      <c r="E853" s="2">
        <v>532205.0</v>
      </c>
      <c r="F853" s="2">
        <v>53.0</v>
      </c>
      <c r="G853" s="2">
        <v>634.0</v>
      </c>
      <c r="H853" s="2" t="s">
        <v>5905</v>
      </c>
      <c r="I853" s="2" t="s">
        <v>5906</v>
      </c>
      <c r="J853" s="2" t="s">
        <v>7059</v>
      </c>
      <c r="K853" s="2" t="s">
        <v>9140</v>
      </c>
      <c r="L853" s="10" t="s">
        <v>9141</v>
      </c>
    </row>
    <row r="854">
      <c r="A854" s="2" t="s">
        <v>5390</v>
      </c>
      <c r="B854" s="2" t="s">
        <v>9142</v>
      </c>
      <c r="C854" s="2">
        <v>3.134647743E9</v>
      </c>
      <c r="D854" s="2" t="s">
        <v>9143</v>
      </c>
      <c r="E854" s="2">
        <v>22025.0</v>
      </c>
      <c r="F854" s="2">
        <v>23.0</v>
      </c>
      <c r="G854" s="2">
        <v>1019.0</v>
      </c>
      <c r="H854" s="2" t="s">
        <v>5905</v>
      </c>
      <c r="I854" s="2" t="s">
        <v>5906</v>
      </c>
      <c r="J854" s="2" t="s">
        <v>9144</v>
      </c>
      <c r="K854" s="2" t="s">
        <v>9145</v>
      </c>
      <c r="L854" s="10" t="s">
        <v>9146</v>
      </c>
    </row>
    <row r="855">
      <c r="A855" s="2" t="s">
        <v>5390</v>
      </c>
      <c r="B855" s="2" t="s">
        <v>9147</v>
      </c>
      <c r="C855" s="2">
        <v>4.198799758E9</v>
      </c>
      <c r="D855" s="2" t="s">
        <v>9148</v>
      </c>
      <c r="E855" s="2">
        <v>60192.0</v>
      </c>
      <c r="F855" s="2">
        <v>997.0</v>
      </c>
      <c r="G855" s="2">
        <v>496.0</v>
      </c>
      <c r="H855" s="2" t="s">
        <v>5905</v>
      </c>
      <c r="I855" s="2" t="s">
        <v>5905</v>
      </c>
      <c r="J855" s="2" t="s">
        <v>5959</v>
      </c>
      <c r="K855" s="2" t="s">
        <v>9149</v>
      </c>
      <c r="L855" s="10" t="s">
        <v>9150</v>
      </c>
    </row>
    <row r="856">
      <c r="A856" s="2" t="s">
        <v>5390</v>
      </c>
      <c r="B856" s="2" t="s">
        <v>9151</v>
      </c>
      <c r="C856" s="2">
        <v>5.0353719927E10</v>
      </c>
      <c r="D856" s="2" t="s">
        <v>9152</v>
      </c>
      <c r="E856" s="2">
        <v>29013.0</v>
      </c>
      <c r="F856" s="2">
        <v>524.0</v>
      </c>
      <c r="G856" s="2">
        <v>1164.0</v>
      </c>
      <c r="H856" s="2" t="s">
        <v>5905</v>
      </c>
      <c r="I856" s="2" t="s">
        <v>5905</v>
      </c>
      <c r="J856" s="2" t="s">
        <v>9153</v>
      </c>
      <c r="K856" s="2" t="s">
        <v>9154</v>
      </c>
      <c r="L856" s="10" t="s">
        <v>9155</v>
      </c>
    </row>
    <row r="857">
      <c r="A857" s="2" t="s">
        <v>5476</v>
      </c>
      <c r="B857" s="2" t="s">
        <v>9156</v>
      </c>
      <c r="C857" s="2">
        <v>1.542430186E9</v>
      </c>
      <c r="D857" s="2" t="s">
        <v>5476</v>
      </c>
      <c r="E857" s="2">
        <v>5132520.0</v>
      </c>
      <c r="F857" s="2">
        <v>12.0</v>
      </c>
      <c r="G857" s="2">
        <v>115371.0</v>
      </c>
      <c r="H857" s="2" t="s">
        <v>5906</v>
      </c>
      <c r="I857" s="2" t="s">
        <v>5905</v>
      </c>
      <c r="J857" s="2" t="s">
        <v>5907</v>
      </c>
      <c r="K857" s="2" t="s">
        <v>9157</v>
      </c>
      <c r="L857" s="10" t="s">
        <v>9158</v>
      </c>
    </row>
    <row r="858">
      <c r="A858" s="2" t="s">
        <v>5476</v>
      </c>
      <c r="B858" s="2" t="s">
        <v>9159</v>
      </c>
      <c r="C858" s="2">
        <v>1.8260628894E10</v>
      </c>
      <c r="D858" s="2" t="s">
        <v>9160</v>
      </c>
      <c r="E858" s="2">
        <v>359567.0</v>
      </c>
      <c r="F858" s="2">
        <v>9.0</v>
      </c>
      <c r="G858" s="2">
        <v>4937.0</v>
      </c>
      <c r="H858" s="2" t="s">
        <v>5906</v>
      </c>
      <c r="I858" s="2" t="s">
        <v>5905</v>
      </c>
      <c r="J858" s="2" t="s">
        <v>9161</v>
      </c>
      <c r="K858" s="2" t="s">
        <v>9162</v>
      </c>
    </row>
    <row r="859">
      <c r="A859" s="2" t="s">
        <v>5476</v>
      </c>
      <c r="B859" s="2" t="s">
        <v>9163</v>
      </c>
      <c r="C859" s="2">
        <v>6.0276888267E10</v>
      </c>
      <c r="D859" s="2" t="s">
        <v>9164</v>
      </c>
      <c r="E859" s="2">
        <v>77593.0</v>
      </c>
      <c r="F859" s="2">
        <v>5.0</v>
      </c>
      <c r="G859" s="2">
        <v>5949.0</v>
      </c>
      <c r="H859" s="2" t="s">
        <v>5905</v>
      </c>
      <c r="I859" s="2" t="s">
        <v>5905</v>
      </c>
      <c r="J859" s="2" t="s">
        <v>5911</v>
      </c>
      <c r="K859" s="2" t="s">
        <v>9165</v>
      </c>
      <c r="L859" s="10" t="s">
        <v>9166</v>
      </c>
    </row>
    <row r="860">
      <c r="A860" s="2" t="s">
        <v>5476</v>
      </c>
      <c r="B860" s="2" t="s">
        <v>9167</v>
      </c>
      <c r="C860" s="2">
        <v>1.0566809181E10</v>
      </c>
      <c r="D860" s="2" t="s">
        <v>9168</v>
      </c>
      <c r="E860" s="2">
        <v>222047.0</v>
      </c>
      <c r="F860" s="2">
        <v>35.0</v>
      </c>
      <c r="G860" s="2">
        <v>3284.0</v>
      </c>
      <c r="H860" s="2" t="s">
        <v>5905</v>
      </c>
      <c r="I860" s="2" t="s">
        <v>5906</v>
      </c>
      <c r="J860" s="2" t="s">
        <v>5518</v>
      </c>
      <c r="K860" s="2" t="s">
        <v>9169</v>
      </c>
    </row>
    <row r="861">
      <c r="A861" s="2" t="s">
        <v>5476</v>
      </c>
      <c r="B861" s="2" t="s">
        <v>9170</v>
      </c>
      <c r="C861" s="2">
        <v>4.8366181469E10</v>
      </c>
      <c r="D861" s="2" t="s">
        <v>9171</v>
      </c>
      <c r="E861" s="2">
        <v>35527.0</v>
      </c>
      <c r="F861" s="2">
        <v>13.0</v>
      </c>
      <c r="G861" s="2">
        <v>2806.0</v>
      </c>
      <c r="H861" s="2" t="s">
        <v>5906</v>
      </c>
      <c r="I861" s="2" t="s">
        <v>5906</v>
      </c>
      <c r="J861" s="2" t="s">
        <v>5485</v>
      </c>
      <c r="K861" s="2" t="s">
        <v>9172</v>
      </c>
      <c r="L861" s="10" t="s">
        <v>9173</v>
      </c>
    </row>
    <row r="862">
      <c r="A862" s="2" t="s">
        <v>5476</v>
      </c>
      <c r="B862" s="2" t="s">
        <v>9174</v>
      </c>
      <c r="C862" s="2">
        <v>5.3016383239E10</v>
      </c>
      <c r="D862" s="2" t="s">
        <v>9175</v>
      </c>
      <c r="E862" s="2">
        <v>37795.0</v>
      </c>
      <c r="F862" s="2">
        <v>2.0</v>
      </c>
      <c r="G862" s="2">
        <v>26442.0</v>
      </c>
      <c r="H862" s="2" t="s">
        <v>5905</v>
      </c>
      <c r="I862" s="2" t="s">
        <v>5906</v>
      </c>
      <c r="J862" s="2" t="s">
        <v>5907</v>
      </c>
      <c r="K862" s="2" t="s">
        <v>9176</v>
      </c>
      <c r="L862" s="10" t="s">
        <v>9177</v>
      </c>
    </row>
    <row r="863">
      <c r="A863" s="2" t="s">
        <v>5476</v>
      </c>
      <c r="B863" s="2" t="s">
        <v>9178</v>
      </c>
      <c r="C863" s="2">
        <v>1.9374945669E10</v>
      </c>
      <c r="D863" s="2" t="s">
        <v>9179</v>
      </c>
      <c r="E863" s="2">
        <v>34221.0</v>
      </c>
      <c r="F863" s="2">
        <v>25.0</v>
      </c>
      <c r="G863" s="2">
        <v>275.0</v>
      </c>
      <c r="H863" s="2" t="s">
        <v>5905</v>
      </c>
      <c r="I863" s="2" t="s">
        <v>5905</v>
      </c>
      <c r="K863" s="2" t="s">
        <v>9180</v>
      </c>
    </row>
    <row r="864">
      <c r="A864" s="2" t="s">
        <v>5349</v>
      </c>
      <c r="B864" s="2" t="s">
        <v>9181</v>
      </c>
      <c r="C864" s="2">
        <v>1.90712515E8</v>
      </c>
      <c r="D864" s="2" t="s">
        <v>5349</v>
      </c>
      <c r="E864" s="2">
        <v>990363.0</v>
      </c>
      <c r="F864" s="2">
        <v>602.0</v>
      </c>
      <c r="G864" s="2">
        <v>17367.0</v>
      </c>
      <c r="H864" s="2" t="s">
        <v>5906</v>
      </c>
      <c r="I864" s="2" t="s">
        <v>5906</v>
      </c>
      <c r="K864" s="2" t="s">
        <v>9182</v>
      </c>
      <c r="L864" s="10" t="s">
        <v>9183</v>
      </c>
    </row>
    <row r="865">
      <c r="A865" s="2" t="s">
        <v>5563</v>
      </c>
      <c r="B865" s="2" t="s">
        <v>9184</v>
      </c>
      <c r="C865" s="2">
        <v>1.792875094E9</v>
      </c>
      <c r="D865" s="2" t="s">
        <v>9185</v>
      </c>
      <c r="E865" s="2">
        <v>133173.0</v>
      </c>
      <c r="F865" s="2">
        <v>335.0</v>
      </c>
      <c r="G865" s="2">
        <v>689.0</v>
      </c>
      <c r="H865" s="2" t="s">
        <v>5905</v>
      </c>
      <c r="I865" s="2" t="s">
        <v>5905</v>
      </c>
      <c r="J865" s="2" t="s">
        <v>5492</v>
      </c>
      <c r="K865" s="2" t="s">
        <v>9186</v>
      </c>
      <c r="L865" s="10" t="s">
        <v>9187</v>
      </c>
    </row>
    <row r="866">
      <c r="A866" s="2" t="s">
        <v>5563</v>
      </c>
      <c r="B866" s="2" t="s">
        <v>9188</v>
      </c>
      <c r="C866" s="2">
        <v>8.695891664E9</v>
      </c>
      <c r="D866" s="2" t="s">
        <v>9189</v>
      </c>
      <c r="E866" s="2">
        <v>2435794.0</v>
      </c>
      <c r="F866" s="2">
        <v>37.0</v>
      </c>
      <c r="G866" s="2">
        <v>7095.0</v>
      </c>
      <c r="H866" s="2" t="s">
        <v>5905</v>
      </c>
      <c r="I866" s="2" t="s">
        <v>5906</v>
      </c>
      <c r="J866" s="2" t="s">
        <v>5391</v>
      </c>
      <c r="K866" s="2" t="s">
        <v>9190</v>
      </c>
      <c r="L866" s="10" t="s">
        <v>9191</v>
      </c>
    </row>
    <row r="867">
      <c r="A867" s="2" t="s">
        <v>5563</v>
      </c>
      <c r="B867" s="2" t="s">
        <v>4559</v>
      </c>
      <c r="C867" s="2">
        <v>3.50434543E8</v>
      </c>
      <c r="D867" s="2" t="s">
        <v>5563</v>
      </c>
      <c r="E867" s="2">
        <v>100999.0</v>
      </c>
      <c r="F867" s="2">
        <v>635.0</v>
      </c>
      <c r="G867" s="2">
        <v>396.0</v>
      </c>
      <c r="H867" s="2" t="s">
        <v>5906</v>
      </c>
      <c r="I867" s="2" t="s">
        <v>5906</v>
      </c>
      <c r="K867" s="2" t="s">
        <v>9192</v>
      </c>
      <c r="L867" s="10" t="s">
        <v>9193</v>
      </c>
    </row>
    <row r="868">
      <c r="A868" s="2" t="s">
        <v>5563</v>
      </c>
      <c r="B868" s="2" t="s">
        <v>9194</v>
      </c>
      <c r="C868" s="2">
        <v>2.4322698224E10</v>
      </c>
      <c r="D868" s="2" t="s">
        <v>9195</v>
      </c>
      <c r="E868" s="2">
        <v>5208424.0</v>
      </c>
      <c r="F868" s="2">
        <v>84.0</v>
      </c>
      <c r="G868" s="2">
        <v>2275.0</v>
      </c>
      <c r="H868" s="2" t="s">
        <v>5906</v>
      </c>
      <c r="I868" s="2" t="s">
        <v>5905</v>
      </c>
      <c r="J868" s="2" t="s">
        <v>5959</v>
      </c>
      <c r="K868" s="2" t="s">
        <v>9196</v>
      </c>
      <c r="L868" s="10" t="s">
        <v>9197</v>
      </c>
    </row>
    <row r="869">
      <c r="A869" s="2" t="s">
        <v>5563</v>
      </c>
      <c r="B869" s="2" t="s">
        <v>9198</v>
      </c>
      <c r="C869" s="2">
        <v>7.036072658E9</v>
      </c>
      <c r="D869" s="2" t="s">
        <v>9199</v>
      </c>
      <c r="E869" s="2">
        <v>45603.0</v>
      </c>
      <c r="F869" s="2">
        <v>562.0</v>
      </c>
      <c r="G869" s="2">
        <v>477.0</v>
      </c>
      <c r="H869" s="2" t="s">
        <v>5905</v>
      </c>
      <c r="I869" s="2" t="s">
        <v>5905</v>
      </c>
      <c r="J869" s="2" t="s">
        <v>5959</v>
      </c>
      <c r="K869" s="2" t="s">
        <v>9200</v>
      </c>
      <c r="L869" s="10" t="s">
        <v>9201</v>
      </c>
    </row>
    <row r="870">
      <c r="A870" s="2" t="s">
        <v>5563</v>
      </c>
      <c r="B870" s="2" t="s">
        <v>9202</v>
      </c>
      <c r="C870" s="2">
        <v>5.1341518508E10</v>
      </c>
      <c r="D870" s="2" t="s">
        <v>9203</v>
      </c>
      <c r="E870" s="2">
        <v>27925.0</v>
      </c>
      <c r="F870" s="2">
        <v>2024.0</v>
      </c>
      <c r="G870" s="2">
        <v>255.0</v>
      </c>
      <c r="H870" s="2" t="s">
        <v>5906</v>
      </c>
      <c r="I870" s="2" t="s">
        <v>5906</v>
      </c>
      <c r="J870" s="2" t="s">
        <v>9204</v>
      </c>
      <c r="K870" s="2" t="s">
        <v>9205</v>
      </c>
      <c r="L870" s="10" t="s">
        <v>9206</v>
      </c>
    </row>
    <row r="871">
      <c r="A871" s="2" t="s">
        <v>5563</v>
      </c>
      <c r="B871" s="2" t="s">
        <v>9207</v>
      </c>
      <c r="C871" s="2">
        <v>6.7618275262E10</v>
      </c>
      <c r="D871" s="2" t="s">
        <v>9207</v>
      </c>
      <c r="E871" s="2">
        <v>22087.0</v>
      </c>
      <c r="F871" s="2">
        <v>8.0</v>
      </c>
      <c r="G871" s="2">
        <v>76.0</v>
      </c>
      <c r="H871" s="2" t="s">
        <v>5905</v>
      </c>
      <c r="I871" s="2" t="s">
        <v>5906</v>
      </c>
      <c r="J871" s="2" t="s">
        <v>7140</v>
      </c>
      <c r="K871" s="2" t="s">
        <v>9208</v>
      </c>
      <c r="L871" s="10" t="s">
        <v>9209</v>
      </c>
    </row>
    <row r="872">
      <c r="A872" s="2" t="s">
        <v>5563</v>
      </c>
      <c r="B872" s="2" t="s">
        <v>9210</v>
      </c>
      <c r="C872" s="2">
        <v>4.3800399928E10</v>
      </c>
      <c r="D872" s="2" t="s">
        <v>9211</v>
      </c>
      <c r="E872" s="2">
        <v>86206.0</v>
      </c>
      <c r="F872" s="2">
        <v>2.0</v>
      </c>
      <c r="G872" s="2">
        <v>209.0</v>
      </c>
      <c r="H872" s="2" t="s">
        <v>5905</v>
      </c>
      <c r="I872" s="2" t="s">
        <v>5905</v>
      </c>
      <c r="J872" s="2" t="s">
        <v>5492</v>
      </c>
      <c r="K872" s="2" t="s">
        <v>9212</v>
      </c>
    </row>
    <row r="873">
      <c r="A873" s="2" t="s">
        <v>5563</v>
      </c>
      <c r="B873" s="2" t="s">
        <v>9213</v>
      </c>
      <c r="C873" s="2">
        <v>1.814952662E9</v>
      </c>
      <c r="D873" s="2" t="s">
        <v>9214</v>
      </c>
      <c r="E873" s="2">
        <v>1749106.0</v>
      </c>
      <c r="F873" s="2">
        <v>1429.0</v>
      </c>
      <c r="G873" s="2">
        <v>455.0</v>
      </c>
      <c r="H873" s="2" t="s">
        <v>5906</v>
      </c>
      <c r="I873" s="2" t="s">
        <v>5905</v>
      </c>
      <c r="K873" s="2" t="s">
        <v>9215</v>
      </c>
      <c r="L873" s="10" t="s">
        <v>9216</v>
      </c>
    </row>
    <row r="874">
      <c r="A874" s="2" t="s">
        <v>5563</v>
      </c>
      <c r="B874" s="2" t="s">
        <v>9217</v>
      </c>
      <c r="C874" s="2">
        <v>3.858343071E10</v>
      </c>
      <c r="D874" s="2" t="s">
        <v>9218</v>
      </c>
      <c r="E874" s="2">
        <v>13016.0</v>
      </c>
      <c r="F874" s="2">
        <v>2.0</v>
      </c>
      <c r="G874" s="2">
        <v>485.0</v>
      </c>
      <c r="H874" s="2" t="s">
        <v>5905</v>
      </c>
      <c r="I874" s="2" t="s">
        <v>5906</v>
      </c>
      <c r="J874" s="2" t="s">
        <v>5391</v>
      </c>
      <c r="K874" s="2" t="s">
        <v>9219</v>
      </c>
      <c r="L874" s="10" t="s">
        <v>9220</v>
      </c>
    </row>
    <row r="875">
      <c r="A875" s="2" t="s">
        <v>5563</v>
      </c>
      <c r="B875" s="2" t="s">
        <v>9221</v>
      </c>
      <c r="C875" s="2">
        <v>4.683865153E9</v>
      </c>
      <c r="D875" s="2" t="s">
        <v>9222</v>
      </c>
      <c r="E875" s="2">
        <v>199852.0</v>
      </c>
      <c r="F875" s="2">
        <v>291.0</v>
      </c>
      <c r="G875" s="2">
        <v>191.0</v>
      </c>
      <c r="H875" s="2" t="s">
        <v>5905</v>
      </c>
      <c r="I875" s="2" t="s">
        <v>5906</v>
      </c>
      <c r="J875" s="2" t="s">
        <v>6393</v>
      </c>
      <c r="K875" s="2" t="s">
        <v>9223</v>
      </c>
      <c r="L875" s="10" t="s">
        <v>9224</v>
      </c>
    </row>
    <row r="876">
      <c r="A876" s="2" t="s">
        <v>5563</v>
      </c>
      <c r="B876" s="2" t="s">
        <v>9225</v>
      </c>
      <c r="C876" s="2">
        <v>1.354983181E9</v>
      </c>
      <c r="D876" s="2" t="s">
        <v>9226</v>
      </c>
      <c r="E876" s="2">
        <v>26036.0</v>
      </c>
      <c r="F876" s="2">
        <v>3597.0</v>
      </c>
      <c r="G876" s="2">
        <v>638.0</v>
      </c>
      <c r="H876" s="2" t="s">
        <v>5905</v>
      </c>
      <c r="I876" s="2" t="s">
        <v>5905</v>
      </c>
      <c r="J876" s="2" t="s">
        <v>5492</v>
      </c>
      <c r="K876" s="2" t="s">
        <v>9227</v>
      </c>
    </row>
    <row r="877">
      <c r="A877" s="2" t="s">
        <v>5563</v>
      </c>
      <c r="B877" s="2" t="s">
        <v>9228</v>
      </c>
      <c r="C877" s="2">
        <v>6.8178080582E10</v>
      </c>
      <c r="D877" s="2" t="s">
        <v>9229</v>
      </c>
      <c r="E877" s="2">
        <v>10336.0</v>
      </c>
      <c r="F877" s="2">
        <v>1.0</v>
      </c>
      <c r="G877" s="2">
        <v>20.0</v>
      </c>
      <c r="H877" s="2" t="s">
        <v>5905</v>
      </c>
      <c r="I877" s="2" t="s">
        <v>5906</v>
      </c>
      <c r="J877" s="2" t="s">
        <v>7414</v>
      </c>
      <c r="K877" s="2" t="s">
        <v>9230</v>
      </c>
    </row>
    <row r="878">
      <c r="A878" s="2" t="s">
        <v>5563</v>
      </c>
      <c r="B878" s="2" t="s">
        <v>9231</v>
      </c>
      <c r="C878" s="2">
        <v>5.4861963066E10</v>
      </c>
      <c r="D878" s="2" t="s">
        <v>9232</v>
      </c>
      <c r="E878" s="2">
        <v>84829.0</v>
      </c>
      <c r="F878" s="2">
        <v>451.0</v>
      </c>
      <c r="G878" s="2">
        <v>65.0</v>
      </c>
      <c r="H878" s="2" t="s">
        <v>5905</v>
      </c>
      <c r="I878" s="2" t="s">
        <v>5905</v>
      </c>
      <c r="J878" s="2" t="s">
        <v>5492</v>
      </c>
      <c r="K878" s="2" t="s">
        <v>9233</v>
      </c>
      <c r="L878" s="10" t="s">
        <v>9234</v>
      </c>
    </row>
    <row r="879">
      <c r="A879" s="2" t="s">
        <v>5563</v>
      </c>
      <c r="B879" s="2" t="s">
        <v>9235</v>
      </c>
      <c r="C879" s="2">
        <v>2.374409848E9</v>
      </c>
      <c r="D879" s="2" t="s">
        <v>9236</v>
      </c>
      <c r="E879" s="2">
        <v>106111.0</v>
      </c>
      <c r="F879" s="2">
        <v>891.0</v>
      </c>
      <c r="G879" s="2">
        <v>1544.0</v>
      </c>
      <c r="H879" s="2" t="s">
        <v>5905</v>
      </c>
      <c r="I879" s="2" t="s">
        <v>5905</v>
      </c>
      <c r="J879" s="2" t="s">
        <v>9237</v>
      </c>
      <c r="K879" s="2" t="s">
        <v>9238</v>
      </c>
      <c r="L879" s="10" t="s">
        <v>9239</v>
      </c>
    </row>
    <row r="880">
      <c r="A880" s="2" t="s">
        <v>5563</v>
      </c>
      <c r="B880" s="2" t="s">
        <v>9240</v>
      </c>
      <c r="C880" s="2">
        <v>1.0430939226E10</v>
      </c>
      <c r="D880" s="2" t="s">
        <v>9241</v>
      </c>
      <c r="E880" s="2">
        <v>348197.0</v>
      </c>
      <c r="F880" s="2">
        <v>236.0</v>
      </c>
      <c r="G880" s="2">
        <v>824.0</v>
      </c>
      <c r="H880" s="2" t="s">
        <v>5905</v>
      </c>
      <c r="I880" s="2" t="s">
        <v>5906</v>
      </c>
      <c r="J880" s="2" t="s">
        <v>5561</v>
      </c>
      <c r="K880" s="2" t="s">
        <v>9242</v>
      </c>
      <c r="L880" s="10" t="s">
        <v>9243</v>
      </c>
    </row>
    <row r="881">
      <c r="A881" s="2" t="s">
        <v>5330</v>
      </c>
      <c r="B881" s="2" t="s">
        <v>9244</v>
      </c>
      <c r="C881" s="2">
        <v>8.632196706E9</v>
      </c>
      <c r="D881" s="2" t="s">
        <v>9245</v>
      </c>
      <c r="E881" s="2">
        <v>96500.0</v>
      </c>
      <c r="F881" s="2">
        <v>1069.0</v>
      </c>
      <c r="G881" s="2">
        <v>1448.0</v>
      </c>
      <c r="H881" s="2" t="s">
        <v>5905</v>
      </c>
      <c r="I881" s="2" t="s">
        <v>5905</v>
      </c>
      <c r="J881" s="2" t="s">
        <v>9246</v>
      </c>
      <c r="K881" s="2" t="s">
        <v>9247</v>
      </c>
      <c r="L881" s="10" t="s">
        <v>9248</v>
      </c>
    </row>
    <row r="882">
      <c r="A882" s="2" t="s">
        <v>5330</v>
      </c>
      <c r="B882" s="2" t="s">
        <v>9249</v>
      </c>
      <c r="C882" s="2">
        <v>7.740985461E9</v>
      </c>
      <c r="D882" s="2" t="s">
        <v>9250</v>
      </c>
      <c r="E882" s="2">
        <v>117511.0</v>
      </c>
      <c r="F882" s="2">
        <v>717.0</v>
      </c>
      <c r="G882" s="2">
        <v>4010.0</v>
      </c>
      <c r="H882" s="2" t="s">
        <v>5905</v>
      </c>
      <c r="I882" s="2" t="s">
        <v>5906</v>
      </c>
      <c r="J882" s="2" t="s">
        <v>6166</v>
      </c>
      <c r="K882" s="2" t="s">
        <v>9251</v>
      </c>
    </row>
    <row r="883">
      <c r="A883" s="2" t="s">
        <v>5330</v>
      </c>
      <c r="B883" s="2" t="s">
        <v>9252</v>
      </c>
      <c r="C883" s="2">
        <v>4.741724328E9</v>
      </c>
      <c r="D883" s="12" t="s">
        <v>9253</v>
      </c>
      <c r="E883" s="2">
        <v>159469.0</v>
      </c>
      <c r="F883" s="2">
        <v>18.0</v>
      </c>
      <c r="G883" s="2">
        <v>44.0</v>
      </c>
      <c r="H883" s="2" t="s">
        <v>5905</v>
      </c>
      <c r="I883" s="2" t="s">
        <v>5905</v>
      </c>
      <c r="J883" s="2" t="s">
        <v>6166</v>
      </c>
      <c r="K883" s="12" t="s">
        <v>9254</v>
      </c>
    </row>
    <row r="884">
      <c r="A884" s="2" t="s">
        <v>5330</v>
      </c>
      <c r="B884" s="2" t="s">
        <v>9255</v>
      </c>
      <c r="C884" s="2">
        <v>5.454136805E9</v>
      </c>
      <c r="D884" s="2" t="s">
        <v>9256</v>
      </c>
      <c r="E884" s="2">
        <v>19084.0</v>
      </c>
      <c r="F884" s="2">
        <v>118.0</v>
      </c>
      <c r="G884" s="2">
        <v>744.0</v>
      </c>
      <c r="H884" s="2" t="s">
        <v>5905</v>
      </c>
      <c r="I884" s="2" t="s">
        <v>5905</v>
      </c>
      <c r="K884" s="2" t="s">
        <v>9257</v>
      </c>
      <c r="L884" s="10" t="s">
        <v>9258</v>
      </c>
    </row>
    <row r="885">
      <c r="A885" s="2" t="s">
        <v>5330</v>
      </c>
      <c r="B885" s="2" t="s">
        <v>9259</v>
      </c>
      <c r="C885" s="2">
        <v>6.5852800291E10</v>
      </c>
      <c r="D885" s="2" t="s">
        <v>9260</v>
      </c>
      <c r="E885" s="2">
        <v>118588.0</v>
      </c>
      <c r="F885" s="2">
        <v>260.0</v>
      </c>
      <c r="G885" s="2">
        <v>577.0</v>
      </c>
      <c r="H885" s="2" t="s">
        <v>5905</v>
      </c>
      <c r="I885" s="2" t="s">
        <v>5905</v>
      </c>
      <c r="J885" s="2" t="s">
        <v>5561</v>
      </c>
    </row>
    <row r="886">
      <c r="A886" s="2" t="s">
        <v>5330</v>
      </c>
      <c r="B886" s="2" t="s">
        <v>9261</v>
      </c>
      <c r="C886" s="2">
        <v>6.2838358976E10</v>
      </c>
      <c r="D886" s="2" t="s">
        <v>9262</v>
      </c>
      <c r="E886" s="2">
        <v>27921.0</v>
      </c>
      <c r="F886" s="2">
        <v>121.0</v>
      </c>
      <c r="G886" s="2">
        <v>413.0</v>
      </c>
      <c r="H886" s="2" t="s">
        <v>5905</v>
      </c>
      <c r="I886" s="2" t="s">
        <v>5905</v>
      </c>
      <c r="J886" s="2" t="s">
        <v>9263</v>
      </c>
      <c r="K886" s="2" t="s">
        <v>9264</v>
      </c>
    </row>
    <row r="887">
      <c r="A887" s="2" t="s">
        <v>5330</v>
      </c>
      <c r="B887" s="2" t="s">
        <v>9265</v>
      </c>
      <c r="C887" s="2">
        <v>1.201396422E9</v>
      </c>
      <c r="D887" s="2" t="s">
        <v>9266</v>
      </c>
      <c r="E887" s="2">
        <v>547695.0</v>
      </c>
      <c r="F887" s="2">
        <v>1967.0</v>
      </c>
      <c r="G887" s="2">
        <v>3530.0</v>
      </c>
      <c r="H887" s="2" t="s">
        <v>5906</v>
      </c>
      <c r="I887" s="2" t="s">
        <v>5905</v>
      </c>
      <c r="J887" s="2" t="s">
        <v>5492</v>
      </c>
      <c r="K887" s="2" t="s">
        <v>9267</v>
      </c>
      <c r="L887" s="10" t="s">
        <v>9268</v>
      </c>
    </row>
    <row r="888">
      <c r="A888" s="2" t="s">
        <v>5330</v>
      </c>
      <c r="B888" s="2" t="s">
        <v>9269</v>
      </c>
      <c r="C888" s="2">
        <v>1.8464866E7</v>
      </c>
      <c r="D888" s="2" t="s">
        <v>9269</v>
      </c>
      <c r="E888" s="2">
        <v>4370738.0</v>
      </c>
      <c r="F888" s="2">
        <v>1699.0</v>
      </c>
      <c r="G888" s="2">
        <v>19935.0</v>
      </c>
      <c r="H888" s="2" t="s">
        <v>5906</v>
      </c>
      <c r="I888" s="2" t="s">
        <v>5906</v>
      </c>
      <c r="K888" s="2" t="s">
        <v>9270</v>
      </c>
      <c r="L888" s="10" t="s">
        <v>9271</v>
      </c>
    </row>
    <row r="889">
      <c r="A889" s="2" t="s">
        <v>5330</v>
      </c>
      <c r="B889" s="2" t="s">
        <v>9272</v>
      </c>
      <c r="C889" s="2">
        <v>3.75210765E8</v>
      </c>
      <c r="D889" s="10" t="s">
        <v>9273</v>
      </c>
      <c r="E889" s="2">
        <v>126255.0</v>
      </c>
      <c r="F889" s="2">
        <v>1291.0</v>
      </c>
      <c r="G889" s="2">
        <v>6132.0</v>
      </c>
      <c r="H889" s="2" t="s">
        <v>5906</v>
      </c>
      <c r="I889" s="2" t="s">
        <v>5906</v>
      </c>
      <c r="J889" s="2" t="s">
        <v>5492</v>
      </c>
      <c r="K889" s="2" t="s">
        <v>9274</v>
      </c>
    </row>
    <row r="890">
      <c r="A890" s="2" t="s">
        <v>5330</v>
      </c>
      <c r="B890" s="2" t="s">
        <v>9275</v>
      </c>
      <c r="C890" s="2">
        <v>6.90763898E8</v>
      </c>
      <c r="D890" s="2" t="s">
        <v>9276</v>
      </c>
      <c r="E890" s="2">
        <v>78757.0</v>
      </c>
      <c r="F890" s="2">
        <v>13.0</v>
      </c>
      <c r="G890" s="2">
        <v>0.0</v>
      </c>
      <c r="H890" s="2" t="s">
        <v>5905</v>
      </c>
      <c r="I890" s="2" t="s">
        <v>5906</v>
      </c>
    </row>
    <row r="891">
      <c r="A891" s="2" t="s">
        <v>5330</v>
      </c>
      <c r="B891" s="2" t="s">
        <v>9277</v>
      </c>
      <c r="C891" s="2">
        <v>4.35780151E8</v>
      </c>
      <c r="D891" s="2" t="s">
        <v>9278</v>
      </c>
      <c r="E891" s="2">
        <v>224037.0</v>
      </c>
      <c r="F891" s="2">
        <v>1343.0</v>
      </c>
      <c r="G891" s="2">
        <v>6904.0</v>
      </c>
      <c r="H891" s="2" t="s">
        <v>5906</v>
      </c>
      <c r="I891" s="2" t="s">
        <v>5906</v>
      </c>
      <c r="J891" s="2" t="s">
        <v>5518</v>
      </c>
      <c r="K891" s="2" t="s">
        <v>9279</v>
      </c>
      <c r="L891" s="10" t="s">
        <v>9280</v>
      </c>
    </row>
    <row r="892">
      <c r="A892" s="2" t="s">
        <v>5330</v>
      </c>
      <c r="B892" s="10" t="s">
        <v>9281</v>
      </c>
      <c r="C892" s="2">
        <v>5.37539373E8</v>
      </c>
      <c r="D892" s="2" t="s">
        <v>9282</v>
      </c>
      <c r="E892" s="2">
        <v>105781.0</v>
      </c>
      <c r="F892" s="2">
        <v>104.0</v>
      </c>
      <c r="G892" s="2">
        <v>1061.0</v>
      </c>
      <c r="H892" s="2" t="s">
        <v>5905</v>
      </c>
      <c r="I892" s="2" t="s">
        <v>5905</v>
      </c>
      <c r="J892" s="2" t="s">
        <v>5959</v>
      </c>
      <c r="K892" s="2" t="s">
        <v>9283</v>
      </c>
      <c r="L892" s="10" t="s">
        <v>9284</v>
      </c>
    </row>
    <row r="893">
      <c r="A893" s="2" t="s">
        <v>5330</v>
      </c>
      <c r="B893" s="2" t="s">
        <v>9285</v>
      </c>
      <c r="C893" s="2">
        <v>6.461603186E9</v>
      </c>
      <c r="D893" s="2" t="s">
        <v>9286</v>
      </c>
      <c r="E893" s="2">
        <v>55402.0</v>
      </c>
      <c r="F893" s="2">
        <v>1.0</v>
      </c>
      <c r="G893" s="2">
        <v>3215.0</v>
      </c>
      <c r="H893" s="2" t="s">
        <v>5906</v>
      </c>
      <c r="I893" s="2" t="s">
        <v>5905</v>
      </c>
      <c r="J893" s="2" t="s">
        <v>6166</v>
      </c>
      <c r="K893" s="2" t="s">
        <v>9287</v>
      </c>
      <c r="L893" s="10" t="s">
        <v>9288</v>
      </c>
    </row>
    <row r="894">
      <c r="A894" s="2" t="s">
        <v>5330</v>
      </c>
      <c r="B894" s="2" t="s">
        <v>9289</v>
      </c>
      <c r="C894" s="2">
        <v>4.45928038E8</v>
      </c>
      <c r="D894" s="2" t="s">
        <v>9290</v>
      </c>
      <c r="E894" s="2">
        <v>3818270.0</v>
      </c>
      <c r="F894" s="2">
        <v>1973.0</v>
      </c>
      <c r="G894" s="2">
        <v>26246.0</v>
      </c>
      <c r="H894" s="2" t="s">
        <v>5906</v>
      </c>
      <c r="I894" s="2" t="s">
        <v>5906</v>
      </c>
      <c r="J894" s="2" t="s">
        <v>5963</v>
      </c>
      <c r="K894" s="2" t="s">
        <v>9291</v>
      </c>
      <c r="L894" s="10" t="s">
        <v>9292</v>
      </c>
    </row>
    <row r="895">
      <c r="A895" s="2" t="s">
        <v>5330</v>
      </c>
      <c r="B895" s="2" t="s">
        <v>9293</v>
      </c>
      <c r="C895" s="2">
        <v>6.7921439343E10</v>
      </c>
      <c r="D895" s="2" t="s">
        <v>9294</v>
      </c>
      <c r="E895" s="2">
        <v>16322.0</v>
      </c>
      <c r="F895" s="2">
        <v>1.0</v>
      </c>
      <c r="G895" s="2">
        <v>155.0</v>
      </c>
      <c r="H895" s="2" t="s">
        <v>5905</v>
      </c>
      <c r="I895" s="2" t="s">
        <v>5906</v>
      </c>
      <c r="J895" s="2" t="s">
        <v>6023</v>
      </c>
      <c r="K895" s="2" t="s">
        <v>9295</v>
      </c>
      <c r="L895" s="10" t="s">
        <v>9296</v>
      </c>
    </row>
    <row r="896">
      <c r="A896" s="2" t="s">
        <v>5330</v>
      </c>
      <c r="B896" s="2" t="s">
        <v>9297</v>
      </c>
      <c r="C896" s="2">
        <v>1.431036681E9</v>
      </c>
      <c r="D896" s="2" t="s">
        <v>9298</v>
      </c>
      <c r="E896" s="2">
        <v>3357952.0</v>
      </c>
      <c r="F896" s="2">
        <v>1098.0</v>
      </c>
      <c r="G896" s="2">
        <v>2638.0</v>
      </c>
      <c r="H896" s="2" t="s">
        <v>5906</v>
      </c>
      <c r="I896" s="2" t="s">
        <v>5905</v>
      </c>
      <c r="J896" s="2" t="s">
        <v>6393</v>
      </c>
      <c r="K896" s="2" t="s">
        <v>9299</v>
      </c>
      <c r="L896" s="10" t="s">
        <v>9300</v>
      </c>
    </row>
    <row r="897">
      <c r="A897" s="2" t="s">
        <v>5532</v>
      </c>
      <c r="B897" s="2" t="s">
        <v>9301</v>
      </c>
      <c r="C897" s="2">
        <v>3.353672576E10</v>
      </c>
      <c r="D897" s="2" t="s">
        <v>9302</v>
      </c>
      <c r="E897" s="2">
        <v>50207.0</v>
      </c>
      <c r="F897" s="2">
        <v>8.0</v>
      </c>
      <c r="G897" s="2">
        <v>606.0</v>
      </c>
      <c r="H897" s="2" t="s">
        <v>5906</v>
      </c>
      <c r="I897" s="2" t="s">
        <v>5906</v>
      </c>
      <c r="J897" s="2" t="s">
        <v>5968</v>
      </c>
      <c r="K897" s="2" t="s">
        <v>9303</v>
      </c>
      <c r="L897" s="10" t="s">
        <v>9304</v>
      </c>
    </row>
    <row r="898">
      <c r="A898" s="2" t="s">
        <v>5532</v>
      </c>
      <c r="B898" s="2" t="s">
        <v>9305</v>
      </c>
      <c r="C898" s="2">
        <v>1.0769722E7</v>
      </c>
      <c r="D898" s="2" t="s">
        <v>9306</v>
      </c>
      <c r="E898" s="2">
        <v>53637.0</v>
      </c>
      <c r="F898" s="2">
        <v>263.0</v>
      </c>
      <c r="G898" s="2">
        <v>2636.0</v>
      </c>
      <c r="H898" s="2" t="s">
        <v>5906</v>
      </c>
      <c r="I898" s="2" t="s">
        <v>5906</v>
      </c>
      <c r="J898" s="2" t="s">
        <v>4404</v>
      </c>
      <c r="K898" s="2" t="s">
        <v>9307</v>
      </c>
      <c r="L898" s="10" t="s">
        <v>9308</v>
      </c>
    </row>
    <row r="899">
      <c r="A899" s="2" t="s">
        <v>5532</v>
      </c>
      <c r="B899" s="2" t="s">
        <v>9309</v>
      </c>
      <c r="C899" s="2">
        <v>1.1711285E7</v>
      </c>
      <c r="D899" s="2" t="s">
        <v>9310</v>
      </c>
      <c r="E899" s="2">
        <v>1460406.0</v>
      </c>
      <c r="F899" s="2">
        <v>517.0</v>
      </c>
      <c r="G899" s="2">
        <v>4085.0</v>
      </c>
      <c r="H899" s="2" t="s">
        <v>5906</v>
      </c>
      <c r="I899" s="2" t="s">
        <v>5906</v>
      </c>
      <c r="J899" s="2" t="s">
        <v>5518</v>
      </c>
      <c r="K899" s="2" t="s">
        <v>9311</v>
      </c>
      <c r="L899" s="10" t="s">
        <v>9312</v>
      </c>
    </row>
    <row r="900">
      <c r="A900" s="2" t="s">
        <v>5532</v>
      </c>
      <c r="B900" s="2" t="s">
        <v>9313</v>
      </c>
      <c r="C900" s="2">
        <v>4.7734468539E10</v>
      </c>
      <c r="D900" s="2" t="s">
        <v>9314</v>
      </c>
      <c r="E900" s="2">
        <v>418252.0</v>
      </c>
      <c r="F900" s="2">
        <v>52.0</v>
      </c>
      <c r="G900" s="2">
        <v>611.0</v>
      </c>
      <c r="H900" s="2" t="s">
        <v>5905</v>
      </c>
      <c r="I900" s="2" t="s">
        <v>5905</v>
      </c>
      <c r="J900" s="2" t="s">
        <v>5968</v>
      </c>
      <c r="K900" s="2" t="s">
        <v>9315</v>
      </c>
      <c r="L900" s="10" t="s">
        <v>9316</v>
      </c>
    </row>
    <row r="901">
      <c r="A901" s="2" t="s">
        <v>5532</v>
      </c>
      <c r="B901" s="2" t="s">
        <v>9317</v>
      </c>
      <c r="C901" s="2">
        <v>6.5949595837E10</v>
      </c>
      <c r="D901" s="2" t="s">
        <v>9318</v>
      </c>
      <c r="E901" s="2">
        <v>435056.0</v>
      </c>
      <c r="F901" s="2">
        <v>1050.0</v>
      </c>
      <c r="G901" s="2">
        <v>366.0</v>
      </c>
      <c r="H901" s="2" t="s">
        <v>5905</v>
      </c>
      <c r="I901" s="2" t="s">
        <v>5905</v>
      </c>
      <c r="J901" s="2" t="s">
        <v>6002</v>
      </c>
      <c r="K901" s="2" t="s">
        <v>9319</v>
      </c>
      <c r="L901" s="10" t="s">
        <v>9320</v>
      </c>
    </row>
    <row r="902">
      <c r="A902" s="2" t="s">
        <v>5383</v>
      </c>
      <c r="B902" s="2" t="s">
        <v>9321</v>
      </c>
      <c r="C902" s="2">
        <v>1.1107627495E10</v>
      </c>
      <c r="D902" s="2" t="s">
        <v>5383</v>
      </c>
      <c r="E902" s="2">
        <v>548553.0</v>
      </c>
      <c r="F902" s="2">
        <v>292.0</v>
      </c>
      <c r="G902" s="2">
        <v>2354.0</v>
      </c>
      <c r="H902" s="2" t="s">
        <v>5906</v>
      </c>
      <c r="I902" s="2" t="s">
        <v>5906</v>
      </c>
      <c r="J902" s="2" t="s">
        <v>8013</v>
      </c>
      <c r="K902" s="2" t="s">
        <v>9322</v>
      </c>
      <c r="L902" s="10" t="s">
        <v>9323</v>
      </c>
    </row>
    <row r="903">
      <c r="A903" s="2" t="s">
        <v>5383</v>
      </c>
      <c r="B903" s="2" t="s">
        <v>9324</v>
      </c>
      <c r="C903" s="2">
        <v>5.7514919078E10</v>
      </c>
      <c r="D903" s="2" t="s">
        <v>9325</v>
      </c>
      <c r="E903" s="2">
        <v>34098.0</v>
      </c>
      <c r="F903" s="2">
        <v>2.0</v>
      </c>
      <c r="G903" s="2">
        <v>310.0</v>
      </c>
      <c r="H903" s="2" t="s">
        <v>5905</v>
      </c>
      <c r="I903" s="2" t="s">
        <v>5905</v>
      </c>
      <c r="J903" s="2" t="s">
        <v>5959</v>
      </c>
      <c r="K903" s="2" t="s">
        <v>9326</v>
      </c>
    </row>
    <row r="904">
      <c r="A904" s="2" t="s">
        <v>5474</v>
      </c>
      <c r="B904" s="2" t="s">
        <v>9327</v>
      </c>
      <c r="C904" s="2">
        <v>1.276490681E9</v>
      </c>
      <c r="D904" s="2" t="s">
        <v>9328</v>
      </c>
      <c r="E904" s="2">
        <v>120344.0</v>
      </c>
      <c r="F904" s="2">
        <v>39.0</v>
      </c>
      <c r="G904" s="2">
        <v>2059.0</v>
      </c>
      <c r="H904" s="2" t="s">
        <v>5906</v>
      </c>
      <c r="I904" s="2" t="s">
        <v>5906</v>
      </c>
      <c r="J904" s="2" t="s">
        <v>5911</v>
      </c>
      <c r="K904" s="2" t="s">
        <v>9329</v>
      </c>
    </row>
    <row r="905">
      <c r="A905" s="2" t="s">
        <v>5484</v>
      </c>
      <c r="B905" s="2" t="s">
        <v>9330</v>
      </c>
      <c r="C905" s="2">
        <v>4.511019873E9</v>
      </c>
      <c r="D905" s="2" t="s">
        <v>9331</v>
      </c>
      <c r="E905" s="2">
        <v>58234.0</v>
      </c>
      <c r="F905" s="2">
        <v>89.0</v>
      </c>
      <c r="G905" s="2">
        <v>6017.0</v>
      </c>
      <c r="H905" s="2" t="s">
        <v>5905</v>
      </c>
      <c r="I905" s="2" t="s">
        <v>5905</v>
      </c>
      <c r="K905" s="2" t="s">
        <v>9332</v>
      </c>
    </row>
    <row r="906">
      <c r="A906" s="2" t="s">
        <v>5484</v>
      </c>
      <c r="B906" s="2" t="s">
        <v>9333</v>
      </c>
      <c r="C906" s="2">
        <v>1.8035874516E10</v>
      </c>
      <c r="D906" s="2" t="s">
        <v>9334</v>
      </c>
      <c r="E906" s="2">
        <v>258918.0</v>
      </c>
      <c r="F906" s="2">
        <v>65.0</v>
      </c>
      <c r="G906" s="2">
        <v>9182.0</v>
      </c>
      <c r="H906" s="2" t="s">
        <v>5906</v>
      </c>
      <c r="I906" s="2" t="s">
        <v>5905</v>
      </c>
      <c r="J906" s="2" t="s">
        <v>5484</v>
      </c>
      <c r="K906" s="2" t="s">
        <v>9335</v>
      </c>
      <c r="L906" s="10" t="s">
        <v>9336</v>
      </c>
    </row>
    <row r="907">
      <c r="A907" s="2" t="s">
        <v>5484</v>
      </c>
      <c r="B907" s="2" t="s">
        <v>9337</v>
      </c>
      <c r="C907" s="2">
        <v>2.2225634604E10</v>
      </c>
      <c r="D907" s="2" t="s">
        <v>9338</v>
      </c>
      <c r="E907" s="2">
        <v>789089.0</v>
      </c>
      <c r="F907" s="2">
        <v>829.0</v>
      </c>
      <c r="G907" s="2">
        <v>858.0</v>
      </c>
      <c r="H907" s="2" t="s">
        <v>5906</v>
      </c>
      <c r="I907" s="2" t="s">
        <v>5905</v>
      </c>
      <c r="J907" s="2" t="s">
        <v>6472</v>
      </c>
      <c r="K907" s="2" t="s">
        <v>9339</v>
      </c>
      <c r="L907" s="10" t="s">
        <v>9340</v>
      </c>
    </row>
    <row r="908">
      <c r="A908" s="2" t="s">
        <v>5484</v>
      </c>
      <c r="B908" s="2" t="s">
        <v>9341</v>
      </c>
      <c r="C908" s="2">
        <v>2.1303510072E10</v>
      </c>
      <c r="D908" s="2" t="s">
        <v>9342</v>
      </c>
      <c r="E908" s="2">
        <v>19889.0</v>
      </c>
      <c r="F908" s="2">
        <v>664.0</v>
      </c>
      <c r="G908" s="2">
        <v>466.0</v>
      </c>
      <c r="H908" s="2" t="s">
        <v>5905</v>
      </c>
      <c r="I908" s="2" t="s">
        <v>5906</v>
      </c>
      <c r="J908" s="2" t="s">
        <v>5484</v>
      </c>
      <c r="K908" s="2" t="s">
        <v>9343</v>
      </c>
      <c r="L908" s="10" t="s">
        <v>9344</v>
      </c>
    </row>
    <row r="909">
      <c r="A909" s="2" t="s">
        <v>5484</v>
      </c>
      <c r="B909" s="2" t="s">
        <v>9345</v>
      </c>
      <c r="C909" s="2">
        <v>5.1855797264E10</v>
      </c>
      <c r="D909" s="2" t="s">
        <v>9346</v>
      </c>
      <c r="E909" s="2">
        <v>25803.0</v>
      </c>
      <c r="F909" s="2">
        <v>1388.0</v>
      </c>
      <c r="G909" s="2">
        <v>202.0</v>
      </c>
      <c r="H909" s="2" t="s">
        <v>5905</v>
      </c>
      <c r="I909" s="2" t="s">
        <v>5906</v>
      </c>
      <c r="J909" s="2" t="s">
        <v>5484</v>
      </c>
      <c r="K909" s="12" t="s">
        <v>9347</v>
      </c>
      <c r="L909" s="10" t="s">
        <v>9348</v>
      </c>
    </row>
    <row r="910">
      <c r="A910" s="2" t="s">
        <v>5484</v>
      </c>
      <c r="B910" s="2" t="s">
        <v>9349</v>
      </c>
      <c r="C910" s="2">
        <v>7.563668951E9</v>
      </c>
      <c r="D910" s="2" t="s">
        <v>9350</v>
      </c>
      <c r="E910" s="2">
        <v>17041.0</v>
      </c>
      <c r="F910" s="2">
        <v>62.0</v>
      </c>
      <c r="G910" s="2">
        <v>621.0</v>
      </c>
      <c r="H910" s="2" t="s">
        <v>5905</v>
      </c>
      <c r="I910" s="2" t="s">
        <v>5905</v>
      </c>
      <c r="K910" s="2" t="s">
        <v>9351</v>
      </c>
    </row>
    <row r="911">
      <c r="A911" s="2" t="s">
        <v>5484</v>
      </c>
      <c r="B911" s="2" t="s">
        <v>9352</v>
      </c>
      <c r="C911" s="2">
        <v>1.638467716E9</v>
      </c>
      <c r="D911" s="2" t="s">
        <v>9353</v>
      </c>
      <c r="E911" s="2">
        <v>662208.0</v>
      </c>
      <c r="F911" s="2">
        <v>1306.0</v>
      </c>
      <c r="G911" s="2">
        <v>1976.0</v>
      </c>
      <c r="H911" s="2" t="s">
        <v>5906</v>
      </c>
      <c r="I911" s="2" t="s">
        <v>5905</v>
      </c>
      <c r="J911" s="2" t="s">
        <v>5551</v>
      </c>
      <c r="K911" s="2" t="s">
        <v>9354</v>
      </c>
      <c r="L911" s="10" t="s">
        <v>9355</v>
      </c>
    </row>
    <row r="912">
      <c r="A912" s="2" t="s">
        <v>5484</v>
      </c>
      <c r="B912" s="2" t="s">
        <v>9356</v>
      </c>
      <c r="C912" s="2">
        <v>4.3719737511E10</v>
      </c>
      <c r="D912" s="2" t="s">
        <v>9357</v>
      </c>
      <c r="E912" s="2">
        <v>193882.0</v>
      </c>
      <c r="F912" s="2">
        <v>4.0</v>
      </c>
      <c r="G912" s="2">
        <v>3322.0</v>
      </c>
      <c r="H912" s="2" t="s">
        <v>5905</v>
      </c>
      <c r="I912" s="2" t="s">
        <v>5906</v>
      </c>
      <c r="J912" s="2" t="s">
        <v>5907</v>
      </c>
      <c r="K912" s="2" t="s">
        <v>9358</v>
      </c>
      <c r="L912" s="10" t="s">
        <v>9359</v>
      </c>
    </row>
    <row r="913">
      <c r="A913" s="2" t="s">
        <v>5484</v>
      </c>
      <c r="B913" s="2" t="s">
        <v>9360</v>
      </c>
      <c r="C913" s="2">
        <v>6.5054760455E10</v>
      </c>
      <c r="D913" s="2" t="s">
        <v>9361</v>
      </c>
      <c r="E913" s="2">
        <v>14544.0</v>
      </c>
      <c r="F913" s="2">
        <v>5.0</v>
      </c>
      <c r="G913" s="2">
        <v>705.0</v>
      </c>
      <c r="H913" s="2" t="s">
        <v>5905</v>
      </c>
      <c r="I913" s="2" t="s">
        <v>5905</v>
      </c>
      <c r="J913" s="2" t="s">
        <v>5959</v>
      </c>
      <c r="K913" s="2" t="s">
        <v>9362</v>
      </c>
      <c r="L913" s="10" t="s">
        <v>9363</v>
      </c>
    </row>
    <row r="914">
      <c r="A914" s="2" t="s">
        <v>5484</v>
      </c>
      <c r="B914" s="2" t="s">
        <v>9364</v>
      </c>
      <c r="C914" s="2">
        <v>6.2100071333E10</v>
      </c>
      <c r="D914" s="2" t="s">
        <v>9365</v>
      </c>
      <c r="E914" s="2">
        <v>79555.0</v>
      </c>
      <c r="F914" s="2">
        <v>46.0</v>
      </c>
      <c r="G914" s="2">
        <v>246.0</v>
      </c>
      <c r="H914" s="2" t="s">
        <v>5905</v>
      </c>
      <c r="I914" s="2" t="s">
        <v>5905</v>
      </c>
      <c r="J914" s="2" t="s">
        <v>5959</v>
      </c>
      <c r="K914" s="2" t="s">
        <v>9366</v>
      </c>
    </row>
    <row r="915">
      <c r="A915" s="2" t="s">
        <v>5388</v>
      </c>
      <c r="B915" s="2" t="s">
        <v>9367</v>
      </c>
      <c r="C915" s="2">
        <v>4.4190232604E10</v>
      </c>
      <c r="D915" s="2" t="s">
        <v>5388</v>
      </c>
      <c r="E915" s="2">
        <v>12724.0</v>
      </c>
      <c r="F915" s="2">
        <v>53.0</v>
      </c>
      <c r="G915" s="2">
        <v>542.0</v>
      </c>
      <c r="H915" s="2" t="s">
        <v>5906</v>
      </c>
      <c r="I915" s="2" t="s">
        <v>5906</v>
      </c>
      <c r="J915" s="2" t="s">
        <v>5518</v>
      </c>
      <c r="K915" s="2" t="s">
        <v>9368</v>
      </c>
      <c r="L915" s="10" t="s">
        <v>9369</v>
      </c>
    </row>
    <row r="916">
      <c r="A916" s="2" t="s">
        <v>5388</v>
      </c>
      <c r="B916" s="2" t="s">
        <v>9370</v>
      </c>
      <c r="C916" s="2">
        <v>2.5066031E7</v>
      </c>
      <c r="D916" s="2" t="s">
        <v>9371</v>
      </c>
      <c r="E916" s="2">
        <v>63506.0</v>
      </c>
      <c r="F916" s="2">
        <v>1832.0</v>
      </c>
      <c r="G916" s="2">
        <v>2016.0</v>
      </c>
      <c r="H916" s="2" t="s">
        <v>5906</v>
      </c>
      <c r="I916" s="2" t="s">
        <v>5905</v>
      </c>
      <c r="J916" s="2" t="s">
        <v>5993</v>
      </c>
      <c r="K916" s="2" t="s">
        <v>9372</v>
      </c>
      <c r="L916" s="10" t="s">
        <v>9373</v>
      </c>
    </row>
    <row r="917">
      <c r="A917" s="2" t="s">
        <v>5408</v>
      </c>
      <c r="B917" s="2" t="s">
        <v>9374</v>
      </c>
      <c r="C917" s="2">
        <v>3.210472814E9</v>
      </c>
      <c r="D917" s="2" t="s">
        <v>5408</v>
      </c>
      <c r="E917" s="2">
        <v>49714.0</v>
      </c>
      <c r="F917" s="2">
        <v>44.0</v>
      </c>
      <c r="G917" s="2">
        <v>466.0</v>
      </c>
      <c r="H917" s="2" t="s">
        <v>5906</v>
      </c>
      <c r="I917" s="2" t="s">
        <v>5906</v>
      </c>
      <c r="K917" s="2" t="s">
        <v>9375</v>
      </c>
      <c r="L917" s="10" t="s">
        <v>9376</v>
      </c>
    </row>
    <row r="918">
      <c r="A918" s="2" t="s">
        <v>5278</v>
      </c>
      <c r="B918" s="2" t="s">
        <v>9377</v>
      </c>
      <c r="C918" s="2">
        <v>2.49087269E8</v>
      </c>
      <c r="D918" s="2" t="s">
        <v>9378</v>
      </c>
      <c r="E918" s="2">
        <v>2910545.0</v>
      </c>
      <c r="F918" s="2">
        <v>278.0</v>
      </c>
      <c r="G918" s="2">
        <v>32539.0</v>
      </c>
      <c r="H918" s="2" t="s">
        <v>5906</v>
      </c>
      <c r="I918" s="2" t="s">
        <v>5906</v>
      </c>
      <c r="J918" s="2" t="s">
        <v>5517</v>
      </c>
      <c r="K918" s="2" t="s">
        <v>9379</v>
      </c>
      <c r="L918" s="10" t="s">
        <v>9380</v>
      </c>
    </row>
    <row r="919">
      <c r="A919" s="2" t="s">
        <v>5278</v>
      </c>
      <c r="B919" s="2" t="s">
        <v>9381</v>
      </c>
      <c r="C919" s="2">
        <v>7.148150941E10</v>
      </c>
      <c r="D919" s="2" t="s">
        <v>9382</v>
      </c>
      <c r="E919" s="2">
        <v>32360.0</v>
      </c>
      <c r="F919" s="2">
        <v>7.0</v>
      </c>
      <c r="G919" s="2">
        <v>4441.0</v>
      </c>
      <c r="H919" s="2" t="s">
        <v>5905</v>
      </c>
      <c r="I919" s="2" t="s">
        <v>5906</v>
      </c>
      <c r="J919" s="2" t="s">
        <v>5907</v>
      </c>
      <c r="K919" s="2" t="s">
        <v>9383</v>
      </c>
      <c r="L919" s="10" t="s">
        <v>9384</v>
      </c>
    </row>
    <row r="920">
      <c r="A920" s="2" t="s">
        <v>5278</v>
      </c>
      <c r="B920" s="2" t="s">
        <v>9385</v>
      </c>
      <c r="C920" s="2">
        <v>2.295410513E9</v>
      </c>
      <c r="D920" s="2" t="s">
        <v>9386</v>
      </c>
      <c r="E920" s="2">
        <v>69192.0</v>
      </c>
      <c r="F920" s="2">
        <v>311.0</v>
      </c>
      <c r="G920" s="2">
        <v>6944.0</v>
      </c>
      <c r="H920" s="2" t="s">
        <v>5906</v>
      </c>
      <c r="I920" s="2" t="s">
        <v>5906</v>
      </c>
      <c r="J920" s="2" t="s">
        <v>6002</v>
      </c>
      <c r="K920" s="2" t="s">
        <v>9387</v>
      </c>
      <c r="L920" s="10" t="s">
        <v>9388</v>
      </c>
    </row>
    <row r="921">
      <c r="A921" s="2" t="s">
        <v>5278</v>
      </c>
      <c r="B921" s="2" t="s">
        <v>9389</v>
      </c>
      <c r="C921" s="2">
        <v>3.7289335756E10</v>
      </c>
      <c r="D921" s="2" t="s">
        <v>9390</v>
      </c>
      <c r="E921" s="2">
        <v>18586.0</v>
      </c>
      <c r="F921" s="2">
        <v>3.0</v>
      </c>
      <c r="G921" s="2">
        <v>875.0</v>
      </c>
      <c r="H921" s="2" t="s">
        <v>5906</v>
      </c>
      <c r="I921" s="2" t="s">
        <v>5906</v>
      </c>
      <c r="J921" s="2" t="s">
        <v>5517</v>
      </c>
      <c r="K921" s="2" t="s">
        <v>9391</v>
      </c>
      <c r="L921" s="10" t="s">
        <v>9392</v>
      </c>
    </row>
    <row r="922">
      <c r="A922" s="2" t="s">
        <v>5275</v>
      </c>
      <c r="B922" s="2" t="s">
        <v>9393</v>
      </c>
      <c r="C922" s="2">
        <v>7.061672755E9</v>
      </c>
      <c r="D922" s="2" t="s">
        <v>9394</v>
      </c>
      <c r="E922" s="2">
        <v>79753.0</v>
      </c>
      <c r="F922" s="2">
        <v>1085.0</v>
      </c>
      <c r="G922" s="2">
        <v>2737.0</v>
      </c>
      <c r="H922" s="2" t="s">
        <v>5906</v>
      </c>
      <c r="I922" s="2" t="s">
        <v>5906</v>
      </c>
      <c r="J922" s="2" t="s">
        <v>5907</v>
      </c>
      <c r="K922" s="2" t="s">
        <v>9395</v>
      </c>
      <c r="L922" s="10" t="s">
        <v>9396</v>
      </c>
    </row>
    <row r="923">
      <c r="A923" s="2" t="s">
        <v>5275</v>
      </c>
      <c r="B923" s="2" t="s">
        <v>9397</v>
      </c>
      <c r="C923" s="2">
        <v>4.03821594E8</v>
      </c>
      <c r="D923" s="2" t="s">
        <v>5275</v>
      </c>
      <c r="E923" s="2">
        <v>905945.0</v>
      </c>
      <c r="F923" s="2">
        <v>99.0</v>
      </c>
      <c r="G923" s="2">
        <v>17806.0</v>
      </c>
      <c r="H923" s="2" t="s">
        <v>5906</v>
      </c>
      <c r="I923" s="2" t="s">
        <v>5906</v>
      </c>
      <c r="J923" s="2" t="s">
        <v>5928</v>
      </c>
      <c r="K923" s="2" t="s">
        <v>9398</v>
      </c>
      <c r="L923" s="10" t="s">
        <v>9399</v>
      </c>
    </row>
    <row r="924">
      <c r="A924" s="2" t="s">
        <v>5275</v>
      </c>
      <c r="B924" s="2" t="s">
        <v>9400</v>
      </c>
      <c r="C924" s="2">
        <v>6.025810757E9</v>
      </c>
      <c r="D924" s="2" t="s">
        <v>9401</v>
      </c>
      <c r="E924" s="2">
        <v>114003.0</v>
      </c>
      <c r="F924" s="2">
        <v>541.0</v>
      </c>
      <c r="G924" s="2">
        <v>5001.0</v>
      </c>
      <c r="H924" s="2" t="s">
        <v>5906</v>
      </c>
      <c r="I924" s="2" t="s">
        <v>5906</v>
      </c>
      <c r="J924" s="2" t="s">
        <v>5928</v>
      </c>
      <c r="K924" s="2" t="s">
        <v>9402</v>
      </c>
      <c r="L924" s="10" t="s">
        <v>9403</v>
      </c>
    </row>
    <row r="925">
      <c r="A925" s="2" t="s">
        <v>5275</v>
      </c>
      <c r="B925" s="2" t="s">
        <v>9404</v>
      </c>
      <c r="C925" s="2">
        <v>2.006601288E9</v>
      </c>
      <c r="D925" s="2" t="s">
        <v>9405</v>
      </c>
      <c r="E925" s="2">
        <v>84964.0</v>
      </c>
      <c r="F925" s="2">
        <v>589.0</v>
      </c>
      <c r="G925" s="2">
        <v>2665.0</v>
      </c>
      <c r="H925" s="2" t="s">
        <v>5906</v>
      </c>
      <c r="I925" s="2" t="s">
        <v>5906</v>
      </c>
      <c r="J925" s="2" t="s">
        <v>5911</v>
      </c>
      <c r="K925" s="2" t="s">
        <v>9406</v>
      </c>
      <c r="L925" s="10" t="s">
        <v>9407</v>
      </c>
    </row>
    <row r="926">
      <c r="A926" s="2" t="s">
        <v>5275</v>
      </c>
      <c r="B926" s="2" t="s">
        <v>9408</v>
      </c>
      <c r="C926" s="2">
        <v>4.4552920617E10</v>
      </c>
      <c r="D926" s="2" t="s">
        <v>9409</v>
      </c>
      <c r="E926" s="2">
        <v>29489.0</v>
      </c>
      <c r="F926" s="2">
        <v>158.0</v>
      </c>
      <c r="G926" s="2">
        <v>1738.0</v>
      </c>
      <c r="H926" s="2" t="s">
        <v>5906</v>
      </c>
      <c r="I926" s="2" t="s">
        <v>5906</v>
      </c>
      <c r="J926" s="2" t="s">
        <v>5911</v>
      </c>
      <c r="K926" s="2" t="s">
        <v>9410</v>
      </c>
      <c r="L926" s="10" t="s">
        <v>9411</v>
      </c>
    </row>
    <row r="927">
      <c r="A927" s="2" t="s">
        <v>5275</v>
      </c>
      <c r="B927" s="2" t="s">
        <v>9412</v>
      </c>
      <c r="C927" s="2">
        <v>5.573242737E9</v>
      </c>
      <c r="D927" s="2" t="s">
        <v>9413</v>
      </c>
      <c r="E927" s="2">
        <v>43778.0</v>
      </c>
      <c r="F927" s="2">
        <v>42.0</v>
      </c>
      <c r="G927" s="2">
        <v>596.0</v>
      </c>
      <c r="H927" s="2" t="s">
        <v>5906</v>
      </c>
      <c r="I927" s="2" t="s">
        <v>5906</v>
      </c>
      <c r="J927" s="2" t="s">
        <v>7689</v>
      </c>
      <c r="K927" s="2" t="s">
        <v>9414</v>
      </c>
      <c r="L927" s="10" t="s">
        <v>9415</v>
      </c>
    </row>
    <row r="928">
      <c r="A928" s="2" t="s">
        <v>5274</v>
      </c>
      <c r="B928" s="2" t="s">
        <v>9416</v>
      </c>
      <c r="C928" s="2">
        <v>5.497821182E9</v>
      </c>
      <c r="D928" s="2" t="s">
        <v>9417</v>
      </c>
      <c r="E928" s="2">
        <v>169387.0</v>
      </c>
      <c r="F928" s="2">
        <v>135.0</v>
      </c>
      <c r="G928" s="2">
        <v>5942.0</v>
      </c>
      <c r="H928" s="2" t="s">
        <v>5906</v>
      </c>
      <c r="I928" s="2" t="s">
        <v>5906</v>
      </c>
      <c r="J928" s="2" t="s">
        <v>5911</v>
      </c>
      <c r="K928" s="2" t="s">
        <v>9418</v>
      </c>
      <c r="L928" s="10" t="s">
        <v>9419</v>
      </c>
    </row>
    <row r="929">
      <c r="A929" s="2" t="s">
        <v>5274</v>
      </c>
      <c r="B929" s="2" t="s">
        <v>9420</v>
      </c>
      <c r="C929" s="2">
        <v>4.4777975515E10</v>
      </c>
      <c r="D929" s="2" t="s">
        <v>9421</v>
      </c>
      <c r="E929" s="2">
        <v>138918.0</v>
      </c>
      <c r="F929" s="2">
        <v>3945.0</v>
      </c>
      <c r="G929" s="2">
        <v>1089.0</v>
      </c>
      <c r="H929" s="2" t="s">
        <v>5905</v>
      </c>
      <c r="I929" s="2" t="s">
        <v>5906</v>
      </c>
      <c r="J929" s="2" t="s">
        <v>7140</v>
      </c>
      <c r="K929" s="2" t="s">
        <v>9422</v>
      </c>
      <c r="L929" s="10" t="s">
        <v>9423</v>
      </c>
    </row>
    <row r="930">
      <c r="A930" s="2" t="s">
        <v>5274</v>
      </c>
      <c r="B930" s="2" t="s">
        <v>9424</v>
      </c>
      <c r="C930" s="2">
        <v>6.4145201727E10</v>
      </c>
      <c r="D930" s="2" t="s">
        <v>9425</v>
      </c>
      <c r="E930" s="2">
        <v>18421.0</v>
      </c>
      <c r="F930" s="2">
        <v>186.0</v>
      </c>
      <c r="G930" s="2">
        <v>55.0</v>
      </c>
      <c r="H930" s="2" t="s">
        <v>5905</v>
      </c>
      <c r="I930" s="2" t="s">
        <v>5905</v>
      </c>
      <c r="K930" s="2" t="s">
        <v>9426</v>
      </c>
    </row>
    <row r="931">
      <c r="A931" s="2" t="s">
        <v>5274</v>
      </c>
      <c r="B931" s="2" t="s">
        <v>9427</v>
      </c>
      <c r="C931" s="2">
        <v>3.318122265E9</v>
      </c>
      <c r="D931" s="2" t="s">
        <v>9428</v>
      </c>
      <c r="E931" s="2">
        <v>70853.0</v>
      </c>
      <c r="F931" s="2">
        <v>1300.0</v>
      </c>
      <c r="G931" s="2">
        <v>290.0</v>
      </c>
      <c r="H931" s="2" t="s">
        <v>5906</v>
      </c>
      <c r="I931" s="2" t="s">
        <v>5906</v>
      </c>
      <c r="J931" s="2" t="s">
        <v>6002</v>
      </c>
      <c r="K931" s="2" t="s">
        <v>9429</v>
      </c>
      <c r="L931" s="10" t="s">
        <v>9430</v>
      </c>
    </row>
    <row r="932">
      <c r="A932" s="2" t="s">
        <v>5274</v>
      </c>
      <c r="B932" s="2" t="s">
        <v>9431</v>
      </c>
      <c r="C932" s="2">
        <v>1.9763814135E10</v>
      </c>
      <c r="D932" s="2" t="s">
        <v>9432</v>
      </c>
      <c r="E932" s="2">
        <v>22897.0</v>
      </c>
      <c r="F932" s="2">
        <v>4063.0</v>
      </c>
      <c r="G932" s="2">
        <v>1206.0</v>
      </c>
      <c r="H932" s="2" t="s">
        <v>5905</v>
      </c>
      <c r="I932" s="2" t="s">
        <v>5906</v>
      </c>
      <c r="J932" s="2" t="s">
        <v>9433</v>
      </c>
      <c r="K932" s="2" t="s">
        <v>9434</v>
      </c>
    </row>
    <row r="933">
      <c r="A933" s="2" t="s">
        <v>5274</v>
      </c>
      <c r="B933" s="2" t="s">
        <v>9435</v>
      </c>
      <c r="C933" s="2">
        <v>7.755669607E9</v>
      </c>
      <c r="D933" s="2" t="s">
        <v>9436</v>
      </c>
      <c r="E933" s="2">
        <v>10809.0</v>
      </c>
      <c r="F933" s="2">
        <v>638.0</v>
      </c>
      <c r="G933" s="2">
        <v>162.0</v>
      </c>
      <c r="H933" s="2" t="s">
        <v>5905</v>
      </c>
      <c r="I933" s="2" t="s">
        <v>5906</v>
      </c>
      <c r="J933" s="2" t="s">
        <v>5968</v>
      </c>
      <c r="K933" s="2" t="s">
        <v>9437</v>
      </c>
      <c r="L933" s="10" t="s">
        <v>9438</v>
      </c>
    </row>
    <row r="934">
      <c r="A934" s="2" t="s">
        <v>5274</v>
      </c>
      <c r="B934" s="2" t="s">
        <v>9439</v>
      </c>
      <c r="C934" s="2">
        <v>5.3419702537E10</v>
      </c>
      <c r="D934" s="2" t="s">
        <v>9440</v>
      </c>
      <c r="E934" s="2">
        <v>76558.0</v>
      </c>
      <c r="F934" s="2">
        <v>106.0</v>
      </c>
      <c r="G934" s="2">
        <v>2886.0</v>
      </c>
      <c r="H934" s="2" t="s">
        <v>5906</v>
      </c>
      <c r="I934" s="2" t="s">
        <v>5906</v>
      </c>
      <c r="J934" s="2" t="s">
        <v>5907</v>
      </c>
      <c r="K934" s="2" t="s">
        <v>9441</v>
      </c>
      <c r="L934" s="10" t="s">
        <v>9442</v>
      </c>
    </row>
    <row r="935">
      <c r="A935" s="2" t="s">
        <v>5274</v>
      </c>
      <c r="B935" s="2" t="s">
        <v>9443</v>
      </c>
      <c r="C935" s="2">
        <v>4.768212E7</v>
      </c>
      <c r="D935" s="2" t="s">
        <v>5274</v>
      </c>
      <c r="E935" s="2">
        <v>2522279.0</v>
      </c>
      <c r="F935" s="2">
        <v>1818.0</v>
      </c>
      <c r="G935" s="2">
        <v>18556.0</v>
      </c>
      <c r="H935" s="2" t="s">
        <v>5906</v>
      </c>
      <c r="I935" s="2" t="s">
        <v>5905</v>
      </c>
      <c r="J935" s="2" t="s">
        <v>5911</v>
      </c>
      <c r="K935" s="2" t="s">
        <v>9444</v>
      </c>
      <c r="L935" s="10" t="s">
        <v>9445</v>
      </c>
    </row>
    <row r="936">
      <c r="A936" s="2" t="s">
        <v>5274</v>
      </c>
      <c r="B936" s="10" t="s">
        <v>9446</v>
      </c>
      <c r="C936" s="2">
        <v>4.0601996894E10</v>
      </c>
      <c r="D936" s="12" t="s">
        <v>9447</v>
      </c>
      <c r="E936" s="2">
        <v>73162.0</v>
      </c>
      <c r="F936" s="2">
        <v>51.0</v>
      </c>
      <c r="G936" s="2">
        <v>1445.0</v>
      </c>
      <c r="H936" s="2" t="s">
        <v>5905</v>
      </c>
      <c r="I936" s="2" t="s">
        <v>5906</v>
      </c>
      <c r="J936" s="2" t="s">
        <v>7753</v>
      </c>
      <c r="K936" s="12" t="s">
        <v>9448</v>
      </c>
      <c r="L936" s="10" t="s">
        <v>9449</v>
      </c>
    </row>
    <row r="937">
      <c r="A937" s="2" t="s">
        <v>5274</v>
      </c>
      <c r="B937" s="2" t="s">
        <v>9450</v>
      </c>
      <c r="C937" s="2">
        <v>5.1984385582E10</v>
      </c>
      <c r="D937" s="2" t="s">
        <v>9451</v>
      </c>
      <c r="E937" s="2">
        <v>22073.0</v>
      </c>
      <c r="F937" s="2">
        <v>9.0</v>
      </c>
      <c r="G937" s="2">
        <v>504.0</v>
      </c>
      <c r="H937" s="2" t="s">
        <v>5905</v>
      </c>
      <c r="I937" s="2" t="s">
        <v>5905</v>
      </c>
      <c r="J937" s="2" t="s">
        <v>5561</v>
      </c>
      <c r="K937" s="12" t="s">
        <v>9452</v>
      </c>
    </row>
    <row r="938">
      <c r="A938" s="2" t="s">
        <v>5274</v>
      </c>
      <c r="B938" s="2" t="s">
        <v>9453</v>
      </c>
      <c r="C938" s="2">
        <v>2.0132715E7</v>
      </c>
      <c r="D938" s="2" t="s">
        <v>9454</v>
      </c>
      <c r="E938" s="2">
        <v>478662.0</v>
      </c>
      <c r="F938" s="2">
        <v>800.0</v>
      </c>
      <c r="G938" s="2">
        <v>10748.0</v>
      </c>
      <c r="H938" s="2" t="s">
        <v>5906</v>
      </c>
      <c r="I938" s="2" t="s">
        <v>5905</v>
      </c>
      <c r="J938" s="2" t="s">
        <v>5911</v>
      </c>
      <c r="K938" s="2" t="s">
        <v>9455</v>
      </c>
      <c r="L938" s="10" t="s">
        <v>9456</v>
      </c>
    </row>
    <row r="939">
      <c r="A939" s="2" t="s">
        <v>5274</v>
      </c>
      <c r="B939" s="2" t="s">
        <v>9457</v>
      </c>
      <c r="C939" s="2">
        <v>5.8387102854E10</v>
      </c>
      <c r="D939" s="2" t="s">
        <v>9458</v>
      </c>
      <c r="E939" s="2">
        <v>77716.0</v>
      </c>
      <c r="F939" s="2">
        <v>0.0</v>
      </c>
      <c r="G939" s="2">
        <v>165.0</v>
      </c>
      <c r="H939" s="2" t="s">
        <v>5905</v>
      </c>
      <c r="I939" s="2" t="s">
        <v>5905</v>
      </c>
      <c r="J939" s="2" t="s">
        <v>5928</v>
      </c>
      <c r="K939" s="2" t="s">
        <v>9459</v>
      </c>
    </row>
    <row r="940">
      <c r="A940" s="2" t="s">
        <v>5427</v>
      </c>
      <c r="B940" s="2" t="s">
        <v>9460</v>
      </c>
      <c r="C940" s="2">
        <v>6.3870292789E10</v>
      </c>
      <c r="D940" s="2" t="s">
        <v>9461</v>
      </c>
      <c r="E940" s="2">
        <v>18429.0</v>
      </c>
      <c r="F940" s="2">
        <v>77.0</v>
      </c>
      <c r="G940" s="2">
        <v>446.0</v>
      </c>
      <c r="H940" s="2" t="s">
        <v>5905</v>
      </c>
      <c r="I940" s="2" t="s">
        <v>5905</v>
      </c>
      <c r="J940" s="2" t="s">
        <v>5480</v>
      </c>
      <c r="K940" s="2" t="s">
        <v>9462</v>
      </c>
      <c r="L940" s="10" t="s">
        <v>9463</v>
      </c>
    </row>
    <row r="941">
      <c r="A941" s="2" t="s">
        <v>5427</v>
      </c>
      <c r="B941" s="2" t="s">
        <v>9464</v>
      </c>
      <c r="C941" s="2">
        <v>4.98285517E8</v>
      </c>
      <c r="D941" s="2" t="s">
        <v>9465</v>
      </c>
      <c r="E941" s="2">
        <v>3190868.0</v>
      </c>
      <c r="F941" s="2">
        <v>977.0</v>
      </c>
      <c r="G941" s="2">
        <v>27464.0</v>
      </c>
      <c r="H941" s="2" t="s">
        <v>5906</v>
      </c>
      <c r="I941" s="2" t="s">
        <v>5906</v>
      </c>
      <c r="J941" s="2" t="s">
        <v>5480</v>
      </c>
      <c r="K941" s="2" t="s">
        <v>9466</v>
      </c>
      <c r="L941" s="10" t="s">
        <v>9467</v>
      </c>
    </row>
    <row r="942">
      <c r="A942" s="2" t="s">
        <v>5427</v>
      </c>
      <c r="B942" s="2" t="s">
        <v>9468</v>
      </c>
      <c r="C942" s="2">
        <v>2.901713823E9</v>
      </c>
      <c r="D942" s="2" t="s">
        <v>9469</v>
      </c>
      <c r="E942" s="2">
        <v>24616.0</v>
      </c>
      <c r="F942" s="2">
        <v>1118.0</v>
      </c>
      <c r="G942" s="2">
        <v>1438.0</v>
      </c>
      <c r="H942" s="2" t="s">
        <v>5905</v>
      </c>
      <c r="I942" s="2" t="s">
        <v>5905</v>
      </c>
      <c r="J942" s="2" t="s">
        <v>9470</v>
      </c>
      <c r="K942" s="2" t="s">
        <v>9471</v>
      </c>
      <c r="L942" s="10" t="s">
        <v>9472</v>
      </c>
    </row>
    <row r="943">
      <c r="A943" s="2" t="s">
        <v>5552</v>
      </c>
      <c r="B943" s="2" t="s">
        <v>9473</v>
      </c>
      <c r="C943" s="2">
        <v>7.2674920067E10</v>
      </c>
      <c r="D943" s="2" t="s">
        <v>9474</v>
      </c>
      <c r="E943" s="2">
        <v>200668.0</v>
      </c>
      <c r="F943" s="2">
        <v>0.0</v>
      </c>
      <c r="G943" s="2">
        <v>654.0</v>
      </c>
      <c r="H943" s="2" t="s">
        <v>5905</v>
      </c>
      <c r="I943" s="2" t="s">
        <v>5905</v>
      </c>
      <c r="J943" s="2" t="s">
        <v>5561</v>
      </c>
      <c r="K943" s="2" t="s">
        <v>9475</v>
      </c>
    </row>
    <row r="944">
      <c r="A944" s="2" t="s">
        <v>5552</v>
      </c>
      <c r="B944" s="2" t="s">
        <v>9476</v>
      </c>
      <c r="C944" s="2">
        <v>6.3931009973E10</v>
      </c>
      <c r="D944" s="2" t="s">
        <v>9477</v>
      </c>
      <c r="E944" s="2">
        <v>13357.0</v>
      </c>
      <c r="F944" s="2">
        <v>0.0</v>
      </c>
      <c r="G944" s="2">
        <v>110.0</v>
      </c>
      <c r="H944" s="2" t="s">
        <v>5905</v>
      </c>
      <c r="I944" s="2" t="s">
        <v>5905</v>
      </c>
      <c r="J944" s="2" t="s">
        <v>5959</v>
      </c>
      <c r="K944" s="2" t="s">
        <v>9478</v>
      </c>
      <c r="L944" s="10" t="s">
        <v>9479</v>
      </c>
    </row>
    <row r="945">
      <c r="A945" s="2" t="s">
        <v>5552</v>
      </c>
      <c r="B945" s="2" t="s">
        <v>9480</v>
      </c>
      <c r="C945" s="2">
        <v>4.236382321E9</v>
      </c>
      <c r="D945" s="2" t="s">
        <v>9481</v>
      </c>
      <c r="E945" s="2">
        <v>52565.0</v>
      </c>
      <c r="F945" s="2">
        <v>961.0</v>
      </c>
      <c r="G945" s="2">
        <v>2501.0</v>
      </c>
      <c r="H945" s="2" t="s">
        <v>5905</v>
      </c>
      <c r="I945" s="2" t="s">
        <v>5906</v>
      </c>
      <c r="J945" s="2" t="s">
        <v>9482</v>
      </c>
      <c r="K945" s="2" t="s">
        <v>9483</v>
      </c>
    </row>
    <row r="946">
      <c r="A946" s="2" t="s">
        <v>5339</v>
      </c>
      <c r="B946" s="2" t="s">
        <v>9484</v>
      </c>
      <c r="C946" s="2">
        <v>5.37649528E8</v>
      </c>
      <c r="D946" s="2" t="s">
        <v>9485</v>
      </c>
      <c r="E946" s="2">
        <v>34750.0</v>
      </c>
      <c r="F946" s="2">
        <v>1186.0</v>
      </c>
      <c r="G946" s="2">
        <v>3298.0</v>
      </c>
      <c r="H946" s="2" t="s">
        <v>5905</v>
      </c>
      <c r="I946" s="2" t="s">
        <v>5906</v>
      </c>
      <c r="K946" s="2" t="s">
        <v>9486</v>
      </c>
      <c r="L946" s="10" t="s">
        <v>9487</v>
      </c>
    </row>
    <row r="947">
      <c r="A947" s="2" t="s">
        <v>5339</v>
      </c>
      <c r="B947" s="2" t="s">
        <v>9488</v>
      </c>
      <c r="C947" s="2">
        <v>1.0332849587E10</v>
      </c>
      <c r="D947" s="2" t="s">
        <v>9489</v>
      </c>
      <c r="E947" s="2">
        <v>19242.0</v>
      </c>
      <c r="F947" s="2">
        <v>346.0</v>
      </c>
      <c r="G947" s="2">
        <v>1976.0</v>
      </c>
      <c r="H947" s="2" t="s">
        <v>5906</v>
      </c>
      <c r="I947" s="2" t="s">
        <v>5906</v>
      </c>
      <c r="J947" s="2" t="s">
        <v>5518</v>
      </c>
      <c r="K947" s="2" t="s">
        <v>9490</v>
      </c>
      <c r="L947" s="10" t="s">
        <v>9491</v>
      </c>
    </row>
    <row r="948">
      <c r="A948" s="2" t="s">
        <v>5339</v>
      </c>
      <c r="B948" s="2" t="s">
        <v>9492</v>
      </c>
      <c r="C948" s="2">
        <v>7.5803066676E10</v>
      </c>
      <c r="D948" s="2" t="s">
        <v>9493</v>
      </c>
      <c r="E948" s="2">
        <v>88562.0</v>
      </c>
      <c r="F948" s="2">
        <v>41.0</v>
      </c>
      <c r="G948" s="2">
        <v>25.0</v>
      </c>
      <c r="H948" s="2" t="s">
        <v>5905</v>
      </c>
      <c r="I948" s="2" t="s">
        <v>5905</v>
      </c>
      <c r="K948" s="2" t="s">
        <v>9494</v>
      </c>
    </row>
    <row r="949">
      <c r="A949" s="2" t="s">
        <v>5339</v>
      </c>
      <c r="B949" s="2" t="s">
        <v>9495</v>
      </c>
      <c r="C949" s="2">
        <v>1.1458189E9</v>
      </c>
      <c r="D949" s="2" t="s">
        <v>9496</v>
      </c>
      <c r="E949" s="2">
        <v>863730.0</v>
      </c>
      <c r="F949" s="2">
        <v>3517.0</v>
      </c>
      <c r="G949" s="2">
        <v>1971.0</v>
      </c>
      <c r="H949" s="2" t="s">
        <v>5906</v>
      </c>
      <c r="I949" s="2" t="s">
        <v>5906</v>
      </c>
      <c r="J949" s="2" t="s">
        <v>5518</v>
      </c>
      <c r="K949" s="2" t="s">
        <v>9497</v>
      </c>
      <c r="L949" s="10" t="s">
        <v>9498</v>
      </c>
    </row>
    <row r="950">
      <c r="A950" s="2" t="s">
        <v>5339</v>
      </c>
      <c r="B950" s="2" t="s">
        <v>9499</v>
      </c>
      <c r="C950" s="2">
        <v>6.0211185946E10</v>
      </c>
      <c r="D950" s="2" t="s">
        <v>9500</v>
      </c>
      <c r="E950" s="2">
        <v>1201302.0</v>
      </c>
      <c r="F950" s="2">
        <v>42.0</v>
      </c>
      <c r="G950" s="2">
        <v>2945.0</v>
      </c>
      <c r="H950" s="2" t="s">
        <v>5906</v>
      </c>
      <c r="I950" s="2" t="s">
        <v>5906</v>
      </c>
      <c r="J950" s="2" t="s">
        <v>5518</v>
      </c>
      <c r="K950" s="2" t="s">
        <v>9494</v>
      </c>
      <c r="L950" s="10" t="s">
        <v>9501</v>
      </c>
    </row>
    <row r="951">
      <c r="A951" s="2" t="s">
        <v>5339</v>
      </c>
      <c r="B951" s="2" t="s">
        <v>9502</v>
      </c>
      <c r="C951" s="2">
        <v>4.37737514E8</v>
      </c>
      <c r="D951" s="2" t="s">
        <v>9503</v>
      </c>
      <c r="E951" s="2">
        <v>499792.0</v>
      </c>
      <c r="F951" s="2">
        <v>1454.0</v>
      </c>
      <c r="G951" s="2">
        <v>3091.0</v>
      </c>
      <c r="H951" s="2" t="s">
        <v>5906</v>
      </c>
      <c r="I951" s="2" t="s">
        <v>5906</v>
      </c>
      <c r="J951" s="2" t="s">
        <v>5518</v>
      </c>
      <c r="K951" s="2" t="s">
        <v>9494</v>
      </c>
      <c r="L951" s="10" t="s">
        <v>9504</v>
      </c>
    </row>
    <row r="952">
      <c r="A952" s="2" t="s">
        <v>5339</v>
      </c>
      <c r="B952" s="2" t="s">
        <v>9505</v>
      </c>
      <c r="C952" s="2">
        <v>6.4713626002E10</v>
      </c>
      <c r="D952" s="2" t="s">
        <v>9506</v>
      </c>
      <c r="E952" s="2">
        <v>301709.0</v>
      </c>
      <c r="F952" s="2">
        <v>40.0</v>
      </c>
      <c r="G952" s="2">
        <v>1117.0</v>
      </c>
      <c r="H952" s="2" t="s">
        <v>5906</v>
      </c>
      <c r="I952" s="2" t="s">
        <v>5906</v>
      </c>
      <c r="J952" s="2" t="s">
        <v>5489</v>
      </c>
      <c r="K952" s="2" t="s">
        <v>9507</v>
      </c>
      <c r="L952" s="10" t="s">
        <v>9508</v>
      </c>
    </row>
    <row r="953">
      <c r="A953" s="2" t="s">
        <v>5339</v>
      </c>
      <c r="B953" s="2" t="s">
        <v>9509</v>
      </c>
      <c r="C953" s="2">
        <v>7.066151364E9</v>
      </c>
      <c r="D953" s="2" t="s">
        <v>9510</v>
      </c>
      <c r="E953" s="2">
        <v>702585.0</v>
      </c>
      <c r="F953" s="2">
        <v>22.0</v>
      </c>
      <c r="G953" s="2">
        <v>1334.0</v>
      </c>
      <c r="H953" s="2" t="s">
        <v>5906</v>
      </c>
      <c r="I953" s="2" t="s">
        <v>5906</v>
      </c>
      <c r="J953" s="2" t="s">
        <v>5518</v>
      </c>
      <c r="K953" s="2" t="s">
        <v>9511</v>
      </c>
      <c r="L953" s="10" t="s">
        <v>9512</v>
      </c>
    </row>
    <row r="954">
      <c r="A954" s="2" t="s">
        <v>5339</v>
      </c>
      <c r="B954" s="2" t="s">
        <v>9513</v>
      </c>
      <c r="C954" s="2">
        <v>7.6225275698E10</v>
      </c>
      <c r="D954" s="2" t="s">
        <v>9514</v>
      </c>
      <c r="E954" s="2">
        <v>115314.0</v>
      </c>
      <c r="F954" s="2">
        <v>39.0</v>
      </c>
      <c r="G954" s="2">
        <v>199.0</v>
      </c>
      <c r="H954" s="2" t="s">
        <v>5905</v>
      </c>
      <c r="I954" s="2" t="s">
        <v>5905</v>
      </c>
      <c r="J954" s="2" t="s">
        <v>5485</v>
      </c>
      <c r="K954" s="2" t="s">
        <v>9494</v>
      </c>
    </row>
    <row r="955">
      <c r="A955" s="2" t="s">
        <v>5339</v>
      </c>
      <c r="B955" s="2" t="s">
        <v>9515</v>
      </c>
      <c r="C955" s="2">
        <v>5.31407754E8</v>
      </c>
      <c r="D955" s="2" t="s">
        <v>9516</v>
      </c>
      <c r="E955" s="2">
        <v>22184.0</v>
      </c>
      <c r="F955" s="2">
        <v>587.0</v>
      </c>
      <c r="G955" s="2">
        <v>2399.0</v>
      </c>
      <c r="H955" s="2" t="s">
        <v>5905</v>
      </c>
      <c r="I955" s="2" t="s">
        <v>5905</v>
      </c>
      <c r="J955" s="2" t="s">
        <v>5518</v>
      </c>
      <c r="K955" s="2" t="s">
        <v>9517</v>
      </c>
      <c r="L955" s="10" t="s">
        <v>9518</v>
      </c>
    </row>
    <row r="956">
      <c r="A956" s="2" t="s">
        <v>5339</v>
      </c>
      <c r="B956" s="2" t="s">
        <v>9519</v>
      </c>
      <c r="C956" s="2">
        <v>5.7206197237E10</v>
      </c>
      <c r="D956" s="2" t="s">
        <v>9520</v>
      </c>
      <c r="E956" s="2">
        <v>223120.0</v>
      </c>
      <c r="F956" s="2">
        <v>40.0</v>
      </c>
      <c r="G956" s="2">
        <v>3357.0</v>
      </c>
      <c r="H956" s="2" t="s">
        <v>5906</v>
      </c>
      <c r="I956" s="2" t="s">
        <v>5906</v>
      </c>
      <c r="J956" s="2" t="s">
        <v>5518</v>
      </c>
      <c r="K956" s="2" t="s">
        <v>9494</v>
      </c>
      <c r="L956" s="10" t="s">
        <v>9521</v>
      </c>
    </row>
    <row r="957">
      <c r="A957" s="2" t="s">
        <v>5339</v>
      </c>
      <c r="B957" s="2" t="s">
        <v>9522</v>
      </c>
      <c r="C957" s="2">
        <v>2.25502498E8</v>
      </c>
      <c r="D957" s="2" t="s">
        <v>9523</v>
      </c>
      <c r="E957" s="2">
        <v>939946.0</v>
      </c>
      <c r="F957" s="2">
        <v>305.0</v>
      </c>
      <c r="G957" s="2">
        <v>8482.0</v>
      </c>
      <c r="H957" s="2" t="s">
        <v>5906</v>
      </c>
      <c r="I957" s="2" t="s">
        <v>5906</v>
      </c>
      <c r="J957" s="2" t="s">
        <v>5518</v>
      </c>
      <c r="K957" s="2" t="s">
        <v>9524</v>
      </c>
      <c r="L957" s="10" t="s">
        <v>9525</v>
      </c>
    </row>
    <row r="958">
      <c r="A958" s="2" t="s">
        <v>5339</v>
      </c>
      <c r="B958" s="2" t="s">
        <v>9526</v>
      </c>
      <c r="C958" s="2">
        <v>4.4491524346E10</v>
      </c>
      <c r="D958" s="2" t="s">
        <v>9527</v>
      </c>
      <c r="E958" s="2">
        <v>354092.0</v>
      </c>
      <c r="F958" s="2">
        <v>125.0</v>
      </c>
      <c r="G958" s="2">
        <v>2870.0</v>
      </c>
      <c r="H958" s="2" t="s">
        <v>5906</v>
      </c>
      <c r="I958" s="2" t="s">
        <v>5906</v>
      </c>
      <c r="J958" s="2" t="s">
        <v>5518</v>
      </c>
      <c r="K958" s="2" t="s">
        <v>9494</v>
      </c>
      <c r="L958" s="10" t="s">
        <v>9528</v>
      </c>
    </row>
    <row r="959">
      <c r="A959" s="2" t="s">
        <v>5339</v>
      </c>
      <c r="B959" s="2" t="s">
        <v>9529</v>
      </c>
      <c r="C959" s="2">
        <v>4.46117979E8</v>
      </c>
      <c r="D959" s="2" t="s">
        <v>9530</v>
      </c>
      <c r="E959" s="2">
        <v>159757.0</v>
      </c>
      <c r="F959" s="2">
        <v>958.0</v>
      </c>
      <c r="G959" s="2">
        <v>4127.0</v>
      </c>
      <c r="H959" s="2" t="s">
        <v>5906</v>
      </c>
      <c r="I959" s="2" t="s">
        <v>5906</v>
      </c>
      <c r="K959" s="2" t="s">
        <v>9531</v>
      </c>
      <c r="L959" s="10" t="s">
        <v>9532</v>
      </c>
    </row>
    <row r="960">
      <c r="A960" s="2" t="s">
        <v>5339</v>
      </c>
      <c r="B960" s="2" t="s">
        <v>9533</v>
      </c>
      <c r="C960" s="2">
        <v>2.91740687E8</v>
      </c>
      <c r="D960" s="2" t="s">
        <v>9534</v>
      </c>
      <c r="E960" s="2">
        <v>513280.0</v>
      </c>
      <c r="F960" s="2">
        <v>30.0</v>
      </c>
      <c r="G960" s="2">
        <v>3036.0</v>
      </c>
      <c r="H960" s="2" t="s">
        <v>5906</v>
      </c>
      <c r="I960" s="2" t="s">
        <v>5906</v>
      </c>
      <c r="J960" s="2" t="s">
        <v>5518</v>
      </c>
      <c r="K960" s="2" t="s">
        <v>9497</v>
      </c>
      <c r="L960" s="10" t="s">
        <v>9535</v>
      </c>
    </row>
    <row r="961">
      <c r="A961" s="2" t="s">
        <v>5339</v>
      </c>
      <c r="B961" s="2" t="s">
        <v>9536</v>
      </c>
      <c r="C961" s="2">
        <v>1.286338982E9</v>
      </c>
      <c r="D961" s="2" t="s">
        <v>9537</v>
      </c>
      <c r="E961" s="2">
        <v>154585.0</v>
      </c>
      <c r="F961" s="2">
        <v>0.0</v>
      </c>
      <c r="G961" s="2">
        <v>843.0</v>
      </c>
      <c r="H961" s="2" t="s">
        <v>5905</v>
      </c>
      <c r="I961" s="2" t="s">
        <v>5906</v>
      </c>
    </row>
    <row r="962">
      <c r="A962" s="2" t="s">
        <v>5339</v>
      </c>
      <c r="B962" s="2" t="s">
        <v>9538</v>
      </c>
      <c r="C962" s="2">
        <v>6.103264311E9</v>
      </c>
      <c r="D962" s="2" t="s">
        <v>9539</v>
      </c>
      <c r="E962" s="2">
        <v>522772.0</v>
      </c>
      <c r="F962" s="2">
        <v>530.0</v>
      </c>
      <c r="G962" s="2">
        <v>5105.0</v>
      </c>
      <c r="H962" s="2" t="s">
        <v>5906</v>
      </c>
      <c r="I962" s="2" t="s">
        <v>5906</v>
      </c>
      <c r="J962" s="2" t="s">
        <v>5518</v>
      </c>
      <c r="K962" s="2" t="s">
        <v>9494</v>
      </c>
      <c r="L962" s="10" t="s">
        <v>9540</v>
      </c>
    </row>
    <row r="963">
      <c r="A963" s="2" t="s">
        <v>5339</v>
      </c>
      <c r="B963" s="2" t="s">
        <v>9541</v>
      </c>
      <c r="C963" s="2">
        <v>7.6162007952E10</v>
      </c>
      <c r="D963" s="2" t="s">
        <v>9542</v>
      </c>
      <c r="E963" s="2">
        <v>14101.0</v>
      </c>
      <c r="F963" s="2">
        <v>270.0</v>
      </c>
      <c r="G963" s="2">
        <v>265.0</v>
      </c>
      <c r="H963" s="2" t="s">
        <v>5905</v>
      </c>
      <c r="I963" s="2" t="s">
        <v>5906</v>
      </c>
      <c r="J963" s="2" t="s">
        <v>5489</v>
      </c>
      <c r="K963" s="2" t="s">
        <v>9543</v>
      </c>
      <c r="L963" s="10" t="s">
        <v>9544</v>
      </c>
    </row>
    <row r="964">
      <c r="A964" s="2" t="s">
        <v>5455</v>
      </c>
      <c r="B964" s="2" t="s">
        <v>9545</v>
      </c>
      <c r="C964" s="2">
        <v>57636.0</v>
      </c>
      <c r="D964" s="2" t="s">
        <v>5455</v>
      </c>
      <c r="E964" s="2">
        <v>3388100.0</v>
      </c>
      <c r="F964" s="2">
        <v>534.0</v>
      </c>
      <c r="G964" s="2">
        <v>5758.0</v>
      </c>
      <c r="H964" s="2" t="s">
        <v>5906</v>
      </c>
      <c r="I964" s="2" t="s">
        <v>5906</v>
      </c>
      <c r="J964" s="2" t="s">
        <v>7431</v>
      </c>
      <c r="K964" s="2" t="s">
        <v>9546</v>
      </c>
      <c r="L964" s="10" t="s">
        <v>9547</v>
      </c>
    </row>
    <row r="965">
      <c r="A965" s="2" t="s">
        <v>5455</v>
      </c>
      <c r="B965" s="2" t="s">
        <v>9548</v>
      </c>
      <c r="C965" s="2">
        <v>2.99723737E8</v>
      </c>
      <c r="D965" s="2" t="s">
        <v>9549</v>
      </c>
      <c r="E965" s="2">
        <v>127977.0</v>
      </c>
      <c r="F965" s="2">
        <v>5595.0</v>
      </c>
      <c r="G965" s="2">
        <v>5792.0</v>
      </c>
      <c r="H965" s="2" t="s">
        <v>5906</v>
      </c>
      <c r="I965" s="2" t="s">
        <v>5906</v>
      </c>
      <c r="K965" s="2" t="s">
        <v>9550</v>
      </c>
      <c r="L965" s="10" t="s">
        <v>9551</v>
      </c>
    </row>
    <row r="966">
      <c r="A966" s="2" t="s">
        <v>5455</v>
      </c>
      <c r="B966" s="2" t="s">
        <v>9552</v>
      </c>
      <c r="C966" s="2">
        <v>2.3164801E8</v>
      </c>
      <c r="D966" s="2" t="s">
        <v>9553</v>
      </c>
      <c r="E966" s="2">
        <v>119889.0</v>
      </c>
      <c r="F966" s="2">
        <v>669.0</v>
      </c>
      <c r="G966" s="2">
        <v>2339.0</v>
      </c>
      <c r="H966" s="2" t="s">
        <v>5906</v>
      </c>
      <c r="I966" s="2" t="s">
        <v>5905</v>
      </c>
      <c r="J966" s="2" t="s">
        <v>5485</v>
      </c>
      <c r="K966" s="2" t="s">
        <v>9554</v>
      </c>
      <c r="L966" s="10" t="s">
        <v>9555</v>
      </c>
    </row>
    <row r="967">
      <c r="A967" s="2" t="s">
        <v>5455</v>
      </c>
      <c r="B967" s="2" t="s">
        <v>9556</v>
      </c>
      <c r="C967" s="2">
        <v>4.540449546E9</v>
      </c>
      <c r="D967" s="2" t="s">
        <v>9557</v>
      </c>
      <c r="E967" s="2">
        <v>229278.0</v>
      </c>
      <c r="F967" s="2">
        <v>208.0</v>
      </c>
      <c r="G967" s="2">
        <v>2927.0</v>
      </c>
      <c r="H967" s="2" t="s">
        <v>5906</v>
      </c>
      <c r="I967" s="2" t="s">
        <v>5906</v>
      </c>
      <c r="K967" s="2" t="s">
        <v>9558</v>
      </c>
      <c r="L967" s="10" t="s">
        <v>9559</v>
      </c>
    </row>
    <row r="968">
      <c r="A968" s="2" t="s">
        <v>5455</v>
      </c>
      <c r="B968" s="2" t="s">
        <v>9560</v>
      </c>
      <c r="C968" s="2">
        <v>1.952445816E9</v>
      </c>
      <c r="D968" s="2" t="s">
        <v>9561</v>
      </c>
      <c r="E968" s="2">
        <v>418261.0</v>
      </c>
      <c r="F968" s="2">
        <v>251.0</v>
      </c>
      <c r="G968" s="2">
        <v>1838.0</v>
      </c>
      <c r="H968" s="2" t="s">
        <v>5905</v>
      </c>
      <c r="I968" s="2" t="s">
        <v>5905</v>
      </c>
      <c r="K968" s="2" t="s">
        <v>9562</v>
      </c>
      <c r="L968" s="10" t="s">
        <v>9563</v>
      </c>
    </row>
    <row r="969">
      <c r="A969" s="2" t="s">
        <v>5455</v>
      </c>
      <c r="B969" s="2" t="s">
        <v>9564</v>
      </c>
      <c r="C969" s="2">
        <v>2.039477459E9</v>
      </c>
      <c r="D969" s="2" t="s">
        <v>9565</v>
      </c>
      <c r="E969" s="2">
        <v>136487.0</v>
      </c>
      <c r="F969" s="2">
        <v>85.0</v>
      </c>
      <c r="G969" s="2">
        <v>7002.0</v>
      </c>
      <c r="H969" s="2" t="s">
        <v>5906</v>
      </c>
      <c r="I969" s="2" t="s">
        <v>5906</v>
      </c>
      <c r="K969" s="2" t="s">
        <v>9566</v>
      </c>
      <c r="L969" s="10" t="s">
        <v>9567</v>
      </c>
    </row>
    <row r="970">
      <c r="A970" s="2" t="s">
        <v>5455</v>
      </c>
      <c r="B970" s="2" t="s">
        <v>9568</v>
      </c>
      <c r="C970" s="2">
        <v>7.68394531E8</v>
      </c>
      <c r="D970" s="2" t="s">
        <v>9569</v>
      </c>
      <c r="E970" s="2">
        <v>232380.0</v>
      </c>
      <c r="F970" s="2">
        <v>290.0</v>
      </c>
      <c r="G970" s="2">
        <v>1681.0</v>
      </c>
      <c r="H970" s="2" t="s">
        <v>5905</v>
      </c>
      <c r="I970" s="2" t="s">
        <v>5905</v>
      </c>
      <c r="J970" s="2" t="s">
        <v>7431</v>
      </c>
      <c r="K970" s="2" t="s">
        <v>9570</v>
      </c>
    </row>
    <row r="971">
      <c r="A971" s="2" t="s">
        <v>5467</v>
      </c>
      <c r="B971" s="2" t="s">
        <v>9571</v>
      </c>
      <c r="C971" s="2">
        <v>2.35457544E8</v>
      </c>
      <c r="D971" s="2" t="s">
        <v>5467</v>
      </c>
      <c r="E971" s="2">
        <v>1242169.0</v>
      </c>
      <c r="F971" s="2">
        <v>521.0</v>
      </c>
      <c r="G971" s="2">
        <v>14012.0</v>
      </c>
      <c r="H971" s="2" t="s">
        <v>5906</v>
      </c>
      <c r="I971" s="2" t="s">
        <v>5906</v>
      </c>
      <c r="J971" s="2" t="s">
        <v>5907</v>
      </c>
      <c r="K971" s="2" t="s">
        <v>9572</v>
      </c>
      <c r="L971" s="10" t="s">
        <v>9573</v>
      </c>
    </row>
    <row r="972">
      <c r="A972" s="2" t="s">
        <v>5467</v>
      </c>
      <c r="B972" s="2" t="s">
        <v>9574</v>
      </c>
      <c r="C972" s="2">
        <v>2.1456962719E10</v>
      </c>
      <c r="D972" s="2" t="s">
        <v>9575</v>
      </c>
      <c r="E972" s="2">
        <v>17811.0</v>
      </c>
      <c r="F972" s="2">
        <v>55.0</v>
      </c>
      <c r="G972" s="2">
        <v>247.0</v>
      </c>
      <c r="H972" s="2" t="s">
        <v>5906</v>
      </c>
      <c r="I972" s="2" t="s">
        <v>5906</v>
      </c>
      <c r="J972" s="2" t="s">
        <v>5911</v>
      </c>
      <c r="K972" s="2" t="s">
        <v>9576</v>
      </c>
      <c r="L972" s="10" t="s">
        <v>9577</v>
      </c>
    </row>
    <row r="973">
      <c r="A973" s="2" t="s">
        <v>5467</v>
      </c>
      <c r="B973" s="2" t="s">
        <v>9578</v>
      </c>
      <c r="C973" s="2">
        <v>2.65065808E8</v>
      </c>
      <c r="D973" s="2" t="s">
        <v>9579</v>
      </c>
      <c r="E973" s="2">
        <v>38835.0</v>
      </c>
      <c r="F973" s="2">
        <v>2744.0</v>
      </c>
      <c r="G973" s="2">
        <v>2859.0</v>
      </c>
      <c r="H973" s="2" t="s">
        <v>5906</v>
      </c>
      <c r="I973" s="2" t="s">
        <v>5906</v>
      </c>
      <c r="J973" s="2" t="s">
        <v>5911</v>
      </c>
      <c r="K973" s="2" t="s">
        <v>9580</v>
      </c>
      <c r="L973" s="10" t="s">
        <v>9581</v>
      </c>
    </row>
    <row r="974">
      <c r="A974" s="2" t="s">
        <v>5467</v>
      </c>
      <c r="B974" s="2" t="s">
        <v>9582</v>
      </c>
      <c r="C974" s="2">
        <v>3.81580658E8</v>
      </c>
      <c r="D974" s="2" t="s">
        <v>9583</v>
      </c>
      <c r="E974" s="2">
        <v>345326.0</v>
      </c>
      <c r="F974" s="2">
        <v>1282.0</v>
      </c>
      <c r="G974" s="2">
        <v>3906.0</v>
      </c>
      <c r="H974" s="2" t="s">
        <v>5906</v>
      </c>
      <c r="I974" s="2" t="s">
        <v>5906</v>
      </c>
      <c r="J974" s="2" t="s">
        <v>5517</v>
      </c>
      <c r="K974" s="2" t="s">
        <v>9584</v>
      </c>
      <c r="L974" s="10" t="s">
        <v>9585</v>
      </c>
    </row>
    <row r="975">
      <c r="A975" s="2" t="s">
        <v>5467</v>
      </c>
      <c r="B975" s="2" t="s">
        <v>9586</v>
      </c>
      <c r="C975" s="2">
        <v>5.991550851E9</v>
      </c>
      <c r="D975" s="2" t="s">
        <v>9587</v>
      </c>
      <c r="E975" s="2">
        <v>23495.0</v>
      </c>
      <c r="F975" s="2">
        <v>1176.0</v>
      </c>
      <c r="G975" s="2">
        <v>1380.0</v>
      </c>
      <c r="H975" s="2" t="s">
        <v>5906</v>
      </c>
      <c r="I975" s="2" t="s">
        <v>5906</v>
      </c>
      <c r="J975" s="2" t="s">
        <v>5518</v>
      </c>
      <c r="K975" s="2" t="s">
        <v>9588</v>
      </c>
      <c r="L975" s="10" t="s">
        <v>9589</v>
      </c>
    </row>
    <row r="976">
      <c r="A976" s="2" t="s">
        <v>5467</v>
      </c>
      <c r="B976" s="2" t="s">
        <v>9590</v>
      </c>
      <c r="C976" s="2">
        <v>1.088665099E9</v>
      </c>
      <c r="D976" s="2" t="s">
        <v>9591</v>
      </c>
      <c r="E976" s="2">
        <v>219840.0</v>
      </c>
      <c r="F976" s="2">
        <v>288.0</v>
      </c>
      <c r="G976" s="2">
        <v>3201.0</v>
      </c>
      <c r="H976" s="2" t="s">
        <v>5906</v>
      </c>
      <c r="I976" s="2" t="s">
        <v>5906</v>
      </c>
      <c r="J976" s="2" t="s">
        <v>5907</v>
      </c>
      <c r="K976" s="2" t="s">
        <v>9592</v>
      </c>
      <c r="L976" s="10" t="s">
        <v>9593</v>
      </c>
    </row>
    <row r="977">
      <c r="A977" s="2" t="s">
        <v>5405</v>
      </c>
      <c r="B977" s="2" t="s">
        <v>9594</v>
      </c>
      <c r="C977" s="2">
        <v>8.612009068E9</v>
      </c>
      <c r="D977" s="2" t="s">
        <v>5405</v>
      </c>
      <c r="E977" s="2">
        <v>191257.0</v>
      </c>
      <c r="F977" s="2">
        <v>20.0</v>
      </c>
      <c r="G977" s="2">
        <v>1179.0</v>
      </c>
      <c r="H977" s="2" t="s">
        <v>5906</v>
      </c>
      <c r="I977" s="2" t="s">
        <v>5905</v>
      </c>
      <c r="J977" s="2" t="s">
        <v>5907</v>
      </c>
      <c r="K977" s="2" t="s">
        <v>9595</v>
      </c>
      <c r="L977" s="10" t="s">
        <v>9596</v>
      </c>
    </row>
    <row r="978">
      <c r="A978" s="2" t="s">
        <v>5518</v>
      </c>
      <c r="B978" s="2" t="s">
        <v>6134</v>
      </c>
      <c r="C978" s="2">
        <v>4.90215516E8</v>
      </c>
      <c r="D978" s="2" t="s">
        <v>6135</v>
      </c>
      <c r="E978" s="2">
        <v>1788230.0</v>
      </c>
      <c r="F978" s="2">
        <v>25.0</v>
      </c>
      <c r="G978" s="2">
        <v>7609.0</v>
      </c>
      <c r="H978" s="2" t="s">
        <v>5906</v>
      </c>
      <c r="I978" s="2" t="s">
        <v>5906</v>
      </c>
      <c r="J978" s="2" t="s">
        <v>5518</v>
      </c>
      <c r="K978" s="2" t="s">
        <v>6136</v>
      </c>
      <c r="L978" s="10" t="s">
        <v>6137</v>
      </c>
    </row>
    <row r="979">
      <c r="A979" s="2" t="s">
        <v>5518</v>
      </c>
      <c r="B979" s="2" t="s">
        <v>9597</v>
      </c>
      <c r="C979" s="2">
        <v>3.1552637E8</v>
      </c>
      <c r="D979" s="2" t="s">
        <v>9598</v>
      </c>
      <c r="E979" s="2">
        <v>138459.0</v>
      </c>
      <c r="F979" s="2">
        <v>3732.0</v>
      </c>
      <c r="G979" s="2">
        <v>4121.0</v>
      </c>
      <c r="H979" s="2" t="s">
        <v>5906</v>
      </c>
      <c r="I979" s="2" t="s">
        <v>5906</v>
      </c>
      <c r="J979" s="2" t="s">
        <v>5911</v>
      </c>
      <c r="K979" s="2" t="s">
        <v>9599</v>
      </c>
      <c r="L979" s="10" t="s">
        <v>9600</v>
      </c>
    </row>
    <row r="980">
      <c r="A980" s="2" t="s">
        <v>5518</v>
      </c>
      <c r="B980" s="2" t="s">
        <v>7803</v>
      </c>
      <c r="C980" s="2">
        <v>1.78598981E8</v>
      </c>
      <c r="D980" s="2" t="s">
        <v>7804</v>
      </c>
      <c r="E980" s="2">
        <v>7511817.0</v>
      </c>
      <c r="F980" s="2">
        <v>879.0</v>
      </c>
      <c r="G980" s="2">
        <v>12958.0</v>
      </c>
      <c r="H980" s="2" t="s">
        <v>5906</v>
      </c>
      <c r="I980" s="2" t="s">
        <v>5906</v>
      </c>
      <c r="J980" s="2" t="s">
        <v>7140</v>
      </c>
      <c r="K980" s="2" t="s">
        <v>7805</v>
      </c>
      <c r="L980" s="10" t="s">
        <v>7806</v>
      </c>
    </row>
    <row r="981">
      <c r="A981" s="2" t="s">
        <v>5518</v>
      </c>
      <c r="B981" s="2" t="s">
        <v>9601</v>
      </c>
      <c r="C981" s="2">
        <v>3.729537059E9</v>
      </c>
      <c r="D981" s="2" t="s">
        <v>9602</v>
      </c>
      <c r="E981" s="2">
        <v>423614.0</v>
      </c>
      <c r="F981" s="2">
        <v>548.0</v>
      </c>
      <c r="G981" s="2">
        <v>4608.0</v>
      </c>
      <c r="H981" s="2" t="s">
        <v>5905</v>
      </c>
      <c r="I981" s="2" t="s">
        <v>5906</v>
      </c>
      <c r="J981" s="2" t="s">
        <v>5518</v>
      </c>
      <c r="K981" s="2" t="s">
        <v>9603</v>
      </c>
      <c r="L981" s="10" t="s">
        <v>9604</v>
      </c>
    </row>
    <row r="982">
      <c r="A982" s="2" t="s">
        <v>5518</v>
      </c>
      <c r="B982" s="2" t="s">
        <v>9453</v>
      </c>
      <c r="C982" s="2">
        <v>2.0132715E7</v>
      </c>
      <c r="D982" s="2" t="s">
        <v>9454</v>
      </c>
      <c r="E982" s="2">
        <v>478663.0</v>
      </c>
      <c r="F982" s="2">
        <v>800.0</v>
      </c>
      <c r="G982" s="2">
        <v>10748.0</v>
      </c>
      <c r="H982" s="2" t="s">
        <v>5906</v>
      </c>
      <c r="I982" s="2" t="s">
        <v>5905</v>
      </c>
      <c r="J982" s="2" t="s">
        <v>5911</v>
      </c>
      <c r="K982" s="2" t="s">
        <v>9455</v>
      </c>
      <c r="L982" s="10" t="s">
        <v>9456</v>
      </c>
    </row>
    <row r="983">
      <c r="A983" s="2" t="s">
        <v>5518</v>
      </c>
      <c r="B983" s="2" t="s">
        <v>9605</v>
      </c>
      <c r="C983" s="2">
        <v>4.8366596109E10</v>
      </c>
      <c r="D983" s="2" t="s">
        <v>9606</v>
      </c>
      <c r="E983" s="2">
        <v>81632.0</v>
      </c>
      <c r="F983" s="2">
        <v>1.0</v>
      </c>
      <c r="G983" s="2">
        <v>654.0</v>
      </c>
      <c r="H983" s="2" t="s">
        <v>5905</v>
      </c>
      <c r="I983" s="2" t="s">
        <v>5905</v>
      </c>
      <c r="J983" s="2" t="s">
        <v>6111</v>
      </c>
      <c r="K983" s="2" t="s">
        <v>9607</v>
      </c>
      <c r="L983" s="10" t="s">
        <v>9608</v>
      </c>
    </row>
    <row r="984">
      <c r="A984" s="2" t="s">
        <v>5518</v>
      </c>
      <c r="B984" s="2" t="s">
        <v>9609</v>
      </c>
      <c r="C984" s="2">
        <v>2.22356238E8</v>
      </c>
      <c r="D984" s="2" t="s">
        <v>9610</v>
      </c>
      <c r="E984" s="2">
        <v>4743979.0</v>
      </c>
      <c r="F984" s="2">
        <v>699.0</v>
      </c>
      <c r="G984" s="2">
        <v>35688.0</v>
      </c>
      <c r="H984" s="2" t="s">
        <v>5906</v>
      </c>
      <c r="I984" s="2" t="s">
        <v>5905</v>
      </c>
      <c r="J984" s="2" t="s">
        <v>5561</v>
      </c>
      <c r="K984" s="2" t="s">
        <v>9611</v>
      </c>
      <c r="L984" s="10" t="s">
        <v>9612</v>
      </c>
    </row>
    <row r="985">
      <c r="A985" s="2" t="s">
        <v>5518</v>
      </c>
      <c r="B985" s="2" t="s">
        <v>9613</v>
      </c>
      <c r="C985" s="2">
        <v>1.0257497E7</v>
      </c>
      <c r="D985" s="2" t="s">
        <v>5336</v>
      </c>
      <c r="E985" s="2">
        <v>1950072.0</v>
      </c>
      <c r="F985" s="2">
        <v>1640.0</v>
      </c>
      <c r="G985" s="2">
        <v>7950.0</v>
      </c>
      <c r="H985" s="2" t="s">
        <v>5906</v>
      </c>
      <c r="I985" s="2" t="s">
        <v>5906</v>
      </c>
      <c r="J985" s="2" t="s">
        <v>5959</v>
      </c>
      <c r="K985" s="2" t="s">
        <v>9614</v>
      </c>
      <c r="L985" s="10" t="s">
        <v>9615</v>
      </c>
    </row>
    <row r="986">
      <c r="A986" s="2" t="s">
        <v>5518</v>
      </c>
      <c r="B986" s="2" t="s">
        <v>9616</v>
      </c>
      <c r="C986" s="2">
        <v>2.8759374E7</v>
      </c>
      <c r="D986" s="2" t="s">
        <v>9617</v>
      </c>
      <c r="E986" s="2">
        <v>1.4423527E7</v>
      </c>
      <c r="F986" s="2">
        <v>1231.0</v>
      </c>
      <c r="G986" s="2">
        <v>59936.0</v>
      </c>
      <c r="H986" s="2" t="s">
        <v>5906</v>
      </c>
      <c r="I986" s="2" t="s">
        <v>5906</v>
      </c>
      <c r="K986" s="2" t="s">
        <v>9618</v>
      </c>
      <c r="L986" s="10" t="s">
        <v>9619</v>
      </c>
    </row>
    <row r="987">
      <c r="A987" s="2" t="s">
        <v>5518</v>
      </c>
      <c r="B987" s="2" t="s">
        <v>9620</v>
      </c>
      <c r="C987" s="2">
        <v>1.513039626E9</v>
      </c>
      <c r="D987" s="2" t="s">
        <v>9621</v>
      </c>
      <c r="E987" s="2">
        <v>290059.0</v>
      </c>
      <c r="F987" s="2">
        <v>1384.0</v>
      </c>
      <c r="G987" s="2">
        <v>21867.0</v>
      </c>
      <c r="H987" s="2" t="s">
        <v>5905</v>
      </c>
      <c r="I987" s="2" t="s">
        <v>5905</v>
      </c>
      <c r="J987" s="2" t="s">
        <v>5911</v>
      </c>
      <c r="K987" s="2" t="s">
        <v>9622</v>
      </c>
      <c r="L987" s="10" t="s">
        <v>9623</v>
      </c>
    </row>
    <row r="988">
      <c r="A988" s="2" t="s">
        <v>5518</v>
      </c>
      <c r="B988" s="2" t="s">
        <v>9624</v>
      </c>
      <c r="C988" s="2">
        <v>2.12660742E8</v>
      </c>
      <c r="D988" s="2" t="s">
        <v>9625</v>
      </c>
      <c r="E988" s="2">
        <v>1318526.0</v>
      </c>
      <c r="F988" s="2">
        <v>251.0</v>
      </c>
      <c r="G988" s="2">
        <v>9958.0</v>
      </c>
      <c r="H988" s="2" t="s">
        <v>5906</v>
      </c>
      <c r="I988" s="2" t="s">
        <v>5906</v>
      </c>
      <c r="K988" s="2" t="s">
        <v>9626</v>
      </c>
      <c r="L988" s="10" t="s">
        <v>9627</v>
      </c>
    </row>
    <row r="989">
      <c r="A989" s="2" t="s">
        <v>5518</v>
      </c>
      <c r="B989" s="2" t="s">
        <v>9628</v>
      </c>
      <c r="C989" s="2">
        <v>2.2636146E7</v>
      </c>
      <c r="D989" s="2" t="s">
        <v>9629</v>
      </c>
      <c r="E989" s="2">
        <v>3074910.0</v>
      </c>
      <c r="F989" s="2">
        <v>1284.0</v>
      </c>
      <c r="G989" s="2">
        <v>11754.0</v>
      </c>
      <c r="H989" s="2" t="s">
        <v>5906</v>
      </c>
      <c r="I989" s="2" t="s">
        <v>5906</v>
      </c>
      <c r="J989" s="2" t="s">
        <v>5518</v>
      </c>
      <c r="K989" s="2" t="s">
        <v>9630</v>
      </c>
      <c r="L989" s="10" t="s">
        <v>9631</v>
      </c>
    </row>
    <row r="990">
      <c r="A990" s="2" t="s">
        <v>5518</v>
      </c>
      <c r="B990" s="2" t="s">
        <v>9632</v>
      </c>
      <c r="C990" s="2">
        <v>1.98154074E8</v>
      </c>
      <c r="D990" s="2" t="s">
        <v>5263</v>
      </c>
      <c r="E990" s="2">
        <v>5.1192899E7</v>
      </c>
      <c r="F990" s="2">
        <v>418.0</v>
      </c>
      <c r="G990" s="2">
        <v>16992.0</v>
      </c>
      <c r="H990" s="2" t="s">
        <v>5906</v>
      </c>
      <c r="I990" s="2" t="s">
        <v>5906</v>
      </c>
      <c r="K990" s="2" t="s">
        <v>9633</v>
      </c>
      <c r="L990" s="10" t="s">
        <v>9634</v>
      </c>
    </row>
    <row r="991">
      <c r="A991" s="2" t="s">
        <v>5518</v>
      </c>
      <c r="B991" s="2" t="s">
        <v>9635</v>
      </c>
      <c r="C991" s="2">
        <v>1.46182543E8</v>
      </c>
      <c r="D991" s="2" t="s">
        <v>5333</v>
      </c>
      <c r="E991" s="2">
        <v>4056946.0</v>
      </c>
      <c r="F991" s="2">
        <v>484.0</v>
      </c>
      <c r="G991" s="2">
        <v>11027.0</v>
      </c>
      <c r="H991" s="2" t="s">
        <v>5906</v>
      </c>
      <c r="I991" s="2" t="s">
        <v>5906</v>
      </c>
      <c r="K991" s="2" t="s">
        <v>9636</v>
      </c>
      <c r="L991" s="10" t="s">
        <v>9637</v>
      </c>
    </row>
    <row r="992">
      <c r="A992" s="2" t="s">
        <v>5586</v>
      </c>
      <c r="B992" s="10" t="s">
        <v>9638</v>
      </c>
      <c r="C992" s="2">
        <v>6.4469190749E10</v>
      </c>
      <c r="D992" s="2" t="s">
        <v>9639</v>
      </c>
      <c r="E992" s="2">
        <v>14321.0</v>
      </c>
      <c r="F992" s="2">
        <v>709.0</v>
      </c>
      <c r="G992" s="2">
        <v>106.0</v>
      </c>
      <c r="H992" s="2" t="s">
        <v>5906</v>
      </c>
      <c r="I992" s="2" t="s">
        <v>5905</v>
      </c>
      <c r="J992" s="2" t="s">
        <v>7206</v>
      </c>
      <c r="K992" s="2" t="s">
        <v>9640</v>
      </c>
    </row>
    <row r="993">
      <c r="A993" s="2" t="s">
        <v>5426</v>
      </c>
      <c r="B993" s="2" t="s">
        <v>9641</v>
      </c>
      <c r="C993" s="2">
        <v>2.216147545E9</v>
      </c>
      <c r="D993" s="2" t="s">
        <v>9642</v>
      </c>
      <c r="E993" s="2">
        <v>4897042.0</v>
      </c>
      <c r="F993" s="2">
        <v>1020.0</v>
      </c>
      <c r="G993" s="2">
        <v>52954.0</v>
      </c>
      <c r="H993" s="2" t="s">
        <v>5906</v>
      </c>
      <c r="I993" s="2" t="s">
        <v>5906</v>
      </c>
      <c r="J993" s="2" t="s">
        <v>5480</v>
      </c>
      <c r="K993" s="2" t="s">
        <v>9643</v>
      </c>
    </row>
    <row r="994">
      <c r="A994" s="2" t="s">
        <v>5328</v>
      </c>
      <c r="B994" s="2" t="s">
        <v>9644</v>
      </c>
      <c r="C994" s="2">
        <v>1.7044514E7</v>
      </c>
      <c r="D994" s="2" t="s">
        <v>9645</v>
      </c>
      <c r="E994" s="2">
        <v>33889.0</v>
      </c>
      <c r="F994" s="2">
        <v>995.0</v>
      </c>
      <c r="G994" s="2">
        <v>1830.0</v>
      </c>
      <c r="H994" s="2" t="s">
        <v>5906</v>
      </c>
      <c r="I994" s="2" t="s">
        <v>5906</v>
      </c>
      <c r="J994" s="2" t="s">
        <v>5993</v>
      </c>
      <c r="K994" s="2" t="s">
        <v>9646</v>
      </c>
      <c r="L994" s="10" t="s">
        <v>9647</v>
      </c>
    </row>
    <row r="995">
      <c r="A995" s="2" t="s">
        <v>5328</v>
      </c>
      <c r="B995" s="2" t="s">
        <v>9648</v>
      </c>
      <c r="C995" s="2">
        <v>7.725432407E9</v>
      </c>
      <c r="D995" s="2" t="s">
        <v>9649</v>
      </c>
      <c r="E995" s="2">
        <v>37821.0</v>
      </c>
      <c r="F995" s="2">
        <v>1500.0</v>
      </c>
      <c r="G995" s="2">
        <v>4252.0</v>
      </c>
      <c r="H995" s="2" t="s">
        <v>5906</v>
      </c>
      <c r="I995" s="2" t="s">
        <v>5905</v>
      </c>
      <c r="L995" s="10" t="s">
        <v>9650</v>
      </c>
    </row>
    <row r="996">
      <c r="A996" s="2" t="s">
        <v>5328</v>
      </c>
      <c r="B996" s="2" t="s">
        <v>9651</v>
      </c>
      <c r="C996" s="2">
        <v>1.9018669E7</v>
      </c>
      <c r="D996" s="2" t="s">
        <v>9652</v>
      </c>
      <c r="E996" s="2">
        <v>891385.0</v>
      </c>
      <c r="F996" s="2">
        <v>52.0</v>
      </c>
      <c r="G996" s="2">
        <v>41812.0</v>
      </c>
      <c r="H996" s="2" t="s">
        <v>5906</v>
      </c>
      <c r="I996" s="2" t="s">
        <v>5906</v>
      </c>
      <c r="K996" s="2" t="s">
        <v>9653</v>
      </c>
      <c r="L996" s="10" t="s">
        <v>9654</v>
      </c>
    </row>
    <row r="997">
      <c r="A997" s="2" t="s">
        <v>5328</v>
      </c>
      <c r="B997" s="2" t="s">
        <v>9655</v>
      </c>
      <c r="C997" s="2">
        <v>8.476281205E9</v>
      </c>
      <c r="D997" s="2" t="s">
        <v>9656</v>
      </c>
      <c r="E997" s="2">
        <v>12056.0</v>
      </c>
      <c r="F997" s="2">
        <v>13.0</v>
      </c>
      <c r="G997" s="2">
        <v>401.0</v>
      </c>
      <c r="H997" s="2" t="s">
        <v>5905</v>
      </c>
      <c r="I997" s="2" t="s">
        <v>5906</v>
      </c>
      <c r="J997" s="2" t="s">
        <v>5518</v>
      </c>
      <c r="K997" s="2" t="s">
        <v>9657</v>
      </c>
      <c r="L997" s="10" t="s">
        <v>9658</v>
      </c>
    </row>
    <row r="998">
      <c r="A998" s="2" t="s">
        <v>5328</v>
      </c>
      <c r="B998" s="2" t="s">
        <v>9659</v>
      </c>
      <c r="C998" s="2">
        <v>1.0186408E7</v>
      </c>
      <c r="D998" s="2" t="s">
        <v>9660</v>
      </c>
      <c r="E998" s="2">
        <v>324831.0</v>
      </c>
      <c r="F998" s="2">
        <v>686.0</v>
      </c>
      <c r="G998" s="2">
        <v>14383.0</v>
      </c>
      <c r="H998" s="2" t="s">
        <v>5906</v>
      </c>
      <c r="I998" s="2" t="s">
        <v>5906</v>
      </c>
      <c r="J998" s="2" t="s">
        <v>5485</v>
      </c>
      <c r="K998" s="2" t="s">
        <v>9661</v>
      </c>
      <c r="L998" s="10" t="s">
        <v>9662</v>
      </c>
    </row>
    <row r="999">
      <c r="A999" s="2" t="s">
        <v>5328</v>
      </c>
      <c r="B999" s="2" t="s">
        <v>9663</v>
      </c>
      <c r="C999" s="2">
        <v>2.4865478E7</v>
      </c>
      <c r="D999" s="2" t="s">
        <v>9664</v>
      </c>
      <c r="E999" s="2">
        <v>395185.0</v>
      </c>
      <c r="F999" s="2">
        <v>376.0</v>
      </c>
      <c r="G999" s="2">
        <v>20711.0</v>
      </c>
      <c r="H999" s="2" t="s">
        <v>5906</v>
      </c>
      <c r="I999" s="2" t="s">
        <v>5905</v>
      </c>
      <c r="K999" s="2" t="s">
        <v>9665</v>
      </c>
      <c r="L999" s="10" t="s">
        <v>9666</v>
      </c>
    </row>
    <row r="1000">
      <c r="A1000" s="2" t="s">
        <v>5328</v>
      </c>
      <c r="B1000" s="2" t="s">
        <v>9667</v>
      </c>
      <c r="C1000" s="2">
        <v>1.086313187E9</v>
      </c>
      <c r="D1000" s="2" t="s">
        <v>9668</v>
      </c>
      <c r="E1000" s="2">
        <v>4266303.0</v>
      </c>
      <c r="F1000" s="2">
        <v>20.0</v>
      </c>
      <c r="G1000" s="2">
        <v>24637.0</v>
      </c>
      <c r="H1000" s="2" t="s">
        <v>5906</v>
      </c>
      <c r="I1000" s="2" t="s">
        <v>5906</v>
      </c>
      <c r="K1000" s="2" t="s">
        <v>9669</v>
      </c>
      <c r="L1000" s="10" t="s">
        <v>9670</v>
      </c>
    </row>
    <row r="1001">
      <c r="A1001" s="2" t="s">
        <v>5328</v>
      </c>
      <c r="B1001" s="2" t="s">
        <v>9671</v>
      </c>
      <c r="C1001" s="2">
        <v>3.72437091E8</v>
      </c>
      <c r="D1001" s="2" t="s">
        <v>9672</v>
      </c>
      <c r="E1001" s="2">
        <v>379767.0</v>
      </c>
      <c r="F1001" s="2">
        <v>1562.0</v>
      </c>
      <c r="G1001" s="2">
        <v>14489.0</v>
      </c>
      <c r="H1001" s="2" t="s">
        <v>5906</v>
      </c>
      <c r="I1001" s="2" t="s">
        <v>5906</v>
      </c>
      <c r="J1001" s="2" t="s">
        <v>5391</v>
      </c>
      <c r="K1001" s="2" t="s">
        <v>9673</v>
      </c>
      <c r="L1001" s="10" t="s">
        <v>9674</v>
      </c>
    </row>
    <row r="1002">
      <c r="A1002" s="2" t="s">
        <v>5328</v>
      </c>
      <c r="B1002" s="2" t="s">
        <v>9675</v>
      </c>
      <c r="C1002" s="2">
        <v>1.7372994E7</v>
      </c>
      <c r="D1002" s="2" t="s">
        <v>5328</v>
      </c>
      <c r="E1002" s="2">
        <v>2482063.0</v>
      </c>
      <c r="F1002" s="2">
        <v>1285.0</v>
      </c>
      <c r="G1002" s="2">
        <v>13700.0</v>
      </c>
      <c r="H1002" s="2" t="s">
        <v>5906</v>
      </c>
      <c r="I1002" s="2" t="s">
        <v>5906</v>
      </c>
      <c r="K1002" s="2" t="s">
        <v>9676</v>
      </c>
      <c r="L1002" s="10" t="s">
        <v>9677</v>
      </c>
    </row>
    <row r="1003">
      <c r="A1003" s="2" t="s">
        <v>5328</v>
      </c>
      <c r="B1003" s="2" t="s">
        <v>9678</v>
      </c>
      <c r="C1003" s="2">
        <v>2.86903487E8</v>
      </c>
      <c r="D1003" s="2" t="s">
        <v>9679</v>
      </c>
      <c r="E1003" s="2">
        <v>440535.0</v>
      </c>
      <c r="F1003" s="2">
        <v>1855.0</v>
      </c>
      <c r="G1003" s="2">
        <v>5559.0</v>
      </c>
      <c r="H1003" s="2" t="s">
        <v>5906</v>
      </c>
      <c r="I1003" s="2" t="s">
        <v>5905</v>
      </c>
      <c r="J1003" s="2" t="s">
        <v>5485</v>
      </c>
      <c r="K1003" s="2" t="s">
        <v>9680</v>
      </c>
      <c r="L1003" s="10" t="s">
        <v>9681</v>
      </c>
    </row>
    <row r="1004">
      <c r="A1004" s="2" t="s">
        <v>5328</v>
      </c>
      <c r="B1004" s="2" t="s">
        <v>9682</v>
      </c>
      <c r="C1004" s="2">
        <v>3.16140535E8</v>
      </c>
      <c r="D1004" s="2" t="s">
        <v>9683</v>
      </c>
      <c r="E1004" s="2">
        <v>2631253.0</v>
      </c>
      <c r="F1004" s="2">
        <v>1582.0</v>
      </c>
      <c r="G1004" s="2">
        <v>2287.0</v>
      </c>
      <c r="H1004" s="2" t="s">
        <v>5906</v>
      </c>
      <c r="I1004" s="2" t="s">
        <v>5905</v>
      </c>
      <c r="J1004" s="2" t="s">
        <v>5993</v>
      </c>
      <c r="K1004" s="2" t="s">
        <v>9684</v>
      </c>
      <c r="L1004" s="10" t="s">
        <v>9685</v>
      </c>
    </row>
    <row r="1005">
      <c r="A1005" s="2" t="s">
        <v>5328</v>
      </c>
      <c r="B1005" s="2" t="s">
        <v>9686</v>
      </c>
      <c r="C1005" s="2">
        <v>3.0603359E8</v>
      </c>
      <c r="D1005" s="2" t="s">
        <v>9687</v>
      </c>
      <c r="E1005" s="2">
        <v>209683.0</v>
      </c>
      <c r="F1005" s="2">
        <v>2064.0</v>
      </c>
      <c r="G1005" s="2">
        <v>14542.0</v>
      </c>
      <c r="H1005" s="2" t="s">
        <v>5906</v>
      </c>
      <c r="I1005" s="2" t="s">
        <v>5906</v>
      </c>
      <c r="K1005" s="2" t="s">
        <v>9688</v>
      </c>
      <c r="L1005" s="10" t="s">
        <v>9689</v>
      </c>
    </row>
    <row r="1006">
      <c r="A1006" s="2" t="s">
        <v>5382</v>
      </c>
      <c r="B1006" s="2" t="s">
        <v>9690</v>
      </c>
      <c r="C1006" s="2">
        <v>2.30526772E8</v>
      </c>
      <c r="D1006" s="2" t="s">
        <v>5382</v>
      </c>
      <c r="E1006" s="2">
        <v>559023.0</v>
      </c>
      <c r="F1006" s="2">
        <v>40.0</v>
      </c>
      <c r="G1006" s="2">
        <v>2145.0</v>
      </c>
      <c r="H1006" s="2" t="s">
        <v>5906</v>
      </c>
      <c r="I1006" s="2" t="s">
        <v>5906</v>
      </c>
      <c r="J1006" s="2" t="s">
        <v>5907</v>
      </c>
      <c r="K1006" s="2" t="s">
        <v>9691</v>
      </c>
      <c r="L1006" s="10" t="s">
        <v>9692</v>
      </c>
    </row>
    <row r="1007">
      <c r="A1007" s="2" t="s">
        <v>5307</v>
      </c>
      <c r="B1007" s="2" t="s">
        <v>9693</v>
      </c>
      <c r="C1007" s="2">
        <v>1323391.0</v>
      </c>
      <c r="D1007" s="2" t="s">
        <v>5307</v>
      </c>
      <c r="E1007" s="2">
        <v>995833.0</v>
      </c>
      <c r="F1007" s="2">
        <v>829.0</v>
      </c>
      <c r="G1007" s="2">
        <v>11370.0</v>
      </c>
      <c r="H1007" s="2" t="s">
        <v>5906</v>
      </c>
      <c r="I1007" s="2" t="s">
        <v>5906</v>
      </c>
      <c r="K1007" s="2" t="s">
        <v>9694</v>
      </c>
      <c r="L1007" s="10" t="s">
        <v>9695</v>
      </c>
    </row>
    <row r="1008">
      <c r="A1008" s="2" t="s">
        <v>5307</v>
      </c>
      <c r="B1008" s="2" t="s">
        <v>9696</v>
      </c>
      <c r="C1008" s="2">
        <v>7.713709279E9</v>
      </c>
      <c r="D1008" s="2" t="s">
        <v>9697</v>
      </c>
      <c r="E1008" s="2">
        <v>541889.0</v>
      </c>
      <c r="F1008" s="2">
        <v>11.0</v>
      </c>
      <c r="G1008" s="2">
        <v>12035.0</v>
      </c>
      <c r="H1008" s="2" t="s">
        <v>5906</v>
      </c>
      <c r="I1008" s="2" t="s">
        <v>5905</v>
      </c>
      <c r="J1008" s="2" t="s">
        <v>5959</v>
      </c>
      <c r="K1008" s="2" t="s">
        <v>9698</v>
      </c>
      <c r="L1008" s="10" t="s">
        <v>9699</v>
      </c>
    </row>
    <row r="1009">
      <c r="A1009" s="2" t="s">
        <v>5307</v>
      </c>
      <c r="B1009" s="2" t="s">
        <v>9700</v>
      </c>
      <c r="C1009" s="2">
        <v>2.6010900034E10</v>
      </c>
      <c r="D1009" s="2" t="s">
        <v>9701</v>
      </c>
      <c r="E1009" s="2">
        <v>313598.0</v>
      </c>
      <c r="F1009" s="2">
        <v>2089.0</v>
      </c>
      <c r="G1009" s="2">
        <v>1190.0</v>
      </c>
      <c r="H1009" s="2" t="s">
        <v>5906</v>
      </c>
      <c r="I1009" s="2" t="s">
        <v>5905</v>
      </c>
      <c r="J1009" s="2" t="s">
        <v>5993</v>
      </c>
      <c r="K1009" s="2" t="s">
        <v>9702</v>
      </c>
      <c r="L1009" s="10" t="s">
        <v>9703</v>
      </c>
    </row>
    <row r="1010">
      <c r="A1010" s="2" t="s">
        <v>5372</v>
      </c>
      <c r="B1010" s="2" t="s">
        <v>9696</v>
      </c>
      <c r="C1010" s="2">
        <v>7.713709279E9</v>
      </c>
      <c r="D1010" s="2" t="s">
        <v>9697</v>
      </c>
      <c r="E1010" s="2">
        <v>541882.0</v>
      </c>
      <c r="F1010" s="2">
        <v>11.0</v>
      </c>
      <c r="G1010" s="2">
        <v>12036.0</v>
      </c>
      <c r="H1010" s="2" t="s">
        <v>5906</v>
      </c>
      <c r="I1010" s="2" t="s">
        <v>5905</v>
      </c>
      <c r="J1010" s="2" t="s">
        <v>5959</v>
      </c>
      <c r="K1010" s="2" t="s">
        <v>9698</v>
      </c>
      <c r="L1010" s="10" t="s">
        <v>9699</v>
      </c>
    </row>
    <row r="1011">
      <c r="A1011" s="2" t="s">
        <v>5585</v>
      </c>
      <c r="B1011" s="2" t="s">
        <v>9704</v>
      </c>
      <c r="C1011" s="2">
        <v>5.4689442858E10</v>
      </c>
      <c r="D1011" s="2" t="s">
        <v>9705</v>
      </c>
      <c r="E1011" s="2">
        <v>21947.0</v>
      </c>
      <c r="F1011" s="2">
        <v>114.0</v>
      </c>
      <c r="G1011" s="2">
        <v>249.0</v>
      </c>
      <c r="H1011" s="2" t="s">
        <v>5905</v>
      </c>
      <c r="I1011" s="2" t="s">
        <v>5906</v>
      </c>
      <c r="J1011" s="2" t="s">
        <v>5492</v>
      </c>
      <c r="K1011" s="2" t="s">
        <v>9706</v>
      </c>
      <c r="L1011" s="10" t="s">
        <v>9707</v>
      </c>
    </row>
    <row r="1012">
      <c r="A1012" s="2" t="s">
        <v>5585</v>
      </c>
      <c r="B1012" s="10" t="s">
        <v>9708</v>
      </c>
      <c r="C1012" s="2">
        <v>5.7579602421E10</v>
      </c>
      <c r="D1012" s="2" t="s">
        <v>9709</v>
      </c>
      <c r="E1012" s="2">
        <v>51787.0</v>
      </c>
      <c r="F1012" s="2">
        <v>10.0</v>
      </c>
      <c r="G1012" s="2">
        <v>3249.0</v>
      </c>
      <c r="H1012" s="2" t="s">
        <v>5906</v>
      </c>
      <c r="I1012" s="2" t="s">
        <v>5905</v>
      </c>
      <c r="J1012" s="2" t="s">
        <v>5959</v>
      </c>
      <c r="K1012" s="2" t="s">
        <v>9710</v>
      </c>
    </row>
    <row r="1013">
      <c r="A1013" s="2" t="s">
        <v>5585</v>
      </c>
      <c r="B1013" s="2" t="s">
        <v>9711</v>
      </c>
      <c r="C1013" s="2">
        <v>8.881926445E9</v>
      </c>
      <c r="D1013" s="2" t="s">
        <v>9712</v>
      </c>
      <c r="E1013" s="2">
        <v>13053.0</v>
      </c>
      <c r="F1013" s="2">
        <v>141.0</v>
      </c>
      <c r="G1013" s="2">
        <v>385.0</v>
      </c>
      <c r="H1013" s="2" t="s">
        <v>5905</v>
      </c>
      <c r="I1013" s="2" t="s">
        <v>5905</v>
      </c>
      <c r="J1013" s="2" t="s">
        <v>7620</v>
      </c>
      <c r="K1013" s="2" t="s">
        <v>9713</v>
      </c>
    </row>
    <row r="1014">
      <c r="A1014" s="2" t="s">
        <v>5480</v>
      </c>
      <c r="B1014" s="2" t="s">
        <v>9714</v>
      </c>
      <c r="C1014" s="2">
        <v>1.332095787E9</v>
      </c>
      <c r="D1014" s="2" t="s">
        <v>9715</v>
      </c>
      <c r="E1014" s="2">
        <v>68541.0</v>
      </c>
      <c r="F1014" s="2">
        <v>0.0</v>
      </c>
      <c r="G1014" s="2">
        <v>884.0</v>
      </c>
      <c r="H1014" s="2" t="s">
        <v>5906</v>
      </c>
      <c r="I1014" s="2" t="s">
        <v>5906</v>
      </c>
      <c r="J1014" s="2" t="s">
        <v>5993</v>
      </c>
      <c r="K1014" s="2" t="s">
        <v>9716</v>
      </c>
      <c r="L1014" s="10" t="s">
        <v>9717</v>
      </c>
    </row>
    <row r="1015">
      <c r="A1015" s="2" t="s">
        <v>5480</v>
      </c>
      <c r="B1015" s="2" t="s">
        <v>9718</v>
      </c>
      <c r="C1015" s="2">
        <v>6.148870416E9</v>
      </c>
      <c r="D1015" s="2" t="s">
        <v>9719</v>
      </c>
      <c r="E1015" s="2">
        <v>36459.0</v>
      </c>
      <c r="F1015" s="2">
        <v>3663.0</v>
      </c>
      <c r="G1015" s="2">
        <v>460.0</v>
      </c>
      <c r="H1015" s="2" t="s">
        <v>5906</v>
      </c>
      <c r="I1015" s="2" t="s">
        <v>5906</v>
      </c>
      <c r="J1015" s="2" t="s">
        <v>5928</v>
      </c>
      <c r="K1015" s="2" t="s">
        <v>9720</v>
      </c>
      <c r="L1015" s="10" t="s">
        <v>9721</v>
      </c>
    </row>
    <row r="1016">
      <c r="A1016" s="2" t="s">
        <v>5480</v>
      </c>
      <c r="B1016" s="2" t="s">
        <v>9722</v>
      </c>
      <c r="C1016" s="2">
        <v>2.34598207E9</v>
      </c>
      <c r="D1016" s="2" t="s">
        <v>9723</v>
      </c>
      <c r="E1016" s="2">
        <v>1067190.0</v>
      </c>
      <c r="F1016" s="2">
        <v>229.0</v>
      </c>
      <c r="G1016" s="2">
        <v>3356.0</v>
      </c>
      <c r="H1016" s="2" t="s">
        <v>5906</v>
      </c>
      <c r="I1016" s="2" t="s">
        <v>5906</v>
      </c>
      <c r="J1016" s="2" t="s">
        <v>5907</v>
      </c>
      <c r="K1016" s="2" t="s">
        <v>9724</v>
      </c>
      <c r="L1016" s="10" t="s">
        <v>9725</v>
      </c>
    </row>
    <row r="1017">
      <c r="A1017" s="2" t="s">
        <v>5480</v>
      </c>
      <c r="B1017" s="2" t="s">
        <v>9726</v>
      </c>
      <c r="C1017" s="2">
        <v>7.798157451E9</v>
      </c>
      <c r="D1017" s="2" t="s">
        <v>9727</v>
      </c>
      <c r="E1017" s="2">
        <v>3841955.0</v>
      </c>
      <c r="F1017" s="2">
        <v>1701.0</v>
      </c>
      <c r="G1017" s="2">
        <v>17775.0</v>
      </c>
      <c r="H1017" s="2" t="s">
        <v>5906</v>
      </c>
      <c r="I1017" s="2" t="s">
        <v>5905</v>
      </c>
      <c r="J1017" s="2" t="s">
        <v>5561</v>
      </c>
      <c r="K1017" s="2" t="s">
        <v>9728</v>
      </c>
    </row>
    <row r="1018">
      <c r="A1018" s="2" t="s">
        <v>5480</v>
      </c>
      <c r="B1018" s="2" t="s">
        <v>9729</v>
      </c>
      <c r="C1018" s="2">
        <v>3.075541874E9</v>
      </c>
      <c r="D1018" s="2" t="s">
        <v>9730</v>
      </c>
      <c r="E1018" s="2">
        <v>10774.0</v>
      </c>
      <c r="F1018" s="2">
        <v>1546.0</v>
      </c>
      <c r="G1018" s="2">
        <v>60.0</v>
      </c>
      <c r="H1018" s="2" t="s">
        <v>5906</v>
      </c>
      <c r="I1018" s="2" t="s">
        <v>5906</v>
      </c>
      <c r="J1018" s="2" t="s">
        <v>7059</v>
      </c>
      <c r="K1018" s="2" t="s">
        <v>9731</v>
      </c>
      <c r="L1018" s="10" t="s">
        <v>9732</v>
      </c>
    </row>
    <row r="1019">
      <c r="A1019" s="2" t="s">
        <v>5480</v>
      </c>
      <c r="B1019" s="2" t="s">
        <v>9733</v>
      </c>
      <c r="C1019" s="2">
        <v>8.10981734E9</v>
      </c>
      <c r="D1019" s="2" t="s">
        <v>9734</v>
      </c>
      <c r="E1019" s="2">
        <v>75806.0</v>
      </c>
      <c r="F1019" s="2">
        <v>1.0</v>
      </c>
      <c r="G1019" s="2">
        <v>212.0</v>
      </c>
      <c r="H1019" s="2" t="s">
        <v>5905</v>
      </c>
      <c r="I1019" s="2" t="s">
        <v>5905</v>
      </c>
      <c r="J1019" s="2" t="s">
        <v>7347</v>
      </c>
      <c r="K1019" s="12" t="s">
        <v>9735</v>
      </c>
    </row>
    <row r="1020">
      <c r="A1020" s="2" t="s">
        <v>5480</v>
      </c>
      <c r="B1020" s="2" t="s">
        <v>9736</v>
      </c>
      <c r="C1020" s="2">
        <v>4.306490629E9</v>
      </c>
      <c r="D1020" s="2" t="s">
        <v>5480</v>
      </c>
      <c r="E1020" s="2">
        <v>70664.0</v>
      </c>
      <c r="F1020" s="2">
        <v>57.0</v>
      </c>
      <c r="G1020" s="2">
        <v>115.0</v>
      </c>
      <c r="H1020" s="2" t="s">
        <v>5905</v>
      </c>
      <c r="I1020" s="2" t="s">
        <v>5905</v>
      </c>
      <c r="K1020" s="2" t="s">
        <v>9737</v>
      </c>
      <c r="L1020" s="10" t="s">
        <v>9738</v>
      </c>
    </row>
    <row r="1021">
      <c r="A1021" s="2" t="s">
        <v>5480</v>
      </c>
      <c r="B1021" s="2" t="s">
        <v>9739</v>
      </c>
      <c r="C1021" s="2">
        <v>9.019133944E9</v>
      </c>
      <c r="D1021" s="2" t="s">
        <v>9740</v>
      </c>
      <c r="E1021" s="2">
        <v>17017.0</v>
      </c>
      <c r="F1021" s="2">
        <v>7500.0</v>
      </c>
      <c r="G1021" s="2">
        <v>734.0</v>
      </c>
      <c r="H1021" s="2" t="s">
        <v>5905</v>
      </c>
      <c r="I1021" s="2" t="s">
        <v>5906</v>
      </c>
      <c r="J1021" s="2" t="s">
        <v>5959</v>
      </c>
      <c r="K1021" s="2" t="s">
        <v>9741</v>
      </c>
      <c r="L1021" s="10" t="s">
        <v>9742</v>
      </c>
    </row>
    <row r="1022">
      <c r="A1022" s="2" t="s">
        <v>5480</v>
      </c>
      <c r="B1022" s="2" t="s">
        <v>9743</v>
      </c>
      <c r="C1022" s="2">
        <v>7.382833006E9</v>
      </c>
      <c r="D1022" s="2" t="s">
        <v>9744</v>
      </c>
      <c r="E1022" s="2">
        <v>47135.0</v>
      </c>
      <c r="F1022" s="2">
        <v>310.0</v>
      </c>
      <c r="G1022" s="2">
        <v>3649.0</v>
      </c>
      <c r="H1022" s="2" t="s">
        <v>5905</v>
      </c>
      <c r="I1022" s="2" t="s">
        <v>5906</v>
      </c>
      <c r="J1022" s="2" t="s">
        <v>5907</v>
      </c>
      <c r="K1022" s="2" t="s">
        <v>9745</v>
      </c>
      <c r="L1022" s="10" t="s">
        <v>9746</v>
      </c>
    </row>
    <row r="1023">
      <c r="A1023" s="2" t="s">
        <v>5480</v>
      </c>
      <c r="B1023" s="2" t="s">
        <v>9747</v>
      </c>
      <c r="C1023" s="2">
        <v>3.0623206894E10</v>
      </c>
      <c r="D1023" s="2" t="s">
        <v>9748</v>
      </c>
      <c r="E1023" s="2">
        <v>23928.0</v>
      </c>
      <c r="F1023" s="2">
        <v>7461.0</v>
      </c>
      <c r="G1023" s="2">
        <v>2854.0</v>
      </c>
      <c r="H1023" s="2" t="s">
        <v>5906</v>
      </c>
      <c r="I1023" s="2" t="s">
        <v>5905</v>
      </c>
      <c r="J1023" s="2" t="s">
        <v>6002</v>
      </c>
      <c r="K1023" s="2" t="s">
        <v>9749</v>
      </c>
      <c r="L1023" s="10" t="s">
        <v>9750</v>
      </c>
    </row>
    <row r="1024">
      <c r="A1024" s="2" t="s">
        <v>5480</v>
      </c>
      <c r="B1024" s="2" t="s">
        <v>9751</v>
      </c>
      <c r="C1024" s="2">
        <v>5.4173602829E10</v>
      </c>
      <c r="D1024" s="2" t="s">
        <v>9752</v>
      </c>
      <c r="E1024" s="2">
        <v>724257.0</v>
      </c>
      <c r="F1024" s="2">
        <v>62.0</v>
      </c>
      <c r="G1024" s="2">
        <v>5404.0</v>
      </c>
      <c r="H1024" s="2" t="s">
        <v>5906</v>
      </c>
      <c r="I1024" s="2" t="s">
        <v>5905</v>
      </c>
      <c r="J1024" s="2" t="s">
        <v>6290</v>
      </c>
      <c r="K1024" s="2" t="s">
        <v>9753</v>
      </c>
      <c r="L1024" s="10" t="s">
        <v>9754</v>
      </c>
    </row>
    <row r="1025">
      <c r="A1025" s="2" t="s">
        <v>5393</v>
      </c>
      <c r="B1025" s="2" t="s">
        <v>9755</v>
      </c>
      <c r="C1025" s="2">
        <v>4.3056067355E10</v>
      </c>
      <c r="D1025" s="2" t="s">
        <v>9756</v>
      </c>
      <c r="E1025" s="2">
        <v>39300.0</v>
      </c>
      <c r="F1025" s="2">
        <v>138.0</v>
      </c>
      <c r="G1025" s="2">
        <v>102.0</v>
      </c>
      <c r="H1025" s="2" t="s">
        <v>5905</v>
      </c>
      <c r="I1025" s="2" t="s">
        <v>5905</v>
      </c>
      <c r="J1025" s="2" t="s">
        <v>5959</v>
      </c>
      <c r="K1025" s="12" t="s">
        <v>9757</v>
      </c>
      <c r="L1025" s="10" t="s">
        <v>9758</v>
      </c>
    </row>
    <row r="1026">
      <c r="A1026" s="2" t="s">
        <v>5393</v>
      </c>
      <c r="B1026" s="2" t="s">
        <v>9759</v>
      </c>
      <c r="C1026" s="2">
        <v>4.6685424934E10</v>
      </c>
      <c r="D1026" s="2" t="s">
        <v>9760</v>
      </c>
      <c r="E1026" s="2">
        <v>109049.0</v>
      </c>
      <c r="F1026" s="2">
        <v>95.0</v>
      </c>
      <c r="G1026" s="2">
        <v>5484.0</v>
      </c>
      <c r="H1026" s="2" t="s">
        <v>5905</v>
      </c>
      <c r="I1026" s="2" t="s">
        <v>5906</v>
      </c>
      <c r="J1026" s="2" t="s">
        <v>5959</v>
      </c>
      <c r="K1026" s="2" t="s">
        <v>9761</v>
      </c>
      <c r="L1026" s="10" t="s">
        <v>9762</v>
      </c>
    </row>
    <row r="1027">
      <c r="A1027" s="2" t="s">
        <v>5393</v>
      </c>
      <c r="B1027" s="10" t="s">
        <v>9763</v>
      </c>
      <c r="C1027" s="2">
        <v>6.3974311354E10</v>
      </c>
      <c r="D1027" s="2" t="s">
        <v>5480</v>
      </c>
      <c r="E1027" s="2">
        <v>78406.0</v>
      </c>
      <c r="F1027" s="2">
        <v>0.0</v>
      </c>
      <c r="G1027" s="2">
        <v>507.0</v>
      </c>
      <c r="H1027" s="2" t="s">
        <v>5905</v>
      </c>
      <c r="I1027" s="2" t="s">
        <v>5906</v>
      </c>
      <c r="J1027" s="2" t="s">
        <v>5480</v>
      </c>
      <c r="K1027" s="12" t="s">
        <v>9764</v>
      </c>
    </row>
    <row r="1028">
      <c r="A1028" s="2" t="s">
        <v>5322</v>
      </c>
      <c r="B1028" s="2" t="s">
        <v>9765</v>
      </c>
      <c r="C1028" s="2">
        <v>5.474994243E10</v>
      </c>
      <c r="D1028" s="2" t="s">
        <v>9766</v>
      </c>
      <c r="E1028" s="2">
        <v>59501.0</v>
      </c>
      <c r="F1028" s="2">
        <v>0.0</v>
      </c>
      <c r="G1028" s="2">
        <v>1065.0</v>
      </c>
      <c r="H1028" s="2" t="s">
        <v>5905</v>
      </c>
      <c r="I1028" s="2" t="s">
        <v>5906</v>
      </c>
      <c r="J1028" s="2" t="s">
        <v>9767</v>
      </c>
      <c r="K1028" s="2" t="s">
        <v>9768</v>
      </c>
    </row>
    <row r="1029">
      <c r="A1029" s="2" t="s">
        <v>5322</v>
      </c>
      <c r="B1029" s="2" t="s">
        <v>9769</v>
      </c>
      <c r="C1029" s="2">
        <v>3.3422043255E10</v>
      </c>
      <c r="D1029" s="2" t="s">
        <v>9770</v>
      </c>
      <c r="E1029" s="2">
        <v>271049.0</v>
      </c>
      <c r="F1029" s="2">
        <v>4.0</v>
      </c>
      <c r="G1029" s="2">
        <v>139.0</v>
      </c>
      <c r="H1029" s="2" t="s">
        <v>5905</v>
      </c>
      <c r="I1029" s="2" t="s">
        <v>5905</v>
      </c>
      <c r="J1029" s="2" t="s">
        <v>5959</v>
      </c>
      <c r="K1029" s="2" t="s">
        <v>9771</v>
      </c>
      <c r="L1029" s="10" t="s">
        <v>9772</v>
      </c>
    </row>
    <row r="1030">
      <c r="A1030" s="2" t="s">
        <v>5322</v>
      </c>
      <c r="B1030" s="2" t="s">
        <v>9773</v>
      </c>
      <c r="C1030" s="2">
        <v>1.482222986E9</v>
      </c>
      <c r="D1030" s="2" t="s">
        <v>9774</v>
      </c>
      <c r="E1030" s="2">
        <v>719901.0</v>
      </c>
      <c r="F1030" s="2">
        <v>367.0</v>
      </c>
      <c r="G1030" s="2">
        <v>2946.0</v>
      </c>
      <c r="H1030" s="2" t="s">
        <v>5906</v>
      </c>
      <c r="I1030" s="2" t="s">
        <v>5905</v>
      </c>
      <c r="J1030" s="2" t="s">
        <v>9775</v>
      </c>
      <c r="K1030" s="2" t="s">
        <v>9776</v>
      </c>
      <c r="L1030" s="10" t="s">
        <v>9777</v>
      </c>
    </row>
    <row r="1031">
      <c r="A1031" s="2" t="s">
        <v>5322</v>
      </c>
      <c r="B1031" s="2" t="s">
        <v>9778</v>
      </c>
      <c r="C1031" s="2">
        <v>5.267722378E10</v>
      </c>
      <c r="D1031" s="2" t="s">
        <v>9779</v>
      </c>
      <c r="E1031" s="2">
        <v>29080.0</v>
      </c>
      <c r="F1031" s="2">
        <v>31.0</v>
      </c>
      <c r="G1031" s="2">
        <v>1742.0</v>
      </c>
      <c r="H1031" s="2" t="s">
        <v>5905</v>
      </c>
      <c r="I1031" s="2" t="s">
        <v>5905</v>
      </c>
      <c r="J1031" s="2" t="s">
        <v>7140</v>
      </c>
      <c r="K1031" s="2" t="s">
        <v>9780</v>
      </c>
      <c r="L1031" s="10" t="s">
        <v>9781</v>
      </c>
    </row>
    <row r="1032">
      <c r="A1032" s="2" t="s">
        <v>5322</v>
      </c>
      <c r="B1032" s="2" t="s">
        <v>9782</v>
      </c>
      <c r="C1032" s="2">
        <v>9143088.0</v>
      </c>
      <c r="D1032" s="2" t="s">
        <v>9783</v>
      </c>
      <c r="E1032" s="2">
        <v>1703480.0</v>
      </c>
      <c r="F1032" s="2">
        <v>945.0</v>
      </c>
      <c r="G1032" s="2">
        <v>9101.0</v>
      </c>
      <c r="H1032" s="2" t="s">
        <v>5906</v>
      </c>
      <c r="I1032" s="2" t="s">
        <v>5906</v>
      </c>
      <c r="K1032" s="2" t="s">
        <v>9784</v>
      </c>
      <c r="L1032" s="10" t="s">
        <v>9785</v>
      </c>
    </row>
    <row r="1033">
      <c r="A1033" s="2" t="s">
        <v>5322</v>
      </c>
      <c r="B1033" s="2" t="s">
        <v>9786</v>
      </c>
      <c r="C1033" s="2">
        <v>4.6184144197E10</v>
      </c>
      <c r="D1033" s="2" t="s">
        <v>9787</v>
      </c>
      <c r="E1033" s="2">
        <v>294494.0</v>
      </c>
      <c r="F1033" s="2">
        <v>616.0</v>
      </c>
      <c r="G1033" s="2">
        <v>230.0</v>
      </c>
      <c r="H1033" s="2" t="s">
        <v>5906</v>
      </c>
      <c r="I1033" s="2" t="s">
        <v>5905</v>
      </c>
      <c r="J1033" s="2" t="s">
        <v>9788</v>
      </c>
      <c r="K1033" s="2" t="s">
        <v>9789</v>
      </c>
      <c r="L1033" s="10" t="s">
        <v>9790</v>
      </c>
    </row>
    <row r="1034">
      <c r="A1034" s="2" t="s">
        <v>5322</v>
      </c>
      <c r="B1034" s="2" t="s">
        <v>9791</v>
      </c>
      <c r="C1034" s="2">
        <v>5.4152989558E10</v>
      </c>
      <c r="D1034" s="2" t="s">
        <v>9792</v>
      </c>
      <c r="E1034" s="2">
        <v>34562.0</v>
      </c>
      <c r="F1034" s="2">
        <v>7.0</v>
      </c>
      <c r="G1034" s="2">
        <v>1146.0</v>
      </c>
      <c r="H1034" s="2" t="s">
        <v>5905</v>
      </c>
      <c r="I1034" s="2" t="s">
        <v>5905</v>
      </c>
      <c r="J1034" s="2" t="s">
        <v>9793</v>
      </c>
      <c r="K1034" s="2" t="s">
        <v>9794</v>
      </c>
      <c r="L1034" s="10" t="s">
        <v>9795</v>
      </c>
    </row>
    <row r="1035">
      <c r="A1035" s="2" t="s">
        <v>5413</v>
      </c>
      <c r="B1035" s="2" t="s">
        <v>9796</v>
      </c>
      <c r="C1035" s="2">
        <v>2.1236205725E10</v>
      </c>
      <c r="D1035" s="2" t="s">
        <v>5413</v>
      </c>
      <c r="E1035" s="2">
        <v>17829.0</v>
      </c>
      <c r="F1035" s="2">
        <v>68.0</v>
      </c>
      <c r="G1035" s="2">
        <v>2312.0</v>
      </c>
      <c r="H1035" s="2" t="s">
        <v>5905</v>
      </c>
      <c r="I1035" s="2" t="s">
        <v>5906</v>
      </c>
      <c r="J1035" s="2" t="s">
        <v>5959</v>
      </c>
      <c r="K1035" s="2" t="s">
        <v>9797</v>
      </c>
      <c r="L1035" s="10" t="s">
        <v>9798</v>
      </c>
    </row>
    <row r="1036">
      <c r="A1036" s="2" t="s">
        <v>5371</v>
      </c>
      <c r="B1036" s="2" t="s">
        <v>9799</v>
      </c>
      <c r="C1036" s="2">
        <v>3.08018048E8</v>
      </c>
      <c r="D1036" s="2" t="s">
        <v>5371</v>
      </c>
      <c r="E1036" s="2">
        <v>135208.0</v>
      </c>
      <c r="F1036" s="2">
        <v>426.0</v>
      </c>
      <c r="G1036" s="2">
        <v>4086.0</v>
      </c>
      <c r="H1036" s="2" t="s">
        <v>5906</v>
      </c>
      <c r="I1036" s="2" t="s">
        <v>5906</v>
      </c>
      <c r="J1036" s="2" t="s">
        <v>5907</v>
      </c>
      <c r="K1036" s="2" t="s">
        <v>9800</v>
      </c>
      <c r="L1036" s="10" t="s">
        <v>9801</v>
      </c>
    </row>
    <row r="1037">
      <c r="A1037" s="2" t="s">
        <v>5464</v>
      </c>
      <c r="B1037" s="2" t="s">
        <v>9802</v>
      </c>
      <c r="C1037" s="2">
        <v>5.609928875E9</v>
      </c>
      <c r="D1037" s="2" t="s">
        <v>9803</v>
      </c>
      <c r="E1037" s="2">
        <v>537343.0</v>
      </c>
      <c r="F1037" s="2">
        <v>3743.0</v>
      </c>
      <c r="G1037" s="2">
        <v>2854.0</v>
      </c>
      <c r="H1037" s="2" t="s">
        <v>5906</v>
      </c>
      <c r="I1037" s="2" t="s">
        <v>5905</v>
      </c>
      <c r="J1037" s="2" t="s">
        <v>5959</v>
      </c>
      <c r="K1037" s="2" t="s">
        <v>9804</v>
      </c>
    </row>
    <row r="1038">
      <c r="A1038" s="2" t="s">
        <v>5464</v>
      </c>
      <c r="B1038" s="2" t="s">
        <v>9805</v>
      </c>
      <c r="C1038" s="2">
        <v>3.9500053084E10</v>
      </c>
      <c r="D1038" s="2" t="s">
        <v>9806</v>
      </c>
      <c r="E1038" s="2">
        <v>12884.0</v>
      </c>
      <c r="F1038" s="2">
        <v>4.0</v>
      </c>
      <c r="G1038" s="2">
        <v>30.0</v>
      </c>
      <c r="H1038" s="2" t="s">
        <v>5905</v>
      </c>
      <c r="I1038" s="2" t="s">
        <v>5906</v>
      </c>
      <c r="J1038" s="2" t="s">
        <v>5561</v>
      </c>
      <c r="K1038" s="2" t="s">
        <v>9807</v>
      </c>
      <c r="L1038" s="10" t="s">
        <v>9808</v>
      </c>
    </row>
    <row r="1039">
      <c r="A1039" s="2" t="s">
        <v>5464</v>
      </c>
      <c r="B1039" s="2" t="s">
        <v>9809</v>
      </c>
      <c r="C1039" s="2">
        <v>2.8199775653E10</v>
      </c>
      <c r="D1039" s="2" t="s">
        <v>9810</v>
      </c>
      <c r="E1039" s="2">
        <v>19290.0</v>
      </c>
      <c r="F1039" s="2">
        <v>89.0</v>
      </c>
      <c r="G1039" s="2">
        <v>62.0</v>
      </c>
      <c r="H1039" s="2" t="s">
        <v>5905</v>
      </c>
      <c r="I1039" s="2" t="s">
        <v>5905</v>
      </c>
      <c r="J1039" s="2" t="s">
        <v>6002</v>
      </c>
      <c r="K1039" s="2" t="s">
        <v>9811</v>
      </c>
      <c r="L1039" s="10" t="s">
        <v>9812</v>
      </c>
    </row>
    <row r="1040">
      <c r="A1040" s="2" t="s">
        <v>5464</v>
      </c>
      <c r="B1040" s="2" t="s">
        <v>9813</v>
      </c>
      <c r="C1040" s="2">
        <v>3.230084054E9</v>
      </c>
      <c r="D1040" s="2" t="s">
        <v>9814</v>
      </c>
      <c r="E1040" s="2">
        <v>46936.0</v>
      </c>
      <c r="F1040" s="2">
        <v>0.0</v>
      </c>
      <c r="G1040" s="2">
        <v>1963.0</v>
      </c>
      <c r="H1040" s="2" t="s">
        <v>5905</v>
      </c>
      <c r="I1040" s="2" t="s">
        <v>5906</v>
      </c>
      <c r="J1040" s="2" t="s">
        <v>9815</v>
      </c>
      <c r="K1040" s="2" t="s">
        <v>9816</v>
      </c>
      <c r="L1040" s="10" t="s">
        <v>9817</v>
      </c>
    </row>
    <row r="1041">
      <c r="A1041" s="2" t="s">
        <v>5464</v>
      </c>
      <c r="B1041" s="2" t="s">
        <v>9818</v>
      </c>
      <c r="C1041" s="2">
        <v>3.9004510036E10</v>
      </c>
      <c r="D1041" s="2" t="s">
        <v>9819</v>
      </c>
      <c r="E1041" s="2">
        <v>26397.0</v>
      </c>
      <c r="F1041" s="2">
        <v>9.0</v>
      </c>
      <c r="G1041" s="2">
        <v>852.0</v>
      </c>
      <c r="H1041" s="2" t="s">
        <v>5905</v>
      </c>
      <c r="I1041" s="2" t="s">
        <v>5905</v>
      </c>
      <c r="J1041" s="2" t="s">
        <v>5491</v>
      </c>
      <c r="K1041" s="10" t="s">
        <v>9820</v>
      </c>
    </row>
    <row r="1042">
      <c r="A1042" s="2" t="s">
        <v>5464</v>
      </c>
      <c r="B1042" s="2" t="s">
        <v>9821</v>
      </c>
      <c r="C1042" s="2">
        <v>7.08945109E9</v>
      </c>
      <c r="D1042" s="2" t="s">
        <v>9822</v>
      </c>
      <c r="E1042" s="2">
        <v>812989.0</v>
      </c>
      <c r="F1042" s="2">
        <v>1149.0</v>
      </c>
      <c r="G1042" s="2">
        <v>670.0</v>
      </c>
      <c r="H1042" s="2" t="s">
        <v>5906</v>
      </c>
      <c r="I1042" s="2" t="s">
        <v>5905</v>
      </c>
      <c r="J1042" s="2" t="s">
        <v>6166</v>
      </c>
      <c r="K1042" s="2" t="s">
        <v>9823</v>
      </c>
      <c r="L1042" s="10" t="s">
        <v>9824</v>
      </c>
    </row>
    <row r="1043">
      <c r="A1043" s="2" t="s">
        <v>5464</v>
      </c>
      <c r="B1043" s="2" t="s">
        <v>9825</v>
      </c>
      <c r="C1043" s="2">
        <v>1.0804680594E10</v>
      </c>
      <c r="D1043" s="2" t="s">
        <v>9826</v>
      </c>
      <c r="E1043" s="2">
        <v>1467241.0</v>
      </c>
      <c r="F1043" s="2">
        <v>1.0</v>
      </c>
      <c r="G1043" s="2">
        <v>1972.0</v>
      </c>
      <c r="H1043" s="2" t="s">
        <v>5905</v>
      </c>
      <c r="I1043" s="2" t="s">
        <v>5906</v>
      </c>
      <c r="J1043" s="2" t="s">
        <v>6032</v>
      </c>
      <c r="K1043" s="2" t="s">
        <v>9827</v>
      </c>
      <c r="L1043" s="10" t="s">
        <v>9828</v>
      </c>
    </row>
    <row r="1044">
      <c r="A1044" s="2" t="s">
        <v>5310</v>
      </c>
      <c r="B1044" s="2" t="s">
        <v>9829</v>
      </c>
      <c r="C1044" s="2">
        <v>3.0810367286E10</v>
      </c>
      <c r="D1044" s="2" t="s">
        <v>9830</v>
      </c>
      <c r="E1044" s="2">
        <v>43216.0</v>
      </c>
      <c r="F1044" s="2">
        <v>4.0</v>
      </c>
      <c r="G1044" s="2">
        <v>5284.0</v>
      </c>
      <c r="H1044" s="2" t="s">
        <v>5905</v>
      </c>
      <c r="I1044" s="2" t="s">
        <v>5906</v>
      </c>
      <c r="J1044" s="2" t="s">
        <v>5911</v>
      </c>
      <c r="K1044" s="2" t="s">
        <v>9831</v>
      </c>
      <c r="L1044" s="10" t="s">
        <v>9832</v>
      </c>
    </row>
    <row r="1045">
      <c r="A1045" s="2" t="s">
        <v>5310</v>
      </c>
      <c r="B1045" s="2" t="s">
        <v>9833</v>
      </c>
      <c r="C1045" s="2">
        <v>5.09187539E8</v>
      </c>
      <c r="D1045" s="2" t="s">
        <v>5310</v>
      </c>
      <c r="E1045" s="2">
        <v>1109304.0</v>
      </c>
      <c r="F1045" s="2">
        <v>168.0</v>
      </c>
      <c r="G1045" s="2">
        <v>1442.0</v>
      </c>
      <c r="H1045" s="2" t="s">
        <v>5906</v>
      </c>
      <c r="I1045" s="2" t="s">
        <v>5906</v>
      </c>
      <c r="K1045" s="2" t="s">
        <v>9834</v>
      </c>
      <c r="L1045" s="10" t="s">
        <v>9835</v>
      </c>
    </row>
    <row r="1046">
      <c r="A1046" s="2" t="s">
        <v>5384</v>
      </c>
      <c r="B1046" s="2" t="s">
        <v>9836</v>
      </c>
      <c r="C1046" s="2">
        <v>1.9248576539E10</v>
      </c>
      <c r="D1046" s="2" t="s">
        <v>9837</v>
      </c>
      <c r="E1046" s="2">
        <v>54916.0</v>
      </c>
      <c r="F1046" s="2">
        <v>35.0</v>
      </c>
      <c r="G1046" s="2">
        <v>1268.0</v>
      </c>
      <c r="H1046" s="2" t="s">
        <v>5905</v>
      </c>
      <c r="I1046" s="2" t="s">
        <v>5906</v>
      </c>
      <c r="J1046" s="2" t="s">
        <v>5551</v>
      </c>
      <c r="K1046" s="2" t="s">
        <v>9838</v>
      </c>
      <c r="L1046" s="10" t="s">
        <v>9839</v>
      </c>
    </row>
    <row r="1047">
      <c r="A1047" s="2" t="s">
        <v>5384</v>
      </c>
      <c r="B1047" s="2" t="s">
        <v>9840</v>
      </c>
      <c r="C1047" s="2">
        <v>1.831619299E9</v>
      </c>
      <c r="D1047" s="2" t="s">
        <v>5384</v>
      </c>
      <c r="E1047" s="2">
        <v>1988998.0</v>
      </c>
      <c r="F1047" s="2">
        <v>107.0</v>
      </c>
      <c r="G1047" s="2">
        <v>8502.0</v>
      </c>
      <c r="H1047" s="2" t="s">
        <v>5906</v>
      </c>
      <c r="I1047" s="2" t="s">
        <v>5906</v>
      </c>
      <c r="J1047" s="2" t="s">
        <v>5480</v>
      </c>
      <c r="K1047" s="2" t="s">
        <v>9841</v>
      </c>
      <c r="L1047" s="10" t="s">
        <v>9842</v>
      </c>
    </row>
    <row r="1048">
      <c r="A1048" s="2" t="s">
        <v>5386</v>
      </c>
      <c r="B1048" s="2" t="s">
        <v>9843</v>
      </c>
      <c r="C1048" s="2">
        <v>1.0616029418E10</v>
      </c>
      <c r="D1048" s="2" t="s">
        <v>9844</v>
      </c>
      <c r="E1048" s="2">
        <v>25793.0</v>
      </c>
      <c r="F1048" s="2">
        <v>40.0</v>
      </c>
      <c r="G1048" s="2">
        <v>252.0</v>
      </c>
      <c r="H1048" s="2" t="s">
        <v>5905</v>
      </c>
      <c r="I1048" s="2" t="s">
        <v>5906</v>
      </c>
      <c r="K1048" s="2" t="s">
        <v>9845</v>
      </c>
      <c r="L1048" s="10" t="s">
        <v>9846</v>
      </c>
    </row>
    <row r="1049">
      <c r="A1049" s="2" t="s">
        <v>5386</v>
      </c>
      <c r="B1049" s="2" t="s">
        <v>9847</v>
      </c>
      <c r="C1049" s="2">
        <v>1.523450205E9</v>
      </c>
      <c r="D1049" s="2" t="s">
        <v>9844</v>
      </c>
      <c r="E1049" s="2">
        <v>311110.0</v>
      </c>
      <c r="F1049" s="2">
        <v>141.0</v>
      </c>
      <c r="G1049" s="2">
        <v>1611.0</v>
      </c>
      <c r="H1049" s="2" t="s">
        <v>5906</v>
      </c>
      <c r="I1049" s="2" t="s">
        <v>5906</v>
      </c>
      <c r="J1049" s="2" t="s">
        <v>9848</v>
      </c>
      <c r="K1049" s="2" t="s">
        <v>9849</v>
      </c>
      <c r="L1049" s="10" t="s">
        <v>9850</v>
      </c>
    </row>
    <row r="1050">
      <c r="A1050" s="2" t="s">
        <v>5289</v>
      </c>
      <c r="B1050" s="2" t="s">
        <v>9851</v>
      </c>
      <c r="C1050" s="2">
        <v>1.77517445E8</v>
      </c>
      <c r="D1050" s="2" t="s">
        <v>5289</v>
      </c>
      <c r="E1050" s="2">
        <v>2296728.0</v>
      </c>
      <c r="F1050" s="2">
        <v>295.0</v>
      </c>
      <c r="G1050" s="2">
        <v>16151.0</v>
      </c>
      <c r="H1050" s="2" t="s">
        <v>5906</v>
      </c>
      <c r="I1050" s="2" t="s">
        <v>5906</v>
      </c>
      <c r="J1050" s="2" t="s">
        <v>5911</v>
      </c>
      <c r="K1050" s="2" t="s">
        <v>9852</v>
      </c>
      <c r="L1050" s="10" t="s">
        <v>9853</v>
      </c>
    </row>
    <row r="1051">
      <c r="A1051" s="2" t="s">
        <v>5289</v>
      </c>
      <c r="B1051" s="2" t="s">
        <v>9854</v>
      </c>
      <c r="C1051" s="2">
        <v>5.76112711E8</v>
      </c>
      <c r="D1051" s="2" t="s">
        <v>9855</v>
      </c>
      <c r="E1051" s="2">
        <v>24025.0</v>
      </c>
      <c r="F1051" s="2">
        <v>125.0</v>
      </c>
      <c r="G1051" s="2">
        <v>371.0</v>
      </c>
      <c r="H1051" s="2" t="s">
        <v>5906</v>
      </c>
      <c r="I1051" s="2" t="s">
        <v>5906</v>
      </c>
      <c r="K1051" s="2" t="s">
        <v>9856</v>
      </c>
      <c r="L1051" s="10" t="s">
        <v>9857</v>
      </c>
    </row>
    <row r="1052">
      <c r="A1052" s="2" t="s">
        <v>5289</v>
      </c>
      <c r="B1052" s="2" t="s">
        <v>9858</v>
      </c>
      <c r="C1052" s="2">
        <v>6.0919413879E10</v>
      </c>
      <c r="D1052" s="2" t="s">
        <v>9859</v>
      </c>
      <c r="E1052" s="2">
        <v>109407.0</v>
      </c>
      <c r="F1052" s="2">
        <v>208.0</v>
      </c>
      <c r="G1052" s="2">
        <v>1991.0</v>
      </c>
      <c r="H1052" s="2" t="s">
        <v>5906</v>
      </c>
      <c r="I1052" s="2" t="s">
        <v>5905</v>
      </c>
      <c r="J1052" s="2" t="s">
        <v>5911</v>
      </c>
      <c r="K1052" s="2" t="s">
        <v>9860</v>
      </c>
      <c r="L1052" s="10" t="s">
        <v>9861</v>
      </c>
    </row>
    <row r="1053">
      <c r="A1053" s="2" t="s">
        <v>5289</v>
      </c>
      <c r="B1053" s="2" t="s">
        <v>9862</v>
      </c>
      <c r="C1053" s="2">
        <v>5.4449218334E10</v>
      </c>
      <c r="D1053" s="2" t="s">
        <v>9863</v>
      </c>
      <c r="E1053" s="2">
        <v>16634.0</v>
      </c>
      <c r="F1053" s="2">
        <v>108.0</v>
      </c>
      <c r="G1053" s="2">
        <v>615.0</v>
      </c>
      <c r="H1053" s="2" t="s">
        <v>5905</v>
      </c>
      <c r="I1053" s="2" t="s">
        <v>5906</v>
      </c>
      <c r="J1053" s="2" t="s">
        <v>6199</v>
      </c>
      <c r="K1053" s="2" t="s">
        <v>9864</v>
      </c>
      <c r="L1053" s="10" t="s">
        <v>9865</v>
      </c>
    </row>
    <row r="1054">
      <c r="A1054" s="2" t="s">
        <v>5365</v>
      </c>
      <c r="B1054" s="2" t="s">
        <v>9866</v>
      </c>
      <c r="C1054" s="2">
        <v>787132.0</v>
      </c>
      <c r="D1054" s="2" t="s">
        <v>5365</v>
      </c>
      <c r="E1054" s="2">
        <v>2.77133518E8</v>
      </c>
      <c r="F1054" s="2">
        <v>171.0</v>
      </c>
      <c r="G1054" s="2">
        <v>30844.0</v>
      </c>
      <c r="H1054" s="2" t="s">
        <v>5906</v>
      </c>
      <c r="I1054" s="2" t="s">
        <v>5906</v>
      </c>
      <c r="J1054" s="2" t="s">
        <v>5911</v>
      </c>
      <c r="K1054" s="2" t="s">
        <v>9867</v>
      </c>
      <c r="L1054" s="10" t="s">
        <v>9868</v>
      </c>
    </row>
    <row r="1055">
      <c r="A1055" s="2" t="s">
        <v>5365</v>
      </c>
      <c r="B1055" s="2" t="s">
        <v>9869</v>
      </c>
      <c r="C1055" s="2">
        <v>4.14805671E8</v>
      </c>
      <c r="D1055" s="2" t="s">
        <v>9870</v>
      </c>
      <c r="E1055" s="2">
        <v>9493882.0</v>
      </c>
      <c r="F1055" s="2">
        <v>77.0</v>
      </c>
      <c r="G1055" s="2">
        <v>8263.0</v>
      </c>
      <c r="H1055" s="2" t="s">
        <v>5906</v>
      </c>
      <c r="I1055" s="2" t="s">
        <v>5906</v>
      </c>
      <c r="K1055" s="2" t="s">
        <v>9871</v>
      </c>
      <c r="L1055" s="10" t="s">
        <v>9872</v>
      </c>
    </row>
    <row r="1056">
      <c r="A1056" s="2" t="s">
        <v>5365</v>
      </c>
      <c r="B1056" s="2" t="s">
        <v>9873</v>
      </c>
      <c r="C1056" s="2">
        <v>1.0296493E9</v>
      </c>
      <c r="D1056" s="2" t="s">
        <v>9874</v>
      </c>
      <c r="E1056" s="2">
        <v>1.4561331E7</v>
      </c>
      <c r="F1056" s="2">
        <v>97.0</v>
      </c>
      <c r="G1056" s="2">
        <v>8765.0</v>
      </c>
      <c r="H1056" s="2" t="s">
        <v>5906</v>
      </c>
      <c r="I1056" s="2" t="s">
        <v>5906</v>
      </c>
      <c r="K1056" s="2" t="s">
        <v>9875</v>
      </c>
      <c r="L1056" s="10" t="s">
        <v>9876</v>
      </c>
    </row>
    <row r="1057">
      <c r="A1057" s="2" t="s">
        <v>5365</v>
      </c>
      <c r="B1057" s="2" t="s">
        <v>9877</v>
      </c>
      <c r="C1057" s="2">
        <v>1.73831678E8</v>
      </c>
      <c r="D1057" s="2" t="s">
        <v>9878</v>
      </c>
      <c r="E1057" s="2">
        <v>657750.0</v>
      </c>
      <c r="F1057" s="2">
        <v>95.0</v>
      </c>
      <c r="G1057" s="2">
        <v>6001.0</v>
      </c>
      <c r="H1057" s="2" t="s">
        <v>5906</v>
      </c>
      <c r="I1057" s="2" t="s">
        <v>5906</v>
      </c>
      <c r="J1057" s="2" t="s">
        <v>5911</v>
      </c>
      <c r="K1057" s="2" t="s">
        <v>9879</v>
      </c>
      <c r="L1057" s="10" t="s">
        <v>9880</v>
      </c>
    </row>
    <row r="1058">
      <c r="A1058" s="2" t="s">
        <v>5365</v>
      </c>
      <c r="B1058" s="2" t="s">
        <v>9881</v>
      </c>
      <c r="C1058" s="2">
        <v>2.27610415E9</v>
      </c>
      <c r="D1058" s="2" t="s">
        <v>9882</v>
      </c>
      <c r="E1058" s="2">
        <v>882865.0</v>
      </c>
      <c r="F1058" s="2">
        <v>2446.0</v>
      </c>
      <c r="G1058" s="2">
        <v>4600.0</v>
      </c>
      <c r="H1058" s="2" t="s">
        <v>5906</v>
      </c>
      <c r="I1058" s="2" t="s">
        <v>5906</v>
      </c>
      <c r="K1058" s="2" t="s">
        <v>9883</v>
      </c>
      <c r="L1058" s="10" t="s">
        <v>9884</v>
      </c>
    </row>
    <row r="1059">
      <c r="A1059" s="2" t="s">
        <v>5365</v>
      </c>
      <c r="B1059" s="2" t="s">
        <v>9885</v>
      </c>
      <c r="C1059" s="2">
        <v>1.752886563E9</v>
      </c>
      <c r="D1059" s="2" t="s">
        <v>9886</v>
      </c>
      <c r="E1059" s="2">
        <v>512946.0</v>
      </c>
      <c r="F1059" s="2">
        <v>105.0</v>
      </c>
      <c r="G1059" s="2">
        <v>6814.0</v>
      </c>
      <c r="H1059" s="2" t="s">
        <v>5906</v>
      </c>
      <c r="I1059" s="2" t="s">
        <v>5906</v>
      </c>
      <c r="J1059" s="2" t="s">
        <v>5480</v>
      </c>
      <c r="K1059" s="2" t="s">
        <v>9887</v>
      </c>
      <c r="L1059" s="10" t="s">
        <v>9888</v>
      </c>
    </row>
    <row r="1060">
      <c r="A1060" s="2" t="s">
        <v>5365</v>
      </c>
      <c r="B1060" s="2" t="s">
        <v>9889</v>
      </c>
      <c r="C1060" s="2">
        <v>3.798951E8</v>
      </c>
      <c r="D1060" s="2" t="s">
        <v>9890</v>
      </c>
      <c r="E1060" s="2">
        <v>1.6665611E7</v>
      </c>
      <c r="F1060" s="2">
        <v>6.0</v>
      </c>
      <c r="G1060" s="2">
        <v>393.0</v>
      </c>
      <c r="H1060" s="2" t="s">
        <v>5906</v>
      </c>
      <c r="I1060" s="2" t="s">
        <v>5906</v>
      </c>
      <c r="K1060" s="2" t="s">
        <v>9891</v>
      </c>
      <c r="L1060" s="10" t="s">
        <v>9892</v>
      </c>
    </row>
    <row r="1061">
      <c r="A1061" s="2" t="s">
        <v>5365</v>
      </c>
      <c r="B1061" s="2" t="s">
        <v>9893</v>
      </c>
      <c r="C1061" s="2">
        <v>5.356520942E9</v>
      </c>
      <c r="D1061" s="2" t="s">
        <v>9894</v>
      </c>
      <c r="E1061" s="2">
        <v>2053863.0</v>
      </c>
      <c r="F1061" s="2">
        <v>259.0</v>
      </c>
      <c r="G1061" s="2">
        <v>4892.0</v>
      </c>
      <c r="H1061" s="2" t="s">
        <v>5906</v>
      </c>
      <c r="I1061" s="2" t="s">
        <v>5905</v>
      </c>
      <c r="J1061" s="2" t="s">
        <v>5911</v>
      </c>
      <c r="K1061" s="2" t="s">
        <v>9895</v>
      </c>
      <c r="L1061" s="10" t="s">
        <v>9896</v>
      </c>
    </row>
    <row r="1062">
      <c r="A1062" s="2" t="s">
        <v>5365</v>
      </c>
      <c r="B1062" s="2" t="s">
        <v>9897</v>
      </c>
      <c r="C1062" s="2">
        <v>1.212693673E9</v>
      </c>
      <c r="D1062" s="2" t="s">
        <v>9898</v>
      </c>
      <c r="E1062" s="2">
        <v>911853.0</v>
      </c>
      <c r="F1062" s="2">
        <v>79.0</v>
      </c>
      <c r="G1062" s="2">
        <v>6584.0</v>
      </c>
      <c r="H1062" s="2" t="s">
        <v>5906</v>
      </c>
      <c r="I1062" s="2" t="s">
        <v>5906</v>
      </c>
      <c r="J1062" s="2" t="s">
        <v>7620</v>
      </c>
      <c r="K1062" s="2" t="s">
        <v>9899</v>
      </c>
      <c r="L1062" s="10" t="s">
        <v>9900</v>
      </c>
    </row>
    <row r="1063">
      <c r="A1063" s="2" t="s">
        <v>5365</v>
      </c>
      <c r="B1063" s="2" t="s">
        <v>9901</v>
      </c>
      <c r="C1063" s="2">
        <v>1.06508411E9</v>
      </c>
      <c r="D1063" s="2" t="s">
        <v>9902</v>
      </c>
      <c r="E1063" s="2">
        <v>215971.0</v>
      </c>
      <c r="F1063" s="2">
        <v>52.0</v>
      </c>
      <c r="G1063" s="2">
        <v>1367.0</v>
      </c>
      <c r="H1063" s="2" t="s">
        <v>5906</v>
      </c>
      <c r="I1063" s="2" t="s">
        <v>5906</v>
      </c>
      <c r="K1063" s="2" t="s">
        <v>9903</v>
      </c>
      <c r="L1063" s="10" t="s">
        <v>9904</v>
      </c>
    </row>
    <row r="1064">
      <c r="A1064" s="2" t="s">
        <v>5365</v>
      </c>
      <c r="B1064" s="10" t="s">
        <v>9905</v>
      </c>
      <c r="C1064" s="2">
        <v>2.95959245E9</v>
      </c>
      <c r="D1064" s="2" t="s">
        <v>9906</v>
      </c>
      <c r="E1064" s="2">
        <v>1902670.0</v>
      </c>
      <c r="F1064" s="2">
        <v>118.0</v>
      </c>
      <c r="G1064" s="2">
        <v>3030.0</v>
      </c>
      <c r="H1064" s="2" t="s">
        <v>5906</v>
      </c>
      <c r="I1064" s="2" t="s">
        <v>5906</v>
      </c>
      <c r="J1064" s="2" t="s">
        <v>5911</v>
      </c>
      <c r="K1064" s="2" t="s">
        <v>9907</v>
      </c>
      <c r="L1064" s="10" t="s">
        <v>9908</v>
      </c>
    </row>
    <row r="1065">
      <c r="A1065" s="2" t="s">
        <v>5365</v>
      </c>
      <c r="B1065" s="2" t="s">
        <v>9909</v>
      </c>
      <c r="C1065" s="2">
        <v>2.48115096E8</v>
      </c>
      <c r="D1065" s="2" t="s">
        <v>5365</v>
      </c>
      <c r="E1065" s="2">
        <v>73908.0</v>
      </c>
      <c r="F1065" s="2">
        <v>247.0</v>
      </c>
      <c r="G1065" s="2">
        <v>4130.0</v>
      </c>
      <c r="H1065" s="2" t="s">
        <v>5906</v>
      </c>
      <c r="I1065" s="2" t="s">
        <v>5906</v>
      </c>
      <c r="K1065" s="2" t="s">
        <v>9910</v>
      </c>
      <c r="L1065" s="10" t="s">
        <v>9911</v>
      </c>
    </row>
    <row r="1066">
      <c r="A1066" s="2" t="s">
        <v>5365</v>
      </c>
      <c r="B1066" s="2" t="s">
        <v>9912</v>
      </c>
      <c r="C1066" s="2">
        <v>2.3947096E7</v>
      </c>
      <c r="D1066" s="2" t="s">
        <v>9913</v>
      </c>
      <c r="E1066" s="2">
        <v>4.5850356E7</v>
      </c>
      <c r="F1066" s="2">
        <v>105.0</v>
      </c>
      <c r="G1066" s="2">
        <v>18686.0</v>
      </c>
      <c r="H1066" s="2" t="s">
        <v>5906</v>
      </c>
      <c r="I1066" s="2" t="s">
        <v>5906</v>
      </c>
      <c r="K1066" s="2" t="s">
        <v>9914</v>
      </c>
      <c r="L1066" s="10" t="s">
        <v>9915</v>
      </c>
    </row>
    <row r="1067">
      <c r="A1067" s="2" t="s">
        <v>5365</v>
      </c>
      <c r="B1067" s="2" t="s">
        <v>9916</v>
      </c>
      <c r="C1067" s="2">
        <v>1.8091046E7</v>
      </c>
      <c r="D1067" s="2" t="s">
        <v>9917</v>
      </c>
      <c r="E1067" s="2">
        <v>6941862.0</v>
      </c>
      <c r="F1067" s="2">
        <v>691.0</v>
      </c>
      <c r="G1067" s="2">
        <v>8921.0</v>
      </c>
      <c r="H1067" s="2" t="s">
        <v>5906</v>
      </c>
      <c r="I1067" s="2" t="s">
        <v>5906</v>
      </c>
      <c r="J1067" s="2" t="s">
        <v>6199</v>
      </c>
      <c r="K1067" s="2" t="s">
        <v>9918</v>
      </c>
      <c r="L1067" s="10" t="s">
        <v>9919</v>
      </c>
    </row>
    <row r="1068">
      <c r="A1068" s="2" t="s">
        <v>5365</v>
      </c>
      <c r="B1068" s="2" t="s">
        <v>9920</v>
      </c>
      <c r="C1068" s="2">
        <v>1.75833277E8</v>
      </c>
      <c r="D1068" s="2" t="s">
        <v>9921</v>
      </c>
      <c r="E1068" s="2">
        <v>501539.0</v>
      </c>
      <c r="F1068" s="2">
        <v>15.0</v>
      </c>
      <c r="G1068" s="2">
        <v>9170.0</v>
      </c>
      <c r="H1068" s="2" t="s">
        <v>5906</v>
      </c>
      <c r="I1068" s="2" t="s">
        <v>5906</v>
      </c>
      <c r="K1068" s="2" t="s">
        <v>9922</v>
      </c>
      <c r="L1068" s="10" t="s">
        <v>9923</v>
      </c>
    </row>
    <row r="1069">
      <c r="A1069" s="2" t="s">
        <v>5365</v>
      </c>
      <c r="B1069" s="2" t="s">
        <v>9924</v>
      </c>
      <c r="C1069" s="2">
        <v>1.389225126E9</v>
      </c>
      <c r="D1069" s="2" t="s">
        <v>9925</v>
      </c>
      <c r="E1069" s="2">
        <v>6449059.0</v>
      </c>
      <c r="F1069" s="2">
        <v>98.0</v>
      </c>
      <c r="G1069" s="2">
        <v>10362.0</v>
      </c>
      <c r="H1069" s="2" t="s">
        <v>5906</v>
      </c>
      <c r="I1069" s="2" t="s">
        <v>5906</v>
      </c>
      <c r="K1069" s="2" t="s">
        <v>9926</v>
      </c>
      <c r="L1069" s="10" t="s">
        <v>9927</v>
      </c>
    </row>
    <row r="1070">
      <c r="A1070" s="2" t="s">
        <v>4528</v>
      </c>
      <c r="B1070" s="2" t="s">
        <v>9928</v>
      </c>
      <c r="C1070" s="2">
        <v>5.5987478435E10</v>
      </c>
      <c r="D1070" s="2" t="s">
        <v>4528</v>
      </c>
      <c r="E1070" s="2">
        <v>2581035.0</v>
      </c>
      <c r="F1070" s="2">
        <v>2.0</v>
      </c>
      <c r="G1070" s="2">
        <v>424.0</v>
      </c>
      <c r="H1070" s="2" t="s">
        <v>5905</v>
      </c>
      <c r="I1070" s="2" t="s">
        <v>5905</v>
      </c>
      <c r="J1070" s="2" t="s">
        <v>7620</v>
      </c>
      <c r="K1070" s="2" t="s">
        <v>9929</v>
      </c>
    </row>
    <row r="1071">
      <c r="A1071" s="2" t="s">
        <v>4528</v>
      </c>
      <c r="B1071" s="2" t="s">
        <v>9930</v>
      </c>
      <c r="C1071" s="2">
        <v>5.582914714E10</v>
      </c>
      <c r="D1071" s="2" t="s">
        <v>4527</v>
      </c>
      <c r="E1071" s="2">
        <v>2394735.0</v>
      </c>
      <c r="F1071" s="2">
        <v>98.0</v>
      </c>
      <c r="G1071" s="2">
        <v>2045.0</v>
      </c>
      <c r="H1071" s="2" t="s">
        <v>5905</v>
      </c>
      <c r="I1071" s="2" t="s">
        <v>5905</v>
      </c>
      <c r="J1071" s="2" t="s">
        <v>5959</v>
      </c>
      <c r="K1071" s="2" t="s">
        <v>9931</v>
      </c>
      <c r="L1071" s="10" t="s">
        <v>9932</v>
      </c>
    </row>
    <row r="1072">
      <c r="A1072" s="2" t="s">
        <v>4528</v>
      </c>
      <c r="B1072" s="2" t="s">
        <v>9933</v>
      </c>
      <c r="C1072" s="2">
        <v>5.8160591511E10</v>
      </c>
      <c r="D1072" s="2" t="s">
        <v>4527</v>
      </c>
      <c r="E1072" s="2">
        <v>441927.0</v>
      </c>
      <c r="F1072" s="2">
        <v>6.0</v>
      </c>
      <c r="G1072" s="2">
        <v>601.0</v>
      </c>
      <c r="H1072" s="2" t="s">
        <v>5905</v>
      </c>
      <c r="I1072" s="2" t="s">
        <v>5905</v>
      </c>
      <c r="J1072" s="2" t="s">
        <v>5959</v>
      </c>
      <c r="K1072" s="2" t="s">
        <v>9934</v>
      </c>
    </row>
    <row r="1073">
      <c r="A1073" s="2" t="s">
        <v>4528</v>
      </c>
      <c r="B1073" s="2" t="s">
        <v>9935</v>
      </c>
      <c r="C1073" s="2">
        <v>4.9144251241E10</v>
      </c>
      <c r="D1073" s="2" t="s">
        <v>4528</v>
      </c>
      <c r="E1073" s="2">
        <v>6716715.0</v>
      </c>
      <c r="F1073" s="2">
        <v>3.0</v>
      </c>
      <c r="G1073" s="2">
        <v>1212.0</v>
      </c>
      <c r="H1073" s="2" t="s">
        <v>5905</v>
      </c>
      <c r="I1073" s="2" t="s">
        <v>5905</v>
      </c>
      <c r="J1073" s="2" t="s">
        <v>5928</v>
      </c>
      <c r="K1073" s="2" t="s">
        <v>9936</v>
      </c>
      <c r="L1073" s="10" t="s">
        <v>9937</v>
      </c>
    </row>
    <row r="1074">
      <c r="A1074" s="2" t="s">
        <v>4528</v>
      </c>
      <c r="B1074" s="2" t="s">
        <v>4527</v>
      </c>
      <c r="C1074" s="2">
        <v>3.998316794E9</v>
      </c>
      <c r="D1074" s="2" t="s">
        <v>4528</v>
      </c>
      <c r="E1074" s="2">
        <v>1.0660745E7</v>
      </c>
      <c r="F1074" s="2">
        <v>0.0</v>
      </c>
      <c r="G1074" s="2">
        <v>8296.0</v>
      </c>
      <c r="H1074" s="2" t="s">
        <v>5905</v>
      </c>
      <c r="I1074" s="2" t="s">
        <v>5906</v>
      </c>
      <c r="J1074" s="2" t="s">
        <v>4996</v>
      </c>
      <c r="K1074" s="2" t="s">
        <v>9938</v>
      </c>
    </row>
    <row r="1075">
      <c r="A1075" s="2" t="s">
        <v>4528</v>
      </c>
      <c r="B1075" s="2" t="s">
        <v>9939</v>
      </c>
      <c r="C1075" s="2">
        <v>4.540025284E9</v>
      </c>
      <c r="D1075" s="2" t="s">
        <v>9940</v>
      </c>
      <c r="E1075" s="2">
        <v>7258606.0</v>
      </c>
      <c r="F1075" s="2">
        <v>974.0</v>
      </c>
      <c r="G1075" s="2">
        <v>2875.0</v>
      </c>
      <c r="H1075" s="2" t="s">
        <v>5906</v>
      </c>
      <c r="I1075" s="2" t="s">
        <v>5906</v>
      </c>
      <c r="J1075" s="2" t="s">
        <v>6393</v>
      </c>
      <c r="K1075" s="2" t="s">
        <v>9941</v>
      </c>
      <c r="L1075" s="10" t="s">
        <v>9942</v>
      </c>
    </row>
    <row r="1076">
      <c r="A1076" s="2" t="s">
        <v>4528</v>
      </c>
      <c r="B1076" s="2" t="s">
        <v>9943</v>
      </c>
      <c r="C1076" s="2">
        <v>2.8328420083E10</v>
      </c>
      <c r="D1076" s="2" t="s">
        <v>9944</v>
      </c>
      <c r="E1076" s="2">
        <v>625320.0</v>
      </c>
      <c r="F1076" s="2">
        <v>1.0</v>
      </c>
      <c r="G1076" s="2">
        <v>2243.0</v>
      </c>
      <c r="H1076" s="2" t="s">
        <v>5905</v>
      </c>
      <c r="I1076" s="2" t="s">
        <v>5906</v>
      </c>
      <c r="J1076" s="2" t="s">
        <v>9945</v>
      </c>
      <c r="K1076" s="2" t="s">
        <v>9946</v>
      </c>
      <c r="L1076" s="10" t="s">
        <v>9947</v>
      </c>
    </row>
    <row r="1077">
      <c r="A1077" s="2" t="s">
        <v>4528</v>
      </c>
      <c r="B1077" s="2" t="s">
        <v>9948</v>
      </c>
      <c r="C1077" s="2">
        <v>6.935441531E9</v>
      </c>
      <c r="D1077" s="2" t="s">
        <v>9949</v>
      </c>
      <c r="E1077" s="2">
        <v>1.0431479E7</v>
      </c>
      <c r="F1077" s="2">
        <v>1.0</v>
      </c>
      <c r="G1077" s="2">
        <v>2947.0</v>
      </c>
      <c r="H1077" s="2" t="s">
        <v>5906</v>
      </c>
      <c r="I1077" s="2" t="s">
        <v>5905</v>
      </c>
      <c r="J1077" s="2" t="s">
        <v>5959</v>
      </c>
      <c r="K1077" s="2" t="s">
        <v>9950</v>
      </c>
      <c r="L1077" s="10" t="s">
        <v>9951</v>
      </c>
    </row>
    <row r="1078">
      <c r="A1078" s="2" t="s">
        <v>4528</v>
      </c>
      <c r="B1078" s="2" t="s">
        <v>9952</v>
      </c>
      <c r="C1078" s="2">
        <v>3.9812597879E10</v>
      </c>
      <c r="D1078" s="2" t="s">
        <v>9953</v>
      </c>
      <c r="E1078" s="2">
        <v>2912340.0</v>
      </c>
      <c r="F1078" s="2">
        <v>0.0</v>
      </c>
      <c r="G1078" s="2">
        <v>6087.0</v>
      </c>
      <c r="H1078" s="2" t="s">
        <v>5905</v>
      </c>
      <c r="I1078" s="2" t="s">
        <v>5905</v>
      </c>
      <c r="J1078" s="2" t="s">
        <v>9954</v>
      </c>
      <c r="K1078" s="2" t="s">
        <v>9955</v>
      </c>
      <c r="L1078" s="10" t="s">
        <v>9956</v>
      </c>
    </row>
    <row r="1079">
      <c r="A1079" s="2" t="s">
        <v>4528</v>
      </c>
      <c r="B1079" s="2" t="s">
        <v>9957</v>
      </c>
      <c r="C1079" s="2">
        <v>1.8430598821E10</v>
      </c>
      <c r="D1079" s="2" t="s">
        <v>9958</v>
      </c>
      <c r="E1079" s="2">
        <v>60047.0</v>
      </c>
      <c r="F1079" s="2">
        <v>1.0</v>
      </c>
      <c r="G1079" s="2">
        <v>494.0</v>
      </c>
      <c r="H1079" s="2" t="s">
        <v>5905</v>
      </c>
      <c r="I1079" s="2" t="s">
        <v>5905</v>
      </c>
      <c r="J1079" s="2" t="s">
        <v>5492</v>
      </c>
      <c r="K1079" s="2" t="s">
        <v>9959</v>
      </c>
    </row>
    <row r="1080">
      <c r="A1080" s="2" t="s">
        <v>5291</v>
      </c>
      <c r="B1080" s="2" t="s">
        <v>9960</v>
      </c>
      <c r="C1080" s="2">
        <v>2.177614735E9</v>
      </c>
      <c r="D1080" s="2" t="s">
        <v>9961</v>
      </c>
      <c r="E1080" s="2">
        <v>61404.0</v>
      </c>
      <c r="F1080" s="2">
        <v>582.0</v>
      </c>
      <c r="G1080" s="2">
        <v>4954.0</v>
      </c>
      <c r="H1080" s="2" t="s">
        <v>5906</v>
      </c>
      <c r="I1080" s="2" t="s">
        <v>5906</v>
      </c>
      <c r="J1080" s="2" t="s">
        <v>6290</v>
      </c>
      <c r="K1080" s="2" t="s">
        <v>9962</v>
      </c>
      <c r="L1080" s="10" t="s">
        <v>9963</v>
      </c>
    </row>
    <row r="1081">
      <c r="A1081" s="2" t="s">
        <v>5291</v>
      </c>
      <c r="B1081" s="2" t="s">
        <v>9964</v>
      </c>
      <c r="C1081" s="2">
        <v>1269598.0</v>
      </c>
      <c r="D1081" s="2" t="s">
        <v>5291</v>
      </c>
      <c r="E1081" s="2">
        <v>4387785.0</v>
      </c>
      <c r="F1081" s="2">
        <v>299.0</v>
      </c>
      <c r="G1081" s="2">
        <v>22558.0</v>
      </c>
      <c r="H1081" s="2" t="s">
        <v>5906</v>
      </c>
      <c r="I1081" s="2" t="s">
        <v>5906</v>
      </c>
      <c r="J1081" s="2" t="s">
        <v>6290</v>
      </c>
      <c r="K1081" s="2" t="s">
        <v>9965</v>
      </c>
      <c r="L1081" s="10" t="s">
        <v>9966</v>
      </c>
    </row>
    <row r="1082">
      <c r="A1082" s="2" t="s">
        <v>5291</v>
      </c>
      <c r="B1082" s="2" t="s">
        <v>9967</v>
      </c>
      <c r="C1082" s="2">
        <v>3.9913340388E10</v>
      </c>
      <c r="D1082" s="2" t="s">
        <v>9968</v>
      </c>
      <c r="E1082" s="2">
        <v>49076.0</v>
      </c>
      <c r="F1082" s="2">
        <v>163.0</v>
      </c>
      <c r="G1082" s="2">
        <v>261.0</v>
      </c>
      <c r="H1082" s="2" t="s">
        <v>5906</v>
      </c>
      <c r="I1082" s="2" t="s">
        <v>5906</v>
      </c>
      <c r="J1082" s="2" t="s">
        <v>5911</v>
      </c>
      <c r="K1082" s="2" t="s">
        <v>9969</v>
      </c>
      <c r="L1082" s="10" t="s">
        <v>9970</v>
      </c>
    </row>
    <row r="1083">
      <c r="A1083" s="2" t="s">
        <v>5291</v>
      </c>
      <c r="B1083" s="2" t="s">
        <v>9971</v>
      </c>
      <c r="C1083" s="2">
        <v>8.757914685E9</v>
      </c>
      <c r="D1083" s="2" t="s">
        <v>9972</v>
      </c>
      <c r="E1083" s="2">
        <v>55765.0</v>
      </c>
      <c r="F1083" s="2">
        <v>85.0</v>
      </c>
      <c r="G1083" s="2">
        <v>742.0</v>
      </c>
      <c r="H1083" s="2" t="s">
        <v>5906</v>
      </c>
      <c r="I1083" s="2" t="s">
        <v>5906</v>
      </c>
      <c r="J1083" s="2" t="s">
        <v>5907</v>
      </c>
      <c r="K1083" s="2" t="s">
        <v>9973</v>
      </c>
      <c r="L1083" s="10" t="s">
        <v>9974</v>
      </c>
    </row>
    <row r="1084">
      <c r="A1084" s="2" t="s">
        <v>5291</v>
      </c>
      <c r="B1084" s="2" t="s">
        <v>9975</v>
      </c>
      <c r="C1084" s="2">
        <v>4.081229285E9</v>
      </c>
      <c r="D1084" s="2" t="s">
        <v>9976</v>
      </c>
      <c r="E1084" s="2">
        <v>15041.0</v>
      </c>
      <c r="F1084" s="2">
        <v>100.0</v>
      </c>
      <c r="G1084" s="2">
        <v>176.0</v>
      </c>
      <c r="H1084" s="2" t="s">
        <v>5906</v>
      </c>
      <c r="I1084" s="2" t="s">
        <v>5905</v>
      </c>
      <c r="K1084" s="2" t="s">
        <v>9977</v>
      </c>
      <c r="L1084" s="10" t="s">
        <v>9978</v>
      </c>
    </row>
    <row r="1085">
      <c r="A1085" s="2" t="s">
        <v>5291</v>
      </c>
      <c r="B1085" s="2" t="s">
        <v>9979</v>
      </c>
      <c r="C1085" s="2">
        <v>9.712333325E9</v>
      </c>
      <c r="D1085" s="2" t="s">
        <v>9980</v>
      </c>
      <c r="E1085" s="2">
        <v>12783.0</v>
      </c>
      <c r="F1085" s="2">
        <v>96.0</v>
      </c>
      <c r="G1085" s="2">
        <v>1202.0</v>
      </c>
      <c r="H1085" s="2" t="s">
        <v>5906</v>
      </c>
      <c r="I1085" s="2" t="s">
        <v>5906</v>
      </c>
      <c r="J1085" s="2" t="s">
        <v>5480</v>
      </c>
      <c r="K1085" s="2" t="s">
        <v>9981</v>
      </c>
      <c r="L1085" s="10" t="s">
        <v>9982</v>
      </c>
    </row>
    <row r="1086">
      <c r="A1086" s="2" t="s">
        <v>5523</v>
      </c>
      <c r="B1086" s="2" t="s">
        <v>9983</v>
      </c>
      <c r="C1086" s="2">
        <v>4.4976151364E10</v>
      </c>
      <c r="D1086" s="2" t="s">
        <v>9984</v>
      </c>
      <c r="E1086" s="2">
        <v>291655.0</v>
      </c>
      <c r="F1086" s="2">
        <v>314.0</v>
      </c>
      <c r="G1086" s="2">
        <v>884.0</v>
      </c>
      <c r="H1086" s="2" t="s">
        <v>5905</v>
      </c>
      <c r="I1086" s="2" t="s">
        <v>5906</v>
      </c>
      <c r="J1086" s="2" t="s">
        <v>6111</v>
      </c>
      <c r="K1086" s="2" t="s">
        <v>9985</v>
      </c>
    </row>
    <row r="1087">
      <c r="A1087" s="2" t="s">
        <v>5523</v>
      </c>
      <c r="B1087" s="2" t="s">
        <v>9986</v>
      </c>
      <c r="C1087" s="2">
        <v>1.385592527E9</v>
      </c>
      <c r="D1087" s="2" t="s">
        <v>9987</v>
      </c>
      <c r="E1087" s="2">
        <v>4693643.0</v>
      </c>
      <c r="F1087" s="2">
        <v>948.0</v>
      </c>
      <c r="G1087" s="2">
        <v>5178.0</v>
      </c>
      <c r="H1087" s="2" t="s">
        <v>5906</v>
      </c>
      <c r="I1087" s="2" t="s">
        <v>5906</v>
      </c>
      <c r="J1087" s="2" t="s">
        <v>6111</v>
      </c>
      <c r="K1087" s="2" t="s">
        <v>9988</v>
      </c>
      <c r="L1087" s="10" t="s">
        <v>9989</v>
      </c>
    </row>
    <row r="1088">
      <c r="A1088" s="2" t="s">
        <v>5523</v>
      </c>
      <c r="B1088" s="2" t="s">
        <v>8348</v>
      </c>
      <c r="C1088" s="2">
        <v>2.5742083E7</v>
      </c>
      <c r="D1088" s="2" t="s">
        <v>5444</v>
      </c>
      <c r="E1088" s="2">
        <v>1.305099E7</v>
      </c>
      <c r="F1088" s="2">
        <v>1461.0</v>
      </c>
      <c r="G1088" s="2">
        <v>33316.0</v>
      </c>
      <c r="H1088" s="2" t="s">
        <v>5906</v>
      </c>
      <c r="I1088" s="2" t="s">
        <v>5906</v>
      </c>
      <c r="J1088" s="2" t="s">
        <v>5936</v>
      </c>
      <c r="K1088" s="2" t="s">
        <v>8349</v>
      </c>
      <c r="L1088" s="10" t="s">
        <v>8350</v>
      </c>
    </row>
    <row r="1089">
      <c r="A1089" s="2" t="s">
        <v>5523</v>
      </c>
      <c r="B1089" s="2" t="s">
        <v>9990</v>
      </c>
      <c r="C1089" s="2">
        <v>2.66325798E8</v>
      </c>
      <c r="D1089" s="2" t="s">
        <v>9991</v>
      </c>
      <c r="E1089" s="2">
        <v>669184.0</v>
      </c>
      <c r="F1089" s="2">
        <v>798.0</v>
      </c>
      <c r="G1089" s="2">
        <v>10991.0</v>
      </c>
      <c r="H1089" s="2" t="s">
        <v>5906</v>
      </c>
      <c r="I1089" s="2" t="s">
        <v>5906</v>
      </c>
      <c r="J1089" s="2" t="s">
        <v>4397</v>
      </c>
      <c r="K1089" s="2" t="s">
        <v>9992</v>
      </c>
      <c r="L1089" s="10" t="s">
        <v>9993</v>
      </c>
    </row>
    <row r="1090">
      <c r="A1090" s="2" t="s">
        <v>5523</v>
      </c>
      <c r="B1090" s="2" t="s">
        <v>9994</v>
      </c>
      <c r="C1090" s="2">
        <v>2.53785656E8</v>
      </c>
      <c r="D1090" s="2" t="s">
        <v>9995</v>
      </c>
      <c r="E1090" s="2">
        <v>4064070.0</v>
      </c>
      <c r="F1090" s="2">
        <v>519.0</v>
      </c>
      <c r="G1090" s="2">
        <v>20309.0</v>
      </c>
      <c r="H1090" s="2" t="s">
        <v>5906</v>
      </c>
      <c r="I1090" s="2" t="s">
        <v>5906</v>
      </c>
      <c r="J1090" s="2" t="s">
        <v>5911</v>
      </c>
      <c r="K1090" s="2" t="s">
        <v>9996</v>
      </c>
      <c r="L1090" s="10" t="s">
        <v>9997</v>
      </c>
    </row>
    <row r="1091">
      <c r="A1091" s="2" t="s">
        <v>5523</v>
      </c>
      <c r="B1091" s="2" t="s">
        <v>9998</v>
      </c>
      <c r="C1091" s="2">
        <v>2.2393603381E10</v>
      </c>
      <c r="D1091" s="2" t="s">
        <v>9999</v>
      </c>
      <c r="E1091" s="2">
        <v>3019465.0</v>
      </c>
      <c r="F1091" s="2">
        <v>413.0</v>
      </c>
      <c r="G1091" s="2">
        <v>114.0</v>
      </c>
      <c r="H1091" s="2" t="s">
        <v>5906</v>
      </c>
      <c r="I1091" s="2" t="s">
        <v>5905</v>
      </c>
      <c r="J1091" s="2" t="s">
        <v>5959</v>
      </c>
      <c r="K1091" s="2" t="s">
        <v>10000</v>
      </c>
      <c r="L1091" s="10" t="s">
        <v>10001</v>
      </c>
    </row>
    <row r="1092">
      <c r="A1092" s="2" t="s">
        <v>5523</v>
      </c>
      <c r="B1092" s="2" t="s">
        <v>10002</v>
      </c>
      <c r="C1092" s="2">
        <v>5.50532979E8</v>
      </c>
      <c r="D1092" s="2" t="s">
        <v>10003</v>
      </c>
      <c r="E1092" s="2">
        <v>897178.0</v>
      </c>
      <c r="F1092" s="2">
        <v>319.0</v>
      </c>
      <c r="G1092" s="2">
        <v>10833.0</v>
      </c>
      <c r="H1092" s="2" t="s">
        <v>5906</v>
      </c>
      <c r="I1092" s="2" t="s">
        <v>5906</v>
      </c>
      <c r="J1092" s="2" t="s">
        <v>5936</v>
      </c>
      <c r="K1092" s="2" t="s">
        <v>10004</v>
      </c>
      <c r="L1092" s="10" t="s">
        <v>10005</v>
      </c>
    </row>
    <row r="1093">
      <c r="A1093" s="2" t="s">
        <v>5523</v>
      </c>
      <c r="B1093" s="2" t="s">
        <v>10006</v>
      </c>
      <c r="C1093" s="2">
        <v>5.9361901435E10</v>
      </c>
      <c r="D1093" s="2" t="s">
        <v>10007</v>
      </c>
      <c r="E1093" s="2">
        <v>13274.0</v>
      </c>
      <c r="F1093" s="2">
        <v>11.0</v>
      </c>
      <c r="G1093" s="2">
        <v>108.0</v>
      </c>
      <c r="H1093" s="2" t="s">
        <v>5905</v>
      </c>
      <c r="I1093" s="2" t="s">
        <v>5905</v>
      </c>
      <c r="J1093" s="2" t="s">
        <v>5993</v>
      </c>
      <c r="K1093" s="2" t="s">
        <v>10008</v>
      </c>
      <c r="L1093" s="10" t="s">
        <v>10009</v>
      </c>
    </row>
    <row r="1094">
      <c r="A1094" s="2" t="s">
        <v>5523</v>
      </c>
      <c r="B1094" s="2" t="s">
        <v>10010</v>
      </c>
      <c r="C1094" s="2">
        <v>6.3326133285E10</v>
      </c>
      <c r="D1094" s="2" t="s">
        <v>10011</v>
      </c>
      <c r="E1094" s="2">
        <v>400610.0</v>
      </c>
      <c r="F1094" s="2">
        <v>2.0</v>
      </c>
      <c r="G1094" s="2">
        <v>1.0</v>
      </c>
      <c r="H1094" s="2" t="s">
        <v>5905</v>
      </c>
      <c r="I1094" s="2" t="s">
        <v>5905</v>
      </c>
      <c r="J1094" s="2" t="s">
        <v>5959</v>
      </c>
      <c r="K1094" s="2" t="s">
        <v>10012</v>
      </c>
    </row>
    <row r="1095">
      <c r="A1095" s="2" t="s">
        <v>5523</v>
      </c>
      <c r="B1095" s="2" t="s">
        <v>10013</v>
      </c>
      <c r="C1095" s="2">
        <v>2.464275552E9</v>
      </c>
      <c r="D1095" s="2" t="s">
        <v>10014</v>
      </c>
      <c r="E1095" s="2">
        <v>801840.0</v>
      </c>
      <c r="F1095" s="2">
        <v>532.0</v>
      </c>
      <c r="G1095" s="2">
        <v>13199.0</v>
      </c>
      <c r="H1095" s="2" t="s">
        <v>5906</v>
      </c>
      <c r="I1095" s="2" t="s">
        <v>5906</v>
      </c>
      <c r="J1095" s="2" t="s">
        <v>6199</v>
      </c>
      <c r="K1095" s="2" t="s">
        <v>10015</v>
      </c>
      <c r="L1095" s="10" t="s">
        <v>10016</v>
      </c>
    </row>
    <row r="1096">
      <c r="A1096" s="2" t="s">
        <v>5523</v>
      </c>
      <c r="B1096" s="2" t="s">
        <v>10017</v>
      </c>
      <c r="C1096" s="2">
        <v>4.8935435783E10</v>
      </c>
      <c r="D1096" s="2" t="s">
        <v>10018</v>
      </c>
      <c r="E1096" s="2">
        <v>1618168.0</v>
      </c>
      <c r="F1096" s="2">
        <v>0.0</v>
      </c>
      <c r="G1096" s="2">
        <v>26171.0</v>
      </c>
      <c r="H1096" s="2" t="s">
        <v>5906</v>
      </c>
      <c r="I1096" s="2" t="s">
        <v>5906</v>
      </c>
      <c r="J1096" s="2" t="s">
        <v>5907</v>
      </c>
      <c r="K1096" s="2" t="s">
        <v>10019</v>
      </c>
      <c r="L1096" s="10" t="s">
        <v>10020</v>
      </c>
    </row>
    <row r="1097">
      <c r="A1097" s="2" t="s">
        <v>5523</v>
      </c>
      <c r="B1097" s="2" t="s">
        <v>10021</v>
      </c>
      <c r="C1097" s="2">
        <v>5.6192032E7</v>
      </c>
      <c r="D1097" s="2" t="s">
        <v>10022</v>
      </c>
      <c r="E1097" s="2">
        <v>681764.0</v>
      </c>
      <c r="F1097" s="2">
        <v>253.0</v>
      </c>
      <c r="G1097" s="2">
        <v>17439.0</v>
      </c>
      <c r="H1097" s="2" t="s">
        <v>5906</v>
      </c>
      <c r="I1097" s="2" t="s">
        <v>5906</v>
      </c>
      <c r="J1097" s="2" t="s">
        <v>5936</v>
      </c>
      <c r="K1097" s="2" t="s">
        <v>10023</v>
      </c>
      <c r="L1097" s="10" t="s">
        <v>10024</v>
      </c>
    </row>
    <row r="1098">
      <c r="A1098" s="2" t="s">
        <v>5481</v>
      </c>
      <c r="B1098" s="2" t="s">
        <v>5910</v>
      </c>
      <c r="C1098" s="2">
        <v>3.27693598E8</v>
      </c>
      <c r="D1098" s="2" t="s">
        <v>5292</v>
      </c>
      <c r="E1098" s="2">
        <v>5272318.0</v>
      </c>
      <c r="F1098" s="2">
        <v>145.0</v>
      </c>
      <c r="G1098" s="2">
        <v>65646.0</v>
      </c>
      <c r="H1098" s="2" t="s">
        <v>5906</v>
      </c>
      <c r="I1098" s="2" t="s">
        <v>5906</v>
      </c>
      <c r="J1098" s="2" t="s">
        <v>5911</v>
      </c>
      <c r="K1098" s="2" t="s">
        <v>5912</v>
      </c>
      <c r="L1098" s="10" t="s">
        <v>5913</v>
      </c>
    </row>
    <row r="1099">
      <c r="A1099" s="2" t="s">
        <v>5481</v>
      </c>
      <c r="B1099" s="2" t="s">
        <v>10025</v>
      </c>
      <c r="C1099" s="2">
        <v>1.2178427228E10</v>
      </c>
      <c r="D1099" s="2" t="s">
        <v>10026</v>
      </c>
      <c r="E1099" s="2">
        <v>59643.0</v>
      </c>
      <c r="F1099" s="2">
        <v>102.0</v>
      </c>
      <c r="G1099" s="2">
        <v>1544.0</v>
      </c>
      <c r="H1099" s="2" t="s">
        <v>5906</v>
      </c>
      <c r="I1099" s="2" t="s">
        <v>5905</v>
      </c>
      <c r="J1099" s="2" t="s">
        <v>5480</v>
      </c>
      <c r="K1099" s="2" t="s">
        <v>10027</v>
      </c>
      <c r="L1099" s="10" t="s">
        <v>10028</v>
      </c>
    </row>
    <row r="1100">
      <c r="A1100" s="2" t="s">
        <v>5481</v>
      </c>
      <c r="B1100" s="2" t="s">
        <v>6244</v>
      </c>
      <c r="C1100" s="2">
        <v>1.83660174E8</v>
      </c>
      <c r="D1100" s="2" t="s">
        <v>6245</v>
      </c>
      <c r="E1100" s="2">
        <v>4430594.0</v>
      </c>
      <c r="F1100" s="2">
        <v>18.0</v>
      </c>
      <c r="G1100" s="2">
        <v>15546.0</v>
      </c>
      <c r="H1100" s="2" t="s">
        <v>5906</v>
      </c>
      <c r="I1100" s="2" t="s">
        <v>5905</v>
      </c>
      <c r="K1100" s="2" t="s">
        <v>6246</v>
      </c>
      <c r="L1100" s="10" t="s">
        <v>6247</v>
      </c>
    </row>
    <row r="1101">
      <c r="A1101" s="2" t="s">
        <v>5481</v>
      </c>
      <c r="B1101" s="2" t="s">
        <v>6264</v>
      </c>
      <c r="C1101" s="2">
        <v>1.6278726E7</v>
      </c>
      <c r="D1101" s="2" t="s">
        <v>6265</v>
      </c>
      <c r="E1101" s="2">
        <v>2.9457204E7</v>
      </c>
      <c r="F1101" s="2">
        <v>16.0</v>
      </c>
      <c r="G1101" s="2">
        <v>24947.0</v>
      </c>
      <c r="H1101" s="2" t="s">
        <v>5906</v>
      </c>
      <c r="I1101" s="2" t="s">
        <v>5906</v>
      </c>
      <c r="K1101" s="2" t="s">
        <v>6266</v>
      </c>
      <c r="L1101" s="10" t="s">
        <v>6267</v>
      </c>
    </row>
    <row r="1102">
      <c r="A1102" s="2" t="s">
        <v>5481</v>
      </c>
      <c r="B1102" s="2" t="s">
        <v>6272</v>
      </c>
      <c r="C1102" s="2">
        <v>1.381895679E9</v>
      </c>
      <c r="D1102" s="2" t="s">
        <v>6273</v>
      </c>
      <c r="E1102" s="2">
        <v>2.308491E7</v>
      </c>
      <c r="F1102" s="2">
        <v>18.0</v>
      </c>
      <c r="G1102" s="2">
        <v>121595.0</v>
      </c>
      <c r="H1102" s="2" t="s">
        <v>5906</v>
      </c>
      <c r="I1102" s="2" t="s">
        <v>5906</v>
      </c>
      <c r="K1102" s="12" t="s">
        <v>6274</v>
      </c>
      <c r="L1102" s="10" t="s">
        <v>6275</v>
      </c>
    </row>
    <row r="1103">
      <c r="A1103" s="2" t="s">
        <v>5481</v>
      </c>
      <c r="B1103" s="2" t="s">
        <v>10029</v>
      </c>
      <c r="C1103" s="2">
        <v>1.413969346E9</v>
      </c>
      <c r="D1103" s="2" t="s">
        <v>10030</v>
      </c>
      <c r="E1103" s="2">
        <v>368519.0</v>
      </c>
      <c r="F1103" s="2">
        <v>49.0</v>
      </c>
      <c r="G1103" s="2">
        <v>62784.0</v>
      </c>
      <c r="H1103" s="2" t="s">
        <v>5905</v>
      </c>
      <c r="I1103" s="2" t="s">
        <v>5905</v>
      </c>
      <c r="J1103" s="2" t="s">
        <v>5911</v>
      </c>
      <c r="K1103" s="2" t="s">
        <v>10031</v>
      </c>
      <c r="L1103" s="10" t="s">
        <v>10032</v>
      </c>
    </row>
    <row r="1104">
      <c r="A1104" s="2" t="s">
        <v>5481</v>
      </c>
      <c r="B1104" s="2" t="s">
        <v>10033</v>
      </c>
      <c r="C1104" s="2">
        <v>1.2996727E7</v>
      </c>
      <c r="D1104" s="2" t="s">
        <v>10034</v>
      </c>
      <c r="E1104" s="2">
        <v>2.5122898E7</v>
      </c>
      <c r="F1104" s="2">
        <v>884.0</v>
      </c>
      <c r="G1104" s="2">
        <v>69902.0</v>
      </c>
      <c r="H1104" s="2" t="s">
        <v>5906</v>
      </c>
      <c r="I1104" s="2" t="s">
        <v>5906</v>
      </c>
      <c r="K1104" s="2" t="s">
        <v>10035</v>
      </c>
      <c r="L1104" s="10" t="s">
        <v>10036</v>
      </c>
    </row>
    <row r="1105">
      <c r="A1105" s="2" t="s">
        <v>5481</v>
      </c>
      <c r="B1105" s="2" t="s">
        <v>8545</v>
      </c>
      <c r="C1105" s="2">
        <v>1.88154866E8</v>
      </c>
      <c r="D1105" s="2" t="s">
        <v>5290</v>
      </c>
      <c r="E1105" s="2">
        <v>1.0580568E7</v>
      </c>
      <c r="F1105" s="2">
        <v>110.0</v>
      </c>
      <c r="G1105" s="2">
        <v>67463.0</v>
      </c>
      <c r="H1105" s="2" t="s">
        <v>5906</v>
      </c>
      <c r="I1105" s="2" t="s">
        <v>5906</v>
      </c>
      <c r="J1105" s="2" t="s">
        <v>5911</v>
      </c>
      <c r="K1105" s="2" t="s">
        <v>8546</v>
      </c>
      <c r="L1105" s="10" t="s">
        <v>8547</v>
      </c>
    </row>
    <row r="1106">
      <c r="A1106" s="2" t="s">
        <v>5481</v>
      </c>
      <c r="B1106" s="2" t="s">
        <v>10037</v>
      </c>
      <c r="C1106" s="2">
        <v>1.4309049047E10</v>
      </c>
      <c r="D1106" s="2" t="s">
        <v>10038</v>
      </c>
      <c r="E1106" s="2">
        <v>243345.0</v>
      </c>
      <c r="F1106" s="2">
        <v>0.0</v>
      </c>
      <c r="G1106" s="2">
        <v>7139.0</v>
      </c>
      <c r="H1106" s="2" t="s">
        <v>5906</v>
      </c>
      <c r="I1106" s="2" t="s">
        <v>5906</v>
      </c>
      <c r="J1106" s="2" t="s">
        <v>5911</v>
      </c>
      <c r="K1106" s="2" t="s">
        <v>10039</v>
      </c>
    </row>
    <row r="1107">
      <c r="A1107" s="2" t="s">
        <v>5481</v>
      </c>
      <c r="B1107" s="2" t="s">
        <v>10040</v>
      </c>
      <c r="C1107" s="2">
        <v>5.32083921E8</v>
      </c>
      <c r="D1107" s="2" t="s">
        <v>10041</v>
      </c>
      <c r="E1107" s="2">
        <v>920041.0</v>
      </c>
      <c r="F1107" s="2">
        <v>470.0</v>
      </c>
      <c r="G1107" s="2">
        <v>13353.0</v>
      </c>
      <c r="H1107" s="2" t="s">
        <v>5906</v>
      </c>
      <c r="I1107" s="2" t="s">
        <v>5905</v>
      </c>
      <c r="J1107" s="2" t="s">
        <v>5907</v>
      </c>
      <c r="K1107" s="2" t="s">
        <v>10042</v>
      </c>
      <c r="L1107" s="10" t="s">
        <v>10043</v>
      </c>
    </row>
    <row r="1108">
      <c r="A1108" s="2" t="s">
        <v>5481</v>
      </c>
      <c r="B1108" s="2" t="s">
        <v>10044</v>
      </c>
      <c r="C1108" s="2">
        <v>6.1686859292E10</v>
      </c>
      <c r="D1108" s="2" t="s">
        <v>10045</v>
      </c>
      <c r="E1108" s="2">
        <v>485211.0</v>
      </c>
      <c r="F1108" s="2">
        <v>2.0</v>
      </c>
      <c r="G1108" s="2">
        <v>2447.0</v>
      </c>
      <c r="H1108" s="2" t="s">
        <v>5905</v>
      </c>
      <c r="I1108" s="2" t="s">
        <v>5905</v>
      </c>
      <c r="J1108" s="2" t="s">
        <v>6393</v>
      </c>
      <c r="K1108" s="2" t="s">
        <v>10046</v>
      </c>
      <c r="L1108" s="10" t="s">
        <v>10047</v>
      </c>
    </row>
    <row r="1109">
      <c r="A1109" s="2" t="s">
        <v>5481</v>
      </c>
      <c r="B1109" s="2" t="s">
        <v>9964</v>
      </c>
      <c r="C1109" s="2">
        <v>1269598.0</v>
      </c>
      <c r="D1109" s="2" t="s">
        <v>5291</v>
      </c>
      <c r="E1109" s="2">
        <v>4387825.0</v>
      </c>
      <c r="F1109" s="2">
        <v>299.0</v>
      </c>
      <c r="G1109" s="2">
        <v>22559.0</v>
      </c>
      <c r="H1109" s="2" t="s">
        <v>5906</v>
      </c>
      <c r="I1109" s="2" t="s">
        <v>5906</v>
      </c>
      <c r="J1109" s="2" t="s">
        <v>6290</v>
      </c>
      <c r="K1109" s="2" t="s">
        <v>9965</v>
      </c>
      <c r="L1109" s="10" t="s">
        <v>9966</v>
      </c>
    </row>
    <row r="1110">
      <c r="A1110" s="2" t="s">
        <v>5481</v>
      </c>
      <c r="B1110" s="2" t="s">
        <v>10048</v>
      </c>
      <c r="C1110" s="2">
        <v>2.038126262E9</v>
      </c>
      <c r="D1110" s="2" t="s">
        <v>10049</v>
      </c>
      <c r="E1110" s="2">
        <v>124158.0</v>
      </c>
      <c r="F1110" s="2">
        <v>38.0</v>
      </c>
      <c r="G1110" s="2">
        <v>1881.0</v>
      </c>
      <c r="H1110" s="2" t="s">
        <v>5905</v>
      </c>
      <c r="I1110" s="2" t="s">
        <v>5906</v>
      </c>
      <c r="J1110" s="2" t="s">
        <v>5959</v>
      </c>
    </row>
    <row r="1111">
      <c r="A1111" s="2" t="s">
        <v>5481</v>
      </c>
      <c r="B1111" s="10" t="s">
        <v>10050</v>
      </c>
      <c r="C1111" s="2">
        <v>7.814982185E9</v>
      </c>
      <c r="D1111" s="2" t="s">
        <v>10051</v>
      </c>
      <c r="E1111" s="2">
        <v>42839.0</v>
      </c>
      <c r="F1111" s="2">
        <v>565.0</v>
      </c>
      <c r="G1111" s="2">
        <v>7273.0</v>
      </c>
      <c r="H1111" s="2" t="s">
        <v>5905</v>
      </c>
      <c r="I1111" s="2" t="s">
        <v>5906</v>
      </c>
      <c r="J1111" s="2" t="s">
        <v>5911</v>
      </c>
      <c r="K1111" s="2" t="s">
        <v>10052</v>
      </c>
      <c r="L1111" s="10" t="s">
        <v>10053</v>
      </c>
    </row>
    <row r="1112">
      <c r="A1112" s="2" t="s">
        <v>5481</v>
      </c>
      <c r="B1112" s="2" t="s">
        <v>10054</v>
      </c>
      <c r="C1112" s="2">
        <v>5.315651915E9</v>
      </c>
      <c r="D1112" s="2" t="s">
        <v>10055</v>
      </c>
      <c r="E1112" s="2">
        <v>51645.0</v>
      </c>
      <c r="F1112" s="2">
        <v>98.0</v>
      </c>
      <c r="G1112" s="2">
        <v>8122.0</v>
      </c>
      <c r="H1112" s="2" t="s">
        <v>5905</v>
      </c>
      <c r="I1112" s="2" t="s">
        <v>5906</v>
      </c>
      <c r="J1112" s="2" t="s">
        <v>5907</v>
      </c>
      <c r="K1112" s="2" t="s">
        <v>10056</v>
      </c>
      <c r="L1112" s="10" t="s">
        <v>10057</v>
      </c>
    </row>
    <row r="1113">
      <c r="A1113" s="2" t="s">
        <v>5481</v>
      </c>
      <c r="B1113" s="2" t="s">
        <v>10058</v>
      </c>
      <c r="C1113" s="2">
        <v>1.329078028E9</v>
      </c>
      <c r="D1113" s="2" t="s">
        <v>10059</v>
      </c>
      <c r="E1113" s="2">
        <v>195108.0</v>
      </c>
      <c r="F1113" s="2">
        <v>19.0</v>
      </c>
      <c r="G1113" s="2">
        <v>21917.0</v>
      </c>
      <c r="H1113" s="2" t="s">
        <v>5905</v>
      </c>
      <c r="I1113" s="2" t="s">
        <v>5906</v>
      </c>
      <c r="J1113" s="2" t="s">
        <v>5911</v>
      </c>
      <c r="K1113" s="2" t="s">
        <v>10060</v>
      </c>
      <c r="L1113" s="10" t="s">
        <v>10061</v>
      </c>
    </row>
    <row r="1114">
      <c r="A1114" s="2" t="s">
        <v>5481</v>
      </c>
      <c r="B1114" s="2" t="s">
        <v>10062</v>
      </c>
      <c r="C1114" s="2">
        <v>2.567876488E9</v>
      </c>
      <c r="D1114" s="2" t="s">
        <v>10063</v>
      </c>
      <c r="E1114" s="2">
        <v>96724.0</v>
      </c>
      <c r="F1114" s="2">
        <v>5.0</v>
      </c>
      <c r="G1114" s="2">
        <v>48897.0</v>
      </c>
      <c r="H1114" s="2" t="s">
        <v>5906</v>
      </c>
      <c r="I1114" s="2" t="s">
        <v>5906</v>
      </c>
      <c r="J1114" s="2" t="s">
        <v>5911</v>
      </c>
      <c r="K1114" s="2" t="s">
        <v>10064</v>
      </c>
      <c r="L1114" s="10" t="s">
        <v>10065</v>
      </c>
    </row>
    <row r="1115">
      <c r="A1115" s="2" t="s">
        <v>5367</v>
      </c>
      <c r="B1115" s="2" t="s">
        <v>10066</v>
      </c>
      <c r="C1115" s="2">
        <v>1.50820476E9</v>
      </c>
      <c r="D1115" s="2" t="s">
        <v>5367</v>
      </c>
      <c r="E1115" s="2">
        <v>1147729.0</v>
      </c>
      <c r="F1115" s="2">
        <v>259.0</v>
      </c>
      <c r="G1115" s="2">
        <v>3989.0</v>
      </c>
      <c r="H1115" s="2" t="s">
        <v>5906</v>
      </c>
      <c r="I1115" s="2" t="s">
        <v>5906</v>
      </c>
      <c r="K1115" s="2" t="s">
        <v>10067</v>
      </c>
      <c r="L1115" s="10" t="s">
        <v>10068</v>
      </c>
    </row>
    <row r="1116">
      <c r="A1116" s="2" t="s">
        <v>5558</v>
      </c>
      <c r="B1116" s="2" t="s">
        <v>10069</v>
      </c>
      <c r="C1116" s="2">
        <v>2.067578677E9</v>
      </c>
      <c r="D1116" s="2" t="s">
        <v>10070</v>
      </c>
      <c r="E1116" s="2">
        <v>182399.0</v>
      </c>
      <c r="F1116" s="2">
        <v>0.0</v>
      </c>
      <c r="G1116" s="2">
        <v>928.0</v>
      </c>
      <c r="H1116" s="2" t="s">
        <v>5905</v>
      </c>
      <c r="I1116" s="2" t="s">
        <v>5906</v>
      </c>
      <c r="J1116" s="2" t="s">
        <v>5480</v>
      </c>
      <c r="K1116" s="2" t="s">
        <v>10071</v>
      </c>
    </row>
    <row r="1117">
      <c r="A1117" s="2" t="s">
        <v>5558</v>
      </c>
      <c r="B1117" s="2" t="s">
        <v>10072</v>
      </c>
      <c r="C1117" s="2">
        <v>3.808889047E10</v>
      </c>
      <c r="D1117" s="2" t="s">
        <v>10073</v>
      </c>
      <c r="E1117" s="2">
        <v>111550.0</v>
      </c>
      <c r="F1117" s="2">
        <v>274.0</v>
      </c>
      <c r="G1117" s="2">
        <v>2889.0</v>
      </c>
      <c r="H1117" s="2" t="s">
        <v>5905</v>
      </c>
      <c r="I1117" s="2" t="s">
        <v>5906</v>
      </c>
      <c r="J1117" s="2" t="s">
        <v>5968</v>
      </c>
      <c r="K1117" s="2" t="s">
        <v>10074</v>
      </c>
      <c r="L1117" s="10" t="s">
        <v>10075</v>
      </c>
    </row>
    <row r="1118">
      <c r="A1118" s="2" t="s">
        <v>5558</v>
      </c>
      <c r="B1118" s="2" t="s">
        <v>10076</v>
      </c>
      <c r="C1118" s="2">
        <v>4.391469852E9</v>
      </c>
      <c r="D1118" s="2" t="s">
        <v>10077</v>
      </c>
      <c r="E1118" s="2">
        <v>121529.0</v>
      </c>
      <c r="F1118" s="2">
        <v>343.0</v>
      </c>
      <c r="G1118" s="2">
        <v>2061.0</v>
      </c>
      <c r="H1118" s="2" t="s">
        <v>5906</v>
      </c>
      <c r="I1118" s="2" t="s">
        <v>5906</v>
      </c>
      <c r="J1118" s="2" t="s">
        <v>5907</v>
      </c>
      <c r="K1118" s="2" t="s">
        <v>10078</v>
      </c>
      <c r="L1118" s="10" t="s">
        <v>10079</v>
      </c>
    </row>
    <row r="1119">
      <c r="A1119" s="2" t="s">
        <v>5558</v>
      </c>
      <c r="B1119" s="2" t="s">
        <v>10080</v>
      </c>
      <c r="C1119" s="2">
        <v>5.2341913649E10</v>
      </c>
      <c r="D1119" s="2" t="s">
        <v>10081</v>
      </c>
      <c r="E1119" s="2">
        <v>473664.0</v>
      </c>
      <c r="F1119" s="2">
        <v>0.0</v>
      </c>
      <c r="G1119" s="2">
        <v>472.0</v>
      </c>
      <c r="H1119" s="2" t="s">
        <v>5905</v>
      </c>
      <c r="I1119" s="2" t="s">
        <v>5905</v>
      </c>
      <c r="J1119" s="2" t="s">
        <v>5480</v>
      </c>
      <c r="K1119" s="2" t="s">
        <v>10082</v>
      </c>
      <c r="L1119" s="10" t="s">
        <v>10083</v>
      </c>
    </row>
    <row r="1120">
      <c r="A1120" s="2" t="s">
        <v>5517</v>
      </c>
      <c r="B1120" s="2" t="s">
        <v>10084</v>
      </c>
      <c r="C1120" s="2">
        <v>3.193123331E9</v>
      </c>
      <c r="D1120" s="2" t="s">
        <v>10085</v>
      </c>
      <c r="E1120" s="2">
        <v>28754.0</v>
      </c>
      <c r="F1120" s="2">
        <v>34.0</v>
      </c>
      <c r="G1120" s="2">
        <v>2209.0</v>
      </c>
      <c r="H1120" s="2" t="s">
        <v>5906</v>
      </c>
      <c r="I1120" s="2" t="s">
        <v>5906</v>
      </c>
      <c r="J1120" s="2" t="s">
        <v>5517</v>
      </c>
      <c r="K1120" s="2" t="s">
        <v>10086</v>
      </c>
      <c r="L1120" s="10" t="s">
        <v>10087</v>
      </c>
    </row>
    <row r="1121">
      <c r="A1121" s="2" t="s">
        <v>5517</v>
      </c>
      <c r="B1121" s="2" t="s">
        <v>10088</v>
      </c>
      <c r="C1121" s="2">
        <v>5.14262089E8</v>
      </c>
      <c r="D1121" s="2" t="s">
        <v>10089</v>
      </c>
      <c r="E1121" s="2">
        <v>129379.0</v>
      </c>
      <c r="F1121" s="2">
        <v>79.0</v>
      </c>
      <c r="G1121" s="2">
        <v>10978.0</v>
      </c>
      <c r="H1121" s="2" t="s">
        <v>5905</v>
      </c>
      <c r="I1121" s="2" t="s">
        <v>5906</v>
      </c>
      <c r="K1121" s="2" t="s">
        <v>10090</v>
      </c>
      <c r="L1121" s="10" t="s">
        <v>10091</v>
      </c>
    </row>
    <row r="1122">
      <c r="A1122" s="2" t="s">
        <v>5517</v>
      </c>
      <c r="B1122" s="2" t="s">
        <v>10092</v>
      </c>
      <c r="C1122" s="2">
        <v>3.60578114E8</v>
      </c>
      <c r="D1122" s="2" t="s">
        <v>10093</v>
      </c>
      <c r="E1122" s="2">
        <v>80214.0</v>
      </c>
      <c r="F1122" s="2">
        <v>2052.0</v>
      </c>
      <c r="G1122" s="2">
        <v>2321.0</v>
      </c>
      <c r="H1122" s="2" t="s">
        <v>5905</v>
      </c>
      <c r="I1122" s="2" t="s">
        <v>5906</v>
      </c>
      <c r="K1122" s="2" t="s">
        <v>10094</v>
      </c>
      <c r="L1122" s="10" t="s">
        <v>10095</v>
      </c>
    </row>
    <row r="1123">
      <c r="A1123" s="2" t="s">
        <v>5517</v>
      </c>
      <c r="B1123" s="2" t="s">
        <v>10096</v>
      </c>
      <c r="C1123" s="2">
        <v>7.588306793E9</v>
      </c>
      <c r="D1123" s="10" t="s">
        <v>10097</v>
      </c>
      <c r="E1123" s="2">
        <v>23292.0</v>
      </c>
      <c r="F1123" s="2">
        <v>261.0</v>
      </c>
      <c r="G1123" s="2">
        <v>2261.0</v>
      </c>
      <c r="H1123" s="2" t="s">
        <v>5905</v>
      </c>
      <c r="I1123" s="2" t="s">
        <v>5906</v>
      </c>
      <c r="K1123" s="2" t="s">
        <v>10098</v>
      </c>
      <c r="L1123" s="10" t="s">
        <v>10099</v>
      </c>
    </row>
    <row r="1124">
      <c r="A1124" s="2" t="s">
        <v>5517</v>
      </c>
      <c r="B1124" s="2" t="s">
        <v>10100</v>
      </c>
      <c r="C1124" s="2">
        <v>1.900255362E9</v>
      </c>
      <c r="D1124" s="2" t="s">
        <v>10101</v>
      </c>
      <c r="E1124" s="2">
        <v>169018.0</v>
      </c>
      <c r="F1124" s="2">
        <v>437.0</v>
      </c>
      <c r="G1124" s="2">
        <v>0.0</v>
      </c>
      <c r="H1124" s="2" t="s">
        <v>5905</v>
      </c>
      <c r="I1124" s="2" t="s">
        <v>5906</v>
      </c>
    </row>
    <row r="1125">
      <c r="A1125" s="2" t="s">
        <v>5517</v>
      </c>
      <c r="B1125" s="2" t="s">
        <v>10102</v>
      </c>
      <c r="C1125" s="2">
        <v>1.701958124E9</v>
      </c>
      <c r="D1125" s="2" t="s">
        <v>10103</v>
      </c>
      <c r="E1125" s="2">
        <v>373326.0</v>
      </c>
      <c r="F1125" s="2">
        <v>2116.0</v>
      </c>
      <c r="G1125" s="2">
        <v>5627.0</v>
      </c>
      <c r="H1125" s="2" t="s">
        <v>5905</v>
      </c>
      <c r="I1125" s="2" t="s">
        <v>5906</v>
      </c>
      <c r="J1125" s="2" t="s">
        <v>5911</v>
      </c>
      <c r="K1125" s="2" t="s">
        <v>10104</v>
      </c>
      <c r="L1125" s="10" t="s">
        <v>10105</v>
      </c>
    </row>
    <row r="1126">
      <c r="A1126" s="2" t="s">
        <v>5517</v>
      </c>
      <c r="B1126" s="10" t="s">
        <v>10106</v>
      </c>
      <c r="C1126" s="2">
        <v>6.6249374194E10</v>
      </c>
      <c r="D1126" s="2" t="s">
        <v>10107</v>
      </c>
      <c r="E1126" s="2">
        <v>31366.0</v>
      </c>
      <c r="F1126" s="2">
        <v>0.0</v>
      </c>
      <c r="G1126" s="2">
        <v>118.0</v>
      </c>
      <c r="H1126" s="2" t="s">
        <v>5905</v>
      </c>
      <c r="I1126" s="2" t="s">
        <v>5906</v>
      </c>
      <c r="J1126" s="2" t="s">
        <v>5484</v>
      </c>
      <c r="K1126" s="2" t="s">
        <v>10108</v>
      </c>
      <c r="L1126" s="10" t="s">
        <v>10109</v>
      </c>
    </row>
    <row r="1127">
      <c r="A1127" s="2" t="s">
        <v>5503</v>
      </c>
      <c r="B1127" s="2" t="s">
        <v>10110</v>
      </c>
      <c r="C1127" s="2">
        <v>5.2273418077E10</v>
      </c>
      <c r="D1127" s="2" t="s">
        <v>10111</v>
      </c>
      <c r="E1127" s="2">
        <v>15206.0</v>
      </c>
      <c r="F1127" s="2">
        <v>8.0</v>
      </c>
      <c r="G1127" s="2">
        <v>2742.0</v>
      </c>
      <c r="H1127" s="2" t="s">
        <v>5905</v>
      </c>
      <c r="I1127" s="2" t="s">
        <v>5906</v>
      </c>
      <c r="J1127" s="2" t="s">
        <v>5911</v>
      </c>
      <c r="K1127" s="2" t="s">
        <v>10112</v>
      </c>
      <c r="L1127" s="10" t="s">
        <v>10113</v>
      </c>
    </row>
    <row r="1128">
      <c r="A1128" s="2" t="s">
        <v>5503</v>
      </c>
      <c r="B1128" s="2" t="s">
        <v>10114</v>
      </c>
      <c r="C1128" s="2">
        <v>1.7644699724E10</v>
      </c>
      <c r="D1128" s="2" t="s">
        <v>10115</v>
      </c>
      <c r="E1128" s="2">
        <v>1901878.0</v>
      </c>
      <c r="F1128" s="2">
        <v>20.0</v>
      </c>
      <c r="G1128" s="2">
        <v>22432.0</v>
      </c>
      <c r="H1128" s="2" t="s">
        <v>5906</v>
      </c>
      <c r="I1128" s="2" t="s">
        <v>5906</v>
      </c>
      <c r="J1128" s="2" t="s">
        <v>5480</v>
      </c>
      <c r="K1128" s="2" t="s">
        <v>10116</v>
      </c>
      <c r="L1128" s="10" t="s">
        <v>10117</v>
      </c>
    </row>
    <row r="1129">
      <c r="A1129" s="2" t="s">
        <v>5503</v>
      </c>
      <c r="B1129" s="2" t="s">
        <v>10118</v>
      </c>
      <c r="C1129" s="2">
        <v>1.116209905E9</v>
      </c>
      <c r="D1129" s="2" t="s">
        <v>10119</v>
      </c>
      <c r="E1129" s="2">
        <v>109694.0</v>
      </c>
      <c r="F1129" s="2">
        <v>38.0</v>
      </c>
      <c r="G1129" s="2">
        <v>200.0</v>
      </c>
      <c r="H1129" s="2" t="s">
        <v>5905</v>
      </c>
      <c r="I1129" s="2" t="s">
        <v>5906</v>
      </c>
      <c r="K1129" s="2" t="s">
        <v>10120</v>
      </c>
      <c r="L1129" s="10" t="s">
        <v>10121</v>
      </c>
    </row>
    <row r="1130">
      <c r="A1130" s="2" t="s">
        <v>5503</v>
      </c>
      <c r="B1130" s="2" t="s">
        <v>10122</v>
      </c>
      <c r="C1130" s="2">
        <v>5.3099311332E10</v>
      </c>
      <c r="D1130" s="2" t="s">
        <v>10123</v>
      </c>
      <c r="E1130" s="2">
        <v>12420.0</v>
      </c>
      <c r="F1130" s="2">
        <v>39.0</v>
      </c>
      <c r="G1130" s="2">
        <v>2315.0</v>
      </c>
      <c r="H1130" s="2" t="s">
        <v>5905</v>
      </c>
      <c r="I1130" s="2" t="s">
        <v>5905</v>
      </c>
      <c r="J1130" s="2" t="s">
        <v>5907</v>
      </c>
      <c r="K1130" s="2" t="s">
        <v>10124</v>
      </c>
      <c r="L1130" s="10" t="s">
        <v>10125</v>
      </c>
    </row>
    <row r="1131">
      <c r="A1131" s="2" t="s">
        <v>5503</v>
      </c>
      <c r="B1131" s="2" t="s">
        <v>10126</v>
      </c>
      <c r="C1131" s="2">
        <v>7.1964860606E10</v>
      </c>
      <c r="D1131" s="2" t="s">
        <v>10127</v>
      </c>
      <c r="E1131" s="2">
        <v>38679.0</v>
      </c>
      <c r="F1131" s="2">
        <v>1.0</v>
      </c>
      <c r="G1131" s="2">
        <v>22993.0</v>
      </c>
      <c r="H1131" s="2" t="s">
        <v>5905</v>
      </c>
      <c r="I1131" s="2" t="s">
        <v>5906</v>
      </c>
      <c r="J1131" s="2" t="s">
        <v>5959</v>
      </c>
      <c r="K1131" s="10" t="s">
        <v>10128</v>
      </c>
      <c r="L1131" s="10" t="s">
        <v>10129</v>
      </c>
    </row>
    <row r="1132">
      <c r="A1132" s="2" t="s">
        <v>5503</v>
      </c>
      <c r="B1132" s="2" t="s">
        <v>10130</v>
      </c>
      <c r="C1132" s="2">
        <v>5.2596462004E10</v>
      </c>
      <c r="D1132" s="2" t="s">
        <v>10119</v>
      </c>
      <c r="E1132" s="2">
        <v>66474.0</v>
      </c>
      <c r="F1132" s="2">
        <v>52.0</v>
      </c>
      <c r="G1132" s="2">
        <v>32607.0</v>
      </c>
      <c r="H1132" s="2" t="s">
        <v>5906</v>
      </c>
      <c r="I1132" s="2" t="s">
        <v>5906</v>
      </c>
      <c r="J1132" s="2" t="s">
        <v>5907</v>
      </c>
      <c r="K1132" s="2" t="s">
        <v>10131</v>
      </c>
      <c r="L1132" s="10" t="s">
        <v>10132</v>
      </c>
    </row>
    <row r="1133">
      <c r="A1133" s="2" t="s">
        <v>5503</v>
      </c>
      <c r="B1133" s="2" t="s">
        <v>10133</v>
      </c>
      <c r="C1133" s="2">
        <v>6.4918959085E10</v>
      </c>
      <c r="D1133" s="2" t="s">
        <v>10134</v>
      </c>
      <c r="E1133" s="2">
        <v>19278.0</v>
      </c>
      <c r="F1133" s="2">
        <v>960.0</v>
      </c>
      <c r="G1133" s="2">
        <v>2529.0</v>
      </c>
      <c r="H1133" s="2" t="s">
        <v>5905</v>
      </c>
      <c r="I1133" s="2" t="s">
        <v>5906</v>
      </c>
      <c r="J1133" s="2" t="s">
        <v>5911</v>
      </c>
      <c r="K1133" s="2" t="s">
        <v>10135</v>
      </c>
    </row>
    <row r="1134">
      <c r="A1134" s="2" t="s">
        <v>5503</v>
      </c>
      <c r="B1134" s="10" t="s">
        <v>10136</v>
      </c>
      <c r="C1134" s="2">
        <v>8.11448941E8</v>
      </c>
      <c r="D1134" s="2" t="s">
        <v>10137</v>
      </c>
      <c r="E1134" s="2">
        <v>114361.0</v>
      </c>
      <c r="F1134" s="2">
        <v>41.0</v>
      </c>
      <c r="G1134" s="2">
        <v>2182.0</v>
      </c>
      <c r="H1134" s="2" t="s">
        <v>5905</v>
      </c>
      <c r="I1134" s="2" t="s">
        <v>5906</v>
      </c>
      <c r="J1134" s="2" t="s">
        <v>5485</v>
      </c>
      <c r="K1134" s="2" t="s">
        <v>10138</v>
      </c>
      <c r="L1134" s="10" t="s">
        <v>10139</v>
      </c>
    </row>
    <row r="1135">
      <c r="A1135" s="2" t="s">
        <v>5503</v>
      </c>
      <c r="B1135" s="10" t="s">
        <v>10140</v>
      </c>
      <c r="C1135" s="2">
        <v>6.3218987757E10</v>
      </c>
      <c r="D1135" s="2" t="s">
        <v>10141</v>
      </c>
      <c r="E1135" s="2">
        <v>10120.0</v>
      </c>
      <c r="F1135" s="2">
        <v>0.0</v>
      </c>
      <c r="G1135" s="2">
        <v>768.0</v>
      </c>
      <c r="H1135" s="2" t="s">
        <v>5905</v>
      </c>
      <c r="I1135" s="2" t="s">
        <v>5906</v>
      </c>
      <c r="J1135" s="2" t="s">
        <v>5907</v>
      </c>
      <c r="K1135" s="12" t="s">
        <v>10142</v>
      </c>
      <c r="L1135" s="10" t="s">
        <v>10143</v>
      </c>
    </row>
    <row r="1136">
      <c r="A1136" s="2" t="s">
        <v>5503</v>
      </c>
      <c r="B1136" s="10" t="s">
        <v>10144</v>
      </c>
      <c r="C1136" s="2">
        <v>5.9224422024E10</v>
      </c>
      <c r="D1136" s="2" t="s">
        <v>10145</v>
      </c>
      <c r="E1136" s="2">
        <v>14023.0</v>
      </c>
      <c r="F1136" s="2">
        <v>32.0</v>
      </c>
      <c r="G1136" s="2">
        <v>2314.0</v>
      </c>
      <c r="H1136" s="2" t="s">
        <v>5905</v>
      </c>
      <c r="I1136" s="2" t="s">
        <v>5905</v>
      </c>
      <c r="J1136" s="2" t="s">
        <v>5911</v>
      </c>
      <c r="K1136" s="2" t="s">
        <v>10146</v>
      </c>
      <c r="L1136" s="10" t="s">
        <v>10147</v>
      </c>
    </row>
    <row r="1137">
      <c r="A1137" s="2" t="s">
        <v>5503</v>
      </c>
      <c r="B1137" s="2" t="s">
        <v>10148</v>
      </c>
      <c r="C1137" s="2">
        <v>4.017725188E9</v>
      </c>
      <c r="D1137" s="2" t="s">
        <v>5503</v>
      </c>
      <c r="E1137" s="2">
        <v>12089.0</v>
      </c>
      <c r="F1137" s="2">
        <v>67.0</v>
      </c>
      <c r="G1137" s="2">
        <v>934.0</v>
      </c>
      <c r="H1137" s="2" t="s">
        <v>5906</v>
      </c>
      <c r="I1137" s="2" t="s">
        <v>5906</v>
      </c>
      <c r="J1137" s="2" t="s">
        <v>5911</v>
      </c>
      <c r="K1137" s="2" t="s">
        <v>10149</v>
      </c>
      <c r="L1137" s="10" t="s">
        <v>10150</v>
      </c>
    </row>
    <row r="1138">
      <c r="A1138" s="2" t="s">
        <v>5503</v>
      </c>
      <c r="B1138" s="2" t="s">
        <v>10151</v>
      </c>
      <c r="C1138" s="2">
        <v>6.5398922435E10</v>
      </c>
      <c r="D1138" s="2" t="s">
        <v>10152</v>
      </c>
      <c r="E1138" s="2">
        <v>16243.0</v>
      </c>
      <c r="F1138" s="2">
        <v>1.0</v>
      </c>
      <c r="G1138" s="2">
        <v>15269.0</v>
      </c>
      <c r="H1138" s="2" t="s">
        <v>5905</v>
      </c>
      <c r="I1138" s="2" t="s">
        <v>5906</v>
      </c>
      <c r="J1138" s="2" t="s">
        <v>5959</v>
      </c>
      <c r="K1138" s="2" t="s">
        <v>10153</v>
      </c>
      <c r="L1138" s="10" t="s">
        <v>10154</v>
      </c>
    </row>
    <row r="1139">
      <c r="A1139" s="2" t="s">
        <v>5503</v>
      </c>
      <c r="B1139" s="2" t="s">
        <v>10155</v>
      </c>
      <c r="C1139" s="2">
        <v>6.7529656764E10</v>
      </c>
      <c r="D1139" s="2" t="s">
        <v>5503</v>
      </c>
      <c r="E1139" s="2">
        <v>25336.0</v>
      </c>
      <c r="F1139" s="2">
        <v>30.0</v>
      </c>
      <c r="G1139" s="2">
        <v>363.0</v>
      </c>
      <c r="H1139" s="2" t="s">
        <v>5906</v>
      </c>
      <c r="I1139" s="2" t="s">
        <v>5906</v>
      </c>
      <c r="J1139" s="2" t="s">
        <v>5484</v>
      </c>
      <c r="K1139" s="2" t="s">
        <v>10156</v>
      </c>
      <c r="L1139" s="10" t="s">
        <v>10157</v>
      </c>
    </row>
    <row r="1140">
      <c r="A1140" s="2" t="s">
        <v>5503</v>
      </c>
      <c r="B1140" s="2" t="s">
        <v>10158</v>
      </c>
      <c r="C1140" s="2">
        <v>8.463197235E9</v>
      </c>
      <c r="D1140" s="2" t="s">
        <v>10159</v>
      </c>
      <c r="E1140" s="2">
        <v>31153.0</v>
      </c>
      <c r="F1140" s="2">
        <v>3406.0</v>
      </c>
      <c r="G1140" s="2">
        <v>11283.0</v>
      </c>
      <c r="H1140" s="2" t="s">
        <v>5905</v>
      </c>
      <c r="I1140" s="2" t="s">
        <v>5906</v>
      </c>
      <c r="J1140" s="2" t="s">
        <v>5480</v>
      </c>
      <c r="K1140" s="2" t="s">
        <v>10160</v>
      </c>
    </row>
    <row r="1141">
      <c r="A1141" s="2" t="s">
        <v>5503</v>
      </c>
      <c r="B1141" s="2" t="s">
        <v>10161</v>
      </c>
      <c r="C1141" s="2">
        <v>1.34706056E9</v>
      </c>
      <c r="D1141" s="2" t="s">
        <v>10162</v>
      </c>
      <c r="E1141" s="2">
        <v>2101493.0</v>
      </c>
      <c r="F1141" s="2">
        <v>198.0</v>
      </c>
      <c r="G1141" s="2">
        <v>15253.0</v>
      </c>
      <c r="H1141" s="2" t="s">
        <v>5906</v>
      </c>
      <c r="I1141" s="2" t="s">
        <v>5906</v>
      </c>
      <c r="J1141" s="2" t="s">
        <v>10163</v>
      </c>
      <c r="K1141" s="2" t="s">
        <v>10164</v>
      </c>
      <c r="L1141" s="10" t="s">
        <v>10165</v>
      </c>
    </row>
    <row r="1142">
      <c r="A1142" s="2" t="s">
        <v>5361</v>
      </c>
      <c r="B1142" s="2" t="s">
        <v>10166</v>
      </c>
      <c r="C1142" s="2">
        <v>9.37524807E8</v>
      </c>
      <c r="D1142" s="2" t="s">
        <v>5361</v>
      </c>
      <c r="E1142" s="2">
        <v>587429.0</v>
      </c>
      <c r="F1142" s="2">
        <v>233.0</v>
      </c>
      <c r="G1142" s="2">
        <v>8679.0</v>
      </c>
      <c r="H1142" s="2" t="s">
        <v>5906</v>
      </c>
      <c r="I1142" s="2" t="s">
        <v>5906</v>
      </c>
      <c r="K1142" s="2" t="s">
        <v>10167</v>
      </c>
      <c r="L1142" s="10" t="s">
        <v>10168</v>
      </c>
    </row>
    <row r="1143">
      <c r="A1143" s="2" t="s">
        <v>5361</v>
      </c>
      <c r="B1143" s="2" t="s">
        <v>10169</v>
      </c>
      <c r="C1143" s="2">
        <v>2.072276843E9</v>
      </c>
      <c r="D1143" s="2" t="s">
        <v>10170</v>
      </c>
      <c r="E1143" s="2">
        <v>25821.0</v>
      </c>
      <c r="F1143" s="2">
        <v>116.0</v>
      </c>
      <c r="G1143" s="2">
        <v>518.0</v>
      </c>
      <c r="H1143" s="2" t="s">
        <v>5906</v>
      </c>
      <c r="I1143" s="2" t="s">
        <v>5906</v>
      </c>
      <c r="J1143" s="2" t="s">
        <v>5907</v>
      </c>
      <c r="K1143" s="2" t="s">
        <v>10171</v>
      </c>
      <c r="L1143" s="10" t="s">
        <v>10172</v>
      </c>
    </row>
    <row r="1144">
      <c r="A1144" s="2" t="s">
        <v>5361</v>
      </c>
      <c r="B1144" s="2" t="s">
        <v>10173</v>
      </c>
      <c r="C1144" s="2">
        <v>9.652179288E9</v>
      </c>
      <c r="D1144" s="2" t="s">
        <v>5361</v>
      </c>
      <c r="E1144" s="2">
        <v>10711.0</v>
      </c>
      <c r="F1144" s="2">
        <v>193.0</v>
      </c>
      <c r="G1144" s="2">
        <v>3333.0</v>
      </c>
      <c r="H1144" s="2" t="s">
        <v>5905</v>
      </c>
      <c r="I1144" s="2" t="s">
        <v>5905</v>
      </c>
      <c r="J1144" s="2" t="s">
        <v>5561</v>
      </c>
      <c r="K1144" s="2" t="s">
        <v>10174</v>
      </c>
      <c r="L1144" s="10" t="s">
        <v>10175</v>
      </c>
    </row>
    <row r="1145">
      <c r="A1145" s="2" t="s">
        <v>5527</v>
      </c>
      <c r="B1145" s="2" t="s">
        <v>10176</v>
      </c>
      <c r="C1145" s="2">
        <v>3.282194423E9</v>
      </c>
      <c r="D1145" s="2" t="s">
        <v>5527</v>
      </c>
      <c r="E1145" s="2">
        <v>15410.0</v>
      </c>
      <c r="F1145" s="2">
        <v>425.0</v>
      </c>
      <c r="G1145" s="2">
        <v>1118.0</v>
      </c>
      <c r="H1145" s="2" t="s">
        <v>5905</v>
      </c>
      <c r="I1145" s="2" t="s">
        <v>5906</v>
      </c>
      <c r="J1145" s="2" t="s">
        <v>5911</v>
      </c>
      <c r="K1145" s="2" t="s">
        <v>10177</v>
      </c>
      <c r="L1145" s="10" t="s">
        <v>10178</v>
      </c>
    </row>
    <row r="1146">
      <c r="A1146" s="2" t="s">
        <v>5527</v>
      </c>
      <c r="B1146" s="2" t="s">
        <v>10179</v>
      </c>
      <c r="C1146" s="2">
        <v>2.9329765987E10</v>
      </c>
      <c r="D1146" s="2" t="s">
        <v>5527</v>
      </c>
      <c r="E1146" s="2">
        <v>38656.0</v>
      </c>
      <c r="F1146" s="2">
        <v>5.0</v>
      </c>
      <c r="G1146" s="2">
        <v>16976.0</v>
      </c>
      <c r="H1146" s="2" t="s">
        <v>5905</v>
      </c>
      <c r="I1146" s="2" t="s">
        <v>5906</v>
      </c>
      <c r="J1146" s="2" t="s">
        <v>5907</v>
      </c>
      <c r="K1146" s="2" t="s">
        <v>10180</v>
      </c>
      <c r="L1146" s="10" t="s">
        <v>10181</v>
      </c>
    </row>
    <row r="1147">
      <c r="A1147" s="2" t="s">
        <v>5527</v>
      </c>
      <c r="B1147" s="2" t="s">
        <v>10182</v>
      </c>
      <c r="C1147" s="2">
        <v>2.43164832E9</v>
      </c>
      <c r="D1147" s="2" t="s">
        <v>10183</v>
      </c>
      <c r="E1147" s="2">
        <v>59468.0</v>
      </c>
      <c r="F1147" s="2">
        <v>432.0</v>
      </c>
      <c r="G1147" s="2">
        <v>602.0</v>
      </c>
      <c r="H1147" s="2" t="s">
        <v>5905</v>
      </c>
      <c r="I1147" s="2" t="s">
        <v>5905</v>
      </c>
      <c r="K1147" s="2" t="s">
        <v>10184</v>
      </c>
      <c r="L1147" s="10" t="s">
        <v>10185</v>
      </c>
    </row>
    <row r="1148">
      <c r="A1148" s="2" t="s">
        <v>5359</v>
      </c>
      <c r="B1148" s="2" t="s">
        <v>10186</v>
      </c>
      <c r="C1148" s="2">
        <v>4.158152338E9</v>
      </c>
      <c r="D1148" s="2" t="s">
        <v>10187</v>
      </c>
      <c r="E1148" s="2">
        <v>95977.0</v>
      </c>
      <c r="F1148" s="2">
        <v>518.0</v>
      </c>
      <c r="G1148" s="2">
        <v>264.0</v>
      </c>
      <c r="H1148" s="2" t="s">
        <v>5906</v>
      </c>
      <c r="I1148" s="2" t="s">
        <v>5905</v>
      </c>
      <c r="J1148" s="2" t="s">
        <v>6393</v>
      </c>
      <c r="K1148" s="2" t="s">
        <v>10188</v>
      </c>
      <c r="L1148" s="10" t="s">
        <v>10189</v>
      </c>
    </row>
    <row r="1149">
      <c r="A1149" s="2" t="s">
        <v>5359</v>
      </c>
      <c r="B1149" s="2" t="s">
        <v>10190</v>
      </c>
      <c r="C1149" s="2">
        <v>1.427617977E9</v>
      </c>
      <c r="D1149" s="2" t="s">
        <v>10191</v>
      </c>
      <c r="E1149" s="2">
        <v>3768185.0</v>
      </c>
      <c r="F1149" s="2">
        <v>121.0</v>
      </c>
      <c r="G1149" s="2">
        <v>4207.0</v>
      </c>
      <c r="H1149" s="2" t="s">
        <v>5906</v>
      </c>
      <c r="I1149" s="2" t="s">
        <v>5906</v>
      </c>
      <c r="K1149" s="2" t="s">
        <v>10192</v>
      </c>
      <c r="L1149" s="10" t="s">
        <v>10193</v>
      </c>
    </row>
    <row r="1150">
      <c r="A1150" s="2" t="s">
        <v>5359</v>
      </c>
      <c r="B1150" s="2" t="s">
        <v>10194</v>
      </c>
      <c r="C1150" s="2">
        <v>1.3315758279E10</v>
      </c>
      <c r="D1150" s="2" t="s">
        <v>10195</v>
      </c>
      <c r="E1150" s="2">
        <v>28467.0</v>
      </c>
      <c r="F1150" s="2">
        <v>72.0</v>
      </c>
      <c r="G1150" s="2">
        <v>268.0</v>
      </c>
      <c r="H1150" s="2" t="s">
        <v>5906</v>
      </c>
      <c r="I1150" s="2" t="s">
        <v>5906</v>
      </c>
      <c r="J1150" s="2" t="s">
        <v>5911</v>
      </c>
      <c r="K1150" s="2" t="s">
        <v>10196</v>
      </c>
      <c r="L1150" s="10" t="s">
        <v>10197</v>
      </c>
    </row>
    <row r="1151">
      <c r="A1151" s="2" t="s">
        <v>5359</v>
      </c>
      <c r="B1151" s="2" t="s">
        <v>10198</v>
      </c>
      <c r="C1151" s="2">
        <v>1.034053643E9</v>
      </c>
      <c r="D1151" s="2" t="s">
        <v>10199</v>
      </c>
      <c r="E1151" s="2">
        <v>18172.0</v>
      </c>
      <c r="F1151" s="2">
        <v>482.0</v>
      </c>
      <c r="G1151" s="2">
        <v>1521.0</v>
      </c>
      <c r="H1151" s="2" t="s">
        <v>5905</v>
      </c>
      <c r="I1151" s="2" t="s">
        <v>5906</v>
      </c>
      <c r="J1151" s="2" t="s">
        <v>8479</v>
      </c>
      <c r="K1151" s="2" t="s">
        <v>10200</v>
      </c>
      <c r="L1151" s="10" t="s">
        <v>10201</v>
      </c>
    </row>
    <row r="1152">
      <c r="A1152" s="2" t="s">
        <v>5359</v>
      </c>
      <c r="B1152" s="2" t="s">
        <v>10202</v>
      </c>
      <c r="C1152" s="2">
        <v>1.3787113E7</v>
      </c>
      <c r="D1152" s="2" t="s">
        <v>10203</v>
      </c>
      <c r="E1152" s="2">
        <v>8835352.0</v>
      </c>
      <c r="F1152" s="2">
        <v>150.0</v>
      </c>
      <c r="G1152" s="2">
        <v>14519.0</v>
      </c>
      <c r="H1152" s="2" t="s">
        <v>5906</v>
      </c>
      <c r="I1152" s="2" t="s">
        <v>5906</v>
      </c>
      <c r="K1152" s="2" t="s">
        <v>10204</v>
      </c>
      <c r="L1152" s="10" t="s">
        <v>10205</v>
      </c>
    </row>
    <row r="1153">
      <c r="A1153" s="2" t="s">
        <v>5359</v>
      </c>
      <c r="B1153" s="2" t="s">
        <v>10206</v>
      </c>
      <c r="C1153" s="2">
        <v>6.862007164E9</v>
      </c>
      <c r="D1153" s="2" t="s">
        <v>10207</v>
      </c>
      <c r="E1153" s="2">
        <v>39439.0</v>
      </c>
      <c r="F1153" s="2">
        <v>289.0</v>
      </c>
      <c r="G1153" s="2">
        <v>187.0</v>
      </c>
      <c r="H1153" s="2" t="s">
        <v>5905</v>
      </c>
      <c r="I1153" s="2" t="s">
        <v>5906</v>
      </c>
      <c r="J1153" s="2" t="s">
        <v>6166</v>
      </c>
      <c r="K1153" s="2" t="s">
        <v>10208</v>
      </c>
      <c r="L1153" s="10" t="s">
        <v>10209</v>
      </c>
    </row>
    <row r="1154">
      <c r="A1154" s="2" t="s">
        <v>5359</v>
      </c>
      <c r="B1154" s="2" t="s">
        <v>10210</v>
      </c>
      <c r="C1154" s="2">
        <v>1.7606624E8</v>
      </c>
      <c r="D1154" s="2" t="s">
        <v>10211</v>
      </c>
      <c r="E1154" s="2">
        <v>1265784.0</v>
      </c>
      <c r="F1154" s="2">
        <v>360.0</v>
      </c>
      <c r="G1154" s="2">
        <v>441.0</v>
      </c>
      <c r="H1154" s="2" t="s">
        <v>5906</v>
      </c>
      <c r="I1154" s="2" t="s">
        <v>5906</v>
      </c>
      <c r="J1154" s="2" t="s">
        <v>6166</v>
      </c>
      <c r="K1154" s="2" t="s">
        <v>10212</v>
      </c>
      <c r="L1154" s="10" t="s">
        <v>10209</v>
      </c>
    </row>
    <row r="1155">
      <c r="A1155" s="2" t="s">
        <v>5359</v>
      </c>
      <c r="B1155" s="2" t="s">
        <v>10213</v>
      </c>
      <c r="C1155" s="2">
        <v>1.059231465E9</v>
      </c>
      <c r="D1155" s="2" t="s">
        <v>10214</v>
      </c>
      <c r="E1155" s="2">
        <v>791562.0</v>
      </c>
      <c r="F1155" s="2">
        <v>1091.0</v>
      </c>
      <c r="G1155" s="2">
        <v>7344.0</v>
      </c>
      <c r="H1155" s="2" t="s">
        <v>5906</v>
      </c>
      <c r="I1155" s="2" t="s">
        <v>5906</v>
      </c>
      <c r="K1155" s="2" t="s">
        <v>10215</v>
      </c>
      <c r="L1155" s="10" t="s">
        <v>10216</v>
      </c>
    </row>
    <row r="1156">
      <c r="A1156" s="2" t="s">
        <v>5359</v>
      </c>
      <c r="B1156" s="2" t="s">
        <v>10217</v>
      </c>
      <c r="C1156" s="2">
        <v>1.677297814E9</v>
      </c>
      <c r="D1156" s="2" t="s">
        <v>10218</v>
      </c>
      <c r="E1156" s="2">
        <v>1096585.0</v>
      </c>
      <c r="F1156" s="2">
        <v>952.0</v>
      </c>
      <c r="G1156" s="2">
        <v>5986.0</v>
      </c>
      <c r="H1156" s="2" t="s">
        <v>5905</v>
      </c>
      <c r="I1156" s="2" t="s">
        <v>5905</v>
      </c>
      <c r="J1156" s="2" t="s">
        <v>10219</v>
      </c>
      <c r="K1156" s="2" t="s">
        <v>10220</v>
      </c>
    </row>
    <row r="1157">
      <c r="A1157" s="2" t="s">
        <v>5359</v>
      </c>
      <c r="B1157" s="2" t="s">
        <v>10221</v>
      </c>
      <c r="C1157" s="2">
        <v>6.093492188E10</v>
      </c>
      <c r="D1157" s="2" t="s">
        <v>10222</v>
      </c>
      <c r="E1157" s="2">
        <v>62013.0</v>
      </c>
      <c r="F1157" s="2">
        <v>84.0</v>
      </c>
      <c r="G1157" s="2">
        <v>3463.0</v>
      </c>
      <c r="H1157" s="2" t="s">
        <v>5905</v>
      </c>
      <c r="I1157" s="2" t="s">
        <v>5905</v>
      </c>
      <c r="J1157" s="2" t="s">
        <v>5492</v>
      </c>
      <c r="K1157" s="2" t="s">
        <v>10223</v>
      </c>
      <c r="L1157" s="10" t="s">
        <v>10224</v>
      </c>
    </row>
    <row r="1158">
      <c r="A1158" s="2" t="s">
        <v>5359</v>
      </c>
      <c r="B1158" s="2" t="s">
        <v>10225</v>
      </c>
      <c r="C1158" s="2">
        <v>4.8110168581E10</v>
      </c>
      <c r="D1158" s="2" t="s">
        <v>10226</v>
      </c>
      <c r="E1158" s="2">
        <v>87412.0</v>
      </c>
      <c r="F1158" s="2">
        <v>1613.0</v>
      </c>
      <c r="G1158" s="2">
        <v>3583.0</v>
      </c>
      <c r="H1158" s="2" t="s">
        <v>5905</v>
      </c>
      <c r="I1158" s="2" t="s">
        <v>5905</v>
      </c>
      <c r="J1158" s="2" t="s">
        <v>5561</v>
      </c>
      <c r="L1158" s="10" t="s">
        <v>10227</v>
      </c>
    </row>
    <row r="1159">
      <c r="A1159" s="2" t="s">
        <v>5314</v>
      </c>
      <c r="B1159" s="2" t="s">
        <v>10228</v>
      </c>
      <c r="C1159" s="2">
        <v>5.32768409E8</v>
      </c>
      <c r="D1159" s="2" t="s">
        <v>10229</v>
      </c>
      <c r="E1159" s="2">
        <v>236954.0</v>
      </c>
      <c r="F1159" s="2">
        <v>789.0</v>
      </c>
      <c r="G1159" s="2">
        <v>236.0</v>
      </c>
      <c r="H1159" s="2" t="s">
        <v>5906</v>
      </c>
      <c r="I1159" s="2" t="s">
        <v>5905</v>
      </c>
      <c r="J1159" s="2" t="s">
        <v>8144</v>
      </c>
      <c r="K1159" s="2" t="s">
        <v>10230</v>
      </c>
      <c r="L1159" s="10" t="s">
        <v>10231</v>
      </c>
    </row>
    <row r="1160">
      <c r="A1160" s="2" t="s">
        <v>5314</v>
      </c>
      <c r="B1160" s="2" t="s">
        <v>10232</v>
      </c>
      <c r="C1160" s="2">
        <v>1.986199727E9</v>
      </c>
      <c r="D1160" s="2" t="s">
        <v>10233</v>
      </c>
      <c r="E1160" s="2">
        <v>101020.0</v>
      </c>
      <c r="F1160" s="2">
        <v>886.0</v>
      </c>
      <c r="G1160" s="2">
        <v>219.0</v>
      </c>
      <c r="H1160" s="2" t="s">
        <v>5906</v>
      </c>
      <c r="I1160" s="2" t="s">
        <v>5905</v>
      </c>
      <c r="J1160" s="2" t="s">
        <v>8144</v>
      </c>
      <c r="K1160" s="2" t="s">
        <v>10234</v>
      </c>
    </row>
    <row r="1161">
      <c r="A1161" s="2" t="s">
        <v>5314</v>
      </c>
      <c r="B1161" s="2" t="s">
        <v>10235</v>
      </c>
      <c r="C1161" s="2">
        <v>1.79317314E8</v>
      </c>
      <c r="D1161" s="2" t="s">
        <v>5314</v>
      </c>
      <c r="E1161" s="2">
        <v>563088.0</v>
      </c>
      <c r="F1161" s="2">
        <v>841.0</v>
      </c>
      <c r="G1161" s="2">
        <v>12060.0</v>
      </c>
      <c r="H1161" s="2" t="s">
        <v>5906</v>
      </c>
      <c r="I1161" s="2" t="s">
        <v>5906</v>
      </c>
      <c r="J1161" s="2" t="s">
        <v>5485</v>
      </c>
      <c r="K1161" s="2" t="s">
        <v>10236</v>
      </c>
      <c r="L1161" s="10" t="s">
        <v>10237</v>
      </c>
    </row>
    <row r="1162">
      <c r="A1162" s="2" t="s">
        <v>5314</v>
      </c>
      <c r="B1162" s="2" t="s">
        <v>10238</v>
      </c>
      <c r="C1162" s="2">
        <v>7.174653276E9</v>
      </c>
      <c r="D1162" s="2" t="s">
        <v>10239</v>
      </c>
      <c r="E1162" s="2">
        <v>204813.0</v>
      </c>
      <c r="F1162" s="2">
        <v>1594.0</v>
      </c>
      <c r="G1162" s="2">
        <v>1877.0</v>
      </c>
      <c r="H1162" s="2" t="s">
        <v>5905</v>
      </c>
      <c r="I1162" s="2" t="s">
        <v>5906</v>
      </c>
      <c r="J1162" s="2" t="s">
        <v>5963</v>
      </c>
      <c r="K1162" s="2" t="s">
        <v>10240</v>
      </c>
      <c r="L1162" s="10" t="s">
        <v>10241</v>
      </c>
    </row>
    <row r="1163">
      <c r="A1163" s="2" t="s">
        <v>5373</v>
      </c>
      <c r="B1163" s="2" t="s">
        <v>10242</v>
      </c>
      <c r="C1163" s="2">
        <v>1.93578318E8</v>
      </c>
      <c r="D1163" s="2" t="s">
        <v>5373</v>
      </c>
      <c r="E1163" s="2">
        <v>3920359.0</v>
      </c>
      <c r="F1163" s="2">
        <v>586.0</v>
      </c>
      <c r="G1163" s="2">
        <v>24971.0</v>
      </c>
      <c r="H1163" s="2" t="s">
        <v>5906</v>
      </c>
      <c r="I1163" s="2" t="s">
        <v>5906</v>
      </c>
      <c r="K1163" s="2" t="s">
        <v>10243</v>
      </c>
      <c r="L1163" s="10" t="s">
        <v>10244</v>
      </c>
    </row>
    <row r="1164">
      <c r="A1164" s="2" t="s">
        <v>5373</v>
      </c>
      <c r="B1164" s="2" t="s">
        <v>10245</v>
      </c>
      <c r="C1164" s="2">
        <v>4.76767922E8</v>
      </c>
      <c r="D1164" s="2" t="s">
        <v>10246</v>
      </c>
      <c r="E1164" s="2">
        <v>14106.0</v>
      </c>
      <c r="F1164" s="2">
        <v>87.0</v>
      </c>
      <c r="G1164" s="2">
        <v>104.0</v>
      </c>
      <c r="H1164" s="2" t="s">
        <v>5906</v>
      </c>
      <c r="I1164" s="2" t="s">
        <v>5906</v>
      </c>
      <c r="K1164" s="2" t="s">
        <v>10247</v>
      </c>
      <c r="L1164" s="10" t="s">
        <v>10248</v>
      </c>
    </row>
    <row r="1165">
      <c r="A1165" s="2" t="s">
        <v>5373</v>
      </c>
      <c r="B1165" s="2" t="s">
        <v>10249</v>
      </c>
      <c r="C1165" s="2">
        <v>3.712222422E9</v>
      </c>
      <c r="D1165" s="2" t="s">
        <v>10250</v>
      </c>
      <c r="E1165" s="2">
        <v>736139.0</v>
      </c>
      <c r="F1165" s="2">
        <v>174.0</v>
      </c>
      <c r="G1165" s="2">
        <v>5312.0</v>
      </c>
      <c r="H1165" s="2" t="s">
        <v>5906</v>
      </c>
      <c r="I1165" s="2" t="s">
        <v>5906</v>
      </c>
      <c r="K1165" s="2" t="s">
        <v>10251</v>
      </c>
      <c r="L1165" s="10" t="s">
        <v>10252</v>
      </c>
    </row>
    <row r="1166">
      <c r="A1166" s="2" t="s">
        <v>5373</v>
      </c>
      <c r="B1166" s="2" t="s">
        <v>10253</v>
      </c>
      <c r="C1166" s="2">
        <v>5.49218175E8</v>
      </c>
      <c r="D1166" s="2" t="s">
        <v>10254</v>
      </c>
      <c r="E1166" s="2">
        <v>356654.0</v>
      </c>
      <c r="F1166" s="2">
        <v>201.0</v>
      </c>
      <c r="G1166" s="2">
        <v>4580.0</v>
      </c>
      <c r="H1166" s="2" t="s">
        <v>5906</v>
      </c>
      <c r="I1166" s="2" t="s">
        <v>5906</v>
      </c>
      <c r="K1166" s="2" t="s">
        <v>10255</v>
      </c>
      <c r="L1166" s="10" t="s">
        <v>10256</v>
      </c>
    </row>
    <row r="1167">
      <c r="A1167" s="2" t="s">
        <v>5373</v>
      </c>
      <c r="B1167" s="2" t="s">
        <v>10257</v>
      </c>
      <c r="C1167" s="2">
        <v>5.7559102795E10</v>
      </c>
      <c r="D1167" s="2" t="s">
        <v>10258</v>
      </c>
      <c r="E1167" s="2">
        <v>18257.0</v>
      </c>
      <c r="F1167" s="2">
        <v>15.0</v>
      </c>
      <c r="G1167" s="2">
        <v>224.0</v>
      </c>
      <c r="H1167" s="2" t="s">
        <v>5905</v>
      </c>
      <c r="I1167" s="2" t="s">
        <v>5906</v>
      </c>
      <c r="J1167" s="2" t="s">
        <v>5963</v>
      </c>
      <c r="K1167" s="2" t="s">
        <v>10259</v>
      </c>
      <c r="L1167" s="10" t="s">
        <v>10260</v>
      </c>
    </row>
    <row r="1168">
      <c r="A1168" s="2" t="s">
        <v>5298</v>
      </c>
      <c r="B1168" s="2" t="s">
        <v>10261</v>
      </c>
      <c r="C1168" s="2">
        <v>1258618.0</v>
      </c>
      <c r="D1168" s="2" t="s">
        <v>5298</v>
      </c>
      <c r="E1168" s="2">
        <v>7910678.0</v>
      </c>
      <c r="F1168" s="2">
        <v>851.0</v>
      </c>
      <c r="G1168" s="2">
        <v>14823.0</v>
      </c>
      <c r="H1168" s="2" t="s">
        <v>5906</v>
      </c>
      <c r="I1168" s="2" t="s">
        <v>5906</v>
      </c>
      <c r="K1168" s="2" t="s">
        <v>10262</v>
      </c>
      <c r="L1168" s="10" t="s">
        <v>10263</v>
      </c>
    </row>
    <row r="1169">
      <c r="A1169" s="2" t="s">
        <v>5298</v>
      </c>
      <c r="B1169" s="2" t="s">
        <v>10264</v>
      </c>
      <c r="C1169" s="2">
        <v>4.458163126E9</v>
      </c>
      <c r="D1169" s="2" t="s">
        <v>10265</v>
      </c>
      <c r="E1169" s="2">
        <v>100211.0</v>
      </c>
      <c r="F1169" s="2">
        <v>317.0</v>
      </c>
      <c r="G1169" s="2">
        <v>543.0</v>
      </c>
      <c r="H1169" s="2" t="s">
        <v>5905</v>
      </c>
      <c r="I1169" s="2" t="s">
        <v>5906</v>
      </c>
      <c r="J1169" s="2" t="s">
        <v>5907</v>
      </c>
      <c r="K1169" s="2" t="s">
        <v>10266</v>
      </c>
      <c r="L1169" s="10" t="s">
        <v>10267</v>
      </c>
    </row>
    <row r="1170">
      <c r="A1170" s="2" t="s">
        <v>5298</v>
      </c>
      <c r="B1170" s="2" t="s">
        <v>10268</v>
      </c>
      <c r="C1170" s="2">
        <v>4.506628507E9</v>
      </c>
      <c r="D1170" s="2" t="s">
        <v>10269</v>
      </c>
      <c r="E1170" s="2">
        <v>84755.0</v>
      </c>
      <c r="F1170" s="2">
        <v>424.0</v>
      </c>
      <c r="G1170" s="2">
        <v>1101.0</v>
      </c>
      <c r="H1170" s="2" t="s">
        <v>5906</v>
      </c>
      <c r="I1170" s="2" t="s">
        <v>5906</v>
      </c>
      <c r="J1170" s="2" t="s">
        <v>5911</v>
      </c>
      <c r="K1170" s="2" t="s">
        <v>10270</v>
      </c>
      <c r="L1170" s="10" t="s">
        <v>10271</v>
      </c>
    </row>
    <row r="1171">
      <c r="A1171" s="2" t="s">
        <v>5298</v>
      </c>
      <c r="B1171" s="2" t="s">
        <v>10272</v>
      </c>
      <c r="C1171" s="2">
        <v>7.0665182746E10</v>
      </c>
      <c r="D1171" s="2" t="s">
        <v>10273</v>
      </c>
      <c r="E1171" s="2">
        <v>47669.0</v>
      </c>
      <c r="F1171" s="2">
        <v>261.0</v>
      </c>
      <c r="G1171" s="2">
        <v>201.0</v>
      </c>
      <c r="H1171" s="2" t="s">
        <v>5905</v>
      </c>
      <c r="I1171" s="2" t="s">
        <v>5905</v>
      </c>
      <c r="J1171" s="2" t="s">
        <v>5959</v>
      </c>
      <c r="K1171" s="2" t="s">
        <v>10274</v>
      </c>
      <c r="L1171" s="10" t="s">
        <v>10275</v>
      </c>
    </row>
    <row r="1172">
      <c r="A1172" s="2" t="s">
        <v>5298</v>
      </c>
      <c r="B1172" s="2" t="s">
        <v>10276</v>
      </c>
      <c r="C1172" s="2">
        <v>1.84846389E8</v>
      </c>
      <c r="D1172" s="2" t="s">
        <v>10277</v>
      </c>
      <c r="E1172" s="2">
        <v>3126112.0</v>
      </c>
      <c r="F1172" s="2">
        <v>913.0</v>
      </c>
      <c r="G1172" s="2">
        <v>4646.0</v>
      </c>
      <c r="H1172" s="2" t="s">
        <v>5906</v>
      </c>
      <c r="I1172" s="2" t="s">
        <v>5906</v>
      </c>
      <c r="J1172" s="2" t="s">
        <v>5911</v>
      </c>
      <c r="K1172" s="2" t="s">
        <v>10278</v>
      </c>
      <c r="L1172" s="10" t="s">
        <v>10279</v>
      </c>
    </row>
    <row r="1173">
      <c r="A1173" s="2" t="s">
        <v>5298</v>
      </c>
      <c r="B1173" s="2" t="s">
        <v>10280</v>
      </c>
      <c r="C1173" s="2">
        <v>3.675318893E9</v>
      </c>
      <c r="D1173" s="2" t="s">
        <v>10281</v>
      </c>
      <c r="E1173" s="2">
        <v>483470.0</v>
      </c>
      <c r="F1173" s="2">
        <v>51.0</v>
      </c>
      <c r="G1173" s="2">
        <v>1062.0</v>
      </c>
      <c r="H1173" s="2" t="s">
        <v>5906</v>
      </c>
      <c r="I1173" s="2" t="s">
        <v>5906</v>
      </c>
      <c r="J1173" s="2" t="s">
        <v>5911</v>
      </c>
      <c r="K1173" s="2" t="s">
        <v>10282</v>
      </c>
      <c r="L1173" s="10" t="s">
        <v>10283</v>
      </c>
    </row>
    <row r="1174">
      <c r="A1174" s="2" t="s">
        <v>5338</v>
      </c>
      <c r="B1174" s="2" t="s">
        <v>10284</v>
      </c>
      <c r="C1174" s="2">
        <v>3.021824314E9</v>
      </c>
      <c r="D1174" s="2" t="s">
        <v>10285</v>
      </c>
      <c r="E1174" s="2">
        <v>10103.0</v>
      </c>
      <c r="F1174" s="2">
        <v>357.0</v>
      </c>
      <c r="G1174" s="2">
        <v>1405.0</v>
      </c>
      <c r="H1174" s="2" t="s">
        <v>5905</v>
      </c>
      <c r="I1174" s="2" t="s">
        <v>5906</v>
      </c>
      <c r="J1174" s="2" t="s">
        <v>5391</v>
      </c>
      <c r="K1174" s="2" t="s">
        <v>10286</v>
      </c>
      <c r="L1174" s="10" t="s">
        <v>10287</v>
      </c>
    </row>
    <row r="1175">
      <c r="A1175" s="2" t="s">
        <v>5338</v>
      </c>
      <c r="B1175" s="2" t="s">
        <v>10288</v>
      </c>
      <c r="C1175" s="2">
        <v>5.1288866298E10</v>
      </c>
      <c r="D1175" s="12" t="s">
        <v>10289</v>
      </c>
      <c r="E1175" s="2">
        <v>11992.0</v>
      </c>
      <c r="F1175" s="2">
        <v>525.0</v>
      </c>
      <c r="G1175" s="2">
        <v>174.0</v>
      </c>
      <c r="H1175" s="2" t="s">
        <v>5906</v>
      </c>
      <c r="I1175" s="2" t="s">
        <v>5905</v>
      </c>
      <c r="J1175" s="2" t="s">
        <v>6002</v>
      </c>
      <c r="K1175" s="12" t="s">
        <v>10290</v>
      </c>
    </row>
    <row r="1176">
      <c r="A1176" s="2" t="s">
        <v>5338</v>
      </c>
      <c r="B1176" s="2" t="s">
        <v>10291</v>
      </c>
      <c r="C1176" s="2">
        <v>1.582436113E9</v>
      </c>
      <c r="D1176" s="2" t="s">
        <v>10292</v>
      </c>
      <c r="E1176" s="2">
        <v>75151.0</v>
      </c>
      <c r="F1176" s="2">
        <v>1402.0</v>
      </c>
      <c r="G1176" s="2">
        <v>1560.0</v>
      </c>
      <c r="H1176" s="2" t="s">
        <v>5905</v>
      </c>
      <c r="I1176" s="2" t="s">
        <v>5906</v>
      </c>
      <c r="J1176" s="2" t="s">
        <v>5518</v>
      </c>
      <c r="K1176" s="2" t="s">
        <v>10293</v>
      </c>
      <c r="L1176" s="10" t="s">
        <v>10294</v>
      </c>
    </row>
    <row r="1177">
      <c r="A1177" s="2" t="s">
        <v>5338</v>
      </c>
      <c r="B1177" s="2" t="s">
        <v>10295</v>
      </c>
      <c r="C1177" s="2">
        <v>5.7006372237E10</v>
      </c>
      <c r="D1177" s="2" t="s">
        <v>10296</v>
      </c>
      <c r="E1177" s="2">
        <v>99823.0</v>
      </c>
      <c r="F1177" s="2">
        <v>35.0</v>
      </c>
      <c r="G1177" s="2">
        <v>1166.0</v>
      </c>
      <c r="H1177" s="2" t="s">
        <v>5905</v>
      </c>
      <c r="I1177" s="2" t="s">
        <v>5905</v>
      </c>
      <c r="J1177" s="2" t="s">
        <v>6393</v>
      </c>
      <c r="K1177" s="2" t="s">
        <v>10297</v>
      </c>
      <c r="L1177" s="10" t="s">
        <v>10298</v>
      </c>
    </row>
    <row r="1178">
      <c r="A1178" s="2" t="s">
        <v>5338</v>
      </c>
      <c r="B1178" s="2" t="s">
        <v>10299</v>
      </c>
      <c r="C1178" s="2">
        <v>1.835744142E9</v>
      </c>
      <c r="D1178" s="2" t="s">
        <v>5338</v>
      </c>
      <c r="E1178" s="2">
        <v>431920.0</v>
      </c>
      <c r="F1178" s="2">
        <v>274.0</v>
      </c>
      <c r="G1178" s="2">
        <v>4386.0</v>
      </c>
      <c r="H1178" s="2" t="s">
        <v>5906</v>
      </c>
      <c r="I1178" s="2" t="s">
        <v>5905</v>
      </c>
      <c r="J1178" s="2" t="s">
        <v>5480</v>
      </c>
      <c r="K1178" s="2" t="s">
        <v>10300</v>
      </c>
      <c r="L1178" s="10" t="s">
        <v>10301</v>
      </c>
    </row>
    <row r="1179">
      <c r="A1179" s="2" t="s">
        <v>5338</v>
      </c>
      <c r="B1179" s="2" t="s">
        <v>10302</v>
      </c>
      <c r="C1179" s="2">
        <v>1.0752396104E10</v>
      </c>
      <c r="D1179" s="2" t="s">
        <v>10303</v>
      </c>
      <c r="E1179" s="2">
        <v>133791.0</v>
      </c>
      <c r="F1179" s="2">
        <v>920.0</v>
      </c>
      <c r="G1179" s="2">
        <v>3752.0</v>
      </c>
      <c r="H1179" s="2" t="s">
        <v>5906</v>
      </c>
      <c r="I1179" s="2" t="s">
        <v>5906</v>
      </c>
      <c r="K1179" s="2" t="s">
        <v>10304</v>
      </c>
      <c r="L1179" s="10" t="s">
        <v>10305</v>
      </c>
    </row>
    <row r="1180">
      <c r="A1180" s="2" t="s">
        <v>5338</v>
      </c>
      <c r="B1180" s="2" t="s">
        <v>10306</v>
      </c>
      <c r="C1180" s="2">
        <v>9676816.0</v>
      </c>
      <c r="D1180" s="2" t="s">
        <v>10307</v>
      </c>
      <c r="E1180" s="2">
        <v>164765.0</v>
      </c>
      <c r="F1180" s="2">
        <v>18.0</v>
      </c>
      <c r="G1180" s="2">
        <v>4403.0</v>
      </c>
      <c r="H1180" s="2" t="s">
        <v>5906</v>
      </c>
      <c r="I1180" s="2" t="s">
        <v>5906</v>
      </c>
      <c r="K1180" s="2" t="s">
        <v>10308</v>
      </c>
      <c r="L1180" s="10" t="s">
        <v>10309</v>
      </c>
    </row>
    <row r="1181">
      <c r="A1181" s="2" t="s">
        <v>5338</v>
      </c>
      <c r="B1181" s="2" t="s">
        <v>10310</v>
      </c>
      <c r="C1181" s="2">
        <v>4.4125381603E10</v>
      </c>
      <c r="D1181" s="2" t="s">
        <v>10311</v>
      </c>
      <c r="E1181" s="2">
        <v>207707.0</v>
      </c>
      <c r="F1181" s="2">
        <v>93.0</v>
      </c>
      <c r="G1181" s="2">
        <v>5340.0</v>
      </c>
      <c r="H1181" s="2" t="s">
        <v>5905</v>
      </c>
      <c r="I1181" s="2" t="s">
        <v>5906</v>
      </c>
      <c r="J1181" s="2" t="s">
        <v>5391</v>
      </c>
      <c r="K1181" s="2" t="s">
        <v>10312</v>
      </c>
    </row>
    <row r="1182">
      <c r="A1182" s="2" t="s">
        <v>5355</v>
      </c>
      <c r="B1182" s="2" t="s">
        <v>10313</v>
      </c>
      <c r="C1182" s="2">
        <v>3.01128729E8</v>
      </c>
      <c r="D1182" s="2" t="s">
        <v>10314</v>
      </c>
      <c r="E1182" s="2">
        <v>768210.0</v>
      </c>
      <c r="F1182" s="2">
        <v>790.0</v>
      </c>
      <c r="G1182" s="2">
        <v>8286.0</v>
      </c>
      <c r="H1182" s="2" t="s">
        <v>5906</v>
      </c>
      <c r="I1182" s="2" t="s">
        <v>5906</v>
      </c>
      <c r="J1182" s="2" t="s">
        <v>6882</v>
      </c>
      <c r="K1182" s="2" t="s">
        <v>10315</v>
      </c>
      <c r="L1182" s="10" t="s">
        <v>10316</v>
      </c>
    </row>
    <row r="1183">
      <c r="A1183" s="2" t="s">
        <v>5355</v>
      </c>
      <c r="B1183" s="2" t="s">
        <v>10317</v>
      </c>
      <c r="C1183" s="2">
        <v>4.7626519E7</v>
      </c>
      <c r="D1183" s="2" t="s">
        <v>10318</v>
      </c>
      <c r="E1183" s="2">
        <v>54152.0</v>
      </c>
      <c r="F1183" s="2">
        <v>1256.0</v>
      </c>
      <c r="G1183" s="2">
        <v>9369.0</v>
      </c>
      <c r="H1183" s="2" t="s">
        <v>5906</v>
      </c>
      <c r="I1183" s="2" t="s">
        <v>5906</v>
      </c>
      <c r="K1183" s="2" t="s">
        <v>10319</v>
      </c>
      <c r="L1183" s="10" t="s">
        <v>10320</v>
      </c>
    </row>
    <row r="1184">
      <c r="A1184" s="2" t="s">
        <v>5355</v>
      </c>
      <c r="B1184" s="2" t="s">
        <v>10321</v>
      </c>
      <c r="C1184" s="2">
        <v>1.98131186E8</v>
      </c>
      <c r="D1184" s="2" t="s">
        <v>5355</v>
      </c>
      <c r="E1184" s="2">
        <v>440766.0</v>
      </c>
      <c r="F1184" s="2">
        <v>1584.0</v>
      </c>
      <c r="G1184" s="2">
        <v>18849.0</v>
      </c>
      <c r="H1184" s="2" t="s">
        <v>5906</v>
      </c>
      <c r="I1184" s="2" t="s">
        <v>5905</v>
      </c>
      <c r="J1184" s="2" t="s">
        <v>5518</v>
      </c>
      <c r="K1184" s="2" t="s">
        <v>10322</v>
      </c>
      <c r="L1184" s="10" t="s">
        <v>10323</v>
      </c>
    </row>
    <row r="1185">
      <c r="A1185" s="2" t="s">
        <v>5355</v>
      </c>
      <c r="B1185" s="2" t="s">
        <v>10324</v>
      </c>
      <c r="C1185" s="2">
        <v>2.283937153E9</v>
      </c>
      <c r="D1185" s="2" t="s">
        <v>10325</v>
      </c>
      <c r="E1185" s="2">
        <v>15805.0</v>
      </c>
      <c r="F1185" s="2">
        <v>84.0</v>
      </c>
      <c r="G1185" s="2">
        <v>278.0</v>
      </c>
      <c r="H1185" s="2" t="s">
        <v>5905</v>
      </c>
      <c r="I1185" s="2" t="s">
        <v>5905</v>
      </c>
      <c r="K1185" s="2" t="s">
        <v>10326</v>
      </c>
    </row>
    <row r="1186">
      <c r="A1186" s="2" t="s">
        <v>5355</v>
      </c>
      <c r="B1186" s="2" t="s">
        <v>10327</v>
      </c>
      <c r="C1186" s="2">
        <v>6.9656256383E10</v>
      </c>
      <c r="D1186" s="2" t="s">
        <v>10328</v>
      </c>
      <c r="E1186" s="2">
        <v>25782.0</v>
      </c>
      <c r="F1186" s="2">
        <v>87.0</v>
      </c>
      <c r="G1186" s="2">
        <v>282.0</v>
      </c>
      <c r="H1186" s="2" t="s">
        <v>5905</v>
      </c>
      <c r="I1186" s="2" t="s">
        <v>5906</v>
      </c>
      <c r="J1186" s="2" t="s">
        <v>5480</v>
      </c>
      <c r="K1186" s="2" t="s">
        <v>10329</v>
      </c>
      <c r="L1186" s="10" t="s">
        <v>10330</v>
      </c>
    </row>
    <row r="1187">
      <c r="A1187" s="2" t="s">
        <v>5355</v>
      </c>
      <c r="B1187" s="2" t="s">
        <v>10331</v>
      </c>
      <c r="C1187" s="2">
        <v>1.701808633E9</v>
      </c>
      <c r="D1187" s="2" t="s">
        <v>10332</v>
      </c>
      <c r="E1187" s="2">
        <v>26785.0</v>
      </c>
      <c r="F1187" s="2">
        <v>6273.0</v>
      </c>
      <c r="G1187" s="2">
        <v>3300.0</v>
      </c>
      <c r="H1187" s="2" t="s">
        <v>5905</v>
      </c>
      <c r="I1187" s="2" t="s">
        <v>5906</v>
      </c>
      <c r="J1187" s="2" t="s">
        <v>5391</v>
      </c>
      <c r="K1187" s="2" t="s">
        <v>10333</v>
      </c>
      <c r="L1187" s="10" t="s">
        <v>10334</v>
      </c>
    </row>
    <row r="1188">
      <c r="A1188" s="2" t="s">
        <v>5355</v>
      </c>
      <c r="B1188" s="2" t="s">
        <v>10335</v>
      </c>
      <c r="C1188" s="2">
        <v>4.08999817E9</v>
      </c>
      <c r="D1188" s="2" t="s">
        <v>10336</v>
      </c>
      <c r="E1188" s="2">
        <v>13163.0</v>
      </c>
      <c r="F1188" s="2">
        <v>976.0</v>
      </c>
      <c r="G1188" s="2">
        <v>1526.0</v>
      </c>
      <c r="H1188" s="2" t="s">
        <v>5906</v>
      </c>
      <c r="I1188" s="2" t="s">
        <v>5906</v>
      </c>
      <c r="J1188" s="2" t="s">
        <v>6882</v>
      </c>
      <c r="K1188" s="10" t="s">
        <v>10337</v>
      </c>
      <c r="L1188" s="10" t="s">
        <v>10338</v>
      </c>
    </row>
    <row r="1189">
      <c r="A1189" s="2" t="s">
        <v>5355</v>
      </c>
      <c r="B1189" s="2" t="s">
        <v>10339</v>
      </c>
      <c r="C1189" s="2">
        <v>3.80882665E8</v>
      </c>
      <c r="D1189" s="2" t="s">
        <v>10340</v>
      </c>
      <c r="E1189" s="2">
        <v>17978.0</v>
      </c>
      <c r="F1189" s="2">
        <v>371.0</v>
      </c>
      <c r="G1189" s="2">
        <v>6745.0</v>
      </c>
      <c r="H1189" s="2" t="s">
        <v>5905</v>
      </c>
      <c r="I1189" s="2" t="s">
        <v>5906</v>
      </c>
      <c r="K1189" s="2" t="s">
        <v>10341</v>
      </c>
      <c r="L1189" s="10" t="s">
        <v>10342</v>
      </c>
    </row>
    <row r="1190">
      <c r="A1190" s="2" t="s">
        <v>5355</v>
      </c>
      <c r="B1190" s="10" t="s">
        <v>10343</v>
      </c>
      <c r="C1190" s="2">
        <v>3.960990307E9</v>
      </c>
      <c r="D1190" s="2" t="s">
        <v>10344</v>
      </c>
      <c r="E1190" s="2">
        <v>131827.0</v>
      </c>
      <c r="F1190" s="2">
        <v>1410.0</v>
      </c>
      <c r="G1190" s="2">
        <v>5129.0</v>
      </c>
      <c r="H1190" s="2" t="s">
        <v>5905</v>
      </c>
      <c r="I1190" s="2" t="s">
        <v>5906</v>
      </c>
      <c r="L1190" s="10" t="s">
        <v>10345</v>
      </c>
    </row>
    <row r="1191">
      <c r="A1191" s="2" t="s">
        <v>5533</v>
      </c>
      <c r="B1191" s="2" t="s">
        <v>10346</v>
      </c>
      <c r="C1191" s="2">
        <v>2.40141811E8</v>
      </c>
      <c r="D1191" s="2" t="s">
        <v>10347</v>
      </c>
      <c r="E1191" s="2">
        <v>23618.0</v>
      </c>
      <c r="F1191" s="2">
        <v>358.0</v>
      </c>
      <c r="G1191" s="2">
        <v>234.0</v>
      </c>
      <c r="H1191" s="2" t="s">
        <v>5905</v>
      </c>
      <c r="I1191" s="2" t="s">
        <v>5905</v>
      </c>
      <c r="J1191" s="2" t="s">
        <v>10348</v>
      </c>
      <c r="K1191" s="2" t="s">
        <v>10349</v>
      </c>
      <c r="L1191" s="10" t="s">
        <v>10350</v>
      </c>
    </row>
    <row r="1192">
      <c r="A1192" s="2" t="s">
        <v>5533</v>
      </c>
      <c r="B1192" s="2" t="s">
        <v>10351</v>
      </c>
      <c r="C1192" s="2">
        <v>4.9324726341E10</v>
      </c>
      <c r="D1192" s="2" t="s">
        <v>10352</v>
      </c>
      <c r="E1192" s="2">
        <v>60716.0</v>
      </c>
      <c r="F1192" s="2">
        <v>21.0</v>
      </c>
      <c r="G1192" s="2">
        <v>476.0</v>
      </c>
      <c r="H1192" s="2" t="s">
        <v>5905</v>
      </c>
      <c r="I1192" s="2" t="s">
        <v>5905</v>
      </c>
      <c r="J1192" s="2" t="s">
        <v>5928</v>
      </c>
      <c r="K1192" s="2" t="s">
        <v>10353</v>
      </c>
    </row>
    <row r="1193">
      <c r="A1193" s="2" t="s">
        <v>5533</v>
      </c>
      <c r="B1193" s="2" t="s">
        <v>10354</v>
      </c>
      <c r="C1193" s="2">
        <v>6.4563930505E10</v>
      </c>
      <c r="D1193" s="2" t="s">
        <v>10355</v>
      </c>
      <c r="E1193" s="2">
        <v>58347.0</v>
      </c>
      <c r="F1193" s="2">
        <v>66.0</v>
      </c>
      <c r="G1193" s="2">
        <v>330.0</v>
      </c>
      <c r="H1193" s="2" t="s">
        <v>5905</v>
      </c>
      <c r="I1193" s="2" t="s">
        <v>5905</v>
      </c>
      <c r="J1193" s="2" t="s">
        <v>5928</v>
      </c>
      <c r="K1193" s="2" t="s">
        <v>10356</v>
      </c>
      <c r="L1193" s="10" t="s">
        <v>10357</v>
      </c>
    </row>
    <row r="1194">
      <c r="A1194" s="2" t="s">
        <v>5533</v>
      </c>
      <c r="B1194" s="2" t="s">
        <v>10358</v>
      </c>
      <c r="C1194" s="2">
        <v>6.9002014152E10</v>
      </c>
      <c r="D1194" s="2" t="s">
        <v>10359</v>
      </c>
      <c r="E1194" s="2">
        <v>15420.0</v>
      </c>
      <c r="F1194" s="2">
        <v>87.0</v>
      </c>
      <c r="G1194" s="2">
        <v>222.0</v>
      </c>
      <c r="H1194" s="2" t="s">
        <v>5905</v>
      </c>
      <c r="I1194" s="2" t="s">
        <v>5905</v>
      </c>
      <c r="J1194" s="2" t="s">
        <v>5928</v>
      </c>
      <c r="K1194" s="2" t="s">
        <v>10360</v>
      </c>
      <c r="L1194" s="10" t="s">
        <v>10361</v>
      </c>
    </row>
    <row r="1195">
      <c r="A1195" s="2" t="s">
        <v>5533</v>
      </c>
      <c r="B1195" s="2" t="s">
        <v>10362</v>
      </c>
      <c r="C1195" s="2">
        <v>2.245456378E9</v>
      </c>
      <c r="D1195" s="2" t="s">
        <v>10363</v>
      </c>
      <c r="E1195" s="2">
        <v>92739.0</v>
      </c>
      <c r="F1195" s="2">
        <v>3365.0</v>
      </c>
      <c r="G1195" s="2">
        <v>396.0</v>
      </c>
      <c r="H1195" s="2" t="s">
        <v>5905</v>
      </c>
      <c r="I1195" s="2" t="s">
        <v>5905</v>
      </c>
      <c r="J1195" s="2" t="s">
        <v>5959</v>
      </c>
      <c r="K1195" s="2" t="s">
        <v>10364</v>
      </c>
      <c r="L1195" s="10" t="s">
        <v>10365</v>
      </c>
    </row>
    <row r="1196">
      <c r="A1196" s="2" t="s">
        <v>5533</v>
      </c>
      <c r="B1196" s="2" t="s">
        <v>10366</v>
      </c>
      <c r="C1196" s="2">
        <v>5.4532666064E10</v>
      </c>
      <c r="D1196" s="2" t="s">
        <v>10367</v>
      </c>
      <c r="E1196" s="2">
        <v>418283.0</v>
      </c>
      <c r="F1196" s="2">
        <v>1438.0</v>
      </c>
      <c r="G1196" s="2">
        <v>69.0</v>
      </c>
      <c r="H1196" s="2" t="s">
        <v>5906</v>
      </c>
      <c r="I1196" s="2" t="s">
        <v>5905</v>
      </c>
      <c r="J1196" s="2" t="s">
        <v>5959</v>
      </c>
      <c r="K1196" s="2" t="s">
        <v>10368</v>
      </c>
      <c r="L1196" s="10" t="s">
        <v>10369</v>
      </c>
    </row>
    <row r="1197">
      <c r="A1197" s="2" t="s">
        <v>5533</v>
      </c>
      <c r="B1197" s="2" t="s">
        <v>10370</v>
      </c>
      <c r="C1197" s="2">
        <v>6.6921461722E10</v>
      </c>
      <c r="D1197" s="2" t="s">
        <v>10371</v>
      </c>
      <c r="E1197" s="2">
        <v>32896.0</v>
      </c>
      <c r="F1197" s="2">
        <v>243.0</v>
      </c>
      <c r="G1197" s="2">
        <v>12.0</v>
      </c>
      <c r="H1197" s="2" t="s">
        <v>5905</v>
      </c>
      <c r="I1197" s="2" t="s">
        <v>5905</v>
      </c>
      <c r="J1197" s="2" t="s">
        <v>6393</v>
      </c>
      <c r="K1197" s="2" t="s">
        <v>10372</v>
      </c>
      <c r="L1197" s="10" t="s">
        <v>10373</v>
      </c>
    </row>
    <row r="1198">
      <c r="A1198" s="2" t="s">
        <v>5533</v>
      </c>
      <c r="B1198" s="2" t="s">
        <v>10374</v>
      </c>
      <c r="C1198" s="2">
        <v>5.753353543E9</v>
      </c>
      <c r="D1198" s="2" t="s">
        <v>10375</v>
      </c>
      <c r="E1198" s="2">
        <v>59937.0</v>
      </c>
      <c r="F1198" s="2">
        <v>244.0</v>
      </c>
      <c r="G1198" s="2">
        <v>375.0</v>
      </c>
      <c r="H1198" s="2" t="s">
        <v>5905</v>
      </c>
      <c r="I1198" s="2" t="s">
        <v>5906</v>
      </c>
      <c r="J1198" s="2" t="s">
        <v>5963</v>
      </c>
      <c r="K1198" s="12" t="s">
        <v>10376</v>
      </c>
    </row>
    <row r="1199">
      <c r="A1199" s="2" t="s">
        <v>5534</v>
      </c>
      <c r="B1199" s="2" t="s">
        <v>6495</v>
      </c>
      <c r="C1199" s="2">
        <v>8.403284392E9</v>
      </c>
      <c r="D1199" s="2" t="s">
        <v>6496</v>
      </c>
      <c r="E1199" s="2">
        <v>1352119.0</v>
      </c>
      <c r="F1199" s="2">
        <v>94.0</v>
      </c>
      <c r="G1199" s="2">
        <v>6583.0</v>
      </c>
      <c r="H1199" s="2" t="s">
        <v>5906</v>
      </c>
      <c r="I1199" s="2" t="s">
        <v>5906</v>
      </c>
      <c r="K1199" s="2" t="s">
        <v>6497</v>
      </c>
      <c r="L1199" s="10" t="s">
        <v>6498</v>
      </c>
    </row>
    <row r="1200">
      <c r="A1200" s="2" t="s">
        <v>5534</v>
      </c>
      <c r="B1200" s="2" t="s">
        <v>10377</v>
      </c>
      <c r="C1200" s="2">
        <v>1.3724385825E10</v>
      </c>
      <c r="E1200" s="2">
        <v>172737.0</v>
      </c>
      <c r="F1200" s="2">
        <v>13.0</v>
      </c>
      <c r="G1200" s="2">
        <v>462.0</v>
      </c>
      <c r="H1200" s="2" t="s">
        <v>5905</v>
      </c>
      <c r="I1200" s="2" t="s">
        <v>5905</v>
      </c>
      <c r="J1200" s="2" t="s">
        <v>5551</v>
      </c>
      <c r="K1200" s="2" t="s">
        <v>10378</v>
      </c>
      <c r="L1200" s="10" t="s">
        <v>10379</v>
      </c>
    </row>
    <row r="1201">
      <c r="A1201" s="2" t="s">
        <v>5534</v>
      </c>
      <c r="B1201" s="2" t="s">
        <v>10380</v>
      </c>
      <c r="C1201" s="2">
        <v>4.8056360515E10</v>
      </c>
      <c r="D1201" s="2" t="s">
        <v>10381</v>
      </c>
      <c r="E1201" s="2">
        <v>193792.0</v>
      </c>
      <c r="F1201" s="2">
        <v>49.0</v>
      </c>
      <c r="G1201" s="2">
        <v>30656.0</v>
      </c>
      <c r="H1201" s="2" t="s">
        <v>5905</v>
      </c>
      <c r="I1201" s="2" t="s">
        <v>5906</v>
      </c>
      <c r="J1201" s="2" t="s">
        <v>5391</v>
      </c>
      <c r="K1201" s="2" t="s">
        <v>10382</v>
      </c>
      <c r="L1201" s="10" t="s">
        <v>10383</v>
      </c>
    </row>
    <row r="1202">
      <c r="A1202" s="2" t="s">
        <v>5534</v>
      </c>
      <c r="B1202" s="2" t="s">
        <v>7906</v>
      </c>
      <c r="C1202" s="2">
        <v>4.7361376495E10</v>
      </c>
      <c r="D1202" s="2" t="s">
        <v>7907</v>
      </c>
      <c r="E1202" s="2">
        <v>411928.0</v>
      </c>
      <c r="F1202" s="2">
        <v>18.0</v>
      </c>
      <c r="G1202" s="2">
        <v>6501.0</v>
      </c>
      <c r="H1202" s="2" t="s">
        <v>5905</v>
      </c>
      <c r="I1202" s="2" t="s">
        <v>5906</v>
      </c>
      <c r="J1202" s="2" t="s">
        <v>5480</v>
      </c>
      <c r="K1202" s="2" t="s">
        <v>7908</v>
      </c>
      <c r="L1202" s="10" t="s">
        <v>7909</v>
      </c>
    </row>
    <row r="1203">
      <c r="A1203" s="2" t="s">
        <v>5534</v>
      </c>
      <c r="B1203" s="2" t="s">
        <v>10384</v>
      </c>
      <c r="C1203" s="2">
        <v>5.30519185E8</v>
      </c>
      <c r="D1203" s="2" t="s">
        <v>10385</v>
      </c>
      <c r="E1203" s="2">
        <v>162004.0</v>
      </c>
      <c r="F1203" s="2">
        <v>193.0</v>
      </c>
      <c r="G1203" s="2">
        <v>17393.0</v>
      </c>
      <c r="H1203" s="2" t="s">
        <v>5906</v>
      </c>
      <c r="I1203" s="2" t="s">
        <v>5905</v>
      </c>
      <c r="J1203" s="2" t="s">
        <v>5911</v>
      </c>
      <c r="K1203" s="2" t="s">
        <v>10386</v>
      </c>
    </row>
    <row r="1204">
      <c r="A1204" s="2" t="s">
        <v>5534</v>
      </c>
      <c r="B1204" s="2" t="s">
        <v>10387</v>
      </c>
      <c r="C1204" s="2">
        <v>7.632610568E9</v>
      </c>
      <c r="D1204" s="2" t="s">
        <v>10388</v>
      </c>
      <c r="E1204" s="2">
        <v>1295202.0</v>
      </c>
      <c r="F1204" s="2">
        <v>347.0</v>
      </c>
      <c r="G1204" s="2">
        <v>5262.0</v>
      </c>
      <c r="H1204" s="2" t="s">
        <v>5906</v>
      </c>
      <c r="I1204" s="2" t="s">
        <v>5906</v>
      </c>
      <c r="J1204" s="2" t="s">
        <v>5911</v>
      </c>
      <c r="K1204" s="2" t="s">
        <v>10389</v>
      </c>
      <c r="L1204" s="10" t="s">
        <v>10390</v>
      </c>
    </row>
    <row r="1205">
      <c r="A1205" s="2" t="s">
        <v>5534</v>
      </c>
      <c r="B1205" s="10" t="s">
        <v>10391</v>
      </c>
      <c r="C1205" s="2">
        <v>1.485591567E9</v>
      </c>
      <c r="D1205" s="2" t="s">
        <v>10392</v>
      </c>
      <c r="E1205" s="2">
        <v>124431.0</v>
      </c>
      <c r="F1205" s="2">
        <v>281.0</v>
      </c>
      <c r="G1205" s="2">
        <v>10316.0</v>
      </c>
      <c r="H1205" s="2" t="s">
        <v>5905</v>
      </c>
      <c r="I1205" s="2" t="s">
        <v>5906</v>
      </c>
      <c r="K1205" s="2" t="s">
        <v>10393</v>
      </c>
      <c r="L1205" s="10" t="s">
        <v>10394</v>
      </c>
    </row>
    <row r="1206">
      <c r="A1206" s="2" t="s">
        <v>5534</v>
      </c>
      <c r="B1206" s="2" t="s">
        <v>10395</v>
      </c>
      <c r="C1206" s="2">
        <v>8.115117993E9</v>
      </c>
      <c r="D1206" s="2" t="s">
        <v>10396</v>
      </c>
      <c r="E1206" s="2">
        <v>58906.0</v>
      </c>
      <c r="F1206" s="2">
        <v>0.0</v>
      </c>
      <c r="G1206" s="2">
        <v>1881.0</v>
      </c>
      <c r="H1206" s="2" t="s">
        <v>5905</v>
      </c>
      <c r="I1206" s="2" t="s">
        <v>5905</v>
      </c>
      <c r="J1206" s="2" t="s">
        <v>5911</v>
      </c>
      <c r="K1206" s="2" t="s">
        <v>10397</v>
      </c>
      <c r="L1206" s="10" t="s">
        <v>10398</v>
      </c>
    </row>
    <row r="1207">
      <c r="A1207" s="2" t="s">
        <v>5522</v>
      </c>
      <c r="B1207" s="2" t="s">
        <v>10399</v>
      </c>
      <c r="C1207" s="2">
        <v>4.9007931482E10</v>
      </c>
      <c r="D1207" s="2" t="s">
        <v>10400</v>
      </c>
      <c r="E1207" s="2">
        <v>32585.0</v>
      </c>
      <c r="F1207" s="2">
        <v>137.0</v>
      </c>
      <c r="G1207" s="2">
        <v>307.0</v>
      </c>
      <c r="H1207" s="2" t="s">
        <v>5905</v>
      </c>
      <c r="I1207" s="2" t="s">
        <v>5906</v>
      </c>
      <c r="J1207" s="2" t="s">
        <v>6940</v>
      </c>
      <c r="K1207" s="2" t="s">
        <v>10401</v>
      </c>
      <c r="L1207" s="10" t="s">
        <v>10402</v>
      </c>
    </row>
    <row r="1208">
      <c r="A1208" s="2" t="s">
        <v>5522</v>
      </c>
      <c r="B1208" s="2" t="s">
        <v>10403</v>
      </c>
      <c r="C1208" s="2">
        <v>8.482970123E9</v>
      </c>
      <c r="D1208" s="2" t="s">
        <v>10404</v>
      </c>
      <c r="E1208" s="2">
        <v>47237.0</v>
      </c>
      <c r="F1208" s="2">
        <v>5.0</v>
      </c>
      <c r="G1208" s="2">
        <v>4563.0</v>
      </c>
      <c r="H1208" s="2" t="s">
        <v>5906</v>
      </c>
      <c r="I1208" s="2" t="s">
        <v>5906</v>
      </c>
      <c r="J1208" s="2" t="s">
        <v>6393</v>
      </c>
      <c r="K1208" s="2" t="s">
        <v>10405</v>
      </c>
      <c r="L1208" s="10" t="s">
        <v>10406</v>
      </c>
    </row>
    <row r="1209">
      <c r="A1209" s="2" t="s">
        <v>5522</v>
      </c>
      <c r="B1209" s="2" t="s">
        <v>10407</v>
      </c>
      <c r="C1209" s="2">
        <v>6.1661246776E10</v>
      </c>
      <c r="D1209" s="2" t="s">
        <v>10408</v>
      </c>
      <c r="E1209" s="2">
        <v>14008.0</v>
      </c>
      <c r="F1209" s="2">
        <v>3.0</v>
      </c>
      <c r="G1209" s="2">
        <v>39.0</v>
      </c>
      <c r="H1209" s="2" t="s">
        <v>5905</v>
      </c>
      <c r="I1209" s="2" t="s">
        <v>5906</v>
      </c>
      <c r="J1209" s="2" t="s">
        <v>5959</v>
      </c>
      <c r="K1209" s="2" t="s">
        <v>10409</v>
      </c>
      <c r="L1209" s="10" t="s">
        <v>10410</v>
      </c>
    </row>
    <row r="1210">
      <c r="A1210" s="2" t="s">
        <v>5522</v>
      </c>
      <c r="B1210" s="2" t="s">
        <v>10411</v>
      </c>
      <c r="C1210" s="2">
        <v>4.645122185E9</v>
      </c>
      <c r="D1210" s="2" t="s">
        <v>10412</v>
      </c>
      <c r="E1210" s="2">
        <v>24428.0</v>
      </c>
      <c r="F1210" s="2">
        <v>6008.0</v>
      </c>
      <c r="G1210" s="2">
        <v>643.0</v>
      </c>
      <c r="H1210" s="2" t="s">
        <v>5905</v>
      </c>
      <c r="I1210" s="2" t="s">
        <v>5906</v>
      </c>
      <c r="J1210" s="2" t="s">
        <v>6161</v>
      </c>
      <c r="K1210" s="2" t="s">
        <v>10413</v>
      </c>
      <c r="L1210" s="10" t="s">
        <v>10414</v>
      </c>
    </row>
    <row r="1211">
      <c r="A1211" s="2" t="s">
        <v>5522</v>
      </c>
      <c r="B1211" s="2" t="s">
        <v>10415</v>
      </c>
      <c r="C1211" s="2">
        <v>4.8118944984E10</v>
      </c>
      <c r="D1211" s="2" t="s">
        <v>10416</v>
      </c>
      <c r="E1211" s="2">
        <v>18078.0</v>
      </c>
      <c r="F1211" s="2">
        <v>173.0</v>
      </c>
      <c r="G1211" s="2">
        <v>56.0</v>
      </c>
      <c r="H1211" s="2" t="s">
        <v>5905</v>
      </c>
      <c r="I1211" s="2" t="s">
        <v>5905</v>
      </c>
      <c r="J1211" s="2" t="s">
        <v>5561</v>
      </c>
      <c r="K1211" s="2" t="s">
        <v>10417</v>
      </c>
      <c r="L1211" s="10" t="s">
        <v>10418</v>
      </c>
    </row>
    <row r="1212">
      <c r="A1212" s="2" t="s">
        <v>5522</v>
      </c>
      <c r="B1212" s="2" t="s">
        <v>10419</v>
      </c>
      <c r="C1212" s="2">
        <v>6.748609541E9</v>
      </c>
      <c r="D1212" s="2" t="s">
        <v>10420</v>
      </c>
      <c r="E1212" s="2">
        <v>10603.0</v>
      </c>
      <c r="F1212" s="2">
        <v>2874.0</v>
      </c>
      <c r="G1212" s="2">
        <v>1153.0</v>
      </c>
      <c r="H1212" s="2" t="s">
        <v>5905</v>
      </c>
      <c r="I1212" s="2" t="s">
        <v>5905</v>
      </c>
      <c r="J1212" s="2" t="s">
        <v>7669</v>
      </c>
      <c r="K1212" s="2" t="s">
        <v>10421</v>
      </c>
    </row>
    <row r="1213">
      <c r="A1213" s="2" t="s">
        <v>5522</v>
      </c>
      <c r="B1213" s="2" t="s">
        <v>10422</v>
      </c>
      <c r="C1213" s="2">
        <v>4.8406059869E10</v>
      </c>
      <c r="D1213" s="2" t="s">
        <v>10423</v>
      </c>
      <c r="E1213" s="2">
        <v>53035.0</v>
      </c>
      <c r="F1213" s="2">
        <v>46.0</v>
      </c>
      <c r="G1213" s="2">
        <v>3435.0</v>
      </c>
      <c r="H1213" s="2" t="s">
        <v>5905</v>
      </c>
      <c r="I1213" s="2" t="s">
        <v>5906</v>
      </c>
      <c r="J1213" s="2" t="s">
        <v>6166</v>
      </c>
      <c r="K1213" s="2" t="s">
        <v>10424</v>
      </c>
      <c r="L1213" s="10" t="s">
        <v>10425</v>
      </c>
    </row>
    <row r="1214">
      <c r="A1214" s="2" t="s">
        <v>5522</v>
      </c>
      <c r="B1214" s="2" t="s">
        <v>10426</v>
      </c>
      <c r="C1214" s="2">
        <v>6.6454588592E10</v>
      </c>
      <c r="D1214" s="2" t="s">
        <v>10427</v>
      </c>
      <c r="E1214" s="2">
        <v>17225.0</v>
      </c>
      <c r="F1214" s="2">
        <v>115.0</v>
      </c>
      <c r="G1214" s="2">
        <v>29.0</v>
      </c>
      <c r="H1214" s="2" t="s">
        <v>5906</v>
      </c>
      <c r="I1214" s="2" t="s">
        <v>5905</v>
      </c>
      <c r="J1214" s="2" t="s">
        <v>5963</v>
      </c>
      <c r="K1214" s="2" t="s">
        <v>10428</v>
      </c>
      <c r="L1214" s="10" t="s">
        <v>10429</v>
      </c>
    </row>
    <row r="1215">
      <c r="A1215" s="2" t="s">
        <v>5522</v>
      </c>
      <c r="B1215" s="2" t="s">
        <v>10430</v>
      </c>
      <c r="C1215" s="2">
        <v>4.7929619297E10</v>
      </c>
      <c r="D1215" s="2" t="s">
        <v>10431</v>
      </c>
      <c r="E1215" s="2">
        <v>622765.0</v>
      </c>
      <c r="F1215" s="2">
        <v>800.0</v>
      </c>
      <c r="G1215" s="2">
        <v>351.0</v>
      </c>
      <c r="H1215" s="2" t="s">
        <v>5906</v>
      </c>
      <c r="I1215" s="2" t="s">
        <v>5905</v>
      </c>
      <c r="J1215" s="2" t="s">
        <v>5492</v>
      </c>
      <c r="K1215" s="2" t="s">
        <v>10432</v>
      </c>
      <c r="L1215" s="10" t="s">
        <v>10433</v>
      </c>
    </row>
    <row r="1216">
      <c r="A1216" s="2" t="s">
        <v>5433</v>
      </c>
      <c r="B1216" s="2" t="s">
        <v>10434</v>
      </c>
      <c r="C1216" s="2">
        <v>1.933226147E9</v>
      </c>
      <c r="D1216" s="2" t="s">
        <v>10435</v>
      </c>
      <c r="E1216" s="2">
        <v>1295558.0</v>
      </c>
      <c r="F1216" s="2">
        <v>388.0</v>
      </c>
      <c r="G1216" s="2">
        <v>9220.0</v>
      </c>
      <c r="H1216" s="2" t="s">
        <v>5906</v>
      </c>
      <c r="I1216" s="2" t="s">
        <v>5906</v>
      </c>
      <c r="J1216" s="2" t="s">
        <v>6068</v>
      </c>
      <c r="K1216" s="2" t="s">
        <v>10436</v>
      </c>
      <c r="L1216" s="10" t="s">
        <v>10437</v>
      </c>
    </row>
    <row r="1217">
      <c r="A1217" s="2" t="s">
        <v>5433</v>
      </c>
      <c r="B1217" s="2" t="s">
        <v>10438</v>
      </c>
      <c r="C1217" s="2">
        <v>1.33154343E9</v>
      </c>
      <c r="D1217" s="2" t="s">
        <v>5433</v>
      </c>
      <c r="E1217" s="2">
        <v>1.0526756E7</v>
      </c>
      <c r="F1217" s="2">
        <v>3099.0</v>
      </c>
      <c r="G1217" s="2">
        <v>30819.0</v>
      </c>
      <c r="H1217" s="2" t="s">
        <v>5906</v>
      </c>
      <c r="I1217" s="2" t="s">
        <v>5906</v>
      </c>
      <c r="K1217" s="2" t="s">
        <v>10439</v>
      </c>
      <c r="L1217" s="10" t="s">
        <v>10440</v>
      </c>
    </row>
    <row r="1218">
      <c r="A1218" s="2" t="s">
        <v>5433</v>
      </c>
      <c r="B1218" s="2" t="s">
        <v>10441</v>
      </c>
      <c r="C1218" s="2">
        <v>1.947887706E9</v>
      </c>
      <c r="D1218" s="2" t="s">
        <v>10442</v>
      </c>
      <c r="E1218" s="2">
        <v>218375.0</v>
      </c>
      <c r="F1218" s="2">
        <v>31.0</v>
      </c>
      <c r="G1218" s="2">
        <v>189.0</v>
      </c>
      <c r="H1218" s="2" t="s">
        <v>5905</v>
      </c>
      <c r="I1218" s="2" t="s">
        <v>5905</v>
      </c>
      <c r="J1218" s="2" t="s">
        <v>6414</v>
      </c>
      <c r="L1218" s="10" t="s">
        <v>10443</v>
      </c>
    </row>
    <row r="1219">
      <c r="A1219" s="2" t="s">
        <v>5433</v>
      </c>
      <c r="B1219" s="2" t="s">
        <v>10444</v>
      </c>
      <c r="C1219" s="2">
        <v>3.7208711814E10</v>
      </c>
      <c r="D1219" s="2" t="s">
        <v>10445</v>
      </c>
      <c r="E1219" s="2">
        <v>1994880.0</v>
      </c>
      <c r="F1219" s="2">
        <v>1090.0</v>
      </c>
      <c r="G1219" s="2">
        <v>4134.0</v>
      </c>
      <c r="H1219" s="2" t="s">
        <v>5906</v>
      </c>
      <c r="I1219" s="2" t="s">
        <v>5905</v>
      </c>
      <c r="J1219" s="2" t="s">
        <v>10446</v>
      </c>
      <c r="K1219" s="2" t="s">
        <v>10447</v>
      </c>
      <c r="L1219" s="10" t="s">
        <v>10448</v>
      </c>
    </row>
    <row r="1220">
      <c r="A1220" s="2" t="s">
        <v>5433</v>
      </c>
      <c r="B1220" s="2" t="s">
        <v>10449</v>
      </c>
      <c r="C1220" s="2">
        <v>1.3064968968E10</v>
      </c>
      <c r="D1220" s="2" t="s">
        <v>10450</v>
      </c>
      <c r="E1220" s="2">
        <v>604589.0</v>
      </c>
      <c r="F1220" s="2">
        <v>526.0</v>
      </c>
      <c r="G1220" s="2">
        <v>4072.0</v>
      </c>
      <c r="H1220" s="2" t="s">
        <v>5906</v>
      </c>
      <c r="I1220" s="2" t="s">
        <v>5906</v>
      </c>
      <c r="J1220" s="2" t="s">
        <v>5480</v>
      </c>
      <c r="K1220" s="2" t="s">
        <v>10451</v>
      </c>
    </row>
    <row r="1221">
      <c r="A1221" s="2" t="s">
        <v>5433</v>
      </c>
      <c r="B1221" s="2" t="s">
        <v>10452</v>
      </c>
      <c r="C1221" s="2">
        <v>3.580931832E9</v>
      </c>
      <c r="D1221" s="2" t="s">
        <v>10453</v>
      </c>
      <c r="E1221" s="2">
        <v>1656752.0</v>
      </c>
      <c r="F1221" s="2">
        <v>1765.0</v>
      </c>
      <c r="G1221" s="2">
        <v>7743.0</v>
      </c>
      <c r="H1221" s="2" t="s">
        <v>5906</v>
      </c>
      <c r="I1221" s="2" t="s">
        <v>5906</v>
      </c>
      <c r="J1221" s="2" t="s">
        <v>5959</v>
      </c>
      <c r="K1221" s="2" t="s">
        <v>10454</v>
      </c>
      <c r="L1221" s="10" t="s">
        <v>10455</v>
      </c>
    </row>
    <row r="1222">
      <c r="A1222" s="2" t="s">
        <v>5433</v>
      </c>
      <c r="B1222" s="2" t="s">
        <v>10456</v>
      </c>
      <c r="C1222" s="2">
        <v>1.0575686125E10</v>
      </c>
      <c r="D1222" s="2" t="s">
        <v>10457</v>
      </c>
      <c r="E1222" s="2">
        <v>379784.0</v>
      </c>
      <c r="F1222" s="2">
        <v>449.0</v>
      </c>
      <c r="G1222" s="2">
        <v>4675.0</v>
      </c>
      <c r="H1222" s="2" t="s">
        <v>5906</v>
      </c>
      <c r="I1222" s="2" t="s">
        <v>5906</v>
      </c>
      <c r="J1222" s="2" t="s">
        <v>5911</v>
      </c>
      <c r="K1222" s="2" t="s">
        <v>10458</v>
      </c>
      <c r="L1222" s="10" t="s">
        <v>10459</v>
      </c>
    </row>
    <row r="1223">
      <c r="A1223" s="2" t="s">
        <v>5433</v>
      </c>
      <c r="B1223" s="2" t="s">
        <v>10460</v>
      </c>
      <c r="C1223" s="2">
        <v>6.22453997E8</v>
      </c>
      <c r="D1223" s="2" t="s">
        <v>10461</v>
      </c>
      <c r="E1223" s="2">
        <v>620353.0</v>
      </c>
      <c r="F1223" s="2">
        <v>72.0</v>
      </c>
      <c r="G1223" s="2">
        <v>3927.0</v>
      </c>
      <c r="H1223" s="2" t="s">
        <v>5906</v>
      </c>
      <c r="I1223" s="2" t="s">
        <v>5905</v>
      </c>
      <c r="J1223" s="2" t="s">
        <v>4996</v>
      </c>
      <c r="K1223" s="2" t="s">
        <v>10462</v>
      </c>
      <c r="L1223" s="10" t="s">
        <v>10463</v>
      </c>
    </row>
    <row r="1224">
      <c r="A1224" s="2" t="s">
        <v>5433</v>
      </c>
      <c r="B1224" s="2" t="s">
        <v>10464</v>
      </c>
      <c r="C1224" s="2">
        <v>2.083210695E9</v>
      </c>
      <c r="D1224" s="2" t="s">
        <v>10465</v>
      </c>
      <c r="E1224" s="2">
        <v>315367.0</v>
      </c>
      <c r="F1224" s="2">
        <v>168.0</v>
      </c>
      <c r="G1224" s="2">
        <v>1569.0</v>
      </c>
      <c r="H1224" s="2" t="s">
        <v>5906</v>
      </c>
      <c r="I1224" s="2" t="s">
        <v>5906</v>
      </c>
      <c r="J1224" s="2" t="s">
        <v>5911</v>
      </c>
      <c r="K1224" s="2" t="s">
        <v>10466</v>
      </c>
      <c r="L1224" s="10" t="s">
        <v>10467</v>
      </c>
    </row>
    <row r="1225">
      <c r="A1225" s="2" t="s">
        <v>5433</v>
      </c>
      <c r="B1225" s="2" t="s">
        <v>10468</v>
      </c>
      <c r="C1225" s="2">
        <v>1.78317974E8</v>
      </c>
      <c r="D1225" s="2" t="s">
        <v>10469</v>
      </c>
      <c r="E1225" s="2">
        <v>610315.0</v>
      </c>
      <c r="F1225" s="2">
        <v>651.0</v>
      </c>
      <c r="G1225" s="2">
        <v>200.0</v>
      </c>
      <c r="H1225" s="2" t="s">
        <v>5906</v>
      </c>
      <c r="I1225" s="2" t="s">
        <v>5905</v>
      </c>
      <c r="J1225" s="2" t="s">
        <v>4397</v>
      </c>
      <c r="K1225" s="2" t="s">
        <v>10470</v>
      </c>
      <c r="L1225" s="10" t="s">
        <v>10471</v>
      </c>
    </row>
    <row r="1226">
      <c r="A1226" s="2" t="s">
        <v>5433</v>
      </c>
      <c r="B1226" s="2" t="s">
        <v>10472</v>
      </c>
      <c r="C1226" s="2">
        <v>1.2100782012E10</v>
      </c>
      <c r="D1226" s="2" t="s">
        <v>10473</v>
      </c>
      <c r="E1226" s="2">
        <v>33992.0</v>
      </c>
      <c r="F1226" s="2">
        <v>295.0</v>
      </c>
      <c r="G1226" s="2">
        <v>1356.0</v>
      </c>
      <c r="H1226" s="2" t="s">
        <v>5905</v>
      </c>
      <c r="I1226" s="2" t="s">
        <v>5905</v>
      </c>
      <c r="J1226" s="2" t="s">
        <v>5993</v>
      </c>
      <c r="K1226" s="2" t="s">
        <v>10474</v>
      </c>
      <c r="L1226" s="10" t="s">
        <v>10475</v>
      </c>
    </row>
    <row r="1227">
      <c r="A1227" s="2" t="s">
        <v>5433</v>
      </c>
      <c r="B1227" s="2" t="s">
        <v>10476</v>
      </c>
      <c r="C1227" s="2">
        <v>6.3920219872E10</v>
      </c>
      <c r="D1227" s="2" t="s">
        <v>10477</v>
      </c>
      <c r="E1227" s="2">
        <v>75257.0</v>
      </c>
      <c r="F1227" s="2">
        <v>410.0</v>
      </c>
      <c r="G1227" s="2">
        <v>2039.0</v>
      </c>
      <c r="H1227" s="2" t="s">
        <v>5906</v>
      </c>
      <c r="I1227" s="2" t="s">
        <v>5906</v>
      </c>
      <c r="J1227" s="2" t="s">
        <v>6068</v>
      </c>
      <c r="K1227" s="2" t="s">
        <v>10478</v>
      </c>
      <c r="L1227" s="10" t="s">
        <v>10479</v>
      </c>
    </row>
    <row r="1228">
      <c r="A1228" s="2" t="s">
        <v>5433</v>
      </c>
      <c r="B1228" s="2" t="s">
        <v>10480</v>
      </c>
      <c r="C1228" s="2">
        <v>7.1820513749E10</v>
      </c>
      <c r="D1228" s="2" t="s">
        <v>10481</v>
      </c>
      <c r="E1228" s="2">
        <v>31531.0</v>
      </c>
      <c r="F1228" s="2">
        <v>87.0</v>
      </c>
      <c r="G1228" s="2">
        <v>602.0</v>
      </c>
      <c r="H1228" s="2" t="s">
        <v>5905</v>
      </c>
      <c r="I1228" s="2" t="s">
        <v>5906</v>
      </c>
      <c r="J1228" s="2" t="s">
        <v>4397</v>
      </c>
      <c r="K1228" s="2" t="s">
        <v>10482</v>
      </c>
      <c r="L1228" s="10" t="s">
        <v>10483</v>
      </c>
    </row>
    <row r="1229">
      <c r="A1229" s="2" t="s">
        <v>5433</v>
      </c>
      <c r="B1229" s="2" t="s">
        <v>10484</v>
      </c>
      <c r="C1229" s="2">
        <v>1.731637821E9</v>
      </c>
      <c r="D1229" s="2" t="s">
        <v>10485</v>
      </c>
      <c r="E1229" s="2">
        <v>1096838.0</v>
      </c>
      <c r="F1229" s="2">
        <v>1289.0</v>
      </c>
      <c r="G1229" s="2">
        <v>13258.0</v>
      </c>
      <c r="H1229" s="2" t="s">
        <v>5906</v>
      </c>
      <c r="I1229" s="2" t="s">
        <v>5906</v>
      </c>
      <c r="J1229" s="2" t="s">
        <v>8479</v>
      </c>
      <c r="K1229" s="2" t="s">
        <v>10486</v>
      </c>
      <c r="L1229" s="10" t="s">
        <v>10487</v>
      </c>
    </row>
    <row r="1230">
      <c r="A1230" s="2" t="s">
        <v>5462</v>
      </c>
      <c r="B1230" s="2" t="s">
        <v>10488</v>
      </c>
      <c r="C1230" s="2">
        <v>4.757297187E9</v>
      </c>
      <c r="D1230" s="2" t="s">
        <v>10489</v>
      </c>
      <c r="E1230" s="2">
        <v>42423.0</v>
      </c>
      <c r="F1230" s="2">
        <v>3674.0</v>
      </c>
      <c r="G1230" s="2">
        <v>818.0</v>
      </c>
      <c r="H1230" s="2" t="s">
        <v>5906</v>
      </c>
      <c r="I1230" s="2" t="s">
        <v>5906</v>
      </c>
      <c r="J1230" s="2" t="s">
        <v>5959</v>
      </c>
      <c r="K1230" s="2" t="s">
        <v>10490</v>
      </c>
      <c r="L1230" s="10" t="s">
        <v>10491</v>
      </c>
    </row>
    <row r="1231">
      <c r="A1231" s="2" t="s">
        <v>5462</v>
      </c>
      <c r="B1231" s="2" t="s">
        <v>10492</v>
      </c>
      <c r="C1231" s="2">
        <v>4.8908033171E10</v>
      </c>
      <c r="D1231" s="2" t="s">
        <v>10493</v>
      </c>
      <c r="E1231" s="2">
        <v>398330.0</v>
      </c>
      <c r="F1231" s="2">
        <v>1501.0</v>
      </c>
      <c r="G1231" s="2">
        <v>4111.0</v>
      </c>
      <c r="H1231" s="2" t="s">
        <v>5905</v>
      </c>
      <c r="I1231" s="2" t="s">
        <v>5906</v>
      </c>
      <c r="J1231" s="2" t="s">
        <v>10494</v>
      </c>
      <c r="K1231" s="2" t="s">
        <v>10495</v>
      </c>
      <c r="L1231" s="10" t="s">
        <v>10496</v>
      </c>
    </row>
    <row r="1232">
      <c r="A1232" s="2" t="s">
        <v>5462</v>
      </c>
      <c r="B1232" s="2" t="s">
        <v>10497</v>
      </c>
      <c r="C1232" s="2">
        <v>4.99041402E8</v>
      </c>
      <c r="D1232" s="2" t="s">
        <v>10498</v>
      </c>
      <c r="E1232" s="2">
        <v>387185.0</v>
      </c>
      <c r="F1232" s="2">
        <v>403.0</v>
      </c>
      <c r="G1232" s="2">
        <v>2152.0</v>
      </c>
      <c r="H1232" s="2" t="s">
        <v>5906</v>
      </c>
      <c r="I1232" s="2" t="s">
        <v>5906</v>
      </c>
      <c r="J1232" s="2" t="s">
        <v>5480</v>
      </c>
      <c r="K1232" s="2" t="s">
        <v>10499</v>
      </c>
      <c r="L1232" s="10" t="s">
        <v>10500</v>
      </c>
    </row>
    <row r="1233">
      <c r="A1233" s="2" t="s">
        <v>5462</v>
      </c>
      <c r="B1233" s="2" t="s">
        <v>10501</v>
      </c>
      <c r="C1233" s="2">
        <v>2.944677265E9</v>
      </c>
      <c r="D1233" s="2" t="s">
        <v>10502</v>
      </c>
      <c r="E1233" s="2">
        <v>272496.0</v>
      </c>
      <c r="F1233" s="2">
        <v>5.0</v>
      </c>
      <c r="G1233" s="2">
        <v>23.0</v>
      </c>
      <c r="H1233" s="2" t="s">
        <v>5906</v>
      </c>
      <c r="I1233" s="2" t="s">
        <v>5905</v>
      </c>
      <c r="J1233" s="2" t="s">
        <v>6393</v>
      </c>
      <c r="K1233" s="2" t="s">
        <v>10503</v>
      </c>
    </row>
    <row r="1234">
      <c r="A1234" s="2" t="s">
        <v>5462</v>
      </c>
      <c r="B1234" s="2" t="s">
        <v>10504</v>
      </c>
      <c r="C1234" s="2">
        <v>2.1918501368E10</v>
      </c>
      <c r="D1234" s="2" t="s">
        <v>10498</v>
      </c>
      <c r="E1234" s="2">
        <v>98425.0</v>
      </c>
      <c r="F1234" s="2">
        <v>1066.0</v>
      </c>
      <c r="G1234" s="2">
        <v>67.0</v>
      </c>
      <c r="H1234" s="2" t="s">
        <v>5905</v>
      </c>
      <c r="I1234" s="2" t="s">
        <v>5905</v>
      </c>
      <c r="J1234" s="2" t="s">
        <v>5993</v>
      </c>
      <c r="K1234" s="2" t="s">
        <v>10505</v>
      </c>
      <c r="L1234" s="10" t="s">
        <v>10506</v>
      </c>
    </row>
    <row r="1235">
      <c r="A1235" s="2" t="s">
        <v>5336</v>
      </c>
      <c r="B1235" s="2" t="s">
        <v>9613</v>
      </c>
      <c r="C1235" s="2">
        <v>1.0257497E7</v>
      </c>
      <c r="D1235" s="2" t="s">
        <v>5336</v>
      </c>
      <c r="E1235" s="2">
        <v>1950074.0</v>
      </c>
      <c r="F1235" s="2">
        <v>1640.0</v>
      </c>
      <c r="G1235" s="2">
        <v>7950.0</v>
      </c>
      <c r="H1235" s="2" t="s">
        <v>5906</v>
      </c>
      <c r="I1235" s="2" t="s">
        <v>5906</v>
      </c>
      <c r="J1235" s="2" t="s">
        <v>5959</v>
      </c>
      <c r="K1235" s="2" t="s">
        <v>9614</v>
      </c>
      <c r="L1235" s="10" t="s">
        <v>9615</v>
      </c>
    </row>
    <row r="1236">
      <c r="A1236" s="2" t="s">
        <v>5299</v>
      </c>
      <c r="B1236" s="2" t="s">
        <v>10507</v>
      </c>
      <c r="C1236" s="2">
        <v>1.58403711E9</v>
      </c>
      <c r="D1236" s="2" t="s">
        <v>10508</v>
      </c>
      <c r="E1236" s="2">
        <v>229165.0</v>
      </c>
      <c r="F1236" s="2">
        <v>493.0</v>
      </c>
      <c r="G1236" s="2">
        <v>3920.0</v>
      </c>
      <c r="H1236" s="2" t="s">
        <v>5906</v>
      </c>
      <c r="I1236" s="2" t="s">
        <v>5906</v>
      </c>
      <c r="J1236" s="2" t="s">
        <v>6199</v>
      </c>
      <c r="K1236" s="2" t="s">
        <v>10509</v>
      </c>
      <c r="L1236" s="10" t="s">
        <v>10510</v>
      </c>
    </row>
    <row r="1237">
      <c r="A1237" s="2" t="s">
        <v>5299</v>
      </c>
      <c r="B1237" s="2" t="s">
        <v>10511</v>
      </c>
      <c r="C1237" s="2">
        <v>1.1380087E7</v>
      </c>
      <c r="D1237" s="2" t="s">
        <v>10512</v>
      </c>
      <c r="E1237" s="2">
        <v>976259.0</v>
      </c>
      <c r="F1237" s="2">
        <v>256.0</v>
      </c>
      <c r="G1237" s="2">
        <v>7116.0</v>
      </c>
      <c r="H1237" s="2" t="s">
        <v>5906</v>
      </c>
      <c r="I1237" s="2" t="s">
        <v>5906</v>
      </c>
      <c r="J1237" s="2" t="s">
        <v>6290</v>
      </c>
      <c r="K1237" s="2" t="s">
        <v>10513</v>
      </c>
      <c r="L1237" s="10" t="s">
        <v>10514</v>
      </c>
    </row>
    <row r="1238">
      <c r="A1238" s="2" t="s">
        <v>5299</v>
      </c>
      <c r="B1238" s="2" t="s">
        <v>10515</v>
      </c>
      <c r="C1238" s="2">
        <v>2.061348544E9</v>
      </c>
      <c r="D1238" s="12" t="s">
        <v>10516</v>
      </c>
      <c r="E1238" s="2">
        <v>50789.0</v>
      </c>
      <c r="F1238" s="2">
        <v>864.0</v>
      </c>
      <c r="G1238" s="2">
        <v>352.0</v>
      </c>
      <c r="H1238" s="2" t="s">
        <v>5905</v>
      </c>
      <c r="I1238" s="2" t="s">
        <v>5906</v>
      </c>
      <c r="J1238" s="2" t="s">
        <v>6393</v>
      </c>
      <c r="K1238" s="12" t="s">
        <v>10517</v>
      </c>
    </row>
    <row r="1239">
      <c r="A1239" s="2" t="s">
        <v>5299</v>
      </c>
      <c r="B1239" s="2" t="s">
        <v>10518</v>
      </c>
      <c r="C1239" s="2">
        <v>1.985801921E9</v>
      </c>
      <c r="D1239" s="2" t="s">
        <v>10519</v>
      </c>
      <c r="E1239" s="2">
        <v>307766.0</v>
      </c>
      <c r="F1239" s="2">
        <v>267.0</v>
      </c>
      <c r="G1239" s="2">
        <v>7163.0</v>
      </c>
      <c r="H1239" s="2" t="s">
        <v>5906</v>
      </c>
      <c r="I1239" s="2" t="s">
        <v>5906</v>
      </c>
      <c r="J1239" s="2" t="s">
        <v>6068</v>
      </c>
      <c r="K1239" s="2" t="s">
        <v>10520</v>
      </c>
      <c r="L1239" s="10" t="s">
        <v>10521</v>
      </c>
    </row>
    <row r="1240">
      <c r="A1240" s="2" t="s">
        <v>5299</v>
      </c>
      <c r="B1240" s="2" t="s">
        <v>10522</v>
      </c>
      <c r="C1240" s="2">
        <v>1.82895784E8</v>
      </c>
      <c r="D1240" s="2" t="s">
        <v>5299</v>
      </c>
      <c r="E1240" s="2">
        <v>1344857.0</v>
      </c>
      <c r="F1240" s="2">
        <v>559.0</v>
      </c>
      <c r="G1240" s="2">
        <v>7905.0</v>
      </c>
      <c r="H1240" s="2" t="s">
        <v>5906</v>
      </c>
      <c r="I1240" s="2" t="s">
        <v>5906</v>
      </c>
      <c r="K1240" s="2" t="s">
        <v>10523</v>
      </c>
      <c r="L1240" s="10" t="s">
        <v>10524</v>
      </c>
    </row>
    <row r="1241">
      <c r="A1241" s="2" t="s">
        <v>5299</v>
      </c>
      <c r="B1241" s="2" t="s">
        <v>10525</v>
      </c>
      <c r="C1241" s="2">
        <v>5.47908965E8</v>
      </c>
      <c r="D1241" s="2" t="s">
        <v>10526</v>
      </c>
      <c r="E1241" s="2">
        <v>100240.0</v>
      </c>
      <c r="F1241" s="2">
        <v>421.0</v>
      </c>
      <c r="G1241" s="2">
        <v>1442.0</v>
      </c>
      <c r="H1241" s="2" t="s">
        <v>5906</v>
      </c>
      <c r="I1241" s="2" t="s">
        <v>5906</v>
      </c>
      <c r="K1241" s="2" t="s">
        <v>10527</v>
      </c>
      <c r="L1241" s="10" t="s">
        <v>10528</v>
      </c>
    </row>
    <row r="1242">
      <c r="A1242" s="2" t="s">
        <v>5299</v>
      </c>
      <c r="B1242" s="2" t="s">
        <v>10529</v>
      </c>
      <c r="C1242" s="2">
        <v>2.27357925E8</v>
      </c>
      <c r="D1242" s="2" t="s">
        <v>10530</v>
      </c>
      <c r="E1242" s="2">
        <v>309584.0</v>
      </c>
      <c r="F1242" s="2">
        <v>91.0</v>
      </c>
      <c r="G1242" s="2">
        <v>3110.0</v>
      </c>
      <c r="H1242" s="2" t="s">
        <v>5906</v>
      </c>
      <c r="I1242" s="2" t="s">
        <v>5906</v>
      </c>
      <c r="K1242" s="2" t="s">
        <v>10531</v>
      </c>
      <c r="L1242" s="10" t="s">
        <v>10532</v>
      </c>
    </row>
    <row r="1243">
      <c r="A1243" s="2" t="s">
        <v>5299</v>
      </c>
      <c r="B1243" s="2" t="s">
        <v>10533</v>
      </c>
      <c r="C1243" s="2">
        <v>2.52615514E8</v>
      </c>
      <c r="D1243" s="2" t="s">
        <v>10534</v>
      </c>
      <c r="E1243" s="2">
        <v>67491.0</v>
      </c>
      <c r="F1243" s="2">
        <v>391.0</v>
      </c>
      <c r="G1243" s="2">
        <v>2566.0</v>
      </c>
      <c r="H1243" s="2" t="s">
        <v>5906</v>
      </c>
      <c r="I1243" s="2" t="s">
        <v>5906</v>
      </c>
      <c r="K1243" s="2" t="s">
        <v>10535</v>
      </c>
      <c r="L1243" s="10" t="s">
        <v>10536</v>
      </c>
    </row>
    <row r="1244">
      <c r="A1244" s="2" t="s">
        <v>5299</v>
      </c>
      <c r="B1244" s="2" t="s">
        <v>10537</v>
      </c>
      <c r="C1244" s="2">
        <v>4.7206114E7</v>
      </c>
      <c r="D1244" s="2" t="s">
        <v>10538</v>
      </c>
      <c r="E1244" s="2">
        <v>115913.0</v>
      </c>
      <c r="F1244" s="2">
        <v>2959.0</v>
      </c>
      <c r="G1244" s="2">
        <v>4692.0</v>
      </c>
      <c r="H1244" s="2" t="s">
        <v>5906</v>
      </c>
      <c r="I1244" s="2" t="s">
        <v>5906</v>
      </c>
      <c r="J1244" s="2" t="s">
        <v>6002</v>
      </c>
      <c r="K1244" s="2" t="s">
        <v>10539</v>
      </c>
      <c r="L1244" s="10" t="s">
        <v>10540</v>
      </c>
    </row>
    <row r="1245">
      <c r="A1245" s="2" t="s">
        <v>5299</v>
      </c>
      <c r="B1245" s="2" t="s">
        <v>10541</v>
      </c>
      <c r="C1245" s="2">
        <v>8.176938397E9</v>
      </c>
      <c r="D1245" s="2" t="s">
        <v>10542</v>
      </c>
      <c r="E1245" s="2">
        <v>35562.0</v>
      </c>
      <c r="F1245" s="2">
        <v>954.0</v>
      </c>
      <c r="G1245" s="2">
        <v>1567.0</v>
      </c>
      <c r="H1245" s="2" t="s">
        <v>5905</v>
      </c>
      <c r="I1245" s="2" t="s">
        <v>5906</v>
      </c>
      <c r="J1245" s="2" t="s">
        <v>10543</v>
      </c>
      <c r="K1245" s="2" t="s">
        <v>10544</v>
      </c>
      <c r="L1245" s="10" t="s">
        <v>10540</v>
      </c>
    </row>
    <row r="1246">
      <c r="A1246" s="2" t="s">
        <v>5299</v>
      </c>
      <c r="B1246" s="2" t="s">
        <v>10545</v>
      </c>
      <c r="C1246" s="2">
        <v>4.5028869403E10</v>
      </c>
      <c r="D1246" s="2" t="s">
        <v>10546</v>
      </c>
      <c r="E1246" s="2">
        <v>104501.0</v>
      </c>
      <c r="F1246" s="2">
        <v>803.0</v>
      </c>
      <c r="G1246" s="2">
        <v>8715.0</v>
      </c>
      <c r="H1246" s="2" t="s">
        <v>5905</v>
      </c>
      <c r="I1246" s="2" t="s">
        <v>5906</v>
      </c>
      <c r="J1246" s="2" t="s">
        <v>6111</v>
      </c>
      <c r="K1246" s="2" t="s">
        <v>10547</v>
      </c>
    </row>
    <row r="1247">
      <c r="A1247" s="2" t="s">
        <v>5400</v>
      </c>
      <c r="B1247" s="2" t="s">
        <v>10548</v>
      </c>
      <c r="C1247" s="2">
        <v>9.287482E8</v>
      </c>
      <c r="D1247" s="2" t="s">
        <v>5400</v>
      </c>
      <c r="E1247" s="2">
        <v>527763.0</v>
      </c>
      <c r="F1247" s="2">
        <v>293.0</v>
      </c>
      <c r="G1247" s="2">
        <v>7345.0</v>
      </c>
      <c r="H1247" s="2" t="s">
        <v>5906</v>
      </c>
      <c r="I1247" s="2" t="s">
        <v>5906</v>
      </c>
      <c r="K1247" s="2" t="s">
        <v>10549</v>
      </c>
      <c r="L1247" s="10" t="s">
        <v>10550</v>
      </c>
    </row>
    <row r="1248">
      <c r="A1248" s="2" t="s">
        <v>5353</v>
      </c>
      <c r="B1248" s="2" t="s">
        <v>10551</v>
      </c>
      <c r="C1248" s="2">
        <v>8.460212954E9</v>
      </c>
      <c r="D1248" s="2" t="s">
        <v>10552</v>
      </c>
      <c r="E1248" s="2">
        <v>3966118.0</v>
      </c>
      <c r="F1248" s="2">
        <v>7.0</v>
      </c>
      <c r="G1248" s="2">
        <v>11946.0</v>
      </c>
      <c r="H1248" s="2" t="s">
        <v>5906</v>
      </c>
      <c r="I1248" s="2" t="s">
        <v>5905</v>
      </c>
      <c r="J1248" s="2" t="s">
        <v>5561</v>
      </c>
      <c r="K1248" s="2" t="s">
        <v>10553</v>
      </c>
      <c r="L1248" s="10" t="s">
        <v>10554</v>
      </c>
    </row>
    <row r="1249">
      <c r="A1249" s="2" t="s">
        <v>5353</v>
      </c>
      <c r="B1249" s="2" t="s">
        <v>10555</v>
      </c>
      <c r="C1249" s="2">
        <v>3.24070783E9</v>
      </c>
      <c r="D1249" s="2" t="s">
        <v>10556</v>
      </c>
      <c r="E1249" s="2">
        <v>1.1331057E7</v>
      </c>
      <c r="F1249" s="2">
        <v>119.0</v>
      </c>
      <c r="G1249" s="2">
        <v>7125.0</v>
      </c>
      <c r="H1249" s="2" t="s">
        <v>5906</v>
      </c>
      <c r="I1249" s="2" t="s">
        <v>5905</v>
      </c>
      <c r="J1249" s="2" t="s">
        <v>6166</v>
      </c>
      <c r="K1249" s="2" t="s">
        <v>10557</v>
      </c>
      <c r="L1249" s="10" t="s">
        <v>10558</v>
      </c>
    </row>
    <row r="1250">
      <c r="A1250" s="2" t="s">
        <v>5353</v>
      </c>
      <c r="B1250" s="2" t="s">
        <v>10559</v>
      </c>
      <c r="C1250" s="2">
        <v>3510902.0</v>
      </c>
      <c r="D1250" s="2" t="s">
        <v>10560</v>
      </c>
      <c r="E1250" s="2">
        <v>4719676.0</v>
      </c>
      <c r="F1250" s="2">
        <v>961.0</v>
      </c>
      <c r="G1250" s="2">
        <v>17306.0</v>
      </c>
      <c r="H1250" s="2" t="s">
        <v>5906</v>
      </c>
      <c r="I1250" s="2" t="s">
        <v>5906</v>
      </c>
      <c r="K1250" s="2" t="s">
        <v>10561</v>
      </c>
      <c r="L1250" s="10" t="s">
        <v>10562</v>
      </c>
    </row>
    <row r="1251">
      <c r="A1251" s="2" t="s">
        <v>5353</v>
      </c>
      <c r="B1251" s="2" t="s">
        <v>10563</v>
      </c>
      <c r="C1251" s="2">
        <v>6.007303689E9</v>
      </c>
      <c r="D1251" s="2" t="s">
        <v>10564</v>
      </c>
      <c r="E1251" s="2">
        <v>13153.0</v>
      </c>
      <c r="F1251" s="2">
        <v>8.0</v>
      </c>
      <c r="G1251" s="2">
        <v>9.0</v>
      </c>
      <c r="H1251" s="2" t="s">
        <v>5905</v>
      </c>
      <c r="I1251" s="2" t="s">
        <v>5905</v>
      </c>
      <c r="J1251" s="2" t="s">
        <v>4996</v>
      </c>
      <c r="K1251" s="2" t="s">
        <v>10565</v>
      </c>
      <c r="L1251" s="10" t="s">
        <v>10566</v>
      </c>
    </row>
    <row r="1252">
      <c r="A1252" s="2" t="s">
        <v>5353</v>
      </c>
      <c r="B1252" s="2" t="s">
        <v>9616</v>
      </c>
      <c r="C1252" s="2">
        <v>2.8759374E7</v>
      </c>
      <c r="D1252" s="2" t="s">
        <v>9617</v>
      </c>
      <c r="E1252" s="2">
        <v>1.4423463E7</v>
      </c>
      <c r="F1252" s="2">
        <v>1231.0</v>
      </c>
      <c r="G1252" s="2">
        <v>59935.0</v>
      </c>
      <c r="H1252" s="2" t="s">
        <v>5906</v>
      </c>
      <c r="I1252" s="2" t="s">
        <v>5906</v>
      </c>
      <c r="K1252" s="2" t="s">
        <v>9618</v>
      </c>
      <c r="L1252" s="10" t="s">
        <v>9619</v>
      </c>
    </row>
    <row r="1253">
      <c r="A1253" s="2" t="s">
        <v>5353</v>
      </c>
      <c r="B1253" s="2" t="s">
        <v>10567</v>
      </c>
      <c r="C1253" s="2">
        <v>5.3943468996E10</v>
      </c>
      <c r="D1253" s="12" t="s">
        <v>10568</v>
      </c>
      <c r="E1253" s="2">
        <v>13642.0</v>
      </c>
      <c r="F1253" s="2">
        <v>71.0</v>
      </c>
      <c r="G1253" s="2">
        <v>179.0</v>
      </c>
      <c r="H1253" s="2" t="s">
        <v>5905</v>
      </c>
      <c r="I1253" s="2" t="s">
        <v>5905</v>
      </c>
      <c r="J1253" s="2" t="s">
        <v>6027</v>
      </c>
      <c r="K1253" s="12" t="s">
        <v>10569</v>
      </c>
    </row>
    <row r="1254">
      <c r="A1254" s="2" t="s">
        <v>5353</v>
      </c>
      <c r="B1254" s="2" t="s">
        <v>10570</v>
      </c>
      <c r="C1254" s="2">
        <v>7.181235237E10</v>
      </c>
      <c r="D1254" s="2" t="s">
        <v>10571</v>
      </c>
      <c r="E1254" s="2">
        <v>428862.0</v>
      </c>
      <c r="F1254" s="2">
        <v>7.0</v>
      </c>
      <c r="G1254" s="2">
        <v>433.0</v>
      </c>
      <c r="H1254" s="2" t="s">
        <v>5905</v>
      </c>
      <c r="I1254" s="2" t="s">
        <v>5906</v>
      </c>
      <c r="J1254" s="2" t="s">
        <v>5561</v>
      </c>
      <c r="K1254" s="2" t="s">
        <v>10572</v>
      </c>
    </row>
    <row r="1255">
      <c r="A1255" s="2" t="s">
        <v>5353</v>
      </c>
      <c r="B1255" s="2" t="s">
        <v>10573</v>
      </c>
      <c r="C1255" s="2">
        <v>1.566913293E9</v>
      </c>
      <c r="D1255" s="2" t="s">
        <v>10574</v>
      </c>
      <c r="E1255" s="2">
        <v>2329050.0</v>
      </c>
      <c r="F1255" s="2">
        <v>3.0</v>
      </c>
      <c r="G1255" s="2">
        <v>16515.0</v>
      </c>
      <c r="H1255" s="2" t="s">
        <v>5905</v>
      </c>
      <c r="I1255" s="2" t="s">
        <v>5905</v>
      </c>
      <c r="J1255" s="2" t="s">
        <v>6393</v>
      </c>
      <c r="K1255" s="2" t="s">
        <v>10575</v>
      </c>
      <c r="L1255" s="10" t="s">
        <v>10576</v>
      </c>
    </row>
    <row r="1256">
      <c r="A1256" s="2" t="s">
        <v>5520</v>
      </c>
      <c r="B1256" s="2" t="s">
        <v>10577</v>
      </c>
      <c r="C1256" s="2">
        <v>5.4352302731E10</v>
      </c>
      <c r="D1256" s="2" t="s">
        <v>10578</v>
      </c>
      <c r="E1256" s="2">
        <v>42179.0</v>
      </c>
      <c r="F1256" s="2">
        <v>1424.0</v>
      </c>
      <c r="G1256" s="2">
        <v>1452.0</v>
      </c>
      <c r="H1256" s="2" t="s">
        <v>5906</v>
      </c>
      <c r="I1256" s="2" t="s">
        <v>5906</v>
      </c>
      <c r="J1256" s="2" t="s">
        <v>6166</v>
      </c>
      <c r="K1256" s="2" t="s">
        <v>10579</v>
      </c>
      <c r="L1256" s="10" t="s">
        <v>10580</v>
      </c>
    </row>
    <row r="1257">
      <c r="A1257" s="2" t="s">
        <v>5520</v>
      </c>
      <c r="B1257" s="2" t="s">
        <v>10581</v>
      </c>
      <c r="C1257" s="2">
        <v>6.91719156E9</v>
      </c>
      <c r="D1257" s="2" t="s">
        <v>10582</v>
      </c>
      <c r="E1257" s="2">
        <v>15813.0</v>
      </c>
      <c r="F1257" s="2">
        <v>315.0</v>
      </c>
      <c r="G1257" s="2">
        <v>792.0</v>
      </c>
      <c r="H1257" s="2" t="s">
        <v>5905</v>
      </c>
      <c r="I1257" s="2" t="s">
        <v>5905</v>
      </c>
      <c r="J1257" s="2" t="s">
        <v>5963</v>
      </c>
      <c r="K1257" s="2" t="s">
        <v>10583</v>
      </c>
      <c r="L1257" s="10" t="s">
        <v>10584</v>
      </c>
    </row>
    <row r="1258">
      <c r="A1258" s="2" t="s">
        <v>5313</v>
      </c>
      <c r="B1258" s="2" t="s">
        <v>10585</v>
      </c>
      <c r="C1258" s="2">
        <v>7842406.0</v>
      </c>
      <c r="D1258" s="2" t="s">
        <v>5313</v>
      </c>
      <c r="E1258" s="2">
        <v>1633212.0</v>
      </c>
      <c r="F1258" s="2">
        <v>1351.0</v>
      </c>
      <c r="G1258" s="2">
        <v>23012.0</v>
      </c>
      <c r="H1258" s="2" t="s">
        <v>5906</v>
      </c>
      <c r="I1258" s="2" t="s">
        <v>5906</v>
      </c>
      <c r="J1258" s="2" t="s">
        <v>5907</v>
      </c>
      <c r="K1258" s="2" t="s">
        <v>10586</v>
      </c>
      <c r="L1258" s="10" t="s">
        <v>10587</v>
      </c>
    </row>
    <row r="1259">
      <c r="A1259" s="2" t="s">
        <v>5313</v>
      </c>
      <c r="B1259" s="2" t="s">
        <v>10588</v>
      </c>
      <c r="C1259" s="2">
        <v>6.1343229413E10</v>
      </c>
      <c r="D1259" s="2" t="s">
        <v>10589</v>
      </c>
      <c r="E1259" s="2">
        <v>22222.0</v>
      </c>
      <c r="F1259" s="2">
        <v>15.0</v>
      </c>
      <c r="G1259" s="2">
        <v>110.0</v>
      </c>
      <c r="H1259" s="2" t="s">
        <v>5905</v>
      </c>
      <c r="I1259" s="2" t="s">
        <v>5906</v>
      </c>
      <c r="J1259" s="2" t="s">
        <v>6559</v>
      </c>
      <c r="K1259" s="2" t="s">
        <v>10590</v>
      </c>
    </row>
    <row r="1260">
      <c r="A1260" s="2" t="s">
        <v>5313</v>
      </c>
      <c r="B1260" s="2" t="s">
        <v>10591</v>
      </c>
      <c r="C1260" s="2">
        <v>3.662878E7</v>
      </c>
      <c r="D1260" s="2" t="s">
        <v>10592</v>
      </c>
      <c r="E1260" s="2">
        <v>59689.0</v>
      </c>
      <c r="F1260" s="2">
        <v>291.0</v>
      </c>
      <c r="G1260" s="2">
        <v>1613.0</v>
      </c>
      <c r="H1260" s="2" t="s">
        <v>5906</v>
      </c>
      <c r="I1260" s="2" t="s">
        <v>5906</v>
      </c>
      <c r="K1260" s="2" t="s">
        <v>10593</v>
      </c>
      <c r="L1260" s="10" t="s">
        <v>10594</v>
      </c>
    </row>
    <row r="1261">
      <c r="A1261" s="2" t="s">
        <v>5313</v>
      </c>
      <c r="B1261" s="2" t="s">
        <v>10595</v>
      </c>
      <c r="C1261" s="2">
        <v>2.20833509E8</v>
      </c>
      <c r="D1261" s="2" t="s">
        <v>10596</v>
      </c>
      <c r="E1261" s="2">
        <v>25786.0</v>
      </c>
      <c r="F1261" s="2">
        <v>781.0</v>
      </c>
      <c r="G1261" s="2">
        <v>1089.0</v>
      </c>
      <c r="H1261" s="2" t="s">
        <v>5906</v>
      </c>
      <c r="I1261" s="2" t="s">
        <v>5906</v>
      </c>
      <c r="J1261" s="2" t="s">
        <v>6559</v>
      </c>
      <c r="K1261" s="2" t="s">
        <v>10597</v>
      </c>
      <c r="L1261" s="10" t="s">
        <v>10598</v>
      </c>
    </row>
    <row r="1262">
      <c r="A1262" s="2" t="s">
        <v>5313</v>
      </c>
      <c r="B1262" s="2" t="s">
        <v>10599</v>
      </c>
      <c r="C1262" s="2">
        <v>2.7867554142E10</v>
      </c>
      <c r="D1262" s="2" t="s">
        <v>10600</v>
      </c>
      <c r="E1262" s="2">
        <v>46999.0</v>
      </c>
      <c r="F1262" s="2">
        <v>405.0</v>
      </c>
      <c r="G1262" s="2">
        <v>858.0</v>
      </c>
      <c r="H1262" s="2" t="s">
        <v>5905</v>
      </c>
      <c r="I1262" s="2" t="s">
        <v>5905</v>
      </c>
      <c r="J1262" s="2" t="s">
        <v>10601</v>
      </c>
      <c r="K1262" s="2" t="s">
        <v>10602</v>
      </c>
      <c r="L1262" s="10" t="s">
        <v>10603</v>
      </c>
    </row>
    <row r="1263">
      <c r="A1263" s="2" t="s">
        <v>5313</v>
      </c>
      <c r="B1263" s="2" t="s">
        <v>10604</v>
      </c>
      <c r="C1263" s="2">
        <v>4.4350522194E10</v>
      </c>
      <c r="D1263" s="2" t="s">
        <v>10605</v>
      </c>
      <c r="E1263" s="2">
        <v>27645.0</v>
      </c>
      <c r="F1263" s="2">
        <v>350.0</v>
      </c>
      <c r="G1263" s="2">
        <v>1398.0</v>
      </c>
      <c r="H1263" s="2" t="s">
        <v>5905</v>
      </c>
      <c r="I1263" s="2" t="s">
        <v>5905</v>
      </c>
      <c r="J1263" s="2" t="s">
        <v>5561</v>
      </c>
      <c r="K1263" s="2" t="s">
        <v>10606</v>
      </c>
      <c r="L1263" s="10" t="s">
        <v>10607</v>
      </c>
    </row>
    <row r="1264">
      <c r="A1264" s="2" t="s">
        <v>5554</v>
      </c>
      <c r="B1264" s="2" t="s">
        <v>10608</v>
      </c>
      <c r="C1264" s="2">
        <v>1.7083971474E10</v>
      </c>
      <c r="D1264" s="2" t="s">
        <v>10609</v>
      </c>
      <c r="E1264" s="2">
        <v>556920.0</v>
      </c>
      <c r="F1264" s="2">
        <v>178.0</v>
      </c>
      <c r="G1264" s="2">
        <v>1476.0</v>
      </c>
      <c r="H1264" s="2" t="s">
        <v>5905</v>
      </c>
      <c r="I1264" s="2" t="s">
        <v>5906</v>
      </c>
      <c r="J1264" s="2" t="s">
        <v>8843</v>
      </c>
      <c r="K1264" s="2" t="s">
        <v>10610</v>
      </c>
      <c r="L1264" s="10" t="s">
        <v>10611</v>
      </c>
    </row>
    <row r="1265">
      <c r="A1265" s="2" t="s">
        <v>5554</v>
      </c>
      <c r="B1265" s="2" t="s">
        <v>10612</v>
      </c>
      <c r="C1265" s="2">
        <v>3.2183070513E10</v>
      </c>
      <c r="D1265" s="2" t="s">
        <v>10613</v>
      </c>
      <c r="E1265" s="2">
        <v>24942.0</v>
      </c>
      <c r="F1265" s="2">
        <v>2.0</v>
      </c>
      <c r="G1265" s="2">
        <v>219.0</v>
      </c>
      <c r="H1265" s="2" t="s">
        <v>5905</v>
      </c>
      <c r="I1265" s="2" t="s">
        <v>5906</v>
      </c>
      <c r="J1265" s="2" t="s">
        <v>5968</v>
      </c>
      <c r="K1265" s="2" t="s">
        <v>10614</v>
      </c>
      <c r="L1265" s="10" t="s">
        <v>10615</v>
      </c>
    </row>
    <row r="1266">
      <c r="A1266" s="2" t="s">
        <v>5554</v>
      </c>
      <c r="B1266" s="2" t="s">
        <v>10616</v>
      </c>
      <c r="C1266" s="2">
        <v>6.203037956E9</v>
      </c>
      <c r="D1266" s="2" t="s">
        <v>10617</v>
      </c>
      <c r="E1266" s="2">
        <v>1122594.0</v>
      </c>
      <c r="F1266" s="2">
        <v>261.0</v>
      </c>
      <c r="G1266" s="2">
        <v>2264.0</v>
      </c>
      <c r="H1266" s="2" t="s">
        <v>5906</v>
      </c>
      <c r="I1266" s="2" t="s">
        <v>5905</v>
      </c>
      <c r="K1266" s="2" t="s">
        <v>10618</v>
      </c>
      <c r="L1266" s="10" t="s">
        <v>10619</v>
      </c>
    </row>
    <row r="1267">
      <c r="A1267" s="2" t="s">
        <v>5554</v>
      </c>
      <c r="B1267" s="2" t="s">
        <v>10620</v>
      </c>
      <c r="C1267" s="2">
        <v>5.2047158529E10</v>
      </c>
      <c r="D1267" s="2" t="s">
        <v>10621</v>
      </c>
      <c r="E1267" s="2">
        <v>22586.0</v>
      </c>
      <c r="F1267" s="2">
        <v>16.0</v>
      </c>
      <c r="G1267" s="2">
        <v>23.0</v>
      </c>
      <c r="H1267" s="2" t="s">
        <v>5906</v>
      </c>
      <c r="I1267" s="2" t="s">
        <v>5906</v>
      </c>
      <c r="J1267" s="2" t="s">
        <v>8843</v>
      </c>
      <c r="K1267" s="2" t="s">
        <v>10622</v>
      </c>
      <c r="L1267" s="10" t="s">
        <v>10623</v>
      </c>
    </row>
    <row r="1268">
      <c r="A1268" s="2" t="s">
        <v>5554</v>
      </c>
      <c r="B1268" s="2" t="s">
        <v>10624</v>
      </c>
      <c r="C1268" s="2">
        <v>6.1380292106E10</v>
      </c>
      <c r="D1268" s="2" t="s">
        <v>10625</v>
      </c>
      <c r="E1268" s="2">
        <v>56250.0</v>
      </c>
      <c r="F1268" s="2">
        <v>340.0</v>
      </c>
      <c r="G1268" s="2">
        <v>232.0</v>
      </c>
      <c r="H1268" s="2" t="s">
        <v>5905</v>
      </c>
      <c r="I1268" s="2" t="s">
        <v>5906</v>
      </c>
      <c r="J1268" s="2" t="s">
        <v>5928</v>
      </c>
      <c r="K1268" s="2" t="s">
        <v>10626</v>
      </c>
      <c r="L1268" s="10" t="s">
        <v>10627</v>
      </c>
    </row>
    <row r="1269">
      <c r="A1269" s="2" t="s">
        <v>5554</v>
      </c>
      <c r="B1269" s="2" t="s">
        <v>10628</v>
      </c>
      <c r="C1269" s="2">
        <v>4.0492508825E10</v>
      </c>
      <c r="D1269" s="2" t="s">
        <v>10629</v>
      </c>
      <c r="E1269" s="2">
        <v>61178.0</v>
      </c>
      <c r="F1269" s="2">
        <v>1506.0</v>
      </c>
      <c r="G1269" s="2">
        <v>1211.0</v>
      </c>
      <c r="H1269" s="2" t="s">
        <v>5905</v>
      </c>
      <c r="I1269" s="2" t="s">
        <v>5905</v>
      </c>
      <c r="J1269" s="2" t="s">
        <v>10630</v>
      </c>
      <c r="K1269" s="2" t="s">
        <v>10631</v>
      </c>
      <c r="L1269" s="10" t="s">
        <v>10632</v>
      </c>
    </row>
    <row r="1270">
      <c r="A1270" s="2" t="s">
        <v>5554</v>
      </c>
      <c r="B1270" s="2" t="s">
        <v>10633</v>
      </c>
      <c r="C1270" s="2">
        <v>1.290336548E9</v>
      </c>
      <c r="D1270" s="2" t="s">
        <v>10634</v>
      </c>
      <c r="E1270" s="2">
        <v>50334.0</v>
      </c>
      <c r="F1270" s="2">
        <v>1502.0</v>
      </c>
      <c r="G1270" s="2">
        <v>3786.0</v>
      </c>
      <c r="H1270" s="2" t="s">
        <v>5906</v>
      </c>
      <c r="I1270" s="2" t="s">
        <v>5906</v>
      </c>
      <c r="J1270" s="2" t="s">
        <v>10635</v>
      </c>
      <c r="K1270" s="2" t="s">
        <v>10636</v>
      </c>
      <c r="L1270" s="10" t="s">
        <v>10637</v>
      </c>
    </row>
    <row r="1271">
      <c r="A1271" s="2" t="s">
        <v>5554</v>
      </c>
      <c r="B1271" s="2" t="s">
        <v>10638</v>
      </c>
      <c r="C1271" s="2">
        <v>8.470042954E9</v>
      </c>
      <c r="D1271" s="2" t="s">
        <v>5554</v>
      </c>
      <c r="E1271" s="2">
        <v>49437.0</v>
      </c>
      <c r="F1271" s="2">
        <v>354.0</v>
      </c>
      <c r="G1271" s="2">
        <v>1369.0</v>
      </c>
      <c r="H1271" s="2" t="s">
        <v>5906</v>
      </c>
      <c r="I1271" s="2" t="s">
        <v>5906</v>
      </c>
      <c r="J1271" s="2" t="s">
        <v>5963</v>
      </c>
      <c r="K1271" s="2" t="s">
        <v>10639</v>
      </c>
      <c r="L1271" s="10" t="s">
        <v>10640</v>
      </c>
    </row>
    <row r="1272">
      <c r="A1272" s="2" t="s">
        <v>5554</v>
      </c>
      <c r="B1272" s="2" t="s">
        <v>10641</v>
      </c>
      <c r="C1272" s="2">
        <v>1.701543889E9</v>
      </c>
      <c r="D1272" s="2" t="s">
        <v>10642</v>
      </c>
      <c r="E1272" s="2">
        <v>22897.0</v>
      </c>
      <c r="F1272" s="2">
        <v>1297.0</v>
      </c>
      <c r="G1272" s="2">
        <v>2132.0</v>
      </c>
      <c r="H1272" s="2" t="s">
        <v>5905</v>
      </c>
      <c r="I1272" s="2" t="s">
        <v>5906</v>
      </c>
      <c r="K1272" s="2" t="s">
        <v>10643</v>
      </c>
      <c r="L1272" s="10" t="s">
        <v>10644</v>
      </c>
    </row>
    <row r="1273">
      <c r="A1273" s="2" t="s">
        <v>5554</v>
      </c>
      <c r="B1273" s="2" t="s">
        <v>10645</v>
      </c>
      <c r="C1273" s="2">
        <v>2.994004444E9</v>
      </c>
      <c r="D1273" s="2" t="s">
        <v>10617</v>
      </c>
      <c r="E1273" s="2">
        <v>1024740.0</v>
      </c>
      <c r="F1273" s="2">
        <v>220.0</v>
      </c>
      <c r="G1273" s="2">
        <v>1712.0</v>
      </c>
      <c r="H1273" s="2" t="s">
        <v>5906</v>
      </c>
      <c r="I1273" s="2" t="s">
        <v>5906</v>
      </c>
      <c r="J1273" s="2" t="s">
        <v>10646</v>
      </c>
      <c r="K1273" s="2" t="s">
        <v>10647</v>
      </c>
    </row>
    <row r="1274">
      <c r="A1274" s="2" t="s">
        <v>5554</v>
      </c>
      <c r="B1274" s="2" t="s">
        <v>10648</v>
      </c>
      <c r="C1274" s="2">
        <v>4.782423045E9</v>
      </c>
      <c r="D1274" s="2" t="s">
        <v>10649</v>
      </c>
      <c r="E1274" s="2">
        <v>40177.0</v>
      </c>
      <c r="F1274" s="2">
        <v>123.0</v>
      </c>
      <c r="G1274" s="2">
        <v>332.0</v>
      </c>
      <c r="H1274" s="2" t="s">
        <v>5905</v>
      </c>
      <c r="I1274" s="2" t="s">
        <v>5906</v>
      </c>
      <c r="J1274" s="2" t="s">
        <v>5391</v>
      </c>
      <c r="K1274" s="2" t="s">
        <v>10650</v>
      </c>
      <c r="L1274" s="10" t="s">
        <v>10651</v>
      </c>
    </row>
    <row r="1275">
      <c r="A1275" s="2" t="s">
        <v>5551</v>
      </c>
      <c r="B1275" s="2" t="s">
        <v>10652</v>
      </c>
      <c r="C1275" s="2">
        <v>3.9902481222E10</v>
      </c>
      <c r="D1275" s="2" t="s">
        <v>10653</v>
      </c>
      <c r="E1275" s="2">
        <v>47989.0</v>
      </c>
      <c r="F1275" s="2">
        <v>217.0</v>
      </c>
      <c r="G1275" s="2">
        <v>435.0</v>
      </c>
      <c r="H1275" s="2" t="s">
        <v>5905</v>
      </c>
      <c r="I1275" s="2" t="s">
        <v>5906</v>
      </c>
      <c r="J1275" s="2" t="s">
        <v>5551</v>
      </c>
      <c r="K1275" s="2" t="s">
        <v>10654</v>
      </c>
      <c r="L1275" s="10" t="s">
        <v>10655</v>
      </c>
    </row>
    <row r="1276">
      <c r="A1276" s="2" t="s">
        <v>5551</v>
      </c>
      <c r="B1276" s="2" t="s">
        <v>10656</v>
      </c>
      <c r="C1276" s="2">
        <v>1.7168599E7</v>
      </c>
      <c r="D1276" s="2" t="s">
        <v>10657</v>
      </c>
      <c r="E1276" s="2">
        <v>333139.0</v>
      </c>
      <c r="F1276" s="2">
        <v>6055.0</v>
      </c>
      <c r="G1276" s="2">
        <v>7961.0</v>
      </c>
      <c r="H1276" s="2" t="s">
        <v>5906</v>
      </c>
      <c r="I1276" s="2" t="s">
        <v>5905</v>
      </c>
      <c r="J1276" s="2" t="s">
        <v>5959</v>
      </c>
      <c r="K1276" s="2" t="s">
        <v>10658</v>
      </c>
      <c r="L1276" s="10" t="s">
        <v>10659</v>
      </c>
    </row>
    <row r="1277">
      <c r="A1277" s="2" t="s">
        <v>5551</v>
      </c>
      <c r="B1277" s="2" t="s">
        <v>10660</v>
      </c>
      <c r="C1277" s="2">
        <v>4.57247479E9</v>
      </c>
      <c r="D1277" s="2" t="s">
        <v>10661</v>
      </c>
      <c r="E1277" s="2">
        <v>20340.0</v>
      </c>
      <c r="F1277" s="2">
        <v>599.0</v>
      </c>
      <c r="G1277" s="2">
        <v>892.0</v>
      </c>
      <c r="H1277" s="2" t="s">
        <v>5905</v>
      </c>
      <c r="I1277" s="2" t="s">
        <v>5905</v>
      </c>
      <c r="J1277" s="2" t="s">
        <v>7140</v>
      </c>
      <c r="K1277" s="2" t="s">
        <v>10662</v>
      </c>
      <c r="L1277" s="10" t="s">
        <v>10663</v>
      </c>
    </row>
    <row r="1278">
      <c r="A1278" s="2" t="s">
        <v>5551</v>
      </c>
      <c r="B1278" s="2" t="s">
        <v>10664</v>
      </c>
      <c r="C1278" s="2">
        <v>6.6642073557E10</v>
      </c>
      <c r="D1278" s="2" t="s">
        <v>10665</v>
      </c>
      <c r="E1278" s="2">
        <v>1463180.0</v>
      </c>
      <c r="F1278" s="2">
        <v>4.0</v>
      </c>
      <c r="G1278" s="2">
        <v>167.0</v>
      </c>
      <c r="H1278" s="2" t="s">
        <v>5905</v>
      </c>
      <c r="I1278" s="2" t="s">
        <v>5905</v>
      </c>
      <c r="J1278" s="2" t="s">
        <v>5551</v>
      </c>
      <c r="K1278" s="2" t="s">
        <v>10666</v>
      </c>
      <c r="L1278" s="10" t="s">
        <v>10667</v>
      </c>
    </row>
    <row r="1279">
      <c r="A1279" s="2" t="s">
        <v>5551</v>
      </c>
      <c r="B1279" s="2" t="s">
        <v>10668</v>
      </c>
      <c r="C1279" s="2">
        <v>6.0526129288E10</v>
      </c>
      <c r="D1279" s="2" t="s">
        <v>10669</v>
      </c>
      <c r="E1279" s="2">
        <v>841089.0</v>
      </c>
      <c r="F1279" s="2">
        <v>18.0</v>
      </c>
      <c r="G1279" s="2">
        <v>174.0</v>
      </c>
      <c r="H1279" s="2" t="s">
        <v>5905</v>
      </c>
      <c r="I1279" s="2" t="s">
        <v>5905</v>
      </c>
      <c r="J1279" s="2" t="s">
        <v>5911</v>
      </c>
    </row>
    <row r="1280">
      <c r="A1280" s="2" t="s">
        <v>5551</v>
      </c>
      <c r="B1280" s="2" t="s">
        <v>10670</v>
      </c>
      <c r="C1280" s="2">
        <v>5.729413709E9</v>
      </c>
      <c r="D1280" s="2" t="s">
        <v>5551</v>
      </c>
      <c r="E1280" s="2">
        <v>21842.0</v>
      </c>
      <c r="F1280" s="2">
        <v>5.0</v>
      </c>
      <c r="G1280" s="2">
        <v>53.0</v>
      </c>
      <c r="H1280" s="2" t="s">
        <v>5905</v>
      </c>
      <c r="I1280" s="2" t="s">
        <v>5905</v>
      </c>
      <c r="J1280" s="2" t="s">
        <v>5561</v>
      </c>
      <c r="K1280" s="2" t="s">
        <v>10671</v>
      </c>
    </row>
    <row r="1281">
      <c r="A1281" s="2" t="s">
        <v>5551</v>
      </c>
      <c r="B1281" s="2" t="s">
        <v>10672</v>
      </c>
      <c r="C1281" s="2">
        <v>1.1561557403E10</v>
      </c>
      <c r="D1281" s="2" t="s">
        <v>10673</v>
      </c>
      <c r="E1281" s="2">
        <v>346174.0</v>
      </c>
      <c r="F1281" s="2">
        <v>636.0</v>
      </c>
      <c r="G1281" s="2">
        <v>2063.0</v>
      </c>
      <c r="H1281" s="2" t="s">
        <v>5906</v>
      </c>
      <c r="I1281" s="2" t="s">
        <v>5905</v>
      </c>
      <c r="J1281" s="2" t="s">
        <v>5928</v>
      </c>
      <c r="K1281" s="2" t="s">
        <v>10674</v>
      </c>
      <c r="L1281" s="10" t="s">
        <v>10675</v>
      </c>
    </row>
    <row r="1282">
      <c r="A1282" s="2" t="s">
        <v>5551</v>
      </c>
      <c r="B1282" s="2" t="s">
        <v>10676</v>
      </c>
      <c r="C1282" s="2">
        <v>5.7757367776E10</v>
      </c>
      <c r="D1282" s="2" t="s">
        <v>10677</v>
      </c>
      <c r="E1282" s="2">
        <v>189486.0</v>
      </c>
      <c r="F1282" s="2">
        <v>101.0</v>
      </c>
      <c r="G1282" s="2">
        <v>532.0</v>
      </c>
      <c r="H1282" s="2" t="s">
        <v>5905</v>
      </c>
      <c r="I1282" s="2" t="s">
        <v>5905</v>
      </c>
      <c r="J1282" s="2" t="s">
        <v>5911</v>
      </c>
      <c r="K1282" s="2" t="s">
        <v>10678</v>
      </c>
    </row>
    <row r="1283">
      <c r="A1283" s="2" t="s">
        <v>5551</v>
      </c>
      <c r="B1283" s="2" t="s">
        <v>10679</v>
      </c>
      <c r="C1283" s="2">
        <v>4.6042160225E10</v>
      </c>
      <c r="D1283" s="2" t="s">
        <v>10680</v>
      </c>
      <c r="E1283" s="2">
        <v>3325993.0</v>
      </c>
      <c r="F1283" s="2">
        <v>11.0</v>
      </c>
      <c r="G1283" s="2">
        <v>3833.0</v>
      </c>
      <c r="H1283" s="2" t="s">
        <v>5906</v>
      </c>
      <c r="I1283" s="2" t="s">
        <v>5905</v>
      </c>
      <c r="J1283" s="2" t="s">
        <v>5959</v>
      </c>
      <c r="K1283" s="2" t="s">
        <v>10681</v>
      </c>
      <c r="L1283" s="10" t="s">
        <v>10682</v>
      </c>
    </row>
    <row r="1284">
      <c r="A1284" s="2" t="s">
        <v>5551</v>
      </c>
      <c r="B1284" s="2" t="s">
        <v>10683</v>
      </c>
      <c r="C1284" s="2">
        <v>7.033673831E9</v>
      </c>
      <c r="D1284" s="2" t="s">
        <v>10684</v>
      </c>
      <c r="E1284" s="2">
        <v>1765949.0</v>
      </c>
      <c r="F1284" s="2">
        <v>5.0</v>
      </c>
      <c r="G1284" s="2">
        <v>3831.0</v>
      </c>
      <c r="H1284" s="2" t="s">
        <v>5906</v>
      </c>
      <c r="I1284" s="2" t="s">
        <v>5905</v>
      </c>
      <c r="J1284" s="2" t="s">
        <v>5959</v>
      </c>
      <c r="K1284" s="2" t="s">
        <v>10685</v>
      </c>
      <c r="L1284" s="10" t="s">
        <v>10686</v>
      </c>
    </row>
    <row r="1285">
      <c r="A1285" s="2" t="s">
        <v>5551</v>
      </c>
      <c r="B1285" s="2" t="s">
        <v>10687</v>
      </c>
      <c r="C1285" s="2">
        <v>2.1430181415E10</v>
      </c>
      <c r="D1285" s="2" t="s">
        <v>10688</v>
      </c>
      <c r="E1285" s="2">
        <v>2854248.0</v>
      </c>
      <c r="F1285" s="2">
        <v>80.0</v>
      </c>
      <c r="G1285" s="2">
        <v>1298.0</v>
      </c>
      <c r="H1285" s="2" t="s">
        <v>5906</v>
      </c>
      <c r="I1285" s="2" t="s">
        <v>5906</v>
      </c>
      <c r="J1285" s="2" t="s">
        <v>5551</v>
      </c>
      <c r="K1285" s="2" t="s">
        <v>10689</v>
      </c>
      <c r="L1285" s="10" t="s">
        <v>10690</v>
      </c>
    </row>
    <row r="1286">
      <c r="A1286" s="2" t="s">
        <v>5551</v>
      </c>
      <c r="B1286" s="2" t="s">
        <v>10691</v>
      </c>
      <c r="C1286" s="2">
        <v>5.2107516486E10</v>
      </c>
      <c r="D1286" s="2" t="s">
        <v>10692</v>
      </c>
      <c r="E1286" s="2">
        <v>113052.0</v>
      </c>
      <c r="F1286" s="2">
        <v>53.0</v>
      </c>
      <c r="G1286" s="2">
        <v>559.0</v>
      </c>
      <c r="H1286" s="2" t="s">
        <v>5905</v>
      </c>
      <c r="I1286" s="2" t="s">
        <v>5906</v>
      </c>
      <c r="J1286" s="2" t="s">
        <v>5551</v>
      </c>
      <c r="K1286" s="2" t="s">
        <v>10693</v>
      </c>
      <c r="L1286" s="10" t="s">
        <v>10694</v>
      </c>
    </row>
    <row r="1287">
      <c r="A1287" s="2" t="s">
        <v>5551</v>
      </c>
      <c r="B1287" s="2" t="s">
        <v>10695</v>
      </c>
      <c r="C1287" s="2">
        <v>5.4256902595E10</v>
      </c>
      <c r="D1287" s="2" t="s">
        <v>10696</v>
      </c>
      <c r="E1287" s="2">
        <v>1947416.0</v>
      </c>
      <c r="F1287" s="2">
        <v>126.0</v>
      </c>
      <c r="G1287" s="2">
        <v>1098.0</v>
      </c>
      <c r="H1287" s="2" t="s">
        <v>5906</v>
      </c>
      <c r="I1287" s="2" t="s">
        <v>5906</v>
      </c>
      <c r="J1287" s="2" t="s">
        <v>5551</v>
      </c>
      <c r="K1287" s="2" t="s">
        <v>10697</v>
      </c>
      <c r="L1287" s="10" t="s">
        <v>10698</v>
      </c>
    </row>
    <row r="1288">
      <c r="A1288" s="2" t="s">
        <v>5551</v>
      </c>
      <c r="B1288" s="2" t="s">
        <v>10699</v>
      </c>
      <c r="C1288" s="2">
        <v>5.0579710828E10</v>
      </c>
      <c r="D1288" s="2" t="s">
        <v>10700</v>
      </c>
      <c r="E1288" s="2">
        <v>560431.0</v>
      </c>
      <c r="F1288" s="2">
        <v>462.0</v>
      </c>
      <c r="G1288" s="2">
        <v>1696.0</v>
      </c>
      <c r="H1288" s="2" t="s">
        <v>5906</v>
      </c>
      <c r="I1288" s="2" t="s">
        <v>5906</v>
      </c>
      <c r="J1288" s="2" t="s">
        <v>5551</v>
      </c>
      <c r="K1288" s="2" t="s">
        <v>10701</v>
      </c>
      <c r="L1288" s="10" t="s">
        <v>10702</v>
      </c>
    </row>
    <row r="1289">
      <c r="A1289" s="2" t="s">
        <v>5494</v>
      </c>
      <c r="B1289" s="2" t="s">
        <v>10703</v>
      </c>
      <c r="C1289" s="2">
        <v>4.460005102E9</v>
      </c>
      <c r="D1289" s="2" t="s">
        <v>10704</v>
      </c>
      <c r="E1289" s="2">
        <v>127407.0</v>
      </c>
      <c r="F1289" s="2">
        <v>2630.0</v>
      </c>
      <c r="G1289" s="2">
        <v>3586.0</v>
      </c>
      <c r="H1289" s="2" t="s">
        <v>5906</v>
      </c>
      <c r="I1289" s="2" t="s">
        <v>5905</v>
      </c>
      <c r="J1289" s="2" t="s">
        <v>6414</v>
      </c>
      <c r="K1289" s="2" t="s">
        <v>10705</v>
      </c>
      <c r="L1289" s="10" t="s">
        <v>10706</v>
      </c>
    </row>
    <row r="1290">
      <c r="A1290" s="2" t="s">
        <v>5494</v>
      </c>
      <c r="B1290" s="2" t="s">
        <v>10707</v>
      </c>
      <c r="C1290" s="2">
        <v>5827114.0</v>
      </c>
      <c r="D1290" s="2" t="s">
        <v>10708</v>
      </c>
      <c r="E1290" s="2">
        <v>239773.0</v>
      </c>
      <c r="F1290" s="2">
        <v>895.0</v>
      </c>
      <c r="G1290" s="2">
        <v>4053.0</v>
      </c>
      <c r="H1290" s="2" t="s">
        <v>5905</v>
      </c>
      <c r="I1290" s="2" t="s">
        <v>5906</v>
      </c>
      <c r="J1290" s="2" t="s">
        <v>5391</v>
      </c>
      <c r="K1290" s="2" t="s">
        <v>10709</v>
      </c>
      <c r="L1290" s="10" t="s">
        <v>10710</v>
      </c>
    </row>
    <row r="1291">
      <c r="A1291" s="2" t="s">
        <v>5494</v>
      </c>
      <c r="B1291" s="2" t="s">
        <v>10711</v>
      </c>
      <c r="C1291" s="2">
        <v>5.7786503351E10</v>
      </c>
      <c r="D1291" s="2" t="s">
        <v>10712</v>
      </c>
      <c r="E1291" s="2">
        <v>92760.0</v>
      </c>
      <c r="F1291" s="2">
        <v>639.0</v>
      </c>
      <c r="G1291" s="2">
        <v>599.0</v>
      </c>
      <c r="H1291" s="2" t="s">
        <v>5905</v>
      </c>
      <c r="I1291" s="2" t="s">
        <v>5905</v>
      </c>
      <c r="J1291" s="2" t="s">
        <v>5959</v>
      </c>
      <c r="K1291" s="2" t="s">
        <v>10713</v>
      </c>
      <c r="L1291" s="10" t="s">
        <v>10714</v>
      </c>
    </row>
    <row r="1292">
      <c r="A1292" s="2" t="s">
        <v>5494</v>
      </c>
      <c r="B1292" s="2" t="s">
        <v>10715</v>
      </c>
      <c r="C1292" s="2">
        <v>4.4603655915E10</v>
      </c>
      <c r="D1292" s="2" t="s">
        <v>10716</v>
      </c>
      <c r="E1292" s="2">
        <v>30633.0</v>
      </c>
      <c r="F1292" s="2">
        <v>755.0</v>
      </c>
      <c r="G1292" s="2">
        <v>379.0</v>
      </c>
      <c r="H1292" s="2" t="s">
        <v>5905</v>
      </c>
      <c r="I1292" s="2" t="s">
        <v>5905</v>
      </c>
      <c r="J1292" s="2" t="s">
        <v>5551</v>
      </c>
      <c r="K1292" s="2" t="s">
        <v>10717</v>
      </c>
    </row>
    <row r="1293">
      <c r="A1293" s="2" t="s">
        <v>5494</v>
      </c>
      <c r="B1293" s="2" t="s">
        <v>10718</v>
      </c>
      <c r="C1293" s="2">
        <v>1.668056617E9</v>
      </c>
      <c r="D1293" s="2" t="s">
        <v>10719</v>
      </c>
      <c r="E1293" s="2">
        <v>50299.0</v>
      </c>
      <c r="F1293" s="2">
        <v>5006.0</v>
      </c>
      <c r="G1293" s="2">
        <v>781.0</v>
      </c>
      <c r="H1293" s="2" t="s">
        <v>5905</v>
      </c>
      <c r="I1293" s="2" t="s">
        <v>5905</v>
      </c>
      <c r="J1293" s="2" t="s">
        <v>5391</v>
      </c>
      <c r="K1293" s="2" t="s">
        <v>10720</v>
      </c>
      <c r="L1293" s="10" t="s">
        <v>10721</v>
      </c>
    </row>
    <row r="1294">
      <c r="A1294" s="2" t="s">
        <v>5494</v>
      </c>
      <c r="B1294" s="2" t="s">
        <v>10722</v>
      </c>
      <c r="C1294" s="2">
        <v>6.3856548963E10</v>
      </c>
      <c r="D1294" s="2" t="s">
        <v>10722</v>
      </c>
      <c r="E1294" s="2">
        <v>28859.0</v>
      </c>
      <c r="F1294" s="2">
        <v>27.0</v>
      </c>
      <c r="G1294" s="2">
        <v>292.0</v>
      </c>
      <c r="H1294" s="2" t="s">
        <v>5905</v>
      </c>
      <c r="I1294" s="2" t="s">
        <v>5905</v>
      </c>
      <c r="J1294" s="2" t="s">
        <v>10723</v>
      </c>
      <c r="K1294" s="2" t="s">
        <v>10724</v>
      </c>
      <c r="L1294" s="10" t="s">
        <v>10725</v>
      </c>
    </row>
    <row r="1295">
      <c r="A1295" s="2" t="s">
        <v>5494</v>
      </c>
      <c r="B1295" s="2" t="s">
        <v>10726</v>
      </c>
      <c r="C1295" s="2">
        <v>7.0035876683E10</v>
      </c>
      <c r="D1295" s="2" t="s">
        <v>10727</v>
      </c>
      <c r="E1295" s="2">
        <v>26508.0</v>
      </c>
      <c r="F1295" s="2">
        <v>39.0</v>
      </c>
      <c r="G1295" s="2">
        <v>288.0</v>
      </c>
      <c r="H1295" s="2" t="s">
        <v>5905</v>
      </c>
      <c r="I1295" s="2" t="s">
        <v>5905</v>
      </c>
      <c r="J1295" s="2" t="s">
        <v>5928</v>
      </c>
      <c r="K1295" s="2" t="s">
        <v>10728</v>
      </c>
    </row>
    <row r="1296">
      <c r="A1296" s="2" t="s">
        <v>5494</v>
      </c>
      <c r="B1296" s="2" t="s">
        <v>10729</v>
      </c>
      <c r="C1296" s="2">
        <v>1.8968923E8</v>
      </c>
      <c r="D1296" s="2" t="s">
        <v>10730</v>
      </c>
      <c r="E1296" s="2">
        <v>24419.0</v>
      </c>
      <c r="F1296" s="2">
        <v>572.0</v>
      </c>
      <c r="G1296" s="2">
        <v>240.0</v>
      </c>
      <c r="H1296" s="2" t="s">
        <v>5905</v>
      </c>
      <c r="I1296" s="2" t="s">
        <v>5905</v>
      </c>
      <c r="J1296" s="2" t="s">
        <v>5928</v>
      </c>
      <c r="K1296" s="2" t="s">
        <v>10731</v>
      </c>
      <c r="L1296" s="10" t="s">
        <v>10732</v>
      </c>
    </row>
    <row r="1297">
      <c r="A1297" s="2" t="s">
        <v>5494</v>
      </c>
      <c r="B1297" s="2" t="s">
        <v>10733</v>
      </c>
      <c r="C1297" s="2">
        <v>6.3731608244E10</v>
      </c>
      <c r="D1297" s="2" t="s">
        <v>10734</v>
      </c>
      <c r="E1297" s="2">
        <v>11712.0</v>
      </c>
      <c r="F1297" s="2">
        <v>0.0</v>
      </c>
      <c r="G1297" s="2">
        <v>1663.0</v>
      </c>
      <c r="H1297" s="2" t="s">
        <v>5905</v>
      </c>
      <c r="I1297" s="2" t="s">
        <v>5905</v>
      </c>
      <c r="J1297" s="2" t="s">
        <v>7140</v>
      </c>
      <c r="K1297" s="2" t="s">
        <v>10735</v>
      </c>
    </row>
    <row r="1298">
      <c r="A1298" s="2" t="s">
        <v>5494</v>
      </c>
      <c r="B1298" s="2" t="s">
        <v>10736</v>
      </c>
      <c r="C1298" s="2">
        <v>7.3121897976E10</v>
      </c>
      <c r="D1298" s="2" t="s">
        <v>10737</v>
      </c>
      <c r="E1298" s="2">
        <v>17673.0</v>
      </c>
      <c r="F1298" s="2">
        <v>1.0</v>
      </c>
      <c r="G1298" s="2">
        <v>117.0</v>
      </c>
      <c r="H1298" s="2" t="s">
        <v>5905</v>
      </c>
      <c r="I1298" s="2" t="s">
        <v>5905</v>
      </c>
      <c r="J1298" s="2" t="s">
        <v>5993</v>
      </c>
      <c r="K1298" s="2" t="s">
        <v>10738</v>
      </c>
    </row>
    <row r="1299">
      <c r="A1299" s="2" t="s">
        <v>5494</v>
      </c>
      <c r="B1299" s="2" t="s">
        <v>10739</v>
      </c>
      <c r="C1299" s="2">
        <v>4.8470789E7</v>
      </c>
      <c r="D1299" s="2" t="s">
        <v>10740</v>
      </c>
      <c r="E1299" s="2">
        <v>279380.0</v>
      </c>
      <c r="F1299" s="2">
        <v>977.0</v>
      </c>
      <c r="G1299" s="2">
        <v>2232.0</v>
      </c>
      <c r="H1299" s="2" t="s">
        <v>5906</v>
      </c>
      <c r="I1299" s="2" t="s">
        <v>5905</v>
      </c>
      <c r="J1299" s="2" t="s">
        <v>6393</v>
      </c>
      <c r="K1299" s="2" t="s">
        <v>10741</v>
      </c>
      <c r="L1299" s="10" t="s">
        <v>10742</v>
      </c>
    </row>
    <row r="1300">
      <c r="A1300" s="2" t="s">
        <v>5283</v>
      </c>
      <c r="B1300" s="2" t="s">
        <v>10743</v>
      </c>
      <c r="C1300" s="2">
        <v>2.11388181E8</v>
      </c>
      <c r="D1300" s="2" t="s">
        <v>10744</v>
      </c>
      <c r="E1300" s="2">
        <v>2091359.0</v>
      </c>
      <c r="F1300" s="2">
        <v>728.0</v>
      </c>
      <c r="G1300" s="2">
        <v>13325.0</v>
      </c>
      <c r="H1300" s="2" t="s">
        <v>5906</v>
      </c>
      <c r="I1300" s="2" t="s">
        <v>5906</v>
      </c>
      <c r="J1300" s="2" t="s">
        <v>5907</v>
      </c>
      <c r="K1300" s="2" t="s">
        <v>10745</v>
      </c>
      <c r="L1300" s="10" t="s">
        <v>10746</v>
      </c>
    </row>
    <row r="1301">
      <c r="A1301" s="2" t="s">
        <v>5283</v>
      </c>
      <c r="B1301" s="2" t="s">
        <v>10747</v>
      </c>
      <c r="C1301" s="2">
        <v>1.491998349E9</v>
      </c>
      <c r="D1301" s="2" t="s">
        <v>10748</v>
      </c>
      <c r="E1301" s="2">
        <v>145453.0</v>
      </c>
      <c r="F1301" s="2">
        <v>91.0</v>
      </c>
      <c r="G1301" s="2">
        <v>2760.0</v>
      </c>
      <c r="H1301" s="2" t="s">
        <v>5906</v>
      </c>
      <c r="I1301" s="2" t="s">
        <v>5906</v>
      </c>
      <c r="J1301" s="2" t="s">
        <v>5911</v>
      </c>
      <c r="K1301" s="2" t="s">
        <v>10749</v>
      </c>
      <c r="L1301" s="10" t="s">
        <v>10750</v>
      </c>
    </row>
    <row r="1302">
      <c r="A1302" s="2" t="s">
        <v>5283</v>
      </c>
      <c r="B1302" s="2" t="s">
        <v>10751</v>
      </c>
      <c r="C1302" s="2">
        <v>6.9436059966E10</v>
      </c>
      <c r="D1302" s="2" t="s">
        <v>10752</v>
      </c>
      <c r="E1302" s="2">
        <v>67158.0</v>
      </c>
      <c r="F1302" s="2">
        <v>235.0</v>
      </c>
      <c r="G1302" s="2">
        <v>356.0</v>
      </c>
      <c r="H1302" s="2" t="s">
        <v>5906</v>
      </c>
      <c r="I1302" s="2" t="s">
        <v>5905</v>
      </c>
      <c r="J1302" s="2" t="s">
        <v>5968</v>
      </c>
      <c r="K1302" s="2" t="s">
        <v>10753</v>
      </c>
      <c r="L1302" s="10" t="s">
        <v>10754</v>
      </c>
    </row>
    <row r="1303">
      <c r="A1303" s="2" t="s">
        <v>5283</v>
      </c>
      <c r="B1303" s="2" t="s">
        <v>10755</v>
      </c>
      <c r="C1303" s="2">
        <v>6.53802096E8</v>
      </c>
      <c r="D1303" s="2" t="s">
        <v>10756</v>
      </c>
      <c r="E1303" s="2">
        <v>49402.0</v>
      </c>
      <c r="F1303" s="2">
        <v>159.0</v>
      </c>
      <c r="G1303" s="2">
        <v>890.0</v>
      </c>
      <c r="H1303" s="2" t="s">
        <v>5906</v>
      </c>
      <c r="I1303" s="2" t="s">
        <v>5906</v>
      </c>
      <c r="K1303" s="2" t="s">
        <v>10757</v>
      </c>
      <c r="L1303" s="10" t="s">
        <v>10758</v>
      </c>
    </row>
    <row r="1304">
      <c r="A1304" s="2" t="s">
        <v>5283</v>
      </c>
      <c r="B1304" s="2" t="s">
        <v>10759</v>
      </c>
      <c r="C1304" s="2">
        <v>2.13465981E9</v>
      </c>
      <c r="D1304" s="2" t="s">
        <v>10760</v>
      </c>
      <c r="E1304" s="2">
        <v>435314.0</v>
      </c>
      <c r="F1304" s="2">
        <v>49.0</v>
      </c>
      <c r="G1304" s="2">
        <v>53352.0</v>
      </c>
      <c r="H1304" s="2" t="s">
        <v>5905</v>
      </c>
      <c r="I1304" s="2" t="s">
        <v>5905</v>
      </c>
      <c r="J1304" s="2" t="s">
        <v>5959</v>
      </c>
      <c r="K1304" s="2" t="s">
        <v>10761</v>
      </c>
      <c r="L1304" s="10" t="s">
        <v>10762</v>
      </c>
    </row>
    <row r="1305">
      <c r="A1305" s="2" t="s">
        <v>5283</v>
      </c>
      <c r="B1305" s="2" t="s">
        <v>10763</v>
      </c>
      <c r="C1305" s="2">
        <v>1.529412904E9</v>
      </c>
      <c r="D1305" s="2" t="s">
        <v>10764</v>
      </c>
      <c r="E1305" s="2">
        <v>26265.0</v>
      </c>
      <c r="F1305" s="2">
        <v>1143.0</v>
      </c>
      <c r="G1305" s="2">
        <v>2110.0</v>
      </c>
      <c r="H1305" s="2" t="s">
        <v>5906</v>
      </c>
      <c r="I1305" s="2" t="s">
        <v>5905</v>
      </c>
      <c r="J1305" s="2" t="s">
        <v>5551</v>
      </c>
      <c r="K1305" s="2" t="s">
        <v>10765</v>
      </c>
      <c r="L1305" s="10" t="s">
        <v>10766</v>
      </c>
    </row>
    <row r="1306">
      <c r="A1306" s="2" t="s">
        <v>5283</v>
      </c>
      <c r="B1306" s="2" t="s">
        <v>10767</v>
      </c>
      <c r="C1306" s="2">
        <v>5.1316913068E10</v>
      </c>
      <c r="D1306" s="2" t="s">
        <v>10768</v>
      </c>
      <c r="E1306" s="2">
        <v>41212.0</v>
      </c>
      <c r="F1306" s="2">
        <v>43.0</v>
      </c>
      <c r="G1306" s="2">
        <v>435.0</v>
      </c>
      <c r="H1306" s="2" t="s">
        <v>5905</v>
      </c>
      <c r="I1306" s="2" t="s">
        <v>5905</v>
      </c>
      <c r="J1306" s="2" t="s">
        <v>10769</v>
      </c>
      <c r="K1306" s="2" t="s">
        <v>10770</v>
      </c>
    </row>
    <row r="1307">
      <c r="A1307" s="2" t="s">
        <v>5283</v>
      </c>
      <c r="B1307" s="2" t="s">
        <v>10771</v>
      </c>
      <c r="C1307" s="2">
        <v>3.666343579E9</v>
      </c>
      <c r="D1307" s="2" t="s">
        <v>10772</v>
      </c>
      <c r="E1307" s="2">
        <v>771723.0</v>
      </c>
      <c r="F1307" s="2">
        <v>103.0</v>
      </c>
      <c r="G1307" s="2">
        <v>12610.0</v>
      </c>
      <c r="H1307" s="2" t="s">
        <v>5906</v>
      </c>
      <c r="I1307" s="2" t="s">
        <v>5906</v>
      </c>
      <c r="J1307" s="2" t="s">
        <v>10773</v>
      </c>
      <c r="K1307" s="2" t="s">
        <v>10774</v>
      </c>
      <c r="L1307" s="10" t="s">
        <v>10775</v>
      </c>
    </row>
    <row r="1308">
      <c r="A1308" s="2" t="s">
        <v>5409</v>
      </c>
      <c r="B1308" s="2" t="s">
        <v>10776</v>
      </c>
      <c r="C1308" s="2">
        <v>7.6240134483E10</v>
      </c>
      <c r="D1308" s="2" t="s">
        <v>10777</v>
      </c>
      <c r="E1308" s="2">
        <v>15091.0</v>
      </c>
      <c r="F1308" s="2">
        <v>69.0</v>
      </c>
      <c r="G1308" s="2">
        <v>38.0</v>
      </c>
      <c r="H1308" s="2" t="s">
        <v>5905</v>
      </c>
      <c r="I1308" s="2" t="s">
        <v>5905</v>
      </c>
      <c r="J1308" s="2" t="s">
        <v>10778</v>
      </c>
      <c r="K1308" s="2" t="s">
        <v>10779</v>
      </c>
    </row>
    <row r="1309">
      <c r="A1309" s="2" t="s">
        <v>5409</v>
      </c>
      <c r="B1309" s="2" t="s">
        <v>10780</v>
      </c>
      <c r="C1309" s="2">
        <v>4.4753607E8</v>
      </c>
      <c r="D1309" s="2" t="s">
        <v>5409</v>
      </c>
      <c r="E1309" s="2">
        <v>194186.0</v>
      </c>
      <c r="F1309" s="2">
        <v>40.0</v>
      </c>
      <c r="G1309" s="2">
        <v>1230.0</v>
      </c>
      <c r="H1309" s="2" t="s">
        <v>5906</v>
      </c>
      <c r="I1309" s="2" t="s">
        <v>5906</v>
      </c>
      <c r="J1309" s="2" t="s">
        <v>5556</v>
      </c>
      <c r="K1309" s="2" t="s">
        <v>10781</v>
      </c>
      <c r="L1309" s="10" t="s">
        <v>10782</v>
      </c>
    </row>
    <row r="1310">
      <c r="A1310" s="2" t="s">
        <v>5555</v>
      </c>
      <c r="B1310" s="2" t="s">
        <v>10783</v>
      </c>
      <c r="C1310" s="2">
        <v>5.950796275E9</v>
      </c>
      <c r="D1310" s="2" t="s">
        <v>10784</v>
      </c>
      <c r="E1310" s="2">
        <v>13835.0</v>
      </c>
      <c r="F1310" s="2">
        <v>1030.0</v>
      </c>
      <c r="G1310" s="2">
        <v>278.0</v>
      </c>
      <c r="H1310" s="2" t="s">
        <v>5906</v>
      </c>
      <c r="I1310" s="2" t="s">
        <v>5906</v>
      </c>
      <c r="J1310" s="2" t="s">
        <v>8144</v>
      </c>
      <c r="K1310" s="2" t="s">
        <v>10785</v>
      </c>
    </row>
    <row r="1311">
      <c r="A1311" s="2" t="s">
        <v>5555</v>
      </c>
      <c r="B1311" s="2" t="s">
        <v>10786</v>
      </c>
      <c r="C1311" s="2">
        <v>3.90209298E8</v>
      </c>
      <c r="D1311" s="2" t="s">
        <v>10787</v>
      </c>
      <c r="E1311" s="2">
        <v>273880.0</v>
      </c>
      <c r="F1311" s="2">
        <v>26.0</v>
      </c>
      <c r="G1311" s="2">
        <v>5882.0</v>
      </c>
      <c r="H1311" s="2" t="s">
        <v>5906</v>
      </c>
      <c r="I1311" s="2" t="s">
        <v>5905</v>
      </c>
      <c r="J1311" s="2" t="s">
        <v>5907</v>
      </c>
      <c r="K1311" s="2" t="s">
        <v>10788</v>
      </c>
    </row>
    <row r="1312">
      <c r="A1312" s="2" t="s">
        <v>5555</v>
      </c>
      <c r="B1312" s="2" t="s">
        <v>10789</v>
      </c>
      <c r="C1312" s="2">
        <v>1.273696709E10</v>
      </c>
      <c r="D1312" s="2" t="s">
        <v>10790</v>
      </c>
      <c r="E1312" s="2">
        <v>30961.0</v>
      </c>
      <c r="F1312" s="2">
        <v>14.0</v>
      </c>
      <c r="G1312" s="2">
        <v>7055.0</v>
      </c>
      <c r="H1312" s="2" t="s">
        <v>5905</v>
      </c>
      <c r="I1312" s="2" t="s">
        <v>5906</v>
      </c>
      <c r="J1312" s="2" t="s">
        <v>5907</v>
      </c>
      <c r="K1312" s="2" t="s">
        <v>10791</v>
      </c>
      <c r="L1312" s="10" t="s">
        <v>10792</v>
      </c>
    </row>
    <row r="1313">
      <c r="A1313" s="2" t="s">
        <v>5555</v>
      </c>
      <c r="B1313" s="2" t="s">
        <v>10793</v>
      </c>
      <c r="C1313" s="2">
        <v>1.206312758E9</v>
      </c>
      <c r="D1313" s="2" t="s">
        <v>10794</v>
      </c>
      <c r="E1313" s="2">
        <v>2383417.0</v>
      </c>
      <c r="F1313" s="2">
        <v>282.0</v>
      </c>
      <c r="G1313" s="2">
        <v>8537.0</v>
      </c>
      <c r="H1313" s="2" t="s">
        <v>5906</v>
      </c>
      <c r="I1313" s="2" t="s">
        <v>5905</v>
      </c>
      <c r="J1313" s="2" t="s">
        <v>5959</v>
      </c>
      <c r="K1313" s="2" t="s">
        <v>10795</v>
      </c>
    </row>
    <row r="1314">
      <c r="A1314" s="2" t="s">
        <v>5555</v>
      </c>
      <c r="B1314" s="2" t="s">
        <v>10796</v>
      </c>
      <c r="C1314" s="2">
        <v>6.3083988364E10</v>
      </c>
      <c r="D1314" s="2" t="s">
        <v>10797</v>
      </c>
      <c r="E1314" s="2">
        <v>31960.0</v>
      </c>
      <c r="F1314" s="2">
        <v>2.0</v>
      </c>
      <c r="G1314" s="2">
        <v>42.0</v>
      </c>
      <c r="H1314" s="2" t="s">
        <v>5905</v>
      </c>
      <c r="I1314" s="2" t="s">
        <v>5905</v>
      </c>
      <c r="J1314" s="2" t="s">
        <v>5959</v>
      </c>
      <c r="K1314" s="2" t="s">
        <v>10798</v>
      </c>
      <c r="L1314" s="10" t="s">
        <v>10799</v>
      </c>
    </row>
    <row r="1315">
      <c r="A1315" s="2" t="s">
        <v>5555</v>
      </c>
      <c r="B1315" s="2" t="s">
        <v>10800</v>
      </c>
      <c r="C1315" s="2">
        <v>8.754444639E9</v>
      </c>
      <c r="D1315" s="2" t="s">
        <v>10801</v>
      </c>
      <c r="E1315" s="2">
        <v>345986.0</v>
      </c>
      <c r="F1315" s="2">
        <v>3.0</v>
      </c>
      <c r="G1315" s="2">
        <v>15.0</v>
      </c>
      <c r="H1315" s="2" t="s">
        <v>5905</v>
      </c>
      <c r="I1315" s="2" t="s">
        <v>5906</v>
      </c>
      <c r="J1315" s="2" t="s">
        <v>6002</v>
      </c>
      <c r="K1315" s="2" t="s">
        <v>10802</v>
      </c>
      <c r="L1315" s="10" t="s">
        <v>10803</v>
      </c>
    </row>
    <row r="1316">
      <c r="A1316" s="2" t="s">
        <v>5555</v>
      </c>
      <c r="B1316" s="2" t="s">
        <v>10804</v>
      </c>
      <c r="C1316" s="2">
        <v>5.667774846E9</v>
      </c>
      <c r="D1316" s="2" t="s">
        <v>10805</v>
      </c>
      <c r="E1316" s="2">
        <v>142885.0</v>
      </c>
      <c r="F1316" s="2">
        <v>358.0</v>
      </c>
      <c r="G1316" s="2">
        <v>16270.0</v>
      </c>
      <c r="H1316" s="2" t="s">
        <v>5905</v>
      </c>
      <c r="I1316" s="2" t="s">
        <v>5905</v>
      </c>
      <c r="J1316" s="2" t="s">
        <v>5907</v>
      </c>
      <c r="K1316" s="2" t="s">
        <v>10806</v>
      </c>
      <c r="L1316" s="10" t="s">
        <v>10807</v>
      </c>
    </row>
    <row r="1317">
      <c r="A1317" s="2" t="s">
        <v>5555</v>
      </c>
      <c r="B1317" s="2" t="s">
        <v>10808</v>
      </c>
      <c r="C1317" s="2">
        <v>2.7576107E7</v>
      </c>
      <c r="D1317" s="2" t="s">
        <v>10809</v>
      </c>
      <c r="E1317" s="2">
        <v>7458592.0</v>
      </c>
      <c r="F1317" s="2">
        <v>103.0</v>
      </c>
      <c r="G1317" s="2">
        <v>128027.0</v>
      </c>
      <c r="H1317" s="2" t="s">
        <v>5906</v>
      </c>
      <c r="I1317" s="2" t="s">
        <v>5906</v>
      </c>
      <c r="J1317" s="2" t="s">
        <v>5907</v>
      </c>
      <c r="K1317" s="2" t="s">
        <v>10810</v>
      </c>
      <c r="L1317" s="10" t="s">
        <v>10811</v>
      </c>
    </row>
    <row r="1318">
      <c r="A1318" s="2" t="s">
        <v>5555</v>
      </c>
      <c r="B1318" s="2" t="s">
        <v>10812</v>
      </c>
      <c r="C1318" s="2">
        <v>7.998233528E9</v>
      </c>
      <c r="D1318" s="2" t="s">
        <v>10813</v>
      </c>
      <c r="E1318" s="2">
        <v>317999.0</v>
      </c>
      <c r="F1318" s="2">
        <v>581.0</v>
      </c>
      <c r="G1318" s="2">
        <v>1498.0</v>
      </c>
      <c r="H1318" s="2" t="s">
        <v>5905</v>
      </c>
      <c r="I1318" s="2" t="s">
        <v>5905</v>
      </c>
      <c r="J1318" s="2" t="s">
        <v>5485</v>
      </c>
      <c r="K1318" s="2" t="s">
        <v>10814</v>
      </c>
      <c r="L1318" s="10" t="s">
        <v>10815</v>
      </c>
    </row>
    <row r="1319">
      <c r="A1319" s="2" t="s">
        <v>5566</v>
      </c>
      <c r="B1319" s="2" t="s">
        <v>10816</v>
      </c>
      <c r="C1319" s="2">
        <v>1.769583068E9</v>
      </c>
      <c r="D1319" s="2" t="s">
        <v>10817</v>
      </c>
      <c r="E1319" s="2">
        <v>830617.0</v>
      </c>
      <c r="F1319" s="2">
        <v>109.0</v>
      </c>
      <c r="G1319" s="2">
        <v>5337.0</v>
      </c>
      <c r="H1319" s="2" t="s">
        <v>5906</v>
      </c>
      <c r="I1319" s="2" t="s">
        <v>5906</v>
      </c>
      <c r="J1319" s="2" t="s">
        <v>5484</v>
      </c>
      <c r="K1319" s="2" t="s">
        <v>10818</v>
      </c>
      <c r="L1319" s="10" t="s">
        <v>10819</v>
      </c>
    </row>
    <row r="1320">
      <c r="A1320" s="2" t="s">
        <v>5566</v>
      </c>
      <c r="B1320" s="2" t="s">
        <v>10820</v>
      </c>
      <c r="C1320" s="2">
        <v>1.432609192E9</v>
      </c>
      <c r="E1320" s="2">
        <v>2.7012537E7</v>
      </c>
      <c r="F1320" s="2">
        <v>1283.0</v>
      </c>
      <c r="G1320" s="2">
        <v>1461.0</v>
      </c>
      <c r="H1320" s="2" t="s">
        <v>5906</v>
      </c>
      <c r="I1320" s="2" t="s">
        <v>5905</v>
      </c>
      <c r="J1320" s="2" t="s">
        <v>5993</v>
      </c>
      <c r="K1320" s="2" t="s">
        <v>10821</v>
      </c>
      <c r="L1320" s="10" t="s">
        <v>10822</v>
      </c>
    </row>
    <row r="1321">
      <c r="A1321" s="2" t="s">
        <v>5566</v>
      </c>
      <c r="B1321" s="2" t="s">
        <v>10823</v>
      </c>
      <c r="C1321" s="2">
        <v>1.637163964E9</v>
      </c>
      <c r="D1321" s="2" t="s">
        <v>10824</v>
      </c>
      <c r="E1321" s="2">
        <v>942085.0</v>
      </c>
      <c r="F1321" s="2">
        <v>127.0</v>
      </c>
      <c r="G1321" s="2">
        <v>7851.0</v>
      </c>
      <c r="H1321" s="2" t="s">
        <v>5905</v>
      </c>
      <c r="I1321" s="2" t="s">
        <v>5906</v>
      </c>
      <c r="K1321" s="2" t="s">
        <v>10825</v>
      </c>
      <c r="L1321" s="10" t="s">
        <v>10826</v>
      </c>
    </row>
    <row r="1322">
      <c r="A1322" s="2" t="s">
        <v>5566</v>
      </c>
      <c r="B1322" s="2" t="s">
        <v>10827</v>
      </c>
      <c r="C1322" s="2">
        <v>3.2020161289E10</v>
      </c>
      <c r="D1322" s="2" t="s">
        <v>10828</v>
      </c>
      <c r="E1322" s="2">
        <v>17017.0</v>
      </c>
      <c r="F1322" s="2">
        <v>38.0</v>
      </c>
      <c r="G1322" s="2">
        <v>38.0</v>
      </c>
      <c r="H1322" s="2" t="s">
        <v>5905</v>
      </c>
      <c r="I1322" s="2" t="s">
        <v>5906</v>
      </c>
      <c r="J1322" s="2" t="s">
        <v>6002</v>
      </c>
      <c r="K1322" s="2" t="s">
        <v>10829</v>
      </c>
    </row>
    <row r="1323">
      <c r="A1323" s="2" t="s">
        <v>5566</v>
      </c>
      <c r="B1323" s="2" t="s">
        <v>10830</v>
      </c>
      <c r="C1323" s="2">
        <v>8.980549902E9</v>
      </c>
      <c r="D1323" s="2" t="s">
        <v>10831</v>
      </c>
      <c r="E1323" s="2">
        <v>357789.0</v>
      </c>
      <c r="F1323" s="2">
        <v>50.0</v>
      </c>
      <c r="G1323" s="2">
        <v>5316.0</v>
      </c>
      <c r="H1323" s="2" t="s">
        <v>5905</v>
      </c>
      <c r="I1323" s="2" t="s">
        <v>5906</v>
      </c>
      <c r="J1323" s="2" t="s">
        <v>5907</v>
      </c>
      <c r="K1323" s="2" t="s">
        <v>10832</v>
      </c>
      <c r="L1323" s="10" t="s">
        <v>10833</v>
      </c>
    </row>
    <row r="1324">
      <c r="A1324" s="2" t="s">
        <v>5566</v>
      </c>
      <c r="B1324" s="2" t="s">
        <v>10834</v>
      </c>
      <c r="C1324" s="2">
        <v>2.972897324E9</v>
      </c>
      <c r="D1324" s="2" t="s">
        <v>10835</v>
      </c>
      <c r="E1324" s="2">
        <v>2326093.0</v>
      </c>
      <c r="F1324" s="2">
        <v>1208.0</v>
      </c>
      <c r="G1324" s="2">
        <v>25314.0</v>
      </c>
      <c r="H1324" s="2" t="s">
        <v>5906</v>
      </c>
      <c r="I1324" s="2" t="s">
        <v>5905</v>
      </c>
      <c r="J1324" s="2" t="s">
        <v>5480</v>
      </c>
      <c r="K1324" s="2" t="s">
        <v>10836</v>
      </c>
      <c r="L1324" s="10" t="s">
        <v>10837</v>
      </c>
    </row>
    <row r="1325">
      <c r="A1325" s="2" t="s">
        <v>5566</v>
      </c>
      <c r="B1325" s="2" t="s">
        <v>10838</v>
      </c>
      <c r="C1325" s="2">
        <v>1.766613985E9</v>
      </c>
      <c r="D1325" s="2" t="s">
        <v>10839</v>
      </c>
      <c r="E1325" s="2">
        <v>106181.0</v>
      </c>
      <c r="F1325" s="2">
        <v>100.0</v>
      </c>
      <c r="G1325" s="2">
        <v>1114.0</v>
      </c>
      <c r="H1325" s="2" t="s">
        <v>5906</v>
      </c>
      <c r="I1325" s="2" t="s">
        <v>5906</v>
      </c>
      <c r="J1325" s="2" t="s">
        <v>6166</v>
      </c>
      <c r="K1325" s="2" t="s">
        <v>10840</v>
      </c>
      <c r="L1325" s="10" t="s">
        <v>10841</v>
      </c>
    </row>
    <row r="1326">
      <c r="A1326" s="2" t="s">
        <v>5566</v>
      </c>
      <c r="B1326" s="2" t="s">
        <v>10842</v>
      </c>
      <c r="C1326" s="2">
        <v>2.40529E7</v>
      </c>
      <c r="D1326" s="2" t="s">
        <v>10843</v>
      </c>
      <c r="E1326" s="2">
        <v>108891.0</v>
      </c>
      <c r="F1326" s="2">
        <v>583.0</v>
      </c>
      <c r="G1326" s="2">
        <v>1313.0</v>
      </c>
      <c r="H1326" s="2" t="s">
        <v>5905</v>
      </c>
      <c r="I1326" s="2" t="s">
        <v>5906</v>
      </c>
      <c r="J1326" s="2" t="s">
        <v>5963</v>
      </c>
      <c r="K1326" s="2" t="s">
        <v>10844</v>
      </c>
      <c r="L1326" s="10" t="s">
        <v>10845</v>
      </c>
    </row>
    <row r="1327">
      <c r="A1327" s="2" t="s">
        <v>5566</v>
      </c>
      <c r="B1327" s="2" t="s">
        <v>10846</v>
      </c>
      <c r="C1327" s="2">
        <v>2754610.0</v>
      </c>
      <c r="D1327" s="2" t="s">
        <v>5270</v>
      </c>
      <c r="E1327" s="2">
        <v>7117678.0</v>
      </c>
      <c r="F1327" s="2">
        <v>186.0</v>
      </c>
      <c r="G1327" s="2">
        <v>23405.0</v>
      </c>
      <c r="H1327" s="2" t="s">
        <v>5906</v>
      </c>
      <c r="I1327" s="2" t="s">
        <v>5906</v>
      </c>
      <c r="J1327" s="2" t="s">
        <v>5517</v>
      </c>
      <c r="K1327" s="2" t="s">
        <v>10847</v>
      </c>
      <c r="L1327" s="10" t="s">
        <v>10848</v>
      </c>
    </row>
    <row r="1328">
      <c r="A1328" s="2" t="s">
        <v>5496</v>
      </c>
      <c r="B1328" s="2" t="s">
        <v>10849</v>
      </c>
      <c r="C1328" s="2">
        <v>4.357738402E9</v>
      </c>
      <c r="D1328" s="2" t="s">
        <v>10850</v>
      </c>
      <c r="E1328" s="2">
        <v>13759.0</v>
      </c>
      <c r="F1328" s="2">
        <v>685.0</v>
      </c>
      <c r="G1328" s="2">
        <v>558.0</v>
      </c>
      <c r="H1328" s="2" t="s">
        <v>5905</v>
      </c>
      <c r="I1328" s="2" t="s">
        <v>5906</v>
      </c>
      <c r="J1328" s="2" t="s">
        <v>5391</v>
      </c>
      <c r="K1328" s="2" t="s">
        <v>10851</v>
      </c>
      <c r="L1328" s="10" t="s">
        <v>10852</v>
      </c>
    </row>
    <row r="1329">
      <c r="A1329" s="2" t="s">
        <v>5496</v>
      </c>
      <c r="B1329" s="2" t="s">
        <v>10853</v>
      </c>
      <c r="C1329" s="2">
        <v>2.79397492E8</v>
      </c>
      <c r="D1329" s="2" t="s">
        <v>10854</v>
      </c>
      <c r="E1329" s="2">
        <v>18847.0</v>
      </c>
      <c r="F1329" s="2">
        <v>3818.0</v>
      </c>
      <c r="G1329" s="2">
        <v>752.0</v>
      </c>
      <c r="H1329" s="2" t="s">
        <v>5905</v>
      </c>
      <c r="I1329" s="2" t="s">
        <v>5905</v>
      </c>
      <c r="J1329" s="2" t="s">
        <v>5959</v>
      </c>
      <c r="K1329" s="2" t="s">
        <v>10855</v>
      </c>
      <c r="L1329" s="10" t="s">
        <v>10856</v>
      </c>
    </row>
    <row r="1330">
      <c r="A1330" s="2" t="s">
        <v>5496</v>
      </c>
      <c r="B1330" s="2" t="s">
        <v>10857</v>
      </c>
      <c r="C1330" s="2">
        <v>5.7140511613E10</v>
      </c>
      <c r="D1330" s="2" t="s">
        <v>10858</v>
      </c>
      <c r="E1330" s="2">
        <v>14272.0</v>
      </c>
      <c r="F1330" s="2">
        <v>347.0</v>
      </c>
      <c r="G1330" s="2">
        <v>794.0</v>
      </c>
      <c r="H1330" s="2" t="s">
        <v>5905</v>
      </c>
      <c r="I1330" s="2" t="s">
        <v>5905</v>
      </c>
      <c r="J1330" s="2" t="s">
        <v>5968</v>
      </c>
      <c r="K1330" s="2" t="s">
        <v>10859</v>
      </c>
      <c r="L1330" s="10" t="s">
        <v>10860</v>
      </c>
    </row>
    <row r="1331">
      <c r="A1331" s="2" t="s">
        <v>5496</v>
      </c>
      <c r="B1331" s="2" t="s">
        <v>10861</v>
      </c>
      <c r="C1331" s="2">
        <v>5.698623765E9</v>
      </c>
      <c r="D1331" s="2" t="s">
        <v>10862</v>
      </c>
      <c r="E1331" s="2">
        <v>120856.0</v>
      </c>
      <c r="F1331" s="2">
        <v>3.0</v>
      </c>
      <c r="G1331" s="2">
        <v>993.0</v>
      </c>
      <c r="H1331" s="2" t="s">
        <v>5906</v>
      </c>
      <c r="I1331" s="2" t="s">
        <v>5905</v>
      </c>
      <c r="J1331" s="2" t="s">
        <v>5391</v>
      </c>
      <c r="K1331" s="2" t="s">
        <v>10863</v>
      </c>
      <c r="L1331" s="10" t="s">
        <v>10864</v>
      </c>
    </row>
    <row r="1332">
      <c r="A1332" s="2" t="s">
        <v>5496</v>
      </c>
      <c r="B1332" s="2" t="s">
        <v>10865</v>
      </c>
      <c r="C1332" s="2">
        <v>1.947408034E9</v>
      </c>
      <c r="D1332" s="2" t="s">
        <v>10865</v>
      </c>
      <c r="E1332" s="2">
        <v>258632.0</v>
      </c>
      <c r="F1332" s="2">
        <v>3291.0</v>
      </c>
      <c r="G1332" s="2">
        <v>1976.0</v>
      </c>
      <c r="H1332" s="2" t="s">
        <v>5905</v>
      </c>
      <c r="I1332" s="2" t="s">
        <v>5905</v>
      </c>
      <c r="J1332" s="2" t="s">
        <v>6414</v>
      </c>
      <c r="K1332" s="2" t="s">
        <v>10866</v>
      </c>
      <c r="L1332" s="10" t="s">
        <v>10867</v>
      </c>
    </row>
    <row r="1333">
      <c r="A1333" s="2" t="s">
        <v>5496</v>
      </c>
      <c r="B1333" s="2" t="s">
        <v>10868</v>
      </c>
      <c r="C1333" s="2">
        <v>1.372292501E9</v>
      </c>
      <c r="D1333" s="2" t="s">
        <v>10869</v>
      </c>
      <c r="E1333" s="2">
        <v>21402.0</v>
      </c>
      <c r="F1333" s="2">
        <v>485.0</v>
      </c>
      <c r="G1333" s="2">
        <v>617.0</v>
      </c>
      <c r="H1333" s="2" t="s">
        <v>5905</v>
      </c>
      <c r="I1333" s="2" t="s">
        <v>5905</v>
      </c>
      <c r="J1333" s="2" t="s">
        <v>8144</v>
      </c>
      <c r="K1333" s="2" t="s">
        <v>10870</v>
      </c>
      <c r="L1333" s="10" t="s">
        <v>10871</v>
      </c>
    </row>
    <row r="1334">
      <c r="A1334" s="2" t="s">
        <v>5496</v>
      </c>
      <c r="B1334" s="2" t="s">
        <v>10872</v>
      </c>
      <c r="C1334" s="2">
        <v>3.56252681E8</v>
      </c>
      <c r="D1334" s="2" t="s">
        <v>10873</v>
      </c>
      <c r="E1334" s="2">
        <v>233407.0</v>
      </c>
      <c r="F1334" s="2">
        <v>2149.0</v>
      </c>
      <c r="G1334" s="2">
        <v>1846.0</v>
      </c>
      <c r="H1334" s="2" t="s">
        <v>5906</v>
      </c>
      <c r="I1334" s="2" t="s">
        <v>5905</v>
      </c>
      <c r="J1334" s="2" t="s">
        <v>5993</v>
      </c>
      <c r="K1334" s="2" t="s">
        <v>10874</v>
      </c>
      <c r="L1334" s="10" t="s">
        <v>10875</v>
      </c>
    </row>
    <row r="1335">
      <c r="A1335" s="2" t="s">
        <v>5496</v>
      </c>
      <c r="B1335" s="2" t="s">
        <v>10876</v>
      </c>
      <c r="C1335" s="2">
        <v>7.3616325939E10</v>
      </c>
      <c r="D1335" s="2" t="s">
        <v>5689</v>
      </c>
      <c r="E1335" s="2">
        <v>28684.0</v>
      </c>
      <c r="F1335" s="2">
        <v>470.0</v>
      </c>
      <c r="G1335" s="2">
        <v>145.0</v>
      </c>
      <c r="H1335" s="2" t="s">
        <v>5905</v>
      </c>
      <c r="I1335" s="2" t="s">
        <v>5905</v>
      </c>
      <c r="K1335" s="2" t="s">
        <v>10877</v>
      </c>
      <c r="L1335" s="10" t="s">
        <v>10878</v>
      </c>
    </row>
    <row r="1336">
      <c r="A1336" s="2" t="s">
        <v>5482</v>
      </c>
      <c r="B1336" s="2" t="s">
        <v>10879</v>
      </c>
      <c r="C1336" s="2">
        <v>2.4866955E8</v>
      </c>
      <c r="D1336" s="2" t="s">
        <v>10880</v>
      </c>
      <c r="E1336" s="2">
        <v>484558.0</v>
      </c>
      <c r="F1336" s="2">
        <v>1.0</v>
      </c>
      <c r="G1336" s="2">
        <v>7217.0</v>
      </c>
      <c r="H1336" s="2" t="s">
        <v>5906</v>
      </c>
      <c r="I1336" s="2" t="s">
        <v>5906</v>
      </c>
      <c r="K1336" s="2" t="s">
        <v>10881</v>
      </c>
      <c r="L1336" s="10" t="s">
        <v>10882</v>
      </c>
    </row>
    <row r="1337">
      <c r="A1337" s="2" t="s">
        <v>5482</v>
      </c>
      <c r="B1337" s="2" t="s">
        <v>10883</v>
      </c>
      <c r="C1337" s="2">
        <v>1.29491883E9</v>
      </c>
      <c r="D1337" s="2" t="s">
        <v>10884</v>
      </c>
      <c r="E1337" s="2">
        <v>59050.0</v>
      </c>
      <c r="F1337" s="2">
        <v>7497.0</v>
      </c>
      <c r="G1337" s="2">
        <v>26035.0</v>
      </c>
      <c r="H1337" s="2" t="s">
        <v>5905</v>
      </c>
      <c r="I1337" s="2" t="s">
        <v>5906</v>
      </c>
      <c r="J1337" s="2" t="s">
        <v>5907</v>
      </c>
    </row>
    <row r="1338">
      <c r="A1338" s="2" t="s">
        <v>5482</v>
      </c>
      <c r="B1338" s="2" t="s">
        <v>10885</v>
      </c>
      <c r="C1338" s="2">
        <v>4881839.0</v>
      </c>
      <c r="D1338" s="2" t="s">
        <v>10886</v>
      </c>
      <c r="E1338" s="2">
        <v>33256.0</v>
      </c>
      <c r="F1338" s="2">
        <v>5483.0</v>
      </c>
      <c r="G1338" s="2">
        <v>1815.0</v>
      </c>
      <c r="H1338" s="2" t="s">
        <v>5905</v>
      </c>
      <c r="I1338" s="2" t="s">
        <v>5906</v>
      </c>
      <c r="J1338" s="2" t="s">
        <v>5959</v>
      </c>
      <c r="K1338" s="2" t="s">
        <v>10887</v>
      </c>
      <c r="L1338" s="10" t="s">
        <v>10888</v>
      </c>
    </row>
    <row r="1339">
      <c r="A1339" s="2" t="s">
        <v>5482</v>
      </c>
      <c r="B1339" s="2" t="s">
        <v>10889</v>
      </c>
      <c r="C1339" s="2">
        <v>3.23495596E8</v>
      </c>
      <c r="D1339" s="2" t="s">
        <v>10889</v>
      </c>
      <c r="E1339" s="2">
        <v>2065157.0</v>
      </c>
      <c r="F1339" s="2">
        <v>2020.0</v>
      </c>
      <c r="G1339" s="2">
        <v>2291.0</v>
      </c>
      <c r="H1339" s="2" t="s">
        <v>5906</v>
      </c>
      <c r="I1339" s="2" t="s">
        <v>5905</v>
      </c>
      <c r="J1339" s="2" t="s">
        <v>6414</v>
      </c>
      <c r="K1339" s="2" t="s">
        <v>10890</v>
      </c>
      <c r="L1339" s="10" t="s">
        <v>10891</v>
      </c>
    </row>
    <row r="1340">
      <c r="A1340" s="2" t="s">
        <v>5482</v>
      </c>
      <c r="B1340" s="2" t="s">
        <v>10892</v>
      </c>
      <c r="C1340" s="2">
        <v>2.84598871E8</v>
      </c>
      <c r="D1340" s="2" t="s">
        <v>10893</v>
      </c>
      <c r="E1340" s="2">
        <v>119275.0</v>
      </c>
      <c r="F1340" s="2">
        <v>560.0</v>
      </c>
      <c r="G1340" s="2">
        <v>3902.0</v>
      </c>
      <c r="H1340" s="2" t="s">
        <v>5905</v>
      </c>
      <c r="I1340" s="2" t="s">
        <v>5906</v>
      </c>
      <c r="J1340" s="2" t="s">
        <v>5959</v>
      </c>
      <c r="K1340" s="2" t="s">
        <v>10894</v>
      </c>
      <c r="L1340" s="10" t="s">
        <v>10895</v>
      </c>
    </row>
    <row r="1341">
      <c r="A1341" s="2" t="s">
        <v>5482</v>
      </c>
      <c r="B1341" s="2" t="s">
        <v>10896</v>
      </c>
      <c r="C1341" s="2">
        <v>3.198686546E9</v>
      </c>
      <c r="D1341" s="2" t="s">
        <v>10897</v>
      </c>
      <c r="E1341" s="2">
        <v>59048.0</v>
      </c>
      <c r="F1341" s="2">
        <v>144.0</v>
      </c>
      <c r="G1341" s="2">
        <v>4639.0</v>
      </c>
      <c r="H1341" s="2" t="s">
        <v>5905</v>
      </c>
      <c r="I1341" s="2" t="s">
        <v>5906</v>
      </c>
      <c r="J1341" s="2" t="s">
        <v>6002</v>
      </c>
      <c r="K1341" s="2" t="s">
        <v>10898</v>
      </c>
      <c r="L1341" s="10" t="s">
        <v>10899</v>
      </c>
    </row>
    <row r="1342">
      <c r="A1342" s="2" t="s">
        <v>5395</v>
      </c>
      <c r="B1342" s="2" t="s">
        <v>10900</v>
      </c>
      <c r="C1342" s="2">
        <v>2.24397644E9</v>
      </c>
      <c r="D1342" s="2" t="s">
        <v>5395</v>
      </c>
      <c r="E1342" s="2">
        <v>48974.0</v>
      </c>
      <c r="F1342" s="2">
        <v>309.0</v>
      </c>
      <c r="G1342" s="2">
        <v>606.0</v>
      </c>
      <c r="H1342" s="2" t="s">
        <v>5905</v>
      </c>
      <c r="I1342" s="2" t="s">
        <v>5906</v>
      </c>
      <c r="J1342" s="2" t="s">
        <v>5561</v>
      </c>
      <c r="K1342" s="2" t="s">
        <v>10901</v>
      </c>
      <c r="L1342" s="10" t="s">
        <v>10902</v>
      </c>
    </row>
    <row r="1343">
      <c r="A1343" s="2" t="s">
        <v>5547</v>
      </c>
      <c r="B1343" s="2" t="s">
        <v>10903</v>
      </c>
      <c r="C1343" s="2">
        <v>5.0700990194E10</v>
      </c>
      <c r="D1343" s="2" t="s">
        <v>10904</v>
      </c>
      <c r="E1343" s="2">
        <v>686816.0</v>
      </c>
      <c r="F1343" s="2">
        <v>36.0</v>
      </c>
      <c r="G1343" s="2">
        <v>262.0</v>
      </c>
      <c r="H1343" s="2" t="s">
        <v>5905</v>
      </c>
      <c r="I1343" s="2" t="s">
        <v>5906</v>
      </c>
      <c r="J1343" s="2" t="s">
        <v>7140</v>
      </c>
      <c r="K1343" s="2" t="s">
        <v>10905</v>
      </c>
      <c r="L1343" s="10" t="s">
        <v>10906</v>
      </c>
    </row>
    <row r="1344">
      <c r="A1344" s="2" t="s">
        <v>5547</v>
      </c>
      <c r="B1344" s="2" t="s">
        <v>10907</v>
      </c>
      <c r="C1344" s="2">
        <v>2.274078092E9</v>
      </c>
      <c r="D1344" s="2" t="s">
        <v>10908</v>
      </c>
      <c r="E1344" s="2">
        <v>3021814.0</v>
      </c>
      <c r="F1344" s="2">
        <v>350.0</v>
      </c>
      <c r="G1344" s="2">
        <v>7335.0</v>
      </c>
      <c r="H1344" s="2" t="s">
        <v>5906</v>
      </c>
      <c r="I1344" s="2" t="s">
        <v>5906</v>
      </c>
      <c r="J1344" s="2" t="s">
        <v>6199</v>
      </c>
      <c r="K1344" s="2" t="s">
        <v>10909</v>
      </c>
      <c r="L1344" s="10" t="s">
        <v>10910</v>
      </c>
    </row>
    <row r="1345">
      <c r="A1345" s="2" t="s">
        <v>5547</v>
      </c>
      <c r="B1345" s="2" t="s">
        <v>10911</v>
      </c>
      <c r="C1345" s="2">
        <v>2.84032005E8</v>
      </c>
      <c r="D1345" s="2" t="s">
        <v>10912</v>
      </c>
      <c r="E1345" s="2">
        <v>2793117.0</v>
      </c>
      <c r="F1345" s="2">
        <v>1950.0</v>
      </c>
      <c r="G1345" s="2">
        <v>23576.0</v>
      </c>
      <c r="H1345" s="2" t="s">
        <v>5906</v>
      </c>
      <c r="I1345" s="2" t="s">
        <v>5906</v>
      </c>
      <c r="L1345" s="10" t="s">
        <v>10913</v>
      </c>
    </row>
    <row r="1346">
      <c r="A1346" s="2" t="s">
        <v>5547</v>
      </c>
      <c r="B1346" s="2" t="s">
        <v>10914</v>
      </c>
      <c r="C1346" s="2">
        <v>2.93223772E8</v>
      </c>
      <c r="D1346" s="2" t="s">
        <v>10915</v>
      </c>
      <c r="E1346" s="2">
        <v>6778071.0</v>
      </c>
      <c r="F1346" s="2">
        <v>1477.0</v>
      </c>
      <c r="G1346" s="2">
        <v>11841.0</v>
      </c>
      <c r="H1346" s="2" t="s">
        <v>5906</v>
      </c>
      <c r="I1346" s="2" t="s">
        <v>5906</v>
      </c>
      <c r="J1346" s="2" t="s">
        <v>5993</v>
      </c>
      <c r="K1346" s="2" t="s">
        <v>10916</v>
      </c>
      <c r="L1346" s="10" t="s">
        <v>10917</v>
      </c>
    </row>
    <row r="1347">
      <c r="A1347" s="2" t="s">
        <v>5547</v>
      </c>
      <c r="B1347" s="2" t="s">
        <v>10918</v>
      </c>
      <c r="C1347" s="2">
        <v>4.0576478026E10</v>
      </c>
      <c r="D1347" s="2" t="s">
        <v>10919</v>
      </c>
      <c r="E1347" s="2">
        <v>164689.0</v>
      </c>
      <c r="F1347" s="2">
        <v>867.0</v>
      </c>
      <c r="G1347" s="2">
        <v>7391.0</v>
      </c>
      <c r="H1347" s="2" t="s">
        <v>5905</v>
      </c>
      <c r="I1347" s="2" t="s">
        <v>5905</v>
      </c>
      <c r="J1347" s="2" t="s">
        <v>10920</v>
      </c>
      <c r="K1347" s="2" t="s">
        <v>10921</v>
      </c>
      <c r="L1347" s="10" t="s">
        <v>10922</v>
      </c>
    </row>
    <row r="1348">
      <c r="A1348" s="2" t="s">
        <v>5547</v>
      </c>
      <c r="B1348" s="2" t="s">
        <v>10923</v>
      </c>
      <c r="C1348" s="2">
        <v>4.5027269431E10</v>
      </c>
      <c r="D1348" s="2" t="s">
        <v>10924</v>
      </c>
      <c r="E1348" s="2">
        <v>344725.0</v>
      </c>
      <c r="F1348" s="2">
        <v>5939.0</v>
      </c>
      <c r="G1348" s="2">
        <v>3251.0</v>
      </c>
      <c r="H1348" s="2" t="s">
        <v>5905</v>
      </c>
      <c r="I1348" s="2" t="s">
        <v>5905</v>
      </c>
      <c r="J1348" s="2" t="s">
        <v>5959</v>
      </c>
      <c r="K1348" s="2" t="s">
        <v>10925</v>
      </c>
      <c r="L1348" s="10" t="s">
        <v>10926</v>
      </c>
    </row>
    <row r="1349">
      <c r="A1349" s="2" t="s">
        <v>5345</v>
      </c>
      <c r="B1349" s="2" t="s">
        <v>10927</v>
      </c>
      <c r="C1349" s="2">
        <v>1.089986001E9</v>
      </c>
      <c r="D1349" s="2" t="s">
        <v>5345</v>
      </c>
      <c r="E1349" s="2">
        <v>17385.0</v>
      </c>
      <c r="F1349" s="2">
        <v>522.0</v>
      </c>
      <c r="G1349" s="2">
        <v>3963.0</v>
      </c>
      <c r="H1349" s="2" t="s">
        <v>5905</v>
      </c>
      <c r="I1349" s="2" t="s">
        <v>5906</v>
      </c>
      <c r="J1349" s="2" t="s">
        <v>5911</v>
      </c>
      <c r="K1349" s="2" t="s">
        <v>10928</v>
      </c>
      <c r="L1349" s="10" t="s">
        <v>10929</v>
      </c>
    </row>
    <row r="1350">
      <c r="A1350" s="2" t="s">
        <v>5521</v>
      </c>
      <c r="B1350" s="2" t="s">
        <v>10930</v>
      </c>
      <c r="C1350" s="2">
        <v>5.97925107E8</v>
      </c>
      <c r="D1350" s="2" t="s">
        <v>10931</v>
      </c>
      <c r="E1350" s="2">
        <v>834799.0</v>
      </c>
      <c r="F1350" s="2">
        <v>4.0</v>
      </c>
      <c r="G1350" s="2">
        <v>1466.0</v>
      </c>
      <c r="H1350" s="2" t="s">
        <v>5905</v>
      </c>
      <c r="I1350" s="2" t="s">
        <v>5905</v>
      </c>
      <c r="K1350" s="2" t="s">
        <v>10932</v>
      </c>
      <c r="L1350" s="10" t="s">
        <v>10933</v>
      </c>
    </row>
    <row r="1351">
      <c r="A1351" s="2" t="s">
        <v>5521</v>
      </c>
      <c r="B1351" s="2" t="s">
        <v>10934</v>
      </c>
      <c r="C1351" s="2">
        <v>4.7348598173E10</v>
      </c>
      <c r="D1351" s="2" t="s">
        <v>10935</v>
      </c>
      <c r="E1351" s="2">
        <v>128242.0</v>
      </c>
      <c r="F1351" s="2">
        <v>112.0</v>
      </c>
      <c r="G1351" s="2">
        <v>385.0</v>
      </c>
      <c r="H1351" s="2" t="s">
        <v>5905</v>
      </c>
      <c r="I1351" s="2" t="s">
        <v>5905</v>
      </c>
      <c r="J1351" s="2" t="s">
        <v>5561</v>
      </c>
      <c r="K1351" s="2" t="s">
        <v>10936</v>
      </c>
      <c r="L1351" s="10" t="s">
        <v>10937</v>
      </c>
    </row>
    <row r="1352">
      <c r="A1352" s="2" t="s">
        <v>5521</v>
      </c>
      <c r="B1352" s="2" t="s">
        <v>10938</v>
      </c>
      <c r="C1352" s="2">
        <v>1.3985755932E10</v>
      </c>
      <c r="D1352" s="2" t="s">
        <v>10939</v>
      </c>
      <c r="E1352" s="2">
        <v>13824.0</v>
      </c>
      <c r="F1352" s="2">
        <v>36.0</v>
      </c>
      <c r="G1352" s="2">
        <v>1292.0</v>
      </c>
      <c r="H1352" s="2" t="s">
        <v>5905</v>
      </c>
      <c r="I1352" s="2" t="s">
        <v>5906</v>
      </c>
      <c r="J1352" s="2" t="s">
        <v>5489</v>
      </c>
      <c r="K1352" s="2" t="s">
        <v>10940</v>
      </c>
      <c r="L1352" s="10" t="s">
        <v>10941</v>
      </c>
    </row>
    <row r="1353">
      <c r="A1353" s="2" t="s">
        <v>5521</v>
      </c>
      <c r="B1353" s="2" t="s">
        <v>10942</v>
      </c>
      <c r="C1353" s="2">
        <v>5.1032390658E10</v>
      </c>
      <c r="D1353" s="2" t="s">
        <v>10943</v>
      </c>
      <c r="E1353" s="2">
        <v>102780.0</v>
      </c>
      <c r="F1353" s="2">
        <v>18.0</v>
      </c>
      <c r="G1353" s="2">
        <v>756.0</v>
      </c>
      <c r="H1353" s="2" t="s">
        <v>5906</v>
      </c>
      <c r="I1353" s="2" t="s">
        <v>5906</v>
      </c>
      <c r="J1353" s="2" t="s">
        <v>5489</v>
      </c>
      <c r="K1353" s="2" t="s">
        <v>10944</v>
      </c>
      <c r="L1353" s="10" t="s">
        <v>10945</v>
      </c>
    </row>
    <row r="1354">
      <c r="A1354" s="2" t="s">
        <v>5521</v>
      </c>
      <c r="B1354" s="2" t="s">
        <v>10946</v>
      </c>
      <c r="C1354" s="2">
        <v>1636383.0</v>
      </c>
      <c r="D1354" s="2" t="s">
        <v>10947</v>
      </c>
      <c r="E1354" s="2">
        <v>108026.0</v>
      </c>
      <c r="F1354" s="2">
        <v>395.0</v>
      </c>
      <c r="G1354" s="2">
        <v>61.0</v>
      </c>
      <c r="H1354" s="2" t="s">
        <v>5905</v>
      </c>
      <c r="I1354" s="2" t="s">
        <v>5905</v>
      </c>
      <c r="J1354" s="2" t="s">
        <v>5391</v>
      </c>
      <c r="K1354" s="2" t="s">
        <v>10948</v>
      </c>
      <c r="L1354" s="10" t="s">
        <v>10949</v>
      </c>
    </row>
    <row r="1355">
      <c r="A1355" s="2" t="s">
        <v>5521</v>
      </c>
      <c r="B1355" s="2" t="s">
        <v>10950</v>
      </c>
      <c r="C1355" s="2">
        <v>2.305875927E9</v>
      </c>
      <c r="D1355" s="2" t="s">
        <v>10951</v>
      </c>
      <c r="E1355" s="2">
        <v>38744.0</v>
      </c>
      <c r="F1355" s="2">
        <v>102.0</v>
      </c>
      <c r="G1355" s="2">
        <v>960.0</v>
      </c>
      <c r="H1355" s="2" t="s">
        <v>5905</v>
      </c>
      <c r="I1355" s="2" t="s">
        <v>5906</v>
      </c>
      <c r="K1355" s="2" t="s">
        <v>10952</v>
      </c>
      <c r="L1355" s="10" t="s">
        <v>10953</v>
      </c>
    </row>
    <row r="1356">
      <c r="A1356" s="2" t="s">
        <v>5489</v>
      </c>
      <c r="B1356" s="2" t="s">
        <v>10954</v>
      </c>
      <c r="C1356" s="2">
        <v>4.528655635E9</v>
      </c>
      <c r="D1356" s="2" t="s">
        <v>10955</v>
      </c>
      <c r="E1356" s="2">
        <v>38516.0</v>
      </c>
      <c r="F1356" s="2">
        <v>135.0</v>
      </c>
      <c r="G1356" s="2">
        <v>3576.0</v>
      </c>
      <c r="H1356" s="2" t="s">
        <v>5906</v>
      </c>
      <c r="I1356" s="2" t="s">
        <v>5906</v>
      </c>
      <c r="J1356" s="2" t="s">
        <v>5489</v>
      </c>
      <c r="K1356" s="2" t="s">
        <v>10956</v>
      </c>
      <c r="L1356" s="10" t="s">
        <v>10957</v>
      </c>
    </row>
    <row r="1357">
      <c r="A1357" s="2" t="s">
        <v>5489</v>
      </c>
      <c r="B1357" s="2" t="s">
        <v>10958</v>
      </c>
      <c r="C1357" s="2">
        <v>2.955009488E9</v>
      </c>
      <c r="D1357" s="2" t="s">
        <v>10959</v>
      </c>
      <c r="E1357" s="2">
        <v>12004.0</v>
      </c>
      <c r="F1357" s="2">
        <v>716.0</v>
      </c>
      <c r="G1357" s="2">
        <v>1551.0</v>
      </c>
      <c r="H1357" s="2" t="s">
        <v>5906</v>
      </c>
      <c r="I1357" s="2" t="s">
        <v>5906</v>
      </c>
      <c r="J1357" s="2" t="s">
        <v>5489</v>
      </c>
      <c r="K1357" s="2" t="s">
        <v>10960</v>
      </c>
      <c r="L1357" s="10" t="s">
        <v>10961</v>
      </c>
    </row>
    <row r="1358">
      <c r="A1358" s="2" t="s">
        <v>5489</v>
      </c>
      <c r="B1358" s="2" t="s">
        <v>10962</v>
      </c>
      <c r="C1358" s="2">
        <v>1.370080609E9</v>
      </c>
      <c r="D1358" s="2" t="s">
        <v>10963</v>
      </c>
      <c r="E1358" s="2">
        <v>105846.0</v>
      </c>
      <c r="F1358" s="2">
        <v>3524.0</v>
      </c>
      <c r="G1358" s="2">
        <v>1789.0</v>
      </c>
      <c r="H1358" s="2" t="s">
        <v>5906</v>
      </c>
      <c r="I1358" s="2" t="s">
        <v>5906</v>
      </c>
      <c r="J1358" s="2" t="s">
        <v>5489</v>
      </c>
      <c r="K1358" s="2" t="s">
        <v>10964</v>
      </c>
      <c r="L1358" s="10" t="s">
        <v>10965</v>
      </c>
    </row>
    <row r="1359">
      <c r="A1359" s="2" t="s">
        <v>5489</v>
      </c>
      <c r="B1359" s="2" t="s">
        <v>10966</v>
      </c>
      <c r="C1359" s="2">
        <v>2.71311648E8</v>
      </c>
      <c r="D1359" s="2" t="s">
        <v>10967</v>
      </c>
      <c r="E1359" s="2">
        <v>158372.0</v>
      </c>
      <c r="F1359" s="2">
        <v>25.0</v>
      </c>
      <c r="G1359" s="2">
        <v>3699.0</v>
      </c>
      <c r="H1359" s="2" t="s">
        <v>5906</v>
      </c>
      <c r="I1359" s="2" t="s">
        <v>5906</v>
      </c>
      <c r="J1359" s="2" t="s">
        <v>6882</v>
      </c>
      <c r="K1359" s="2" t="s">
        <v>10968</v>
      </c>
      <c r="L1359" s="10" t="s">
        <v>10969</v>
      </c>
    </row>
    <row r="1360">
      <c r="A1360" s="2" t="s">
        <v>5489</v>
      </c>
      <c r="B1360" s="2" t="s">
        <v>10970</v>
      </c>
      <c r="C1360" s="2">
        <v>6.313840023E9</v>
      </c>
      <c r="D1360" s="2" t="s">
        <v>10971</v>
      </c>
      <c r="E1360" s="2">
        <v>28529.0</v>
      </c>
      <c r="F1360" s="2">
        <v>134.0</v>
      </c>
      <c r="G1360" s="2">
        <v>2177.0</v>
      </c>
      <c r="H1360" s="2" t="s">
        <v>5905</v>
      </c>
      <c r="I1360" s="2" t="s">
        <v>5906</v>
      </c>
      <c r="J1360" s="2" t="s">
        <v>5518</v>
      </c>
      <c r="K1360" s="2" t="s">
        <v>10972</v>
      </c>
      <c r="L1360" s="10" t="s">
        <v>10973</v>
      </c>
    </row>
    <row r="1361">
      <c r="A1361" s="2" t="s">
        <v>5489</v>
      </c>
      <c r="B1361" s="2" t="s">
        <v>10974</v>
      </c>
      <c r="C1361" s="2">
        <v>6.73002147E8</v>
      </c>
      <c r="D1361" s="2" t="s">
        <v>10975</v>
      </c>
      <c r="E1361" s="2">
        <v>26542.0</v>
      </c>
      <c r="F1361" s="2">
        <v>640.0</v>
      </c>
      <c r="G1361" s="2">
        <v>1065.0</v>
      </c>
      <c r="H1361" s="2" t="s">
        <v>5905</v>
      </c>
      <c r="I1361" s="2" t="s">
        <v>5905</v>
      </c>
      <c r="J1361" s="2" t="s">
        <v>5928</v>
      </c>
      <c r="K1361" s="2" t="s">
        <v>10976</v>
      </c>
      <c r="L1361" s="10" t="s">
        <v>10977</v>
      </c>
    </row>
    <row r="1362">
      <c r="A1362" s="2" t="s">
        <v>5489</v>
      </c>
      <c r="B1362" s="2" t="s">
        <v>10978</v>
      </c>
      <c r="C1362" s="2">
        <v>2.061285654E9</v>
      </c>
      <c r="D1362" s="2" t="s">
        <v>10979</v>
      </c>
      <c r="E1362" s="2">
        <v>166882.0</v>
      </c>
      <c r="F1362" s="2">
        <v>4616.0</v>
      </c>
      <c r="G1362" s="2">
        <v>6986.0</v>
      </c>
      <c r="H1362" s="2" t="s">
        <v>5905</v>
      </c>
      <c r="I1362" s="2" t="s">
        <v>5906</v>
      </c>
      <c r="J1362" s="2" t="s">
        <v>5492</v>
      </c>
      <c r="K1362" s="2" t="s">
        <v>10980</v>
      </c>
      <c r="L1362" s="10" t="s">
        <v>10981</v>
      </c>
    </row>
    <row r="1363">
      <c r="A1363" s="2" t="s">
        <v>5489</v>
      </c>
      <c r="B1363" s="2" t="s">
        <v>10982</v>
      </c>
      <c r="C1363" s="2">
        <v>2.45291244E8</v>
      </c>
      <c r="D1363" s="2" t="s">
        <v>10983</v>
      </c>
      <c r="E1363" s="2">
        <v>15933.0</v>
      </c>
      <c r="F1363" s="2">
        <v>1497.0</v>
      </c>
      <c r="G1363" s="2">
        <v>1245.0</v>
      </c>
      <c r="H1363" s="2" t="s">
        <v>5905</v>
      </c>
      <c r="I1363" s="2" t="s">
        <v>5906</v>
      </c>
      <c r="J1363" s="2" t="s">
        <v>5489</v>
      </c>
      <c r="K1363" s="2" t="s">
        <v>10984</v>
      </c>
      <c r="L1363" s="10" t="s">
        <v>10985</v>
      </c>
    </row>
    <row r="1364">
      <c r="A1364" s="2" t="s">
        <v>5489</v>
      </c>
      <c r="B1364" s="2" t="s">
        <v>10986</v>
      </c>
      <c r="C1364" s="2">
        <v>5.52711698E9</v>
      </c>
      <c r="D1364" s="2" t="s">
        <v>10987</v>
      </c>
      <c r="E1364" s="2">
        <v>60245.0</v>
      </c>
      <c r="F1364" s="2">
        <v>36.0</v>
      </c>
      <c r="G1364" s="2">
        <v>2838.0</v>
      </c>
      <c r="H1364" s="2" t="s">
        <v>5905</v>
      </c>
      <c r="I1364" s="2" t="s">
        <v>5906</v>
      </c>
      <c r="K1364" s="2" t="s">
        <v>10988</v>
      </c>
      <c r="L1364" s="10" t="s">
        <v>10989</v>
      </c>
    </row>
    <row r="1365">
      <c r="A1365" s="2" t="s">
        <v>5489</v>
      </c>
      <c r="B1365" s="2" t="s">
        <v>10990</v>
      </c>
      <c r="C1365" s="2">
        <v>2.680263654E9</v>
      </c>
      <c r="D1365" s="2" t="s">
        <v>10991</v>
      </c>
      <c r="E1365" s="2">
        <v>11307.0</v>
      </c>
      <c r="F1365" s="2">
        <v>11.0</v>
      </c>
      <c r="G1365" s="2">
        <v>1102.0</v>
      </c>
      <c r="H1365" s="2" t="s">
        <v>5905</v>
      </c>
      <c r="I1365" s="2" t="s">
        <v>5906</v>
      </c>
      <c r="K1365" s="2" t="s">
        <v>10992</v>
      </c>
      <c r="L1365" s="10" t="s">
        <v>10993</v>
      </c>
    </row>
    <row r="1366">
      <c r="A1366" s="2" t="s">
        <v>5489</v>
      </c>
      <c r="B1366" s="2" t="s">
        <v>10994</v>
      </c>
      <c r="C1366" s="2">
        <v>7.494416482E9</v>
      </c>
      <c r="D1366" s="2" t="s">
        <v>10995</v>
      </c>
      <c r="E1366" s="2">
        <v>16165.0</v>
      </c>
      <c r="F1366" s="2">
        <v>20.0</v>
      </c>
      <c r="G1366" s="2">
        <v>300.0</v>
      </c>
      <c r="H1366" s="2" t="s">
        <v>5905</v>
      </c>
      <c r="I1366" s="2" t="s">
        <v>5906</v>
      </c>
      <c r="K1366" s="2" t="s">
        <v>10996</v>
      </c>
    </row>
    <row r="1367">
      <c r="A1367" s="2" t="s">
        <v>5489</v>
      </c>
      <c r="B1367" s="2" t="s">
        <v>10997</v>
      </c>
      <c r="C1367" s="2">
        <v>1.32807072E9</v>
      </c>
      <c r="D1367" s="2" t="s">
        <v>10998</v>
      </c>
      <c r="E1367" s="2">
        <v>14012.0</v>
      </c>
      <c r="F1367" s="2">
        <v>646.0</v>
      </c>
      <c r="G1367" s="2">
        <v>2280.0</v>
      </c>
      <c r="H1367" s="2" t="s">
        <v>5905</v>
      </c>
      <c r="I1367" s="2" t="s">
        <v>5906</v>
      </c>
      <c r="J1367" s="2" t="s">
        <v>5489</v>
      </c>
      <c r="K1367" s="2" t="s">
        <v>10999</v>
      </c>
      <c r="L1367" s="10" t="s">
        <v>11000</v>
      </c>
    </row>
    <row r="1368">
      <c r="A1368" s="2" t="s">
        <v>5489</v>
      </c>
      <c r="B1368" s="2" t="s">
        <v>11001</v>
      </c>
      <c r="C1368" s="2">
        <v>6.3315468373E10</v>
      </c>
      <c r="D1368" s="2" t="s">
        <v>11002</v>
      </c>
      <c r="E1368" s="2">
        <v>70784.0</v>
      </c>
      <c r="F1368" s="2">
        <v>252.0</v>
      </c>
      <c r="G1368" s="2">
        <v>167.0</v>
      </c>
      <c r="H1368" s="2" t="s">
        <v>5905</v>
      </c>
      <c r="I1368" s="2" t="s">
        <v>5905</v>
      </c>
      <c r="J1368" s="2" t="s">
        <v>5518</v>
      </c>
      <c r="K1368" s="2" t="s">
        <v>11003</v>
      </c>
      <c r="L1368" s="10" t="s">
        <v>11004</v>
      </c>
    </row>
    <row r="1369">
      <c r="A1369" s="2" t="s">
        <v>5308</v>
      </c>
      <c r="B1369" s="2" t="s">
        <v>11005</v>
      </c>
      <c r="C1369" s="2">
        <v>5.1974420321E10</v>
      </c>
      <c r="D1369" s="2" t="s">
        <v>11006</v>
      </c>
      <c r="E1369" s="2">
        <v>43224.0</v>
      </c>
      <c r="F1369" s="2">
        <v>7.0</v>
      </c>
      <c r="G1369" s="2">
        <v>668.0</v>
      </c>
      <c r="H1369" s="2" t="s">
        <v>5905</v>
      </c>
      <c r="I1369" s="2" t="s">
        <v>5906</v>
      </c>
      <c r="J1369" s="2" t="s">
        <v>9767</v>
      </c>
      <c r="K1369" s="12" t="s">
        <v>11007</v>
      </c>
      <c r="L1369" s="10" t="s">
        <v>11008</v>
      </c>
    </row>
    <row r="1370">
      <c r="A1370" s="2" t="s">
        <v>5308</v>
      </c>
      <c r="B1370" s="2" t="s">
        <v>11009</v>
      </c>
      <c r="C1370" s="2">
        <v>4.8867835281E10</v>
      </c>
      <c r="E1370" s="2">
        <v>16922.0</v>
      </c>
      <c r="F1370" s="2">
        <v>140.0</v>
      </c>
      <c r="G1370" s="2">
        <v>371.0</v>
      </c>
      <c r="H1370" s="2" t="s">
        <v>5905</v>
      </c>
      <c r="I1370" s="2" t="s">
        <v>5906</v>
      </c>
      <c r="J1370" s="2" t="s">
        <v>11010</v>
      </c>
      <c r="K1370" s="2" t="s">
        <v>11011</v>
      </c>
      <c r="L1370" s="10" t="s">
        <v>11012</v>
      </c>
    </row>
    <row r="1371">
      <c r="A1371" s="2" t="s">
        <v>5308</v>
      </c>
      <c r="B1371" s="2" t="s">
        <v>11013</v>
      </c>
      <c r="C1371" s="2">
        <v>2.86232463E8</v>
      </c>
      <c r="D1371" s="2" t="s">
        <v>5308</v>
      </c>
      <c r="E1371" s="2">
        <v>94473.0</v>
      </c>
      <c r="F1371" s="2">
        <v>176.0</v>
      </c>
      <c r="G1371" s="2">
        <v>874.0</v>
      </c>
      <c r="H1371" s="2" t="s">
        <v>5906</v>
      </c>
      <c r="I1371" s="2" t="s">
        <v>5906</v>
      </c>
      <c r="K1371" s="2" t="s">
        <v>11014</v>
      </c>
      <c r="L1371" s="10" t="s">
        <v>11015</v>
      </c>
    </row>
    <row r="1372">
      <c r="A1372" s="2" t="s">
        <v>5308</v>
      </c>
      <c r="B1372" s="2" t="s">
        <v>11016</v>
      </c>
      <c r="C1372" s="2">
        <v>1.3922716067E10</v>
      </c>
      <c r="D1372" s="2" t="s">
        <v>11017</v>
      </c>
      <c r="E1372" s="2">
        <v>146787.0</v>
      </c>
      <c r="F1372" s="2">
        <v>217.0</v>
      </c>
      <c r="G1372" s="2">
        <v>1089.0</v>
      </c>
      <c r="H1372" s="2" t="s">
        <v>5906</v>
      </c>
      <c r="I1372" s="2" t="s">
        <v>5905</v>
      </c>
      <c r="J1372" s="2" t="s">
        <v>6124</v>
      </c>
      <c r="K1372" s="2" t="s">
        <v>11018</v>
      </c>
      <c r="L1372" s="10" t="s">
        <v>11019</v>
      </c>
    </row>
    <row r="1373">
      <c r="A1373" s="2" t="s">
        <v>5541</v>
      </c>
      <c r="B1373" s="2" t="s">
        <v>11020</v>
      </c>
      <c r="C1373" s="2">
        <v>4.6685987018E10</v>
      </c>
      <c r="D1373" s="2" t="s">
        <v>11021</v>
      </c>
      <c r="E1373" s="2">
        <v>73823.0</v>
      </c>
      <c r="F1373" s="2">
        <v>609.0</v>
      </c>
      <c r="G1373" s="2">
        <v>1139.0</v>
      </c>
      <c r="H1373" s="2" t="s">
        <v>5905</v>
      </c>
      <c r="I1373" s="2" t="s">
        <v>5905</v>
      </c>
      <c r="J1373" s="2" t="s">
        <v>6856</v>
      </c>
      <c r="K1373" s="2" t="s">
        <v>11022</v>
      </c>
    </row>
    <row r="1374">
      <c r="A1374" s="2" t="s">
        <v>5541</v>
      </c>
      <c r="B1374" s="2" t="s">
        <v>11023</v>
      </c>
      <c r="C1374" s="2">
        <v>4.9760125028E10</v>
      </c>
      <c r="D1374" s="2" t="s">
        <v>11024</v>
      </c>
      <c r="E1374" s="2">
        <v>81223.0</v>
      </c>
      <c r="F1374" s="2">
        <v>1583.0</v>
      </c>
      <c r="G1374" s="2">
        <v>328.0</v>
      </c>
      <c r="H1374" s="2" t="s">
        <v>5905</v>
      </c>
      <c r="I1374" s="2" t="s">
        <v>5905</v>
      </c>
      <c r="J1374" s="2" t="s">
        <v>7140</v>
      </c>
    </row>
    <row r="1375">
      <c r="A1375" s="2" t="s">
        <v>5541</v>
      </c>
      <c r="B1375" s="2" t="s">
        <v>11025</v>
      </c>
      <c r="C1375" s="2">
        <v>4.2504626287E10</v>
      </c>
      <c r="D1375" s="2" t="s">
        <v>11026</v>
      </c>
      <c r="E1375" s="2">
        <v>1365360.0</v>
      </c>
      <c r="F1375" s="2">
        <v>9.0</v>
      </c>
      <c r="G1375" s="2">
        <v>2318.0</v>
      </c>
      <c r="H1375" s="2" t="s">
        <v>5906</v>
      </c>
      <c r="I1375" s="2" t="s">
        <v>5905</v>
      </c>
      <c r="J1375" s="2" t="s">
        <v>5959</v>
      </c>
      <c r="K1375" s="2" t="s">
        <v>11027</v>
      </c>
      <c r="L1375" s="10" t="s">
        <v>11028</v>
      </c>
    </row>
    <row r="1376">
      <c r="A1376" s="2" t="s">
        <v>5541</v>
      </c>
      <c r="B1376" s="2" t="s">
        <v>11029</v>
      </c>
      <c r="C1376" s="2">
        <v>1.2793615E7</v>
      </c>
      <c r="D1376" s="2" t="s">
        <v>11030</v>
      </c>
      <c r="E1376" s="2">
        <v>5187723.0</v>
      </c>
      <c r="F1376" s="2">
        <v>219.0</v>
      </c>
      <c r="G1376" s="2">
        <v>16650.0</v>
      </c>
      <c r="H1376" s="2" t="s">
        <v>5906</v>
      </c>
      <c r="I1376" s="2" t="s">
        <v>5906</v>
      </c>
      <c r="J1376" s="2" t="s">
        <v>5561</v>
      </c>
      <c r="K1376" s="2" t="s">
        <v>11031</v>
      </c>
      <c r="L1376" s="10" t="s">
        <v>11032</v>
      </c>
    </row>
    <row r="1377">
      <c r="A1377" s="2" t="s">
        <v>5541</v>
      </c>
      <c r="B1377" s="2" t="s">
        <v>11033</v>
      </c>
      <c r="C1377" s="2">
        <v>1.95869708E8</v>
      </c>
      <c r="D1377" s="2" t="s">
        <v>11034</v>
      </c>
      <c r="E1377" s="2">
        <v>1568761.0</v>
      </c>
      <c r="F1377" s="2">
        <v>44.0</v>
      </c>
      <c r="G1377" s="2">
        <v>6525.0</v>
      </c>
      <c r="H1377" s="2" t="s">
        <v>5906</v>
      </c>
      <c r="I1377" s="2" t="s">
        <v>5905</v>
      </c>
      <c r="J1377" s="2" t="s">
        <v>5959</v>
      </c>
      <c r="K1377" s="2" t="s">
        <v>11035</v>
      </c>
    </row>
    <row r="1378">
      <c r="A1378" s="2" t="s">
        <v>5541</v>
      </c>
      <c r="B1378" s="2" t="s">
        <v>11036</v>
      </c>
      <c r="C1378" s="2">
        <v>1.15359205E10</v>
      </c>
      <c r="D1378" s="2" t="s">
        <v>11037</v>
      </c>
      <c r="E1378" s="2">
        <v>143415.0</v>
      </c>
      <c r="F1378" s="2">
        <v>3.0</v>
      </c>
      <c r="G1378" s="2">
        <v>128.0</v>
      </c>
      <c r="H1378" s="2" t="s">
        <v>5905</v>
      </c>
      <c r="I1378" s="2" t="s">
        <v>5906</v>
      </c>
      <c r="J1378" s="2" t="s">
        <v>4404</v>
      </c>
      <c r="K1378" s="2" t="s">
        <v>11038</v>
      </c>
    </row>
    <row r="1379">
      <c r="A1379" s="2" t="s">
        <v>5541</v>
      </c>
      <c r="B1379" s="2" t="s">
        <v>11039</v>
      </c>
      <c r="C1379" s="2">
        <v>9.86306527E8</v>
      </c>
      <c r="D1379" s="2" t="s">
        <v>5541</v>
      </c>
      <c r="E1379" s="2">
        <v>67328.0</v>
      </c>
      <c r="F1379" s="2">
        <v>64.0</v>
      </c>
      <c r="G1379" s="2">
        <v>1170.0</v>
      </c>
      <c r="H1379" s="2" t="s">
        <v>5905</v>
      </c>
      <c r="I1379" s="2" t="s">
        <v>5906</v>
      </c>
      <c r="J1379" s="2" t="s">
        <v>9848</v>
      </c>
      <c r="K1379" s="2" t="s">
        <v>11040</v>
      </c>
      <c r="L1379" s="10" t="s">
        <v>11041</v>
      </c>
    </row>
    <row r="1380">
      <c r="A1380" s="2" t="s">
        <v>5541</v>
      </c>
      <c r="B1380" s="2" t="s">
        <v>11042</v>
      </c>
      <c r="C1380" s="2">
        <v>3.1987775E8</v>
      </c>
      <c r="D1380" s="2" t="s">
        <v>11043</v>
      </c>
      <c r="E1380" s="2">
        <v>99862.0</v>
      </c>
      <c r="F1380" s="2">
        <v>7501.0</v>
      </c>
      <c r="G1380" s="2">
        <v>47305.0</v>
      </c>
      <c r="H1380" s="2" t="s">
        <v>5905</v>
      </c>
      <c r="I1380" s="2" t="s">
        <v>5906</v>
      </c>
      <c r="K1380" s="2" t="s">
        <v>11044</v>
      </c>
      <c r="L1380" s="10" t="s">
        <v>11045</v>
      </c>
    </row>
    <row r="1381">
      <c r="A1381" s="2" t="s">
        <v>5541</v>
      </c>
      <c r="B1381" s="2" t="s">
        <v>11046</v>
      </c>
      <c r="C1381" s="2">
        <v>5.7335606961E10</v>
      </c>
      <c r="D1381" s="2" t="s">
        <v>11047</v>
      </c>
      <c r="E1381" s="2">
        <v>67435.0</v>
      </c>
      <c r="F1381" s="2">
        <v>9.0</v>
      </c>
      <c r="G1381" s="2">
        <v>3356.0</v>
      </c>
      <c r="H1381" s="2" t="s">
        <v>5905</v>
      </c>
      <c r="I1381" s="2" t="s">
        <v>5905</v>
      </c>
      <c r="J1381" s="2" t="s">
        <v>5491</v>
      </c>
      <c r="K1381" s="2" t="s">
        <v>11048</v>
      </c>
    </row>
    <row r="1382">
      <c r="A1382" s="2" t="s">
        <v>5541</v>
      </c>
      <c r="B1382" s="2" t="s">
        <v>4571</v>
      </c>
      <c r="C1382" s="2">
        <v>4063286.0</v>
      </c>
      <c r="D1382" s="2" t="s">
        <v>11021</v>
      </c>
      <c r="E1382" s="2">
        <v>2522886.0</v>
      </c>
      <c r="F1382" s="2">
        <v>787.0</v>
      </c>
      <c r="G1382" s="2">
        <v>3318.0</v>
      </c>
      <c r="H1382" s="2" t="s">
        <v>5905</v>
      </c>
      <c r="I1382" s="2" t="s">
        <v>5905</v>
      </c>
      <c r="J1382" s="2" t="s">
        <v>5561</v>
      </c>
      <c r="K1382" s="2" t="s">
        <v>11049</v>
      </c>
    </row>
    <row r="1383">
      <c r="A1383" s="2" t="s">
        <v>5541</v>
      </c>
      <c r="B1383" s="2" t="s">
        <v>11050</v>
      </c>
      <c r="C1383" s="2">
        <v>8.471276941E9</v>
      </c>
      <c r="D1383" s="2" t="s">
        <v>11051</v>
      </c>
      <c r="E1383" s="2">
        <v>1309607.0</v>
      </c>
      <c r="F1383" s="2">
        <v>920.0</v>
      </c>
      <c r="G1383" s="2">
        <v>724.0</v>
      </c>
      <c r="H1383" s="2" t="s">
        <v>5906</v>
      </c>
      <c r="I1383" s="2" t="s">
        <v>5905</v>
      </c>
      <c r="J1383" s="2" t="s">
        <v>5993</v>
      </c>
      <c r="K1383" s="2" t="s">
        <v>11052</v>
      </c>
      <c r="L1383" s="10" t="s">
        <v>11053</v>
      </c>
    </row>
    <row r="1384">
      <c r="A1384" s="2" t="s">
        <v>5541</v>
      </c>
      <c r="B1384" s="2" t="s">
        <v>11054</v>
      </c>
      <c r="C1384" s="2">
        <v>1.5154440454E10</v>
      </c>
      <c r="D1384" s="2" t="s">
        <v>11055</v>
      </c>
      <c r="E1384" s="2">
        <v>118489.0</v>
      </c>
      <c r="F1384" s="2">
        <v>81.0</v>
      </c>
      <c r="G1384" s="2">
        <v>1906.0</v>
      </c>
      <c r="H1384" s="2" t="s">
        <v>5905</v>
      </c>
      <c r="I1384" s="2" t="s">
        <v>5906</v>
      </c>
      <c r="J1384" s="2" t="s">
        <v>6393</v>
      </c>
      <c r="K1384" s="2" t="s">
        <v>11056</v>
      </c>
    </row>
    <row r="1385">
      <c r="A1385" s="2" t="s">
        <v>5541</v>
      </c>
      <c r="B1385" s="2" t="s">
        <v>11057</v>
      </c>
      <c r="C1385" s="2">
        <v>4.676650883E10</v>
      </c>
      <c r="D1385" s="2" t="s">
        <v>11058</v>
      </c>
      <c r="E1385" s="2">
        <v>1039665.0</v>
      </c>
      <c r="F1385" s="2">
        <v>1.0</v>
      </c>
      <c r="G1385" s="2">
        <v>791.0</v>
      </c>
      <c r="H1385" s="2" t="s">
        <v>5905</v>
      </c>
      <c r="I1385" s="2" t="s">
        <v>5905</v>
      </c>
      <c r="J1385" s="2" t="s">
        <v>5391</v>
      </c>
      <c r="K1385" s="2" t="s">
        <v>11059</v>
      </c>
    </row>
    <row r="1386">
      <c r="A1386" s="2" t="s">
        <v>5541</v>
      </c>
      <c r="B1386" s="2" t="s">
        <v>11060</v>
      </c>
      <c r="C1386" s="2">
        <v>1.9215134E8</v>
      </c>
      <c r="D1386" s="2" t="s">
        <v>11061</v>
      </c>
      <c r="E1386" s="2">
        <v>2.3718336E7</v>
      </c>
      <c r="F1386" s="2">
        <v>46.0</v>
      </c>
      <c r="G1386" s="2">
        <v>725.0</v>
      </c>
      <c r="H1386" s="2" t="s">
        <v>5905</v>
      </c>
      <c r="I1386" s="2" t="s">
        <v>5905</v>
      </c>
      <c r="J1386" s="2" t="s">
        <v>5561</v>
      </c>
      <c r="K1386" s="2" t="s">
        <v>11062</v>
      </c>
      <c r="L1386" s="10" t="s">
        <v>11063</v>
      </c>
    </row>
    <row r="1387">
      <c r="A1387" s="2" t="s">
        <v>5541</v>
      </c>
      <c r="B1387" s="10" t="s">
        <v>11064</v>
      </c>
      <c r="C1387" s="2">
        <v>2.45000294E8</v>
      </c>
      <c r="D1387" s="2" t="s">
        <v>11061</v>
      </c>
      <c r="E1387" s="2">
        <v>4731126.0</v>
      </c>
      <c r="F1387" s="2">
        <v>9.0</v>
      </c>
      <c r="G1387" s="2">
        <v>521.0</v>
      </c>
      <c r="H1387" s="2" t="s">
        <v>5905</v>
      </c>
      <c r="I1387" s="2" t="s">
        <v>5906</v>
      </c>
      <c r="J1387" s="2" t="s">
        <v>5561</v>
      </c>
      <c r="K1387" s="2" t="s">
        <v>11065</v>
      </c>
      <c r="L1387" s="10" t="s">
        <v>11066</v>
      </c>
    </row>
    <row r="1388">
      <c r="A1388" s="2" t="s">
        <v>5541</v>
      </c>
      <c r="B1388" s="2" t="s">
        <v>11067</v>
      </c>
      <c r="C1388" s="2">
        <v>4.5320779783E10</v>
      </c>
      <c r="D1388" s="2" t="s">
        <v>11068</v>
      </c>
      <c r="E1388" s="2">
        <v>829246.0</v>
      </c>
      <c r="F1388" s="2">
        <v>49.0</v>
      </c>
      <c r="G1388" s="2">
        <v>1466.0</v>
      </c>
      <c r="H1388" s="2" t="s">
        <v>5905</v>
      </c>
      <c r="I1388" s="2" t="s">
        <v>5905</v>
      </c>
      <c r="J1388" s="2" t="s">
        <v>5561</v>
      </c>
      <c r="K1388" s="2" t="s">
        <v>11069</v>
      </c>
      <c r="L1388" s="10" t="s">
        <v>11070</v>
      </c>
    </row>
    <row r="1389">
      <c r="A1389" s="2" t="s">
        <v>5516</v>
      </c>
      <c r="B1389" s="2" t="s">
        <v>6276</v>
      </c>
      <c r="C1389" s="2">
        <v>3810502.0</v>
      </c>
      <c r="D1389" s="2" t="s">
        <v>6277</v>
      </c>
      <c r="E1389" s="2">
        <v>1945843.0</v>
      </c>
      <c r="F1389" s="2">
        <v>592.0</v>
      </c>
      <c r="G1389" s="2">
        <v>16026.0</v>
      </c>
      <c r="H1389" s="2" t="s">
        <v>5906</v>
      </c>
      <c r="I1389" s="2" t="s">
        <v>5906</v>
      </c>
      <c r="J1389" s="2" t="s">
        <v>6237</v>
      </c>
      <c r="K1389" s="2" t="s">
        <v>6278</v>
      </c>
      <c r="L1389" s="10" t="s">
        <v>6279</v>
      </c>
    </row>
    <row r="1390">
      <c r="A1390" s="2" t="s">
        <v>5516</v>
      </c>
      <c r="B1390" s="2" t="s">
        <v>11071</v>
      </c>
      <c r="C1390" s="2">
        <v>7.392142812E9</v>
      </c>
      <c r="D1390" s="2" t="s">
        <v>11072</v>
      </c>
      <c r="E1390" s="2">
        <v>35874.0</v>
      </c>
      <c r="F1390" s="2">
        <v>643.0</v>
      </c>
      <c r="G1390" s="2">
        <v>134.0</v>
      </c>
      <c r="H1390" s="2" t="s">
        <v>5906</v>
      </c>
      <c r="I1390" s="2" t="s">
        <v>5906</v>
      </c>
      <c r="J1390" s="2" t="s">
        <v>6237</v>
      </c>
      <c r="K1390" s="2" t="s">
        <v>11073</v>
      </c>
      <c r="L1390" s="10" t="s">
        <v>11074</v>
      </c>
    </row>
    <row r="1391">
      <c r="A1391" s="2" t="s">
        <v>5516</v>
      </c>
      <c r="B1391" s="2" t="s">
        <v>11075</v>
      </c>
      <c r="C1391" s="2">
        <v>2.1270312E7</v>
      </c>
      <c r="D1391" s="2" t="s">
        <v>11076</v>
      </c>
      <c r="E1391" s="2">
        <v>873157.0</v>
      </c>
      <c r="F1391" s="2">
        <v>3275.0</v>
      </c>
      <c r="G1391" s="2">
        <v>14290.0</v>
      </c>
      <c r="H1391" s="2" t="s">
        <v>5906</v>
      </c>
      <c r="I1391" s="2" t="s">
        <v>5906</v>
      </c>
      <c r="J1391" s="2" t="s">
        <v>6032</v>
      </c>
      <c r="K1391" s="2" t="s">
        <v>11077</v>
      </c>
      <c r="L1391" s="10" t="s">
        <v>11078</v>
      </c>
    </row>
    <row r="1392">
      <c r="A1392" s="2" t="s">
        <v>5516</v>
      </c>
      <c r="B1392" s="2" t="s">
        <v>11079</v>
      </c>
      <c r="C1392" s="2">
        <v>3.21715519E8</v>
      </c>
      <c r="D1392" s="2" t="s">
        <v>11080</v>
      </c>
      <c r="E1392" s="2">
        <v>1168208.0</v>
      </c>
      <c r="F1392" s="2">
        <v>282.0</v>
      </c>
      <c r="G1392" s="2">
        <v>14524.0</v>
      </c>
      <c r="H1392" s="2" t="s">
        <v>5906</v>
      </c>
      <c r="I1392" s="2" t="s">
        <v>5906</v>
      </c>
      <c r="J1392" s="2" t="s">
        <v>6237</v>
      </c>
      <c r="K1392" s="2" t="s">
        <v>11081</v>
      </c>
      <c r="L1392" s="10" t="s">
        <v>11082</v>
      </c>
    </row>
    <row r="1393">
      <c r="A1393" s="2" t="s">
        <v>5516</v>
      </c>
      <c r="B1393" s="10" t="s">
        <v>11083</v>
      </c>
      <c r="C1393" s="2">
        <v>7.481635096E9</v>
      </c>
      <c r="D1393" s="2" t="s">
        <v>11084</v>
      </c>
      <c r="E1393" s="2">
        <v>24378.0</v>
      </c>
      <c r="F1393" s="2">
        <v>2.0</v>
      </c>
      <c r="G1393" s="2">
        <v>805.0</v>
      </c>
      <c r="H1393" s="2" t="s">
        <v>5905</v>
      </c>
      <c r="I1393" s="2" t="s">
        <v>5906</v>
      </c>
      <c r="J1393" s="2" t="s">
        <v>6237</v>
      </c>
      <c r="K1393" s="2" t="s">
        <v>11085</v>
      </c>
      <c r="L1393" s="10" t="s">
        <v>11086</v>
      </c>
    </row>
    <row r="1394">
      <c r="A1394" s="2" t="s">
        <v>5516</v>
      </c>
      <c r="B1394" s="2" t="s">
        <v>11087</v>
      </c>
      <c r="C1394" s="2">
        <v>3.124142761E9</v>
      </c>
      <c r="D1394" s="2" t="s">
        <v>11088</v>
      </c>
      <c r="E1394" s="2">
        <v>4128659.0</v>
      </c>
      <c r="F1394" s="2">
        <v>8.0</v>
      </c>
      <c r="G1394" s="2">
        <v>285.0</v>
      </c>
      <c r="H1394" s="2" t="s">
        <v>5906</v>
      </c>
      <c r="I1394" s="2" t="s">
        <v>5905</v>
      </c>
      <c r="J1394" s="2" t="s">
        <v>6124</v>
      </c>
      <c r="L1394" s="10" t="s">
        <v>11089</v>
      </c>
    </row>
    <row r="1395">
      <c r="A1395" s="2" t="s">
        <v>5516</v>
      </c>
      <c r="B1395" s="2" t="s">
        <v>11090</v>
      </c>
      <c r="C1395" s="2">
        <v>1.356669697E9</v>
      </c>
      <c r="D1395" s="2" t="s">
        <v>11091</v>
      </c>
      <c r="E1395" s="2">
        <v>1017833.0</v>
      </c>
      <c r="F1395" s="2">
        <v>43.0</v>
      </c>
      <c r="G1395" s="2">
        <v>69599.0</v>
      </c>
      <c r="H1395" s="2" t="s">
        <v>5906</v>
      </c>
      <c r="I1395" s="2" t="s">
        <v>5906</v>
      </c>
      <c r="K1395" s="2" t="s">
        <v>11092</v>
      </c>
      <c r="L1395" s="10" t="s">
        <v>11093</v>
      </c>
    </row>
    <row r="1396">
      <c r="A1396" s="2" t="s">
        <v>5576</v>
      </c>
      <c r="B1396" s="2" t="s">
        <v>11094</v>
      </c>
      <c r="C1396" s="2">
        <v>2.0051066E7</v>
      </c>
      <c r="D1396" s="2" t="s">
        <v>11095</v>
      </c>
      <c r="E1396" s="2">
        <v>668363.0</v>
      </c>
      <c r="F1396" s="2">
        <v>1432.0</v>
      </c>
      <c r="G1396" s="2">
        <v>3660.0</v>
      </c>
      <c r="H1396" s="2" t="s">
        <v>5906</v>
      </c>
      <c r="I1396" s="2" t="s">
        <v>5906</v>
      </c>
      <c r="J1396" s="2" t="s">
        <v>9263</v>
      </c>
      <c r="K1396" s="2" t="s">
        <v>11096</v>
      </c>
      <c r="L1396" s="10" t="s">
        <v>11097</v>
      </c>
    </row>
    <row r="1397">
      <c r="A1397" s="2" t="s">
        <v>5576</v>
      </c>
      <c r="B1397" s="2" t="s">
        <v>11098</v>
      </c>
      <c r="C1397" s="2">
        <v>7.935950139E9</v>
      </c>
      <c r="D1397" s="2" t="s">
        <v>11099</v>
      </c>
      <c r="E1397" s="2">
        <v>549911.0</v>
      </c>
      <c r="F1397" s="2">
        <v>409.0</v>
      </c>
      <c r="G1397" s="2">
        <v>169.0</v>
      </c>
      <c r="H1397" s="2" t="s">
        <v>5905</v>
      </c>
      <c r="I1397" s="2" t="s">
        <v>5905</v>
      </c>
      <c r="J1397" s="2" t="s">
        <v>5928</v>
      </c>
      <c r="K1397" s="2" t="s">
        <v>11100</v>
      </c>
      <c r="L1397" s="10" t="s">
        <v>11101</v>
      </c>
    </row>
    <row r="1398">
      <c r="A1398" s="2" t="s">
        <v>5576</v>
      </c>
      <c r="B1398" s="2" t="s">
        <v>11102</v>
      </c>
      <c r="C1398" s="2">
        <v>1.5844299284E10</v>
      </c>
      <c r="D1398" s="2" t="s">
        <v>11103</v>
      </c>
      <c r="E1398" s="2">
        <v>406711.0</v>
      </c>
      <c r="F1398" s="2">
        <v>25.0</v>
      </c>
      <c r="G1398" s="2">
        <v>2266.0</v>
      </c>
      <c r="H1398" s="2" t="s">
        <v>5906</v>
      </c>
      <c r="I1398" s="2" t="s">
        <v>5906</v>
      </c>
      <c r="J1398" s="2" t="s">
        <v>5959</v>
      </c>
      <c r="K1398" s="2" t="s">
        <v>11104</v>
      </c>
      <c r="L1398" s="10" t="s">
        <v>11105</v>
      </c>
    </row>
    <row r="1399">
      <c r="A1399" s="2" t="s">
        <v>5576</v>
      </c>
      <c r="B1399" s="2" t="s">
        <v>11106</v>
      </c>
      <c r="C1399" s="2">
        <v>5.6569372933E10</v>
      </c>
      <c r="D1399" s="2" t="s">
        <v>11107</v>
      </c>
      <c r="E1399" s="2">
        <v>644059.0</v>
      </c>
      <c r="F1399" s="2">
        <v>615.0</v>
      </c>
      <c r="G1399" s="2">
        <v>327.0</v>
      </c>
      <c r="H1399" s="2" t="s">
        <v>5905</v>
      </c>
      <c r="I1399" s="2" t="s">
        <v>5905</v>
      </c>
      <c r="J1399" s="2" t="s">
        <v>5391</v>
      </c>
      <c r="K1399" s="2" t="s">
        <v>11108</v>
      </c>
      <c r="L1399" s="10" t="s">
        <v>11109</v>
      </c>
    </row>
    <row r="1400">
      <c r="A1400" s="2" t="s">
        <v>5574</v>
      </c>
      <c r="B1400" s="2" t="s">
        <v>11110</v>
      </c>
      <c r="C1400" s="2">
        <v>4.5086472223E10</v>
      </c>
      <c r="D1400" s="12" t="s">
        <v>11111</v>
      </c>
      <c r="E1400" s="2">
        <v>155017.0</v>
      </c>
      <c r="F1400" s="2">
        <v>476.0</v>
      </c>
      <c r="G1400" s="2">
        <v>1378.0</v>
      </c>
      <c r="H1400" s="2" t="s">
        <v>5905</v>
      </c>
      <c r="I1400" s="2" t="s">
        <v>5906</v>
      </c>
      <c r="J1400" s="2" t="s">
        <v>6393</v>
      </c>
      <c r="K1400" s="12" t="s">
        <v>11112</v>
      </c>
      <c r="L1400" s="10" t="s">
        <v>11113</v>
      </c>
    </row>
    <row r="1401">
      <c r="A1401" s="2" t="s">
        <v>5567</v>
      </c>
      <c r="B1401" s="2" t="s">
        <v>11114</v>
      </c>
      <c r="C1401" s="2">
        <v>7.3526172452E10</v>
      </c>
      <c r="D1401" s="2" t="s">
        <v>11115</v>
      </c>
      <c r="E1401" s="2">
        <v>691810.0</v>
      </c>
      <c r="F1401" s="2">
        <v>0.0</v>
      </c>
      <c r="G1401" s="2">
        <v>2.0</v>
      </c>
      <c r="H1401" s="2" t="s">
        <v>5906</v>
      </c>
      <c r="I1401" s="2" t="s">
        <v>5905</v>
      </c>
      <c r="J1401" s="2" t="s">
        <v>5959</v>
      </c>
      <c r="K1401" s="2" t="s">
        <v>11116</v>
      </c>
    </row>
    <row r="1402">
      <c r="A1402" s="2" t="s">
        <v>5567</v>
      </c>
      <c r="B1402" s="2" t="s">
        <v>11117</v>
      </c>
      <c r="C1402" s="2">
        <v>1.606898667E9</v>
      </c>
      <c r="D1402" s="2" t="s">
        <v>11118</v>
      </c>
      <c r="E1402" s="2">
        <v>1.1640253E7</v>
      </c>
      <c r="F1402" s="2">
        <v>46.0</v>
      </c>
      <c r="G1402" s="2">
        <v>7.0</v>
      </c>
      <c r="H1402" s="2" t="s">
        <v>5906</v>
      </c>
      <c r="I1402" s="2" t="s">
        <v>5905</v>
      </c>
      <c r="L1402" s="10" t="s">
        <v>11119</v>
      </c>
    </row>
    <row r="1403">
      <c r="A1403" s="2" t="s">
        <v>5567</v>
      </c>
      <c r="B1403" s="2" t="s">
        <v>11120</v>
      </c>
      <c r="C1403" s="2">
        <v>3.47696668E8</v>
      </c>
      <c r="D1403" s="2" t="s">
        <v>11121</v>
      </c>
      <c r="E1403" s="2">
        <v>3.6979492E7</v>
      </c>
      <c r="F1403" s="2">
        <v>47.0</v>
      </c>
      <c r="G1403" s="2">
        <v>7693.0</v>
      </c>
      <c r="H1403" s="2" t="s">
        <v>5906</v>
      </c>
      <c r="I1403" s="2" t="s">
        <v>5905</v>
      </c>
      <c r="J1403" s="2" t="s">
        <v>11122</v>
      </c>
      <c r="K1403" s="2" t="s">
        <v>11123</v>
      </c>
    </row>
    <row r="1404">
      <c r="A1404" s="2" t="s">
        <v>5567</v>
      </c>
      <c r="B1404" s="2" t="s">
        <v>11124</v>
      </c>
      <c r="C1404" s="2">
        <v>2.90023231E8</v>
      </c>
      <c r="D1404" s="2" t="s">
        <v>11125</v>
      </c>
      <c r="E1404" s="2">
        <v>1.77640626E8</v>
      </c>
      <c r="F1404" s="2">
        <v>64.0</v>
      </c>
      <c r="G1404" s="2">
        <v>17334.0</v>
      </c>
      <c r="H1404" s="2" t="s">
        <v>5906</v>
      </c>
      <c r="I1404" s="2" t="s">
        <v>5906</v>
      </c>
      <c r="K1404" s="2" t="s">
        <v>11126</v>
      </c>
      <c r="L1404" s="10" t="s">
        <v>11127</v>
      </c>
    </row>
    <row r="1405">
      <c r="A1405" s="2" t="s">
        <v>5567</v>
      </c>
      <c r="B1405" s="2" t="s">
        <v>11128</v>
      </c>
      <c r="C1405" s="2">
        <v>4.563676843E10</v>
      </c>
      <c r="D1405" s="2" t="s">
        <v>11129</v>
      </c>
      <c r="E1405" s="2">
        <v>1591689.0</v>
      </c>
      <c r="F1405" s="2">
        <v>1.0</v>
      </c>
      <c r="G1405" s="2">
        <v>1471.0</v>
      </c>
      <c r="H1405" s="2" t="s">
        <v>5906</v>
      </c>
      <c r="I1405" s="2" t="s">
        <v>5906</v>
      </c>
      <c r="J1405" s="2" t="s">
        <v>5907</v>
      </c>
      <c r="K1405" s="2" t="s">
        <v>11130</v>
      </c>
      <c r="L1405" s="10" t="s">
        <v>11131</v>
      </c>
    </row>
    <row r="1406">
      <c r="A1406" s="2" t="s">
        <v>5567</v>
      </c>
      <c r="B1406" s="2" t="s">
        <v>11132</v>
      </c>
      <c r="C1406" s="2">
        <v>1.292592968E9</v>
      </c>
      <c r="D1406" s="2" t="s">
        <v>11133</v>
      </c>
      <c r="E1406" s="2">
        <v>2.3632804E7</v>
      </c>
      <c r="F1406" s="2">
        <v>8.0</v>
      </c>
      <c r="G1406" s="2">
        <v>408.0</v>
      </c>
      <c r="H1406" s="2" t="s">
        <v>5906</v>
      </c>
      <c r="I1406" s="2" t="s">
        <v>5905</v>
      </c>
      <c r="J1406" s="2" t="s">
        <v>6628</v>
      </c>
      <c r="L1406" s="10" t="s">
        <v>11134</v>
      </c>
    </row>
    <row r="1407">
      <c r="A1407" s="2" t="s">
        <v>5567</v>
      </c>
      <c r="B1407" s="2" t="s">
        <v>11135</v>
      </c>
      <c r="C1407" s="2">
        <v>5.405460985E9</v>
      </c>
      <c r="D1407" s="2" t="s">
        <v>11136</v>
      </c>
      <c r="E1407" s="2">
        <v>3.2415966E7</v>
      </c>
      <c r="F1407" s="2">
        <v>17.0</v>
      </c>
      <c r="G1407" s="2">
        <v>4710.0</v>
      </c>
      <c r="H1407" s="2" t="s">
        <v>5906</v>
      </c>
      <c r="I1407" s="2" t="s">
        <v>5905</v>
      </c>
      <c r="J1407" s="2" t="s">
        <v>6628</v>
      </c>
      <c r="K1407" s="2" t="s">
        <v>11137</v>
      </c>
      <c r="L1407" s="10" t="s">
        <v>11138</v>
      </c>
    </row>
    <row r="1408">
      <c r="A1408" s="2" t="s">
        <v>5567</v>
      </c>
      <c r="B1408" s="2" t="s">
        <v>11139</v>
      </c>
      <c r="C1408" s="2">
        <v>2.5998621E7</v>
      </c>
      <c r="D1408" s="2" t="s">
        <v>11139</v>
      </c>
      <c r="E1408" s="2">
        <v>2432895.0</v>
      </c>
      <c r="F1408" s="2">
        <v>41.0</v>
      </c>
      <c r="G1408" s="2">
        <v>763.0</v>
      </c>
      <c r="H1408" s="2" t="s">
        <v>5906</v>
      </c>
      <c r="I1408" s="2" t="s">
        <v>5905</v>
      </c>
      <c r="J1408" s="2" t="s">
        <v>5484</v>
      </c>
      <c r="K1408" s="2" t="s">
        <v>11140</v>
      </c>
    </row>
    <row r="1409">
      <c r="A1409" s="2" t="s">
        <v>5567</v>
      </c>
      <c r="B1409" s="2" t="s">
        <v>11141</v>
      </c>
      <c r="C1409" s="2">
        <v>3.6839367E8</v>
      </c>
      <c r="E1409" s="2">
        <v>9903283.0</v>
      </c>
      <c r="F1409" s="2">
        <v>20.0</v>
      </c>
      <c r="G1409" s="2">
        <v>5.0</v>
      </c>
      <c r="H1409" s="2" t="s">
        <v>5905</v>
      </c>
      <c r="I1409" s="2" t="s">
        <v>5905</v>
      </c>
      <c r="J1409" s="2" t="s">
        <v>5391</v>
      </c>
    </row>
    <row r="1410">
      <c r="A1410" s="2" t="s">
        <v>5567</v>
      </c>
      <c r="B1410" s="2" t="s">
        <v>11142</v>
      </c>
      <c r="C1410" s="2">
        <v>7.5101508539E10</v>
      </c>
      <c r="D1410" s="2" t="s">
        <v>11143</v>
      </c>
      <c r="E1410" s="2">
        <v>21885.0</v>
      </c>
      <c r="F1410" s="2">
        <v>7.0</v>
      </c>
      <c r="G1410" s="2">
        <v>483.0</v>
      </c>
      <c r="H1410" s="2" t="s">
        <v>5905</v>
      </c>
      <c r="I1410" s="2" t="s">
        <v>5905</v>
      </c>
      <c r="J1410" s="2" t="s">
        <v>5968</v>
      </c>
      <c r="K1410" s="2" t="s">
        <v>11144</v>
      </c>
    </row>
    <row r="1411">
      <c r="A1411" s="2" t="s">
        <v>5567</v>
      </c>
      <c r="B1411" s="2" t="s">
        <v>11145</v>
      </c>
      <c r="C1411" s="2">
        <v>5.6120749946E10</v>
      </c>
      <c r="D1411" s="2" t="s">
        <v>11146</v>
      </c>
      <c r="E1411" s="2">
        <v>7695235.0</v>
      </c>
      <c r="F1411" s="2">
        <v>174.0</v>
      </c>
      <c r="G1411" s="2">
        <v>4136.0</v>
      </c>
      <c r="H1411" s="2" t="s">
        <v>5905</v>
      </c>
      <c r="I1411" s="2" t="s">
        <v>5906</v>
      </c>
      <c r="J1411" s="2" t="s">
        <v>6002</v>
      </c>
      <c r="K1411" s="2" t="s">
        <v>11147</v>
      </c>
      <c r="L1411" s="10" t="s">
        <v>11148</v>
      </c>
    </row>
    <row r="1412">
      <c r="A1412" s="2" t="s">
        <v>5567</v>
      </c>
      <c r="B1412" s="2" t="s">
        <v>11149</v>
      </c>
      <c r="C1412" s="2">
        <v>4.9479440117E10</v>
      </c>
      <c r="D1412" s="2" t="s">
        <v>11150</v>
      </c>
      <c r="E1412" s="2">
        <v>364878.0</v>
      </c>
      <c r="F1412" s="2">
        <v>77.0</v>
      </c>
      <c r="G1412" s="2">
        <v>1174.0</v>
      </c>
      <c r="H1412" s="2" t="s">
        <v>5905</v>
      </c>
      <c r="I1412" s="2" t="s">
        <v>5905</v>
      </c>
      <c r="J1412" s="2" t="s">
        <v>5959</v>
      </c>
      <c r="K1412" s="2" t="s">
        <v>11151</v>
      </c>
      <c r="L1412" s="10" t="s">
        <v>11152</v>
      </c>
    </row>
    <row r="1413">
      <c r="A1413" s="2" t="s">
        <v>5370</v>
      </c>
      <c r="B1413" s="2" t="s">
        <v>11153</v>
      </c>
      <c r="C1413" s="2">
        <v>2983181.0</v>
      </c>
      <c r="D1413" s="2" t="s">
        <v>5370</v>
      </c>
      <c r="E1413" s="2">
        <v>3346104.0</v>
      </c>
      <c r="F1413" s="2">
        <v>757.0</v>
      </c>
      <c r="G1413" s="2">
        <v>18238.0</v>
      </c>
      <c r="H1413" s="2" t="s">
        <v>5906</v>
      </c>
      <c r="I1413" s="2" t="s">
        <v>5906</v>
      </c>
      <c r="K1413" s="2" t="s">
        <v>11154</v>
      </c>
      <c r="L1413" s="10" t="s">
        <v>11155</v>
      </c>
    </row>
    <row r="1414">
      <c r="A1414" s="2" t="s">
        <v>5370</v>
      </c>
      <c r="B1414" s="2" t="s">
        <v>11156</v>
      </c>
      <c r="C1414" s="2">
        <v>3.2185243723E10</v>
      </c>
      <c r="D1414" s="2" t="s">
        <v>11157</v>
      </c>
      <c r="E1414" s="2">
        <v>24941.0</v>
      </c>
      <c r="F1414" s="2">
        <v>738.0</v>
      </c>
      <c r="G1414" s="2">
        <v>3325.0</v>
      </c>
      <c r="H1414" s="2" t="s">
        <v>5906</v>
      </c>
      <c r="I1414" s="2" t="s">
        <v>5906</v>
      </c>
      <c r="J1414" s="2" t="s">
        <v>5907</v>
      </c>
      <c r="K1414" s="2" t="s">
        <v>11158</v>
      </c>
      <c r="L1414" s="10" t="s">
        <v>11159</v>
      </c>
    </row>
    <row r="1415">
      <c r="A1415" s="2" t="s">
        <v>5370</v>
      </c>
      <c r="B1415" s="2" t="s">
        <v>11160</v>
      </c>
      <c r="C1415" s="2">
        <v>9.521759626E9</v>
      </c>
      <c r="D1415" s="2" t="s">
        <v>11161</v>
      </c>
      <c r="E1415" s="2">
        <v>16056.0</v>
      </c>
      <c r="F1415" s="2">
        <v>276.0</v>
      </c>
      <c r="G1415" s="2">
        <v>1360.0</v>
      </c>
      <c r="H1415" s="2" t="s">
        <v>5906</v>
      </c>
      <c r="I1415" s="2" t="s">
        <v>5906</v>
      </c>
      <c r="J1415" s="2" t="s">
        <v>5911</v>
      </c>
      <c r="K1415" s="2" t="s">
        <v>11162</v>
      </c>
      <c r="L1415" s="10" t="s">
        <v>11163</v>
      </c>
    </row>
    <row r="1416">
      <c r="A1416" s="2" t="s">
        <v>5370</v>
      </c>
      <c r="B1416" s="2" t="s">
        <v>11164</v>
      </c>
      <c r="C1416" s="2">
        <v>3.203927888E9</v>
      </c>
      <c r="D1416" s="2" t="s">
        <v>11165</v>
      </c>
      <c r="E1416" s="2">
        <v>23221.0</v>
      </c>
      <c r="F1416" s="2">
        <v>1434.0</v>
      </c>
      <c r="G1416" s="2">
        <v>5419.0</v>
      </c>
      <c r="H1416" s="2" t="s">
        <v>5906</v>
      </c>
      <c r="I1416" s="2" t="s">
        <v>5906</v>
      </c>
      <c r="J1416" s="2" t="s">
        <v>5492</v>
      </c>
      <c r="K1416" s="2" t="s">
        <v>11166</v>
      </c>
      <c r="L1416" s="10" t="s">
        <v>11167</v>
      </c>
    </row>
    <row r="1417">
      <c r="A1417" s="2" t="s">
        <v>5370</v>
      </c>
      <c r="B1417" s="2" t="s">
        <v>11168</v>
      </c>
      <c r="C1417" s="2">
        <v>2.229355944E9</v>
      </c>
      <c r="D1417" s="2" t="s">
        <v>11169</v>
      </c>
      <c r="E1417" s="2">
        <v>151117.0</v>
      </c>
      <c r="F1417" s="2">
        <v>1290.0</v>
      </c>
      <c r="G1417" s="2">
        <v>8967.0</v>
      </c>
      <c r="H1417" s="2" t="s">
        <v>5906</v>
      </c>
      <c r="I1417" s="2" t="s">
        <v>5906</v>
      </c>
      <c r="K1417" s="2" t="s">
        <v>11170</v>
      </c>
      <c r="L1417" s="10" t="s">
        <v>11171</v>
      </c>
    </row>
    <row r="1418">
      <c r="A1418" s="2" t="s">
        <v>5483</v>
      </c>
      <c r="B1418" s="2" t="s">
        <v>11172</v>
      </c>
      <c r="C1418" s="2">
        <v>3.3978833637E10</v>
      </c>
      <c r="D1418" s="10" t="s">
        <v>11173</v>
      </c>
      <c r="E1418" s="2">
        <v>85909.0</v>
      </c>
      <c r="F1418" s="2">
        <v>34.0</v>
      </c>
      <c r="G1418" s="2">
        <v>750.0</v>
      </c>
      <c r="H1418" s="2" t="s">
        <v>5905</v>
      </c>
      <c r="I1418" s="2" t="s">
        <v>5905</v>
      </c>
      <c r="J1418" s="2" t="s">
        <v>5959</v>
      </c>
      <c r="K1418" s="2" t="s">
        <v>11174</v>
      </c>
    </row>
    <row r="1419">
      <c r="A1419" s="2" t="s">
        <v>5483</v>
      </c>
      <c r="B1419" s="2" t="s">
        <v>11175</v>
      </c>
      <c r="C1419" s="2">
        <v>6.890177257E9</v>
      </c>
      <c r="D1419" s="2" t="s">
        <v>11176</v>
      </c>
      <c r="E1419" s="2">
        <v>57986.0</v>
      </c>
      <c r="F1419" s="2">
        <v>60.0</v>
      </c>
      <c r="G1419" s="2">
        <v>1116.0</v>
      </c>
      <c r="H1419" s="2" t="s">
        <v>5905</v>
      </c>
      <c r="I1419" s="2" t="s">
        <v>5905</v>
      </c>
      <c r="J1419" s="2" t="s">
        <v>7620</v>
      </c>
      <c r="K1419" s="2" t="s">
        <v>11177</v>
      </c>
      <c r="L1419" s="10" t="s">
        <v>11178</v>
      </c>
    </row>
    <row r="1420">
      <c r="A1420" s="2" t="s">
        <v>5483</v>
      </c>
      <c r="B1420" s="2" t="s">
        <v>11179</v>
      </c>
      <c r="C1420" s="2">
        <v>6.1319125732E10</v>
      </c>
      <c r="D1420" s="2" t="s">
        <v>11180</v>
      </c>
      <c r="E1420" s="2">
        <v>35377.0</v>
      </c>
      <c r="F1420" s="2">
        <v>178.0</v>
      </c>
      <c r="G1420" s="2">
        <v>0.0</v>
      </c>
      <c r="H1420" s="2" t="s">
        <v>5905</v>
      </c>
      <c r="I1420" s="2" t="s">
        <v>5905</v>
      </c>
      <c r="J1420" s="2" t="s">
        <v>5484</v>
      </c>
      <c r="K1420" s="2" t="s">
        <v>11181</v>
      </c>
    </row>
    <row r="1421">
      <c r="A1421" s="2" t="s">
        <v>5483</v>
      </c>
      <c r="B1421" s="2" t="s">
        <v>11182</v>
      </c>
      <c r="C1421" s="2">
        <v>1.8258935E8</v>
      </c>
      <c r="D1421" s="2" t="s">
        <v>11183</v>
      </c>
      <c r="E1421" s="2">
        <v>2844689.0</v>
      </c>
      <c r="F1421" s="2">
        <v>839.0</v>
      </c>
      <c r="G1421" s="2">
        <v>28401.0</v>
      </c>
      <c r="H1421" s="2" t="s">
        <v>5906</v>
      </c>
      <c r="I1421" s="2" t="s">
        <v>5906</v>
      </c>
      <c r="K1421" s="2" t="s">
        <v>11184</v>
      </c>
      <c r="L1421" s="10" t="s">
        <v>11185</v>
      </c>
    </row>
    <row r="1422">
      <c r="A1422" s="2" t="s">
        <v>5483</v>
      </c>
      <c r="B1422" s="2" t="s">
        <v>11186</v>
      </c>
      <c r="C1422" s="2">
        <v>9.1140471E8</v>
      </c>
      <c r="D1422" s="2" t="s">
        <v>11187</v>
      </c>
      <c r="E1422" s="2">
        <v>1308155.0</v>
      </c>
      <c r="F1422" s="2">
        <v>648.0</v>
      </c>
      <c r="G1422" s="2">
        <v>6667.0</v>
      </c>
      <c r="H1422" s="2" t="s">
        <v>5906</v>
      </c>
      <c r="I1422" s="2" t="s">
        <v>5906</v>
      </c>
      <c r="J1422" s="2" t="s">
        <v>5391</v>
      </c>
      <c r="K1422" s="2" t="s">
        <v>11188</v>
      </c>
      <c r="L1422" s="10" t="s">
        <v>11189</v>
      </c>
    </row>
    <row r="1423">
      <c r="A1423" s="2" t="s">
        <v>5483</v>
      </c>
      <c r="B1423" s="2" t="s">
        <v>11190</v>
      </c>
      <c r="C1423" s="2">
        <v>2.72524792E8</v>
      </c>
      <c r="D1423" s="2" t="s">
        <v>11191</v>
      </c>
      <c r="E1423" s="2">
        <v>99345.0</v>
      </c>
      <c r="F1423" s="2">
        <v>2310.0</v>
      </c>
      <c r="G1423" s="2">
        <v>1444.0</v>
      </c>
      <c r="H1423" s="2" t="s">
        <v>5906</v>
      </c>
      <c r="I1423" s="2" t="s">
        <v>5905</v>
      </c>
      <c r="K1423" s="2" t="s">
        <v>11192</v>
      </c>
      <c r="L1423" s="10" t="s">
        <v>11193</v>
      </c>
    </row>
    <row r="1424">
      <c r="A1424" s="2" t="s">
        <v>5483</v>
      </c>
      <c r="B1424" s="2" t="s">
        <v>11194</v>
      </c>
      <c r="C1424" s="2">
        <v>1.641169527E9</v>
      </c>
      <c r="D1424" s="2" t="s">
        <v>11195</v>
      </c>
      <c r="E1424" s="2">
        <v>36513.0</v>
      </c>
      <c r="F1424" s="2">
        <v>145.0</v>
      </c>
      <c r="G1424" s="2">
        <v>1053.0</v>
      </c>
      <c r="H1424" s="2" t="s">
        <v>5906</v>
      </c>
      <c r="I1424" s="2" t="s">
        <v>5906</v>
      </c>
      <c r="J1424" s="2" t="s">
        <v>5484</v>
      </c>
      <c r="K1424" s="2" t="s">
        <v>11196</v>
      </c>
      <c r="L1424" s="10" t="s">
        <v>11197</v>
      </c>
    </row>
    <row r="1425">
      <c r="A1425" s="2" t="s">
        <v>5483</v>
      </c>
      <c r="B1425" s="2" t="s">
        <v>11198</v>
      </c>
      <c r="C1425" s="2">
        <v>6.95011236E8</v>
      </c>
      <c r="D1425" s="2" t="s">
        <v>11199</v>
      </c>
      <c r="E1425" s="2">
        <v>273015.0</v>
      </c>
      <c r="F1425" s="2">
        <v>791.0</v>
      </c>
      <c r="G1425" s="2">
        <v>8989.0</v>
      </c>
      <c r="H1425" s="2" t="s">
        <v>5906</v>
      </c>
      <c r="I1425" s="2" t="s">
        <v>5905</v>
      </c>
      <c r="J1425" s="2" t="s">
        <v>5492</v>
      </c>
      <c r="K1425" s="2" t="s">
        <v>11200</v>
      </c>
      <c r="L1425" s="10" t="s">
        <v>11201</v>
      </c>
    </row>
    <row r="1426">
      <c r="A1426" s="2" t="s">
        <v>5483</v>
      </c>
      <c r="B1426" s="2" t="s">
        <v>11202</v>
      </c>
      <c r="C1426" s="2">
        <v>1.82799142E8</v>
      </c>
      <c r="D1426" s="2" t="s">
        <v>11203</v>
      </c>
      <c r="E1426" s="2">
        <v>1082809.0</v>
      </c>
      <c r="F1426" s="2">
        <v>78.0</v>
      </c>
      <c r="G1426" s="2">
        <v>47617.0</v>
      </c>
      <c r="H1426" s="2" t="s">
        <v>5906</v>
      </c>
      <c r="I1426" s="2" t="s">
        <v>5906</v>
      </c>
      <c r="J1426" s="2" t="s">
        <v>5907</v>
      </c>
      <c r="K1426" s="2" t="s">
        <v>11204</v>
      </c>
      <c r="L1426" s="10" t="s">
        <v>11205</v>
      </c>
    </row>
    <row r="1427">
      <c r="A1427" s="2" t="s">
        <v>5483</v>
      </c>
      <c r="B1427" s="2" t="s">
        <v>11206</v>
      </c>
      <c r="C1427" s="2">
        <v>2.31709244E8</v>
      </c>
      <c r="D1427" s="2" t="s">
        <v>11207</v>
      </c>
      <c r="E1427" s="2">
        <v>80120.0</v>
      </c>
      <c r="F1427" s="2">
        <v>3952.0</v>
      </c>
      <c r="G1427" s="2">
        <v>1824.0</v>
      </c>
      <c r="H1427" s="2" t="s">
        <v>5906</v>
      </c>
      <c r="I1427" s="2" t="s">
        <v>5905</v>
      </c>
      <c r="J1427" s="2" t="s">
        <v>4404</v>
      </c>
      <c r="K1427" s="2" t="s">
        <v>11208</v>
      </c>
      <c r="L1427" s="10" t="s">
        <v>11209</v>
      </c>
    </row>
    <row r="1428">
      <c r="A1428" s="2" t="s">
        <v>5483</v>
      </c>
      <c r="B1428" s="2" t="s">
        <v>11210</v>
      </c>
      <c r="C1428" s="2">
        <v>2.164026429E9</v>
      </c>
      <c r="D1428" s="2" t="s">
        <v>11211</v>
      </c>
      <c r="E1428" s="2">
        <v>272982.0</v>
      </c>
      <c r="F1428" s="2">
        <v>179.0</v>
      </c>
      <c r="G1428" s="2">
        <v>1714.0</v>
      </c>
      <c r="H1428" s="2" t="s">
        <v>5905</v>
      </c>
      <c r="I1428" s="2" t="s">
        <v>5906</v>
      </c>
      <c r="J1428" s="2" t="s">
        <v>5911</v>
      </c>
      <c r="K1428" s="2" t="s">
        <v>11212</v>
      </c>
      <c r="L1428" s="10" t="s">
        <v>11213</v>
      </c>
    </row>
    <row r="1429">
      <c r="A1429" s="2" t="s">
        <v>5285</v>
      </c>
      <c r="B1429" s="2" t="s">
        <v>11214</v>
      </c>
      <c r="C1429" s="2">
        <v>1822638.0</v>
      </c>
      <c r="D1429" s="2" t="s">
        <v>5285</v>
      </c>
      <c r="E1429" s="2">
        <v>5261452.0</v>
      </c>
      <c r="F1429" s="2">
        <v>484.0</v>
      </c>
      <c r="G1429" s="2">
        <v>10949.0</v>
      </c>
      <c r="H1429" s="2" t="s">
        <v>5906</v>
      </c>
      <c r="I1429" s="2" t="s">
        <v>5906</v>
      </c>
      <c r="K1429" s="2" t="s">
        <v>11215</v>
      </c>
      <c r="L1429" s="10" t="s">
        <v>11216</v>
      </c>
    </row>
    <row r="1430">
      <c r="A1430" s="2" t="s">
        <v>5285</v>
      </c>
      <c r="B1430" s="2" t="s">
        <v>11217</v>
      </c>
      <c r="C1430" s="2">
        <v>5.06405762E8</v>
      </c>
      <c r="D1430" s="2" t="s">
        <v>11218</v>
      </c>
      <c r="E1430" s="2">
        <v>101351.0</v>
      </c>
      <c r="F1430" s="2">
        <v>1564.0</v>
      </c>
      <c r="G1430" s="2">
        <v>11953.0</v>
      </c>
      <c r="H1430" s="2" t="s">
        <v>5906</v>
      </c>
      <c r="I1430" s="2" t="s">
        <v>5905</v>
      </c>
      <c r="L1430" s="10" t="s">
        <v>11219</v>
      </c>
    </row>
    <row r="1431">
      <c r="A1431" s="2" t="s">
        <v>5285</v>
      </c>
      <c r="B1431" s="2" t="s">
        <v>11220</v>
      </c>
      <c r="C1431" s="2">
        <v>1.711766755E9</v>
      </c>
      <c r="D1431" s="2" t="s">
        <v>11221</v>
      </c>
      <c r="E1431" s="2">
        <v>57116.0</v>
      </c>
      <c r="F1431" s="2">
        <v>244.0</v>
      </c>
      <c r="G1431" s="2">
        <v>970.0</v>
      </c>
      <c r="H1431" s="2" t="s">
        <v>5906</v>
      </c>
      <c r="I1431" s="2" t="s">
        <v>5906</v>
      </c>
      <c r="K1431" s="2" t="s">
        <v>11222</v>
      </c>
      <c r="L1431" s="10" t="s">
        <v>11223</v>
      </c>
    </row>
    <row r="1432">
      <c r="A1432" s="2" t="s">
        <v>5431</v>
      </c>
      <c r="B1432" s="2" t="s">
        <v>11224</v>
      </c>
      <c r="C1432" s="2">
        <v>2.692847911E9</v>
      </c>
      <c r="D1432" s="2" t="s">
        <v>11225</v>
      </c>
      <c r="E1432" s="2">
        <v>273754.0</v>
      </c>
      <c r="F1432" s="2">
        <v>330.0</v>
      </c>
      <c r="G1432" s="2">
        <v>8114.0</v>
      </c>
      <c r="H1432" s="2" t="s">
        <v>5906</v>
      </c>
      <c r="I1432" s="2" t="s">
        <v>5906</v>
      </c>
      <c r="K1432" s="2" t="s">
        <v>11226</v>
      </c>
      <c r="L1432" s="10" t="s">
        <v>11227</v>
      </c>
    </row>
    <row r="1433">
      <c r="A1433" s="2" t="s">
        <v>5431</v>
      </c>
      <c r="B1433" s="2" t="s">
        <v>11228</v>
      </c>
      <c r="C1433" s="2">
        <v>5.5628157628E10</v>
      </c>
      <c r="D1433" s="2" t="s">
        <v>5431</v>
      </c>
      <c r="E1433" s="2">
        <v>13490.0</v>
      </c>
      <c r="F1433" s="2">
        <v>978.0</v>
      </c>
      <c r="G1433" s="2">
        <v>450.0</v>
      </c>
      <c r="H1433" s="2" t="s">
        <v>5905</v>
      </c>
      <c r="I1433" s="2" t="s">
        <v>5905</v>
      </c>
      <c r="J1433" s="2" t="s">
        <v>5993</v>
      </c>
      <c r="K1433" s="2" t="s">
        <v>11229</v>
      </c>
      <c r="L1433" s="10" t="s">
        <v>11230</v>
      </c>
    </row>
    <row r="1434">
      <c r="A1434" s="2" t="s">
        <v>5431</v>
      </c>
      <c r="B1434" s="2" t="s">
        <v>11231</v>
      </c>
      <c r="C1434" s="2">
        <v>6.9387218222E10</v>
      </c>
      <c r="E1434" s="2">
        <v>14616.0</v>
      </c>
      <c r="F1434" s="2">
        <v>28.0</v>
      </c>
      <c r="G1434" s="2">
        <v>273.0</v>
      </c>
      <c r="H1434" s="2" t="s">
        <v>5905</v>
      </c>
      <c r="I1434" s="2" t="s">
        <v>5906</v>
      </c>
      <c r="J1434" s="2" t="s">
        <v>5959</v>
      </c>
      <c r="K1434" s="2" t="s">
        <v>11232</v>
      </c>
      <c r="L1434" s="10" t="s">
        <v>11233</v>
      </c>
    </row>
    <row r="1435">
      <c r="A1435" s="2" t="s">
        <v>5431</v>
      </c>
      <c r="B1435" s="2" t="s">
        <v>11234</v>
      </c>
      <c r="C1435" s="2">
        <v>4.402070828E9</v>
      </c>
      <c r="D1435" s="12" t="s">
        <v>11235</v>
      </c>
      <c r="E1435" s="2">
        <v>35965.0</v>
      </c>
      <c r="F1435" s="2">
        <v>6784.0</v>
      </c>
      <c r="G1435" s="2">
        <v>6427.0</v>
      </c>
      <c r="H1435" s="2" t="s">
        <v>5905</v>
      </c>
      <c r="I1435" s="2" t="s">
        <v>5906</v>
      </c>
      <c r="J1435" s="2" t="s">
        <v>7931</v>
      </c>
      <c r="K1435" s="12" t="s">
        <v>11236</v>
      </c>
      <c r="L1435" s="10" t="s">
        <v>11237</v>
      </c>
    </row>
    <row r="1436">
      <c r="A1436" s="2" t="s">
        <v>5431</v>
      </c>
      <c r="B1436" s="2" t="s">
        <v>11238</v>
      </c>
      <c r="C1436" s="2">
        <v>6.0752376698E10</v>
      </c>
      <c r="D1436" s="2" t="s">
        <v>5431</v>
      </c>
      <c r="E1436" s="2">
        <v>22787.0</v>
      </c>
      <c r="F1436" s="2">
        <v>979.0</v>
      </c>
      <c r="G1436" s="2">
        <v>125.0</v>
      </c>
      <c r="H1436" s="2" t="s">
        <v>5905</v>
      </c>
      <c r="I1436" s="2" t="s">
        <v>5905</v>
      </c>
      <c r="J1436" s="2" t="s">
        <v>5959</v>
      </c>
      <c r="K1436" s="2" t="s">
        <v>11239</v>
      </c>
      <c r="L1436" s="10" t="s">
        <v>11240</v>
      </c>
    </row>
    <row r="1437">
      <c r="A1437" s="2" t="s">
        <v>5431</v>
      </c>
      <c r="B1437" s="2" t="s">
        <v>11241</v>
      </c>
      <c r="C1437" s="2">
        <v>4.6492896454E10</v>
      </c>
      <c r="D1437" s="2" t="s">
        <v>11242</v>
      </c>
      <c r="E1437" s="2">
        <v>59383.0</v>
      </c>
      <c r="F1437" s="2">
        <v>16.0</v>
      </c>
      <c r="G1437" s="2">
        <v>903.0</v>
      </c>
      <c r="H1437" s="2" t="s">
        <v>5906</v>
      </c>
      <c r="I1437" s="2" t="s">
        <v>5906</v>
      </c>
      <c r="J1437" s="2" t="s">
        <v>5561</v>
      </c>
      <c r="K1437" s="2" t="s">
        <v>11243</v>
      </c>
      <c r="L1437" s="10" t="s">
        <v>11244</v>
      </c>
    </row>
    <row r="1438">
      <c r="A1438" s="2" t="s">
        <v>5311</v>
      </c>
      <c r="B1438" s="2" t="s">
        <v>11245</v>
      </c>
      <c r="C1438" s="2">
        <v>1.183337E7</v>
      </c>
      <c r="D1438" s="2" t="s">
        <v>5311</v>
      </c>
      <c r="E1438" s="2">
        <v>8058568.0</v>
      </c>
      <c r="F1438" s="2">
        <v>618.0</v>
      </c>
      <c r="G1438" s="2">
        <v>13634.0</v>
      </c>
      <c r="H1438" s="2" t="s">
        <v>5906</v>
      </c>
      <c r="I1438" s="2" t="s">
        <v>5906</v>
      </c>
      <c r="L1438" s="10" t="s">
        <v>11246</v>
      </c>
    </row>
    <row r="1439">
      <c r="A1439" s="2" t="s">
        <v>5311</v>
      </c>
      <c r="B1439" s="2" t="s">
        <v>11247</v>
      </c>
      <c r="C1439" s="2">
        <v>5.3476564687E10</v>
      </c>
      <c r="D1439" s="2" t="s">
        <v>11248</v>
      </c>
      <c r="E1439" s="2">
        <v>48240.0</v>
      </c>
      <c r="F1439" s="2">
        <v>456.0</v>
      </c>
      <c r="G1439" s="2">
        <v>643.0</v>
      </c>
      <c r="H1439" s="2" t="s">
        <v>5906</v>
      </c>
      <c r="I1439" s="2" t="s">
        <v>5906</v>
      </c>
      <c r="J1439" s="2" t="s">
        <v>5911</v>
      </c>
      <c r="K1439" s="2" t="s">
        <v>11249</v>
      </c>
      <c r="L1439" s="10" t="s">
        <v>11250</v>
      </c>
    </row>
    <row r="1440">
      <c r="A1440" s="2" t="s">
        <v>5311</v>
      </c>
      <c r="B1440" s="2" t="s">
        <v>11251</v>
      </c>
      <c r="C1440" s="2">
        <v>3.54965389E8</v>
      </c>
      <c r="D1440" s="2" t="s">
        <v>11252</v>
      </c>
      <c r="E1440" s="2">
        <v>326636.0</v>
      </c>
      <c r="F1440" s="2">
        <v>189.0</v>
      </c>
      <c r="G1440" s="2">
        <v>3266.0</v>
      </c>
      <c r="H1440" s="2" t="s">
        <v>5906</v>
      </c>
      <c r="I1440" s="2" t="s">
        <v>5906</v>
      </c>
      <c r="K1440" s="2" t="s">
        <v>11253</v>
      </c>
      <c r="L1440" s="10" t="s">
        <v>11254</v>
      </c>
    </row>
    <row r="1441">
      <c r="A1441" s="2" t="s">
        <v>5311</v>
      </c>
      <c r="B1441" s="2" t="s">
        <v>11255</v>
      </c>
      <c r="C1441" s="2">
        <v>2.4912207945E10</v>
      </c>
      <c r="D1441" s="2" t="s">
        <v>11256</v>
      </c>
      <c r="E1441" s="2">
        <v>31639.0</v>
      </c>
      <c r="F1441" s="2">
        <v>88.0</v>
      </c>
      <c r="G1441" s="2">
        <v>2198.0</v>
      </c>
      <c r="H1441" s="2" t="s">
        <v>5906</v>
      </c>
      <c r="I1441" s="2" t="s">
        <v>5905</v>
      </c>
      <c r="J1441" s="2" t="s">
        <v>11257</v>
      </c>
      <c r="K1441" s="2" t="s">
        <v>11258</v>
      </c>
      <c r="L1441" s="10" t="s">
        <v>11259</v>
      </c>
    </row>
    <row r="1442">
      <c r="A1442" s="2" t="s">
        <v>5311</v>
      </c>
      <c r="B1442" s="2" t="s">
        <v>11260</v>
      </c>
      <c r="C1442" s="2">
        <v>1.93026222E8</v>
      </c>
      <c r="D1442" s="2" t="s">
        <v>11261</v>
      </c>
      <c r="E1442" s="2">
        <v>338567.0</v>
      </c>
      <c r="F1442" s="2">
        <v>413.0</v>
      </c>
      <c r="G1442" s="2">
        <v>17474.0</v>
      </c>
      <c r="H1442" s="2" t="s">
        <v>5906</v>
      </c>
      <c r="I1442" s="2" t="s">
        <v>5906</v>
      </c>
      <c r="J1442" s="2" t="s">
        <v>6124</v>
      </c>
      <c r="K1442" s="2" t="s">
        <v>11262</v>
      </c>
      <c r="L1442" s="10" t="s">
        <v>11263</v>
      </c>
    </row>
    <row r="1443">
      <c r="A1443" s="2" t="s">
        <v>5311</v>
      </c>
      <c r="B1443" s="2" t="s">
        <v>11264</v>
      </c>
      <c r="C1443" s="2">
        <v>1.389037267E9</v>
      </c>
      <c r="D1443" s="2" t="s">
        <v>11265</v>
      </c>
      <c r="E1443" s="2">
        <v>137722.0</v>
      </c>
      <c r="F1443" s="2">
        <v>135.0</v>
      </c>
      <c r="G1443" s="2">
        <v>7049.0</v>
      </c>
      <c r="H1443" s="2" t="s">
        <v>5906</v>
      </c>
      <c r="I1443" s="2" t="s">
        <v>5906</v>
      </c>
      <c r="K1443" s="2" t="s">
        <v>11266</v>
      </c>
      <c r="L1443" s="10" t="s">
        <v>11267</v>
      </c>
    </row>
    <row r="1444">
      <c r="A1444" s="2" t="s">
        <v>5311</v>
      </c>
      <c r="B1444" s="2" t="s">
        <v>11268</v>
      </c>
      <c r="C1444" s="2">
        <v>2.108162884E9</v>
      </c>
      <c r="D1444" s="2" t="s">
        <v>11269</v>
      </c>
      <c r="E1444" s="2">
        <v>21197.0</v>
      </c>
      <c r="F1444" s="2">
        <v>445.0</v>
      </c>
      <c r="G1444" s="2">
        <v>3523.0</v>
      </c>
      <c r="H1444" s="2" t="s">
        <v>5906</v>
      </c>
      <c r="I1444" s="2" t="s">
        <v>5906</v>
      </c>
      <c r="K1444" s="2" t="s">
        <v>11270</v>
      </c>
      <c r="L1444" s="10" t="s">
        <v>11271</v>
      </c>
    </row>
    <row r="1445">
      <c r="A1445" s="2" t="s">
        <v>5311</v>
      </c>
      <c r="B1445" s="2" t="s">
        <v>11272</v>
      </c>
      <c r="C1445" s="2">
        <v>5.0045966442E10</v>
      </c>
      <c r="D1445" s="2" t="s">
        <v>11273</v>
      </c>
      <c r="E1445" s="2">
        <v>74905.0</v>
      </c>
      <c r="F1445" s="2">
        <v>168.0</v>
      </c>
      <c r="G1445" s="2">
        <v>3994.0</v>
      </c>
      <c r="H1445" s="2" t="s">
        <v>5906</v>
      </c>
      <c r="I1445" s="2" t="s">
        <v>5906</v>
      </c>
      <c r="J1445" s="2" t="s">
        <v>5911</v>
      </c>
      <c r="L1445" s="10" t="s">
        <v>11274</v>
      </c>
    </row>
    <row r="1446">
      <c r="A1446" s="2" t="s">
        <v>5311</v>
      </c>
      <c r="B1446" s="2" t="s">
        <v>11275</v>
      </c>
      <c r="C1446" s="2">
        <v>1.89719417E8</v>
      </c>
      <c r="D1446" s="2" t="s">
        <v>11265</v>
      </c>
      <c r="E1446" s="2">
        <v>25057.0</v>
      </c>
      <c r="F1446" s="2">
        <v>101.0</v>
      </c>
      <c r="G1446" s="2">
        <v>3655.0</v>
      </c>
      <c r="H1446" s="2" t="s">
        <v>5906</v>
      </c>
      <c r="I1446" s="2" t="s">
        <v>5906</v>
      </c>
      <c r="J1446" s="2" t="s">
        <v>5911</v>
      </c>
      <c r="K1446" s="2" t="s">
        <v>11276</v>
      </c>
      <c r="L1446" s="10" t="s">
        <v>11267</v>
      </c>
    </row>
    <row r="1447">
      <c r="A1447" s="2" t="s">
        <v>5311</v>
      </c>
      <c r="B1447" s="2" t="s">
        <v>11277</v>
      </c>
      <c r="C1447" s="2">
        <v>1.28244179E9</v>
      </c>
      <c r="D1447" s="2" t="s">
        <v>11278</v>
      </c>
      <c r="E1447" s="2">
        <v>235527.0</v>
      </c>
      <c r="F1447" s="2">
        <v>342.0</v>
      </c>
      <c r="G1447" s="2">
        <v>19892.0</v>
      </c>
      <c r="H1447" s="2" t="s">
        <v>5906</v>
      </c>
      <c r="I1447" s="2" t="s">
        <v>5906</v>
      </c>
      <c r="J1447" s="2" t="s">
        <v>5518</v>
      </c>
      <c r="K1447" s="2" t="s">
        <v>11279</v>
      </c>
      <c r="L1447" s="10" t="s">
        <v>11280</v>
      </c>
    </row>
    <row r="1448">
      <c r="A1448" s="2" t="s">
        <v>5311</v>
      </c>
      <c r="B1448" s="2" t="s">
        <v>11281</v>
      </c>
      <c r="C1448" s="2">
        <v>4.835815E7</v>
      </c>
      <c r="D1448" s="2" t="s">
        <v>11282</v>
      </c>
      <c r="E1448" s="2">
        <v>492829.0</v>
      </c>
      <c r="F1448" s="2">
        <v>1080.0</v>
      </c>
      <c r="G1448" s="2">
        <v>6642.0</v>
      </c>
      <c r="H1448" s="2" t="s">
        <v>5906</v>
      </c>
      <c r="I1448" s="2" t="s">
        <v>5906</v>
      </c>
      <c r="J1448" s="2" t="s">
        <v>5518</v>
      </c>
      <c r="L1448" s="10" t="s">
        <v>11283</v>
      </c>
    </row>
    <row r="1449">
      <c r="A1449" s="2" t="s">
        <v>5311</v>
      </c>
      <c r="B1449" s="2" t="s">
        <v>11284</v>
      </c>
      <c r="C1449" s="2">
        <v>2.265117501E9</v>
      </c>
      <c r="D1449" s="2" t="s">
        <v>11285</v>
      </c>
      <c r="E1449" s="2">
        <v>18917.0</v>
      </c>
      <c r="F1449" s="2">
        <v>58.0</v>
      </c>
      <c r="G1449" s="2">
        <v>419.0</v>
      </c>
      <c r="H1449" s="2" t="s">
        <v>5906</v>
      </c>
      <c r="I1449" s="2" t="s">
        <v>5906</v>
      </c>
      <c r="J1449" s="2" t="s">
        <v>5907</v>
      </c>
      <c r="K1449" s="2" t="s">
        <v>11286</v>
      </c>
      <c r="L1449" s="10" t="s">
        <v>11287</v>
      </c>
    </row>
    <row r="1450">
      <c r="A1450" s="2" t="s">
        <v>5311</v>
      </c>
      <c r="B1450" s="2" t="s">
        <v>11288</v>
      </c>
      <c r="C1450" s="2">
        <v>4.4074487219E10</v>
      </c>
      <c r="D1450" s="2" t="s">
        <v>11289</v>
      </c>
      <c r="E1450" s="2">
        <v>238085.0</v>
      </c>
      <c r="F1450" s="2">
        <v>671.0</v>
      </c>
      <c r="G1450" s="2">
        <v>1604.0</v>
      </c>
      <c r="H1450" s="2" t="s">
        <v>5906</v>
      </c>
      <c r="I1450" s="2" t="s">
        <v>5906</v>
      </c>
      <c r="J1450" s="2" t="s">
        <v>5518</v>
      </c>
      <c r="K1450" s="2" t="s">
        <v>11290</v>
      </c>
      <c r="L1450" s="10" t="s">
        <v>11291</v>
      </c>
    </row>
    <row r="1451">
      <c r="A1451" s="2" t="s">
        <v>5311</v>
      </c>
      <c r="B1451" s="2" t="s">
        <v>11292</v>
      </c>
      <c r="C1451" s="2">
        <v>4.89368634E8</v>
      </c>
      <c r="D1451" s="2" t="s">
        <v>11265</v>
      </c>
      <c r="E1451" s="2">
        <v>127414.0</v>
      </c>
      <c r="F1451" s="2">
        <v>147.0</v>
      </c>
      <c r="G1451" s="2">
        <v>6505.0</v>
      </c>
      <c r="H1451" s="2" t="s">
        <v>5906</v>
      </c>
      <c r="I1451" s="2" t="s">
        <v>5905</v>
      </c>
      <c r="K1451" s="2" t="s">
        <v>11293</v>
      </c>
      <c r="L1451" s="10" t="s">
        <v>11294</v>
      </c>
    </row>
    <row r="1452">
      <c r="A1452" s="2" t="s">
        <v>5311</v>
      </c>
      <c r="B1452" s="2" t="s">
        <v>11295</v>
      </c>
      <c r="C1452" s="2">
        <v>6.6014703589E10</v>
      </c>
      <c r="D1452" s="2" t="s">
        <v>11296</v>
      </c>
      <c r="E1452" s="2">
        <v>17085.0</v>
      </c>
      <c r="F1452" s="2">
        <v>10.0</v>
      </c>
      <c r="G1452" s="2">
        <v>462.0</v>
      </c>
      <c r="H1452" s="2" t="s">
        <v>5905</v>
      </c>
      <c r="I1452" s="2" t="s">
        <v>5906</v>
      </c>
      <c r="J1452" s="2" t="s">
        <v>5518</v>
      </c>
      <c r="K1452" s="2" t="s">
        <v>11297</v>
      </c>
      <c r="L1452" s="10" t="s">
        <v>11298</v>
      </c>
    </row>
    <row r="1453">
      <c r="A1453" s="2" t="s">
        <v>5311</v>
      </c>
      <c r="B1453" s="2" t="s">
        <v>11299</v>
      </c>
      <c r="C1453" s="2">
        <v>4.8063265798E10</v>
      </c>
      <c r="D1453" s="2" t="s">
        <v>11300</v>
      </c>
      <c r="E1453" s="2">
        <v>198880.0</v>
      </c>
      <c r="F1453" s="2">
        <v>882.0</v>
      </c>
      <c r="G1453" s="2">
        <v>2786.0</v>
      </c>
      <c r="H1453" s="2" t="s">
        <v>5906</v>
      </c>
      <c r="I1453" s="2" t="s">
        <v>5906</v>
      </c>
      <c r="J1453" s="2" t="s">
        <v>5959</v>
      </c>
      <c r="K1453" s="2" t="s">
        <v>11301</v>
      </c>
      <c r="L1453" s="10" t="s">
        <v>11302</v>
      </c>
    </row>
    <row r="1454">
      <c r="A1454" s="2" t="s">
        <v>5311</v>
      </c>
      <c r="B1454" s="2" t="s">
        <v>11303</v>
      </c>
      <c r="C1454" s="2">
        <v>2.28745718E8</v>
      </c>
      <c r="D1454" s="2" t="s">
        <v>11304</v>
      </c>
      <c r="E1454" s="2">
        <v>4149156.0</v>
      </c>
      <c r="F1454" s="2">
        <v>91.0</v>
      </c>
      <c r="G1454" s="2">
        <v>2915.0</v>
      </c>
      <c r="H1454" s="2" t="s">
        <v>5906</v>
      </c>
      <c r="I1454" s="2" t="s">
        <v>5905</v>
      </c>
      <c r="J1454" s="2" t="s">
        <v>6124</v>
      </c>
      <c r="K1454" s="2" t="s">
        <v>11305</v>
      </c>
      <c r="L1454" s="10" t="s">
        <v>11306</v>
      </c>
    </row>
    <row r="1455">
      <c r="A1455" s="2" t="s">
        <v>5414</v>
      </c>
      <c r="B1455" s="2" t="s">
        <v>11307</v>
      </c>
      <c r="C1455" s="2">
        <v>1.350380832E9</v>
      </c>
      <c r="D1455" s="2" t="s">
        <v>5414</v>
      </c>
      <c r="E1455" s="2">
        <v>2307902.0</v>
      </c>
      <c r="F1455" s="2">
        <v>152.0</v>
      </c>
      <c r="G1455" s="2">
        <v>28236.0</v>
      </c>
      <c r="H1455" s="2" t="s">
        <v>5906</v>
      </c>
      <c r="I1455" s="2" t="s">
        <v>5906</v>
      </c>
      <c r="J1455" s="2" t="s">
        <v>6882</v>
      </c>
      <c r="K1455" s="2" t="s">
        <v>11308</v>
      </c>
      <c r="L1455" s="10" t="s">
        <v>11309</v>
      </c>
    </row>
    <row r="1456">
      <c r="A1456" s="2" t="s">
        <v>5378</v>
      </c>
      <c r="B1456" s="2" t="s">
        <v>11310</v>
      </c>
      <c r="C1456" s="2">
        <v>2.216435424E9</v>
      </c>
      <c r="D1456" s="2" t="s">
        <v>11311</v>
      </c>
      <c r="E1456" s="2">
        <v>45516.0</v>
      </c>
      <c r="F1456" s="2">
        <v>2562.0</v>
      </c>
      <c r="G1456" s="2">
        <v>1348.0</v>
      </c>
      <c r="H1456" s="2" t="s">
        <v>5905</v>
      </c>
      <c r="I1456" s="2" t="s">
        <v>5906</v>
      </c>
      <c r="J1456" s="2" t="s">
        <v>5492</v>
      </c>
      <c r="K1456" s="2" t="s">
        <v>11312</v>
      </c>
      <c r="L1456" s="10" t="s">
        <v>11313</v>
      </c>
    </row>
    <row r="1457">
      <c r="A1457" s="2" t="s">
        <v>5378</v>
      </c>
      <c r="B1457" s="2" t="s">
        <v>11314</v>
      </c>
      <c r="C1457" s="2">
        <v>7.561513129E9</v>
      </c>
      <c r="D1457" s="12" t="s">
        <v>11315</v>
      </c>
      <c r="E1457" s="2">
        <v>293540.0</v>
      </c>
      <c r="F1457" s="2">
        <v>905.0</v>
      </c>
      <c r="G1457" s="2">
        <v>511.0</v>
      </c>
      <c r="H1457" s="2" t="s">
        <v>5906</v>
      </c>
      <c r="I1457" s="2" t="s">
        <v>5905</v>
      </c>
      <c r="J1457" s="2" t="s">
        <v>11316</v>
      </c>
      <c r="K1457" s="12" t="s">
        <v>11317</v>
      </c>
      <c r="L1457" s="10" t="s">
        <v>11318</v>
      </c>
    </row>
    <row r="1458">
      <c r="A1458" s="2" t="s">
        <v>5378</v>
      </c>
      <c r="B1458" s="10" t="s">
        <v>11319</v>
      </c>
      <c r="C1458" s="2">
        <v>2.356565616E9</v>
      </c>
      <c r="D1458" s="2" t="s">
        <v>5378</v>
      </c>
      <c r="E1458" s="2">
        <v>43320.0</v>
      </c>
      <c r="F1458" s="2">
        <v>194.0</v>
      </c>
      <c r="G1458" s="2">
        <v>3006.0</v>
      </c>
      <c r="H1458" s="2" t="s">
        <v>5905</v>
      </c>
      <c r="I1458" s="2" t="s">
        <v>5906</v>
      </c>
      <c r="J1458" s="2" t="s">
        <v>11320</v>
      </c>
      <c r="K1458" s="2" t="s">
        <v>11321</v>
      </c>
    </row>
    <row r="1459">
      <c r="A1459" s="2" t="s">
        <v>5378</v>
      </c>
      <c r="B1459" s="2" t="s">
        <v>11322</v>
      </c>
      <c r="C1459" s="2">
        <v>1.6344502705E10</v>
      </c>
      <c r="D1459" s="2" t="s">
        <v>11323</v>
      </c>
      <c r="E1459" s="2">
        <v>43800.0</v>
      </c>
      <c r="F1459" s="2">
        <v>3.0</v>
      </c>
      <c r="G1459" s="2">
        <v>453.0</v>
      </c>
      <c r="H1459" s="2" t="s">
        <v>5905</v>
      </c>
      <c r="I1459" s="2" t="s">
        <v>5906</v>
      </c>
      <c r="J1459" s="2" t="s">
        <v>11316</v>
      </c>
      <c r="K1459" s="2" t="s">
        <v>11324</v>
      </c>
      <c r="L1459" s="10" t="s">
        <v>11325</v>
      </c>
    </row>
    <row r="1460">
      <c r="A1460" s="2" t="s">
        <v>5450</v>
      </c>
      <c r="B1460" s="2" t="s">
        <v>11326</v>
      </c>
      <c r="C1460" s="2">
        <v>3.199537124E9</v>
      </c>
      <c r="D1460" s="2" t="s">
        <v>11327</v>
      </c>
      <c r="E1460" s="2">
        <v>26787.0</v>
      </c>
      <c r="F1460" s="2">
        <v>5.0</v>
      </c>
      <c r="G1460" s="2">
        <v>1389.0</v>
      </c>
      <c r="H1460" s="2" t="s">
        <v>5905</v>
      </c>
      <c r="I1460" s="2" t="s">
        <v>5906</v>
      </c>
      <c r="J1460" s="2" t="s">
        <v>6027</v>
      </c>
      <c r="K1460" s="2" t="s">
        <v>11328</v>
      </c>
      <c r="L1460" s="10" t="s">
        <v>11329</v>
      </c>
    </row>
    <row r="1461">
      <c r="A1461" s="2" t="s">
        <v>5450</v>
      </c>
      <c r="B1461" s="2" t="s">
        <v>11330</v>
      </c>
      <c r="C1461" s="2">
        <v>6.4913416398E10</v>
      </c>
      <c r="D1461" s="2" t="s">
        <v>11331</v>
      </c>
      <c r="E1461" s="2">
        <v>11588.0</v>
      </c>
      <c r="F1461" s="2">
        <v>39.0</v>
      </c>
      <c r="G1461" s="2">
        <v>71.0</v>
      </c>
      <c r="H1461" s="2" t="s">
        <v>5905</v>
      </c>
      <c r="I1461" s="2" t="s">
        <v>5906</v>
      </c>
      <c r="J1461" s="2" t="s">
        <v>11332</v>
      </c>
      <c r="K1461" s="2" t="s">
        <v>11333</v>
      </c>
      <c r="L1461" s="10" t="s">
        <v>11334</v>
      </c>
    </row>
    <row r="1462">
      <c r="A1462" s="2" t="s">
        <v>5450</v>
      </c>
      <c r="B1462" s="2" t="s">
        <v>11335</v>
      </c>
      <c r="C1462" s="2">
        <v>5.0066866273E10</v>
      </c>
      <c r="D1462" s="2" t="s">
        <v>11336</v>
      </c>
      <c r="E1462" s="2">
        <v>22688.0</v>
      </c>
      <c r="F1462" s="2">
        <v>3.0</v>
      </c>
      <c r="G1462" s="2">
        <v>265.0</v>
      </c>
      <c r="H1462" s="2" t="s">
        <v>5905</v>
      </c>
      <c r="I1462" s="2" t="s">
        <v>5906</v>
      </c>
      <c r="J1462" s="2" t="s">
        <v>6002</v>
      </c>
      <c r="K1462" s="2" t="s">
        <v>11337</v>
      </c>
      <c r="L1462" s="10" t="s">
        <v>11338</v>
      </c>
    </row>
    <row r="1463">
      <c r="A1463" s="2" t="s">
        <v>5450</v>
      </c>
      <c r="B1463" s="2" t="s">
        <v>11339</v>
      </c>
      <c r="C1463" s="2">
        <v>4.8397111946E10</v>
      </c>
      <c r="D1463" s="2" t="s">
        <v>11340</v>
      </c>
      <c r="E1463" s="2">
        <v>14730.0</v>
      </c>
      <c r="F1463" s="2">
        <v>1.0</v>
      </c>
      <c r="G1463" s="2">
        <v>40.0</v>
      </c>
      <c r="H1463" s="2" t="s">
        <v>5905</v>
      </c>
      <c r="I1463" s="2" t="s">
        <v>5905</v>
      </c>
      <c r="J1463" s="2" t="s">
        <v>6539</v>
      </c>
      <c r="K1463" s="2" t="s">
        <v>11341</v>
      </c>
      <c r="L1463" s="10" t="s">
        <v>11342</v>
      </c>
    </row>
    <row r="1464">
      <c r="A1464" s="2" t="s">
        <v>5450</v>
      </c>
      <c r="B1464" s="2" t="s">
        <v>11343</v>
      </c>
      <c r="C1464" s="2">
        <v>5.5541903225E10</v>
      </c>
      <c r="D1464" s="2" t="s">
        <v>11344</v>
      </c>
      <c r="E1464" s="2">
        <v>62130.0</v>
      </c>
      <c r="F1464" s="2">
        <v>100.0</v>
      </c>
      <c r="G1464" s="2">
        <v>52.0</v>
      </c>
      <c r="H1464" s="2" t="s">
        <v>5906</v>
      </c>
      <c r="I1464" s="2" t="s">
        <v>5905</v>
      </c>
      <c r="J1464" s="2" t="s">
        <v>5959</v>
      </c>
      <c r="K1464" s="2" t="s">
        <v>11345</v>
      </c>
      <c r="L1464" s="10" t="s">
        <v>11346</v>
      </c>
    </row>
    <row r="1465">
      <c r="A1465" s="2" t="s">
        <v>5450</v>
      </c>
      <c r="B1465" s="2" t="s">
        <v>11347</v>
      </c>
      <c r="C1465" s="2">
        <v>1.96152284E8</v>
      </c>
      <c r="D1465" s="2" t="s">
        <v>11336</v>
      </c>
      <c r="E1465" s="2">
        <v>804137.0</v>
      </c>
      <c r="F1465" s="2">
        <v>1139.0</v>
      </c>
      <c r="G1465" s="2">
        <v>7494.0</v>
      </c>
      <c r="H1465" s="2" t="s">
        <v>5906</v>
      </c>
      <c r="I1465" s="2" t="s">
        <v>5906</v>
      </c>
      <c r="J1465" s="2" t="s">
        <v>5518</v>
      </c>
      <c r="K1465" s="2" t="s">
        <v>11348</v>
      </c>
      <c r="L1465" s="10" t="s">
        <v>11349</v>
      </c>
    </row>
    <row r="1466">
      <c r="A1466" s="2" t="s">
        <v>5450</v>
      </c>
      <c r="B1466" s="2" t="s">
        <v>11350</v>
      </c>
      <c r="C1466" s="2">
        <v>5.4066451321E10</v>
      </c>
      <c r="D1466" s="2" t="s">
        <v>11351</v>
      </c>
      <c r="E1466" s="2">
        <v>27409.0</v>
      </c>
      <c r="F1466" s="2">
        <v>411.0</v>
      </c>
      <c r="G1466" s="2">
        <v>50.0</v>
      </c>
      <c r="H1466" s="2" t="s">
        <v>5905</v>
      </c>
      <c r="I1466" s="2" t="s">
        <v>5905</v>
      </c>
      <c r="J1466" s="2" t="s">
        <v>5928</v>
      </c>
      <c r="K1466" s="2" t="s">
        <v>11352</v>
      </c>
      <c r="L1466" s="10" t="s">
        <v>11353</v>
      </c>
    </row>
    <row r="1467">
      <c r="A1467" s="2" t="s">
        <v>5450</v>
      </c>
      <c r="B1467" s="2" t="s">
        <v>11354</v>
      </c>
      <c r="C1467" s="2">
        <v>9.149059881E9</v>
      </c>
      <c r="D1467" s="2" t="s">
        <v>11355</v>
      </c>
      <c r="E1467" s="2">
        <v>18836.0</v>
      </c>
      <c r="F1467" s="2">
        <v>1585.0</v>
      </c>
      <c r="G1467" s="2">
        <v>3801.0</v>
      </c>
      <c r="H1467" s="2" t="s">
        <v>5905</v>
      </c>
      <c r="I1467" s="2" t="s">
        <v>5906</v>
      </c>
      <c r="K1467" s="2" t="s">
        <v>11356</v>
      </c>
      <c r="L1467" s="10" t="s">
        <v>11357</v>
      </c>
    </row>
    <row r="1468">
      <c r="A1468" s="2" t="s">
        <v>5422</v>
      </c>
      <c r="B1468" s="2" t="s">
        <v>11358</v>
      </c>
      <c r="C1468" s="2">
        <v>3.77039615E8</v>
      </c>
      <c r="D1468" s="2" t="s">
        <v>11359</v>
      </c>
      <c r="E1468" s="2">
        <v>203863.0</v>
      </c>
      <c r="F1468" s="2">
        <v>435.0</v>
      </c>
      <c r="G1468" s="2">
        <v>10733.0</v>
      </c>
      <c r="H1468" s="2" t="s">
        <v>5906</v>
      </c>
      <c r="I1468" s="2" t="s">
        <v>5906</v>
      </c>
      <c r="L1468" s="10" t="s">
        <v>11360</v>
      </c>
    </row>
    <row r="1469">
      <c r="A1469" s="2" t="s">
        <v>5422</v>
      </c>
      <c r="B1469" s="2" t="s">
        <v>11361</v>
      </c>
      <c r="C1469" s="2">
        <v>2.521266856E9</v>
      </c>
      <c r="D1469" s="2" t="s">
        <v>11362</v>
      </c>
      <c r="E1469" s="2">
        <v>11535.0</v>
      </c>
      <c r="F1469" s="2">
        <v>202.0</v>
      </c>
      <c r="G1469" s="2">
        <v>902.0</v>
      </c>
      <c r="H1469" s="2" t="s">
        <v>5906</v>
      </c>
      <c r="I1469" s="2" t="s">
        <v>5906</v>
      </c>
      <c r="J1469" s="2" t="s">
        <v>5907</v>
      </c>
      <c r="K1469" s="2" t="s">
        <v>11363</v>
      </c>
      <c r="L1469" s="10" t="s">
        <v>11364</v>
      </c>
    </row>
    <row r="1470">
      <c r="A1470" s="2" t="s">
        <v>5366</v>
      </c>
      <c r="B1470" s="2" t="s">
        <v>11365</v>
      </c>
      <c r="C1470" s="2">
        <v>1.472031107E9</v>
      </c>
      <c r="D1470" s="2" t="s">
        <v>5366</v>
      </c>
      <c r="E1470" s="2">
        <v>541049.0</v>
      </c>
      <c r="F1470" s="2">
        <v>332.0</v>
      </c>
      <c r="G1470" s="2">
        <v>1265.0</v>
      </c>
      <c r="H1470" s="2" t="s">
        <v>5906</v>
      </c>
      <c r="I1470" s="2" t="s">
        <v>5906</v>
      </c>
      <c r="K1470" s="2" t="s">
        <v>11366</v>
      </c>
      <c r="L1470" s="10" t="s">
        <v>11367</v>
      </c>
    </row>
    <row r="1471">
      <c r="A1471" s="2" t="s">
        <v>5350</v>
      </c>
      <c r="B1471" s="2" t="s">
        <v>11368</v>
      </c>
      <c r="C1471" s="2">
        <v>2.116185031E9</v>
      </c>
      <c r="D1471" s="2" t="s">
        <v>11369</v>
      </c>
      <c r="E1471" s="2">
        <v>32245.0</v>
      </c>
      <c r="F1471" s="2">
        <v>354.0</v>
      </c>
      <c r="G1471" s="2">
        <v>985.0</v>
      </c>
      <c r="H1471" s="2" t="s">
        <v>5905</v>
      </c>
      <c r="I1471" s="2" t="s">
        <v>5906</v>
      </c>
      <c r="J1471" s="2" t="s">
        <v>5907</v>
      </c>
      <c r="K1471" s="2" t="s">
        <v>11370</v>
      </c>
      <c r="L1471" s="10" t="s">
        <v>11371</v>
      </c>
    </row>
    <row r="1472">
      <c r="A1472" s="2" t="s">
        <v>5418</v>
      </c>
      <c r="B1472" s="2" t="s">
        <v>11372</v>
      </c>
      <c r="C1472" s="2">
        <v>4.68427961E8</v>
      </c>
      <c r="D1472" s="2" t="s">
        <v>5418</v>
      </c>
      <c r="E1472" s="2">
        <v>269459.0</v>
      </c>
      <c r="F1472" s="2">
        <v>376.0</v>
      </c>
      <c r="G1472" s="2">
        <v>13147.0</v>
      </c>
      <c r="H1472" s="2" t="s">
        <v>5906</v>
      </c>
      <c r="I1472" s="2" t="s">
        <v>5906</v>
      </c>
      <c r="J1472" s="2" t="s">
        <v>5911</v>
      </c>
      <c r="K1472" s="2" t="s">
        <v>11373</v>
      </c>
      <c r="L1472" s="10" t="s">
        <v>11374</v>
      </c>
    </row>
    <row r="1473">
      <c r="A1473" s="2" t="s">
        <v>5385</v>
      </c>
      <c r="B1473" s="2" t="s">
        <v>11375</v>
      </c>
      <c r="C1473" s="2">
        <v>1.1351608653E10</v>
      </c>
      <c r="D1473" s="2" t="s">
        <v>5385</v>
      </c>
      <c r="E1473" s="2">
        <v>26188.0</v>
      </c>
      <c r="F1473" s="2">
        <v>53.0</v>
      </c>
      <c r="G1473" s="2">
        <v>21.0</v>
      </c>
      <c r="H1473" s="2" t="s">
        <v>5905</v>
      </c>
      <c r="I1473" s="2" t="s">
        <v>5906</v>
      </c>
      <c r="J1473" s="2" t="s">
        <v>11376</v>
      </c>
      <c r="K1473" s="2" t="s">
        <v>11377</v>
      </c>
      <c r="L1473" s="10" t="s">
        <v>11378</v>
      </c>
    </row>
    <row r="1474">
      <c r="A1474" s="2" t="s">
        <v>5385</v>
      </c>
      <c r="B1474" s="2" t="s">
        <v>11379</v>
      </c>
      <c r="C1474" s="2">
        <v>8.770381214E9</v>
      </c>
      <c r="D1474" s="2" t="s">
        <v>5385</v>
      </c>
      <c r="E1474" s="2">
        <v>39757.0</v>
      </c>
      <c r="F1474" s="2">
        <v>824.0</v>
      </c>
      <c r="G1474" s="2">
        <v>41.0</v>
      </c>
      <c r="H1474" s="2" t="s">
        <v>5905</v>
      </c>
      <c r="I1474" s="2" t="s">
        <v>5906</v>
      </c>
      <c r="J1474" s="2" t="s">
        <v>10778</v>
      </c>
      <c r="K1474" s="2" t="s">
        <v>11380</v>
      </c>
      <c r="L1474" s="10" t="s">
        <v>11381</v>
      </c>
    </row>
    <row r="1475">
      <c r="A1475" s="2" t="s">
        <v>5546</v>
      </c>
      <c r="B1475" s="2" t="s">
        <v>11382</v>
      </c>
      <c r="C1475" s="2">
        <v>1.204806863E9</v>
      </c>
      <c r="D1475" s="2" t="s">
        <v>11383</v>
      </c>
      <c r="E1475" s="2">
        <v>23969.0</v>
      </c>
      <c r="F1475" s="2">
        <v>1069.0</v>
      </c>
      <c r="G1475" s="2">
        <v>4506.0</v>
      </c>
      <c r="H1475" s="2" t="s">
        <v>5905</v>
      </c>
      <c r="I1475" s="2" t="s">
        <v>5905</v>
      </c>
      <c r="J1475" s="2" t="s">
        <v>11384</v>
      </c>
      <c r="K1475" s="2" t="s">
        <v>11385</v>
      </c>
      <c r="L1475" s="10" t="s">
        <v>11386</v>
      </c>
    </row>
    <row r="1476">
      <c r="A1476" s="2" t="s">
        <v>5546</v>
      </c>
      <c r="B1476" s="2" t="s">
        <v>11387</v>
      </c>
      <c r="C1476" s="2">
        <v>1.467536828E9</v>
      </c>
      <c r="D1476" s="2" t="s">
        <v>11388</v>
      </c>
      <c r="E1476" s="2">
        <v>10518.0</v>
      </c>
      <c r="F1476" s="2">
        <v>33.0</v>
      </c>
      <c r="G1476" s="2">
        <v>238.0</v>
      </c>
      <c r="H1476" s="2" t="s">
        <v>5905</v>
      </c>
      <c r="I1476" s="2" t="s">
        <v>5906</v>
      </c>
      <c r="J1476" s="2" t="s">
        <v>11389</v>
      </c>
      <c r="K1476" s="2" t="s">
        <v>11390</v>
      </c>
      <c r="L1476" s="10" t="s">
        <v>11391</v>
      </c>
    </row>
    <row r="1477">
      <c r="A1477" s="2" t="s">
        <v>5546</v>
      </c>
      <c r="B1477" s="10" t="s">
        <v>11392</v>
      </c>
      <c r="C1477" s="2">
        <v>6.82125296E9</v>
      </c>
      <c r="D1477" s="2" t="s">
        <v>11393</v>
      </c>
      <c r="E1477" s="2">
        <v>16834.0</v>
      </c>
      <c r="F1477" s="2">
        <v>1.0</v>
      </c>
      <c r="G1477" s="2">
        <v>277.0</v>
      </c>
      <c r="H1477" s="2" t="s">
        <v>5906</v>
      </c>
      <c r="I1477" s="2" t="s">
        <v>5905</v>
      </c>
      <c r="J1477" s="2" t="s">
        <v>9016</v>
      </c>
      <c r="K1477" s="2" t="s">
        <v>11394</v>
      </c>
      <c r="L1477" s="10" t="s">
        <v>11395</v>
      </c>
    </row>
    <row r="1478">
      <c r="A1478" s="2" t="s">
        <v>5546</v>
      </c>
      <c r="B1478" s="2" t="s">
        <v>11396</v>
      </c>
      <c r="C1478" s="2">
        <v>4.6620149503E10</v>
      </c>
      <c r="D1478" s="2" t="s">
        <v>11397</v>
      </c>
      <c r="E1478" s="2">
        <v>12410.0</v>
      </c>
      <c r="F1478" s="2">
        <v>336.0</v>
      </c>
      <c r="G1478" s="2">
        <v>1110.0</v>
      </c>
      <c r="H1478" s="2" t="s">
        <v>5905</v>
      </c>
      <c r="I1478" s="2" t="s">
        <v>5905</v>
      </c>
      <c r="J1478" s="2" t="s">
        <v>5928</v>
      </c>
      <c r="K1478" s="2" t="s">
        <v>11398</v>
      </c>
      <c r="L1478" s="10" t="s">
        <v>11399</v>
      </c>
    </row>
    <row r="1479">
      <c r="A1479" s="2" t="s">
        <v>5546</v>
      </c>
      <c r="B1479" s="2" t="s">
        <v>11400</v>
      </c>
      <c r="C1479" s="2">
        <v>1.5932528761E10</v>
      </c>
      <c r="D1479" s="2" t="s">
        <v>11401</v>
      </c>
      <c r="E1479" s="2">
        <v>126356.0</v>
      </c>
      <c r="F1479" s="2">
        <v>681.0</v>
      </c>
      <c r="G1479" s="2">
        <v>17037.0</v>
      </c>
      <c r="H1479" s="2" t="s">
        <v>5905</v>
      </c>
      <c r="I1479" s="2" t="s">
        <v>5905</v>
      </c>
      <c r="J1479" s="2" t="s">
        <v>5907</v>
      </c>
      <c r="K1479" s="2" t="s">
        <v>11402</v>
      </c>
      <c r="L1479" s="10" t="s">
        <v>11403</v>
      </c>
    </row>
    <row r="1480">
      <c r="A1480" s="2" t="s">
        <v>5549</v>
      </c>
      <c r="B1480" s="2" t="s">
        <v>11404</v>
      </c>
      <c r="C1480" s="2">
        <v>3.954169333E9</v>
      </c>
      <c r="D1480" s="2" t="s">
        <v>11405</v>
      </c>
      <c r="E1480" s="2">
        <v>169490.0</v>
      </c>
      <c r="F1480" s="2">
        <v>949.0</v>
      </c>
      <c r="G1480" s="2">
        <v>4530.0</v>
      </c>
      <c r="H1480" s="2" t="s">
        <v>5905</v>
      </c>
      <c r="I1480" s="2" t="s">
        <v>5906</v>
      </c>
      <c r="K1480" s="2" t="s">
        <v>11406</v>
      </c>
      <c r="L1480" s="10" t="s">
        <v>11407</v>
      </c>
    </row>
    <row r="1481">
      <c r="A1481" s="2" t="s">
        <v>5549</v>
      </c>
      <c r="B1481" s="2" t="s">
        <v>11408</v>
      </c>
      <c r="C1481" s="2">
        <v>6.6696098164E10</v>
      </c>
      <c r="D1481" s="2" t="s">
        <v>11409</v>
      </c>
      <c r="E1481" s="2">
        <v>6642558.0</v>
      </c>
      <c r="F1481" s="2">
        <v>233.0</v>
      </c>
      <c r="G1481" s="2">
        <v>1277.0</v>
      </c>
      <c r="H1481" s="2" t="s">
        <v>5905</v>
      </c>
      <c r="I1481" s="2" t="s">
        <v>5906</v>
      </c>
      <c r="J1481" s="2" t="s">
        <v>5561</v>
      </c>
      <c r="K1481" s="2" t="s">
        <v>11410</v>
      </c>
      <c r="L1481" s="10" t="s">
        <v>11411</v>
      </c>
    </row>
    <row r="1482">
      <c r="A1482" s="2" t="s">
        <v>5549</v>
      </c>
      <c r="B1482" s="2" t="s">
        <v>11412</v>
      </c>
      <c r="C1482" s="2">
        <v>4.5440960723E10</v>
      </c>
      <c r="D1482" s="2" t="s">
        <v>11413</v>
      </c>
      <c r="E1482" s="2">
        <v>499495.0</v>
      </c>
      <c r="F1482" s="2">
        <v>110.0</v>
      </c>
      <c r="G1482" s="2">
        <v>1419.0</v>
      </c>
      <c r="H1482" s="2" t="s">
        <v>5905</v>
      </c>
      <c r="I1482" s="2" t="s">
        <v>5905</v>
      </c>
      <c r="J1482" s="2" t="s">
        <v>5959</v>
      </c>
      <c r="K1482" s="2" t="s">
        <v>11414</v>
      </c>
      <c r="L1482" s="10" t="s">
        <v>11415</v>
      </c>
    </row>
    <row r="1483">
      <c r="A1483" s="2" t="s">
        <v>5549</v>
      </c>
      <c r="B1483" s="2" t="s">
        <v>11416</v>
      </c>
      <c r="C1483" s="2">
        <v>1.259981331E9</v>
      </c>
      <c r="D1483" s="2" t="s">
        <v>11417</v>
      </c>
      <c r="E1483" s="2">
        <v>2319136.0</v>
      </c>
      <c r="F1483" s="2">
        <v>115.0</v>
      </c>
      <c r="G1483" s="2">
        <v>2054.0</v>
      </c>
      <c r="H1483" s="2" t="s">
        <v>5905</v>
      </c>
      <c r="I1483" s="2" t="s">
        <v>5906</v>
      </c>
      <c r="J1483" s="2" t="s">
        <v>5561</v>
      </c>
      <c r="K1483" s="2" t="s">
        <v>11418</v>
      </c>
      <c r="L1483" s="10" t="s">
        <v>11419</v>
      </c>
    </row>
    <row r="1484">
      <c r="A1484" s="2" t="s">
        <v>5549</v>
      </c>
      <c r="B1484" s="2" t="s">
        <v>11420</v>
      </c>
      <c r="C1484" s="2">
        <v>5.936003377E9</v>
      </c>
      <c r="D1484" s="2" t="s">
        <v>11421</v>
      </c>
      <c r="E1484" s="2">
        <v>487425.0</v>
      </c>
      <c r="F1484" s="2">
        <v>101.0</v>
      </c>
      <c r="G1484" s="2">
        <v>1676.0</v>
      </c>
      <c r="H1484" s="2" t="s">
        <v>5906</v>
      </c>
      <c r="I1484" s="2" t="s">
        <v>5905</v>
      </c>
      <c r="J1484" s="2" t="s">
        <v>5928</v>
      </c>
      <c r="K1484" s="2" t="s">
        <v>11422</v>
      </c>
      <c r="L1484" s="10" t="s">
        <v>11423</v>
      </c>
    </row>
    <row r="1485">
      <c r="A1485" s="2" t="s">
        <v>5549</v>
      </c>
      <c r="B1485" s="2" t="s">
        <v>11424</v>
      </c>
      <c r="C1485" s="2">
        <v>4.6014186122E10</v>
      </c>
      <c r="D1485" s="2" t="s">
        <v>11425</v>
      </c>
      <c r="E1485" s="2">
        <v>1018205.0</v>
      </c>
      <c r="F1485" s="2">
        <v>11.0</v>
      </c>
      <c r="G1485" s="2">
        <v>3222.0</v>
      </c>
      <c r="H1485" s="2" t="s">
        <v>5906</v>
      </c>
      <c r="I1485" s="2" t="s">
        <v>5905</v>
      </c>
      <c r="J1485" s="2" t="s">
        <v>5959</v>
      </c>
      <c r="K1485" s="2" t="s">
        <v>11426</v>
      </c>
      <c r="L1485" s="10" t="s">
        <v>11427</v>
      </c>
    </row>
    <row r="1486">
      <c r="A1486" s="2" t="s">
        <v>5549</v>
      </c>
      <c r="B1486" s="2" t="s">
        <v>11428</v>
      </c>
      <c r="C1486" s="2">
        <v>4.7363485448E10</v>
      </c>
      <c r="D1486" s="2" t="s">
        <v>11429</v>
      </c>
      <c r="E1486" s="2">
        <v>409583.0</v>
      </c>
      <c r="F1486" s="2">
        <v>2.0</v>
      </c>
      <c r="G1486" s="2">
        <v>580.0</v>
      </c>
      <c r="H1486" s="2" t="s">
        <v>5905</v>
      </c>
      <c r="I1486" s="2" t="s">
        <v>5905</v>
      </c>
      <c r="J1486" s="2" t="s">
        <v>5928</v>
      </c>
      <c r="K1486" s="2" t="s">
        <v>11430</v>
      </c>
    </row>
    <row r="1487">
      <c r="A1487" s="2" t="s">
        <v>5549</v>
      </c>
      <c r="B1487" s="10" t="s">
        <v>11431</v>
      </c>
      <c r="C1487" s="2">
        <v>6.2701233408E10</v>
      </c>
      <c r="D1487" s="2" t="s">
        <v>5549</v>
      </c>
      <c r="E1487" s="2">
        <v>11354.0</v>
      </c>
      <c r="F1487" s="2">
        <v>4.0</v>
      </c>
      <c r="G1487" s="2">
        <v>25.0</v>
      </c>
      <c r="H1487" s="2" t="s">
        <v>5905</v>
      </c>
      <c r="I1487" s="2" t="s">
        <v>5905</v>
      </c>
      <c r="J1487" s="2" t="s">
        <v>11432</v>
      </c>
      <c r="K1487" s="2" t="s">
        <v>11433</v>
      </c>
      <c r="L1487" s="10" t="s">
        <v>11434</v>
      </c>
    </row>
    <row r="1488">
      <c r="A1488" s="2" t="s">
        <v>5549</v>
      </c>
      <c r="B1488" s="2" t="s">
        <v>11435</v>
      </c>
      <c r="C1488" s="2">
        <v>1.1555596631E10</v>
      </c>
      <c r="D1488" s="2" t="s">
        <v>11436</v>
      </c>
      <c r="E1488" s="2">
        <v>1058228.0</v>
      </c>
      <c r="F1488" s="2">
        <v>43.0</v>
      </c>
      <c r="G1488" s="2">
        <v>743.0</v>
      </c>
      <c r="H1488" s="2" t="s">
        <v>5905</v>
      </c>
      <c r="I1488" s="2" t="s">
        <v>5905</v>
      </c>
      <c r="J1488" s="2" t="s">
        <v>5959</v>
      </c>
      <c r="K1488" s="2" t="s">
        <v>11437</v>
      </c>
      <c r="L1488" s="10" t="s">
        <v>11438</v>
      </c>
    </row>
    <row r="1489">
      <c r="A1489" s="2" t="s">
        <v>5549</v>
      </c>
      <c r="B1489" s="2" t="s">
        <v>11439</v>
      </c>
      <c r="C1489" s="2">
        <v>1.1288655385E10</v>
      </c>
      <c r="D1489" s="2" t="s">
        <v>11440</v>
      </c>
      <c r="E1489" s="2">
        <v>876037.0</v>
      </c>
      <c r="F1489" s="2">
        <v>564.0</v>
      </c>
      <c r="G1489" s="2">
        <v>10772.0</v>
      </c>
      <c r="H1489" s="2" t="s">
        <v>5906</v>
      </c>
      <c r="I1489" s="2" t="s">
        <v>5906</v>
      </c>
      <c r="K1489" s="2" t="s">
        <v>11441</v>
      </c>
      <c r="L1489" s="10" t="s">
        <v>11442</v>
      </c>
    </row>
    <row r="1490">
      <c r="A1490" s="2" t="s">
        <v>5549</v>
      </c>
      <c r="B1490" s="2" t="s">
        <v>11443</v>
      </c>
      <c r="C1490" s="2">
        <v>6.4991632029E10</v>
      </c>
      <c r="D1490" s="2" t="s">
        <v>11444</v>
      </c>
      <c r="E1490" s="2">
        <v>30615.0</v>
      </c>
      <c r="F1490" s="2">
        <v>0.0</v>
      </c>
      <c r="G1490" s="2">
        <v>0.0</v>
      </c>
      <c r="H1490" s="2" t="s">
        <v>5905</v>
      </c>
      <c r="I1490" s="2" t="s">
        <v>5905</v>
      </c>
      <c r="J1490" s="2" t="s">
        <v>6166</v>
      </c>
      <c r="K1490" s="2" t="s">
        <v>11445</v>
      </c>
    </row>
    <row r="1491">
      <c r="A1491" s="2" t="s">
        <v>5549</v>
      </c>
      <c r="B1491" s="2" t="s">
        <v>11446</v>
      </c>
      <c r="C1491" s="2">
        <v>6.1828820698E10</v>
      </c>
      <c r="D1491" s="2" t="s">
        <v>11447</v>
      </c>
      <c r="E1491" s="2">
        <v>60428.0</v>
      </c>
      <c r="F1491" s="2">
        <v>0.0</v>
      </c>
      <c r="G1491" s="2">
        <v>191.0</v>
      </c>
      <c r="H1491" s="2" t="s">
        <v>5905</v>
      </c>
      <c r="I1491" s="2" t="s">
        <v>5905</v>
      </c>
      <c r="J1491" s="2" t="s">
        <v>5959</v>
      </c>
      <c r="K1491" s="2" t="s">
        <v>11448</v>
      </c>
    </row>
    <row r="1492">
      <c r="A1492" s="2" t="s">
        <v>5447</v>
      </c>
      <c r="B1492" s="2" t="s">
        <v>11449</v>
      </c>
      <c r="C1492" s="2">
        <v>736685.0</v>
      </c>
      <c r="D1492" s="2" t="s">
        <v>5447</v>
      </c>
      <c r="E1492" s="2">
        <v>573779.0</v>
      </c>
      <c r="F1492" s="2">
        <v>497.0</v>
      </c>
      <c r="G1492" s="2">
        <v>9076.0</v>
      </c>
      <c r="H1492" s="2" t="s">
        <v>5906</v>
      </c>
      <c r="I1492" s="2" t="s">
        <v>5906</v>
      </c>
      <c r="J1492" s="2" t="s">
        <v>6699</v>
      </c>
      <c r="K1492" s="2" t="s">
        <v>11450</v>
      </c>
      <c r="L1492" s="10" t="s">
        <v>11451</v>
      </c>
    </row>
    <row r="1493">
      <c r="A1493" s="2" t="s">
        <v>5332</v>
      </c>
      <c r="B1493" s="2" t="s">
        <v>11452</v>
      </c>
      <c r="C1493" s="2">
        <v>5.1775204889E10</v>
      </c>
      <c r="D1493" s="2" t="s">
        <v>11453</v>
      </c>
      <c r="E1493" s="2">
        <v>74255.0</v>
      </c>
      <c r="F1493" s="2">
        <v>30.0</v>
      </c>
      <c r="G1493" s="2">
        <v>1889.0</v>
      </c>
      <c r="H1493" s="2" t="s">
        <v>5905</v>
      </c>
      <c r="I1493" s="2" t="s">
        <v>5905</v>
      </c>
      <c r="J1493" s="2" t="s">
        <v>6171</v>
      </c>
      <c r="K1493" s="2" t="s">
        <v>11454</v>
      </c>
      <c r="L1493" s="10" t="s">
        <v>11455</v>
      </c>
    </row>
    <row r="1494">
      <c r="A1494" s="2" t="s">
        <v>5332</v>
      </c>
      <c r="B1494" s="2" t="s">
        <v>11456</v>
      </c>
      <c r="C1494" s="2">
        <v>2.081212128E9</v>
      </c>
      <c r="D1494" s="2" t="s">
        <v>11457</v>
      </c>
      <c r="E1494" s="2">
        <v>1.625974E7</v>
      </c>
      <c r="F1494" s="2">
        <v>15.0</v>
      </c>
      <c r="G1494" s="2">
        <v>4863.0</v>
      </c>
      <c r="H1494" s="2" t="s">
        <v>5906</v>
      </c>
      <c r="I1494" s="2" t="s">
        <v>5905</v>
      </c>
      <c r="J1494" s="2" t="s">
        <v>6124</v>
      </c>
      <c r="K1494" s="2" t="s">
        <v>11458</v>
      </c>
      <c r="L1494" s="10" t="s">
        <v>11459</v>
      </c>
    </row>
    <row r="1495">
      <c r="A1495" s="2" t="s">
        <v>5332</v>
      </c>
      <c r="B1495" s="2" t="s">
        <v>11460</v>
      </c>
      <c r="C1495" s="2">
        <v>2.2492633E7</v>
      </c>
      <c r="D1495" s="2" t="s">
        <v>5332</v>
      </c>
      <c r="E1495" s="2">
        <v>3033593.0</v>
      </c>
      <c r="F1495" s="2">
        <v>1329.0</v>
      </c>
      <c r="G1495" s="2">
        <v>13159.0</v>
      </c>
      <c r="H1495" s="2" t="s">
        <v>5906</v>
      </c>
      <c r="I1495" s="2" t="s">
        <v>5906</v>
      </c>
      <c r="J1495" s="2" t="s">
        <v>5518</v>
      </c>
      <c r="K1495" s="2" t="s">
        <v>11461</v>
      </c>
      <c r="L1495" s="10" t="s">
        <v>11462</v>
      </c>
    </row>
    <row r="1496">
      <c r="A1496" s="2" t="s">
        <v>5332</v>
      </c>
      <c r="B1496" s="2" t="s">
        <v>11463</v>
      </c>
      <c r="C1496" s="2">
        <v>5.5270324522E10</v>
      </c>
      <c r="D1496" s="2" t="s">
        <v>11457</v>
      </c>
      <c r="E1496" s="2">
        <v>254697.0</v>
      </c>
      <c r="F1496" s="2">
        <v>30.0</v>
      </c>
      <c r="G1496" s="2">
        <v>3229.0</v>
      </c>
      <c r="H1496" s="2" t="s">
        <v>5905</v>
      </c>
      <c r="I1496" s="2" t="s">
        <v>5906</v>
      </c>
      <c r="J1496" s="2" t="s">
        <v>6124</v>
      </c>
      <c r="K1496" s="2" t="s">
        <v>11464</v>
      </c>
    </row>
    <row r="1497">
      <c r="A1497" s="2" t="s">
        <v>5332</v>
      </c>
      <c r="B1497" s="2" t="s">
        <v>11465</v>
      </c>
      <c r="C1497" s="2">
        <v>3.1797107355E10</v>
      </c>
      <c r="D1497" s="2" t="s">
        <v>11466</v>
      </c>
      <c r="E1497" s="2">
        <v>99650.0</v>
      </c>
      <c r="F1497" s="2">
        <v>96.0</v>
      </c>
      <c r="G1497" s="2">
        <v>3307.0</v>
      </c>
      <c r="H1497" s="2" t="s">
        <v>5905</v>
      </c>
      <c r="I1497" s="2" t="s">
        <v>5905</v>
      </c>
      <c r="J1497" s="2" t="s">
        <v>11467</v>
      </c>
      <c r="K1497" s="2" t="s">
        <v>11468</v>
      </c>
      <c r="L1497" s="10" t="s">
        <v>11469</v>
      </c>
    </row>
    <row r="1498">
      <c r="A1498" s="2" t="s">
        <v>5332</v>
      </c>
      <c r="B1498" s="2" t="s">
        <v>11470</v>
      </c>
      <c r="C1498" s="2">
        <v>7.101430546E9</v>
      </c>
      <c r="D1498" s="2" t="s">
        <v>11471</v>
      </c>
      <c r="E1498" s="2">
        <v>9810604.0</v>
      </c>
      <c r="F1498" s="2">
        <v>14.0</v>
      </c>
      <c r="G1498" s="2">
        <v>145.0</v>
      </c>
      <c r="H1498" s="2" t="s">
        <v>5906</v>
      </c>
      <c r="I1498" s="2" t="s">
        <v>5905</v>
      </c>
      <c r="J1498" s="2" t="s">
        <v>5993</v>
      </c>
    </row>
    <row r="1499">
      <c r="A1499" s="2" t="s">
        <v>5548</v>
      </c>
      <c r="B1499" s="2" t="s">
        <v>11472</v>
      </c>
      <c r="C1499" s="2">
        <v>2.0475854964E10</v>
      </c>
      <c r="D1499" s="2" t="s">
        <v>11473</v>
      </c>
      <c r="E1499" s="2">
        <v>240811.0</v>
      </c>
      <c r="F1499" s="2">
        <v>10.0</v>
      </c>
      <c r="G1499" s="2">
        <v>944.0</v>
      </c>
      <c r="H1499" s="2" t="s">
        <v>5905</v>
      </c>
      <c r="I1499" s="2" t="s">
        <v>5906</v>
      </c>
      <c r="J1499" s="2" t="s">
        <v>6166</v>
      </c>
      <c r="K1499" s="2" t="s">
        <v>11474</v>
      </c>
      <c r="L1499" s="10" t="s">
        <v>11475</v>
      </c>
    </row>
    <row r="1500">
      <c r="A1500" s="2" t="s">
        <v>5548</v>
      </c>
      <c r="B1500" s="2" t="s">
        <v>11476</v>
      </c>
      <c r="C1500" s="2">
        <v>2.9471032379E10</v>
      </c>
      <c r="D1500" s="2" t="s">
        <v>11477</v>
      </c>
      <c r="E1500" s="2">
        <v>140215.0</v>
      </c>
      <c r="F1500" s="2">
        <v>5.0</v>
      </c>
      <c r="G1500" s="2">
        <v>5007.0</v>
      </c>
      <c r="H1500" s="2" t="s">
        <v>5905</v>
      </c>
      <c r="I1500" s="2" t="s">
        <v>5905</v>
      </c>
      <c r="J1500" s="2" t="s">
        <v>6023</v>
      </c>
      <c r="K1500" s="2" t="s">
        <v>11478</v>
      </c>
    </row>
    <row r="1501">
      <c r="A1501" s="2" t="s">
        <v>5548</v>
      </c>
      <c r="B1501" s="2" t="s">
        <v>11479</v>
      </c>
      <c r="C1501" s="2">
        <v>2.111131802E9</v>
      </c>
      <c r="D1501" s="2" t="s">
        <v>11480</v>
      </c>
      <c r="E1501" s="2">
        <v>19103.0</v>
      </c>
      <c r="F1501" s="2">
        <v>5381.0</v>
      </c>
      <c r="G1501" s="2">
        <v>6356.0</v>
      </c>
      <c r="H1501" s="2" t="s">
        <v>5905</v>
      </c>
      <c r="I1501" s="2" t="s">
        <v>5906</v>
      </c>
      <c r="J1501" s="2" t="s">
        <v>11481</v>
      </c>
      <c r="K1501" s="12" t="s">
        <v>11482</v>
      </c>
    </row>
    <row r="1502">
      <c r="A1502" s="2" t="s">
        <v>5548</v>
      </c>
      <c r="B1502" s="2" t="s">
        <v>11483</v>
      </c>
      <c r="C1502" s="2">
        <v>4.8191818844E10</v>
      </c>
      <c r="D1502" s="2" t="s">
        <v>11484</v>
      </c>
      <c r="E1502" s="2">
        <v>62216.0</v>
      </c>
      <c r="F1502" s="2">
        <v>17.0</v>
      </c>
      <c r="G1502" s="2">
        <v>833.0</v>
      </c>
      <c r="H1502" s="2" t="s">
        <v>5905</v>
      </c>
      <c r="I1502" s="2" t="s">
        <v>5906</v>
      </c>
      <c r="J1502" s="2" t="s">
        <v>5963</v>
      </c>
      <c r="K1502" s="12" t="s">
        <v>11485</v>
      </c>
      <c r="L1502" s="10" t="s">
        <v>11486</v>
      </c>
    </row>
    <row r="1503">
      <c r="A1503" s="2" t="s">
        <v>5548</v>
      </c>
      <c r="B1503" s="2" t="s">
        <v>11487</v>
      </c>
      <c r="C1503" s="2">
        <v>2.30328895E8</v>
      </c>
      <c r="D1503" s="2" t="s">
        <v>11488</v>
      </c>
      <c r="E1503" s="2">
        <v>456541.0</v>
      </c>
      <c r="F1503" s="2">
        <v>1.0</v>
      </c>
      <c r="G1503" s="2">
        <v>6573.0</v>
      </c>
      <c r="H1503" s="2" t="s">
        <v>5905</v>
      </c>
      <c r="I1503" s="2" t="s">
        <v>5906</v>
      </c>
      <c r="J1503" s="2" t="s">
        <v>6166</v>
      </c>
      <c r="K1503" s="2" t="s">
        <v>11489</v>
      </c>
      <c r="L1503" s="10" t="s">
        <v>11490</v>
      </c>
    </row>
    <row r="1504">
      <c r="A1504" s="2" t="s">
        <v>5548</v>
      </c>
      <c r="B1504" s="2" t="s">
        <v>11491</v>
      </c>
      <c r="C1504" s="2">
        <v>4.5623349368E10</v>
      </c>
      <c r="D1504" s="2" t="s">
        <v>11492</v>
      </c>
      <c r="E1504" s="2">
        <v>56633.0</v>
      </c>
      <c r="F1504" s="2">
        <v>1.0</v>
      </c>
      <c r="G1504" s="2">
        <v>3.0</v>
      </c>
      <c r="H1504" s="2" t="s">
        <v>5905</v>
      </c>
      <c r="I1504" s="2" t="s">
        <v>5906</v>
      </c>
      <c r="J1504" s="2" t="s">
        <v>5993</v>
      </c>
      <c r="K1504" s="12" t="s">
        <v>11493</v>
      </c>
      <c r="L1504" s="10" t="s">
        <v>11494</v>
      </c>
    </row>
    <row r="1505">
      <c r="A1505" s="2" t="s">
        <v>5548</v>
      </c>
      <c r="B1505" s="2" t="s">
        <v>11495</v>
      </c>
      <c r="C1505" s="2">
        <v>2.0978027692E10</v>
      </c>
      <c r="D1505" s="2" t="s">
        <v>11496</v>
      </c>
      <c r="E1505" s="2">
        <v>13076.0</v>
      </c>
      <c r="F1505" s="2">
        <v>2911.0</v>
      </c>
      <c r="G1505" s="2">
        <v>245.0</v>
      </c>
      <c r="H1505" s="2" t="s">
        <v>5906</v>
      </c>
      <c r="I1505" s="2" t="s">
        <v>5905</v>
      </c>
      <c r="J1505" s="2" t="s">
        <v>5993</v>
      </c>
      <c r="K1505" s="2" t="s">
        <v>11497</v>
      </c>
      <c r="L1505" s="10" t="s">
        <v>11498</v>
      </c>
    </row>
    <row r="1506">
      <c r="A1506" s="2" t="s">
        <v>5548</v>
      </c>
      <c r="B1506" s="2" t="s">
        <v>11499</v>
      </c>
      <c r="C1506" s="2">
        <v>1.91071724E8</v>
      </c>
      <c r="D1506" s="2" t="s">
        <v>11500</v>
      </c>
      <c r="E1506" s="2">
        <v>2004034.0</v>
      </c>
      <c r="F1506" s="2">
        <v>360.0</v>
      </c>
      <c r="G1506" s="2">
        <v>35331.0</v>
      </c>
      <c r="H1506" s="2" t="s">
        <v>5906</v>
      </c>
      <c r="I1506" s="2" t="s">
        <v>5906</v>
      </c>
      <c r="J1506" s="2" t="s">
        <v>5963</v>
      </c>
      <c r="K1506" s="2" t="s">
        <v>11501</v>
      </c>
      <c r="L1506" s="10" t="s">
        <v>11502</v>
      </c>
    </row>
    <row r="1507">
      <c r="A1507" s="2" t="s">
        <v>5548</v>
      </c>
      <c r="B1507" s="2" t="s">
        <v>11503</v>
      </c>
      <c r="C1507" s="2">
        <v>5.4695860831E10</v>
      </c>
      <c r="D1507" s="2" t="s">
        <v>11504</v>
      </c>
      <c r="E1507" s="2">
        <v>94900.0</v>
      </c>
      <c r="F1507" s="2">
        <v>66.0</v>
      </c>
      <c r="G1507" s="2">
        <v>232.0</v>
      </c>
      <c r="H1507" s="2" t="s">
        <v>5905</v>
      </c>
      <c r="I1507" s="2" t="s">
        <v>5906</v>
      </c>
      <c r="J1507" s="2" t="s">
        <v>5959</v>
      </c>
      <c r="K1507" s="12" t="s">
        <v>11505</v>
      </c>
      <c r="L1507" s="10" t="s">
        <v>11506</v>
      </c>
    </row>
    <row r="1508">
      <c r="A1508" s="2" t="s">
        <v>5352</v>
      </c>
      <c r="B1508" s="2" t="s">
        <v>11507</v>
      </c>
      <c r="C1508" s="2">
        <v>4.91804567E8</v>
      </c>
      <c r="D1508" s="2" t="s">
        <v>11508</v>
      </c>
      <c r="E1508" s="2">
        <v>149370.0</v>
      </c>
      <c r="F1508" s="2">
        <v>84.0</v>
      </c>
      <c r="G1508" s="2">
        <v>3158.0</v>
      </c>
      <c r="H1508" s="2" t="s">
        <v>5906</v>
      </c>
      <c r="I1508" s="2" t="s">
        <v>5906</v>
      </c>
      <c r="J1508" s="2" t="s">
        <v>11509</v>
      </c>
      <c r="K1508" s="2" t="s">
        <v>11510</v>
      </c>
      <c r="L1508" s="10" t="s">
        <v>11511</v>
      </c>
    </row>
    <row r="1509">
      <c r="A1509" s="2" t="s">
        <v>5294</v>
      </c>
      <c r="B1509" s="2" t="s">
        <v>11512</v>
      </c>
      <c r="C1509" s="2">
        <v>2.6446400332E10</v>
      </c>
      <c r="D1509" s="2" t="s">
        <v>11513</v>
      </c>
      <c r="E1509" s="2">
        <v>513124.0</v>
      </c>
      <c r="F1509" s="2">
        <v>2498.0</v>
      </c>
      <c r="G1509" s="2">
        <v>165.0</v>
      </c>
      <c r="H1509" s="2" t="s">
        <v>5906</v>
      </c>
      <c r="I1509" s="2" t="s">
        <v>5906</v>
      </c>
      <c r="J1509" s="2" t="s">
        <v>6124</v>
      </c>
      <c r="K1509" s="2" t="s">
        <v>11514</v>
      </c>
      <c r="L1509" s="10" t="s">
        <v>11515</v>
      </c>
    </row>
    <row r="1510">
      <c r="A1510" s="2" t="s">
        <v>5294</v>
      </c>
      <c r="B1510" s="2" t="s">
        <v>11516</v>
      </c>
      <c r="C1510" s="2">
        <v>3.7148231E7</v>
      </c>
      <c r="D1510" s="2" t="s">
        <v>5294</v>
      </c>
      <c r="E1510" s="2">
        <v>2714932.0</v>
      </c>
      <c r="F1510" s="2">
        <v>27.0</v>
      </c>
      <c r="G1510" s="2">
        <v>36753.0</v>
      </c>
      <c r="H1510" s="2" t="s">
        <v>5906</v>
      </c>
      <c r="I1510" s="2" t="s">
        <v>5906</v>
      </c>
      <c r="J1510" s="2" t="s">
        <v>5907</v>
      </c>
      <c r="K1510" s="2" t="s">
        <v>11517</v>
      </c>
      <c r="L1510" s="10" t="s">
        <v>11518</v>
      </c>
    </row>
    <row r="1511">
      <c r="A1511" s="2" t="s">
        <v>5294</v>
      </c>
      <c r="B1511" s="2" t="s">
        <v>11519</v>
      </c>
      <c r="C1511" s="2">
        <v>1.004217055E9</v>
      </c>
      <c r="D1511" s="12" t="s">
        <v>11520</v>
      </c>
      <c r="E1511" s="2">
        <v>4163120.0</v>
      </c>
      <c r="F1511" s="2">
        <v>4.0</v>
      </c>
      <c r="G1511" s="2">
        <v>87180.0</v>
      </c>
      <c r="H1511" s="2" t="s">
        <v>5906</v>
      </c>
      <c r="I1511" s="2" t="s">
        <v>5906</v>
      </c>
      <c r="J1511" s="2" t="s">
        <v>5920</v>
      </c>
      <c r="K1511" s="12" t="s">
        <v>11521</v>
      </c>
      <c r="L1511" s="10" t="s">
        <v>11522</v>
      </c>
    </row>
    <row r="1512">
      <c r="A1512" s="2" t="s">
        <v>5294</v>
      </c>
      <c r="B1512" s="2" t="s">
        <v>11523</v>
      </c>
      <c r="C1512" s="2">
        <v>6.020728613E10</v>
      </c>
      <c r="D1512" s="2" t="s">
        <v>11524</v>
      </c>
      <c r="E1512" s="2">
        <v>24870.0</v>
      </c>
      <c r="F1512" s="2">
        <v>10.0</v>
      </c>
      <c r="G1512" s="2">
        <v>1260.0</v>
      </c>
      <c r="H1512" s="2" t="s">
        <v>5906</v>
      </c>
      <c r="I1512" s="2" t="s">
        <v>5906</v>
      </c>
      <c r="J1512" s="2" t="s">
        <v>5920</v>
      </c>
      <c r="K1512" s="2" t="s">
        <v>11525</v>
      </c>
      <c r="L1512" s="10" t="s">
        <v>11526</v>
      </c>
    </row>
    <row r="1513">
      <c r="A1513" s="2" t="s">
        <v>5294</v>
      </c>
      <c r="B1513" s="2" t="s">
        <v>11527</v>
      </c>
      <c r="C1513" s="2">
        <v>3.558384845E9</v>
      </c>
      <c r="D1513" s="2" t="s">
        <v>11528</v>
      </c>
      <c r="E1513" s="2">
        <v>69272.0</v>
      </c>
      <c r="F1513" s="2">
        <v>1.0</v>
      </c>
      <c r="G1513" s="2">
        <v>12959.0</v>
      </c>
      <c r="H1513" s="2" t="s">
        <v>5905</v>
      </c>
      <c r="I1513" s="2" t="s">
        <v>5905</v>
      </c>
      <c r="K1513" s="2" t="s">
        <v>11529</v>
      </c>
    </row>
    <row r="1514">
      <c r="A1514" s="2" t="s">
        <v>5377</v>
      </c>
      <c r="B1514" s="2" t="s">
        <v>11530</v>
      </c>
      <c r="C1514" s="2">
        <v>2.0589031E8</v>
      </c>
      <c r="D1514" s="2" t="s">
        <v>5377</v>
      </c>
      <c r="E1514" s="2">
        <v>99403.0</v>
      </c>
      <c r="F1514" s="2">
        <v>165.0</v>
      </c>
      <c r="G1514" s="2">
        <v>3538.0</v>
      </c>
      <c r="H1514" s="2" t="s">
        <v>5906</v>
      </c>
      <c r="I1514" s="2" t="s">
        <v>5906</v>
      </c>
      <c r="K1514" s="2" t="s">
        <v>11531</v>
      </c>
      <c r="L1514" s="10" t="s">
        <v>11532</v>
      </c>
    </row>
    <row r="1515">
      <c r="A1515" s="2" t="s">
        <v>5377</v>
      </c>
      <c r="B1515" s="2" t="s">
        <v>11533</v>
      </c>
      <c r="C1515" s="2">
        <v>6.5091495496E10</v>
      </c>
      <c r="D1515" s="2" t="s">
        <v>11534</v>
      </c>
      <c r="E1515" s="2">
        <v>169487.0</v>
      </c>
      <c r="F1515" s="2">
        <v>0.0</v>
      </c>
      <c r="G1515" s="2">
        <v>97.0</v>
      </c>
      <c r="H1515" s="2" t="s">
        <v>5906</v>
      </c>
      <c r="I1515" s="2" t="s">
        <v>5906</v>
      </c>
      <c r="J1515" s="2" t="s">
        <v>6002</v>
      </c>
      <c r="K1515" s="2" t="s">
        <v>11535</v>
      </c>
      <c r="L1515" s="10" t="s">
        <v>11536</v>
      </c>
    </row>
    <row r="1516">
      <c r="A1516" s="2" t="s">
        <v>5377</v>
      </c>
      <c r="B1516" s="2" t="s">
        <v>11537</v>
      </c>
      <c r="C1516" s="2">
        <v>8.303429761E9</v>
      </c>
      <c r="D1516" s="2" t="s">
        <v>11538</v>
      </c>
      <c r="E1516" s="2">
        <v>78461.0</v>
      </c>
      <c r="F1516" s="2">
        <v>256.0</v>
      </c>
      <c r="G1516" s="2">
        <v>843.0</v>
      </c>
      <c r="H1516" s="2" t="s">
        <v>5906</v>
      </c>
      <c r="I1516" s="2" t="s">
        <v>5906</v>
      </c>
      <c r="J1516" s="2" t="s">
        <v>6472</v>
      </c>
      <c r="K1516" s="2" t="s">
        <v>11539</v>
      </c>
      <c r="L1516" s="10" t="s">
        <v>11540</v>
      </c>
    </row>
    <row r="1517">
      <c r="A1517" s="2" t="s">
        <v>5377</v>
      </c>
      <c r="B1517" s="2" t="s">
        <v>11541</v>
      </c>
      <c r="C1517" s="2">
        <v>1.665517495E9</v>
      </c>
      <c r="D1517" s="2" t="s">
        <v>11542</v>
      </c>
      <c r="E1517" s="2">
        <v>18996.0</v>
      </c>
      <c r="F1517" s="2">
        <v>4703.0</v>
      </c>
      <c r="G1517" s="2">
        <v>1953.0</v>
      </c>
      <c r="H1517" s="2" t="s">
        <v>5905</v>
      </c>
      <c r="I1517" s="2" t="s">
        <v>5905</v>
      </c>
      <c r="J1517" s="2" t="s">
        <v>11543</v>
      </c>
      <c r="K1517" s="2" t="s">
        <v>11544</v>
      </c>
      <c r="L1517" s="10" t="s">
        <v>11545</v>
      </c>
    </row>
    <row r="1518">
      <c r="A1518" s="2" t="s">
        <v>5562</v>
      </c>
      <c r="B1518" s="2" t="s">
        <v>11546</v>
      </c>
      <c r="C1518" s="2">
        <v>2.215207479E9</v>
      </c>
      <c r="D1518" s="2" t="s">
        <v>11547</v>
      </c>
      <c r="E1518" s="2">
        <v>182258.0</v>
      </c>
      <c r="F1518" s="2">
        <v>1356.0</v>
      </c>
      <c r="G1518" s="2">
        <v>626.0</v>
      </c>
      <c r="H1518" s="2" t="s">
        <v>5905</v>
      </c>
      <c r="I1518" s="2" t="s">
        <v>5905</v>
      </c>
      <c r="J1518" s="2" t="s">
        <v>5959</v>
      </c>
      <c r="K1518" s="2" t="s">
        <v>11548</v>
      </c>
      <c r="L1518" s="10" t="s">
        <v>11549</v>
      </c>
    </row>
    <row r="1519">
      <c r="A1519" s="2" t="s">
        <v>5562</v>
      </c>
      <c r="B1519" s="2" t="s">
        <v>11550</v>
      </c>
      <c r="C1519" s="2">
        <v>4.7372953016E10</v>
      </c>
      <c r="D1519" s="2" t="s">
        <v>11551</v>
      </c>
      <c r="E1519" s="2">
        <v>12130.0</v>
      </c>
      <c r="F1519" s="2">
        <v>58.0</v>
      </c>
      <c r="G1519" s="2">
        <v>590.0</v>
      </c>
      <c r="H1519" s="2" t="s">
        <v>5905</v>
      </c>
      <c r="I1519" s="2" t="s">
        <v>5906</v>
      </c>
      <c r="J1519" s="2" t="s">
        <v>7140</v>
      </c>
      <c r="K1519" s="2" t="s">
        <v>11552</v>
      </c>
      <c r="L1519" s="10" t="s">
        <v>11553</v>
      </c>
    </row>
    <row r="1520">
      <c r="A1520" s="2" t="s">
        <v>5562</v>
      </c>
      <c r="B1520" s="2" t="s">
        <v>11554</v>
      </c>
      <c r="C1520" s="2">
        <v>2.046613108E9</v>
      </c>
      <c r="D1520" s="2" t="s">
        <v>11555</v>
      </c>
      <c r="E1520" s="2">
        <v>5231704.0</v>
      </c>
      <c r="F1520" s="2">
        <v>231.0</v>
      </c>
      <c r="G1520" s="2">
        <v>10516.0</v>
      </c>
      <c r="H1520" s="2" t="s">
        <v>5905</v>
      </c>
      <c r="I1520" s="2" t="s">
        <v>5905</v>
      </c>
      <c r="J1520" s="2" t="s">
        <v>6882</v>
      </c>
      <c r="K1520" s="2" t="s">
        <v>11556</v>
      </c>
    </row>
    <row r="1521">
      <c r="A1521" s="2" t="s">
        <v>5562</v>
      </c>
      <c r="B1521" s="2" t="s">
        <v>11557</v>
      </c>
      <c r="C1521" s="2">
        <v>4.2909588835E10</v>
      </c>
      <c r="D1521" s="2" t="s">
        <v>11558</v>
      </c>
      <c r="E1521" s="2">
        <v>248409.0</v>
      </c>
      <c r="F1521" s="2">
        <v>439.0</v>
      </c>
      <c r="G1521" s="2">
        <v>1444.0</v>
      </c>
      <c r="H1521" s="2" t="s">
        <v>5905</v>
      </c>
      <c r="I1521" s="2" t="s">
        <v>5906</v>
      </c>
      <c r="J1521" s="2" t="s">
        <v>5959</v>
      </c>
      <c r="K1521" s="2" t="s">
        <v>11559</v>
      </c>
      <c r="L1521" s="10" t="s">
        <v>11560</v>
      </c>
    </row>
    <row r="1522">
      <c r="A1522" s="2" t="s">
        <v>5562</v>
      </c>
      <c r="B1522" s="2" t="s">
        <v>11561</v>
      </c>
      <c r="C1522" s="2">
        <v>4.458262397E10</v>
      </c>
      <c r="D1522" s="2" t="s">
        <v>11562</v>
      </c>
      <c r="E1522" s="2">
        <v>130607.0</v>
      </c>
      <c r="F1522" s="2">
        <v>1265.0</v>
      </c>
      <c r="G1522" s="2">
        <v>627.0</v>
      </c>
      <c r="H1522" s="2" t="s">
        <v>5905</v>
      </c>
      <c r="I1522" s="2" t="s">
        <v>5905</v>
      </c>
      <c r="J1522" s="2" t="s">
        <v>5391</v>
      </c>
      <c r="K1522" s="2" t="s">
        <v>11563</v>
      </c>
      <c r="L1522" s="10" t="s">
        <v>11564</v>
      </c>
    </row>
    <row r="1523">
      <c r="A1523" s="2" t="s">
        <v>5562</v>
      </c>
      <c r="B1523" s="2" t="s">
        <v>11565</v>
      </c>
      <c r="C1523" s="2">
        <v>4.5778329299E10</v>
      </c>
      <c r="D1523" s="2" t="s">
        <v>11566</v>
      </c>
      <c r="E1523" s="2">
        <v>1535826.0</v>
      </c>
      <c r="F1523" s="2">
        <v>32.0</v>
      </c>
      <c r="G1523" s="2">
        <v>3342.0</v>
      </c>
      <c r="H1523" s="2" t="s">
        <v>5906</v>
      </c>
      <c r="I1523" s="2" t="s">
        <v>5905</v>
      </c>
      <c r="J1523" s="2" t="s">
        <v>5492</v>
      </c>
      <c r="K1523" s="2" t="s">
        <v>11567</v>
      </c>
      <c r="L1523" s="10" t="s">
        <v>11568</v>
      </c>
    </row>
    <row r="1524">
      <c r="A1524" s="2" t="s">
        <v>5562</v>
      </c>
      <c r="B1524" s="2" t="s">
        <v>11569</v>
      </c>
      <c r="C1524" s="2">
        <v>3.0735740872E10</v>
      </c>
      <c r="D1524" s="2" t="s">
        <v>11570</v>
      </c>
      <c r="E1524" s="2">
        <v>609873.0</v>
      </c>
      <c r="F1524" s="2">
        <v>294.0</v>
      </c>
      <c r="G1524" s="2">
        <v>2006.0</v>
      </c>
      <c r="H1524" s="2" t="s">
        <v>5906</v>
      </c>
      <c r="I1524" s="2" t="s">
        <v>5905</v>
      </c>
      <c r="J1524" s="2" t="s">
        <v>5948</v>
      </c>
      <c r="K1524" s="2" t="s">
        <v>11571</v>
      </c>
      <c r="L1524" s="10" t="s">
        <v>11572</v>
      </c>
    </row>
    <row r="1525">
      <c r="A1525" s="2" t="s">
        <v>5562</v>
      </c>
      <c r="B1525" s="2" t="s">
        <v>11573</v>
      </c>
      <c r="C1525" s="2">
        <v>1.409470671E9</v>
      </c>
      <c r="D1525" s="2" t="s">
        <v>11574</v>
      </c>
      <c r="E1525" s="2">
        <v>335509.0</v>
      </c>
      <c r="F1525" s="2">
        <v>330.0</v>
      </c>
      <c r="G1525" s="2">
        <v>11.0</v>
      </c>
      <c r="H1525" s="2" t="s">
        <v>5906</v>
      </c>
      <c r="I1525" s="2" t="s">
        <v>5905</v>
      </c>
      <c r="J1525" s="2" t="s">
        <v>5959</v>
      </c>
      <c r="K1525" s="2" t="s">
        <v>11575</v>
      </c>
      <c r="L1525" s="10" t="s">
        <v>11576</v>
      </c>
    </row>
    <row r="1526">
      <c r="A1526" s="2" t="s">
        <v>5562</v>
      </c>
      <c r="B1526" s="2" t="s">
        <v>11577</v>
      </c>
      <c r="C1526" s="2">
        <v>3.603319704E9</v>
      </c>
      <c r="D1526" s="2" t="s">
        <v>11578</v>
      </c>
      <c r="E1526" s="2">
        <v>1558435.0</v>
      </c>
      <c r="F1526" s="2">
        <v>296.0</v>
      </c>
      <c r="G1526" s="2">
        <v>920.0</v>
      </c>
      <c r="H1526" s="2" t="s">
        <v>5906</v>
      </c>
      <c r="I1526" s="2" t="s">
        <v>5905</v>
      </c>
      <c r="J1526" s="2" t="s">
        <v>7206</v>
      </c>
      <c r="K1526" s="2" t="s">
        <v>11579</v>
      </c>
      <c r="L1526" s="10" t="s">
        <v>11580</v>
      </c>
    </row>
    <row r="1527">
      <c r="A1527" s="2" t="s">
        <v>5562</v>
      </c>
      <c r="B1527" s="2" t="s">
        <v>7204</v>
      </c>
      <c r="C1527" s="2">
        <v>5.6413349678E10</v>
      </c>
      <c r="D1527" s="2" t="s">
        <v>7205</v>
      </c>
      <c r="E1527" s="2">
        <v>685780.0</v>
      </c>
      <c r="F1527" s="2">
        <v>123.0</v>
      </c>
      <c r="G1527" s="2">
        <v>1089.0</v>
      </c>
      <c r="H1527" s="2" t="s">
        <v>5906</v>
      </c>
      <c r="I1527" s="2" t="s">
        <v>5906</v>
      </c>
      <c r="J1527" s="2" t="s">
        <v>7206</v>
      </c>
      <c r="K1527" s="2" t="s">
        <v>7207</v>
      </c>
      <c r="L1527" s="10" t="s">
        <v>7208</v>
      </c>
    </row>
    <row r="1528">
      <c r="A1528" s="2" t="s">
        <v>5562</v>
      </c>
      <c r="B1528" s="2" t="s">
        <v>11581</v>
      </c>
      <c r="C1528" s="2">
        <v>4.8301628166E10</v>
      </c>
      <c r="D1528" s="2" t="s">
        <v>11582</v>
      </c>
      <c r="E1528" s="2">
        <v>69697.0</v>
      </c>
      <c r="F1528" s="2">
        <v>1493.0</v>
      </c>
      <c r="G1528" s="2">
        <v>289.0</v>
      </c>
      <c r="H1528" s="2" t="s">
        <v>5906</v>
      </c>
      <c r="I1528" s="2" t="s">
        <v>5906</v>
      </c>
      <c r="J1528" s="2" t="s">
        <v>5959</v>
      </c>
      <c r="K1528" s="2" t="s">
        <v>11583</v>
      </c>
      <c r="L1528" s="10" t="s">
        <v>11584</v>
      </c>
    </row>
    <row r="1529">
      <c r="A1529" s="2" t="s">
        <v>5562</v>
      </c>
      <c r="B1529" s="2" t="s">
        <v>11585</v>
      </c>
      <c r="C1529" s="2">
        <v>5.2044886569E10</v>
      </c>
      <c r="D1529" s="2" t="s">
        <v>11586</v>
      </c>
      <c r="E1529" s="2">
        <v>58344.0</v>
      </c>
      <c r="F1529" s="2">
        <v>3.0</v>
      </c>
      <c r="G1529" s="2">
        <v>2392.0</v>
      </c>
      <c r="H1529" s="2" t="s">
        <v>5905</v>
      </c>
      <c r="I1529" s="2" t="s">
        <v>5905</v>
      </c>
      <c r="J1529" s="2" t="s">
        <v>5928</v>
      </c>
      <c r="K1529" s="2" t="s">
        <v>11587</v>
      </c>
    </row>
    <row r="1530">
      <c r="A1530" s="2" t="s">
        <v>5562</v>
      </c>
      <c r="B1530" s="10" t="s">
        <v>11588</v>
      </c>
      <c r="C1530" s="2">
        <v>5.8230866899E10</v>
      </c>
      <c r="D1530" s="2" t="s">
        <v>11589</v>
      </c>
      <c r="E1530" s="2">
        <v>192963.0</v>
      </c>
      <c r="F1530" s="2">
        <v>194.0</v>
      </c>
      <c r="G1530" s="2">
        <v>266.0</v>
      </c>
      <c r="H1530" s="2" t="s">
        <v>5906</v>
      </c>
      <c r="I1530" s="2" t="s">
        <v>5905</v>
      </c>
      <c r="J1530" s="2" t="s">
        <v>5391</v>
      </c>
      <c r="K1530" s="2" t="s">
        <v>11590</v>
      </c>
      <c r="L1530" s="10" t="s">
        <v>11591</v>
      </c>
    </row>
    <row r="1531">
      <c r="A1531" s="2" t="s">
        <v>5562</v>
      </c>
      <c r="B1531" s="2" t="s">
        <v>11592</v>
      </c>
      <c r="C1531" s="2">
        <v>8.204192018E9</v>
      </c>
      <c r="D1531" s="2" t="s">
        <v>11593</v>
      </c>
      <c r="E1531" s="2">
        <v>144394.0</v>
      </c>
      <c r="F1531" s="2">
        <v>643.0</v>
      </c>
      <c r="G1531" s="2">
        <v>1841.0</v>
      </c>
      <c r="H1531" s="2" t="s">
        <v>5906</v>
      </c>
      <c r="I1531" s="2" t="s">
        <v>5906</v>
      </c>
      <c r="J1531" s="2" t="s">
        <v>10543</v>
      </c>
      <c r="K1531" s="2" t="s">
        <v>11594</v>
      </c>
      <c r="L1531" s="10" t="s">
        <v>11595</v>
      </c>
    </row>
    <row r="1532">
      <c r="A1532" s="2" t="s">
        <v>5562</v>
      </c>
      <c r="B1532" s="2" t="s">
        <v>11596</v>
      </c>
      <c r="C1532" s="2">
        <v>1.3932984202E10</v>
      </c>
      <c r="D1532" s="2" t="s">
        <v>11597</v>
      </c>
      <c r="E1532" s="2">
        <v>133388.0</v>
      </c>
      <c r="F1532" s="2">
        <v>821.0</v>
      </c>
      <c r="G1532" s="2">
        <v>980.0</v>
      </c>
      <c r="H1532" s="2" t="s">
        <v>5905</v>
      </c>
      <c r="I1532" s="2" t="s">
        <v>5906</v>
      </c>
      <c r="J1532" s="2" t="s">
        <v>5391</v>
      </c>
      <c r="K1532" s="2" t="s">
        <v>11598</v>
      </c>
      <c r="L1532" s="10" t="s">
        <v>11599</v>
      </c>
    </row>
    <row r="1533">
      <c r="A1533" s="2" t="s">
        <v>5562</v>
      </c>
      <c r="B1533" s="2" t="s">
        <v>11600</v>
      </c>
      <c r="C1533" s="2">
        <v>3.162762275E9</v>
      </c>
      <c r="D1533" s="2" t="s">
        <v>11601</v>
      </c>
      <c r="E1533" s="2">
        <v>927932.0</v>
      </c>
      <c r="F1533" s="2">
        <v>4923.0</v>
      </c>
      <c r="G1533" s="2">
        <v>2604.0</v>
      </c>
      <c r="H1533" s="2" t="s">
        <v>5906</v>
      </c>
      <c r="I1533" s="2" t="s">
        <v>5905</v>
      </c>
      <c r="J1533" s="2" t="s">
        <v>5959</v>
      </c>
      <c r="K1533" s="2" t="s">
        <v>11602</v>
      </c>
      <c r="L1533" s="10" t="s">
        <v>11603</v>
      </c>
    </row>
    <row r="1534">
      <c r="A1534" s="2" t="s">
        <v>5562</v>
      </c>
      <c r="B1534" s="2" t="s">
        <v>11604</v>
      </c>
      <c r="C1534" s="2">
        <v>6.4090217455E10</v>
      </c>
      <c r="D1534" s="2" t="s">
        <v>11605</v>
      </c>
      <c r="E1534" s="2">
        <v>788447.0</v>
      </c>
      <c r="F1534" s="2">
        <v>612.0</v>
      </c>
      <c r="G1534" s="2">
        <v>711.0</v>
      </c>
      <c r="H1534" s="2" t="s">
        <v>5906</v>
      </c>
      <c r="I1534" s="2" t="s">
        <v>5905</v>
      </c>
      <c r="J1534" s="2" t="s">
        <v>5391</v>
      </c>
      <c r="K1534" s="2" t="s">
        <v>11606</v>
      </c>
      <c r="L1534" s="10" t="s">
        <v>11607</v>
      </c>
    </row>
    <row r="1535">
      <c r="A1535" s="2" t="s">
        <v>5562</v>
      </c>
      <c r="B1535" s="2" t="s">
        <v>11608</v>
      </c>
      <c r="C1535" s="2">
        <v>4.8553223385E10</v>
      </c>
      <c r="D1535" s="2" t="s">
        <v>11609</v>
      </c>
      <c r="E1535" s="2">
        <v>37046.0</v>
      </c>
      <c r="F1535" s="2">
        <v>412.0</v>
      </c>
      <c r="G1535" s="2">
        <v>972.0</v>
      </c>
      <c r="H1535" s="2" t="s">
        <v>5905</v>
      </c>
      <c r="I1535" s="2" t="s">
        <v>5905</v>
      </c>
      <c r="J1535" s="2" t="s">
        <v>6002</v>
      </c>
      <c r="K1535" s="2" t="s">
        <v>11610</v>
      </c>
      <c r="L1535" s="10" t="s">
        <v>11611</v>
      </c>
    </row>
    <row r="1536">
      <c r="A1536" s="2" t="s">
        <v>5473</v>
      </c>
      <c r="B1536" s="2" t="s">
        <v>11612</v>
      </c>
      <c r="C1536" s="2">
        <v>2.18450675E8</v>
      </c>
      <c r="D1536" s="2" t="s">
        <v>5473</v>
      </c>
      <c r="E1536" s="2">
        <v>522709.0</v>
      </c>
      <c r="F1536" s="2">
        <v>82.0</v>
      </c>
      <c r="G1536" s="2">
        <v>11090.0</v>
      </c>
      <c r="H1536" s="2" t="s">
        <v>5906</v>
      </c>
      <c r="I1536" s="2" t="s">
        <v>5906</v>
      </c>
      <c r="K1536" s="2" t="s">
        <v>11613</v>
      </c>
      <c r="L1536" s="10" t="s">
        <v>11614</v>
      </c>
    </row>
    <row r="1537">
      <c r="A1537" s="2" t="s">
        <v>5315</v>
      </c>
      <c r="B1537" s="2" t="s">
        <v>11615</v>
      </c>
      <c r="C1537" s="2">
        <v>5.6854101229E10</v>
      </c>
      <c r="D1537" s="12" t="s">
        <v>11616</v>
      </c>
      <c r="E1537" s="2">
        <v>14718.0</v>
      </c>
      <c r="F1537" s="2">
        <v>1289.0</v>
      </c>
      <c r="G1537" s="2">
        <v>0.0</v>
      </c>
      <c r="H1537" s="2" t="s">
        <v>5905</v>
      </c>
      <c r="I1537" s="2" t="s">
        <v>5905</v>
      </c>
      <c r="J1537" s="2" t="s">
        <v>5993</v>
      </c>
      <c r="K1537" s="2" t="s">
        <v>11617</v>
      </c>
    </row>
    <row r="1538">
      <c r="A1538" s="2" t="s">
        <v>5315</v>
      </c>
      <c r="B1538" s="2" t="s">
        <v>11618</v>
      </c>
      <c r="C1538" s="2">
        <v>4.62187099E8</v>
      </c>
      <c r="E1538" s="2">
        <v>10564.0</v>
      </c>
      <c r="F1538" s="2">
        <v>961.0</v>
      </c>
      <c r="G1538" s="2">
        <v>0.0</v>
      </c>
      <c r="H1538" s="2" t="s">
        <v>5906</v>
      </c>
      <c r="I1538" s="2" t="s">
        <v>5906</v>
      </c>
      <c r="J1538" s="2" t="s">
        <v>5391</v>
      </c>
      <c r="L1538" s="10" t="s">
        <v>11619</v>
      </c>
    </row>
    <row r="1539">
      <c r="A1539" s="2" t="s">
        <v>5315</v>
      </c>
      <c r="B1539" s="2" t="s">
        <v>11620</v>
      </c>
      <c r="C1539" s="2">
        <v>6.1932446236E10</v>
      </c>
      <c r="D1539" s="2" t="s">
        <v>11621</v>
      </c>
      <c r="E1539" s="2">
        <v>23869.0</v>
      </c>
      <c r="F1539" s="2">
        <v>407.0</v>
      </c>
      <c r="G1539" s="2">
        <v>40.0</v>
      </c>
      <c r="H1539" s="2" t="s">
        <v>5905</v>
      </c>
      <c r="I1539" s="2" t="s">
        <v>5905</v>
      </c>
      <c r="J1539" s="2" t="s">
        <v>5959</v>
      </c>
      <c r="K1539" s="2" t="s">
        <v>11622</v>
      </c>
      <c r="L1539" s="10" t="s">
        <v>11623</v>
      </c>
    </row>
    <row r="1540">
      <c r="A1540" s="2" t="s">
        <v>5425</v>
      </c>
      <c r="B1540" s="2" t="s">
        <v>11624</v>
      </c>
      <c r="C1540" s="2">
        <v>1.290853022E9</v>
      </c>
      <c r="D1540" s="2" t="s">
        <v>11625</v>
      </c>
      <c r="E1540" s="2">
        <v>778053.0</v>
      </c>
      <c r="F1540" s="2">
        <v>680.0</v>
      </c>
      <c r="G1540" s="2">
        <v>7294.0</v>
      </c>
      <c r="H1540" s="2" t="s">
        <v>5906</v>
      </c>
      <c r="I1540" s="2" t="s">
        <v>5906</v>
      </c>
      <c r="J1540" s="2" t="s">
        <v>5911</v>
      </c>
      <c r="K1540" s="2" t="s">
        <v>11626</v>
      </c>
      <c r="L1540" s="10" t="s">
        <v>11627</v>
      </c>
    </row>
    <row r="1541">
      <c r="A1541" s="2" t="s">
        <v>5425</v>
      </c>
      <c r="B1541" s="2" t="s">
        <v>11628</v>
      </c>
      <c r="C1541" s="2">
        <v>5.4415186E7</v>
      </c>
      <c r="D1541" s="2" t="s">
        <v>11629</v>
      </c>
      <c r="E1541" s="2">
        <v>2186397.0</v>
      </c>
      <c r="F1541" s="2">
        <v>209.0</v>
      </c>
      <c r="G1541" s="2">
        <v>2349.0</v>
      </c>
      <c r="H1541" s="2" t="s">
        <v>5906</v>
      </c>
      <c r="I1541" s="2" t="s">
        <v>5906</v>
      </c>
      <c r="J1541" s="2" t="s">
        <v>5518</v>
      </c>
      <c r="K1541" s="2" t="s">
        <v>11630</v>
      </c>
      <c r="L1541" s="10" t="s">
        <v>11631</v>
      </c>
    </row>
    <row r="1542">
      <c r="A1542" s="2" t="s">
        <v>5425</v>
      </c>
      <c r="B1542" s="2" t="s">
        <v>11632</v>
      </c>
      <c r="C1542" s="2">
        <v>1.79450081E8</v>
      </c>
      <c r="D1542" s="2" t="s">
        <v>5425</v>
      </c>
      <c r="E1542" s="2">
        <v>2158387.0</v>
      </c>
      <c r="F1542" s="2">
        <v>1826.0</v>
      </c>
      <c r="G1542" s="2">
        <v>34618.0</v>
      </c>
      <c r="H1542" s="2" t="s">
        <v>5906</v>
      </c>
      <c r="I1542" s="2" t="s">
        <v>5906</v>
      </c>
      <c r="J1542" s="2" t="s">
        <v>5911</v>
      </c>
      <c r="K1542" s="2" t="s">
        <v>11633</v>
      </c>
      <c r="L1542" s="10" t="s">
        <v>11634</v>
      </c>
    </row>
    <row r="1543">
      <c r="A1543" s="2" t="s">
        <v>5425</v>
      </c>
      <c r="B1543" s="2" t="s">
        <v>11635</v>
      </c>
      <c r="C1543" s="2">
        <v>7.042885338E9</v>
      </c>
      <c r="D1543" s="2" t="s">
        <v>11636</v>
      </c>
      <c r="E1543" s="2">
        <v>40638.0</v>
      </c>
      <c r="F1543" s="2">
        <v>47.0</v>
      </c>
      <c r="G1543" s="2">
        <v>1879.0</v>
      </c>
      <c r="H1543" s="2" t="s">
        <v>5905</v>
      </c>
      <c r="I1543" s="2" t="s">
        <v>5905</v>
      </c>
      <c r="J1543" s="2" t="s">
        <v>9470</v>
      </c>
      <c r="K1543" s="2" t="s">
        <v>11637</v>
      </c>
      <c r="L1543" s="10" t="s">
        <v>11638</v>
      </c>
    </row>
    <row r="1544">
      <c r="A1544" s="2" t="s">
        <v>5425</v>
      </c>
      <c r="B1544" s="2" t="s">
        <v>11639</v>
      </c>
      <c r="C1544" s="2">
        <v>4.939118731E10</v>
      </c>
      <c r="D1544" s="2" t="s">
        <v>11640</v>
      </c>
      <c r="E1544" s="2">
        <v>16093.0</v>
      </c>
      <c r="F1544" s="2">
        <v>2810.0</v>
      </c>
      <c r="G1544" s="2">
        <v>902.0</v>
      </c>
      <c r="H1544" s="2" t="s">
        <v>5906</v>
      </c>
      <c r="I1544" s="2" t="s">
        <v>5906</v>
      </c>
      <c r="J1544" s="2" t="s">
        <v>4397</v>
      </c>
      <c r="K1544" s="2" t="s">
        <v>11641</v>
      </c>
      <c r="L1544" s="10" t="s">
        <v>11642</v>
      </c>
    </row>
    <row r="1545">
      <c r="A1545" s="2" t="s">
        <v>5425</v>
      </c>
      <c r="B1545" s="2" t="s">
        <v>11643</v>
      </c>
      <c r="C1545" s="2">
        <v>3.29465692E8</v>
      </c>
      <c r="D1545" s="2" t="s">
        <v>11644</v>
      </c>
      <c r="E1545" s="2">
        <v>1809276.0</v>
      </c>
      <c r="F1545" s="2">
        <v>668.0</v>
      </c>
      <c r="G1545" s="2">
        <v>10675.0</v>
      </c>
      <c r="H1545" s="2" t="s">
        <v>5906</v>
      </c>
      <c r="I1545" s="2" t="s">
        <v>5906</v>
      </c>
      <c r="K1545" s="2" t="s">
        <v>11645</v>
      </c>
      <c r="L1545" s="10" t="s">
        <v>11646</v>
      </c>
    </row>
    <row r="1546">
      <c r="A1546" s="2" t="s">
        <v>5425</v>
      </c>
      <c r="B1546" s="2" t="s">
        <v>11647</v>
      </c>
      <c r="C1546" s="2">
        <v>7.146066641E9</v>
      </c>
      <c r="D1546" s="2" t="s">
        <v>11648</v>
      </c>
      <c r="E1546" s="2">
        <v>388316.0</v>
      </c>
      <c r="F1546" s="2">
        <v>434.0</v>
      </c>
      <c r="G1546" s="2">
        <v>3729.0</v>
      </c>
      <c r="H1546" s="2" t="s">
        <v>5906</v>
      </c>
      <c r="I1546" s="2" t="s">
        <v>5905</v>
      </c>
      <c r="J1546" s="2" t="s">
        <v>5911</v>
      </c>
      <c r="K1546" s="2" t="s">
        <v>11649</v>
      </c>
    </row>
    <row r="1547">
      <c r="A1547" s="2" t="s">
        <v>5425</v>
      </c>
      <c r="B1547" s="2" t="s">
        <v>11650</v>
      </c>
      <c r="C1547" s="2">
        <v>7.3083407132E10</v>
      </c>
      <c r="D1547" s="2" t="s">
        <v>11651</v>
      </c>
      <c r="E1547" s="2">
        <v>17898.0</v>
      </c>
      <c r="F1547" s="2">
        <v>45.0</v>
      </c>
      <c r="G1547" s="2">
        <v>1426.0</v>
      </c>
      <c r="H1547" s="2" t="s">
        <v>5905</v>
      </c>
      <c r="I1547" s="2" t="s">
        <v>5906</v>
      </c>
      <c r="J1547" s="2" t="s">
        <v>5911</v>
      </c>
      <c r="K1547" s="2" t="s">
        <v>11652</v>
      </c>
      <c r="L1547" s="10" t="s">
        <v>11653</v>
      </c>
    </row>
    <row r="1548">
      <c r="A1548" s="2" t="s">
        <v>5542</v>
      </c>
      <c r="B1548" s="2" t="s">
        <v>11654</v>
      </c>
      <c r="C1548" s="2">
        <v>2.105146194E9</v>
      </c>
      <c r="D1548" s="2" t="s">
        <v>11655</v>
      </c>
      <c r="E1548" s="2">
        <v>43592.0</v>
      </c>
      <c r="F1548" s="2">
        <v>10.0</v>
      </c>
      <c r="G1548" s="2">
        <v>1265.0</v>
      </c>
      <c r="H1548" s="2" t="s">
        <v>5905</v>
      </c>
      <c r="I1548" s="2" t="s">
        <v>5906</v>
      </c>
      <c r="J1548" s="2" t="s">
        <v>7669</v>
      </c>
      <c r="K1548" s="2" t="s">
        <v>11656</v>
      </c>
      <c r="L1548" s="10" t="s">
        <v>11657</v>
      </c>
    </row>
    <row r="1549">
      <c r="A1549" s="2" t="s">
        <v>5542</v>
      </c>
      <c r="B1549" s="10" t="s">
        <v>11658</v>
      </c>
      <c r="C1549" s="2">
        <v>4.9263817212E10</v>
      </c>
      <c r="D1549" s="2" t="s">
        <v>11659</v>
      </c>
      <c r="E1549" s="2">
        <v>12694.0</v>
      </c>
      <c r="F1549" s="2">
        <v>0.0</v>
      </c>
      <c r="G1549" s="2">
        <v>464.0</v>
      </c>
      <c r="H1549" s="2" t="s">
        <v>5905</v>
      </c>
      <c r="I1549" s="2" t="s">
        <v>5906</v>
      </c>
      <c r="J1549" s="2" t="s">
        <v>5391</v>
      </c>
      <c r="K1549" s="2" t="s">
        <v>11660</v>
      </c>
      <c r="L1549" s="10" t="s">
        <v>11661</v>
      </c>
    </row>
    <row r="1550">
      <c r="A1550" s="2" t="s">
        <v>5542</v>
      </c>
      <c r="B1550" s="2" t="s">
        <v>11662</v>
      </c>
      <c r="C1550" s="2">
        <v>7.428345173E9</v>
      </c>
      <c r="D1550" s="2" t="s">
        <v>11663</v>
      </c>
      <c r="E1550" s="2">
        <v>25302.0</v>
      </c>
      <c r="F1550" s="2">
        <v>847.0</v>
      </c>
      <c r="G1550" s="2">
        <v>1793.0</v>
      </c>
      <c r="H1550" s="2" t="s">
        <v>5905</v>
      </c>
      <c r="I1550" s="2" t="s">
        <v>5905</v>
      </c>
      <c r="J1550" s="2" t="s">
        <v>6166</v>
      </c>
      <c r="K1550" s="2" t="s">
        <v>11664</v>
      </c>
      <c r="L1550" s="10" t="s">
        <v>11665</v>
      </c>
    </row>
    <row r="1551">
      <c r="A1551" s="2" t="s">
        <v>5542</v>
      </c>
      <c r="B1551" s="2" t="s">
        <v>11666</v>
      </c>
      <c r="C1551" s="2">
        <v>1.131527669E9</v>
      </c>
      <c r="D1551" s="2" t="s">
        <v>11659</v>
      </c>
      <c r="E1551" s="2">
        <v>44010.0</v>
      </c>
      <c r="F1551" s="2">
        <v>545.0</v>
      </c>
      <c r="G1551" s="2">
        <v>1851.0</v>
      </c>
      <c r="H1551" s="2" t="s">
        <v>5905</v>
      </c>
      <c r="I1551" s="2" t="s">
        <v>5906</v>
      </c>
      <c r="J1551" s="2" t="s">
        <v>6166</v>
      </c>
      <c r="K1551" s="2" t="s">
        <v>11667</v>
      </c>
      <c r="L1551" s="10" t="s">
        <v>11668</v>
      </c>
    </row>
    <row r="1552">
      <c r="A1552" s="2" t="s">
        <v>5542</v>
      </c>
      <c r="B1552" s="2" t="s">
        <v>11669</v>
      </c>
      <c r="C1552" s="2">
        <v>7.362388215E9</v>
      </c>
      <c r="D1552" s="2" t="s">
        <v>11670</v>
      </c>
      <c r="E1552" s="2">
        <v>60004.0</v>
      </c>
      <c r="F1552" s="2">
        <v>1.0</v>
      </c>
      <c r="G1552" s="2">
        <v>155.0</v>
      </c>
      <c r="H1552" s="2" t="s">
        <v>5906</v>
      </c>
      <c r="I1552" s="2" t="s">
        <v>5906</v>
      </c>
      <c r="J1552" s="2" t="s">
        <v>6166</v>
      </c>
      <c r="K1552" s="2" t="s">
        <v>11671</v>
      </c>
      <c r="L1552" s="10" t="s">
        <v>11672</v>
      </c>
    </row>
    <row r="1553">
      <c r="A1553" s="2" t="s">
        <v>5542</v>
      </c>
      <c r="B1553" s="2" t="s">
        <v>11673</v>
      </c>
      <c r="C1553" s="2">
        <v>8.579791018E9</v>
      </c>
      <c r="D1553" s="2" t="s">
        <v>11674</v>
      </c>
      <c r="E1553" s="2">
        <v>85374.0</v>
      </c>
      <c r="F1553" s="2">
        <v>273.0</v>
      </c>
      <c r="G1553" s="2">
        <v>2228.0</v>
      </c>
      <c r="H1553" s="2" t="s">
        <v>5906</v>
      </c>
      <c r="I1553" s="2" t="s">
        <v>5906</v>
      </c>
      <c r="J1553" s="2" t="s">
        <v>11675</v>
      </c>
      <c r="K1553" s="2" t="s">
        <v>11676</v>
      </c>
      <c r="L1553" s="10" t="s">
        <v>11677</v>
      </c>
    </row>
    <row r="1554">
      <c r="A1554" s="2" t="s">
        <v>5542</v>
      </c>
      <c r="B1554" s="10" t="s">
        <v>11678</v>
      </c>
      <c r="C1554" s="2">
        <v>8.906415943E9</v>
      </c>
      <c r="D1554" s="2" t="s">
        <v>11679</v>
      </c>
      <c r="E1554" s="2">
        <v>18177.0</v>
      </c>
      <c r="F1554" s="2">
        <v>40.0</v>
      </c>
      <c r="G1554" s="2">
        <v>1090.0</v>
      </c>
      <c r="H1554" s="2" t="s">
        <v>5906</v>
      </c>
      <c r="I1554" s="2" t="s">
        <v>5906</v>
      </c>
      <c r="J1554" s="2" t="s">
        <v>5963</v>
      </c>
      <c r="K1554" s="2" t="s">
        <v>11680</v>
      </c>
      <c r="L1554" s="10" t="s">
        <v>11681</v>
      </c>
    </row>
    <row r="1555">
      <c r="A1555" s="2" t="s">
        <v>5542</v>
      </c>
      <c r="B1555" s="2" t="s">
        <v>11682</v>
      </c>
      <c r="C1555" s="2">
        <v>2.8472257816E10</v>
      </c>
      <c r="D1555" s="2" t="s">
        <v>11683</v>
      </c>
      <c r="E1555" s="2">
        <v>16012.0</v>
      </c>
      <c r="F1555" s="2">
        <v>4.0</v>
      </c>
      <c r="G1555" s="2">
        <v>86.0</v>
      </c>
      <c r="H1555" s="2" t="s">
        <v>5906</v>
      </c>
      <c r="I1555" s="2" t="s">
        <v>5906</v>
      </c>
      <c r="J1555" s="2" t="s">
        <v>11684</v>
      </c>
      <c r="K1555" s="2" t="s">
        <v>11685</v>
      </c>
      <c r="L1555" s="10" t="s">
        <v>11686</v>
      </c>
    </row>
    <row r="1556">
      <c r="A1556" s="2" t="s">
        <v>5542</v>
      </c>
      <c r="B1556" s="2" t="s">
        <v>11687</v>
      </c>
      <c r="C1556" s="2">
        <v>5.4647955E8</v>
      </c>
      <c r="D1556" s="2" t="s">
        <v>11688</v>
      </c>
      <c r="E1556" s="2">
        <v>728176.0</v>
      </c>
      <c r="F1556" s="2">
        <v>26.0</v>
      </c>
      <c r="G1556" s="2">
        <v>24499.0</v>
      </c>
      <c r="H1556" s="2" t="s">
        <v>5906</v>
      </c>
      <c r="I1556" s="2" t="s">
        <v>5906</v>
      </c>
      <c r="K1556" s="2" t="s">
        <v>11689</v>
      </c>
      <c r="L1556" s="10" t="s">
        <v>11690</v>
      </c>
    </row>
    <row r="1557">
      <c r="A1557" s="2" t="s">
        <v>5525</v>
      </c>
      <c r="B1557" s="2" t="s">
        <v>11691</v>
      </c>
      <c r="C1557" s="2">
        <v>2.1578451E7</v>
      </c>
      <c r="D1557" s="2" t="s">
        <v>11692</v>
      </c>
      <c r="E1557" s="2">
        <v>172347.0</v>
      </c>
      <c r="F1557" s="2">
        <v>427.0</v>
      </c>
      <c r="G1557" s="2">
        <v>120.0</v>
      </c>
      <c r="H1557" s="2" t="s">
        <v>5905</v>
      </c>
      <c r="I1557" s="2" t="s">
        <v>5905</v>
      </c>
      <c r="J1557" s="2" t="s">
        <v>5928</v>
      </c>
      <c r="K1557" s="2" t="s">
        <v>11693</v>
      </c>
    </row>
    <row r="1558">
      <c r="A1558" s="2" t="s">
        <v>5525</v>
      </c>
      <c r="B1558" s="2" t="s">
        <v>11694</v>
      </c>
      <c r="C1558" s="2">
        <v>1.734621749E9</v>
      </c>
      <c r="D1558" s="2" t="s">
        <v>11695</v>
      </c>
      <c r="E1558" s="2">
        <v>404745.0</v>
      </c>
      <c r="F1558" s="2">
        <v>5.0</v>
      </c>
      <c r="G1558" s="2">
        <v>3072.0</v>
      </c>
      <c r="H1558" s="2" t="s">
        <v>5906</v>
      </c>
      <c r="I1558" s="2" t="s">
        <v>5906</v>
      </c>
      <c r="J1558" s="2" t="s">
        <v>6002</v>
      </c>
      <c r="K1558" s="2" t="s">
        <v>11696</v>
      </c>
      <c r="L1558" s="10" t="s">
        <v>11697</v>
      </c>
    </row>
    <row r="1559">
      <c r="A1559" s="2" t="s">
        <v>5525</v>
      </c>
      <c r="B1559" s="2" t="s">
        <v>11698</v>
      </c>
      <c r="C1559" s="2">
        <v>4.4772864596E10</v>
      </c>
      <c r="D1559" s="2" t="s">
        <v>11699</v>
      </c>
      <c r="E1559" s="2">
        <v>317927.0</v>
      </c>
      <c r="F1559" s="2">
        <v>341.0</v>
      </c>
      <c r="G1559" s="2">
        <v>300.0</v>
      </c>
      <c r="H1559" s="2" t="s">
        <v>5905</v>
      </c>
      <c r="I1559" s="2" t="s">
        <v>5905</v>
      </c>
      <c r="J1559" s="2" t="s">
        <v>5485</v>
      </c>
      <c r="K1559" s="2" t="s">
        <v>11700</v>
      </c>
      <c r="L1559" s="10" t="s">
        <v>11701</v>
      </c>
    </row>
    <row r="1560">
      <c r="A1560" s="2" t="s">
        <v>5525</v>
      </c>
      <c r="B1560" s="2" t="s">
        <v>11702</v>
      </c>
      <c r="C1560" s="2">
        <v>6.988683389E9</v>
      </c>
      <c r="D1560" s="2" t="s">
        <v>11703</v>
      </c>
      <c r="E1560" s="2">
        <v>906352.0</v>
      </c>
      <c r="F1560" s="2">
        <v>31.0</v>
      </c>
      <c r="G1560" s="2">
        <v>1814.0</v>
      </c>
      <c r="H1560" s="2" t="s">
        <v>5906</v>
      </c>
      <c r="I1560" s="2" t="s">
        <v>5906</v>
      </c>
      <c r="K1560" s="2" t="s">
        <v>11704</v>
      </c>
    </row>
    <row r="1561">
      <c r="A1561" s="2" t="s">
        <v>5525</v>
      </c>
      <c r="B1561" s="2" t="s">
        <v>11705</v>
      </c>
      <c r="C1561" s="2">
        <v>4.0670891152E10</v>
      </c>
      <c r="D1561" s="2" t="s">
        <v>11706</v>
      </c>
      <c r="E1561" s="2">
        <v>55783.0</v>
      </c>
      <c r="F1561" s="2">
        <v>397.0</v>
      </c>
      <c r="G1561" s="2">
        <v>666.0</v>
      </c>
      <c r="H1561" s="2" t="s">
        <v>5905</v>
      </c>
      <c r="I1561" s="2" t="s">
        <v>5906</v>
      </c>
      <c r="J1561" s="2" t="s">
        <v>5561</v>
      </c>
      <c r="K1561" s="2" t="s">
        <v>11707</v>
      </c>
      <c r="L1561" s="10" t="s">
        <v>11708</v>
      </c>
    </row>
    <row r="1562">
      <c r="A1562" s="2" t="s">
        <v>5525</v>
      </c>
      <c r="B1562" s="2" t="s">
        <v>11709</v>
      </c>
      <c r="C1562" s="2">
        <v>2.291120473E9</v>
      </c>
      <c r="D1562" s="2" t="s">
        <v>11710</v>
      </c>
      <c r="E1562" s="2">
        <v>173553.0</v>
      </c>
      <c r="F1562" s="2">
        <v>1090.0</v>
      </c>
      <c r="G1562" s="2">
        <v>2011.0</v>
      </c>
      <c r="H1562" s="2" t="s">
        <v>5906</v>
      </c>
      <c r="I1562" s="2" t="s">
        <v>5906</v>
      </c>
      <c r="J1562" s="2" t="s">
        <v>8843</v>
      </c>
      <c r="K1562" s="2" t="s">
        <v>11711</v>
      </c>
      <c r="L1562" s="10" t="s">
        <v>11712</v>
      </c>
    </row>
    <row r="1563">
      <c r="A1563" s="2" t="s">
        <v>5508</v>
      </c>
      <c r="B1563" s="2" t="s">
        <v>11713</v>
      </c>
      <c r="C1563" s="2">
        <v>1.0211455878E10</v>
      </c>
      <c r="D1563" s="2" t="s">
        <v>11714</v>
      </c>
      <c r="E1563" s="2">
        <v>9329755.0</v>
      </c>
      <c r="F1563" s="2">
        <v>0.0</v>
      </c>
      <c r="G1563" s="2">
        <v>4046.0</v>
      </c>
      <c r="H1563" s="2" t="s">
        <v>5906</v>
      </c>
      <c r="I1563" s="2" t="s">
        <v>5905</v>
      </c>
      <c r="J1563" s="2" t="s">
        <v>5959</v>
      </c>
      <c r="K1563" s="2" t="s">
        <v>11715</v>
      </c>
      <c r="L1563" s="10" t="s">
        <v>11716</v>
      </c>
    </row>
    <row r="1564">
      <c r="A1564" s="2" t="s">
        <v>5508</v>
      </c>
      <c r="B1564" s="2" t="s">
        <v>11717</v>
      </c>
      <c r="C1564" s="2">
        <v>1.80728221E8</v>
      </c>
      <c r="D1564" s="2" t="s">
        <v>11718</v>
      </c>
      <c r="E1564" s="2">
        <v>121331.0</v>
      </c>
      <c r="F1564" s="2">
        <v>3322.0</v>
      </c>
      <c r="G1564" s="2">
        <v>2211.0</v>
      </c>
      <c r="H1564" s="2" t="s">
        <v>5906</v>
      </c>
      <c r="I1564" s="2" t="s">
        <v>5906</v>
      </c>
      <c r="J1564" s="2" t="s">
        <v>5963</v>
      </c>
      <c r="K1564" s="2" t="s">
        <v>11719</v>
      </c>
    </row>
    <row r="1565">
      <c r="A1565" s="2" t="s">
        <v>5508</v>
      </c>
      <c r="B1565" s="2" t="s">
        <v>11720</v>
      </c>
      <c r="C1565" s="2">
        <v>1.86053817E8</v>
      </c>
      <c r="D1565" s="2" t="s">
        <v>11721</v>
      </c>
      <c r="E1565" s="2">
        <v>17260.0</v>
      </c>
      <c r="F1565" s="2">
        <v>748.0</v>
      </c>
      <c r="G1565" s="2">
        <v>877.0</v>
      </c>
      <c r="H1565" s="2" t="s">
        <v>5905</v>
      </c>
      <c r="I1565" s="2" t="s">
        <v>5906</v>
      </c>
      <c r="J1565" s="2" t="s">
        <v>5391</v>
      </c>
      <c r="K1565" s="2" t="s">
        <v>11722</v>
      </c>
      <c r="L1565" s="10" t="s">
        <v>11723</v>
      </c>
    </row>
    <row r="1566">
      <c r="A1566" s="2" t="s">
        <v>5508</v>
      </c>
      <c r="B1566" s="2" t="s">
        <v>11724</v>
      </c>
      <c r="C1566" s="2">
        <v>2.2141134886E10</v>
      </c>
      <c r="D1566" s="2" t="s">
        <v>11725</v>
      </c>
      <c r="E1566" s="2">
        <v>163382.0</v>
      </c>
      <c r="F1566" s="2">
        <v>0.0</v>
      </c>
      <c r="G1566" s="2">
        <v>612.0</v>
      </c>
      <c r="H1566" s="2" t="s">
        <v>5905</v>
      </c>
      <c r="I1566" s="2" t="s">
        <v>5906</v>
      </c>
      <c r="J1566" s="2" t="s">
        <v>5561</v>
      </c>
      <c r="K1566" s="12" t="s">
        <v>11726</v>
      </c>
      <c r="L1566" s="10" t="s">
        <v>11727</v>
      </c>
    </row>
    <row r="1567">
      <c r="A1567" s="2" t="s">
        <v>5508</v>
      </c>
      <c r="B1567" s="2" t="s">
        <v>11728</v>
      </c>
      <c r="C1567" s="2">
        <v>5.841722592E9</v>
      </c>
      <c r="D1567" s="12" t="s">
        <v>11729</v>
      </c>
      <c r="E1567" s="2">
        <v>39570.0</v>
      </c>
      <c r="F1567" s="2">
        <v>1211.0</v>
      </c>
      <c r="G1567" s="2">
        <v>567.0</v>
      </c>
      <c r="H1567" s="2" t="s">
        <v>5905</v>
      </c>
      <c r="I1567" s="2" t="s">
        <v>5905</v>
      </c>
      <c r="J1567" s="2" t="s">
        <v>11730</v>
      </c>
      <c r="K1567" s="12" t="s">
        <v>11731</v>
      </c>
      <c r="L1567" s="10" t="s">
        <v>11732</v>
      </c>
    </row>
    <row r="1568">
      <c r="A1568" s="2" t="s">
        <v>5508</v>
      </c>
      <c r="B1568" s="2" t="s">
        <v>11733</v>
      </c>
      <c r="C1568" s="2">
        <v>2.51895879E8</v>
      </c>
      <c r="D1568" s="2" t="s">
        <v>11718</v>
      </c>
      <c r="E1568" s="2">
        <v>182713.0</v>
      </c>
      <c r="F1568" s="2">
        <v>113.0</v>
      </c>
      <c r="G1568" s="2">
        <v>4713.0</v>
      </c>
      <c r="H1568" s="2" t="s">
        <v>5906</v>
      </c>
      <c r="I1568" s="2" t="s">
        <v>5906</v>
      </c>
      <c r="J1568" s="2" t="s">
        <v>8878</v>
      </c>
      <c r="L1568" s="10" t="s">
        <v>11734</v>
      </c>
    </row>
    <row r="1569">
      <c r="A1569" s="2" t="s">
        <v>5508</v>
      </c>
      <c r="B1569" s="2" t="s">
        <v>11735</v>
      </c>
      <c r="C1569" s="2">
        <v>3.25588939E8</v>
      </c>
      <c r="D1569" s="2" t="s">
        <v>5508</v>
      </c>
      <c r="E1569" s="2">
        <v>114171.0</v>
      </c>
      <c r="F1569" s="2">
        <v>215.0</v>
      </c>
      <c r="G1569" s="2">
        <v>8291.0</v>
      </c>
      <c r="H1569" s="2" t="s">
        <v>5906</v>
      </c>
      <c r="I1569" s="2" t="s">
        <v>5906</v>
      </c>
      <c r="J1569" s="2" t="s">
        <v>5963</v>
      </c>
      <c r="K1569" s="2" t="s">
        <v>11736</v>
      </c>
      <c r="L1569" s="10" t="s">
        <v>11737</v>
      </c>
    </row>
    <row r="1570">
      <c r="A1570" s="2" t="s">
        <v>5475</v>
      </c>
      <c r="B1570" s="2" t="s">
        <v>11738</v>
      </c>
      <c r="C1570" s="2">
        <v>2.96680533E8</v>
      </c>
      <c r="D1570" s="2" t="s">
        <v>11739</v>
      </c>
      <c r="E1570" s="2">
        <v>153594.0</v>
      </c>
      <c r="F1570" s="2">
        <v>114.0</v>
      </c>
      <c r="G1570" s="2">
        <v>41976.0</v>
      </c>
      <c r="H1570" s="2" t="s">
        <v>5906</v>
      </c>
      <c r="I1570" s="2" t="s">
        <v>5906</v>
      </c>
      <c r="J1570" s="2" t="s">
        <v>5959</v>
      </c>
      <c r="K1570" s="2" t="s">
        <v>11740</v>
      </c>
      <c r="L1570" s="10" t="s">
        <v>11741</v>
      </c>
    </row>
    <row r="1571">
      <c r="A1571" s="2" t="s">
        <v>5475</v>
      </c>
      <c r="B1571" s="2" t="s">
        <v>11742</v>
      </c>
      <c r="C1571" s="2">
        <v>7.160754321E9</v>
      </c>
      <c r="D1571" s="2" t="s">
        <v>11743</v>
      </c>
      <c r="E1571" s="2">
        <v>36850.0</v>
      </c>
      <c r="F1571" s="2">
        <v>1.0</v>
      </c>
      <c r="G1571" s="2">
        <v>516.0</v>
      </c>
      <c r="H1571" s="2" t="s">
        <v>5905</v>
      </c>
      <c r="I1571" s="2" t="s">
        <v>5905</v>
      </c>
      <c r="K1571" s="2" t="s">
        <v>11744</v>
      </c>
    </row>
    <row r="1572">
      <c r="A1572" s="2" t="s">
        <v>5475</v>
      </c>
      <c r="B1572" s="2" t="s">
        <v>11745</v>
      </c>
      <c r="C1572" s="2">
        <v>1.091214028E9</v>
      </c>
      <c r="D1572" s="2" t="s">
        <v>11746</v>
      </c>
      <c r="E1572" s="2">
        <v>876569.0</v>
      </c>
      <c r="F1572" s="2">
        <v>23.0</v>
      </c>
      <c r="G1572" s="2">
        <v>12984.0</v>
      </c>
      <c r="H1572" s="2" t="s">
        <v>5906</v>
      </c>
      <c r="I1572" s="2" t="s">
        <v>5906</v>
      </c>
      <c r="J1572" s="2" t="s">
        <v>5911</v>
      </c>
      <c r="K1572" s="2" t="s">
        <v>11747</v>
      </c>
      <c r="L1572" s="10" t="s">
        <v>11748</v>
      </c>
    </row>
    <row r="1573">
      <c r="A1573" s="2" t="s">
        <v>5475</v>
      </c>
      <c r="B1573" s="2" t="s">
        <v>11749</v>
      </c>
      <c r="C1573" s="2">
        <v>4.087787179E9</v>
      </c>
      <c r="D1573" s="2" t="s">
        <v>11750</v>
      </c>
      <c r="E1573" s="2">
        <v>28826.0</v>
      </c>
      <c r="F1573" s="2">
        <v>100.0</v>
      </c>
      <c r="G1573" s="2">
        <v>1268.0</v>
      </c>
      <c r="H1573" s="2" t="s">
        <v>5906</v>
      </c>
      <c r="I1573" s="2" t="s">
        <v>5906</v>
      </c>
      <c r="K1573" s="2" t="s">
        <v>11751</v>
      </c>
      <c r="L1573" s="10" t="s">
        <v>11752</v>
      </c>
    </row>
    <row r="1574">
      <c r="A1574" s="2" t="s">
        <v>5475</v>
      </c>
      <c r="B1574" s="2" t="s">
        <v>11753</v>
      </c>
      <c r="C1574" s="2">
        <v>5.2812013641E10</v>
      </c>
      <c r="D1574" s="2" t="s">
        <v>11754</v>
      </c>
      <c r="E1574" s="2">
        <v>13020.0</v>
      </c>
      <c r="F1574" s="2">
        <v>294.0</v>
      </c>
      <c r="G1574" s="2">
        <v>1804.0</v>
      </c>
      <c r="H1574" s="2" t="s">
        <v>5905</v>
      </c>
      <c r="I1574" s="2" t="s">
        <v>5906</v>
      </c>
      <c r="J1574" s="2" t="s">
        <v>5911</v>
      </c>
      <c r="K1574" s="2" t="s">
        <v>11755</v>
      </c>
      <c r="L1574" s="10" t="s">
        <v>11756</v>
      </c>
    </row>
    <row r="1575">
      <c r="A1575" s="2" t="s">
        <v>5553</v>
      </c>
      <c r="B1575" s="2" t="s">
        <v>11757</v>
      </c>
      <c r="C1575" s="2">
        <v>4.0687668595E10</v>
      </c>
      <c r="D1575" s="2" t="s">
        <v>11758</v>
      </c>
      <c r="E1575" s="2">
        <v>12848.0</v>
      </c>
      <c r="F1575" s="2">
        <v>70.0</v>
      </c>
      <c r="G1575" s="2">
        <v>362.0</v>
      </c>
      <c r="H1575" s="2" t="s">
        <v>5905</v>
      </c>
      <c r="I1575" s="2" t="s">
        <v>5905</v>
      </c>
      <c r="J1575" s="2" t="s">
        <v>6393</v>
      </c>
      <c r="K1575" s="2" t="s">
        <v>11759</v>
      </c>
      <c r="L1575" s="10" t="s">
        <v>11760</v>
      </c>
    </row>
    <row r="1576">
      <c r="A1576" s="2" t="s">
        <v>5553</v>
      </c>
      <c r="B1576" s="2" t="s">
        <v>11761</v>
      </c>
      <c r="C1576" s="2">
        <v>7.51234559E10</v>
      </c>
      <c r="D1576" s="2" t="s">
        <v>11762</v>
      </c>
      <c r="E1576" s="2">
        <v>638264.0</v>
      </c>
      <c r="F1576" s="2">
        <v>0.0</v>
      </c>
      <c r="G1576" s="2">
        <v>75.0</v>
      </c>
      <c r="H1576" s="2" t="s">
        <v>5905</v>
      </c>
      <c r="I1576" s="2" t="s">
        <v>5906</v>
      </c>
      <c r="J1576" s="2" t="s">
        <v>4404</v>
      </c>
      <c r="K1576" s="2" t="s">
        <v>11763</v>
      </c>
      <c r="L1576" s="10" t="s">
        <v>11764</v>
      </c>
    </row>
    <row r="1577">
      <c r="A1577" s="2" t="s">
        <v>5553</v>
      </c>
      <c r="B1577" s="10" t="s">
        <v>11765</v>
      </c>
      <c r="C1577" s="2">
        <v>6.2228821904E10</v>
      </c>
      <c r="D1577" s="2" t="s">
        <v>11766</v>
      </c>
      <c r="E1577" s="2">
        <v>10120.0</v>
      </c>
      <c r="F1577" s="2">
        <v>77.0</v>
      </c>
      <c r="G1577" s="2">
        <v>506.0</v>
      </c>
      <c r="H1577" s="2" t="s">
        <v>5905</v>
      </c>
      <c r="I1577" s="2" t="s">
        <v>5905</v>
      </c>
      <c r="J1577" s="2" t="s">
        <v>5907</v>
      </c>
      <c r="K1577" s="2" t="s">
        <v>11767</v>
      </c>
      <c r="L1577" s="10" t="s">
        <v>11768</v>
      </c>
    </row>
    <row r="1578">
      <c r="A1578" s="2" t="s">
        <v>5553</v>
      </c>
      <c r="B1578" s="2" t="s">
        <v>11769</v>
      </c>
      <c r="C1578" s="2">
        <v>5.7181523634E10</v>
      </c>
      <c r="D1578" s="2" t="s">
        <v>11770</v>
      </c>
      <c r="E1578" s="2">
        <v>572899.0</v>
      </c>
      <c r="F1578" s="2">
        <v>0.0</v>
      </c>
      <c r="G1578" s="2">
        <v>648.0</v>
      </c>
      <c r="H1578" s="2" t="s">
        <v>5905</v>
      </c>
      <c r="I1578" s="2" t="s">
        <v>5906</v>
      </c>
      <c r="J1578" s="2" t="s">
        <v>6111</v>
      </c>
      <c r="K1578" s="2" t="s">
        <v>11771</v>
      </c>
    </row>
    <row r="1579">
      <c r="A1579" s="2" t="s">
        <v>5553</v>
      </c>
      <c r="B1579" s="2" t="s">
        <v>11772</v>
      </c>
      <c r="C1579" s="2">
        <v>8.69910108E8</v>
      </c>
      <c r="D1579" s="2" t="s">
        <v>11773</v>
      </c>
      <c r="E1579" s="2">
        <v>33979.0</v>
      </c>
      <c r="F1579" s="2">
        <v>2359.0</v>
      </c>
      <c r="G1579" s="2">
        <v>3617.0</v>
      </c>
      <c r="H1579" s="2" t="s">
        <v>5905</v>
      </c>
      <c r="I1579" s="2" t="s">
        <v>5906</v>
      </c>
      <c r="J1579" s="2" t="s">
        <v>6124</v>
      </c>
      <c r="K1579" s="2" t="s">
        <v>11774</v>
      </c>
      <c r="L1579" s="10" t="s">
        <v>11775</v>
      </c>
    </row>
    <row r="1580">
      <c r="A1580" s="2" t="s">
        <v>5553</v>
      </c>
      <c r="B1580" s="2" t="s">
        <v>11776</v>
      </c>
      <c r="C1580" s="2">
        <v>6.3865296762E10</v>
      </c>
      <c r="D1580" s="2" t="s">
        <v>11777</v>
      </c>
      <c r="E1580" s="2">
        <v>11971.0</v>
      </c>
      <c r="F1580" s="2">
        <v>78.0</v>
      </c>
      <c r="G1580" s="2">
        <v>164.0</v>
      </c>
      <c r="H1580" s="2" t="s">
        <v>5905</v>
      </c>
      <c r="I1580" s="2" t="s">
        <v>5905</v>
      </c>
      <c r="J1580" s="2" t="s">
        <v>5928</v>
      </c>
      <c r="K1580" s="2" t="s">
        <v>11778</v>
      </c>
      <c r="L1580" s="10" t="s">
        <v>11779</v>
      </c>
    </row>
    <row r="1581">
      <c r="A1581" s="2" t="s">
        <v>5559</v>
      </c>
      <c r="B1581" s="2" t="s">
        <v>11780</v>
      </c>
      <c r="C1581" s="2">
        <v>4.6641015356E10</v>
      </c>
      <c r="D1581" s="10" t="s">
        <v>11781</v>
      </c>
      <c r="E1581" s="2">
        <v>247773.0</v>
      </c>
      <c r="F1581" s="2">
        <v>3389.0</v>
      </c>
      <c r="G1581" s="2">
        <v>10901.0</v>
      </c>
      <c r="H1581" s="2" t="s">
        <v>5905</v>
      </c>
      <c r="I1581" s="2" t="s">
        <v>5905</v>
      </c>
      <c r="J1581" s="2" t="s">
        <v>5561</v>
      </c>
      <c r="K1581" s="2" t="s">
        <v>11782</v>
      </c>
      <c r="L1581" s="10" t="s">
        <v>11783</v>
      </c>
    </row>
    <row r="1582">
      <c r="A1582" s="2" t="s">
        <v>5559</v>
      </c>
      <c r="B1582" s="2" t="s">
        <v>11784</v>
      </c>
      <c r="C1582" s="2">
        <v>3.0136266537E10</v>
      </c>
      <c r="D1582" s="2" t="s">
        <v>5559</v>
      </c>
      <c r="E1582" s="2">
        <v>133463.0</v>
      </c>
      <c r="F1582" s="2">
        <v>647.0</v>
      </c>
      <c r="G1582" s="2">
        <v>435.0</v>
      </c>
      <c r="H1582" s="2" t="s">
        <v>5905</v>
      </c>
      <c r="I1582" s="2" t="s">
        <v>5906</v>
      </c>
      <c r="J1582" s="2" t="s">
        <v>5911</v>
      </c>
      <c r="K1582" s="2" t="s">
        <v>11785</v>
      </c>
      <c r="L1582" s="10" t="s">
        <v>11786</v>
      </c>
    </row>
    <row r="1583">
      <c r="A1583" s="2" t="s">
        <v>5559</v>
      </c>
      <c r="B1583" s="2" t="s">
        <v>11787</v>
      </c>
      <c r="C1583" s="2">
        <v>3.7598791682E10</v>
      </c>
      <c r="D1583" s="2" t="s">
        <v>11788</v>
      </c>
      <c r="E1583" s="2">
        <v>293069.0</v>
      </c>
      <c r="F1583" s="2">
        <v>1351.0</v>
      </c>
      <c r="G1583" s="2">
        <v>6180.0</v>
      </c>
      <c r="H1583" s="2" t="s">
        <v>5905</v>
      </c>
      <c r="I1583" s="2" t="s">
        <v>5905</v>
      </c>
      <c r="J1583" s="2" t="s">
        <v>5561</v>
      </c>
      <c r="K1583" s="2" t="s">
        <v>11789</v>
      </c>
      <c r="L1583" s="10" t="s">
        <v>11790</v>
      </c>
    </row>
    <row r="1584">
      <c r="A1584" s="2" t="s">
        <v>5465</v>
      </c>
      <c r="B1584" s="2" t="s">
        <v>11791</v>
      </c>
      <c r="C1584" s="2">
        <v>5.0862687E7</v>
      </c>
      <c r="D1584" s="2" t="s">
        <v>11792</v>
      </c>
      <c r="E1584" s="2">
        <v>118036.0</v>
      </c>
      <c r="F1584" s="2">
        <v>135.0</v>
      </c>
      <c r="G1584" s="2">
        <v>28.0</v>
      </c>
      <c r="H1584" s="2" t="s">
        <v>5905</v>
      </c>
      <c r="I1584" s="2" t="s">
        <v>5905</v>
      </c>
      <c r="J1584" s="2" t="s">
        <v>5561</v>
      </c>
      <c r="K1584" s="2" t="s">
        <v>11793</v>
      </c>
      <c r="L1584" s="10" t="s">
        <v>11794</v>
      </c>
    </row>
    <row r="1585">
      <c r="A1585" s="2" t="s">
        <v>5528</v>
      </c>
      <c r="B1585" s="2" t="s">
        <v>11795</v>
      </c>
      <c r="C1585" s="2">
        <v>6.6586886276E10</v>
      </c>
      <c r="D1585" s="2" t="s">
        <v>11796</v>
      </c>
      <c r="E1585" s="2">
        <v>94575.0</v>
      </c>
      <c r="F1585" s="2">
        <v>343.0</v>
      </c>
      <c r="G1585" s="2">
        <v>738.0</v>
      </c>
      <c r="H1585" s="2" t="s">
        <v>5906</v>
      </c>
      <c r="I1585" s="2" t="s">
        <v>5905</v>
      </c>
      <c r="J1585" s="2" t="s">
        <v>11797</v>
      </c>
      <c r="K1585" s="2" t="s">
        <v>11798</v>
      </c>
      <c r="L1585" s="10" t="s">
        <v>11799</v>
      </c>
    </row>
    <row r="1586">
      <c r="A1586" s="2" t="s">
        <v>5519</v>
      </c>
      <c r="B1586" s="2" t="s">
        <v>11800</v>
      </c>
      <c r="C1586" s="2">
        <v>4.154592612E9</v>
      </c>
      <c r="D1586" s="2" t="s">
        <v>11801</v>
      </c>
      <c r="E1586" s="2">
        <v>31283.0</v>
      </c>
      <c r="F1586" s="2">
        <v>0.0</v>
      </c>
      <c r="G1586" s="2">
        <v>12042.0</v>
      </c>
      <c r="H1586" s="2" t="s">
        <v>5906</v>
      </c>
      <c r="I1586" s="2" t="s">
        <v>5906</v>
      </c>
      <c r="J1586" s="2" t="s">
        <v>5517</v>
      </c>
      <c r="K1586" s="2" t="s">
        <v>11802</v>
      </c>
      <c r="L1586" s="10" t="s">
        <v>11803</v>
      </c>
    </row>
    <row r="1587">
      <c r="A1587" s="2" t="s">
        <v>5519</v>
      </c>
      <c r="B1587" s="2" t="s">
        <v>11804</v>
      </c>
      <c r="C1587" s="2">
        <v>4.7329488897E10</v>
      </c>
      <c r="D1587" s="2" t="s">
        <v>5519</v>
      </c>
      <c r="E1587" s="2">
        <v>19527.0</v>
      </c>
      <c r="F1587" s="2">
        <v>0.0</v>
      </c>
      <c r="G1587" s="2">
        <v>237.0</v>
      </c>
      <c r="H1587" s="2" t="s">
        <v>5905</v>
      </c>
      <c r="I1587" s="2" t="s">
        <v>5906</v>
      </c>
      <c r="J1587" s="2" t="s">
        <v>5993</v>
      </c>
      <c r="K1587" s="2" t="s">
        <v>11805</v>
      </c>
      <c r="L1587" s="10" t="s">
        <v>11806</v>
      </c>
    </row>
    <row r="1588">
      <c r="A1588" s="2" t="s">
        <v>5451</v>
      </c>
      <c r="B1588" s="2" t="s">
        <v>11807</v>
      </c>
      <c r="C1588" s="2">
        <v>4.7330131903E10</v>
      </c>
      <c r="D1588" s="2" t="s">
        <v>5451</v>
      </c>
      <c r="E1588" s="2">
        <v>19456.0</v>
      </c>
      <c r="F1588" s="2">
        <v>10.0</v>
      </c>
      <c r="G1588" s="2">
        <v>2564.0</v>
      </c>
      <c r="H1588" s="2" t="s">
        <v>5905</v>
      </c>
      <c r="I1588" s="2" t="s">
        <v>5906</v>
      </c>
      <c r="J1588" s="2" t="s">
        <v>6882</v>
      </c>
      <c r="K1588" s="2" t="s">
        <v>11808</v>
      </c>
      <c r="L1588" s="10" t="s">
        <v>11809</v>
      </c>
    </row>
    <row r="1589">
      <c r="A1589" s="2" t="s">
        <v>5451</v>
      </c>
      <c r="B1589" s="2" t="s">
        <v>11810</v>
      </c>
      <c r="C1589" s="2">
        <v>7.2492351597E10</v>
      </c>
      <c r="D1589" s="2" t="s">
        <v>11811</v>
      </c>
      <c r="E1589" s="2">
        <v>40497.0</v>
      </c>
      <c r="F1589" s="2">
        <v>0.0</v>
      </c>
      <c r="G1589" s="2">
        <v>206.0</v>
      </c>
      <c r="H1589" s="2" t="s">
        <v>5905</v>
      </c>
      <c r="I1589" s="2" t="s">
        <v>5905</v>
      </c>
      <c r="J1589" s="2" t="s">
        <v>6027</v>
      </c>
      <c r="K1589" s="2" t="s">
        <v>11812</v>
      </c>
      <c r="L1589" s="10" t="s">
        <v>11813</v>
      </c>
    </row>
    <row r="1590">
      <c r="A1590" s="2" t="s">
        <v>5357</v>
      </c>
      <c r="B1590" s="2" t="s">
        <v>11814</v>
      </c>
      <c r="C1590" s="2">
        <v>3.08532766E8</v>
      </c>
      <c r="D1590" s="2" t="s">
        <v>11815</v>
      </c>
      <c r="E1590" s="2">
        <v>35235.0</v>
      </c>
      <c r="F1590" s="2">
        <v>1789.0</v>
      </c>
      <c r="G1590" s="2">
        <v>2876.0</v>
      </c>
      <c r="H1590" s="2" t="s">
        <v>5905</v>
      </c>
      <c r="I1590" s="2" t="s">
        <v>5905</v>
      </c>
      <c r="J1590" s="2" t="s">
        <v>5518</v>
      </c>
      <c r="K1590" s="2" t="s">
        <v>11816</v>
      </c>
      <c r="L1590" s="10" t="s">
        <v>11817</v>
      </c>
    </row>
    <row r="1591">
      <c r="A1591" s="2" t="s">
        <v>5357</v>
      </c>
      <c r="B1591" s="2" t="s">
        <v>11818</v>
      </c>
      <c r="C1591" s="2">
        <v>2.04320257E8</v>
      </c>
      <c r="D1591" s="2" t="s">
        <v>11819</v>
      </c>
      <c r="E1591" s="2">
        <v>208167.0</v>
      </c>
      <c r="F1591" s="2">
        <v>736.0</v>
      </c>
      <c r="G1591" s="2">
        <v>10926.0</v>
      </c>
      <c r="H1591" s="2" t="s">
        <v>5906</v>
      </c>
      <c r="I1591" s="2" t="s">
        <v>5906</v>
      </c>
      <c r="J1591" s="2" t="s">
        <v>5907</v>
      </c>
      <c r="K1591" s="2" t="s">
        <v>11820</v>
      </c>
      <c r="L1591" s="10" t="s">
        <v>11821</v>
      </c>
    </row>
    <row r="1592">
      <c r="A1592" s="2" t="s">
        <v>5357</v>
      </c>
      <c r="B1592" s="2" t="s">
        <v>11822</v>
      </c>
      <c r="C1592" s="2">
        <v>3.06091751E8</v>
      </c>
      <c r="D1592" s="2" t="s">
        <v>5357</v>
      </c>
      <c r="E1592" s="2">
        <v>353989.0</v>
      </c>
      <c r="F1592" s="2">
        <v>8.0</v>
      </c>
      <c r="G1592" s="2">
        <v>4819.0</v>
      </c>
      <c r="H1592" s="2" t="s">
        <v>5906</v>
      </c>
      <c r="I1592" s="2" t="s">
        <v>5906</v>
      </c>
      <c r="J1592" s="2" t="s">
        <v>5518</v>
      </c>
      <c r="K1592" s="2" t="s">
        <v>11823</v>
      </c>
      <c r="L1592" s="10" t="s">
        <v>11824</v>
      </c>
    </row>
    <row r="1593">
      <c r="A1593" s="2" t="s">
        <v>5357</v>
      </c>
      <c r="B1593" s="10" t="s">
        <v>11825</v>
      </c>
      <c r="C1593" s="2">
        <v>2.20745545E8</v>
      </c>
      <c r="D1593" s="2" t="s">
        <v>11826</v>
      </c>
      <c r="E1593" s="2">
        <v>22395.0</v>
      </c>
      <c r="F1593" s="2">
        <v>162.0</v>
      </c>
      <c r="G1593" s="2">
        <v>375.0</v>
      </c>
      <c r="H1593" s="2" t="s">
        <v>5905</v>
      </c>
      <c r="I1593" s="2" t="s">
        <v>5906</v>
      </c>
      <c r="J1593" s="2" t="s">
        <v>5963</v>
      </c>
      <c r="K1593" s="2" t="s">
        <v>11827</v>
      </c>
      <c r="L1593" s="10" t="s">
        <v>11828</v>
      </c>
    </row>
    <row r="1594">
      <c r="A1594" s="2" t="s">
        <v>5357</v>
      </c>
      <c r="B1594" s="2" t="s">
        <v>11829</v>
      </c>
      <c r="C1594" s="2">
        <v>1.89675819E8</v>
      </c>
      <c r="D1594" s="2" t="s">
        <v>11829</v>
      </c>
      <c r="E1594" s="2">
        <v>517654.0</v>
      </c>
      <c r="F1594" s="2">
        <v>802.0</v>
      </c>
      <c r="G1594" s="2">
        <v>14629.0</v>
      </c>
      <c r="H1594" s="2" t="s">
        <v>5906</v>
      </c>
      <c r="I1594" s="2" t="s">
        <v>5906</v>
      </c>
      <c r="J1594" s="2" t="s">
        <v>5480</v>
      </c>
      <c r="K1594" s="2" t="s">
        <v>11830</v>
      </c>
      <c r="L1594" s="10" t="s">
        <v>11831</v>
      </c>
    </row>
    <row r="1595">
      <c r="A1595" s="2" t="s">
        <v>5357</v>
      </c>
      <c r="B1595" s="2" t="s">
        <v>11832</v>
      </c>
      <c r="C1595" s="2">
        <v>7.19471226E8</v>
      </c>
      <c r="D1595" s="2" t="s">
        <v>11833</v>
      </c>
      <c r="E1595" s="2">
        <v>13991.0</v>
      </c>
      <c r="F1595" s="2">
        <v>422.0</v>
      </c>
      <c r="G1595" s="2">
        <v>859.0</v>
      </c>
      <c r="H1595" s="2" t="s">
        <v>5906</v>
      </c>
      <c r="I1595" s="2" t="s">
        <v>5906</v>
      </c>
      <c r="J1595" s="2" t="s">
        <v>5518</v>
      </c>
      <c r="K1595" s="2" t="s">
        <v>11834</v>
      </c>
      <c r="L1595" s="10" t="s">
        <v>11835</v>
      </c>
    </row>
    <row r="1596">
      <c r="A1596" s="2" t="s">
        <v>5357</v>
      </c>
      <c r="B1596" s="2" t="s">
        <v>11836</v>
      </c>
      <c r="C1596" s="2">
        <v>3.72638716E8</v>
      </c>
      <c r="D1596" s="2" t="s">
        <v>11837</v>
      </c>
      <c r="E1596" s="2">
        <v>94280.0</v>
      </c>
      <c r="F1596" s="2">
        <v>18.0</v>
      </c>
      <c r="G1596" s="2">
        <v>13400.0</v>
      </c>
      <c r="H1596" s="2" t="s">
        <v>5906</v>
      </c>
      <c r="I1596" s="2" t="s">
        <v>5906</v>
      </c>
      <c r="J1596" s="2" t="s">
        <v>5480</v>
      </c>
      <c r="K1596" s="2" t="s">
        <v>11838</v>
      </c>
      <c r="L1596" s="10" t="s">
        <v>11839</v>
      </c>
    </row>
    <row r="1597">
      <c r="A1597" s="2" t="s">
        <v>5357</v>
      </c>
      <c r="B1597" s="2" t="s">
        <v>11840</v>
      </c>
      <c r="C1597" s="2">
        <v>2.021701869E9</v>
      </c>
      <c r="D1597" s="2" t="s">
        <v>11841</v>
      </c>
      <c r="E1597" s="2">
        <v>270567.0</v>
      </c>
      <c r="F1597" s="2">
        <v>162.0</v>
      </c>
      <c r="G1597" s="2">
        <v>14269.0</v>
      </c>
      <c r="H1597" s="2" t="s">
        <v>5906</v>
      </c>
      <c r="I1597" s="2" t="s">
        <v>5905</v>
      </c>
      <c r="J1597" s="2" t="s">
        <v>5480</v>
      </c>
      <c r="K1597" s="2" t="s">
        <v>11842</v>
      </c>
      <c r="L1597" s="10" t="s">
        <v>11843</v>
      </c>
    </row>
    <row r="1598">
      <c r="A1598" s="2" t="s">
        <v>5357</v>
      </c>
      <c r="B1598" s="2" t="s">
        <v>11844</v>
      </c>
      <c r="C1598" s="2">
        <v>6.102199994E10</v>
      </c>
      <c r="D1598" s="2" t="s">
        <v>11845</v>
      </c>
      <c r="E1598" s="2">
        <v>78230.0</v>
      </c>
      <c r="F1598" s="2">
        <v>27.0</v>
      </c>
      <c r="G1598" s="2">
        <v>7528.0</v>
      </c>
      <c r="H1598" s="2" t="s">
        <v>5906</v>
      </c>
      <c r="I1598" s="2" t="s">
        <v>5906</v>
      </c>
      <c r="J1598" s="2" t="s">
        <v>5480</v>
      </c>
      <c r="K1598" s="2" t="s">
        <v>11846</v>
      </c>
      <c r="L1598" s="10" t="s">
        <v>11847</v>
      </c>
    </row>
    <row r="1599">
      <c r="A1599" s="2" t="s">
        <v>5304</v>
      </c>
      <c r="B1599" s="2" t="s">
        <v>1899</v>
      </c>
      <c r="C1599" s="2">
        <v>1.98218772E8</v>
      </c>
      <c r="D1599" s="2" t="s">
        <v>5304</v>
      </c>
      <c r="E1599" s="2">
        <v>1715235.0</v>
      </c>
      <c r="F1599" s="2">
        <v>111.0</v>
      </c>
      <c r="G1599" s="2">
        <v>6242.0</v>
      </c>
      <c r="H1599" s="2" t="s">
        <v>5906</v>
      </c>
      <c r="I1599" s="2" t="s">
        <v>5906</v>
      </c>
      <c r="K1599" s="2" t="s">
        <v>11848</v>
      </c>
      <c r="L1599" s="10" t="s">
        <v>11849</v>
      </c>
    </row>
    <row r="1600">
      <c r="A1600" s="2" t="s">
        <v>5394</v>
      </c>
      <c r="B1600" s="2" t="s">
        <v>11850</v>
      </c>
      <c r="C1600" s="2">
        <v>4.4786047168E10</v>
      </c>
      <c r="D1600" s="2" t="s">
        <v>11851</v>
      </c>
      <c r="E1600" s="2">
        <v>25781.0</v>
      </c>
      <c r="F1600" s="2">
        <v>75.0</v>
      </c>
      <c r="G1600" s="2">
        <v>1284.0</v>
      </c>
      <c r="H1600" s="2" t="s">
        <v>5905</v>
      </c>
      <c r="I1600" s="2" t="s">
        <v>5905</v>
      </c>
      <c r="J1600" s="2" t="s">
        <v>5485</v>
      </c>
      <c r="K1600" s="2" t="s">
        <v>11852</v>
      </c>
      <c r="L1600" s="10" t="s">
        <v>11853</v>
      </c>
    </row>
    <row r="1601">
      <c r="A1601" s="2" t="s">
        <v>5331</v>
      </c>
      <c r="B1601" s="2" t="s">
        <v>11854</v>
      </c>
      <c r="C1601" s="2">
        <v>4073479.0</v>
      </c>
      <c r="D1601" s="2" t="s">
        <v>5331</v>
      </c>
      <c r="E1601" s="2">
        <v>4424522.0</v>
      </c>
      <c r="F1601" s="2">
        <v>1908.0</v>
      </c>
      <c r="G1601" s="2">
        <v>16629.0</v>
      </c>
      <c r="H1601" s="2" t="s">
        <v>5906</v>
      </c>
      <c r="I1601" s="2" t="s">
        <v>5906</v>
      </c>
      <c r="K1601" s="2" t="s">
        <v>11855</v>
      </c>
      <c r="L1601" s="10" t="s">
        <v>11856</v>
      </c>
    </row>
    <row r="1602">
      <c r="A1602" s="2" t="s">
        <v>5331</v>
      </c>
      <c r="B1602" s="2" t="s">
        <v>11857</v>
      </c>
      <c r="C1602" s="2">
        <v>6.760057004E9</v>
      </c>
      <c r="D1602" s="2" t="s">
        <v>11858</v>
      </c>
      <c r="E1602" s="2">
        <v>21088.0</v>
      </c>
      <c r="F1602" s="2">
        <v>251.0</v>
      </c>
      <c r="G1602" s="2">
        <v>371.0</v>
      </c>
      <c r="H1602" s="2" t="s">
        <v>5906</v>
      </c>
      <c r="I1602" s="2" t="s">
        <v>5906</v>
      </c>
      <c r="K1602" s="2" t="s">
        <v>11859</v>
      </c>
      <c r="L1602" s="10" t="s">
        <v>11860</v>
      </c>
    </row>
    <row r="1603">
      <c r="A1603" s="2" t="s">
        <v>5515</v>
      </c>
      <c r="B1603" s="2" t="s">
        <v>6825</v>
      </c>
      <c r="C1603" s="2">
        <v>2.308985963E9</v>
      </c>
      <c r="D1603" s="2" t="s">
        <v>6826</v>
      </c>
      <c r="E1603" s="2">
        <v>1667680.0</v>
      </c>
      <c r="F1603" s="2">
        <v>20.0</v>
      </c>
      <c r="G1603" s="2">
        <v>29477.0</v>
      </c>
      <c r="H1603" s="2" t="s">
        <v>5906</v>
      </c>
      <c r="I1603" s="2" t="s">
        <v>5906</v>
      </c>
      <c r="J1603" s="2" t="s">
        <v>5920</v>
      </c>
      <c r="K1603" s="2" t="s">
        <v>6827</v>
      </c>
      <c r="L1603" s="10" t="s">
        <v>6828</v>
      </c>
    </row>
    <row r="1604">
      <c r="A1604" s="2" t="s">
        <v>5515</v>
      </c>
      <c r="B1604" s="2" t="s">
        <v>11861</v>
      </c>
      <c r="C1604" s="2">
        <v>1.373819602E9</v>
      </c>
      <c r="D1604" s="2" t="s">
        <v>11862</v>
      </c>
      <c r="E1604" s="2">
        <v>63070.0</v>
      </c>
      <c r="F1604" s="2">
        <v>938.0</v>
      </c>
      <c r="G1604" s="2">
        <v>11733.0</v>
      </c>
      <c r="H1604" s="2" t="s">
        <v>5905</v>
      </c>
      <c r="I1604" s="2" t="s">
        <v>5906</v>
      </c>
      <c r="J1604" s="2" t="s">
        <v>6199</v>
      </c>
      <c r="K1604" s="2" t="s">
        <v>11863</v>
      </c>
      <c r="L1604" s="10" t="s">
        <v>11864</v>
      </c>
    </row>
    <row r="1605">
      <c r="A1605" s="2" t="s">
        <v>5515</v>
      </c>
      <c r="B1605" s="2" t="s">
        <v>11865</v>
      </c>
      <c r="C1605" s="2">
        <v>1.8087477E7</v>
      </c>
      <c r="D1605" s="2" t="s">
        <v>11866</v>
      </c>
      <c r="E1605" s="2">
        <v>165152.0</v>
      </c>
      <c r="F1605" s="2">
        <v>588.0</v>
      </c>
      <c r="G1605" s="2">
        <v>2334.0</v>
      </c>
      <c r="H1605" s="2" t="s">
        <v>5906</v>
      </c>
      <c r="I1605" s="2" t="s">
        <v>5905</v>
      </c>
      <c r="K1605" s="2" t="s">
        <v>11867</v>
      </c>
      <c r="L1605" s="10" t="s">
        <v>11868</v>
      </c>
    </row>
    <row r="1606">
      <c r="A1606" s="2" t="s">
        <v>5515</v>
      </c>
      <c r="B1606" s="2" t="s">
        <v>11869</v>
      </c>
      <c r="C1606" s="2">
        <v>1.3623622322E10</v>
      </c>
      <c r="D1606" s="2" t="s">
        <v>11870</v>
      </c>
      <c r="E1606" s="2">
        <v>15811.0</v>
      </c>
      <c r="F1606" s="2">
        <v>44.0</v>
      </c>
      <c r="G1606" s="2">
        <v>401.0</v>
      </c>
      <c r="H1606" s="2" t="s">
        <v>5906</v>
      </c>
      <c r="I1606" s="2" t="s">
        <v>5905</v>
      </c>
      <c r="K1606" s="2" t="s">
        <v>11871</v>
      </c>
      <c r="L1606" s="10" t="s">
        <v>11872</v>
      </c>
    </row>
    <row r="1607">
      <c r="A1607" s="2" t="s">
        <v>5515</v>
      </c>
      <c r="B1607" s="2" t="s">
        <v>11873</v>
      </c>
      <c r="C1607" s="2">
        <v>6.9531790377E10</v>
      </c>
      <c r="D1607" s="2" t="s">
        <v>11874</v>
      </c>
      <c r="E1607" s="2">
        <v>212165.0</v>
      </c>
      <c r="F1607" s="2">
        <v>51.0</v>
      </c>
      <c r="G1607" s="2">
        <v>1538.0</v>
      </c>
      <c r="H1607" s="2" t="s">
        <v>5906</v>
      </c>
      <c r="I1607" s="2" t="s">
        <v>5906</v>
      </c>
      <c r="J1607" s="2" t="s">
        <v>5480</v>
      </c>
      <c r="K1607" s="2" t="s">
        <v>11875</v>
      </c>
    </row>
    <row r="1608">
      <c r="A1608" s="2" t="s">
        <v>5515</v>
      </c>
      <c r="B1608" s="2" t="s">
        <v>11876</v>
      </c>
      <c r="C1608" s="2">
        <v>2.91939066E8</v>
      </c>
      <c r="D1608" s="2" t="s">
        <v>11877</v>
      </c>
      <c r="E1608" s="2">
        <v>876238.0</v>
      </c>
      <c r="F1608" s="2">
        <v>3963.0</v>
      </c>
      <c r="G1608" s="2">
        <v>11096.0</v>
      </c>
      <c r="H1608" s="2" t="s">
        <v>5906</v>
      </c>
      <c r="I1608" s="2" t="s">
        <v>5905</v>
      </c>
      <c r="J1608" s="2" t="s">
        <v>5993</v>
      </c>
      <c r="K1608" s="2" t="s">
        <v>11878</v>
      </c>
      <c r="L1608" s="10" t="s">
        <v>11879</v>
      </c>
    </row>
    <row r="1609">
      <c r="A1609" s="2" t="s">
        <v>5515</v>
      </c>
      <c r="B1609" s="2" t="s">
        <v>11880</v>
      </c>
      <c r="C1609" s="2">
        <v>1.486376312E9</v>
      </c>
      <c r="D1609" s="2" t="s">
        <v>11881</v>
      </c>
      <c r="E1609" s="2">
        <v>245221.0</v>
      </c>
      <c r="F1609" s="2">
        <v>551.0</v>
      </c>
      <c r="G1609" s="2">
        <v>5669.0</v>
      </c>
      <c r="H1609" s="2" t="s">
        <v>5906</v>
      </c>
      <c r="I1609" s="2" t="s">
        <v>5906</v>
      </c>
      <c r="J1609" s="2" t="s">
        <v>5920</v>
      </c>
      <c r="K1609" s="2" t="s">
        <v>11882</v>
      </c>
      <c r="L1609" s="10" t="s">
        <v>11883</v>
      </c>
    </row>
    <row r="1610">
      <c r="A1610" s="2" t="s">
        <v>5515</v>
      </c>
      <c r="B1610" s="2" t="s">
        <v>11884</v>
      </c>
      <c r="C1610" s="2">
        <v>4.04565508E8</v>
      </c>
      <c r="D1610" s="2" t="s">
        <v>11885</v>
      </c>
      <c r="E1610" s="2">
        <v>2049096.0</v>
      </c>
      <c r="F1610" s="2">
        <v>559.0</v>
      </c>
      <c r="G1610" s="2">
        <v>96956.0</v>
      </c>
      <c r="H1610" s="2" t="s">
        <v>5906</v>
      </c>
      <c r="I1610" s="2" t="s">
        <v>5906</v>
      </c>
      <c r="J1610" s="2" t="s">
        <v>5920</v>
      </c>
      <c r="K1610" s="2" t="s">
        <v>11886</v>
      </c>
      <c r="L1610" s="10" t="s">
        <v>11887</v>
      </c>
    </row>
    <row r="1611">
      <c r="A1611" s="2" t="s">
        <v>5515</v>
      </c>
      <c r="B1611" s="2" t="s">
        <v>11888</v>
      </c>
      <c r="C1611" s="2">
        <v>1.9270691E8</v>
      </c>
      <c r="D1611" s="2" t="s">
        <v>11889</v>
      </c>
      <c r="E1611" s="2">
        <v>435403.0</v>
      </c>
      <c r="F1611" s="2">
        <v>1570.0</v>
      </c>
      <c r="G1611" s="2">
        <v>6176.0</v>
      </c>
      <c r="H1611" s="2" t="s">
        <v>5906</v>
      </c>
      <c r="I1611" s="2" t="s">
        <v>5906</v>
      </c>
      <c r="K1611" s="2" t="s">
        <v>11890</v>
      </c>
      <c r="L1611" s="10" t="s">
        <v>11891</v>
      </c>
    </row>
    <row r="1612">
      <c r="A1612" s="2" t="s">
        <v>5515</v>
      </c>
      <c r="B1612" s="2" t="s">
        <v>11892</v>
      </c>
      <c r="C1612" s="2">
        <v>1.207599105E9</v>
      </c>
      <c r="D1612" s="2" t="s">
        <v>11893</v>
      </c>
      <c r="E1612" s="2">
        <v>531742.0</v>
      </c>
      <c r="F1612" s="2">
        <v>397.0</v>
      </c>
      <c r="G1612" s="2">
        <v>25118.0</v>
      </c>
      <c r="H1612" s="2" t="s">
        <v>5905</v>
      </c>
      <c r="I1612" s="2" t="s">
        <v>5906</v>
      </c>
      <c r="J1612" s="2" t="s">
        <v>5480</v>
      </c>
      <c r="K1612" s="2" t="s">
        <v>11894</v>
      </c>
      <c r="L1612" s="10" t="s">
        <v>11895</v>
      </c>
    </row>
    <row r="1613">
      <c r="A1613" s="2" t="s">
        <v>5515</v>
      </c>
      <c r="B1613" s="2" t="s">
        <v>11896</v>
      </c>
      <c r="C1613" s="2">
        <v>4.6524966494E10</v>
      </c>
      <c r="D1613" s="2" t="s">
        <v>11897</v>
      </c>
      <c r="E1613" s="2">
        <v>292387.0</v>
      </c>
      <c r="F1613" s="2">
        <v>116.0</v>
      </c>
      <c r="G1613" s="2">
        <v>3166.0</v>
      </c>
      <c r="H1613" s="2" t="s">
        <v>5905</v>
      </c>
      <c r="I1613" s="2" t="s">
        <v>5905</v>
      </c>
      <c r="J1613" s="2" t="s">
        <v>5928</v>
      </c>
      <c r="K1613" s="2" t="s">
        <v>11898</v>
      </c>
      <c r="L1613" s="10" t="s">
        <v>11899</v>
      </c>
    </row>
    <row r="1614">
      <c r="A1614" s="2" t="s">
        <v>5515</v>
      </c>
      <c r="B1614" s="2" t="s">
        <v>11900</v>
      </c>
      <c r="C1614" s="2">
        <v>4.1238661066E10</v>
      </c>
      <c r="D1614" s="2" t="s">
        <v>11901</v>
      </c>
      <c r="E1614" s="2">
        <v>89512.0</v>
      </c>
      <c r="F1614" s="2">
        <v>5.0</v>
      </c>
      <c r="G1614" s="2">
        <v>69.0</v>
      </c>
      <c r="H1614" s="2" t="s">
        <v>5905</v>
      </c>
      <c r="I1614" s="2" t="s">
        <v>5905</v>
      </c>
      <c r="J1614" s="2" t="s">
        <v>6124</v>
      </c>
      <c r="K1614" s="2" t="s">
        <v>11902</v>
      </c>
      <c r="L1614" s="10" t="s">
        <v>11903</v>
      </c>
    </row>
    <row r="1615">
      <c r="A1615" s="2" t="s">
        <v>5515</v>
      </c>
      <c r="B1615" s="2" t="s">
        <v>11904</v>
      </c>
      <c r="C1615" s="2">
        <v>7.5027795477E10</v>
      </c>
      <c r="D1615" s="2" t="s">
        <v>11905</v>
      </c>
      <c r="E1615" s="2">
        <v>23302.0</v>
      </c>
      <c r="F1615" s="2">
        <v>0.0</v>
      </c>
      <c r="G1615" s="2">
        <v>81.0</v>
      </c>
      <c r="H1615" s="2" t="s">
        <v>5905</v>
      </c>
      <c r="I1615" s="2" t="s">
        <v>5905</v>
      </c>
      <c r="K1615" s="2" t="s">
        <v>11906</v>
      </c>
      <c r="L1615" s="10" t="s">
        <v>11907</v>
      </c>
    </row>
    <row r="1616">
      <c r="A1616" s="2" t="s">
        <v>5515</v>
      </c>
      <c r="B1616" s="2" t="s">
        <v>11908</v>
      </c>
      <c r="C1616" s="2">
        <v>4.9598454749E10</v>
      </c>
      <c r="D1616" s="2" t="s">
        <v>11909</v>
      </c>
      <c r="E1616" s="2">
        <v>249226.0</v>
      </c>
      <c r="F1616" s="2">
        <v>0.0</v>
      </c>
      <c r="G1616" s="2">
        <v>435.0</v>
      </c>
      <c r="H1616" s="2" t="s">
        <v>5905</v>
      </c>
      <c r="I1616" s="2" t="s">
        <v>5906</v>
      </c>
      <c r="J1616" s="2" t="s">
        <v>11910</v>
      </c>
      <c r="K1616" s="2" t="s">
        <v>11911</v>
      </c>
      <c r="L1616" s="10" t="s">
        <v>11912</v>
      </c>
    </row>
    <row r="1617">
      <c r="A1617" s="2" t="s">
        <v>5515</v>
      </c>
      <c r="B1617" s="2" t="s">
        <v>10058</v>
      </c>
      <c r="C1617" s="2">
        <v>1.329078028E9</v>
      </c>
      <c r="D1617" s="2" t="s">
        <v>10059</v>
      </c>
      <c r="E1617" s="2">
        <v>195109.0</v>
      </c>
      <c r="F1617" s="2">
        <v>19.0</v>
      </c>
      <c r="G1617" s="2">
        <v>21917.0</v>
      </c>
      <c r="H1617" s="2" t="s">
        <v>5905</v>
      </c>
      <c r="I1617" s="2" t="s">
        <v>5906</v>
      </c>
      <c r="J1617" s="2" t="s">
        <v>5911</v>
      </c>
      <c r="K1617" s="2" t="s">
        <v>10060</v>
      </c>
      <c r="L1617" s="10" t="s">
        <v>10061</v>
      </c>
    </row>
    <row r="1618">
      <c r="A1618" s="2" t="s">
        <v>5515</v>
      </c>
      <c r="B1618" s="2" t="s">
        <v>11913</v>
      </c>
      <c r="C1618" s="2">
        <v>1.072292838E9</v>
      </c>
      <c r="D1618" s="2" t="s">
        <v>11914</v>
      </c>
      <c r="E1618" s="2">
        <v>9741519.0</v>
      </c>
      <c r="F1618" s="2">
        <v>65.0</v>
      </c>
      <c r="G1618" s="2">
        <v>79081.0</v>
      </c>
      <c r="H1618" s="2" t="s">
        <v>5906</v>
      </c>
      <c r="I1618" s="2" t="s">
        <v>5906</v>
      </c>
      <c r="J1618" s="2" t="s">
        <v>5920</v>
      </c>
      <c r="K1618" s="2" t="s">
        <v>11915</v>
      </c>
      <c r="L1618" s="10" t="s">
        <v>11916</v>
      </c>
    </row>
    <row r="1619">
      <c r="A1619" s="2" t="s">
        <v>5515</v>
      </c>
      <c r="B1619" s="2" t="s">
        <v>11917</v>
      </c>
      <c r="C1619" s="2">
        <v>1.3997159258E10</v>
      </c>
      <c r="D1619" s="2" t="s">
        <v>11918</v>
      </c>
      <c r="E1619" s="2">
        <v>73877.0</v>
      </c>
      <c r="F1619" s="2">
        <v>1.0</v>
      </c>
      <c r="G1619" s="2">
        <v>200.0</v>
      </c>
      <c r="H1619" s="2" t="s">
        <v>5906</v>
      </c>
      <c r="I1619" s="2" t="s">
        <v>5906</v>
      </c>
      <c r="J1619" s="2" t="s">
        <v>11919</v>
      </c>
      <c r="K1619" s="2" t="s">
        <v>11920</v>
      </c>
      <c r="L1619" s="10" t="s">
        <v>11921</v>
      </c>
    </row>
    <row r="1620">
      <c r="A1620" s="2" t="s">
        <v>5423</v>
      </c>
      <c r="B1620" s="10" t="s">
        <v>11922</v>
      </c>
      <c r="C1620" s="2">
        <v>5.8232813015E10</v>
      </c>
      <c r="D1620" s="2" t="s">
        <v>11923</v>
      </c>
      <c r="E1620" s="2">
        <v>13469.0</v>
      </c>
      <c r="F1620" s="2">
        <v>25.0</v>
      </c>
      <c r="G1620" s="2">
        <v>127.0</v>
      </c>
      <c r="H1620" s="2" t="s">
        <v>5905</v>
      </c>
      <c r="I1620" s="2" t="s">
        <v>5906</v>
      </c>
      <c r="J1620" s="2" t="s">
        <v>7753</v>
      </c>
      <c r="K1620" s="2" t="s">
        <v>11924</v>
      </c>
    </row>
    <row r="1621">
      <c r="A1621" s="2" t="s">
        <v>5423</v>
      </c>
      <c r="B1621" s="2" t="s">
        <v>11925</v>
      </c>
      <c r="C1621" s="2">
        <v>5.81985231E8</v>
      </c>
      <c r="D1621" s="2" t="s">
        <v>11926</v>
      </c>
      <c r="E1621" s="2">
        <v>36977.0</v>
      </c>
      <c r="F1621" s="2">
        <v>2492.0</v>
      </c>
      <c r="G1621" s="2">
        <v>5694.0</v>
      </c>
      <c r="H1621" s="2" t="s">
        <v>5906</v>
      </c>
      <c r="I1621" s="2" t="s">
        <v>5906</v>
      </c>
      <c r="J1621" s="2" t="s">
        <v>5391</v>
      </c>
      <c r="K1621" s="2" t="s">
        <v>11927</v>
      </c>
      <c r="L1621" s="10" t="s">
        <v>11928</v>
      </c>
    </row>
    <row r="1622">
      <c r="A1622" s="2" t="s">
        <v>5423</v>
      </c>
      <c r="B1622" s="2" t="s">
        <v>11929</v>
      </c>
      <c r="C1622" s="2">
        <v>1.6857764292E10</v>
      </c>
      <c r="D1622" s="2" t="s">
        <v>11930</v>
      </c>
      <c r="E1622" s="2">
        <v>662995.0</v>
      </c>
      <c r="F1622" s="2">
        <v>230.0</v>
      </c>
      <c r="G1622" s="2">
        <v>11287.0</v>
      </c>
      <c r="H1622" s="2" t="s">
        <v>5906</v>
      </c>
      <c r="I1622" s="2" t="s">
        <v>5906</v>
      </c>
      <c r="J1622" s="2" t="s">
        <v>5480</v>
      </c>
      <c r="K1622" s="2" t="s">
        <v>11931</v>
      </c>
      <c r="L1622" s="10" t="s">
        <v>11932</v>
      </c>
    </row>
    <row r="1623">
      <c r="A1623" s="2" t="s">
        <v>5423</v>
      </c>
      <c r="B1623" s="2" t="s">
        <v>11933</v>
      </c>
      <c r="C1623" s="2">
        <v>7.160847868E9</v>
      </c>
      <c r="D1623" s="2" t="s">
        <v>5423</v>
      </c>
      <c r="E1623" s="2">
        <v>322137.0</v>
      </c>
      <c r="F1623" s="2">
        <v>776.0</v>
      </c>
      <c r="G1623" s="2">
        <v>10394.0</v>
      </c>
      <c r="H1623" s="2" t="s">
        <v>5906</v>
      </c>
      <c r="I1623" s="2" t="s">
        <v>5906</v>
      </c>
      <c r="J1623" s="2" t="s">
        <v>5907</v>
      </c>
      <c r="K1623" s="2" t="s">
        <v>11934</v>
      </c>
      <c r="L1623" s="10" t="s">
        <v>11932</v>
      </c>
    </row>
    <row r="1624">
      <c r="A1624" s="2" t="s">
        <v>5423</v>
      </c>
      <c r="B1624" s="2" t="s">
        <v>11935</v>
      </c>
      <c r="C1624" s="2">
        <v>1.44628973E9</v>
      </c>
      <c r="D1624" s="2" t="s">
        <v>11936</v>
      </c>
      <c r="E1624" s="2">
        <v>65384.0</v>
      </c>
      <c r="F1624" s="2">
        <v>2181.0</v>
      </c>
      <c r="G1624" s="2">
        <v>1799.0</v>
      </c>
      <c r="H1624" s="2" t="s">
        <v>5905</v>
      </c>
      <c r="I1624" s="2" t="s">
        <v>5906</v>
      </c>
      <c r="J1624" s="2" t="s">
        <v>11937</v>
      </c>
      <c r="K1624" s="2" t="s">
        <v>11938</v>
      </c>
      <c r="L1624" s="10" t="s">
        <v>11939</v>
      </c>
    </row>
    <row r="1625">
      <c r="A1625" s="2" t="s">
        <v>5423</v>
      </c>
      <c r="B1625" s="2" t="s">
        <v>11940</v>
      </c>
      <c r="C1625" s="2">
        <v>6.8514796482E10</v>
      </c>
      <c r="D1625" s="2" t="s">
        <v>11941</v>
      </c>
      <c r="E1625" s="2">
        <v>25967.0</v>
      </c>
      <c r="F1625" s="2">
        <v>41.0</v>
      </c>
      <c r="G1625" s="2">
        <v>257.0</v>
      </c>
      <c r="H1625" s="2" t="s">
        <v>5905</v>
      </c>
      <c r="I1625" s="2" t="s">
        <v>5905</v>
      </c>
      <c r="J1625" s="2" t="s">
        <v>9470</v>
      </c>
      <c r="K1625" s="2" t="s">
        <v>11942</v>
      </c>
      <c r="L1625" s="10" t="s">
        <v>11943</v>
      </c>
    </row>
    <row r="1626">
      <c r="A1626" s="2" t="s">
        <v>5423</v>
      </c>
      <c r="B1626" s="2" t="s">
        <v>11944</v>
      </c>
      <c r="C1626" s="2">
        <v>8.742935691E9</v>
      </c>
      <c r="D1626" s="2" t="s">
        <v>11945</v>
      </c>
      <c r="E1626" s="2">
        <v>271401.0</v>
      </c>
      <c r="F1626" s="2">
        <v>10.0</v>
      </c>
      <c r="G1626" s="2">
        <v>880.0</v>
      </c>
      <c r="H1626" s="2" t="s">
        <v>5905</v>
      </c>
      <c r="I1626" s="2" t="s">
        <v>5906</v>
      </c>
      <c r="J1626" s="2" t="s">
        <v>4397</v>
      </c>
      <c r="K1626" s="2" t="s">
        <v>11946</v>
      </c>
    </row>
    <row r="1627">
      <c r="A1627" s="2" t="s">
        <v>5362</v>
      </c>
      <c r="B1627" s="2" t="s">
        <v>11947</v>
      </c>
      <c r="C1627" s="2">
        <v>3.88706042E8</v>
      </c>
      <c r="D1627" s="2" t="s">
        <v>5362</v>
      </c>
      <c r="E1627" s="2">
        <v>1793620.0</v>
      </c>
      <c r="F1627" s="2">
        <v>92.0</v>
      </c>
      <c r="G1627" s="2">
        <v>8318.0</v>
      </c>
      <c r="H1627" s="2" t="s">
        <v>5906</v>
      </c>
      <c r="I1627" s="2" t="s">
        <v>5906</v>
      </c>
      <c r="K1627" s="2" t="s">
        <v>11948</v>
      </c>
      <c r="L1627" s="10" t="s">
        <v>11949</v>
      </c>
    </row>
    <row r="1628">
      <c r="A1628" s="2" t="s">
        <v>5362</v>
      </c>
      <c r="B1628" s="2" t="s">
        <v>11950</v>
      </c>
      <c r="C1628" s="2">
        <v>5.4737311549E10</v>
      </c>
      <c r="D1628" s="2" t="s">
        <v>11951</v>
      </c>
      <c r="E1628" s="2">
        <v>42200.0</v>
      </c>
      <c r="F1628" s="2">
        <v>7500.0</v>
      </c>
      <c r="G1628" s="2">
        <v>944.0</v>
      </c>
      <c r="H1628" s="2" t="s">
        <v>5905</v>
      </c>
      <c r="I1628" s="2" t="s">
        <v>5905</v>
      </c>
      <c r="J1628" s="2" t="s">
        <v>5911</v>
      </c>
      <c r="K1628" s="2" t="s">
        <v>11952</v>
      </c>
      <c r="L1628" s="10" t="s">
        <v>11953</v>
      </c>
    </row>
    <row r="1629">
      <c r="A1629" s="2" t="s">
        <v>5362</v>
      </c>
      <c r="B1629" s="2" t="s">
        <v>11954</v>
      </c>
      <c r="C1629" s="2">
        <v>1.8414553165E10</v>
      </c>
      <c r="D1629" s="2" t="s">
        <v>11955</v>
      </c>
      <c r="E1629" s="2">
        <v>10919.0</v>
      </c>
      <c r="F1629" s="2">
        <v>291.0</v>
      </c>
      <c r="G1629" s="2">
        <v>221.0</v>
      </c>
      <c r="H1629" s="2" t="s">
        <v>5905</v>
      </c>
      <c r="I1629" s="2" t="s">
        <v>5906</v>
      </c>
      <c r="J1629" s="2" t="s">
        <v>5391</v>
      </c>
      <c r="K1629" s="2" t="s">
        <v>11956</v>
      </c>
      <c r="L1629" s="10" t="s">
        <v>11957</v>
      </c>
    </row>
    <row r="1630">
      <c r="A1630" s="2" t="s">
        <v>5362</v>
      </c>
      <c r="B1630" s="2" t="s">
        <v>11958</v>
      </c>
      <c r="C1630" s="2">
        <v>8.0740807E8</v>
      </c>
      <c r="D1630" s="2" t="s">
        <v>5362</v>
      </c>
      <c r="E1630" s="2">
        <v>12261.0</v>
      </c>
      <c r="F1630" s="2">
        <v>372.0</v>
      </c>
      <c r="G1630" s="2">
        <v>1539.0</v>
      </c>
      <c r="H1630" s="2" t="s">
        <v>5905</v>
      </c>
      <c r="I1630" s="2" t="s">
        <v>5906</v>
      </c>
      <c r="K1630" s="2" t="s">
        <v>11959</v>
      </c>
      <c r="L1630" s="10" t="s">
        <v>11960</v>
      </c>
    </row>
    <row r="1631">
      <c r="A1631" s="2" t="s">
        <v>5379</v>
      </c>
      <c r="B1631" s="2" t="s">
        <v>11961</v>
      </c>
      <c r="C1631" s="2">
        <v>5.8596701225E10</v>
      </c>
      <c r="D1631" s="2" t="s">
        <v>11962</v>
      </c>
      <c r="E1631" s="2">
        <v>243136.0</v>
      </c>
      <c r="F1631" s="2">
        <v>4.0</v>
      </c>
      <c r="G1631" s="2">
        <v>51.0</v>
      </c>
      <c r="H1631" s="2" t="s">
        <v>5905</v>
      </c>
      <c r="I1631" s="2" t="s">
        <v>5905</v>
      </c>
      <c r="K1631" s="2" t="s">
        <v>11963</v>
      </c>
      <c r="L1631" s="10" t="s">
        <v>11964</v>
      </c>
    </row>
    <row r="1632">
      <c r="A1632" s="2" t="s">
        <v>5379</v>
      </c>
      <c r="B1632" s="2" t="s">
        <v>11965</v>
      </c>
      <c r="C1632" s="2">
        <v>2.5792287E7</v>
      </c>
      <c r="D1632" s="2" t="s">
        <v>5379</v>
      </c>
      <c r="E1632" s="2">
        <v>1856577.0</v>
      </c>
      <c r="F1632" s="2">
        <v>1055.0</v>
      </c>
      <c r="G1632" s="2">
        <v>16799.0</v>
      </c>
      <c r="H1632" s="2" t="s">
        <v>5906</v>
      </c>
      <c r="I1632" s="2" t="s">
        <v>5906</v>
      </c>
      <c r="K1632" s="2" t="s">
        <v>11966</v>
      </c>
      <c r="L1632" s="10" t="s">
        <v>11967</v>
      </c>
    </row>
    <row r="1633">
      <c r="A1633" s="2" t="s">
        <v>5379</v>
      </c>
      <c r="B1633" s="2" t="s">
        <v>11968</v>
      </c>
      <c r="C1633" s="2">
        <v>8.188467809E9</v>
      </c>
      <c r="D1633" s="2" t="s">
        <v>11969</v>
      </c>
      <c r="E1633" s="2">
        <v>67530.0</v>
      </c>
      <c r="F1633" s="2">
        <v>609.0</v>
      </c>
      <c r="G1633" s="2">
        <v>739.0</v>
      </c>
      <c r="H1633" s="2" t="s">
        <v>5906</v>
      </c>
      <c r="I1633" s="2" t="s">
        <v>5906</v>
      </c>
      <c r="J1633" s="2" t="s">
        <v>6027</v>
      </c>
      <c r="K1633" s="2" t="s">
        <v>11970</v>
      </c>
      <c r="L1633" s="10" t="s">
        <v>11971</v>
      </c>
    </row>
    <row r="1634">
      <c r="A1634" s="2" t="s">
        <v>5379</v>
      </c>
      <c r="B1634" s="2" t="s">
        <v>11972</v>
      </c>
      <c r="C1634" s="2">
        <v>3.017544684E9</v>
      </c>
      <c r="D1634" s="2" t="s">
        <v>11973</v>
      </c>
      <c r="E1634" s="2">
        <v>197640.0</v>
      </c>
      <c r="F1634" s="2">
        <v>197.0</v>
      </c>
      <c r="G1634" s="2">
        <v>3478.0</v>
      </c>
      <c r="H1634" s="2" t="s">
        <v>5906</v>
      </c>
      <c r="I1634" s="2" t="s">
        <v>5906</v>
      </c>
      <c r="J1634" s="2" t="s">
        <v>5391</v>
      </c>
      <c r="K1634" s="2" t="s">
        <v>11974</v>
      </c>
      <c r="L1634" s="10" t="s">
        <v>11975</v>
      </c>
    </row>
    <row r="1635">
      <c r="A1635" s="2" t="s">
        <v>5379</v>
      </c>
      <c r="B1635" s="2" t="s">
        <v>11976</v>
      </c>
      <c r="C1635" s="2">
        <v>4.857479955E10</v>
      </c>
      <c r="D1635" s="2" t="s">
        <v>5379</v>
      </c>
      <c r="E1635" s="2">
        <v>16578.0</v>
      </c>
      <c r="F1635" s="2">
        <v>97.0</v>
      </c>
      <c r="G1635" s="2">
        <v>220.0</v>
      </c>
      <c r="H1635" s="2" t="s">
        <v>5905</v>
      </c>
      <c r="I1635" s="2" t="s">
        <v>5906</v>
      </c>
      <c r="J1635" s="2" t="s">
        <v>11977</v>
      </c>
      <c r="K1635" s="2" t="s">
        <v>11978</v>
      </c>
      <c r="L1635" s="10" t="s">
        <v>11979</v>
      </c>
    </row>
    <row r="1636">
      <c r="A1636" s="2" t="s">
        <v>5379</v>
      </c>
      <c r="B1636" s="2" t="s">
        <v>11980</v>
      </c>
      <c r="C1636" s="2">
        <v>1.78594953E9</v>
      </c>
      <c r="D1636" s="2" t="s">
        <v>11981</v>
      </c>
      <c r="E1636" s="2">
        <v>5595594.0</v>
      </c>
      <c r="F1636" s="2">
        <v>3990.0</v>
      </c>
      <c r="G1636" s="2">
        <v>3873.0</v>
      </c>
      <c r="H1636" s="2" t="s">
        <v>5906</v>
      </c>
      <c r="I1636" s="2" t="s">
        <v>5905</v>
      </c>
      <c r="J1636" s="2" t="s">
        <v>8838</v>
      </c>
      <c r="K1636" s="2" t="s">
        <v>11982</v>
      </c>
      <c r="L1636" s="10" t="s">
        <v>11983</v>
      </c>
    </row>
    <row r="1637">
      <c r="A1637" s="2" t="s">
        <v>5379</v>
      </c>
      <c r="B1637" s="2" t="s">
        <v>11984</v>
      </c>
      <c r="C1637" s="2">
        <v>1.385745191E9</v>
      </c>
      <c r="D1637" s="2" t="s">
        <v>11985</v>
      </c>
      <c r="E1637" s="2">
        <v>50506.0</v>
      </c>
      <c r="F1637" s="2">
        <v>413.0</v>
      </c>
      <c r="G1637" s="2">
        <v>3795.0</v>
      </c>
      <c r="H1637" s="2" t="s">
        <v>5905</v>
      </c>
      <c r="I1637" s="2" t="s">
        <v>5906</v>
      </c>
      <c r="K1637" s="2" t="s">
        <v>11986</v>
      </c>
      <c r="L1637" s="10" t="s">
        <v>11987</v>
      </c>
    </row>
    <row r="1638">
      <c r="A1638" s="2" t="s">
        <v>5379</v>
      </c>
      <c r="B1638" s="2" t="s">
        <v>11988</v>
      </c>
      <c r="C1638" s="2">
        <v>3.64830002E8</v>
      </c>
      <c r="D1638" s="2" t="s">
        <v>11989</v>
      </c>
      <c r="E1638" s="2">
        <v>1564555.0</v>
      </c>
      <c r="F1638" s="2">
        <v>1334.0</v>
      </c>
      <c r="G1638" s="2">
        <v>624.0</v>
      </c>
      <c r="H1638" s="2" t="s">
        <v>5906</v>
      </c>
      <c r="I1638" s="2" t="s">
        <v>5905</v>
      </c>
      <c r="K1638" s="2" t="s">
        <v>11990</v>
      </c>
      <c r="L1638" s="10" t="s">
        <v>11991</v>
      </c>
    </row>
    <row r="1639">
      <c r="A1639" s="2" t="s">
        <v>5379</v>
      </c>
      <c r="B1639" s="2" t="s">
        <v>11992</v>
      </c>
      <c r="C1639" s="2">
        <v>4.021068381E9</v>
      </c>
      <c r="D1639" s="2" t="s">
        <v>11993</v>
      </c>
      <c r="E1639" s="2">
        <v>58735.0</v>
      </c>
      <c r="F1639" s="2">
        <v>133.0</v>
      </c>
      <c r="G1639" s="2">
        <v>2218.0</v>
      </c>
      <c r="H1639" s="2" t="s">
        <v>5906</v>
      </c>
      <c r="I1639" s="2" t="s">
        <v>5905</v>
      </c>
      <c r="J1639" s="2" t="s">
        <v>6166</v>
      </c>
      <c r="K1639" s="2" t="s">
        <v>11994</v>
      </c>
    </row>
    <row r="1640">
      <c r="A1640" s="2" t="s">
        <v>5344</v>
      </c>
      <c r="B1640" s="2" t="s">
        <v>11995</v>
      </c>
      <c r="C1640" s="2">
        <v>1.4233775804E10</v>
      </c>
      <c r="D1640" s="2" t="s">
        <v>11996</v>
      </c>
      <c r="E1640" s="2">
        <v>15180.0</v>
      </c>
      <c r="F1640" s="2">
        <v>328.0</v>
      </c>
      <c r="G1640" s="2">
        <v>176.0</v>
      </c>
      <c r="H1640" s="2" t="s">
        <v>5905</v>
      </c>
      <c r="I1640" s="2" t="s">
        <v>5905</v>
      </c>
      <c r="J1640" s="2" t="s">
        <v>6124</v>
      </c>
      <c r="K1640" s="2" t="s">
        <v>11997</v>
      </c>
      <c r="L1640" s="10" t="s">
        <v>11998</v>
      </c>
    </row>
    <row r="1641">
      <c r="A1641" s="2" t="s">
        <v>5344</v>
      </c>
      <c r="B1641" s="2" t="s">
        <v>11999</v>
      </c>
      <c r="C1641" s="2">
        <v>1.44078367E9</v>
      </c>
      <c r="D1641" s="2" t="s">
        <v>12000</v>
      </c>
      <c r="E1641" s="2">
        <v>64998.0</v>
      </c>
      <c r="F1641" s="2">
        <v>103.0</v>
      </c>
      <c r="G1641" s="2">
        <v>277.0</v>
      </c>
      <c r="H1641" s="2" t="s">
        <v>5905</v>
      </c>
      <c r="I1641" s="2" t="s">
        <v>5906</v>
      </c>
      <c r="J1641" s="2" t="s">
        <v>5391</v>
      </c>
      <c r="K1641" s="2" t="s">
        <v>12001</v>
      </c>
      <c r="L1641" s="10" t="s">
        <v>12002</v>
      </c>
    </row>
    <row r="1642">
      <c r="A1642" s="2" t="s">
        <v>5344</v>
      </c>
      <c r="B1642" s="2" t="s">
        <v>12003</v>
      </c>
      <c r="C1642" s="2">
        <v>1.47502115E9</v>
      </c>
      <c r="D1642" s="2" t="s">
        <v>12004</v>
      </c>
      <c r="E1642" s="2">
        <v>20722.0</v>
      </c>
      <c r="F1642" s="2">
        <v>1.0</v>
      </c>
      <c r="G1642" s="2">
        <v>631.0</v>
      </c>
      <c r="H1642" s="2" t="s">
        <v>5906</v>
      </c>
      <c r="I1642" s="2" t="s">
        <v>5905</v>
      </c>
      <c r="J1642" s="2" t="s">
        <v>5993</v>
      </c>
      <c r="K1642" s="2" t="s">
        <v>12005</v>
      </c>
      <c r="L1642" s="10" t="s">
        <v>12006</v>
      </c>
    </row>
    <row r="1643">
      <c r="A1643" s="2" t="s">
        <v>5344</v>
      </c>
      <c r="B1643" s="2" t="s">
        <v>12007</v>
      </c>
      <c r="C1643" s="2">
        <v>1.776845262E9</v>
      </c>
      <c r="D1643" s="2" t="s">
        <v>5344</v>
      </c>
      <c r="E1643" s="2">
        <v>56830.0</v>
      </c>
      <c r="F1643" s="2">
        <v>957.0</v>
      </c>
      <c r="G1643" s="2">
        <v>2281.0</v>
      </c>
      <c r="H1643" s="2" t="s">
        <v>5906</v>
      </c>
      <c r="I1643" s="2" t="s">
        <v>5906</v>
      </c>
      <c r="J1643" s="2" t="s">
        <v>5948</v>
      </c>
      <c r="K1643" s="2" t="s">
        <v>12008</v>
      </c>
      <c r="L1643" s="10" t="s">
        <v>12009</v>
      </c>
    </row>
    <row r="1644">
      <c r="A1644" s="2" t="s">
        <v>5344</v>
      </c>
      <c r="B1644" s="2" t="s">
        <v>12010</v>
      </c>
      <c r="C1644" s="2">
        <v>1.92222925E8</v>
      </c>
      <c r="D1644" s="2" t="s">
        <v>12011</v>
      </c>
      <c r="E1644" s="2">
        <v>188754.0</v>
      </c>
      <c r="F1644" s="2">
        <v>332.0</v>
      </c>
      <c r="G1644" s="2">
        <v>64.0</v>
      </c>
      <c r="H1644" s="2" t="s">
        <v>5906</v>
      </c>
      <c r="I1644" s="2" t="s">
        <v>5906</v>
      </c>
      <c r="L1644" s="10" t="s">
        <v>12012</v>
      </c>
    </row>
    <row r="1645">
      <c r="A1645" s="2" t="s">
        <v>5300</v>
      </c>
      <c r="B1645" s="2" t="s">
        <v>12013</v>
      </c>
      <c r="C1645" s="2">
        <v>1.34719348E9</v>
      </c>
      <c r="D1645" s="2" t="s">
        <v>5300</v>
      </c>
      <c r="E1645" s="2">
        <v>7196370.0</v>
      </c>
      <c r="F1645" s="2">
        <v>64.0</v>
      </c>
      <c r="G1645" s="2">
        <v>26136.0</v>
      </c>
      <c r="H1645" s="2" t="s">
        <v>5906</v>
      </c>
      <c r="I1645" s="2" t="s">
        <v>5906</v>
      </c>
      <c r="K1645" s="2" t="s">
        <v>12014</v>
      </c>
      <c r="L1645" s="10" t="s">
        <v>12015</v>
      </c>
    </row>
    <row r="1646">
      <c r="A1646" s="2" t="s">
        <v>5300</v>
      </c>
      <c r="B1646" s="2" t="s">
        <v>12016</v>
      </c>
      <c r="C1646" s="2">
        <v>1.725264314E9</v>
      </c>
      <c r="D1646" s="2" t="s">
        <v>12017</v>
      </c>
      <c r="E1646" s="2">
        <v>78500.0</v>
      </c>
      <c r="F1646" s="2">
        <v>28.0</v>
      </c>
      <c r="G1646" s="2">
        <v>359.0</v>
      </c>
      <c r="H1646" s="2" t="s">
        <v>5906</v>
      </c>
      <c r="I1646" s="2" t="s">
        <v>5906</v>
      </c>
      <c r="K1646" s="2" t="s">
        <v>12018</v>
      </c>
      <c r="L1646" s="10" t="s">
        <v>12019</v>
      </c>
    </row>
    <row r="1647">
      <c r="A1647" s="2" t="s">
        <v>5337</v>
      </c>
      <c r="B1647" s="2" t="s">
        <v>12020</v>
      </c>
      <c r="C1647" s="2">
        <v>4.7886836144E10</v>
      </c>
      <c r="D1647" s="2" t="s">
        <v>12021</v>
      </c>
      <c r="E1647" s="2">
        <v>32992.0</v>
      </c>
      <c r="F1647" s="2">
        <v>400.0</v>
      </c>
      <c r="G1647" s="2">
        <v>108.0</v>
      </c>
      <c r="H1647" s="2" t="s">
        <v>5905</v>
      </c>
      <c r="I1647" s="2" t="s">
        <v>5905</v>
      </c>
      <c r="J1647" s="2" t="s">
        <v>6002</v>
      </c>
      <c r="K1647" s="2" t="s">
        <v>12022</v>
      </c>
      <c r="L1647" s="10" t="s">
        <v>12023</v>
      </c>
    </row>
    <row r="1648">
      <c r="A1648" s="2" t="s">
        <v>5337</v>
      </c>
      <c r="B1648" s="2" t="s">
        <v>12024</v>
      </c>
      <c r="C1648" s="2">
        <v>1.9984681E7</v>
      </c>
      <c r="D1648" s="2" t="s">
        <v>12025</v>
      </c>
      <c r="E1648" s="2">
        <v>504163.0</v>
      </c>
      <c r="F1648" s="2">
        <v>7207.0</v>
      </c>
      <c r="G1648" s="2">
        <v>165.0</v>
      </c>
      <c r="H1648" s="2" t="s">
        <v>5906</v>
      </c>
      <c r="I1648" s="2" t="s">
        <v>5906</v>
      </c>
      <c r="J1648" s="2" t="s">
        <v>5391</v>
      </c>
      <c r="K1648" s="2" t="s">
        <v>12026</v>
      </c>
      <c r="L1648" s="10" t="s">
        <v>12027</v>
      </c>
    </row>
    <row r="1649">
      <c r="A1649" s="2" t="s">
        <v>5337</v>
      </c>
      <c r="B1649" s="2" t="s">
        <v>12028</v>
      </c>
      <c r="C1649" s="2">
        <v>5.32686606E8</v>
      </c>
      <c r="D1649" s="2" t="s">
        <v>12029</v>
      </c>
      <c r="E1649" s="2">
        <v>26283.0</v>
      </c>
      <c r="F1649" s="2">
        <v>1421.0</v>
      </c>
      <c r="G1649" s="2">
        <v>3761.0</v>
      </c>
      <c r="H1649" s="2" t="s">
        <v>5905</v>
      </c>
      <c r="I1649" s="2" t="s">
        <v>5906</v>
      </c>
      <c r="J1649" s="2" t="s">
        <v>12030</v>
      </c>
      <c r="K1649" s="2" t="s">
        <v>12031</v>
      </c>
      <c r="L1649" s="10" t="s">
        <v>12032</v>
      </c>
    </row>
    <row r="1650">
      <c r="A1650" s="2" t="s">
        <v>5337</v>
      </c>
      <c r="B1650" s="2" t="s">
        <v>12033</v>
      </c>
      <c r="C1650" s="2">
        <v>1.6975444221E10</v>
      </c>
      <c r="D1650" s="2" t="s">
        <v>12034</v>
      </c>
      <c r="E1650" s="2">
        <v>463019.0</v>
      </c>
      <c r="F1650" s="2">
        <v>330.0</v>
      </c>
      <c r="G1650" s="2">
        <v>6.0</v>
      </c>
      <c r="H1650" s="2" t="s">
        <v>5905</v>
      </c>
      <c r="I1650" s="2" t="s">
        <v>5905</v>
      </c>
      <c r="J1650" s="2" t="s">
        <v>5993</v>
      </c>
      <c r="K1650" s="2" t="s">
        <v>12035</v>
      </c>
    </row>
    <row r="1651">
      <c r="A1651" s="2" t="s">
        <v>5337</v>
      </c>
      <c r="B1651" s="2" t="s">
        <v>12036</v>
      </c>
      <c r="C1651" s="2">
        <v>7.3849646434E10</v>
      </c>
      <c r="D1651" s="2" t="s">
        <v>12037</v>
      </c>
      <c r="E1651" s="2">
        <v>25423.0</v>
      </c>
      <c r="F1651" s="2">
        <v>18.0</v>
      </c>
      <c r="G1651" s="2">
        <v>682.0</v>
      </c>
      <c r="H1651" s="2" t="s">
        <v>5905</v>
      </c>
      <c r="I1651" s="2" t="s">
        <v>5906</v>
      </c>
      <c r="J1651" s="2" t="s">
        <v>6199</v>
      </c>
      <c r="K1651" s="2" t="s">
        <v>12038</v>
      </c>
      <c r="L1651" s="10" t="s">
        <v>12039</v>
      </c>
    </row>
    <row r="1652">
      <c r="A1652" s="2" t="s">
        <v>5337</v>
      </c>
      <c r="B1652" s="2" t="s">
        <v>12040</v>
      </c>
      <c r="C1652" s="2">
        <v>6.538806165E9</v>
      </c>
      <c r="D1652" s="2" t="s">
        <v>12041</v>
      </c>
      <c r="E1652" s="2">
        <v>10725.0</v>
      </c>
      <c r="F1652" s="2">
        <v>288.0</v>
      </c>
      <c r="G1652" s="2">
        <v>1096.0</v>
      </c>
      <c r="H1652" s="2" t="s">
        <v>5905</v>
      </c>
      <c r="I1652" s="2" t="s">
        <v>5905</v>
      </c>
      <c r="J1652" s="2" t="s">
        <v>5993</v>
      </c>
      <c r="K1652" s="2" t="s">
        <v>12042</v>
      </c>
      <c r="L1652" s="10" t="s">
        <v>12043</v>
      </c>
    </row>
    <row r="1653">
      <c r="A1653" s="2" t="s">
        <v>5337</v>
      </c>
      <c r="B1653" s="2" t="s">
        <v>12044</v>
      </c>
      <c r="C1653" s="2">
        <v>1.0897562541E10</v>
      </c>
      <c r="D1653" s="2" t="s">
        <v>12045</v>
      </c>
      <c r="E1653" s="2">
        <v>271368.0</v>
      </c>
      <c r="F1653" s="2">
        <v>1490.0</v>
      </c>
      <c r="G1653" s="2">
        <v>2007.0</v>
      </c>
      <c r="H1653" s="2" t="s">
        <v>5906</v>
      </c>
      <c r="I1653" s="2" t="s">
        <v>5906</v>
      </c>
      <c r="J1653" s="2" t="s">
        <v>5911</v>
      </c>
      <c r="K1653" s="2" t="s">
        <v>12046</v>
      </c>
      <c r="L1653" s="10" t="s">
        <v>12047</v>
      </c>
    </row>
    <row r="1654">
      <c r="A1654" s="2" t="s">
        <v>5337</v>
      </c>
      <c r="B1654" s="2" t="s">
        <v>12048</v>
      </c>
      <c r="C1654" s="2">
        <v>5.102191155E10</v>
      </c>
      <c r="D1654" s="2" t="s">
        <v>12049</v>
      </c>
      <c r="E1654" s="2">
        <v>34077.0</v>
      </c>
      <c r="F1654" s="2">
        <v>848.0</v>
      </c>
      <c r="G1654" s="2">
        <v>1046.0</v>
      </c>
      <c r="H1654" s="2" t="s">
        <v>5906</v>
      </c>
      <c r="I1654" s="2" t="s">
        <v>5906</v>
      </c>
      <c r="J1654" s="2" t="s">
        <v>7140</v>
      </c>
      <c r="K1654" s="2" t="s">
        <v>12050</v>
      </c>
      <c r="L1654" s="10" t="s">
        <v>12051</v>
      </c>
    </row>
    <row r="1655">
      <c r="A1655" s="2" t="s">
        <v>5337</v>
      </c>
      <c r="B1655" s="10" t="s">
        <v>12052</v>
      </c>
      <c r="C1655" s="2">
        <v>1.1521165774E10</v>
      </c>
      <c r="D1655" s="2" t="s">
        <v>12053</v>
      </c>
      <c r="E1655" s="2">
        <v>24215.0</v>
      </c>
      <c r="F1655" s="2">
        <v>7.0</v>
      </c>
      <c r="G1655" s="2">
        <v>1736.0</v>
      </c>
      <c r="H1655" s="2" t="s">
        <v>5905</v>
      </c>
      <c r="I1655" s="2" t="s">
        <v>5906</v>
      </c>
      <c r="J1655" s="2" t="s">
        <v>7140</v>
      </c>
      <c r="K1655" s="2" t="s">
        <v>12054</v>
      </c>
      <c r="L1655" s="10" t="s">
        <v>12055</v>
      </c>
    </row>
    <row r="1656">
      <c r="A1656" s="2" t="s">
        <v>5337</v>
      </c>
      <c r="B1656" s="2" t="s">
        <v>12056</v>
      </c>
      <c r="C1656" s="2">
        <v>1.673900075E9</v>
      </c>
      <c r="D1656" s="2" t="s">
        <v>12057</v>
      </c>
      <c r="E1656" s="2">
        <v>319574.0</v>
      </c>
      <c r="F1656" s="2">
        <v>4.0</v>
      </c>
      <c r="G1656" s="2">
        <v>1702.0</v>
      </c>
      <c r="H1656" s="2" t="s">
        <v>5906</v>
      </c>
      <c r="I1656" s="2" t="s">
        <v>5906</v>
      </c>
      <c r="J1656" s="2" t="s">
        <v>7140</v>
      </c>
      <c r="K1656" s="2" t="s">
        <v>12058</v>
      </c>
      <c r="L1656" s="10" t="s">
        <v>12059</v>
      </c>
    </row>
    <row r="1657">
      <c r="A1657" s="2" t="s">
        <v>5337</v>
      </c>
      <c r="B1657" s="2" t="s">
        <v>12060</v>
      </c>
      <c r="C1657" s="2">
        <v>5.2045248544E10</v>
      </c>
      <c r="D1657" s="2" t="s">
        <v>5337</v>
      </c>
      <c r="E1657" s="2">
        <v>37727.0</v>
      </c>
      <c r="F1657" s="2">
        <v>162.0</v>
      </c>
      <c r="G1657" s="2">
        <v>997.0</v>
      </c>
      <c r="H1657" s="2" t="s">
        <v>5905</v>
      </c>
      <c r="I1657" s="2" t="s">
        <v>5906</v>
      </c>
      <c r="J1657" s="2" t="s">
        <v>12061</v>
      </c>
      <c r="K1657" s="2" t="s">
        <v>12062</v>
      </c>
    </row>
    <row r="1658">
      <c r="A1658" s="2" t="s">
        <v>5337</v>
      </c>
      <c r="B1658" s="2" t="s">
        <v>12063</v>
      </c>
      <c r="C1658" s="2">
        <v>1.449239368E9</v>
      </c>
      <c r="D1658" s="2" t="s">
        <v>12037</v>
      </c>
      <c r="E1658" s="2">
        <v>525594.0</v>
      </c>
      <c r="F1658" s="2">
        <v>163.0</v>
      </c>
      <c r="G1658" s="2">
        <v>5907.0</v>
      </c>
      <c r="H1658" s="2" t="s">
        <v>5906</v>
      </c>
      <c r="I1658" s="2" t="s">
        <v>5905</v>
      </c>
      <c r="K1658" s="2" t="s">
        <v>12064</v>
      </c>
    </row>
    <row r="1659">
      <c r="A1659" s="2" t="s">
        <v>5337</v>
      </c>
      <c r="B1659" s="2" t="s">
        <v>12065</v>
      </c>
      <c r="C1659" s="2">
        <v>2002821.0</v>
      </c>
      <c r="D1659" s="2" t="s">
        <v>12066</v>
      </c>
      <c r="E1659" s="2">
        <v>5525586.0</v>
      </c>
      <c r="F1659" s="2">
        <v>1100.0</v>
      </c>
      <c r="G1659" s="2">
        <v>2582.0</v>
      </c>
      <c r="H1659" s="2" t="s">
        <v>5906</v>
      </c>
      <c r="I1659" s="2" t="s">
        <v>5906</v>
      </c>
      <c r="J1659" s="2" t="s">
        <v>5561</v>
      </c>
      <c r="K1659" s="2" t="s">
        <v>12067</v>
      </c>
      <c r="L1659" s="10" t="s">
        <v>12068</v>
      </c>
    </row>
    <row r="1660">
      <c r="A1660" s="2" t="s">
        <v>5319</v>
      </c>
      <c r="B1660" s="2" t="s">
        <v>12069</v>
      </c>
      <c r="C1660" s="2">
        <v>2404040.0</v>
      </c>
      <c r="D1660" s="2" t="s">
        <v>12070</v>
      </c>
      <c r="E1660" s="2">
        <v>1000188.0</v>
      </c>
      <c r="F1660" s="2">
        <v>1666.0</v>
      </c>
      <c r="G1660" s="2">
        <v>10738.0</v>
      </c>
      <c r="H1660" s="2" t="s">
        <v>5906</v>
      </c>
      <c r="I1660" s="2" t="s">
        <v>5906</v>
      </c>
      <c r="K1660" s="2" t="s">
        <v>12071</v>
      </c>
      <c r="L1660" s="10" t="s">
        <v>12072</v>
      </c>
    </row>
    <row r="1661">
      <c r="A1661" s="2" t="s">
        <v>5319</v>
      </c>
      <c r="B1661" s="2" t="s">
        <v>12073</v>
      </c>
      <c r="C1661" s="2">
        <v>2.0374156E7</v>
      </c>
      <c r="E1661" s="2">
        <v>29438.0</v>
      </c>
      <c r="F1661" s="2">
        <v>1874.0</v>
      </c>
      <c r="G1661" s="2">
        <v>2080.0</v>
      </c>
      <c r="H1661" s="2" t="s">
        <v>5905</v>
      </c>
      <c r="I1661" s="2" t="s">
        <v>5905</v>
      </c>
      <c r="J1661" s="2" t="s">
        <v>6124</v>
      </c>
      <c r="K1661" s="2" t="s">
        <v>12074</v>
      </c>
    </row>
    <row r="1662">
      <c r="A1662" s="2" t="s">
        <v>5271</v>
      </c>
      <c r="B1662" s="2" t="s">
        <v>12075</v>
      </c>
      <c r="C1662" s="2">
        <v>5.4052706E7</v>
      </c>
      <c r="D1662" s="2" t="s">
        <v>5271</v>
      </c>
      <c r="E1662" s="2">
        <v>6092273.0</v>
      </c>
      <c r="F1662" s="2">
        <v>299.0</v>
      </c>
      <c r="G1662" s="2">
        <v>9334.0</v>
      </c>
      <c r="H1662" s="2" t="s">
        <v>5906</v>
      </c>
      <c r="I1662" s="2" t="s">
        <v>5906</v>
      </c>
      <c r="J1662" s="2" t="s">
        <v>5911</v>
      </c>
      <c r="K1662" s="2" t="s">
        <v>12076</v>
      </c>
      <c r="L1662" s="10" t="s">
        <v>12077</v>
      </c>
    </row>
    <row r="1663">
      <c r="A1663" s="2" t="s">
        <v>5271</v>
      </c>
      <c r="B1663" s="2" t="s">
        <v>12078</v>
      </c>
      <c r="C1663" s="2">
        <v>2.050987798E9</v>
      </c>
      <c r="D1663" s="2" t="s">
        <v>5271</v>
      </c>
      <c r="E1663" s="2">
        <v>455120.0</v>
      </c>
      <c r="F1663" s="2">
        <v>799.0</v>
      </c>
      <c r="G1663" s="2">
        <v>69254.0</v>
      </c>
      <c r="H1663" s="2" t="s">
        <v>5906</v>
      </c>
      <c r="I1663" s="2" t="s">
        <v>5906</v>
      </c>
      <c r="J1663" s="2" t="s">
        <v>5517</v>
      </c>
      <c r="K1663" s="2" t="s">
        <v>12079</v>
      </c>
      <c r="L1663" s="10" t="s">
        <v>12080</v>
      </c>
    </row>
    <row r="1664">
      <c r="A1664" s="2" t="s">
        <v>5271</v>
      </c>
      <c r="B1664" s="2" t="s">
        <v>12081</v>
      </c>
      <c r="C1664" s="2">
        <v>5.6166906761E10</v>
      </c>
      <c r="D1664" s="2" t="s">
        <v>12082</v>
      </c>
      <c r="E1664" s="2">
        <v>14307.0</v>
      </c>
      <c r="F1664" s="2">
        <v>65.0</v>
      </c>
      <c r="G1664" s="2">
        <v>648.0</v>
      </c>
      <c r="H1664" s="2" t="s">
        <v>5905</v>
      </c>
      <c r="I1664" s="2" t="s">
        <v>5905</v>
      </c>
      <c r="J1664" s="2" t="s">
        <v>12083</v>
      </c>
      <c r="K1664" s="2" t="s">
        <v>12084</v>
      </c>
      <c r="L1664" s="10" t="s">
        <v>12085</v>
      </c>
    </row>
    <row r="1665">
      <c r="A1665" s="2" t="s">
        <v>5271</v>
      </c>
      <c r="B1665" s="2" t="s">
        <v>12086</v>
      </c>
      <c r="C1665" s="2">
        <v>1.738468407E9</v>
      </c>
      <c r="D1665" s="2" t="s">
        <v>12087</v>
      </c>
      <c r="E1665" s="2">
        <v>673096.0</v>
      </c>
      <c r="F1665" s="2">
        <v>224.0</v>
      </c>
      <c r="G1665" s="2">
        <v>4821.0</v>
      </c>
      <c r="H1665" s="2" t="s">
        <v>5906</v>
      </c>
      <c r="I1665" s="2" t="s">
        <v>5906</v>
      </c>
      <c r="K1665" s="2" t="s">
        <v>12088</v>
      </c>
      <c r="L1665" s="10" t="s">
        <v>12089</v>
      </c>
    </row>
    <row r="1666">
      <c r="A1666" s="2" t="s">
        <v>5271</v>
      </c>
      <c r="B1666" s="2" t="s">
        <v>12090</v>
      </c>
      <c r="C1666" s="2">
        <v>4.3886750941E10</v>
      </c>
      <c r="D1666" s="2" t="s">
        <v>12091</v>
      </c>
      <c r="E1666" s="2">
        <v>75963.0</v>
      </c>
      <c r="F1666" s="2">
        <v>989.0</v>
      </c>
      <c r="G1666" s="2">
        <v>1024.0</v>
      </c>
      <c r="H1666" s="2" t="s">
        <v>5906</v>
      </c>
      <c r="I1666" s="2" t="s">
        <v>5905</v>
      </c>
      <c r="J1666" s="2" t="s">
        <v>5959</v>
      </c>
      <c r="K1666" s="2" t="s">
        <v>12092</v>
      </c>
      <c r="L1666" s="10" t="s">
        <v>12093</v>
      </c>
    </row>
    <row r="1667">
      <c r="A1667" s="2" t="s">
        <v>5479</v>
      </c>
      <c r="B1667" s="2" t="s">
        <v>12094</v>
      </c>
      <c r="C1667" s="2">
        <v>1.32601879E9</v>
      </c>
      <c r="D1667" s="2" t="s">
        <v>5479</v>
      </c>
      <c r="E1667" s="2">
        <v>3659563.0</v>
      </c>
      <c r="F1667" s="2">
        <v>26.0</v>
      </c>
      <c r="G1667" s="2">
        <v>9719.0</v>
      </c>
      <c r="H1667" s="2" t="s">
        <v>5906</v>
      </c>
      <c r="I1667" s="2" t="s">
        <v>5906</v>
      </c>
      <c r="J1667" s="2" t="s">
        <v>5907</v>
      </c>
      <c r="K1667" s="2" t="s">
        <v>12095</v>
      </c>
      <c r="L1667" s="10" t="s">
        <v>12096</v>
      </c>
    </row>
    <row r="1668">
      <c r="A1668" s="2" t="s">
        <v>5479</v>
      </c>
      <c r="B1668" s="2" t="s">
        <v>12097</v>
      </c>
      <c r="C1668" s="2">
        <v>7.4195906087E10</v>
      </c>
      <c r="D1668" s="2" t="s">
        <v>12098</v>
      </c>
      <c r="E1668" s="2">
        <v>11536.0</v>
      </c>
      <c r="F1668" s="2">
        <v>17.0</v>
      </c>
      <c r="G1668" s="2">
        <v>259.0</v>
      </c>
      <c r="H1668" s="2" t="s">
        <v>5905</v>
      </c>
      <c r="I1668" s="2" t="s">
        <v>5905</v>
      </c>
      <c r="J1668" s="2" t="s">
        <v>5561</v>
      </c>
      <c r="K1668" s="2" t="s">
        <v>12099</v>
      </c>
    </row>
    <row r="1669">
      <c r="A1669" s="2" t="s">
        <v>5479</v>
      </c>
      <c r="B1669" s="2" t="s">
        <v>12100</v>
      </c>
      <c r="C1669" s="2">
        <v>6.1258434026E10</v>
      </c>
      <c r="D1669" s="2" t="s">
        <v>12101</v>
      </c>
      <c r="E1669" s="2">
        <v>65541.0</v>
      </c>
      <c r="F1669" s="2">
        <v>66.0</v>
      </c>
      <c r="G1669" s="2">
        <v>1306.0</v>
      </c>
      <c r="H1669" s="2" t="s">
        <v>5905</v>
      </c>
      <c r="I1669" s="2" t="s">
        <v>5905</v>
      </c>
      <c r="J1669" s="2" t="s">
        <v>5561</v>
      </c>
      <c r="K1669" s="2" t="s">
        <v>12102</v>
      </c>
      <c r="L1669" s="10" t="s">
        <v>12103</v>
      </c>
    </row>
    <row r="1670">
      <c r="A1670" s="2" t="s">
        <v>5479</v>
      </c>
      <c r="B1670" s="2" t="s">
        <v>12104</v>
      </c>
      <c r="C1670" s="2">
        <v>1.2896864197E10</v>
      </c>
      <c r="D1670" s="2" t="s">
        <v>12105</v>
      </c>
      <c r="E1670" s="2">
        <v>87862.0</v>
      </c>
      <c r="F1670" s="2">
        <v>46.0</v>
      </c>
      <c r="G1670" s="2">
        <v>298.0</v>
      </c>
      <c r="H1670" s="2" t="s">
        <v>5905</v>
      </c>
      <c r="I1670" s="2" t="s">
        <v>5905</v>
      </c>
      <c r="J1670" s="2" t="s">
        <v>7689</v>
      </c>
      <c r="K1670" s="2" t="s">
        <v>12106</v>
      </c>
      <c r="L1670" s="10" t="s">
        <v>12107</v>
      </c>
    </row>
    <row r="1671">
      <c r="A1671" s="2" t="s">
        <v>5479</v>
      </c>
      <c r="B1671" s="2" t="s">
        <v>12108</v>
      </c>
      <c r="C1671" s="2">
        <v>2.8604211077E10</v>
      </c>
      <c r="D1671" s="2" t="s">
        <v>12109</v>
      </c>
      <c r="E1671" s="2">
        <v>737674.0</v>
      </c>
      <c r="F1671" s="2">
        <v>1.0</v>
      </c>
      <c r="G1671" s="2">
        <v>1246.0</v>
      </c>
      <c r="H1671" s="2" t="s">
        <v>5905</v>
      </c>
      <c r="I1671" s="2" t="s">
        <v>5905</v>
      </c>
      <c r="J1671" s="2" t="s">
        <v>5928</v>
      </c>
      <c r="K1671" s="2" t="s">
        <v>12110</v>
      </c>
      <c r="L1671" s="10" t="s">
        <v>12111</v>
      </c>
    </row>
    <row r="1672">
      <c r="A1672" s="2" t="s">
        <v>5347</v>
      </c>
      <c r="B1672" s="2" t="s">
        <v>12112</v>
      </c>
      <c r="C1672" s="2">
        <v>7.2133747334E10</v>
      </c>
      <c r="D1672" s="2" t="s">
        <v>12113</v>
      </c>
      <c r="E1672" s="2">
        <v>10565.0</v>
      </c>
      <c r="F1672" s="2">
        <v>231.0</v>
      </c>
      <c r="G1672" s="2">
        <v>681.0</v>
      </c>
      <c r="H1672" s="2" t="s">
        <v>5906</v>
      </c>
      <c r="I1672" s="2" t="s">
        <v>5905</v>
      </c>
      <c r="J1672" s="2" t="s">
        <v>5911</v>
      </c>
      <c r="K1672" s="2" t="s">
        <v>12114</v>
      </c>
      <c r="L1672" s="10" t="s">
        <v>12115</v>
      </c>
    </row>
    <row r="1673">
      <c r="A1673" s="2" t="s">
        <v>5347</v>
      </c>
      <c r="B1673" s="2" t="s">
        <v>12116</v>
      </c>
      <c r="C1673" s="2">
        <v>6.8531077919E10</v>
      </c>
      <c r="D1673" s="2" t="s">
        <v>12117</v>
      </c>
      <c r="E1673" s="2">
        <v>99546.0</v>
      </c>
      <c r="F1673" s="2">
        <v>5.0</v>
      </c>
      <c r="G1673" s="2">
        <v>1635.0</v>
      </c>
      <c r="H1673" s="2" t="s">
        <v>5906</v>
      </c>
      <c r="I1673" s="2" t="s">
        <v>5906</v>
      </c>
      <c r="J1673" s="2" t="s">
        <v>5489</v>
      </c>
      <c r="K1673" s="2" t="s">
        <v>12118</v>
      </c>
      <c r="L1673" s="10" t="s">
        <v>12119</v>
      </c>
    </row>
    <row r="1674">
      <c r="A1674" s="2" t="s">
        <v>5347</v>
      </c>
      <c r="B1674" s="10" t="s">
        <v>12120</v>
      </c>
      <c r="C1674" s="2">
        <v>5.8343216877E10</v>
      </c>
      <c r="D1674" s="2" t="s">
        <v>12121</v>
      </c>
      <c r="E1674" s="2">
        <v>35375.0</v>
      </c>
      <c r="F1674" s="2">
        <v>478.0</v>
      </c>
      <c r="G1674" s="2">
        <v>2330.0</v>
      </c>
      <c r="H1674" s="2" t="s">
        <v>5906</v>
      </c>
      <c r="I1674" s="2" t="s">
        <v>5906</v>
      </c>
      <c r="J1674" s="2" t="s">
        <v>5485</v>
      </c>
      <c r="K1674" s="2" t="s">
        <v>12122</v>
      </c>
      <c r="L1674" s="10" t="s">
        <v>12123</v>
      </c>
    </row>
    <row r="1675">
      <c r="A1675" s="2" t="s">
        <v>5269</v>
      </c>
      <c r="B1675" s="2" t="s">
        <v>12124</v>
      </c>
      <c r="C1675" s="2">
        <v>2.009786105E9</v>
      </c>
      <c r="D1675" s="2" t="s">
        <v>12125</v>
      </c>
      <c r="E1675" s="2">
        <v>368692.0</v>
      </c>
      <c r="F1675" s="2">
        <v>103.0</v>
      </c>
      <c r="G1675" s="2">
        <v>1650.0</v>
      </c>
      <c r="H1675" s="2" t="s">
        <v>5906</v>
      </c>
      <c r="I1675" s="2" t="s">
        <v>5906</v>
      </c>
      <c r="K1675" s="2" t="s">
        <v>12126</v>
      </c>
      <c r="L1675" s="10" t="s">
        <v>12127</v>
      </c>
    </row>
    <row r="1676">
      <c r="A1676" s="2" t="s">
        <v>5269</v>
      </c>
      <c r="B1676" s="2" t="s">
        <v>12128</v>
      </c>
      <c r="C1676" s="2">
        <v>5.2289960483E10</v>
      </c>
      <c r="D1676" s="2" t="s">
        <v>12129</v>
      </c>
      <c r="E1676" s="2">
        <v>69315.0</v>
      </c>
      <c r="F1676" s="2">
        <v>16.0</v>
      </c>
      <c r="G1676" s="2">
        <v>49.0</v>
      </c>
      <c r="H1676" s="2" t="s">
        <v>5906</v>
      </c>
      <c r="I1676" s="2" t="s">
        <v>5906</v>
      </c>
      <c r="J1676" s="2" t="s">
        <v>5911</v>
      </c>
      <c r="K1676" s="2" t="s">
        <v>12130</v>
      </c>
      <c r="L1676" s="10" t="s">
        <v>12131</v>
      </c>
    </row>
    <row r="1677">
      <c r="A1677" s="2" t="s">
        <v>5269</v>
      </c>
      <c r="B1677" s="2" t="s">
        <v>12132</v>
      </c>
      <c r="C1677" s="2">
        <v>1.624593034E9</v>
      </c>
      <c r="D1677" s="2" t="s">
        <v>5269</v>
      </c>
      <c r="E1677" s="2">
        <v>1.9427102E7</v>
      </c>
      <c r="F1677" s="2">
        <v>619.0</v>
      </c>
      <c r="G1677" s="2">
        <v>21837.0</v>
      </c>
      <c r="H1677" s="2" t="s">
        <v>5906</v>
      </c>
      <c r="I1677" s="2" t="s">
        <v>5906</v>
      </c>
      <c r="K1677" s="2" t="s">
        <v>12133</v>
      </c>
      <c r="L1677" s="10" t="s">
        <v>12134</v>
      </c>
    </row>
    <row r="1678">
      <c r="A1678" s="2" t="s">
        <v>5269</v>
      </c>
      <c r="B1678" s="2" t="s">
        <v>12135</v>
      </c>
      <c r="C1678" s="2">
        <v>5.441162877E9</v>
      </c>
      <c r="D1678" s="2" t="s">
        <v>12136</v>
      </c>
      <c r="E1678" s="2">
        <v>26993.0</v>
      </c>
      <c r="F1678" s="2">
        <v>63.0</v>
      </c>
      <c r="G1678" s="2">
        <v>159.0</v>
      </c>
      <c r="H1678" s="2" t="s">
        <v>5906</v>
      </c>
      <c r="I1678" s="2" t="s">
        <v>5906</v>
      </c>
      <c r="K1678" s="2" t="s">
        <v>12137</v>
      </c>
      <c r="L1678" s="10" t="s">
        <v>12138</v>
      </c>
    </row>
    <row r="1679">
      <c r="A1679" s="2" t="s">
        <v>5269</v>
      </c>
      <c r="B1679" s="2" t="s">
        <v>12139</v>
      </c>
      <c r="C1679" s="2">
        <v>3.3777516779E10</v>
      </c>
      <c r="D1679" s="2" t="s">
        <v>12140</v>
      </c>
      <c r="E1679" s="2">
        <v>85334.0</v>
      </c>
      <c r="F1679" s="2">
        <v>166.0</v>
      </c>
      <c r="G1679" s="2">
        <v>557.0</v>
      </c>
      <c r="H1679" s="2" t="s">
        <v>5906</v>
      </c>
      <c r="I1679" s="2" t="s">
        <v>5906</v>
      </c>
      <c r="J1679" s="2" t="s">
        <v>5517</v>
      </c>
      <c r="K1679" s="2" t="s">
        <v>12141</v>
      </c>
      <c r="L1679" s="10" t="s">
        <v>12142</v>
      </c>
    </row>
    <row r="1680">
      <c r="A1680" s="2" t="s">
        <v>5269</v>
      </c>
      <c r="B1680" s="2" t="s">
        <v>12143</v>
      </c>
      <c r="C1680" s="2">
        <v>2.27557799E9</v>
      </c>
      <c r="D1680" s="2" t="s">
        <v>12144</v>
      </c>
      <c r="E1680" s="2">
        <v>551893.0</v>
      </c>
      <c r="F1680" s="2">
        <v>555.0</v>
      </c>
      <c r="G1680" s="2">
        <v>3436.0</v>
      </c>
      <c r="H1680" s="2" t="s">
        <v>5906</v>
      </c>
      <c r="I1680" s="2" t="s">
        <v>5906</v>
      </c>
      <c r="J1680" s="2" t="s">
        <v>5518</v>
      </c>
      <c r="K1680" s="2" t="s">
        <v>12145</v>
      </c>
      <c r="L1680" s="10" t="s">
        <v>12146</v>
      </c>
    </row>
    <row r="1681">
      <c r="A1681" s="2" t="s">
        <v>5380</v>
      </c>
      <c r="B1681" s="2" t="s">
        <v>12147</v>
      </c>
      <c r="C1681" s="2">
        <v>3.0264812E8</v>
      </c>
      <c r="D1681" s="2" t="s">
        <v>12148</v>
      </c>
      <c r="E1681" s="2">
        <v>969236.0</v>
      </c>
      <c r="F1681" s="2">
        <v>630.0</v>
      </c>
      <c r="G1681" s="2">
        <v>11508.0</v>
      </c>
      <c r="H1681" s="2" t="s">
        <v>5906</v>
      </c>
      <c r="I1681" s="2" t="s">
        <v>5906</v>
      </c>
      <c r="J1681" s="2" t="s">
        <v>5911</v>
      </c>
      <c r="K1681" s="2" t="s">
        <v>12149</v>
      </c>
      <c r="L1681" s="10" t="s">
        <v>12150</v>
      </c>
    </row>
    <row r="1682">
      <c r="A1682" s="2" t="s">
        <v>5273</v>
      </c>
      <c r="B1682" s="2" t="s">
        <v>12151</v>
      </c>
      <c r="C1682" s="2">
        <v>3.17756021E8</v>
      </c>
      <c r="D1682" s="2" t="s">
        <v>5273</v>
      </c>
      <c r="E1682" s="2">
        <v>1292464.0</v>
      </c>
      <c r="F1682" s="2">
        <v>128.0</v>
      </c>
      <c r="G1682" s="2">
        <v>18930.0</v>
      </c>
      <c r="H1682" s="2" t="s">
        <v>5906</v>
      </c>
      <c r="I1682" s="2" t="s">
        <v>5906</v>
      </c>
      <c r="K1682" s="2" t="s">
        <v>12152</v>
      </c>
      <c r="L1682" s="10" t="s">
        <v>12153</v>
      </c>
    </row>
    <row r="1683">
      <c r="A1683" s="2" t="s">
        <v>5273</v>
      </c>
      <c r="B1683" s="2" t="s">
        <v>12154</v>
      </c>
      <c r="C1683" s="2">
        <v>7.815271722E9</v>
      </c>
      <c r="D1683" s="2" t="s">
        <v>5273</v>
      </c>
      <c r="E1683" s="2">
        <v>130845.0</v>
      </c>
      <c r="F1683" s="2">
        <v>29.0</v>
      </c>
      <c r="G1683" s="2">
        <v>14494.0</v>
      </c>
      <c r="H1683" s="2" t="s">
        <v>5906</v>
      </c>
      <c r="I1683" s="2" t="s">
        <v>5905</v>
      </c>
      <c r="J1683" s="2" t="s">
        <v>5911</v>
      </c>
      <c r="K1683" s="2" t="s">
        <v>12155</v>
      </c>
      <c r="L1683" s="10" t="s">
        <v>12156</v>
      </c>
    </row>
    <row r="1684">
      <c r="A1684" s="2" t="s">
        <v>5273</v>
      </c>
      <c r="B1684" s="2" t="s">
        <v>12157</v>
      </c>
      <c r="C1684" s="2">
        <v>6.9020359951E10</v>
      </c>
      <c r="D1684" s="2" t="s">
        <v>12158</v>
      </c>
      <c r="E1684" s="2">
        <v>11570.0</v>
      </c>
      <c r="F1684" s="2">
        <v>7.0</v>
      </c>
      <c r="G1684" s="2">
        <v>37.0</v>
      </c>
      <c r="H1684" s="2" t="s">
        <v>5905</v>
      </c>
      <c r="I1684" s="2" t="s">
        <v>5906</v>
      </c>
      <c r="J1684" s="2" t="s">
        <v>7296</v>
      </c>
      <c r="K1684" s="2" t="s">
        <v>12159</v>
      </c>
      <c r="L1684" s="10" t="s">
        <v>12160</v>
      </c>
    </row>
    <row r="1685">
      <c r="A1685" s="2" t="s">
        <v>5273</v>
      </c>
      <c r="B1685" s="2" t="s">
        <v>12161</v>
      </c>
      <c r="C1685" s="2">
        <v>6.3579415025E10</v>
      </c>
      <c r="D1685" s="2" t="s">
        <v>12162</v>
      </c>
      <c r="E1685" s="2">
        <v>10448.0</v>
      </c>
      <c r="F1685" s="2">
        <v>11.0</v>
      </c>
      <c r="G1685" s="2">
        <v>102.0</v>
      </c>
      <c r="H1685" s="2" t="s">
        <v>5905</v>
      </c>
      <c r="I1685" s="2" t="s">
        <v>5905</v>
      </c>
      <c r="J1685" s="2" t="s">
        <v>11977</v>
      </c>
      <c r="L1685" s="10" t="s">
        <v>12163</v>
      </c>
    </row>
    <row r="1686">
      <c r="A1686" s="2" t="s">
        <v>5272</v>
      </c>
      <c r="B1686" s="2" t="s">
        <v>12164</v>
      </c>
      <c r="C1686" s="2">
        <v>1.627481189E9</v>
      </c>
      <c r="D1686" s="2" t="s">
        <v>12165</v>
      </c>
      <c r="E1686" s="2">
        <v>2686013.0</v>
      </c>
      <c r="F1686" s="2">
        <v>11.0</v>
      </c>
      <c r="G1686" s="2">
        <v>138952.0</v>
      </c>
      <c r="H1686" s="2" t="s">
        <v>5906</v>
      </c>
      <c r="I1686" s="2" t="s">
        <v>5906</v>
      </c>
      <c r="J1686" s="2" t="s">
        <v>5911</v>
      </c>
      <c r="K1686" s="2" t="s">
        <v>12166</v>
      </c>
      <c r="L1686" s="10" t="s">
        <v>12167</v>
      </c>
    </row>
    <row r="1687">
      <c r="A1687" s="2" t="s">
        <v>5272</v>
      </c>
      <c r="B1687" s="2" t="s">
        <v>12168</v>
      </c>
      <c r="C1687" s="2">
        <v>2.24726643E8</v>
      </c>
      <c r="D1687" s="2" t="s">
        <v>12169</v>
      </c>
      <c r="E1687" s="2">
        <v>334813.0</v>
      </c>
      <c r="F1687" s="2">
        <v>1708.0</v>
      </c>
      <c r="G1687" s="2">
        <v>18930.0</v>
      </c>
      <c r="H1687" s="2" t="s">
        <v>5906</v>
      </c>
      <c r="I1687" s="2" t="s">
        <v>5906</v>
      </c>
      <c r="J1687" s="2" t="s">
        <v>5907</v>
      </c>
      <c r="K1687" s="2" t="s">
        <v>12170</v>
      </c>
      <c r="L1687" s="10" t="s">
        <v>12171</v>
      </c>
    </row>
    <row r="1688">
      <c r="A1688" s="2" t="s">
        <v>5272</v>
      </c>
      <c r="B1688" s="2" t="s">
        <v>12132</v>
      </c>
      <c r="C1688" s="2">
        <v>1.624593034E9</v>
      </c>
      <c r="D1688" s="2" t="s">
        <v>5269</v>
      </c>
      <c r="E1688" s="2">
        <v>1.9427108E7</v>
      </c>
      <c r="F1688" s="2">
        <v>619.0</v>
      </c>
      <c r="G1688" s="2">
        <v>21837.0</v>
      </c>
      <c r="H1688" s="2" t="s">
        <v>5906</v>
      </c>
      <c r="I1688" s="2" t="s">
        <v>5906</v>
      </c>
      <c r="K1688" s="2" t="s">
        <v>12133</v>
      </c>
      <c r="L1688" s="10" t="s">
        <v>12134</v>
      </c>
    </row>
    <row r="1689">
      <c r="A1689" s="2" t="s">
        <v>5272</v>
      </c>
      <c r="B1689" s="2" t="s">
        <v>12172</v>
      </c>
      <c r="C1689" s="2">
        <v>1.013113066E9</v>
      </c>
      <c r="D1689" s="2" t="s">
        <v>12173</v>
      </c>
      <c r="E1689" s="2">
        <v>1257776.0</v>
      </c>
      <c r="F1689" s="2">
        <v>640.0</v>
      </c>
      <c r="G1689" s="2">
        <v>12829.0</v>
      </c>
      <c r="H1689" s="2" t="s">
        <v>5906</v>
      </c>
      <c r="I1689" s="2" t="s">
        <v>5906</v>
      </c>
      <c r="J1689" s="2" t="s">
        <v>5480</v>
      </c>
      <c r="K1689" s="2" t="s">
        <v>12174</v>
      </c>
      <c r="L1689" s="10" t="s">
        <v>12175</v>
      </c>
    </row>
    <row r="1690">
      <c r="A1690" s="2" t="s">
        <v>5272</v>
      </c>
      <c r="B1690" s="2" t="s">
        <v>12176</v>
      </c>
      <c r="C1690" s="2">
        <v>4.023762476E9</v>
      </c>
      <c r="D1690" s="2" t="s">
        <v>12177</v>
      </c>
      <c r="E1690" s="2">
        <v>21093.0</v>
      </c>
      <c r="F1690" s="2">
        <v>85.0</v>
      </c>
      <c r="G1690" s="2">
        <v>918.0</v>
      </c>
      <c r="H1690" s="2" t="s">
        <v>5906</v>
      </c>
      <c r="I1690" s="2" t="s">
        <v>5905</v>
      </c>
      <c r="J1690" s="2" t="s">
        <v>6124</v>
      </c>
      <c r="K1690" s="2" t="s">
        <v>12178</v>
      </c>
      <c r="L1690" s="10" t="s">
        <v>12179</v>
      </c>
    </row>
    <row r="1691">
      <c r="A1691" s="2" t="s">
        <v>5272</v>
      </c>
      <c r="B1691" s="2" t="s">
        <v>12180</v>
      </c>
      <c r="C1691" s="2">
        <v>1.46065453E9</v>
      </c>
      <c r="D1691" s="2" t="s">
        <v>12181</v>
      </c>
      <c r="E1691" s="2">
        <v>77563.0</v>
      </c>
      <c r="F1691" s="2">
        <v>1749.0</v>
      </c>
      <c r="G1691" s="2">
        <v>223.0</v>
      </c>
      <c r="H1691" s="2" t="s">
        <v>5905</v>
      </c>
      <c r="I1691" s="2" t="s">
        <v>5906</v>
      </c>
      <c r="J1691" s="2" t="s">
        <v>5480</v>
      </c>
      <c r="K1691" s="2" t="s">
        <v>12182</v>
      </c>
      <c r="L1691" s="10" t="s">
        <v>12183</v>
      </c>
    </row>
    <row r="1692">
      <c r="A1692" s="2" t="s">
        <v>5272</v>
      </c>
      <c r="B1692" s="10" t="s">
        <v>12184</v>
      </c>
      <c r="C1692" s="2">
        <v>4.86077089E10</v>
      </c>
      <c r="D1692" s="2" t="s">
        <v>5272</v>
      </c>
      <c r="E1692" s="2">
        <v>82127.0</v>
      </c>
      <c r="F1692" s="2">
        <v>3.0</v>
      </c>
      <c r="G1692" s="2">
        <v>1190.0</v>
      </c>
      <c r="H1692" s="2" t="s">
        <v>5905</v>
      </c>
      <c r="I1692" s="2" t="s">
        <v>5905</v>
      </c>
      <c r="J1692" s="2" t="s">
        <v>5911</v>
      </c>
      <c r="K1692" s="2" t="s">
        <v>12185</v>
      </c>
    </row>
    <row r="1693">
      <c r="A1693" s="2" t="s">
        <v>5272</v>
      </c>
      <c r="B1693" s="2" t="s">
        <v>12186</v>
      </c>
      <c r="C1693" s="2">
        <v>1.691326988E9</v>
      </c>
      <c r="D1693" s="2" t="s">
        <v>12187</v>
      </c>
      <c r="E1693" s="2">
        <v>3607012.0</v>
      </c>
      <c r="F1693" s="2">
        <v>23.0</v>
      </c>
      <c r="G1693" s="2">
        <v>40135.0</v>
      </c>
      <c r="H1693" s="2" t="s">
        <v>5906</v>
      </c>
      <c r="I1693" s="2" t="s">
        <v>5906</v>
      </c>
      <c r="K1693" s="2" t="s">
        <v>12188</v>
      </c>
    </row>
    <row r="1694">
      <c r="A1694" s="2" t="s">
        <v>5272</v>
      </c>
      <c r="B1694" s="2" t="s">
        <v>12189</v>
      </c>
      <c r="C1694" s="2">
        <v>2.20180398E8</v>
      </c>
      <c r="D1694" s="2" t="s">
        <v>12190</v>
      </c>
      <c r="E1694" s="2">
        <v>195748.0</v>
      </c>
      <c r="F1694" s="2">
        <v>2273.0</v>
      </c>
      <c r="G1694" s="2">
        <v>7787.0</v>
      </c>
      <c r="H1694" s="2" t="s">
        <v>5906</v>
      </c>
      <c r="I1694" s="2" t="s">
        <v>5906</v>
      </c>
      <c r="J1694" s="2" t="s">
        <v>5491</v>
      </c>
      <c r="K1694" s="2" t="s">
        <v>12191</v>
      </c>
      <c r="L1694" s="10" t="s">
        <v>12192</v>
      </c>
    </row>
    <row r="1695">
      <c r="A1695" s="2" t="s">
        <v>5306</v>
      </c>
      <c r="B1695" s="2" t="s">
        <v>12193</v>
      </c>
      <c r="C1695" s="2">
        <v>7.419591364E9</v>
      </c>
      <c r="D1695" s="2" t="s">
        <v>12194</v>
      </c>
      <c r="E1695" s="2">
        <v>64089.0</v>
      </c>
      <c r="F1695" s="2">
        <v>43.0</v>
      </c>
      <c r="G1695" s="2">
        <v>695.0</v>
      </c>
      <c r="H1695" s="2" t="s">
        <v>5906</v>
      </c>
      <c r="I1695" s="2" t="s">
        <v>5906</v>
      </c>
      <c r="J1695" s="2" t="s">
        <v>4404</v>
      </c>
      <c r="K1695" s="2" t="s">
        <v>12195</v>
      </c>
      <c r="L1695" s="10" t="s">
        <v>12196</v>
      </c>
    </row>
    <row r="1696">
      <c r="A1696" s="2" t="s">
        <v>5306</v>
      </c>
      <c r="B1696" s="2" t="s">
        <v>12197</v>
      </c>
      <c r="C1696" s="2">
        <v>1.2484106566E10</v>
      </c>
      <c r="D1696" s="2" t="s">
        <v>12197</v>
      </c>
      <c r="E1696" s="2">
        <v>13992.0</v>
      </c>
      <c r="F1696" s="2">
        <v>3.0</v>
      </c>
      <c r="G1696" s="2">
        <v>260.0</v>
      </c>
      <c r="H1696" s="2" t="s">
        <v>5905</v>
      </c>
      <c r="I1696" s="2" t="s">
        <v>5906</v>
      </c>
      <c r="J1696" s="2" t="s">
        <v>6027</v>
      </c>
      <c r="K1696" s="2" t="s">
        <v>12198</v>
      </c>
      <c r="L1696" s="10" t="s">
        <v>12199</v>
      </c>
    </row>
    <row r="1697">
      <c r="A1697" s="2" t="s">
        <v>5306</v>
      </c>
      <c r="B1697" s="2" t="s">
        <v>12200</v>
      </c>
      <c r="C1697" s="2">
        <v>2.14647329E8</v>
      </c>
      <c r="D1697" s="2" t="s">
        <v>5306</v>
      </c>
      <c r="E1697" s="2">
        <v>1639501.0</v>
      </c>
      <c r="F1697" s="2">
        <v>190.0</v>
      </c>
      <c r="G1697" s="2">
        <v>5058.0</v>
      </c>
      <c r="H1697" s="2" t="s">
        <v>5906</v>
      </c>
      <c r="I1697" s="2" t="s">
        <v>5906</v>
      </c>
      <c r="K1697" s="2" t="s">
        <v>12201</v>
      </c>
      <c r="L1697" s="10" t="s">
        <v>12202</v>
      </c>
    </row>
    <row r="1698">
      <c r="A1698" s="2" t="s">
        <v>5268</v>
      </c>
      <c r="B1698" s="2" t="s">
        <v>12203</v>
      </c>
      <c r="C1698" s="2">
        <v>1.8133069E7</v>
      </c>
      <c r="D1698" s="2" t="s">
        <v>5268</v>
      </c>
      <c r="E1698" s="2">
        <v>5463667.0</v>
      </c>
      <c r="F1698" s="2">
        <v>197.0</v>
      </c>
      <c r="G1698" s="2">
        <v>7877.0</v>
      </c>
      <c r="H1698" s="2" t="s">
        <v>5906</v>
      </c>
      <c r="I1698" s="2" t="s">
        <v>5906</v>
      </c>
      <c r="J1698" s="2" t="s">
        <v>5911</v>
      </c>
      <c r="K1698" s="2" t="s">
        <v>12204</v>
      </c>
      <c r="L1698" s="10" t="s">
        <v>12205</v>
      </c>
    </row>
    <row r="1699">
      <c r="A1699" s="2" t="s">
        <v>5270</v>
      </c>
      <c r="B1699" s="2" t="s">
        <v>10846</v>
      </c>
      <c r="C1699" s="2">
        <v>2754610.0</v>
      </c>
      <c r="D1699" s="2" t="s">
        <v>5270</v>
      </c>
      <c r="E1699" s="2">
        <v>7117512.0</v>
      </c>
      <c r="F1699" s="2">
        <v>186.0</v>
      </c>
      <c r="G1699" s="2">
        <v>23404.0</v>
      </c>
      <c r="H1699" s="2" t="s">
        <v>5906</v>
      </c>
      <c r="I1699" s="2" t="s">
        <v>5906</v>
      </c>
      <c r="J1699" s="2" t="s">
        <v>5517</v>
      </c>
      <c r="K1699" s="2" t="s">
        <v>10847</v>
      </c>
      <c r="L1699" s="10" t="s">
        <v>10848</v>
      </c>
    </row>
    <row r="1700">
      <c r="A1700" s="2" t="s">
        <v>5270</v>
      </c>
      <c r="B1700" s="2" t="s">
        <v>12206</v>
      </c>
      <c r="C1700" s="2">
        <v>1.908873583E9</v>
      </c>
      <c r="D1700" s="2" t="s">
        <v>12207</v>
      </c>
      <c r="E1700" s="2">
        <v>23066.0</v>
      </c>
      <c r="F1700" s="2">
        <v>334.0</v>
      </c>
      <c r="G1700" s="2">
        <v>1377.0</v>
      </c>
      <c r="H1700" s="2" t="s">
        <v>5906</v>
      </c>
      <c r="I1700" s="2" t="s">
        <v>5906</v>
      </c>
      <c r="J1700" s="2" t="s">
        <v>5911</v>
      </c>
      <c r="K1700" s="2" t="s">
        <v>12208</v>
      </c>
      <c r="L1700" s="10" t="s">
        <v>12209</v>
      </c>
    </row>
    <row r="1701">
      <c r="A1701" s="2" t="s">
        <v>5568</v>
      </c>
      <c r="B1701" s="2" t="s">
        <v>12210</v>
      </c>
      <c r="C1701" s="2">
        <v>5.6266464102E10</v>
      </c>
      <c r="D1701" s="2" t="s">
        <v>12211</v>
      </c>
      <c r="E1701" s="2">
        <v>2168977.0</v>
      </c>
      <c r="F1701" s="2">
        <v>27.0</v>
      </c>
      <c r="G1701" s="2">
        <v>1909.0</v>
      </c>
      <c r="H1701" s="2" t="s">
        <v>5905</v>
      </c>
      <c r="I1701" s="2" t="s">
        <v>5906</v>
      </c>
      <c r="J1701" s="2" t="s">
        <v>5959</v>
      </c>
      <c r="K1701" s="2" t="s">
        <v>12212</v>
      </c>
    </row>
    <row r="1702">
      <c r="A1702" s="2" t="s">
        <v>5568</v>
      </c>
      <c r="B1702" s="2" t="s">
        <v>12213</v>
      </c>
      <c r="C1702" s="2">
        <v>1.3104784526E10</v>
      </c>
      <c r="D1702" s="2" t="s">
        <v>12214</v>
      </c>
      <c r="E1702" s="2">
        <v>120732.0</v>
      </c>
      <c r="F1702" s="2">
        <v>1.0</v>
      </c>
      <c r="G1702" s="2">
        <v>1198.0</v>
      </c>
      <c r="H1702" s="2" t="s">
        <v>5905</v>
      </c>
      <c r="I1702" s="2" t="s">
        <v>5906</v>
      </c>
      <c r="J1702" s="2" t="s">
        <v>5561</v>
      </c>
      <c r="K1702" s="2" t="s">
        <v>12215</v>
      </c>
    </row>
    <row r="1703">
      <c r="A1703" s="2" t="s">
        <v>5568</v>
      </c>
      <c r="B1703" s="2" t="s">
        <v>12216</v>
      </c>
      <c r="C1703" s="2">
        <v>1.523104692E9</v>
      </c>
      <c r="D1703" s="2" t="s">
        <v>5568</v>
      </c>
      <c r="E1703" s="2">
        <v>2.5969713E7</v>
      </c>
      <c r="F1703" s="2">
        <v>1.0</v>
      </c>
      <c r="G1703" s="2">
        <v>2109.0</v>
      </c>
      <c r="H1703" s="2" t="s">
        <v>5906</v>
      </c>
      <c r="I1703" s="2" t="s">
        <v>5906</v>
      </c>
      <c r="J1703" s="2" t="s">
        <v>5959</v>
      </c>
      <c r="K1703" s="2" t="s">
        <v>12217</v>
      </c>
      <c r="L1703" s="10" t="s">
        <v>12218</v>
      </c>
    </row>
    <row r="1704">
      <c r="A1704" s="2" t="s">
        <v>5568</v>
      </c>
      <c r="B1704" s="2" t="s">
        <v>12219</v>
      </c>
      <c r="C1704" s="2">
        <v>2.887569856E9</v>
      </c>
      <c r="D1704" s="2" t="s">
        <v>12220</v>
      </c>
      <c r="E1704" s="2">
        <v>232873.0</v>
      </c>
      <c r="F1704" s="2">
        <v>39.0</v>
      </c>
      <c r="G1704" s="2">
        <v>1803.0</v>
      </c>
      <c r="H1704" s="2" t="s">
        <v>5905</v>
      </c>
      <c r="I1704" s="2" t="s">
        <v>5905</v>
      </c>
      <c r="J1704" s="2" t="s">
        <v>5480</v>
      </c>
      <c r="K1704" s="2" t="s">
        <v>12221</v>
      </c>
    </row>
    <row r="1705">
      <c r="A1705" s="2" t="s">
        <v>5568</v>
      </c>
      <c r="B1705" s="2" t="s">
        <v>12222</v>
      </c>
      <c r="C1705" s="2">
        <v>6.533619257E10</v>
      </c>
      <c r="E1705" s="2">
        <v>40638.0</v>
      </c>
      <c r="F1705" s="2">
        <v>28.0</v>
      </c>
      <c r="G1705" s="2">
        <v>19.0</v>
      </c>
      <c r="H1705" s="2" t="s">
        <v>5905</v>
      </c>
      <c r="I1705" s="2" t="s">
        <v>5905</v>
      </c>
      <c r="J1705" s="2" t="s">
        <v>5959</v>
      </c>
      <c r="K1705" s="2" t="s">
        <v>12223</v>
      </c>
      <c r="L1705" s="10" t="s">
        <v>12224</v>
      </c>
    </row>
    <row r="1706">
      <c r="A1706" s="2" t="s">
        <v>5568</v>
      </c>
      <c r="B1706" s="2" t="s">
        <v>12225</v>
      </c>
      <c r="C1706" s="2">
        <v>2.1489671344E10</v>
      </c>
      <c r="D1706" s="2" t="s">
        <v>12226</v>
      </c>
      <c r="E1706" s="2">
        <v>74312.0</v>
      </c>
      <c r="F1706" s="2">
        <v>117.0</v>
      </c>
      <c r="G1706" s="2">
        <v>1707.0</v>
      </c>
      <c r="H1706" s="2" t="s">
        <v>5905</v>
      </c>
      <c r="I1706" s="2" t="s">
        <v>5905</v>
      </c>
      <c r="J1706" s="2" t="s">
        <v>5928</v>
      </c>
      <c r="K1706" s="2" t="s">
        <v>12227</v>
      </c>
      <c r="L1706" s="10" t="s">
        <v>12228</v>
      </c>
    </row>
    <row r="1707">
      <c r="A1707" s="2" t="s">
        <v>5568</v>
      </c>
      <c r="B1707" s="2" t="s">
        <v>12229</v>
      </c>
      <c r="C1707" s="2">
        <v>5.1785260715E10</v>
      </c>
      <c r="D1707" s="2" t="s">
        <v>12230</v>
      </c>
      <c r="E1707" s="2">
        <v>469872.0</v>
      </c>
      <c r="F1707" s="2">
        <v>9.0</v>
      </c>
      <c r="G1707" s="2">
        <v>750.0</v>
      </c>
      <c r="H1707" s="2" t="s">
        <v>5905</v>
      </c>
      <c r="I1707" s="2" t="s">
        <v>5905</v>
      </c>
      <c r="J1707" s="2" t="s">
        <v>6393</v>
      </c>
      <c r="K1707" s="2" t="s">
        <v>12231</v>
      </c>
    </row>
    <row r="1708">
      <c r="A1708" s="2" t="s">
        <v>5568</v>
      </c>
      <c r="B1708" s="2" t="s">
        <v>12232</v>
      </c>
      <c r="C1708" s="2">
        <v>2.3383067097E10</v>
      </c>
      <c r="D1708" s="2" t="s">
        <v>12233</v>
      </c>
      <c r="E1708" s="2">
        <v>123377.0</v>
      </c>
      <c r="F1708" s="2">
        <v>276.0</v>
      </c>
      <c r="G1708" s="2">
        <v>832.0</v>
      </c>
      <c r="H1708" s="2" t="s">
        <v>5906</v>
      </c>
      <c r="I1708" s="2" t="s">
        <v>5906</v>
      </c>
      <c r="J1708" s="2" t="s">
        <v>5948</v>
      </c>
      <c r="K1708" s="2" t="s">
        <v>12234</v>
      </c>
      <c r="L1708" s="10" t="s">
        <v>12235</v>
      </c>
    </row>
    <row r="1709">
      <c r="A1709" s="2" t="s">
        <v>5568</v>
      </c>
      <c r="B1709" s="2" t="s">
        <v>12236</v>
      </c>
      <c r="C1709" s="2">
        <v>4.684098783E9</v>
      </c>
      <c r="D1709" s="2" t="s">
        <v>12237</v>
      </c>
      <c r="E1709" s="2">
        <v>3142322.0</v>
      </c>
      <c r="F1709" s="2">
        <v>98.0</v>
      </c>
      <c r="G1709" s="2">
        <v>2928.0</v>
      </c>
      <c r="H1709" s="2" t="s">
        <v>5906</v>
      </c>
      <c r="I1709" s="2" t="s">
        <v>5906</v>
      </c>
      <c r="K1709" s="2" t="s">
        <v>12238</v>
      </c>
      <c r="L1709" s="10" t="s">
        <v>12239</v>
      </c>
    </row>
    <row r="1710">
      <c r="A1710" s="2" t="s">
        <v>5568</v>
      </c>
      <c r="B1710" s="2" t="s">
        <v>12240</v>
      </c>
      <c r="C1710" s="2">
        <v>3.9239938111E10</v>
      </c>
      <c r="D1710" s="2" t="s">
        <v>12241</v>
      </c>
      <c r="E1710" s="2">
        <v>1363534.0</v>
      </c>
      <c r="F1710" s="2">
        <v>2428.0</v>
      </c>
      <c r="G1710" s="2">
        <v>2191.0</v>
      </c>
      <c r="H1710" s="2" t="s">
        <v>5906</v>
      </c>
      <c r="I1710" s="2" t="s">
        <v>5906</v>
      </c>
      <c r="J1710" s="2" t="s">
        <v>5928</v>
      </c>
      <c r="K1710" s="2" t="s">
        <v>12242</v>
      </c>
      <c r="L1710" s="10" t="s">
        <v>12243</v>
      </c>
    </row>
    <row r="1711">
      <c r="A1711" s="2" t="s">
        <v>5568</v>
      </c>
      <c r="B1711" s="2" t="s">
        <v>12244</v>
      </c>
      <c r="C1711" s="2">
        <v>2.8165200029E10</v>
      </c>
      <c r="D1711" s="2" t="s">
        <v>12245</v>
      </c>
      <c r="E1711" s="2">
        <v>507866.0</v>
      </c>
      <c r="F1711" s="2">
        <v>32.0</v>
      </c>
      <c r="G1711" s="2">
        <v>356.0</v>
      </c>
      <c r="H1711" s="2" t="s">
        <v>5905</v>
      </c>
      <c r="I1711" s="2" t="s">
        <v>5905</v>
      </c>
      <c r="J1711" s="2" t="s">
        <v>5928</v>
      </c>
      <c r="L1711" s="10" t="s">
        <v>12246</v>
      </c>
    </row>
    <row r="1712">
      <c r="A1712" s="2" t="s">
        <v>5568</v>
      </c>
      <c r="B1712" s="2" t="s">
        <v>12247</v>
      </c>
      <c r="C1712" s="2">
        <v>4.0181251965E10</v>
      </c>
      <c r="D1712" s="2" t="s">
        <v>12248</v>
      </c>
      <c r="E1712" s="2">
        <v>920241.0</v>
      </c>
      <c r="F1712" s="2">
        <v>497.0</v>
      </c>
      <c r="G1712" s="2">
        <v>733.0</v>
      </c>
      <c r="H1712" s="2" t="s">
        <v>5906</v>
      </c>
      <c r="I1712" s="2" t="s">
        <v>5905</v>
      </c>
      <c r="J1712" s="2" t="s">
        <v>5928</v>
      </c>
      <c r="K1712" s="2" t="s">
        <v>12249</v>
      </c>
    </row>
    <row r="1713">
      <c r="A1713" s="2" t="s">
        <v>5568</v>
      </c>
      <c r="B1713" s="2" t="s">
        <v>12250</v>
      </c>
      <c r="C1713" s="2">
        <v>4.0091351721E10</v>
      </c>
      <c r="D1713" s="2" t="s">
        <v>12251</v>
      </c>
      <c r="E1713" s="2">
        <v>177944.0</v>
      </c>
      <c r="F1713" s="2">
        <v>469.0</v>
      </c>
      <c r="G1713" s="2">
        <v>937.0</v>
      </c>
      <c r="H1713" s="2" t="s">
        <v>5906</v>
      </c>
      <c r="I1713" s="2" t="s">
        <v>5905</v>
      </c>
      <c r="J1713" s="2" t="s">
        <v>6414</v>
      </c>
      <c r="K1713" s="2" t="s">
        <v>12252</v>
      </c>
      <c r="L1713" s="10" t="s">
        <v>12253</v>
      </c>
    </row>
    <row r="1714">
      <c r="A1714" s="2" t="s">
        <v>5360</v>
      </c>
      <c r="B1714" s="2" t="s">
        <v>12132</v>
      </c>
      <c r="C1714" s="2">
        <v>1.624593034E9</v>
      </c>
      <c r="D1714" s="2" t="s">
        <v>5269</v>
      </c>
      <c r="E1714" s="2">
        <v>1.9427184E7</v>
      </c>
      <c r="F1714" s="2">
        <v>619.0</v>
      </c>
      <c r="G1714" s="2">
        <v>21837.0</v>
      </c>
      <c r="H1714" s="2" t="s">
        <v>5906</v>
      </c>
      <c r="I1714" s="2" t="s">
        <v>5906</v>
      </c>
      <c r="K1714" s="2" t="s">
        <v>12133</v>
      </c>
      <c r="L1714" s="10" t="s">
        <v>12134</v>
      </c>
    </row>
    <row r="1715">
      <c r="A1715" s="2" t="s">
        <v>5360</v>
      </c>
      <c r="B1715" s="2" t="s">
        <v>12254</v>
      </c>
      <c r="C1715" s="2">
        <v>5087794.0</v>
      </c>
      <c r="D1715" s="2" t="s">
        <v>12255</v>
      </c>
      <c r="E1715" s="2">
        <v>1.2578577E7</v>
      </c>
      <c r="F1715" s="2">
        <v>273.0</v>
      </c>
      <c r="G1715" s="2">
        <v>11205.0</v>
      </c>
      <c r="H1715" s="2" t="s">
        <v>5906</v>
      </c>
      <c r="I1715" s="2" t="s">
        <v>5906</v>
      </c>
      <c r="J1715" s="2" t="s">
        <v>5911</v>
      </c>
      <c r="K1715" s="2" t="s">
        <v>12256</v>
      </c>
      <c r="L1715" s="10" t="s">
        <v>12257</v>
      </c>
    </row>
    <row r="1716">
      <c r="A1716" s="2" t="s">
        <v>5360</v>
      </c>
      <c r="B1716" s="2" t="s">
        <v>12258</v>
      </c>
      <c r="C1716" s="2">
        <v>2.76130197E8</v>
      </c>
      <c r="D1716" s="2" t="s">
        <v>12259</v>
      </c>
      <c r="E1716" s="2">
        <v>313415.0</v>
      </c>
      <c r="F1716" s="2">
        <v>170.0</v>
      </c>
      <c r="G1716" s="2">
        <v>4936.0</v>
      </c>
      <c r="H1716" s="2" t="s">
        <v>5906</v>
      </c>
      <c r="I1716" s="2" t="s">
        <v>5906</v>
      </c>
      <c r="J1716" s="2" t="s">
        <v>5480</v>
      </c>
      <c r="K1716" s="2" t="s">
        <v>12260</v>
      </c>
      <c r="L1716" s="10" t="s">
        <v>12261</v>
      </c>
    </row>
    <row r="1717">
      <c r="A1717" s="2" t="s">
        <v>5360</v>
      </c>
      <c r="B1717" s="2" t="s">
        <v>12262</v>
      </c>
      <c r="C1717" s="2">
        <v>3.20368867E8</v>
      </c>
      <c r="D1717" s="2" t="s">
        <v>12263</v>
      </c>
      <c r="E1717" s="2">
        <v>465416.0</v>
      </c>
      <c r="F1717" s="2">
        <v>167.0</v>
      </c>
      <c r="G1717" s="2">
        <v>2045.0</v>
      </c>
      <c r="H1717" s="2" t="s">
        <v>5906</v>
      </c>
      <c r="I1717" s="2" t="s">
        <v>5906</v>
      </c>
      <c r="J1717" s="2" t="s">
        <v>6559</v>
      </c>
      <c r="K1717" s="2" t="s">
        <v>12264</v>
      </c>
      <c r="L1717" s="10" t="s">
        <v>12265</v>
      </c>
    </row>
    <row r="1718">
      <c r="A1718" s="2" t="s">
        <v>5360</v>
      </c>
      <c r="B1718" s="2" t="s">
        <v>12266</v>
      </c>
      <c r="C1718" s="2">
        <v>6.0644820019E10</v>
      </c>
      <c r="D1718" s="2" t="s">
        <v>12267</v>
      </c>
      <c r="E1718" s="2">
        <v>8287282.0</v>
      </c>
      <c r="F1718" s="2">
        <v>394.0</v>
      </c>
      <c r="G1718" s="2">
        <v>4066.0</v>
      </c>
      <c r="H1718" s="2" t="s">
        <v>5906</v>
      </c>
      <c r="I1718" s="2" t="s">
        <v>5906</v>
      </c>
      <c r="J1718" s="2" t="s">
        <v>8479</v>
      </c>
      <c r="K1718" s="2" t="s">
        <v>12268</v>
      </c>
      <c r="L1718" s="10" t="s">
        <v>12269</v>
      </c>
    </row>
    <row r="1719">
      <c r="A1719" s="2" t="s">
        <v>5360</v>
      </c>
      <c r="B1719" s="2" t="s">
        <v>12270</v>
      </c>
      <c r="C1719" s="2">
        <v>3.06630256E8</v>
      </c>
      <c r="D1719" s="2" t="s">
        <v>12271</v>
      </c>
      <c r="E1719" s="2">
        <v>107068.0</v>
      </c>
      <c r="F1719" s="2">
        <v>466.0</v>
      </c>
      <c r="G1719" s="2">
        <v>4474.0</v>
      </c>
      <c r="H1719" s="2" t="s">
        <v>5905</v>
      </c>
      <c r="I1719" s="2" t="s">
        <v>5906</v>
      </c>
      <c r="K1719" s="2" t="s">
        <v>12272</v>
      </c>
      <c r="L1719" s="10" t="s">
        <v>12273</v>
      </c>
    </row>
    <row r="1720">
      <c r="A1720" s="2" t="s">
        <v>5478</v>
      </c>
      <c r="B1720" s="2" t="s">
        <v>12274</v>
      </c>
      <c r="C1720" s="2">
        <v>5.8655718202E10</v>
      </c>
      <c r="D1720" s="2" t="s">
        <v>12275</v>
      </c>
      <c r="E1720" s="2">
        <v>32442.0</v>
      </c>
      <c r="F1720" s="2">
        <v>3.0</v>
      </c>
      <c r="G1720" s="2">
        <v>378.0</v>
      </c>
      <c r="H1720" s="2" t="s">
        <v>5905</v>
      </c>
      <c r="I1720" s="2" t="s">
        <v>5906</v>
      </c>
      <c r="J1720" s="2" t="s">
        <v>5907</v>
      </c>
      <c r="K1720" s="10" t="s">
        <v>12276</v>
      </c>
      <c r="L1720" s="10" t="s">
        <v>12277</v>
      </c>
    </row>
    <row r="1721">
      <c r="A1721" s="2" t="s">
        <v>5478</v>
      </c>
      <c r="B1721" s="2" t="s">
        <v>12186</v>
      </c>
      <c r="C1721" s="2">
        <v>1.691326988E9</v>
      </c>
      <c r="D1721" s="2" t="s">
        <v>12187</v>
      </c>
      <c r="E1721" s="2">
        <v>3607095.0</v>
      </c>
      <c r="F1721" s="2">
        <v>23.0</v>
      </c>
      <c r="G1721" s="2">
        <v>40136.0</v>
      </c>
      <c r="H1721" s="2" t="s">
        <v>5906</v>
      </c>
      <c r="I1721" s="2" t="s">
        <v>5906</v>
      </c>
      <c r="K1721" s="2" t="s">
        <v>12188</v>
      </c>
    </row>
    <row r="1722">
      <c r="A1722" s="2" t="s">
        <v>5478</v>
      </c>
      <c r="B1722" s="2" t="s">
        <v>12278</v>
      </c>
      <c r="C1722" s="2">
        <v>2.8602821246E10</v>
      </c>
      <c r="D1722" s="2" t="s">
        <v>12279</v>
      </c>
      <c r="E1722" s="2">
        <v>101591.0</v>
      </c>
      <c r="F1722" s="2">
        <v>6.0</v>
      </c>
      <c r="G1722" s="2">
        <v>2251.0</v>
      </c>
      <c r="H1722" s="2" t="s">
        <v>5906</v>
      </c>
      <c r="I1722" s="2" t="s">
        <v>5906</v>
      </c>
      <c r="J1722" s="2" t="s">
        <v>5907</v>
      </c>
      <c r="K1722" s="2" t="s">
        <v>12280</v>
      </c>
      <c r="L1722" s="10" t="s">
        <v>12281</v>
      </c>
    </row>
    <row r="1723">
      <c r="A1723" s="2" t="s">
        <v>5401</v>
      </c>
      <c r="B1723" s="2" t="s">
        <v>12282</v>
      </c>
      <c r="C1723" s="2">
        <v>5.859211876E9</v>
      </c>
      <c r="D1723" s="2" t="s">
        <v>12283</v>
      </c>
      <c r="E1723" s="2">
        <v>11022.0</v>
      </c>
      <c r="F1723" s="2">
        <v>16.0</v>
      </c>
      <c r="G1723" s="2">
        <v>261.0</v>
      </c>
      <c r="H1723" s="2" t="s">
        <v>5905</v>
      </c>
      <c r="I1723" s="2" t="s">
        <v>5906</v>
      </c>
      <c r="J1723" s="2" t="s">
        <v>12284</v>
      </c>
      <c r="K1723" s="2" t="s">
        <v>12285</v>
      </c>
    </row>
    <row r="1724">
      <c r="A1724" s="2" t="s">
        <v>5401</v>
      </c>
      <c r="B1724" s="2" t="s">
        <v>12286</v>
      </c>
      <c r="C1724" s="2">
        <v>2.263905858E9</v>
      </c>
      <c r="D1724" s="2" t="s">
        <v>12287</v>
      </c>
      <c r="E1724" s="2">
        <v>50992.0</v>
      </c>
      <c r="F1724" s="2">
        <v>112.0</v>
      </c>
      <c r="G1724" s="2">
        <v>1636.0</v>
      </c>
      <c r="H1724" s="2" t="s">
        <v>5905</v>
      </c>
      <c r="I1724" s="2" t="s">
        <v>5906</v>
      </c>
      <c r="J1724" s="2" t="s">
        <v>5485</v>
      </c>
      <c r="K1724" s="2" t="s">
        <v>12288</v>
      </c>
      <c r="L1724" s="10" t="s">
        <v>12289</v>
      </c>
    </row>
    <row r="1725">
      <c r="A1725" s="2" t="s">
        <v>5471</v>
      </c>
      <c r="B1725" s="2" t="s">
        <v>12290</v>
      </c>
      <c r="C1725" s="2">
        <v>5.5697169E7</v>
      </c>
      <c r="D1725" s="2" t="s">
        <v>5471</v>
      </c>
      <c r="E1725" s="2">
        <v>164163.0</v>
      </c>
      <c r="F1725" s="2">
        <v>55.0</v>
      </c>
      <c r="G1725" s="2">
        <v>8706.0</v>
      </c>
      <c r="H1725" s="2" t="s">
        <v>5906</v>
      </c>
      <c r="I1725" s="2" t="s">
        <v>5906</v>
      </c>
      <c r="J1725" s="2" t="s">
        <v>5517</v>
      </c>
      <c r="K1725" s="2" t="s">
        <v>12291</v>
      </c>
      <c r="L1725" s="10" t="s">
        <v>12292</v>
      </c>
    </row>
    <row r="1726">
      <c r="A1726" s="2" t="s">
        <v>5358</v>
      </c>
      <c r="B1726" s="2" t="s">
        <v>12293</v>
      </c>
      <c r="C1726" s="2">
        <v>2.199864273E9</v>
      </c>
      <c r="D1726" s="2" t="s">
        <v>12294</v>
      </c>
      <c r="E1726" s="2">
        <v>23809.0</v>
      </c>
      <c r="F1726" s="2">
        <v>253.0</v>
      </c>
      <c r="G1726" s="2">
        <v>1956.0</v>
      </c>
      <c r="H1726" s="2" t="s">
        <v>5905</v>
      </c>
      <c r="I1726" s="2" t="s">
        <v>5906</v>
      </c>
      <c r="J1726" s="2" t="s">
        <v>6166</v>
      </c>
      <c r="K1726" s="2" t="s">
        <v>12295</v>
      </c>
      <c r="L1726" s="10" t="s">
        <v>12296</v>
      </c>
    </row>
    <row r="1727">
      <c r="A1727" s="2" t="s">
        <v>5358</v>
      </c>
      <c r="B1727" s="2" t="s">
        <v>12297</v>
      </c>
      <c r="C1727" s="2">
        <v>1.599394087E9</v>
      </c>
      <c r="D1727" s="2" t="s">
        <v>12298</v>
      </c>
      <c r="E1727" s="2">
        <v>316569.0</v>
      </c>
      <c r="F1727" s="2">
        <v>3087.0</v>
      </c>
      <c r="G1727" s="2">
        <v>4660.0</v>
      </c>
      <c r="H1727" s="2" t="s">
        <v>5906</v>
      </c>
      <c r="I1727" s="2" t="s">
        <v>5905</v>
      </c>
      <c r="J1727" s="2" t="s">
        <v>12299</v>
      </c>
      <c r="K1727" s="2" t="s">
        <v>12300</v>
      </c>
      <c r="L1727" s="10" t="s">
        <v>12301</v>
      </c>
    </row>
    <row r="1728">
      <c r="A1728" s="2" t="s">
        <v>5358</v>
      </c>
      <c r="B1728" s="2" t="s">
        <v>12302</v>
      </c>
      <c r="C1728" s="2">
        <v>1.90166335E8</v>
      </c>
      <c r="D1728" s="2" t="s">
        <v>12303</v>
      </c>
      <c r="E1728" s="2">
        <v>34490.0</v>
      </c>
      <c r="F1728" s="2">
        <v>505.0</v>
      </c>
      <c r="G1728" s="2">
        <v>1543.0</v>
      </c>
      <c r="H1728" s="2" t="s">
        <v>5905</v>
      </c>
      <c r="I1728" s="2" t="s">
        <v>5906</v>
      </c>
      <c r="J1728" s="2" t="s">
        <v>5959</v>
      </c>
      <c r="K1728" s="2" t="s">
        <v>12304</v>
      </c>
      <c r="L1728" s="10" t="s">
        <v>12305</v>
      </c>
    </row>
    <row r="1729">
      <c r="A1729" s="2" t="s">
        <v>5358</v>
      </c>
      <c r="B1729" s="2" t="s">
        <v>12306</v>
      </c>
      <c r="C1729" s="2">
        <v>2.18322598E8</v>
      </c>
      <c r="D1729" s="2" t="s">
        <v>12307</v>
      </c>
      <c r="E1729" s="2">
        <v>858776.0</v>
      </c>
      <c r="F1729" s="2">
        <v>984.0</v>
      </c>
      <c r="G1729" s="2">
        <v>14343.0</v>
      </c>
      <c r="H1729" s="2" t="s">
        <v>5906</v>
      </c>
      <c r="I1729" s="2" t="s">
        <v>5906</v>
      </c>
      <c r="K1729" s="2" t="s">
        <v>12308</v>
      </c>
      <c r="L1729" s="10" t="s">
        <v>12309</v>
      </c>
    </row>
    <row r="1730">
      <c r="A1730" s="2" t="s">
        <v>5358</v>
      </c>
      <c r="B1730" s="2" t="s">
        <v>12310</v>
      </c>
      <c r="C1730" s="2">
        <v>1.209770927E9</v>
      </c>
      <c r="D1730" s="2" t="s">
        <v>12311</v>
      </c>
      <c r="E1730" s="2">
        <v>66256.0</v>
      </c>
      <c r="F1730" s="2">
        <v>640.0</v>
      </c>
      <c r="G1730" s="2">
        <v>2036.0</v>
      </c>
      <c r="H1730" s="2" t="s">
        <v>5906</v>
      </c>
      <c r="I1730" s="2" t="s">
        <v>5906</v>
      </c>
      <c r="K1730" s="2" t="s">
        <v>12312</v>
      </c>
      <c r="L1730" s="10" t="s">
        <v>12313</v>
      </c>
    </row>
    <row r="1731">
      <c r="A1731" s="2" t="s">
        <v>5358</v>
      </c>
      <c r="B1731" s="2" t="s">
        <v>12314</v>
      </c>
      <c r="C1731" s="2">
        <v>1.215375629E9</v>
      </c>
      <c r="D1731" s="2" t="s">
        <v>12315</v>
      </c>
      <c r="E1731" s="2">
        <v>11134.0</v>
      </c>
      <c r="F1731" s="2">
        <v>179.0</v>
      </c>
      <c r="G1731" s="2">
        <v>1073.0</v>
      </c>
      <c r="H1731" s="2" t="s">
        <v>5905</v>
      </c>
      <c r="I1731" s="2" t="s">
        <v>5906</v>
      </c>
      <c r="J1731" s="2" t="s">
        <v>6002</v>
      </c>
      <c r="K1731" s="2" t="s">
        <v>12316</v>
      </c>
      <c r="L1731" s="10" t="s">
        <v>12317</v>
      </c>
    </row>
    <row r="1732">
      <c r="A1732" s="2" t="s">
        <v>5543</v>
      </c>
      <c r="B1732" s="2" t="s">
        <v>12318</v>
      </c>
      <c r="C1732" s="2">
        <v>5.3532030236E10</v>
      </c>
      <c r="E1732" s="2">
        <v>60529.0</v>
      </c>
      <c r="F1732" s="2">
        <v>0.0</v>
      </c>
      <c r="G1732" s="2">
        <v>81.0</v>
      </c>
      <c r="H1732" s="2" t="s">
        <v>5906</v>
      </c>
      <c r="I1732" s="2" t="s">
        <v>5906</v>
      </c>
      <c r="J1732" s="2" t="s">
        <v>5968</v>
      </c>
      <c r="K1732" s="2" t="s">
        <v>12319</v>
      </c>
      <c r="L1732" s="10" t="s">
        <v>12320</v>
      </c>
    </row>
    <row r="1733">
      <c r="A1733" s="2" t="s">
        <v>5453</v>
      </c>
      <c r="B1733" s="2" t="s">
        <v>12321</v>
      </c>
      <c r="C1733" s="2">
        <v>7.47898216E8</v>
      </c>
      <c r="D1733" s="2" t="s">
        <v>12322</v>
      </c>
      <c r="E1733" s="2">
        <v>40316.0</v>
      </c>
      <c r="F1733" s="2">
        <v>40.0</v>
      </c>
      <c r="G1733" s="2">
        <v>1799.0</v>
      </c>
      <c r="H1733" s="2" t="s">
        <v>5905</v>
      </c>
      <c r="I1733" s="2" t="s">
        <v>5906</v>
      </c>
      <c r="K1733" s="2" t="s">
        <v>12323</v>
      </c>
      <c r="L1733" s="10" t="s">
        <v>12324</v>
      </c>
    </row>
    <row r="1734">
      <c r="A1734" s="2" t="s">
        <v>5453</v>
      </c>
      <c r="B1734" s="2" t="s">
        <v>12325</v>
      </c>
      <c r="C1734" s="2">
        <v>1.1535330983E10</v>
      </c>
      <c r="D1734" s="2" t="s">
        <v>12326</v>
      </c>
      <c r="E1734" s="2">
        <v>10850.0</v>
      </c>
      <c r="F1734" s="2">
        <v>4191.0</v>
      </c>
      <c r="G1734" s="2">
        <v>245.0</v>
      </c>
      <c r="H1734" s="2" t="s">
        <v>5905</v>
      </c>
      <c r="I1734" s="2" t="s">
        <v>5906</v>
      </c>
      <c r="J1734" s="2" t="s">
        <v>5561</v>
      </c>
      <c r="K1734" s="2" t="s">
        <v>12327</v>
      </c>
    </row>
    <row r="1735">
      <c r="A1735" s="2" t="s">
        <v>5453</v>
      </c>
      <c r="B1735" s="2" t="s">
        <v>12328</v>
      </c>
      <c r="C1735" s="2">
        <v>1.7837746E8</v>
      </c>
      <c r="D1735" s="2" t="s">
        <v>5453</v>
      </c>
      <c r="E1735" s="2">
        <v>6524240.0</v>
      </c>
      <c r="F1735" s="2">
        <v>811.0</v>
      </c>
      <c r="G1735" s="2">
        <v>13813.0</v>
      </c>
      <c r="H1735" s="2" t="s">
        <v>5906</v>
      </c>
      <c r="I1735" s="2" t="s">
        <v>5906</v>
      </c>
      <c r="K1735" s="2" t="s">
        <v>12329</v>
      </c>
      <c r="L1735" s="10" t="s">
        <v>12330</v>
      </c>
    </row>
    <row r="1736">
      <c r="A1736" s="2" t="s">
        <v>5453</v>
      </c>
      <c r="B1736" s="2" t="s">
        <v>12331</v>
      </c>
      <c r="C1736" s="2">
        <v>1.83737598E8</v>
      </c>
      <c r="D1736" s="2" t="s">
        <v>12332</v>
      </c>
      <c r="E1736" s="2">
        <v>349247.0</v>
      </c>
      <c r="F1736" s="2">
        <v>441.0</v>
      </c>
      <c r="G1736" s="2">
        <v>4009.0</v>
      </c>
      <c r="H1736" s="2" t="s">
        <v>5906</v>
      </c>
      <c r="I1736" s="2" t="s">
        <v>5906</v>
      </c>
      <c r="J1736" s="2" t="s">
        <v>5911</v>
      </c>
      <c r="K1736" s="2" t="s">
        <v>12333</v>
      </c>
      <c r="L1736" s="10" t="s">
        <v>12334</v>
      </c>
    </row>
    <row r="1737">
      <c r="A1737" s="2" t="s">
        <v>5453</v>
      </c>
      <c r="B1737" s="2" t="s">
        <v>12335</v>
      </c>
      <c r="C1737" s="2">
        <v>6.2471936379E10</v>
      </c>
      <c r="D1737" s="2" t="s">
        <v>12336</v>
      </c>
      <c r="E1737" s="2">
        <v>23461.0</v>
      </c>
      <c r="F1737" s="2">
        <v>43.0</v>
      </c>
      <c r="G1737" s="2">
        <v>510.0</v>
      </c>
      <c r="H1737" s="2" t="s">
        <v>5905</v>
      </c>
      <c r="I1737" s="2" t="s">
        <v>5906</v>
      </c>
      <c r="J1737" s="2" t="s">
        <v>5480</v>
      </c>
      <c r="K1737" s="2" t="s">
        <v>12337</v>
      </c>
      <c r="L1737" s="10" t="s">
        <v>12338</v>
      </c>
    </row>
    <row r="1738">
      <c r="A1738" s="2" t="s">
        <v>5453</v>
      </c>
      <c r="B1738" s="2" t="s">
        <v>12339</v>
      </c>
      <c r="C1738" s="2">
        <v>4.5282703393E10</v>
      </c>
      <c r="D1738" s="2" t="s">
        <v>12340</v>
      </c>
      <c r="E1738" s="2">
        <v>20585.0</v>
      </c>
      <c r="F1738" s="2">
        <v>32.0</v>
      </c>
      <c r="G1738" s="2">
        <v>485.0</v>
      </c>
      <c r="H1738" s="2" t="s">
        <v>5906</v>
      </c>
      <c r="I1738" s="2" t="s">
        <v>5906</v>
      </c>
      <c r="J1738" s="2" t="s">
        <v>7431</v>
      </c>
      <c r="K1738" s="2" t="s">
        <v>12341</v>
      </c>
      <c r="L1738" s="10" t="s">
        <v>12342</v>
      </c>
    </row>
    <row r="1739">
      <c r="A1739" s="2" t="s">
        <v>5453</v>
      </c>
      <c r="B1739" s="2" t="s">
        <v>12343</v>
      </c>
      <c r="C1739" s="2">
        <v>1.231146661E9</v>
      </c>
      <c r="D1739" s="2" t="s">
        <v>12344</v>
      </c>
      <c r="E1739" s="2">
        <v>380250.0</v>
      </c>
      <c r="F1739" s="2">
        <v>787.0</v>
      </c>
      <c r="G1739" s="2">
        <v>11940.0</v>
      </c>
      <c r="H1739" s="2" t="s">
        <v>5906</v>
      </c>
      <c r="I1739" s="2" t="s">
        <v>5906</v>
      </c>
      <c r="K1739" s="2" t="s">
        <v>12345</v>
      </c>
      <c r="L1739" s="10" t="s">
        <v>12346</v>
      </c>
    </row>
    <row r="1740">
      <c r="A1740" s="2" t="s">
        <v>5453</v>
      </c>
      <c r="B1740" s="2" t="s">
        <v>12347</v>
      </c>
      <c r="C1740" s="2">
        <v>7.1351200279E10</v>
      </c>
      <c r="D1740" s="2" t="s">
        <v>12348</v>
      </c>
      <c r="E1740" s="2">
        <v>10563.0</v>
      </c>
      <c r="F1740" s="2">
        <v>16.0</v>
      </c>
      <c r="G1740" s="2">
        <v>201.0</v>
      </c>
      <c r="H1740" s="2" t="s">
        <v>5905</v>
      </c>
      <c r="I1740" s="2" t="s">
        <v>5905</v>
      </c>
      <c r="J1740" s="2" t="s">
        <v>6002</v>
      </c>
      <c r="K1740" s="2" t="s">
        <v>12349</v>
      </c>
      <c r="L1740" s="10" t="s">
        <v>12350</v>
      </c>
    </row>
    <row r="1741">
      <c r="A1741" s="2" t="s">
        <v>5453</v>
      </c>
      <c r="B1741" s="2" t="s">
        <v>12351</v>
      </c>
      <c r="C1741" s="2">
        <v>4.234884872E9</v>
      </c>
      <c r="D1741" s="2" t="s">
        <v>12352</v>
      </c>
      <c r="E1741" s="2">
        <v>12308.0</v>
      </c>
      <c r="F1741" s="2">
        <v>113.0</v>
      </c>
      <c r="G1741" s="2">
        <v>245.0</v>
      </c>
      <c r="H1741" s="2" t="s">
        <v>5906</v>
      </c>
      <c r="I1741" s="2" t="s">
        <v>5906</v>
      </c>
      <c r="K1741" s="2" t="s">
        <v>12353</v>
      </c>
      <c r="L1741" s="10" t="s">
        <v>12354</v>
      </c>
    </row>
    <row r="1742">
      <c r="A1742" s="2" t="s">
        <v>5453</v>
      </c>
      <c r="B1742" s="2" t="s">
        <v>12355</v>
      </c>
      <c r="C1742" s="2">
        <v>1.35971635E9</v>
      </c>
      <c r="D1742" s="2" t="s">
        <v>12356</v>
      </c>
      <c r="E1742" s="2">
        <v>31065.0</v>
      </c>
      <c r="F1742" s="2">
        <v>280.0</v>
      </c>
      <c r="G1742" s="2">
        <v>1770.0</v>
      </c>
      <c r="H1742" s="2" t="s">
        <v>5906</v>
      </c>
      <c r="I1742" s="2" t="s">
        <v>5906</v>
      </c>
      <c r="J1742" s="2" t="s">
        <v>6393</v>
      </c>
      <c r="K1742" s="2" t="s">
        <v>12357</v>
      </c>
      <c r="L1742" s="10" t="s">
        <v>12358</v>
      </c>
    </row>
    <row r="1743">
      <c r="A1743" s="2" t="s">
        <v>5578</v>
      </c>
      <c r="B1743" s="2" t="s">
        <v>12359</v>
      </c>
      <c r="C1743" s="2">
        <v>8.712374554E9</v>
      </c>
      <c r="D1743" s="2" t="s">
        <v>12360</v>
      </c>
      <c r="E1743" s="2">
        <v>798275.0</v>
      </c>
      <c r="F1743" s="2">
        <v>1.0</v>
      </c>
      <c r="G1743" s="2">
        <v>82785.0</v>
      </c>
      <c r="H1743" s="2" t="s">
        <v>5906</v>
      </c>
      <c r="I1743" s="2" t="s">
        <v>5906</v>
      </c>
      <c r="J1743" s="2" t="s">
        <v>7338</v>
      </c>
      <c r="K1743" s="2" t="s">
        <v>12361</v>
      </c>
      <c r="L1743" s="10" t="s">
        <v>12362</v>
      </c>
    </row>
    <row r="1744">
      <c r="A1744" s="2" t="s">
        <v>5578</v>
      </c>
      <c r="B1744" s="2" t="s">
        <v>12363</v>
      </c>
      <c r="C1744" s="2">
        <v>6.4647248214E10</v>
      </c>
      <c r="D1744" s="2" t="s">
        <v>12364</v>
      </c>
      <c r="E1744" s="2">
        <v>21233.0</v>
      </c>
      <c r="F1744" s="2">
        <v>333.0</v>
      </c>
      <c r="G1744" s="2">
        <v>807.0</v>
      </c>
      <c r="H1744" s="2" t="s">
        <v>5905</v>
      </c>
      <c r="I1744" s="2" t="s">
        <v>5905</v>
      </c>
      <c r="J1744" s="2" t="s">
        <v>5391</v>
      </c>
      <c r="K1744" s="2" t="s">
        <v>12365</v>
      </c>
      <c r="L1744" s="10" t="s">
        <v>12366</v>
      </c>
    </row>
    <row r="1745">
      <c r="A1745" s="2" t="s">
        <v>5578</v>
      </c>
      <c r="B1745" s="2" t="s">
        <v>12367</v>
      </c>
      <c r="C1745" s="2">
        <v>6.4454478242E10</v>
      </c>
      <c r="D1745" s="2" t="s">
        <v>12368</v>
      </c>
      <c r="E1745" s="2">
        <v>21096.0</v>
      </c>
      <c r="F1745" s="2">
        <v>2240.0</v>
      </c>
      <c r="G1745" s="2">
        <v>907.0</v>
      </c>
      <c r="H1745" s="2" t="s">
        <v>5905</v>
      </c>
      <c r="I1745" s="2" t="s">
        <v>5905</v>
      </c>
      <c r="J1745" s="2" t="s">
        <v>5911</v>
      </c>
      <c r="K1745" s="2" t="s">
        <v>12369</v>
      </c>
      <c r="L1745" s="10" t="s">
        <v>12370</v>
      </c>
    </row>
    <row r="1746">
      <c r="A1746" s="2" t="s">
        <v>5578</v>
      </c>
      <c r="B1746" s="2" t="s">
        <v>12371</v>
      </c>
      <c r="C1746" s="2">
        <v>7.193859234E9</v>
      </c>
      <c r="D1746" s="2" t="s">
        <v>12372</v>
      </c>
      <c r="E1746" s="2">
        <v>2242376.0</v>
      </c>
      <c r="F1746" s="2">
        <v>3.0</v>
      </c>
      <c r="G1746" s="2">
        <v>8670.0</v>
      </c>
      <c r="H1746" s="2" t="s">
        <v>5906</v>
      </c>
      <c r="I1746" s="2" t="s">
        <v>5906</v>
      </c>
      <c r="J1746" s="2" t="s">
        <v>6199</v>
      </c>
      <c r="K1746" s="12" t="s">
        <v>12373</v>
      </c>
      <c r="L1746" s="10" t="s">
        <v>12374</v>
      </c>
    </row>
    <row r="1747">
      <c r="A1747" s="2" t="s">
        <v>5578</v>
      </c>
      <c r="B1747" s="2" t="s">
        <v>12375</v>
      </c>
      <c r="C1747" s="2">
        <v>3.4228316756E10</v>
      </c>
      <c r="D1747" s="2" t="s">
        <v>12376</v>
      </c>
      <c r="E1747" s="2">
        <v>874867.0</v>
      </c>
      <c r="F1747" s="2">
        <v>808.0</v>
      </c>
      <c r="G1747" s="2">
        <v>24640.0</v>
      </c>
      <c r="H1747" s="2" t="s">
        <v>5906</v>
      </c>
      <c r="I1747" s="2" t="s">
        <v>5905</v>
      </c>
      <c r="J1747" s="2" t="s">
        <v>5907</v>
      </c>
      <c r="K1747" s="2" t="s">
        <v>12377</v>
      </c>
    </row>
    <row r="1748">
      <c r="A1748" s="2" t="s">
        <v>5578</v>
      </c>
      <c r="B1748" s="2" t="s">
        <v>12378</v>
      </c>
      <c r="C1748" s="2">
        <v>5.1752512075E10</v>
      </c>
      <c r="D1748" s="2" t="s">
        <v>12379</v>
      </c>
      <c r="E1748" s="2">
        <v>839484.0</v>
      </c>
      <c r="F1748" s="2">
        <v>31.0</v>
      </c>
      <c r="G1748" s="2">
        <v>1461.0</v>
      </c>
      <c r="H1748" s="2" t="s">
        <v>5905</v>
      </c>
      <c r="I1748" s="2" t="s">
        <v>5905</v>
      </c>
      <c r="J1748" s="2" t="s">
        <v>5959</v>
      </c>
      <c r="K1748" s="2" t="s">
        <v>12380</v>
      </c>
      <c r="L1748" s="10" t="s">
        <v>12381</v>
      </c>
    </row>
    <row r="1749">
      <c r="A1749" s="2" t="s">
        <v>5578</v>
      </c>
      <c r="B1749" s="2" t="s">
        <v>12382</v>
      </c>
      <c r="C1749" s="2">
        <v>4.8602654766E10</v>
      </c>
      <c r="D1749" s="2" t="s">
        <v>12383</v>
      </c>
      <c r="E1749" s="2">
        <v>178429.0</v>
      </c>
      <c r="F1749" s="2">
        <v>1156.0</v>
      </c>
      <c r="G1749" s="2">
        <v>1881.0</v>
      </c>
      <c r="H1749" s="2" t="s">
        <v>5906</v>
      </c>
      <c r="I1749" s="2" t="s">
        <v>5905</v>
      </c>
      <c r="J1749" s="2" t="s">
        <v>5959</v>
      </c>
      <c r="K1749" s="2" t="s">
        <v>12384</v>
      </c>
      <c r="L1749" s="10" t="s">
        <v>12385</v>
      </c>
    </row>
    <row r="1750">
      <c r="A1750" s="2" t="s">
        <v>5578</v>
      </c>
      <c r="B1750" s="2" t="s">
        <v>12386</v>
      </c>
      <c r="C1750" s="2">
        <v>5.802001087E9</v>
      </c>
      <c r="D1750" s="2" t="s">
        <v>12387</v>
      </c>
      <c r="E1750" s="2">
        <v>21407.0</v>
      </c>
      <c r="F1750" s="2">
        <v>1579.0</v>
      </c>
      <c r="G1750" s="2">
        <v>1908.0</v>
      </c>
      <c r="H1750" s="2" t="s">
        <v>5906</v>
      </c>
      <c r="I1750" s="2" t="s">
        <v>5905</v>
      </c>
      <c r="J1750" s="2" t="s">
        <v>5561</v>
      </c>
      <c r="K1750" s="2" t="s">
        <v>12388</v>
      </c>
      <c r="L1750" s="10" t="s">
        <v>12389</v>
      </c>
    </row>
    <row r="1751">
      <c r="A1751" s="2" t="s">
        <v>5578</v>
      </c>
      <c r="B1751" s="2" t="s">
        <v>12390</v>
      </c>
      <c r="C1751" s="2">
        <v>5.3603316006E10</v>
      </c>
      <c r="D1751" s="2" t="s">
        <v>12391</v>
      </c>
      <c r="E1751" s="2">
        <v>24612.0</v>
      </c>
      <c r="F1751" s="2">
        <v>0.0</v>
      </c>
      <c r="G1751" s="2">
        <v>172.0</v>
      </c>
      <c r="H1751" s="2" t="s">
        <v>5905</v>
      </c>
      <c r="I1751" s="2" t="s">
        <v>5905</v>
      </c>
      <c r="J1751" s="2" t="s">
        <v>5963</v>
      </c>
      <c r="K1751" s="2" t="s">
        <v>12392</v>
      </c>
    </row>
    <row r="1752">
      <c r="A1752" s="2" t="s">
        <v>5578</v>
      </c>
      <c r="B1752" s="2" t="s">
        <v>12393</v>
      </c>
      <c r="C1752" s="2">
        <v>8.406392998E9</v>
      </c>
      <c r="D1752" s="2" t="s">
        <v>12394</v>
      </c>
      <c r="E1752" s="2">
        <v>2572668.0</v>
      </c>
      <c r="F1752" s="2">
        <v>196.0</v>
      </c>
      <c r="G1752" s="2">
        <v>742.0</v>
      </c>
      <c r="H1752" s="2" t="s">
        <v>5906</v>
      </c>
      <c r="I1752" s="2" t="s">
        <v>5905</v>
      </c>
      <c r="J1752" s="2" t="s">
        <v>6414</v>
      </c>
      <c r="K1752" s="2" t="s">
        <v>12395</v>
      </c>
      <c r="L1752" s="10" t="s">
        <v>12396</v>
      </c>
    </row>
    <row r="1753">
      <c r="A1753" s="2" t="s">
        <v>5578</v>
      </c>
      <c r="B1753" s="2" t="s">
        <v>12397</v>
      </c>
      <c r="C1753" s="2">
        <v>5.7655012007E10</v>
      </c>
      <c r="D1753" s="2" t="s">
        <v>12398</v>
      </c>
      <c r="E1753" s="2">
        <v>773736.0</v>
      </c>
      <c r="F1753" s="2">
        <v>76.0</v>
      </c>
      <c r="G1753" s="2">
        <v>1036.0</v>
      </c>
      <c r="H1753" s="2" t="s">
        <v>5905</v>
      </c>
      <c r="I1753" s="2" t="s">
        <v>5905</v>
      </c>
      <c r="J1753" s="2" t="s">
        <v>5928</v>
      </c>
      <c r="K1753" s="2" t="s">
        <v>12399</v>
      </c>
      <c r="L1753" s="10" t="s">
        <v>12400</v>
      </c>
    </row>
    <row r="1754">
      <c r="A1754" s="2" t="s">
        <v>5578</v>
      </c>
      <c r="B1754" s="2" t="s">
        <v>12401</v>
      </c>
      <c r="C1754" s="2">
        <v>1.441149927E9</v>
      </c>
      <c r="D1754" s="2" t="s">
        <v>12402</v>
      </c>
      <c r="E1754" s="2">
        <v>481707.0</v>
      </c>
      <c r="F1754" s="2">
        <v>540.0</v>
      </c>
      <c r="G1754" s="2">
        <v>1098.0</v>
      </c>
      <c r="H1754" s="2" t="s">
        <v>5906</v>
      </c>
      <c r="I1754" s="2" t="s">
        <v>5905</v>
      </c>
      <c r="J1754" s="2" t="s">
        <v>5492</v>
      </c>
      <c r="K1754" s="2" t="s">
        <v>12403</v>
      </c>
      <c r="L1754" s="10" t="s">
        <v>12404</v>
      </c>
    </row>
    <row r="1755">
      <c r="A1755" s="2" t="s">
        <v>5578</v>
      </c>
      <c r="B1755" s="2" t="s">
        <v>12405</v>
      </c>
      <c r="C1755" s="2">
        <v>6.2035091613E10</v>
      </c>
      <c r="D1755" s="2" t="s">
        <v>5578</v>
      </c>
      <c r="E1755" s="2">
        <v>107688.0</v>
      </c>
      <c r="F1755" s="2">
        <v>23.0</v>
      </c>
      <c r="G1755" s="2">
        <v>104.0</v>
      </c>
      <c r="H1755" s="2" t="s">
        <v>5905</v>
      </c>
      <c r="I1755" s="2" t="s">
        <v>5905</v>
      </c>
      <c r="J1755" s="2" t="s">
        <v>6124</v>
      </c>
      <c r="K1755" s="2" t="s">
        <v>12406</v>
      </c>
      <c r="L1755" s="10" t="s">
        <v>12407</v>
      </c>
    </row>
    <row r="1756">
      <c r="A1756" s="2" t="s">
        <v>5578</v>
      </c>
      <c r="B1756" s="2" t="s">
        <v>12408</v>
      </c>
      <c r="C1756" s="2">
        <v>2.48384825E8</v>
      </c>
      <c r="D1756" s="2" t="s">
        <v>12409</v>
      </c>
      <c r="E1756" s="2">
        <v>235282.0</v>
      </c>
      <c r="F1756" s="2">
        <v>1582.0</v>
      </c>
      <c r="G1756" s="2">
        <v>11325.0</v>
      </c>
      <c r="H1756" s="2" t="s">
        <v>5906</v>
      </c>
      <c r="I1756" s="2" t="s">
        <v>5905</v>
      </c>
      <c r="K1756" s="2" t="s">
        <v>12410</v>
      </c>
      <c r="L1756" s="10" t="s">
        <v>12411</v>
      </c>
    </row>
    <row r="1757">
      <c r="A1757" s="2" t="s">
        <v>5374</v>
      </c>
      <c r="B1757" s="2" t="s">
        <v>12412</v>
      </c>
      <c r="C1757" s="2">
        <v>3.2696895881E10</v>
      </c>
      <c r="D1757" s="2" t="s">
        <v>12413</v>
      </c>
      <c r="E1757" s="2">
        <v>62040.0</v>
      </c>
      <c r="F1757" s="2">
        <v>148.0</v>
      </c>
      <c r="G1757" s="2">
        <v>632.0</v>
      </c>
      <c r="H1757" s="2" t="s">
        <v>5905</v>
      </c>
      <c r="I1757" s="2" t="s">
        <v>5905</v>
      </c>
      <c r="J1757" s="2" t="s">
        <v>12414</v>
      </c>
      <c r="K1757" s="2" t="s">
        <v>12415</v>
      </c>
    </row>
    <row r="1758">
      <c r="A1758" s="2" t="s">
        <v>5374</v>
      </c>
      <c r="B1758" s="2" t="s">
        <v>12416</v>
      </c>
      <c r="C1758" s="2">
        <v>2.774966E7</v>
      </c>
      <c r="D1758" s="2" t="s">
        <v>5374</v>
      </c>
      <c r="E1758" s="2">
        <v>4988983.0</v>
      </c>
      <c r="F1758" s="2">
        <v>661.0</v>
      </c>
      <c r="G1758" s="2">
        <v>7721.0</v>
      </c>
      <c r="H1758" s="2" t="s">
        <v>5906</v>
      </c>
      <c r="I1758" s="2" t="s">
        <v>5906</v>
      </c>
      <c r="K1758" s="2" t="s">
        <v>12417</v>
      </c>
      <c r="L1758" s="10" t="s">
        <v>12418</v>
      </c>
    </row>
    <row r="1759">
      <c r="A1759" s="2" t="s">
        <v>5374</v>
      </c>
      <c r="B1759" s="2" t="s">
        <v>12419</v>
      </c>
      <c r="C1759" s="2">
        <v>7.3059408445E10</v>
      </c>
      <c r="D1759" s="2" t="s">
        <v>12420</v>
      </c>
      <c r="E1759" s="2">
        <v>55602.0</v>
      </c>
      <c r="F1759" s="2">
        <v>0.0</v>
      </c>
      <c r="G1759" s="2">
        <v>104.0</v>
      </c>
      <c r="H1759" s="2" t="s">
        <v>5906</v>
      </c>
      <c r="I1759" s="2" t="s">
        <v>5905</v>
      </c>
      <c r="J1759" s="2" t="s">
        <v>5561</v>
      </c>
      <c r="K1759" s="2" t="s">
        <v>12421</v>
      </c>
    </row>
    <row r="1760">
      <c r="A1760" s="2" t="s">
        <v>5466</v>
      </c>
      <c r="B1760" s="2" t="s">
        <v>12422</v>
      </c>
      <c r="C1760" s="2">
        <v>1.2992325E7</v>
      </c>
      <c r="D1760" s="2" t="s">
        <v>12423</v>
      </c>
      <c r="E1760" s="2">
        <v>3716270.0</v>
      </c>
      <c r="F1760" s="2">
        <v>399.0</v>
      </c>
      <c r="G1760" s="2">
        <v>31523.0</v>
      </c>
      <c r="H1760" s="2" t="s">
        <v>5906</v>
      </c>
      <c r="I1760" s="2" t="s">
        <v>5906</v>
      </c>
      <c r="K1760" s="2" t="s">
        <v>12424</v>
      </c>
      <c r="L1760" s="10" t="s">
        <v>12425</v>
      </c>
    </row>
    <row r="1761">
      <c r="A1761" s="2" t="s">
        <v>5466</v>
      </c>
      <c r="B1761" s="2" t="s">
        <v>8564</v>
      </c>
      <c r="C1761" s="2">
        <v>5.2281436896E10</v>
      </c>
      <c r="D1761" s="2" t="s">
        <v>8565</v>
      </c>
      <c r="E1761" s="2">
        <v>70540.0</v>
      </c>
      <c r="F1761" s="2">
        <v>38.0</v>
      </c>
      <c r="G1761" s="2">
        <v>33.0</v>
      </c>
      <c r="H1761" s="2" t="s">
        <v>5905</v>
      </c>
      <c r="I1761" s="2" t="s">
        <v>5905</v>
      </c>
      <c r="K1761" s="2" t="s">
        <v>8566</v>
      </c>
    </row>
    <row r="1762">
      <c r="A1762" s="2" t="s">
        <v>5466</v>
      </c>
      <c r="B1762" s="2" t="s">
        <v>12426</v>
      </c>
      <c r="C1762" s="2">
        <v>8.50971516E9</v>
      </c>
      <c r="D1762" s="2" t="s">
        <v>12427</v>
      </c>
      <c r="E1762" s="2">
        <v>663307.0</v>
      </c>
      <c r="F1762" s="2">
        <v>1079.0</v>
      </c>
      <c r="G1762" s="2">
        <v>10447.0</v>
      </c>
      <c r="H1762" s="2" t="s">
        <v>5906</v>
      </c>
      <c r="I1762" s="2" t="s">
        <v>5905</v>
      </c>
      <c r="J1762" s="2" t="s">
        <v>5907</v>
      </c>
      <c r="K1762" s="2" t="s">
        <v>12428</v>
      </c>
      <c r="L1762" s="10" t="s">
        <v>12429</v>
      </c>
    </row>
    <row r="1763">
      <c r="A1763" s="2" t="s">
        <v>5466</v>
      </c>
      <c r="B1763" s="2" t="s">
        <v>12430</v>
      </c>
      <c r="C1763" s="2">
        <v>4.5216836585E10</v>
      </c>
      <c r="D1763" s="2" t="s">
        <v>12431</v>
      </c>
      <c r="E1763" s="2">
        <v>385828.0</v>
      </c>
      <c r="F1763" s="2">
        <v>37.0</v>
      </c>
      <c r="G1763" s="2">
        <v>3647.0</v>
      </c>
      <c r="H1763" s="2" t="s">
        <v>5906</v>
      </c>
      <c r="I1763" s="2" t="s">
        <v>5906</v>
      </c>
      <c r="J1763" s="2" t="s">
        <v>6393</v>
      </c>
      <c r="K1763" s="2" t="s">
        <v>12432</v>
      </c>
      <c r="L1763" s="10" t="s">
        <v>12433</v>
      </c>
    </row>
    <row r="1764">
      <c r="A1764" s="2" t="s">
        <v>5466</v>
      </c>
      <c r="B1764" s="2" t="s">
        <v>12434</v>
      </c>
      <c r="C1764" s="2">
        <v>1.466887533E9</v>
      </c>
      <c r="D1764" s="2" t="s">
        <v>12435</v>
      </c>
      <c r="E1764" s="2">
        <v>309132.0</v>
      </c>
      <c r="F1764" s="2">
        <v>64.0</v>
      </c>
      <c r="G1764" s="2">
        <v>3100.0</v>
      </c>
      <c r="H1764" s="2" t="s">
        <v>5906</v>
      </c>
      <c r="I1764" s="2" t="s">
        <v>5906</v>
      </c>
      <c r="K1764" s="2" t="s">
        <v>12436</v>
      </c>
      <c r="L1764" s="10" t="s">
        <v>12437</v>
      </c>
    </row>
    <row r="1765">
      <c r="A1765" s="2" t="s">
        <v>5354</v>
      </c>
      <c r="B1765" s="2" t="s">
        <v>12438</v>
      </c>
      <c r="C1765" s="2">
        <v>1.1425198E7</v>
      </c>
      <c r="D1765" s="2" t="s">
        <v>5354</v>
      </c>
      <c r="E1765" s="2">
        <v>5182100.0</v>
      </c>
      <c r="F1765" s="2">
        <v>841.0</v>
      </c>
      <c r="G1765" s="2">
        <v>52626.0</v>
      </c>
      <c r="H1765" s="2" t="s">
        <v>5906</v>
      </c>
      <c r="I1765" s="2" t="s">
        <v>5906</v>
      </c>
      <c r="K1765" s="2" t="s">
        <v>12439</v>
      </c>
      <c r="L1765" s="10" t="s">
        <v>12440</v>
      </c>
    </row>
    <row r="1766">
      <c r="A1766" s="2" t="s">
        <v>5264</v>
      </c>
      <c r="B1766" s="2" t="s">
        <v>12441</v>
      </c>
      <c r="C1766" s="2">
        <v>1.361214756E9</v>
      </c>
      <c r="D1766" s="2" t="s">
        <v>12442</v>
      </c>
      <c r="E1766" s="2">
        <v>14528.0</v>
      </c>
      <c r="F1766" s="2">
        <v>628.0</v>
      </c>
      <c r="G1766" s="2">
        <v>1036.0</v>
      </c>
      <c r="H1766" s="2" t="s">
        <v>5906</v>
      </c>
      <c r="I1766" s="2" t="s">
        <v>5906</v>
      </c>
      <c r="K1766" s="2" t="s">
        <v>12443</v>
      </c>
      <c r="L1766" s="10" t="s">
        <v>12444</v>
      </c>
    </row>
    <row r="1767">
      <c r="A1767" s="2" t="s">
        <v>5264</v>
      </c>
      <c r="B1767" s="2" t="s">
        <v>12445</v>
      </c>
      <c r="C1767" s="2">
        <v>1.1206038E7</v>
      </c>
      <c r="D1767" s="2" t="s">
        <v>5264</v>
      </c>
      <c r="E1767" s="2">
        <v>9420222.0</v>
      </c>
      <c r="F1767" s="2">
        <v>1077.0</v>
      </c>
      <c r="G1767" s="2">
        <v>13119.0</v>
      </c>
      <c r="H1767" s="2" t="s">
        <v>5906</v>
      </c>
      <c r="I1767" s="2" t="s">
        <v>5906</v>
      </c>
      <c r="K1767" s="2" t="s">
        <v>12446</v>
      </c>
      <c r="L1767" s="10" t="s">
        <v>12447</v>
      </c>
    </row>
    <row r="1768">
      <c r="A1768" s="2" t="s">
        <v>5264</v>
      </c>
      <c r="B1768" s="2" t="s">
        <v>12448</v>
      </c>
      <c r="C1768" s="2">
        <v>2.94240593E8</v>
      </c>
      <c r="D1768" s="2" t="s">
        <v>12449</v>
      </c>
      <c r="E1768" s="2">
        <v>634718.0</v>
      </c>
      <c r="F1768" s="2">
        <v>171.0</v>
      </c>
      <c r="G1768" s="2">
        <v>7052.0</v>
      </c>
      <c r="H1768" s="2" t="s">
        <v>5906</v>
      </c>
      <c r="I1768" s="2" t="s">
        <v>5906</v>
      </c>
      <c r="J1768" s="2" t="s">
        <v>5480</v>
      </c>
      <c r="K1768" s="2" t="s">
        <v>12450</v>
      </c>
      <c r="L1768" s="10" t="s">
        <v>12451</v>
      </c>
    </row>
    <row r="1769">
      <c r="A1769" s="2" t="s">
        <v>5264</v>
      </c>
      <c r="B1769" s="2" t="s">
        <v>12452</v>
      </c>
      <c r="C1769" s="2">
        <v>1.85280859E8</v>
      </c>
      <c r="D1769" s="2" t="s">
        <v>12453</v>
      </c>
      <c r="E1769" s="2">
        <v>1549836.0</v>
      </c>
      <c r="F1769" s="2">
        <v>888.0</v>
      </c>
      <c r="G1769" s="2">
        <v>20287.0</v>
      </c>
      <c r="H1769" s="2" t="s">
        <v>5906</v>
      </c>
      <c r="I1769" s="2" t="s">
        <v>5906</v>
      </c>
      <c r="J1769" s="2" t="s">
        <v>5485</v>
      </c>
      <c r="K1769" s="2" t="s">
        <v>12454</v>
      </c>
      <c r="L1769" s="10" t="s">
        <v>12455</v>
      </c>
    </row>
    <row r="1770">
      <c r="A1770" s="2" t="s">
        <v>5264</v>
      </c>
      <c r="B1770" s="2" t="s">
        <v>12456</v>
      </c>
      <c r="C1770" s="2">
        <v>2.057374551E9</v>
      </c>
      <c r="D1770" s="2" t="s">
        <v>12457</v>
      </c>
      <c r="E1770" s="2">
        <v>95470.0</v>
      </c>
      <c r="F1770" s="2">
        <v>1480.0</v>
      </c>
      <c r="G1770" s="2">
        <v>2075.0</v>
      </c>
      <c r="H1770" s="2" t="s">
        <v>5906</v>
      </c>
      <c r="I1770" s="2" t="s">
        <v>5906</v>
      </c>
      <c r="K1770" s="2" t="s">
        <v>12458</v>
      </c>
      <c r="L1770" s="10" t="s">
        <v>12459</v>
      </c>
    </row>
    <row r="1771">
      <c r="A1771" s="2" t="s">
        <v>5264</v>
      </c>
      <c r="B1771" s="2" t="s">
        <v>12460</v>
      </c>
      <c r="C1771" s="2">
        <v>6.107482898E9</v>
      </c>
      <c r="D1771" s="2" t="s">
        <v>12461</v>
      </c>
      <c r="E1771" s="2">
        <v>464548.0</v>
      </c>
      <c r="F1771" s="2">
        <v>193.0</v>
      </c>
      <c r="G1771" s="2">
        <v>7220.0</v>
      </c>
      <c r="H1771" s="2" t="s">
        <v>5906</v>
      </c>
      <c r="I1771" s="2" t="s">
        <v>5906</v>
      </c>
      <c r="L1771" s="10" t="s">
        <v>12462</v>
      </c>
    </row>
    <row r="1772">
      <c r="A1772" s="2" t="s">
        <v>5264</v>
      </c>
      <c r="B1772" s="2" t="s">
        <v>12463</v>
      </c>
      <c r="C1772" s="2">
        <v>1.15168818E9</v>
      </c>
      <c r="D1772" s="2" t="s">
        <v>12464</v>
      </c>
      <c r="E1772" s="2">
        <v>380865.0</v>
      </c>
      <c r="F1772" s="2">
        <v>480.0</v>
      </c>
      <c r="G1772" s="2">
        <v>8206.0</v>
      </c>
      <c r="H1772" s="2" t="s">
        <v>5906</v>
      </c>
      <c r="I1772" s="2" t="s">
        <v>5906</v>
      </c>
      <c r="J1772" s="2" t="s">
        <v>5518</v>
      </c>
      <c r="K1772" s="2" t="s">
        <v>12465</v>
      </c>
      <c r="L1772" s="10" t="s">
        <v>12466</v>
      </c>
    </row>
    <row r="1773">
      <c r="A1773" s="2" t="s">
        <v>5264</v>
      </c>
      <c r="B1773" s="2" t="s">
        <v>12467</v>
      </c>
      <c r="C1773" s="2">
        <v>2.045831807E9</v>
      </c>
      <c r="D1773" s="2" t="s">
        <v>12468</v>
      </c>
      <c r="E1773" s="2">
        <v>21278.0</v>
      </c>
      <c r="F1773" s="2">
        <v>511.0</v>
      </c>
      <c r="G1773" s="2">
        <v>1424.0</v>
      </c>
      <c r="H1773" s="2" t="s">
        <v>5905</v>
      </c>
      <c r="I1773" s="2" t="s">
        <v>5906</v>
      </c>
      <c r="J1773" s="2" t="s">
        <v>7414</v>
      </c>
      <c r="K1773" s="2" t="s">
        <v>12469</v>
      </c>
    </row>
    <row r="1774">
      <c r="A1774" s="2" t="s">
        <v>5346</v>
      </c>
      <c r="B1774" s="2" t="s">
        <v>12470</v>
      </c>
      <c r="C1774" s="2">
        <v>1.935349784E9</v>
      </c>
      <c r="D1774" s="2" t="s">
        <v>12471</v>
      </c>
      <c r="E1774" s="2">
        <v>14742.0</v>
      </c>
      <c r="F1774" s="2">
        <v>1976.0</v>
      </c>
      <c r="G1774" s="2">
        <v>357.0</v>
      </c>
      <c r="H1774" s="2" t="s">
        <v>5905</v>
      </c>
      <c r="I1774" s="2" t="s">
        <v>5906</v>
      </c>
      <c r="J1774" s="2" t="s">
        <v>5556</v>
      </c>
      <c r="K1774" s="2" t="s">
        <v>12472</v>
      </c>
      <c r="L1774" s="10" t="s">
        <v>12473</v>
      </c>
    </row>
    <row r="1775">
      <c r="A1775" s="2" t="s">
        <v>5346</v>
      </c>
      <c r="B1775" s="2" t="s">
        <v>12474</v>
      </c>
      <c r="C1775" s="2">
        <v>2.7369896766E10</v>
      </c>
      <c r="D1775" s="2" t="s">
        <v>12475</v>
      </c>
      <c r="E1775" s="2">
        <v>26706.0</v>
      </c>
      <c r="F1775" s="2">
        <v>1993.0</v>
      </c>
      <c r="G1775" s="2">
        <v>470.0</v>
      </c>
      <c r="H1775" s="2" t="s">
        <v>5905</v>
      </c>
      <c r="I1775" s="2" t="s">
        <v>5905</v>
      </c>
      <c r="J1775" s="2" t="s">
        <v>5963</v>
      </c>
      <c r="K1775" s="2" t="s">
        <v>12476</v>
      </c>
      <c r="L1775" s="10" t="s">
        <v>12477</v>
      </c>
    </row>
    <row r="1776">
      <c r="A1776" s="2" t="s">
        <v>5346</v>
      </c>
      <c r="B1776" s="2" t="s">
        <v>12478</v>
      </c>
      <c r="C1776" s="2">
        <v>4.808064E8</v>
      </c>
      <c r="D1776" s="2" t="s">
        <v>5346</v>
      </c>
      <c r="E1776" s="2">
        <v>2726380.0</v>
      </c>
      <c r="F1776" s="2">
        <v>1161.0</v>
      </c>
      <c r="G1776" s="2">
        <v>21769.0</v>
      </c>
      <c r="H1776" s="2" t="s">
        <v>5906</v>
      </c>
      <c r="I1776" s="2" t="s">
        <v>5906</v>
      </c>
      <c r="J1776" s="2" t="s">
        <v>5518</v>
      </c>
      <c r="K1776" s="2" t="s">
        <v>12479</v>
      </c>
      <c r="L1776" s="10" t="s">
        <v>12480</v>
      </c>
    </row>
    <row r="1777">
      <c r="A1777" s="2" t="s">
        <v>5369</v>
      </c>
      <c r="B1777" s="10" t="s">
        <v>12481</v>
      </c>
      <c r="C1777" s="2">
        <v>1.952043384E9</v>
      </c>
      <c r="D1777" s="2" t="s">
        <v>12482</v>
      </c>
      <c r="E1777" s="2">
        <v>15569.0</v>
      </c>
      <c r="F1777" s="2">
        <v>7191.0</v>
      </c>
      <c r="G1777" s="2">
        <v>1427.0</v>
      </c>
      <c r="H1777" s="2" t="s">
        <v>5905</v>
      </c>
      <c r="I1777" s="2" t="s">
        <v>5905</v>
      </c>
      <c r="J1777" s="2" t="s">
        <v>7140</v>
      </c>
      <c r="K1777" s="2" t="s">
        <v>12483</v>
      </c>
      <c r="L1777" s="10" t="s">
        <v>12484</v>
      </c>
    </row>
    <row r="1778">
      <c r="A1778" s="2" t="s">
        <v>5369</v>
      </c>
      <c r="B1778" s="2" t="s">
        <v>12485</v>
      </c>
      <c r="C1778" s="2">
        <v>2.49520785E8</v>
      </c>
      <c r="D1778" s="2" t="s">
        <v>12486</v>
      </c>
      <c r="E1778" s="2">
        <v>1.1016892E7</v>
      </c>
      <c r="F1778" s="2">
        <v>1028.0</v>
      </c>
      <c r="G1778" s="2">
        <v>2116.0</v>
      </c>
      <c r="H1778" s="2" t="s">
        <v>5906</v>
      </c>
      <c r="I1778" s="2" t="s">
        <v>5905</v>
      </c>
      <c r="J1778" s="2" t="s">
        <v>6414</v>
      </c>
      <c r="K1778" s="2" t="s">
        <v>12487</v>
      </c>
      <c r="L1778" s="10" t="s">
        <v>12488</v>
      </c>
    </row>
    <row r="1779">
      <c r="A1779" s="2" t="s">
        <v>5369</v>
      </c>
      <c r="B1779" s="2" t="s">
        <v>12489</v>
      </c>
      <c r="C1779" s="2">
        <v>2388589.0</v>
      </c>
      <c r="D1779" s="2" t="s">
        <v>12490</v>
      </c>
      <c r="E1779" s="2">
        <v>5146944.0</v>
      </c>
      <c r="F1779" s="2">
        <v>591.0</v>
      </c>
      <c r="G1779" s="2">
        <v>10886.0</v>
      </c>
      <c r="H1779" s="2" t="s">
        <v>5906</v>
      </c>
      <c r="I1779" s="2" t="s">
        <v>5906</v>
      </c>
      <c r="K1779" s="2" t="s">
        <v>12491</v>
      </c>
      <c r="L1779" s="10" t="s">
        <v>12492</v>
      </c>
    </row>
    <row r="1780">
      <c r="A1780" s="2" t="s">
        <v>5369</v>
      </c>
      <c r="B1780" s="2" t="s">
        <v>12493</v>
      </c>
      <c r="C1780" s="2">
        <v>1.2906471E7</v>
      </c>
      <c r="D1780" s="2" t="s">
        <v>12494</v>
      </c>
      <c r="E1780" s="2">
        <v>192590.0</v>
      </c>
      <c r="F1780" s="2">
        <v>347.0</v>
      </c>
      <c r="G1780" s="2">
        <v>3042.0</v>
      </c>
      <c r="H1780" s="2" t="s">
        <v>5906</v>
      </c>
      <c r="I1780" s="2" t="s">
        <v>5906</v>
      </c>
      <c r="J1780" s="2" t="s">
        <v>5911</v>
      </c>
      <c r="K1780" s="2" t="s">
        <v>12495</v>
      </c>
      <c r="L1780" s="10" t="s">
        <v>12496</v>
      </c>
    </row>
    <row r="1781">
      <c r="A1781" s="2" t="s">
        <v>5369</v>
      </c>
      <c r="B1781" s="2" t="s">
        <v>12497</v>
      </c>
      <c r="C1781" s="2">
        <v>5.2692434945E10</v>
      </c>
      <c r="D1781" s="2" t="s">
        <v>12498</v>
      </c>
      <c r="E1781" s="2">
        <v>33533.0</v>
      </c>
      <c r="F1781" s="2">
        <v>13.0</v>
      </c>
      <c r="G1781" s="2">
        <v>156.0</v>
      </c>
      <c r="H1781" s="2" t="s">
        <v>5905</v>
      </c>
      <c r="I1781" s="2" t="s">
        <v>5906</v>
      </c>
      <c r="J1781" s="2" t="s">
        <v>8878</v>
      </c>
      <c r="K1781" s="2" t="s">
        <v>12499</v>
      </c>
    </row>
    <row r="1782">
      <c r="A1782" s="2" t="s">
        <v>5369</v>
      </c>
      <c r="B1782" s="2" t="s">
        <v>12500</v>
      </c>
      <c r="C1782" s="2">
        <v>4.448010471E9</v>
      </c>
      <c r="D1782" s="2" t="s">
        <v>12501</v>
      </c>
      <c r="E1782" s="2">
        <v>588058.0</v>
      </c>
      <c r="F1782" s="2">
        <v>107.0</v>
      </c>
      <c r="G1782" s="2">
        <v>4515.0</v>
      </c>
      <c r="H1782" s="2" t="s">
        <v>5906</v>
      </c>
      <c r="I1782" s="2" t="s">
        <v>5906</v>
      </c>
      <c r="J1782" s="2" t="s">
        <v>5959</v>
      </c>
      <c r="K1782" s="2" t="s">
        <v>12502</v>
      </c>
      <c r="L1782" s="10" t="s">
        <v>12503</v>
      </c>
    </row>
    <row r="1783">
      <c r="A1783" s="2" t="s">
        <v>5369</v>
      </c>
      <c r="B1783" s="2" t="s">
        <v>12504</v>
      </c>
      <c r="C1783" s="2">
        <v>3.2509990046E10</v>
      </c>
      <c r="D1783" s="2" t="s">
        <v>12505</v>
      </c>
      <c r="E1783" s="2">
        <v>2732712.0</v>
      </c>
      <c r="F1783" s="2">
        <v>72.0</v>
      </c>
      <c r="G1783" s="2">
        <v>3828.0</v>
      </c>
      <c r="H1783" s="2" t="s">
        <v>5906</v>
      </c>
      <c r="I1783" s="2" t="s">
        <v>5906</v>
      </c>
      <c r="J1783" s="2" t="s">
        <v>5907</v>
      </c>
      <c r="L1783" s="10" t="s">
        <v>12506</v>
      </c>
    </row>
    <row r="1784">
      <c r="A1784" s="2" t="s">
        <v>5369</v>
      </c>
      <c r="B1784" s="2" t="s">
        <v>12507</v>
      </c>
      <c r="C1784" s="2">
        <v>2.216244768E9</v>
      </c>
      <c r="D1784" s="2" t="s">
        <v>12508</v>
      </c>
      <c r="E1784" s="2">
        <v>1027363.0</v>
      </c>
      <c r="F1784" s="2">
        <v>644.0</v>
      </c>
      <c r="G1784" s="2">
        <v>8585.0</v>
      </c>
      <c r="H1784" s="2" t="s">
        <v>5906</v>
      </c>
      <c r="I1784" s="2" t="s">
        <v>5906</v>
      </c>
      <c r="K1784" s="2" t="s">
        <v>12509</v>
      </c>
      <c r="L1784" s="10" t="s">
        <v>12510</v>
      </c>
    </row>
    <row r="1785">
      <c r="A1785" s="2" t="s">
        <v>5369</v>
      </c>
      <c r="B1785" s="2" t="s">
        <v>12511</v>
      </c>
      <c r="C1785" s="2">
        <v>9.16371754E8</v>
      </c>
      <c r="D1785" s="2" t="s">
        <v>12512</v>
      </c>
      <c r="E1785" s="2">
        <v>333127.0</v>
      </c>
      <c r="F1785" s="2">
        <v>268.0</v>
      </c>
      <c r="G1785" s="2">
        <v>3590.0</v>
      </c>
      <c r="H1785" s="2" t="s">
        <v>5906</v>
      </c>
      <c r="I1785" s="2" t="s">
        <v>5906</v>
      </c>
      <c r="J1785" s="2" t="s">
        <v>5907</v>
      </c>
      <c r="K1785" s="2" t="s">
        <v>12513</v>
      </c>
      <c r="L1785" s="10" t="s">
        <v>12514</v>
      </c>
    </row>
    <row r="1786">
      <c r="A1786" s="2" t="s">
        <v>5369</v>
      </c>
      <c r="B1786" s="2" t="s">
        <v>12515</v>
      </c>
      <c r="C1786" s="2">
        <v>9.688631198E9</v>
      </c>
      <c r="D1786" s="2" t="s">
        <v>12516</v>
      </c>
      <c r="E1786" s="2">
        <v>993909.0</v>
      </c>
      <c r="F1786" s="2">
        <v>144.0</v>
      </c>
      <c r="G1786" s="2">
        <v>735.0</v>
      </c>
      <c r="H1786" s="2" t="s">
        <v>5906</v>
      </c>
      <c r="I1786" s="2" t="s">
        <v>5906</v>
      </c>
      <c r="J1786" s="2" t="s">
        <v>5391</v>
      </c>
      <c r="K1786" s="2" t="s">
        <v>12517</v>
      </c>
      <c r="L1786" s="10" t="s">
        <v>12518</v>
      </c>
    </row>
    <row r="1787">
      <c r="A1787" s="2" t="s">
        <v>5369</v>
      </c>
      <c r="B1787" s="2" t="s">
        <v>12519</v>
      </c>
      <c r="C1787" s="2">
        <v>7.1715577023E10</v>
      </c>
      <c r="D1787" s="2" t="s">
        <v>12520</v>
      </c>
      <c r="E1787" s="2">
        <v>1.5089392E7</v>
      </c>
      <c r="F1787" s="2">
        <v>4.0</v>
      </c>
      <c r="G1787" s="2">
        <v>201.0</v>
      </c>
      <c r="H1787" s="2" t="s">
        <v>5906</v>
      </c>
      <c r="I1787" s="2" t="s">
        <v>5905</v>
      </c>
      <c r="J1787" s="2" t="s">
        <v>8459</v>
      </c>
      <c r="K1787" s="2" t="s">
        <v>12521</v>
      </c>
      <c r="L1787" s="10" t="s">
        <v>12522</v>
      </c>
    </row>
    <row r="1788">
      <c r="A1788" s="2" t="s">
        <v>5369</v>
      </c>
      <c r="B1788" s="2" t="s">
        <v>12523</v>
      </c>
      <c r="C1788" s="2">
        <v>4.5610096595E10</v>
      </c>
      <c r="D1788" s="2" t="s">
        <v>12524</v>
      </c>
      <c r="E1788" s="2">
        <v>1.6338529E7</v>
      </c>
      <c r="F1788" s="2">
        <v>8.0</v>
      </c>
      <c r="G1788" s="2">
        <v>2322.0</v>
      </c>
      <c r="H1788" s="2" t="s">
        <v>5906</v>
      </c>
      <c r="I1788" s="2" t="s">
        <v>5906</v>
      </c>
      <c r="J1788" s="2" t="s">
        <v>11122</v>
      </c>
      <c r="K1788" s="2" t="s">
        <v>12525</v>
      </c>
      <c r="L1788" s="10" t="s">
        <v>12526</v>
      </c>
    </row>
    <row r="1789">
      <c r="A1789" s="2" t="s">
        <v>5577</v>
      </c>
      <c r="B1789" s="2" t="s">
        <v>12527</v>
      </c>
      <c r="C1789" s="2">
        <v>1.995439344E9</v>
      </c>
      <c r="D1789" s="2" t="s">
        <v>12528</v>
      </c>
      <c r="E1789" s="2">
        <v>158867.0</v>
      </c>
      <c r="F1789" s="2">
        <v>123.0</v>
      </c>
      <c r="G1789" s="2">
        <v>4382.0</v>
      </c>
      <c r="H1789" s="2" t="s">
        <v>5906</v>
      </c>
      <c r="I1789" s="2" t="s">
        <v>5906</v>
      </c>
      <c r="J1789" s="2" t="s">
        <v>5911</v>
      </c>
      <c r="K1789" s="2" t="s">
        <v>12529</v>
      </c>
      <c r="L1789" s="10" t="s">
        <v>12530</v>
      </c>
    </row>
    <row r="1790">
      <c r="A1790" s="2" t="s">
        <v>5577</v>
      </c>
      <c r="B1790" s="2" t="s">
        <v>12531</v>
      </c>
      <c r="C1790" s="2">
        <v>3.437395562E9</v>
      </c>
      <c r="D1790" s="2" t="s">
        <v>12532</v>
      </c>
      <c r="E1790" s="2">
        <v>140166.0</v>
      </c>
      <c r="F1790" s="2">
        <v>1435.0</v>
      </c>
      <c r="G1790" s="2">
        <v>3085.0</v>
      </c>
      <c r="H1790" s="2" t="s">
        <v>5906</v>
      </c>
      <c r="I1790" s="2" t="s">
        <v>5905</v>
      </c>
      <c r="J1790" s="2" t="s">
        <v>7206</v>
      </c>
      <c r="K1790" s="2" t="s">
        <v>12533</v>
      </c>
      <c r="L1790" s="10" t="s">
        <v>12534</v>
      </c>
    </row>
    <row r="1791">
      <c r="A1791" s="2" t="s">
        <v>5577</v>
      </c>
      <c r="B1791" s="2" t="s">
        <v>12535</v>
      </c>
      <c r="C1791" s="2">
        <v>7.5247225537E10</v>
      </c>
      <c r="D1791" s="2" t="s">
        <v>12536</v>
      </c>
      <c r="E1791" s="2">
        <v>29965.0</v>
      </c>
      <c r="F1791" s="2">
        <v>0.0</v>
      </c>
      <c r="G1791" s="2">
        <v>61.0</v>
      </c>
      <c r="H1791" s="2" t="s">
        <v>5905</v>
      </c>
      <c r="I1791" s="2" t="s">
        <v>5905</v>
      </c>
      <c r="J1791" s="2" t="s">
        <v>5928</v>
      </c>
      <c r="K1791" s="2" t="s">
        <v>12537</v>
      </c>
      <c r="L1791" s="10" t="s">
        <v>12538</v>
      </c>
    </row>
    <row r="1792">
      <c r="A1792" s="2" t="s">
        <v>5493</v>
      </c>
      <c r="B1792" s="2" t="s">
        <v>12539</v>
      </c>
      <c r="C1792" s="2">
        <v>3.8678647146E10</v>
      </c>
      <c r="D1792" s="2" t="s">
        <v>12540</v>
      </c>
      <c r="E1792" s="2">
        <v>160301.0</v>
      </c>
      <c r="F1792" s="2">
        <v>48.0</v>
      </c>
      <c r="G1792" s="2">
        <v>999.0</v>
      </c>
      <c r="H1792" s="2" t="s">
        <v>5905</v>
      </c>
      <c r="I1792" s="2" t="s">
        <v>5905</v>
      </c>
      <c r="J1792" s="2" t="s">
        <v>5928</v>
      </c>
      <c r="K1792" s="2" t="s">
        <v>12541</v>
      </c>
      <c r="L1792" s="10" t="s">
        <v>12542</v>
      </c>
    </row>
    <row r="1793">
      <c r="A1793" s="2" t="s">
        <v>5493</v>
      </c>
      <c r="B1793" s="2" t="s">
        <v>12543</v>
      </c>
      <c r="C1793" s="2">
        <v>4.3786864202E10</v>
      </c>
      <c r="D1793" s="2" t="s">
        <v>12544</v>
      </c>
      <c r="E1793" s="2">
        <v>74296.0</v>
      </c>
      <c r="F1793" s="2">
        <v>101.0</v>
      </c>
      <c r="G1793" s="2">
        <v>406.0</v>
      </c>
      <c r="H1793" s="2" t="s">
        <v>5905</v>
      </c>
      <c r="I1793" s="2" t="s">
        <v>5905</v>
      </c>
      <c r="J1793" s="2" t="s">
        <v>5492</v>
      </c>
      <c r="K1793" s="2" t="s">
        <v>12545</v>
      </c>
      <c r="L1793" s="10" t="s">
        <v>12546</v>
      </c>
    </row>
    <row r="1794">
      <c r="A1794" s="2" t="s">
        <v>5493</v>
      </c>
      <c r="B1794" s="2" t="s">
        <v>12547</v>
      </c>
      <c r="C1794" s="2">
        <v>7.5007571066E10</v>
      </c>
      <c r="D1794" s="2" t="s">
        <v>12548</v>
      </c>
      <c r="E1794" s="2">
        <v>189974.0</v>
      </c>
      <c r="F1794" s="2">
        <v>0.0</v>
      </c>
      <c r="G1794" s="2">
        <v>185.0</v>
      </c>
      <c r="H1794" s="2" t="s">
        <v>5905</v>
      </c>
      <c r="I1794" s="2" t="s">
        <v>5905</v>
      </c>
      <c r="J1794" s="2" t="s">
        <v>5928</v>
      </c>
      <c r="K1794" s="2" t="s">
        <v>12549</v>
      </c>
      <c r="L1794" s="10" t="s">
        <v>12550</v>
      </c>
    </row>
    <row r="1795">
      <c r="A1795" s="2" t="s">
        <v>5493</v>
      </c>
      <c r="B1795" s="2" t="s">
        <v>12551</v>
      </c>
      <c r="C1795" s="2">
        <v>3.162377933E10</v>
      </c>
      <c r="D1795" s="2" t="s">
        <v>12552</v>
      </c>
      <c r="E1795" s="2">
        <v>15507.0</v>
      </c>
      <c r="F1795" s="2">
        <v>2914.0</v>
      </c>
      <c r="G1795" s="2">
        <v>304.0</v>
      </c>
      <c r="H1795" s="2" t="s">
        <v>5905</v>
      </c>
      <c r="I1795" s="2" t="s">
        <v>5905</v>
      </c>
      <c r="J1795" s="2" t="s">
        <v>5959</v>
      </c>
      <c r="K1795" s="2" t="s">
        <v>12553</v>
      </c>
    </row>
    <row r="1796">
      <c r="A1796" s="2" t="s">
        <v>5493</v>
      </c>
      <c r="B1796" s="2" t="s">
        <v>12554</v>
      </c>
      <c r="C1796" s="2">
        <v>2.913372251E9</v>
      </c>
      <c r="D1796" s="2" t="s">
        <v>12555</v>
      </c>
      <c r="E1796" s="2">
        <v>24981.0</v>
      </c>
      <c r="F1796" s="2">
        <v>18.0</v>
      </c>
      <c r="G1796" s="2">
        <v>180.0</v>
      </c>
      <c r="H1796" s="2" t="s">
        <v>5905</v>
      </c>
      <c r="I1796" s="2" t="s">
        <v>5905</v>
      </c>
      <c r="J1796" s="2" t="s">
        <v>5928</v>
      </c>
      <c r="K1796" s="2" t="s">
        <v>12556</v>
      </c>
      <c r="L1796" s="10" t="s">
        <v>12557</v>
      </c>
    </row>
    <row r="1797">
      <c r="A1797" s="2" t="s">
        <v>5493</v>
      </c>
      <c r="B1797" s="2" t="s">
        <v>12558</v>
      </c>
      <c r="C1797" s="2">
        <v>3.061078825E9</v>
      </c>
      <c r="D1797" s="2" t="s">
        <v>12559</v>
      </c>
      <c r="E1797" s="2">
        <v>42132.0</v>
      </c>
      <c r="F1797" s="2">
        <v>962.0</v>
      </c>
      <c r="G1797" s="2">
        <v>402.0</v>
      </c>
      <c r="H1797" s="2" t="s">
        <v>5905</v>
      </c>
      <c r="I1797" s="2" t="s">
        <v>5905</v>
      </c>
      <c r="J1797" s="2" t="s">
        <v>5928</v>
      </c>
      <c r="K1797" s="2" t="s">
        <v>12560</v>
      </c>
      <c r="L1797" s="10" t="s">
        <v>12561</v>
      </c>
    </row>
    <row r="1798">
      <c r="A1798" s="2" t="s">
        <v>5493</v>
      </c>
      <c r="B1798" s="2" t="s">
        <v>12562</v>
      </c>
      <c r="C1798" s="2">
        <v>2.1448070967E10</v>
      </c>
      <c r="D1798" s="2" t="s">
        <v>12563</v>
      </c>
      <c r="E1798" s="2">
        <v>208629.0</v>
      </c>
      <c r="F1798" s="2">
        <v>1747.0</v>
      </c>
      <c r="G1798" s="2">
        <v>3040.0</v>
      </c>
      <c r="H1798" s="2" t="s">
        <v>5906</v>
      </c>
      <c r="I1798" s="2" t="s">
        <v>5905</v>
      </c>
      <c r="J1798" s="2" t="s">
        <v>5928</v>
      </c>
      <c r="K1798" s="2" t="s">
        <v>12564</v>
      </c>
      <c r="L1798" s="10" t="s">
        <v>12565</v>
      </c>
    </row>
    <row r="1799">
      <c r="A1799" s="2" t="s">
        <v>5493</v>
      </c>
      <c r="B1799" s="2" t="s">
        <v>12566</v>
      </c>
      <c r="C1799" s="2">
        <v>6.155540528E9</v>
      </c>
      <c r="D1799" s="2" t="s">
        <v>12567</v>
      </c>
      <c r="E1799" s="2">
        <v>79996.0</v>
      </c>
      <c r="F1799" s="2">
        <v>1543.0</v>
      </c>
      <c r="G1799" s="2">
        <v>1509.0</v>
      </c>
      <c r="H1799" s="2" t="s">
        <v>5905</v>
      </c>
      <c r="I1799" s="2" t="s">
        <v>5905</v>
      </c>
      <c r="J1799" s="2" t="s">
        <v>5959</v>
      </c>
      <c r="K1799" s="2" t="s">
        <v>12568</v>
      </c>
    </row>
    <row r="1800">
      <c r="A1800" s="2" t="s">
        <v>5493</v>
      </c>
      <c r="B1800" s="2" t="s">
        <v>12569</v>
      </c>
      <c r="C1800" s="2">
        <v>2.5699545394E10</v>
      </c>
      <c r="D1800" s="2" t="s">
        <v>12570</v>
      </c>
      <c r="E1800" s="2">
        <v>101847.0</v>
      </c>
      <c r="F1800" s="2">
        <v>2.0</v>
      </c>
      <c r="G1800" s="2">
        <v>1059.0</v>
      </c>
      <c r="H1800" s="2" t="s">
        <v>5905</v>
      </c>
      <c r="I1800" s="2" t="s">
        <v>5905</v>
      </c>
      <c r="J1800" s="2" t="s">
        <v>6393</v>
      </c>
      <c r="K1800" s="2" t="s">
        <v>12571</v>
      </c>
      <c r="L1800" s="10" t="s">
        <v>12572</v>
      </c>
    </row>
    <row r="1801">
      <c r="A1801" s="2" t="s">
        <v>5493</v>
      </c>
      <c r="B1801" s="2" t="s">
        <v>12573</v>
      </c>
      <c r="C1801" s="2">
        <v>2.10739427E10</v>
      </c>
      <c r="D1801" s="2" t="s">
        <v>12574</v>
      </c>
      <c r="E1801" s="2">
        <v>108162.0</v>
      </c>
      <c r="F1801" s="2">
        <v>1462.0</v>
      </c>
      <c r="G1801" s="2">
        <v>623.0</v>
      </c>
      <c r="H1801" s="2" t="s">
        <v>5905</v>
      </c>
      <c r="I1801" s="2" t="s">
        <v>5905</v>
      </c>
      <c r="J1801" s="2" t="s">
        <v>5561</v>
      </c>
      <c r="K1801" s="2" t="s">
        <v>12575</v>
      </c>
      <c r="L1801" s="10" t="s">
        <v>12576</v>
      </c>
    </row>
    <row r="1802">
      <c r="A1802" s="2" t="s">
        <v>5493</v>
      </c>
      <c r="B1802" s="2" t="s">
        <v>12577</v>
      </c>
      <c r="C1802" s="2">
        <v>6.513409818E10</v>
      </c>
      <c r="D1802" s="2" t="s">
        <v>12578</v>
      </c>
      <c r="E1802" s="2">
        <v>13559.0</v>
      </c>
      <c r="F1802" s="2">
        <v>7.0</v>
      </c>
      <c r="G1802" s="2">
        <v>285.0</v>
      </c>
      <c r="H1802" s="2" t="s">
        <v>5906</v>
      </c>
      <c r="I1802" s="2" t="s">
        <v>5905</v>
      </c>
      <c r="J1802" s="2" t="s">
        <v>5959</v>
      </c>
      <c r="K1802" s="2" t="s">
        <v>12579</v>
      </c>
      <c r="L1802" s="10" t="s">
        <v>12580</v>
      </c>
    </row>
    <row r="1803">
      <c r="A1803" s="2" t="s">
        <v>5493</v>
      </c>
      <c r="B1803" s="2" t="s">
        <v>12581</v>
      </c>
      <c r="C1803" s="2">
        <v>7.4770964016E10</v>
      </c>
      <c r="D1803" s="2" t="s">
        <v>12582</v>
      </c>
      <c r="E1803" s="2">
        <v>18772.0</v>
      </c>
      <c r="F1803" s="2">
        <v>7.0</v>
      </c>
      <c r="G1803" s="2">
        <v>20.0</v>
      </c>
      <c r="H1803" s="2" t="s">
        <v>5905</v>
      </c>
      <c r="I1803" s="2" t="s">
        <v>5905</v>
      </c>
      <c r="J1803" s="2" t="s">
        <v>5928</v>
      </c>
      <c r="K1803" s="2" t="s">
        <v>12583</v>
      </c>
    </row>
    <row r="1804">
      <c r="A1804" s="2" t="s">
        <v>5493</v>
      </c>
      <c r="B1804" s="2" t="s">
        <v>12584</v>
      </c>
      <c r="C1804" s="2">
        <v>4.6014377322E10</v>
      </c>
      <c r="D1804" s="2" t="s">
        <v>12585</v>
      </c>
      <c r="E1804" s="2">
        <v>332915.0</v>
      </c>
      <c r="F1804" s="2">
        <v>267.0</v>
      </c>
      <c r="G1804" s="2">
        <v>907.0</v>
      </c>
      <c r="H1804" s="2" t="s">
        <v>5906</v>
      </c>
      <c r="I1804" s="2" t="s">
        <v>5905</v>
      </c>
      <c r="J1804" s="2" t="s">
        <v>5959</v>
      </c>
      <c r="K1804" s="2" t="s">
        <v>12586</v>
      </c>
      <c r="L1804" s="10" t="s">
        <v>12587</v>
      </c>
    </row>
    <row r="1805">
      <c r="A1805" s="2" t="s">
        <v>5493</v>
      </c>
      <c r="B1805" s="2" t="s">
        <v>12588</v>
      </c>
      <c r="C1805" s="2">
        <v>5.4681637947E10</v>
      </c>
      <c r="D1805" s="2" t="s">
        <v>12589</v>
      </c>
      <c r="E1805" s="2">
        <v>27232.0</v>
      </c>
      <c r="F1805" s="2">
        <v>112.0</v>
      </c>
      <c r="G1805" s="2">
        <v>152.0</v>
      </c>
      <c r="H1805" s="2" t="s">
        <v>5905</v>
      </c>
      <c r="I1805" s="2" t="s">
        <v>5905</v>
      </c>
      <c r="J1805" s="2" t="s">
        <v>5492</v>
      </c>
      <c r="K1805" s="2" t="s">
        <v>12590</v>
      </c>
      <c r="L1805" s="10" t="s">
        <v>12591</v>
      </c>
    </row>
    <row r="1806">
      <c r="A1806" s="2" t="s">
        <v>5493</v>
      </c>
      <c r="B1806" s="2" t="s">
        <v>12592</v>
      </c>
      <c r="C1806" s="2">
        <v>7.2769054838E10</v>
      </c>
      <c r="D1806" s="2" t="s">
        <v>12593</v>
      </c>
      <c r="E1806" s="2">
        <v>21993.0</v>
      </c>
      <c r="F1806" s="2">
        <v>0.0</v>
      </c>
      <c r="G1806" s="2">
        <v>587.0</v>
      </c>
      <c r="H1806" s="2" t="s">
        <v>5905</v>
      </c>
      <c r="I1806" s="2" t="s">
        <v>5905</v>
      </c>
      <c r="J1806" s="2" t="s">
        <v>5928</v>
      </c>
      <c r="K1806" s="2" t="s">
        <v>12594</v>
      </c>
      <c r="L1806" s="10" t="s">
        <v>12595</v>
      </c>
    </row>
    <row r="1807">
      <c r="A1807" s="2" t="s">
        <v>5263</v>
      </c>
      <c r="B1807" s="2" t="s">
        <v>12596</v>
      </c>
      <c r="C1807" s="2">
        <v>2.08475967E8</v>
      </c>
      <c r="D1807" s="2" t="s">
        <v>12597</v>
      </c>
      <c r="E1807" s="2">
        <v>8280917.0</v>
      </c>
      <c r="F1807" s="2">
        <v>1008.0</v>
      </c>
      <c r="G1807" s="2">
        <v>18363.0</v>
      </c>
      <c r="H1807" s="2" t="s">
        <v>5906</v>
      </c>
      <c r="I1807" s="2" t="s">
        <v>5906</v>
      </c>
      <c r="K1807" s="2" t="s">
        <v>12598</v>
      </c>
      <c r="L1807" s="10" t="s">
        <v>12599</v>
      </c>
    </row>
    <row r="1808">
      <c r="A1808" s="2" t="s">
        <v>5263</v>
      </c>
      <c r="B1808" s="2" t="s">
        <v>12600</v>
      </c>
      <c r="C1808" s="2">
        <v>1.0884141E7</v>
      </c>
      <c r="D1808" s="2" t="s">
        <v>12601</v>
      </c>
      <c r="E1808" s="2">
        <v>4559814.0</v>
      </c>
      <c r="F1808" s="2">
        <v>37.0</v>
      </c>
      <c r="G1808" s="2">
        <v>54740.0</v>
      </c>
      <c r="H1808" s="2" t="s">
        <v>5906</v>
      </c>
      <c r="I1808" s="2" t="s">
        <v>5906</v>
      </c>
      <c r="J1808" s="2" t="s">
        <v>5518</v>
      </c>
      <c r="K1808" s="2" t="s">
        <v>12602</v>
      </c>
      <c r="L1808" s="10" t="s">
        <v>12603</v>
      </c>
    </row>
    <row r="1809">
      <c r="A1809" s="2" t="s">
        <v>5263</v>
      </c>
      <c r="B1809" s="2" t="s">
        <v>12604</v>
      </c>
      <c r="C1809" s="2">
        <v>9.313383143E9</v>
      </c>
      <c r="D1809" s="2" t="s">
        <v>12605</v>
      </c>
      <c r="E1809" s="2">
        <v>762680.0</v>
      </c>
      <c r="F1809" s="2">
        <v>323.0</v>
      </c>
      <c r="G1809" s="2">
        <v>4445.0</v>
      </c>
      <c r="H1809" s="2" t="s">
        <v>5906</v>
      </c>
      <c r="I1809" s="2" t="s">
        <v>5906</v>
      </c>
      <c r="K1809" s="2" t="s">
        <v>12606</v>
      </c>
      <c r="L1809" s="10" t="s">
        <v>12607</v>
      </c>
    </row>
    <row r="1810">
      <c r="A1810" s="2" t="s">
        <v>5263</v>
      </c>
      <c r="B1810" s="2" t="s">
        <v>12608</v>
      </c>
      <c r="C1810" s="2">
        <v>5.8234569227E10</v>
      </c>
      <c r="D1810" s="2" t="s">
        <v>12609</v>
      </c>
      <c r="E1810" s="2">
        <v>922653.0</v>
      </c>
      <c r="F1810" s="2">
        <v>21.0</v>
      </c>
      <c r="G1810" s="2">
        <v>3122.0</v>
      </c>
      <c r="H1810" s="2" t="s">
        <v>5905</v>
      </c>
      <c r="I1810" s="2" t="s">
        <v>5905</v>
      </c>
      <c r="J1810" s="2" t="s">
        <v>5561</v>
      </c>
      <c r="K1810" s="2" t="s">
        <v>12610</v>
      </c>
    </row>
    <row r="1811">
      <c r="A1811" s="2" t="s">
        <v>5263</v>
      </c>
      <c r="B1811" s="2" t="s">
        <v>12611</v>
      </c>
      <c r="C1811" s="2">
        <v>8.906612463E9</v>
      </c>
      <c r="D1811" s="2" t="s">
        <v>12611</v>
      </c>
      <c r="E1811" s="2">
        <v>90766.0</v>
      </c>
      <c r="F1811" s="2">
        <v>1727.0</v>
      </c>
      <c r="G1811" s="2">
        <v>12525.0</v>
      </c>
      <c r="H1811" s="2" t="s">
        <v>5905</v>
      </c>
      <c r="I1811" s="2" t="s">
        <v>5905</v>
      </c>
      <c r="J1811" s="2" t="s">
        <v>5561</v>
      </c>
      <c r="K1811" s="2" t="s">
        <v>12612</v>
      </c>
    </row>
    <row r="1812">
      <c r="A1812" s="2" t="s">
        <v>5263</v>
      </c>
      <c r="B1812" s="2" t="s">
        <v>12613</v>
      </c>
      <c r="C1812" s="2">
        <v>2.26876906E8</v>
      </c>
      <c r="D1812" s="2" t="s">
        <v>12614</v>
      </c>
      <c r="E1812" s="2">
        <v>1.0651429E7</v>
      </c>
      <c r="F1812" s="2">
        <v>35.0</v>
      </c>
      <c r="G1812" s="2">
        <v>11677.0</v>
      </c>
      <c r="H1812" s="2" t="s">
        <v>5906</v>
      </c>
      <c r="I1812" s="2" t="s">
        <v>5906</v>
      </c>
      <c r="K1812" s="2" t="s">
        <v>12615</v>
      </c>
      <c r="L1812" s="10" t="s">
        <v>12616</v>
      </c>
    </row>
    <row r="1813">
      <c r="A1813" s="2" t="s">
        <v>5263</v>
      </c>
      <c r="B1813" s="2" t="s">
        <v>12617</v>
      </c>
      <c r="C1813" s="2">
        <v>2.94574097E8</v>
      </c>
      <c r="E1813" s="2">
        <v>831336.0</v>
      </c>
      <c r="F1813" s="2">
        <v>401.0</v>
      </c>
      <c r="G1813" s="2">
        <v>2156.0</v>
      </c>
      <c r="H1813" s="2" t="s">
        <v>5905</v>
      </c>
      <c r="I1813" s="2" t="s">
        <v>5906</v>
      </c>
      <c r="J1813" s="2" t="s">
        <v>5561</v>
      </c>
    </row>
    <row r="1814">
      <c r="A1814" s="2" t="s">
        <v>5263</v>
      </c>
      <c r="B1814" s="2" t="s">
        <v>12618</v>
      </c>
      <c r="C1814" s="2">
        <v>5.2147958E8</v>
      </c>
      <c r="D1814" s="2" t="s">
        <v>12619</v>
      </c>
      <c r="E1814" s="2">
        <v>3485268.0</v>
      </c>
      <c r="F1814" s="2">
        <v>29.0</v>
      </c>
      <c r="G1814" s="2">
        <v>19756.0</v>
      </c>
      <c r="H1814" s="2" t="s">
        <v>5906</v>
      </c>
      <c r="I1814" s="2" t="s">
        <v>5906</v>
      </c>
      <c r="J1814" s="2" t="s">
        <v>5518</v>
      </c>
      <c r="K1814" s="2" t="s">
        <v>12620</v>
      </c>
      <c r="L1814" s="10" t="s">
        <v>12621</v>
      </c>
    </row>
    <row r="1815">
      <c r="A1815" s="2" t="s">
        <v>5263</v>
      </c>
      <c r="B1815" s="2" t="s">
        <v>12622</v>
      </c>
      <c r="C1815" s="2">
        <v>3.14834803E8</v>
      </c>
      <c r="D1815" s="2" t="s">
        <v>12623</v>
      </c>
      <c r="E1815" s="2">
        <v>7822918.0</v>
      </c>
      <c r="F1815" s="2">
        <v>50.0</v>
      </c>
      <c r="G1815" s="2">
        <v>20284.0</v>
      </c>
      <c r="H1815" s="2" t="s">
        <v>5906</v>
      </c>
      <c r="I1815" s="2" t="s">
        <v>5906</v>
      </c>
      <c r="J1815" s="2" t="s">
        <v>5518</v>
      </c>
      <c r="K1815" s="2" t="s">
        <v>12624</v>
      </c>
      <c r="L1815" s="10" t="s">
        <v>12625</v>
      </c>
    </row>
    <row r="1816">
      <c r="A1816" s="2" t="s">
        <v>5263</v>
      </c>
      <c r="B1816" s="2" t="s">
        <v>9632</v>
      </c>
      <c r="C1816" s="2">
        <v>1.98154074E8</v>
      </c>
      <c r="D1816" s="2" t="s">
        <v>5263</v>
      </c>
      <c r="E1816" s="2">
        <v>5.1192525E7</v>
      </c>
      <c r="F1816" s="2">
        <v>418.0</v>
      </c>
      <c r="G1816" s="2">
        <v>16992.0</v>
      </c>
      <c r="H1816" s="2" t="s">
        <v>5906</v>
      </c>
      <c r="I1816" s="2" t="s">
        <v>5906</v>
      </c>
      <c r="K1816" s="2" t="s">
        <v>9633</v>
      </c>
      <c r="L1816" s="10" t="s">
        <v>9634</v>
      </c>
    </row>
    <row r="1817">
      <c r="A1817" s="2" t="s">
        <v>5263</v>
      </c>
      <c r="B1817" s="2" t="s">
        <v>12626</v>
      </c>
      <c r="C1817" s="2">
        <v>2.2619435E7</v>
      </c>
      <c r="D1817" s="2" t="s">
        <v>12627</v>
      </c>
      <c r="E1817" s="2">
        <v>1.0070195E7</v>
      </c>
      <c r="F1817" s="2">
        <v>492.0</v>
      </c>
      <c r="G1817" s="2">
        <v>14582.0</v>
      </c>
      <c r="H1817" s="2" t="s">
        <v>5906</v>
      </c>
      <c r="I1817" s="2" t="s">
        <v>5906</v>
      </c>
      <c r="K1817" s="2" t="s">
        <v>12628</v>
      </c>
      <c r="L1817" s="10" t="s">
        <v>12629</v>
      </c>
    </row>
    <row r="1818">
      <c r="A1818" s="2" t="s">
        <v>5263</v>
      </c>
      <c r="B1818" s="2" t="s">
        <v>12630</v>
      </c>
      <c r="C1818" s="2">
        <v>1.98364373E8</v>
      </c>
      <c r="D1818" s="2" t="s">
        <v>12631</v>
      </c>
      <c r="E1818" s="2">
        <v>867911.0</v>
      </c>
      <c r="F1818" s="2">
        <v>355.0</v>
      </c>
      <c r="G1818" s="2">
        <v>7629.0</v>
      </c>
      <c r="H1818" s="2" t="s">
        <v>5906</v>
      </c>
      <c r="I1818" s="2" t="s">
        <v>5906</v>
      </c>
      <c r="L1818" s="10" t="s">
        <v>12632</v>
      </c>
    </row>
    <row r="1819">
      <c r="A1819" s="2" t="s">
        <v>5263</v>
      </c>
      <c r="B1819" s="2" t="s">
        <v>12633</v>
      </c>
      <c r="C1819" s="2">
        <v>1918282.0</v>
      </c>
      <c r="D1819" s="2" t="s">
        <v>12634</v>
      </c>
      <c r="E1819" s="2">
        <v>2612189.0</v>
      </c>
      <c r="F1819" s="2">
        <v>222.0</v>
      </c>
      <c r="G1819" s="2">
        <v>14356.0</v>
      </c>
      <c r="H1819" s="2" t="s">
        <v>5906</v>
      </c>
      <c r="I1819" s="2" t="s">
        <v>5906</v>
      </c>
      <c r="K1819" s="2" t="s">
        <v>12635</v>
      </c>
      <c r="L1819" s="10" t="s">
        <v>12636</v>
      </c>
    </row>
    <row r="1820">
      <c r="A1820" s="2" t="s">
        <v>5263</v>
      </c>
      <c r="B1820" s="2" t="s">
        <v>12637</v>
      </c>
      <c r="C1820" s="2">
        <v>3.583286507E9</v>
      </c>
      <c r="D1820" s="2" t="s">
        <v>12638</v>
      </c>
      <c r="E1820" s="2">
        <v>934086.0</v>
      </c>
      <c r="F1820" s="2">
        <v>131.0</v>
      </c>
      <c r="G1820" s="2">
        <v>5035.0</v>
      </c>
      <c r="H1820" s="2" t="s">
        <v>5906</v>
      </c>
      <c r="I1820" s="2" t="s">
        <v>5906</v>
      </c>
      <c r="J1820" s="2" t="s">
        <v>5518</v>
      </c>
      <c r="K1820" s="2" t="s">
        <v>12639</v>
      </c>
      <c r="L1820" s="10" t="s">
        <v>12640</v>
      </c>
    </row>
    <row r="1821">
      <c r="A1821" s="2" t="s">
        <v>5438</v>
      </c>
      <c r="B1821" s="2" t="s">
        <v>12641</v>
      </c>
      <c r="C1821" s="2">
        <v>6.5087704286E10</v>
      </c>
      <c r="D1821" s="2" t="s">
        <v>12642</v>
      </c>
      <c r="E1821" s="2">
        <v>19161.0</v>
      </c>
      <c r="F1821" s="2">
        <v>8.0</v>
      </c>
      <c r="G1821" s="2">
        <v>311.0</v>
      </c>
      <c r="H1821" s="2" t="s">
        <v>5905</v>
      </c>
      <c r="I1821" s="2" t="s">
        <v>5905</v>
      </c>
      <c r="J1821" s="2" t="s">
        <v>5959</v>
      </c>
      <c r="K1821" s="2" t="s">
        <v>12643</v>
      </c>
    </row>
    <row r="1822">
      <c r="A1822" s="2" t="s">
        <v>5438</v>
      </c>
      <c r="B1822" s="2" t="s">
        <v>12644</v>
      </c>
      <c r="C1822" s="2">
        <v>5.6660549978E10</v>
      </c>
      <c r="D1822" s="2" t="s">
        <v>12645</v>
      </c>
      <c r="E1822" s="2">
        <v>229306.0</v>
      </c>
      <c r="F1822" s="2">
        <v>289.0</v>
      </c>
      <c r="G1822" s="2">
        <v>442.0</v>
      </c>
      <c r="H1822" s="2" t="s">
        <v>5905</v>
      </c>
      <c r="I1822" s="2" t="s">
        <v>5906</v>
      </c>
      <c r="J1822" s="2" t="s">
        <v>5959</v>
      </c>
      <c r="K1822" s="2" t="s">
        <v>12646</v>
      </c>
      <c r="L1822" s="10" t="s">
        <v>12647</v>
      </c>
    </row>
    <row r="1823">
      <c r="A1823" s="2" t="s">
        <v>5438</v>
      </c>
      <c r="B1823" s="2" t="s">
        <v>12648</v>
      </c>
      <c r="C1823" s="2">
        <v>3.509404501E9</v>
      </c>
      <c r="D1823" s="2" t="s">
        <v>12649</v>
      </c>
      <c r="E1823" s="2">
        <v>42004.0</v>
      </c>
      <c r="F1823" s="2">
        <v>3985.0</v>
      </c>
      <c r="G1823" s="2">
        <v>434.0</v>
      </c>
      <c r="H1823" s="2" t="s">
        <v>5905</v>
      </c>
      <c r="I1823" s="2" t="s">
        <v>5906</v>
      </c>
      <c r="J1823" s="2" t="s">
        <v>6161</v>
      </c>
      <c r="K1823" s="2" t="s">
        <v>12650</v>
      </c>
    </row>
    <row r="1824">
      <c r="A1824" s="2" t="s">
        <v>5438</v>
      </c>
      <c r="B1824" s="2" t="s">
        <v>12651</v>
      </c>
      <c r="C1824" s="2">
        <v>1.601033431E9</v>
      </c>
      <c r="D1824" s="2" t="s">
        <v>12652</v>
      </c>
      <c r="E1824" s="2">
        <v>998122.0</v>
      </c>
      <c r="F1824" s="2">
        <v>0.0</v>
      </c>
      <c r="G1824" s="2">
        <v>1760.0</v>
      </c>
      <c r="H1824" s="2" t="s">
        <v>5906</v>
      </c>
      <c r="I1824" s="2" t="s">
        <v>5906</v>
      </c>
      <c r="J1824" s="2" t="s">
        <v>5963</v>
      </c>
      <c r="K1824" s="10" t="s">
        <v>12653</v>
      </c>
      <c r="L1824" s="10" t="s">
        <v>12654</v>
      </c>
    </row>
    <row r="1825">
      <c r="A1825" s="2" t="s">
        <v>5438</v>
      </c>
      <c r="B1825" s="2" t="s">
        <v>12655</v>
      </c>
      <c r="C1825" s="2">
        <v>2.76005387E8</v>
      </c>
      <c r="D1825" s="2" t="s">
        <v>12656</v>
      </c>
      <c r="E1825" s="2">
        <v>73175.0</v>
      </c>
      <c r="F1825" s="2">
        <v>2477.0</v>
      </c>
      <c r="G1825" s="2">
        <v>6427.0</v>
      </c>
      <c r="H1825" s="2" t="s">
        <v>5905</v>
      </c>
      <c r="I1825" s="2" t="s">
        <v>5906</v>
      </c>
      <c r="J1825" s="2" t="s">
        <v>5963</v>
      </c>
      <c r="K1825" s="2" t="s">
        <v>12657</v>
      </c>
      <c r="L1825" s="10" t="s">
        <v>12658</v>
      </c>
    </row>
    <row r="1826">
      <c r="A1826" s="2" t="s">
        <v>5438</v>
      </c>
      <c r="B1826" s="2" t="s">
        <v>12659</v>
      </c>
      <c r="C1826" s="2">
        <v>6.16098281E8</v>
      </c>
      <c r="D1826" s="2" t="s">
        <v>12659</v>
      </c>
      <c r="E1826" s="2">
        <v>153106.0</v>
      </c>
      <c r="F1826" s="2">
        <v>1235.0</v>
      </c>
      <c r="G1826" s="2">
        <v>2545.0</v>
      </c>
      <c r="H1826" s="2" t="s">
        <v>5905</v>
      </c>
      <c r="I1826" s="2" t="s">
        <v>5906</v>
      </c>
      <c r="J1826" s="2" t="s">
        <v>5963</v>
      </c>
      <c r="K1826" s="2" t="s">
        <v>12660</v>
      </c>
      <c r="L1826" s="10" t="s">
        <v>12661</v>
      </c>
    </row>
    <row r="1827">
      <c r="A1827" s="2" t="s">
        <v>5438</v>
      </c>
      <c r="B1827" s="2" t="s">
        <v>12662</v>
      </c>
      <c r="C1827" s="2">
        <v>1.0090681E7</v>
      </c>
      <c r="D1827" s="2" t="s">
        <v>5438</v>
      </c>
      <c r="E1827" s="2">
        <v>1427293.0</v>
      </c>
      <c r="F1827" s="2">
        <v>39.0</v>
      </c>
      <c r="G1827" s="2">
        <v>732.0</v>
      </c>
      <c r="H1827" s="2" t="s">
        <v>5906</v>
      </c>
      <c r="I1827" s="2" t="s">
        <v>5906</v>
      </c>
      <c r="K1827" s="2" t="s">
        <v>12663</v>
      </c>
      <c r="L1827" s="10" t="s">
        <v>12664</v>
      </c>
    </row>
    <row r="1828">
      <c r="A1828" s="2" t="s">
        <v>5438</v>
      </c>
      <c r="B1828" s="2" t="s">
        <v>12665</v>
      </c>
      <c r="C1828" s="2">
        <v>3.246979779E10</v>
      </c>
      <c r="D1828" s="2" t="s">
        <v>12666</v>
      </c>
      <c r="E1828" s="2">
        <v>35137.0</v>
      </c>
      <c r="F1828" s="2">
        <v>744.0</v>
      </c>
      <c r="G1828" s="2">
        <v>382.0</v>
      </c>
      <c r="H1828" s="2" t="s">
        <v>5905</v>
      </c>
      <c r="I1828" s="2" t="s">
        <v>5906</v>
      </c>
      <c r="J1828" s="2" t="s">
        <v>12667</v>
      </c>
      <c r="K1828" s="2" t="s">
        <v>12668</v>
      </c>
      <c r="L1828" s="10" t="s">
        <v>12669</v>
      </c>
    </row>
    <row r="1829">
      <c r="A1829" s="2" t="s">
        <v>5556</v>
      </c>
      <c r="B1829" s="2" t="s">
        <v>12670</v>
      </c>
      <c r="C1829" s="2">
        <v>9937329.0</v>
      </c>
      <c r="D1829" s="2" t="s">
        <v>12671</v>
      </c>
      <c r="E1829" s="2">
        <v>46191.0</v>
      </c>
      <c r="F1829" s="2">
        <v>1522.0</v>
      </c>
      <c r="G1829" s="2">
        <v>1457.0</v>
      </c>
      <c r="H1829" s="2" t="s">
        <v>5905</v>
      </c>
      <c r="I1829" s="2" t="s">
        <v>5906</v>
      </c>
      <c r="J1829" s="2" t="s">
        <v>5391</v>
      </c>
      <c r="K1829" s="2" t="s">
        <v>12672</v>
      </c>
      <c r="L1829" s="10" t="s">
        <v>12673</v>
      </c>
    </row>
    <row r="1830">
      <c r="A1830" s="2" t="s">
        <v>5556</v>
      </c>
      <c r="B1830" s="2" t="s">
        <v>12674</v>
      </c>
      <c r="C1830" s="2">
        <v>4.3167011593E10</v>
      </c>
      <c r="D1830" s="2" t="s">
        <v>12675</v>
      </c>
      <c r="E1830" s="2">
        <v>61383.0</v>
      </c>
      <c r="F1830" s="2">
        <v>1985.0</v>
      </c>
      <c r="G1830" s="2">
        <v>88.0</v>
      </c>
      <c r="H1830" s="2" t="s">
        <v>5905</v>
      </c>
      <c r="I1830" s="2" t="s">
        <v>5905</v>
      </c>
      <c r="J1830" s="2" t="s">
        <v>5959</v>
      </c>
      <c r="K1830" s="2" t="s">
        <v>12676</v>
      </c>
      <c r="L1830" s="10" t="s">
        <v>12677</v>
      </c>
    </row>
    <row r="1831">
      <c r="A1831" s="2" t="s">
        <v>5556</v>
      </c>
      <c r="B1831" s="2" t="s">
        <v>12678</v>
      </c>
      <c r="C1831" s="2">
        <v>5.81116318E8</v>
      </c>
      <c r="D1831" s="2" t="s">
        <v>12679</v>
      </c>
      <c r="E1831" s="2">
        <v>10240.0</v>
      </c>
      <c r="F1831" s="2">
        <v>53.0</v>
      </c>
      <c r="G1831" s="2">
        <v>395.0</v>
      </c>
      <c r="H1831" s="2" t="s">
        <v>5906</v>
      </c>
      <c r="I1831" s="2" t="s">
        <v>5906</v>
      </c>
      <c r="J1831" s="2" t="s">
        <v>7669</v>
      </c>
      <c r="K1831" s="2" t="s">
        <v>12680</v>
      </c>
      <c r="L1831" s="10" t="s">
        <v>12681</v>
      </c>
    </row>
    <row r="1832">
      <c r="A1832" s="2" t="s">
        <v>5556</v>
      </c>
      <c r="B1832" s="2" t="s">
        <v>12682</v>
      </c>
      <c r="C1832" s="2">
        <v>3.087894704E9</v>
      </c>
      <c r="D1832" s="2" t="s">
        <v>12683</v>
      </c>
      <c r="E1832" s="2">
        <v>43061.0</v>
      </c>
      <c r="F1832" s="2">
        <v>1818.0</v>
      </c>
      <c r="G1832" s="2">
        <v>187.0</v>
      </c>
      <c r="H1832" s="2" t="s">
        <v>5905</v>
      </c>
      <c r="I1832" s="2" t="s">
        <v>5905</v>
      </c>
      <c r="J1832" s="2" t="s">
        <v>6414</v>
      </c>
      <c r="K1832" s="2" t="s">
        <v>12684</v>
      </c>
      <c r="L1832" s="10" t="s">
        <v>12685</v>
      </c>
    </row>
    <row r="1833">
      <c r="A1833" s="2" t="s">
        <v>5556</v>
      </c>
      <c r="B1833" s="2" t="s">
        <v>12686</v>
      </c>
      <c r="C1833" s="2">
        <v>4.6623256687E10</v>
      </c>
      <c r="D1833" s="2" t="s">
        <v>12687</v>
      </c>
      <c r="E1833" s="2">
        <v>10796.0</v>
      </c>
      <c r="F1833" s="2">
        <v>833.0</v>
      </c>
      <c r="G1833" s="2">
        <v>735.0</v>
      </c>
      <c r="H1833" s="2" t="s">
        <v>5906</v>
      </c>
      <c r="I1833" s="2" t="s">
        <v>5906</v>
      </c>
      <c r="J1833" s="2" t="s">
        <v>5391</v>
      </c>
      <c r="K1833" s="2" t="s">
        <v>12688</v>
      </c>
      <c r="L1833" s="10" t="s">
        <v>12689</v>
      </c>
    </row>
    <row r="1834">
      <c r="A1834" s="2" t="s">
        <v>5556</v>
      </c>
      <c r="B1834" s="2" t="s">
        <v>12690</v>
      </c>
      <c r="C1834" s="2">
        <v>6.6240707324E10</v>
      </c>
      <c r="D1834" s="2" t="s">
        <v>12691</v>
      </c>
      <c r="E1834" s="2">
        <v>46599.0</v>
      </c>
      <c r="F1834" s="2">
        <v>31.0</v>
      </c>
      <c r="G1834" s="2">
        <v>1514.0</v>
      </c>
      <c r="H1834" s="2" t="s">
        <v>5905</v>
      </c>
      <c r="I1834" s="2" t="s">
        <v>5906</v>
      </c>
      <c r="J1834" s="2" t="s">
        <v>12692</v>
      </c>
      <c r="K1834" s="2" t="s">
        <v>12693</v>
      </c>
    </row>
    <row r="1835">
      <c r="A1835" s="2" t="s">
        <v>5556</v>
      </c>
      <c r="B1835" s="2" t="s">
        <v>12694</v>
      </c>
      <c r="C1835" s="2">
        <v>2.51532689E8</v>
      </c>
      <c r="D1835" s="2" t="s">
        <v>12695</v>
      </c>
      <c r="E1835" s="2">
        <v>612717.0</v>
      </c>
      <c r="F1835" s="2">
        <v>2955265.0</v>
      </c>
      <c r="G1835" s="2">
        <v>16.0</v>
      </c>
      <c r="H1835" s="2" t="s">
        <v>5905</v>
      </c>
      <c r="I1835" s="2" t="s">
        <v>5905</v>
      </c>
      <c r="J1835" s="2" t="s">
        <v>7059</v>
      </c>
      <c r="K1835" s="2" t="s">
        <v>12696</v>
      </c>
      <c r="L1835" s="10" t="s">
        <v>12697</v>
      </c>
    </row>
    <row r="1836">
      <c r="A1836" s="2" t="s">
        <v>5556</v>
      </c>
      <c r="B1836" s="10" t="s">
        <v>12698</v>
      </c>
      <c r="C1836" s="2">
        <v>4.4453645721E10</v>
      </c>
      <c r="D1836" s="2" t="s">
        <v>12699</v>
      </c>
      <c r="E1836" s="2">
        <v>110954.0</v>
      </c>
      <c r="F1836" s="2">
        <v>6.0</v>
      </c>
      <c r="G1836" s="2">
        <v>127.0</v>
      </c>
      <c r="H1836" s="2" t="s">
        <v>5906</v>
      </c>
      <c r="I1836" s="2" t="s">
        <v>5906</v>
      </c>
      <c r="J1836" s="2" t="s">
        <v>12700</v>
      </c>
      <c r="K1836" s="2" t="s">
        <v>12701</v>
      </c>
      <c r="L1836" s="10" t="s">
        <v>12702</v>
      </c>
    </row>
    <row r="1837">
      <c r="A1837" s="2" t="s">
        <v>5305</v>
      </c>
      <c r="B1837" s="2" t="s">
        <v>12703</v>
      </c>
      <c r="C1837" s="2">
        <v>1.8371369E7</v>
      </c>
      <c r="D1837" s="2" t="s">
        <v>12704</v>
      </c>
      <c r="E1837" s="2">
        <v>2084190.0</v>
      </c>
      <c r="F1837" s="2">
        <v>68.0</v>
      </c>
      <c r="G1837" s="2">
        <v>11585.0</v>
      </c>
      <c r="H1837" s="2" t="s">
        <v>5906</v>
      </c>
      <c r="I1837" s="2" t="s">
        <v>5906</v>
      </c>
      <c r="K1837" s="2" t="s">
        <v>12705</v>
      </c>
      <c r="L1837" s="10" t="s">
        <v>12706</v>
      </c>
    </row>
    <row r="1838">
      <c r="A1838" s="2" t="s">
        <v>5305</v>
      </c>
      <c r="B1838" s="2" t="s">
        <v>12707</v>
      </c>
      <c r="C1838" s="2">
        <v>5.798136873E9</v>
      </c>
      <c r="D1838" s="2" t="s">
        <v>12708</v>
      </c>
      <c r="E1838" s="2">
        <v>24463.0</v>
      </c>
      <c r="F1838" s="2">
        <v>4466.0</v>
      </c>
      <c r="G1838" s="2">
        <v>267.0</v>
      </c>
      <c r="H1838" s="2" t="s">
        <v>5905</v>
      </c>
      <c r="I1838" s="2" t="s">
        <v>5905</v>
      </c>
      <c r="J1838" s="2" t="s">
        <v>6393</v>
      </c>
      <c r="K1838" s="2" t="s">
        <v>12709</v>
      </c>
    </row>
    <row r="1839">
      <c r="A1839" s="2" t="s">
        <v>5305</v>
      </c>
      <c r="B1839" s="2" t="s">
        <v>12710</v>
      </c>
      <c r="C1839" s="2">
        <v>5.743628081E9</v>
      </c>
      <c r="D1839" s="2" t="s">
        <v>12711</v>
      </c>
      <c r="E1839" s="2">
        <v>519917.0</v>
      </c>
      <c r="F1839" s="2">
        <v>185.0</v>
      </c>
      <c r="G1839" s="2">
        <v>2466.0</v>
      </c>
      <c r="H1839" s="2" t="s">
        <v>5905</v>
      </c>
      <c r="I1839" s="2" t="s">
        <v>5905</v>
      </c>
      <c r="J1839" s="2" t="s">
        <v>5492</v>
      </c>
      <c r="K1839" s="2" t="s">
        <v>12712</v>
      </c>
    </row>
    <row r="1840">
      <c r="A1840" s="2" t="s">
        <v>5305</v>
      </c>
      <c r="B1840" s="2" t="s">
        <v>12713</v>
      </c>
      <c r="C1840" s="2">
        <v>1.985061045E9</v>
      </c>
      <c r="D1840" s="2" t="s">
        <v>12714</v>
      </c>
      <c r="E1840" s="2">
        <v>20966.0</v>
      </c>
      <c r="F1840" s="2">
        <v>16.0</v>
      </c>
      <c r="G1840" s="2">
        <v>395.0</v>
      </c>
      <c r="H1840" s="2" t="s">
        <v>5906</v>
      </c>
      <c r="I1840" s="2" t="s">
        <v>5906</v>
      </c>
      <c r="J1840" s="2" t="s">
        <v>12715</v>
      </c>
      <c r="K1840" s="2" t="s">
        <v>12716</v>
      </c>
      <c r="L1840" s="10" t="s">
        <v>12717</v>
      </c>
    </row>
    <row r="1841">
      <c r="A1841" s="2" t="s">
        <v>5526</v>
      </c>
      <c r="B1841" s="2" t="s">
        <v>12718</v>
      </c>
      <c r="C1841" s="2">
        <v>4.777608751E10</v>
      </c>
      <c r="D1841" s="2" t="s">
        <v>12719</v>
      </c>
      <c r="E1841" s="2">
        <v>20431.0</v>
      </c>
      <c r="F1841" s="2">
        <v>33.0</v>
      </c>
      <c r="G1841" s="2">
        <v>397.0</v>
      </c>
      <c r="H1841" s="2" t="s">
        <v>5905</v>
      </c>
      <c r="I1841" s="2" t="s">
        <v>5905</v>
      </c>
      <c r="J1841" s="2" t="s">
        <v>5928</v>
      </c>
      <c r="K1841" s="2" t="s">
        <v>12720</v>
      </c>
      <c r="L1841" s="10" t="s">
        <v>12721</v>
      </c>
    </row>
    <row r="1842">
      <c r="A1842" s="2" t="s">
        <v>5526</v>
      </c>
      <c r="B1842" s="2" t="s">
        <v>12722</v>
      </c>
      <c r="C1842" s="2">
        <v>1.0846075563E10</v>
      </c>
      <c r="D1842" s="2" t="s">
        <v>12723</v>
      </c>
      <c r="E1842" s="2">
        <v>12777.0</v>
      </c>
      <c r="F1842" s="2">
        <v>411.0</v>
      </c>
      <c r="G1842" s="2">
        <v>792.0</v>
      </c>
      <c r="H1842" s="2" t="s">
        <v>5905</v>
      </c>
      <c r="I1842" s="2" t="s">
        <v>5905</v>
      </c>
      <c r="J1842" s="2" t="s">
        <v>12724</v>
      </c>
      <c r="K1842" s="2" t="s">
        <v>12725</v>
      </c>
      <c r="L1842" s="10" t="s">
        <v>12726</v>
      </c>
    </row>
    <row r="1843">
      <c r="A1843" s="2" t="s">
        <v>5333</v>
      </c>
      <c r="B1843" s="2" t="s">
        <v>12727</v>
      </c>
      <c r="C1843" s="2">
        <v>6.8662705878E10</v>
      </c>
      <c r="D1843" s="2" t="s">
        <v>12728</v>
      </c>
      <c r="E1843" s="2">
        <v>154183.0</v>
      </c>
      <c r="F1843" s="2">
        <v>0.0</v>
      </c>
      <c r="G1843" s="2">
        <v>232.0</v>
      </c>
      <c r="H1843" s="2" t="s">
        <v>5905</v>
      </c>
      <c r="I1843" s="2" t="s">
        <v>5906</v>
      </c>
      <c r="J1843" s="2" t="s">
        <v>5911</v>
      </c>
      <c r="K1843" s="2" t="s">
        <v>12729</v>
      </c>
      <c r="L1843" s="10" t="s">
        <v>12730</v>
      </c>
    </row>
    <row r="1844">
      <c r="A1844" s="2" t="s">
        <v>5333</v>
      </c>
      <c r="B1844" s="2" t="s">
        <v>12731</v>
      </c>
      <c r="C1844" s="2">
        <v>3.6860502951E10</v>
      </c>
      <c r="D1844" s="2" t="s">
        <v>12732</v>
      </c>
      <c r="E1844" s="2">
        <v>140033.0</v>
      </c>
      <c r="F1844" s="2">
        <v>0.0</v>
      </c>
      <c r="G1844" s="2">
        <v>662.0</v>
      </c>
      <c r="H1844" s="2" t="s">
        <v>5906</v>
      </c>
      <c r="I1844" s="2" t="s">
        <v>5905</v>
      </c>
      <c r="J1844" s="2" t="s">
        <v>5518</v>
      </c>
      <c r="K1844" s="2" t="s">
        <v>12733</v>
      </c>
    </row>
    <row r="1845">
      <c r="A1845" s="2" t="s">
        <v>5333</v>
      </c>
      <c r="B1845" s="2" t="s">
        <v>12734</v>
      </c>
      <c r="C1845" s="2">
        <v>3.02627352E8</v>
      </c>
      <c r="D1845" s="2" t="s">
        <v>12735</v>
      </c>
      <c r="E1845" s="2">
        <v>416401.0</v>
      </c>
      <c r="F1845" s="2">
        <v>824.0</v>
      </c>
      <c r="G1845" s="2">
        <v>11099.0</v>
      </c>
      <c r="H1845" s="2" t="s">
        <v>5906</v>
      </c>
      <c r="I1845" s="2" t="s">
        <v>5906</v>
      </c>
      <c r="K1845" s="2" t="s">
        <v>12736</v>
      </c>
      <c r="L1845" s="10" t="s">
        <v>12737</v>
      </c>
    </row>
    <row r="1846">
      <c r="A1846" s="2" t="s">
        <v>5333</v>
      </c>
      <c r="B1846" s="2" t="s">
        <v>9635</v>
      </c>
      <c r="C1846" s="2">
        <v>1.46182543E8</v>
      </c>
      <c r="D1846" s="2" t="s">
        <v>5333</v>
      </c>
      <c r="E1846" s="2">
        <v>4056943.0</v>
      </c>
      <c r="F1846" s="2">
        <v>484.0</v>
      </c>
      <c r="G1846" s="2">
        <v>11026.0</v>
      </c>
      <c r="H1846" s="2" t="s">
        <v>5906</v>
      </c>
      <c r="I1846" s="2" t="s">
        <v>5906</v>
      </c>
      <c r="K1846" s="2" t="s">
        <v>9636</v>
      </c>
      <c r="L1846" s="10" t="s">
        <v>9637</v>
      </c>
    </row>
    <row r="1847">
      <c r="A1847" s="2" t="s">
        <v>5333</v>
      </c>
      <c r="B1847" s="2" t="s">
        <v>12738</v>
      </c>
      <c r="C1847" s="2">
        <v>5.742991207E10</v>
      </c>
      <c r="D1847" s="2" t="s">
        <v>12739</v>
      </c>
      <c r="E1847" s="2">
        <v>27202.0</v>
      </c>
      <c r="F1847" s="2">
        <v>303.0</v>
      </c>
      <c r="G1847" s="2">
        <v>159.0</v>
      </c>
      <c r="H1847" s="2" t="s">
        <v>5905</v>
      </c>
      <c r="I1847" s="2" t="s">
        <v>5906</v>
      </c>
      <c r="J1847" s="2" t="s">
        <v>5480</v>
      </c>
    </row>
    <row r="1848">
      <c r="A1848" s="2" t="s">
        <v>5323</v>
      </c>
      <c r="B1848" s="2" t="s">
        <v>12740</v>
      </c>
      <c r="C1848" s="2">
        <v>2.052849377E9</v>
      </c>
      <c r="D1848" s="2" t="s">
        <v>12741</v>
      </c>
      <c r="E1848" s="2">
        <v>172340.0</v>
      </c>
      <c r="F1848" s="2">
        <v>1140.0</v>
      </c>
      <c r="G1848" s="2">
        <v>5846.0</v>
      </c>
      <c r="H1848" s="2" t="s">
        <v>5905</v>
      </c>
      <c r="I1848" s="2" t="s">
        <v>5906</v>
      </c>
      <c r="J1848" s="2" t="s">
        <v>6745</v>
      </c>
      <c r="K1848" s="2" t="s">
        <v>12742</v>
      </c>
      <c r="L1848" s="10" t="s">
        <v>12743</v>
      </c>
    </row>
    <row r="1849">
      <c r="A1849" s="2" t="s">
        <v>5323</v>
      </c>
      <c r="B1849" s="2" t="s">
        <v>12744</v>
      </c>
      <c r="C1849" s="2">
        <v>4.161850247E9</v>
      </c>
      <c r="D1849" s="2" t="s">
        <v>12745</v>
      </c>
      <c r="E1849" s="2">
        <v>126652.0</v>
      </c>
      <c r="F1849" s="2">
        <v>3192.0</v>
      </c>
      <c r="G1849" s="2">
        <v>1877.0</v>
      </c>
      <c r="H1849" s="2" t="s">
        <v>5906</v>
      </c>
      <c r="I1849" s="2" t="s">
        <v>5905</v>
      </c>
      <c r="J1849" s="2" t="s">
        <v>10543</v>
      </c>
      <c r="K1849" s="2" t="s">
        <v>12746</v>
      </c>
      <c r="L1849" s="10" t="s">
        <v>12747</v>
      </c>
    </row>
    <row r="1850">
      <c r="A1850" s="2" t="s">
        <v>5323</v>
      </c>
      <c r="B1850" s="2" t="s">
        <v>12748</v>
      </c>
      <c r="C1850" s="2">
        <v>8.51411202E9</v>
      </c>
      <c r="D1850" s="2" t="s">
        <v>12749</v>
      </c>
      <c r="E1850" s="2">
        <v>1726703.0</v>
      </c>
      <c r="F1850" s="2">
        <v>3444.0</v>
      </c>
      <c r="G1850" s="2">
        <v>1660.0</v>
      </c>
      <c r="H1850" s="2" t="s">
        <v>5906</v>
      </c>
      <c r="I1850" s="2" t="s">
        <v>5905</v>
      </c>
      <c r="J1850" s="2" t="s">
        <v>5391</v>
      </c>
      <c r="K1850" s="2" t="s">
        <v>12750</v>
      </c>
      <c r="L1850" s="10" t="s">
        <v>12751</v>
      </c>
    </row>
    <row r="1851">
      <c r="A1851" s="2" t="s">
        <v>5323</v>
      </c>
      <c r="B1851" s="2" t="s">
        <v>12752</v>
      </c>
      <c r="C1851" s="2">
        <v>5.596144739E9</v>
      </c>
      <c r="D1851" s="2" t="s">
        <v>12753</v>
      </c>
      <c r="E1851" s="2">
        <v>2278282.0</v>
      </c>
      <c r="F1851" s="2">
        <v>1973.0</v>
      </c>
      <c r="G1851" s="2">
        <v>6846.0</v>
      </c>
      <c r="H1851" s="2" t="s">
        <v>5906</v>
      </c>
      <c r="I1851" s="2" t="s">
        <v>5905</v>
      </c>
      <c r="J1851" s="2" t="s">
        <v>10543</v>
      </c>
      <c r="K1851" s="2" t="s">
        <v>12754</v>
      </c>
      <c r="L1851" s="10" t="s">
        <v>12755</v>
      </c>
    </row>
    <row r="1852">
      <c r="A1852" s="2" t="s">
        <v>5323</v>
      </c>
      <c r="B1852" s="2" t="s">
        <v>12756</v>
      </c>
      <c r="C1852" s="2">
        <v>5.7907779543E10</v>
      </c>
      <c r="D1852" s="2" t="s">
        <v>12757</v>
      </c>
      <c r="E1852" s="2">
        <v>52498.0</v>
      </c>
      <c r="F1852" s="2">
        <v>2223.0</v>
      </c>
      <c r="G1852" s="2">
        <v>1012.0</v>
      </c>
      <c r="H1852" s="2" t="s">
        <v>5906</v>
      </c>
      <c r="I1852" s="2" t="s">
        <v>5906</v>
      </c>
      <c r="J1852" s="2" t="s">
        <v>10543</v>
      </c>
      <c r="K1852" s="2" t="s">
        <v>12758</v>
      </c>
      <c r="L1852" s="10" t="s">
        <v>12759</v>
      </c>
    </row>
    <row r="1853">
      <c r="A1853" s="2" t="s">
        <v>5323</v>
      </c>
      <c r="B1853" s="2" t="s">
        <v>12760</v>
      </c>
      <c r="C1853" s="2">
        <v>5.4522853867E10</v>
      </c>
      <c r="D1853" s="2" t="s">
        <v>12761</v>
      </c>
      <c r="E1853" s="2">
        <v>10369.0</v>
      </c>
      <c r="F1853" s="2">
        <v>135.0</v>
      </c>
      <c r="G1853" s="2">
        <v>845.0</v>
      </c>
      <c r="H1853" s="2" t="s">
        <v>5905</v>
      </c>
      <c r="I1853" s="2" t="s">
        <v>5905</v>
      </c>
      <c r="J1853" s="2" t="s">
        <v>12762</v>
      </c>
      <c r="K1853" s="2" t="s">
        <v>12763</v>
      </c>
      <c r="L1853" s="10" t="s">
        <v>12764</v>
      </c>
    </row>
    <row r="1854">
      <c r="A1854" s="2" t="s">
        <v>5323</v>
      </c>
      <c r="B1854" s="2" t="s">
        <v>12765</v>
      </c>
      <c r="C1854" s="2">
        <v>4.54994589E8</v>
      </c>
      <c r="D1854" s="2" t="s">
        <v>12766</v>
      </c>
      <c r="E1854" s="2">
        <v>209888.0</v>
      </c>
      <c r="F1854" s="2">
        <v>3877.0</v>
      </c>
      <c r="G1854" s="2">
        <v>2129.0</v>
      </c>
      <c r="H1854" s="2" t="s">
        <v>5905</v>
      </c>
      <c r="I1854" s="2" t="s">
        <v>5905</v>
      </c>
      <c r="J1854" s="2" t="s">
        <v>8144</v>
      </c>
      <c r="K1854" s="2" t="s">
        <v>12767</v>
      </c>
    </row>
    <row r="1855">
      <c r="A1855" s="2" t="s">
        <v>5323</v>
      </c>
      <c r="B1855" s="2" t="s">
        <v>12768</v>
      </c>
      <c r="C1855" s="2">
        <v>3.36269825E8</v>
      </c>
      <c r="D1855" s="2" t="s">
        <v>12769</v>
      </c>
      <c r="E1855" s="2">
        <v>807432.0</v>
      </c>
      <c r="F1855" s="2">
        <v>663.0</v>
      </c>
      <c r="G1855" s="2">
        <v>12428.0</v>
      </c>
      <c r="H1855" s="2" t="s">
        <v>5906</v>
      </c>
      <c r="I1855" s="2" t="s">
        <v>5906</v>
      </c>
      <c r="K1855" s="2" t="s">
        <v>12770</v>
      </c>
      <c r="L1855" s="10" t="s">
        <v>12771</v>
      </c>
    </row>
    <row r="1856">
      <c r="A1856" s="2" t="s">
        <v>5323</v>
      </c>
      <c r="B1856" s="2" t="s">
        <v>12772</v>
      </c>
      <c r="C1856" s="2">
        <v>6.908589957E10</v>
      </c>
      <c r="D1856" s="2" t="s">
        <v>12773</v>
      </c>
      <c r="E1856" s="2">
        <v>151264.0</v>
      </c>
      <c r="F1856" s="2">
        <v>68.0</v>
      </c>
      <c r="G1856" s="2">
        <v>84.0</v>
      </c>
      <c r="H1856" s="2" t="s">
        <v>5905</v>
      </c>
      <c r="I1856" s="2" t="s">
        <v>5905</v>
      </c>
      <c r="J1856" s="2" t="s">
        <v>12774</v>
      </c>
      <c r="K1856" s="2" t="s">
        <v>12775</v>
      </c>
    </row>
    <row r="1857">
      <c r="A1857" s="2" t="s">
        <v>5323</v>
      </c>
      <c r="B1857" s="2" t="s">
        <v>12776</v>
      </c>
      <c r="C1857" s="2">
        <v>2.252946985E9</v>
      </c>
      <c r="D1857" s="2" t="s">
        <v>12777</v>
      </c>
      <c r="E1857" s="2">
        <v>1155075.0</v>
      </c>
      <c r="F1857" s="2">
        <v>350.0</v>
      </c>
      <c r="G1857" s="2">
        <v>3526.0</v>
      </c>
      <c r="H1857" s="2" t="s">
        <v>5906</v>
      </c>
      <c r="I1857" s="2" t="s">
        <v>5905</v>
      </c>
      <c r="J1857" s="2" t="s">
        <v>9775</v>
      </c>
      <c r="K1857" s="2" t="s">
        <v>12778</v>
      </c>
      <c r="L1857" s="10" t="s">
        <v>12779</v>
      </c>
    </row>
    <row r="1858">
      <c r="A1858" s="2" t="s">
        <v>5491</v>
      </c>
      <c r="B1858" s="2" t="s">
        <v>12780</v>
      </c>
      <c r="C1858" s="2">
        <v>5.6274611613E10</v>
      </c>
      <c r="D1858" s="2" t="s">
        <v>12781</v>
      </c>
      <c r="E1858" s="2">
        <v>25678.0</v>
      </c>
      <c r="F1858" s="2">
        <v>18.0</v>
      </c>
      <c r="G1858" s="2">
        <v>387.0</v>
      </c>
      <c r="H1858" s="2" t="s">
        <v>5905</v>
      </c>
      <c r="I1858" s="2" t="s">
        <v>5905</v>
      </c>
      <c r="J1858" s="2" t="s">
        <v>5928</v>
      </c>
      <c r="K1858" s="2" t="s">
        <v>12782</v>
      </c>
    </row>
    <row r="1859">
      <c r="A1859" s="2" t="s">
        <v>5491</v>
      </c>
      <c r="B1859" s="2" t="s">
        <v>12783</v>
      </c>
      <c r="C1859" s="2">
        <v>6.7961750333E10</v>
      </c>
      <c r="D1859" s="2" t="s">
        <v>12784</v>
      </c>
      <c r="E1859" s="2">
        <v>299510.0</v>
      </c>
      <c r="F1859" s="2">
        <v>26.0</v>
      </c>
      <c r="G1859" s="2">
        <v>1598.0</v>
      </c>
      <c r="H1859" s="2" t="s">
        <v>5905</v>
      </c>
      <c r="I1859" s="2" t="s">
        <v>5905</v>
      </c>
      <c r="J1859" s="2" t="s">
        <v>12785</v>
      </c>
      <c r="K1859" s="2" t="s">
        <v>12786</v>
      </c>
    </row>
    <row r="1860">
      <c r="A1860" s="2" t="s">
        <v>5491</v>
      </c>
      <c r="B1860" s="2" t="s">
        <v>12787</v>
      </c>
      <c r="C1860" s="2">
        <v>8.666041904E9</v>
      </c>
      <c r="D1860" s="2" t="s">
        <v>12788</v>
      </c>
      <c r="E1860" s="2">
        <v>925378.0</v>
      </c>
      <c r="F1860" s="2">
        <v>97.0</v>
      </c>
      <c r="G1860" s="2">
        <v>7994.0</v>
      </c>
      <c r="H1860" s="2" t="s">
        <v>5905</v>
      </c>
      <c r="I1860" s="2" t="s">
        <v>5906</v>
      </c>
      <c r="J1860" s="2" t="s">
        <v>5491</v>
      </c>
      <c r="K1860" s="2" t="s">
        <v>12789</v>
      </c>
      <c r="L1860" s="10" t="s">
        <v>12790</v>
      </c>
    </row>
    <row r="1861">
      <c r="A1861" s="2" t="s">
        <v>5491</v>
      </c>
      <c r="B1861" s="2" t="s">
        <v>12791</v>
      </c>
      <c r="C1861" s="2">
        <v>6.2834597456E10</v>
      </c>
      <c r="D1861" s="2" t="s">
        <v>12792</v>
      </c>
      <c r="E1861" s="2">
        <v>180684.0</v>
      </c>
      <c r="F1861" s="2">
        <v>91.0</v>
      </c>
      <c r="G1861" s="2">
        <v>802.0</v>
      </c>
      <c r="H1861" s="2" t="s">
        <v>5905</v>
      </c>
      <c r="I1861" s="2" t="s">
        <v>5905</v>
      </c>
      <c r="J1861" s="2" t="s">
        <v>5491</v>
      </c>
      <c r="K1861" s="2" t="s">
        <v>12793</v>
      </c>
    </row>
    <row r="1862">
      <c r="A1862" s="2" t="s">
        <v>5491</v>
      </c>
      <c r="B1862" s="2" t="s">
        <v>12794</v>
      </c>
      <c r="C1862" s="2">
        <v>8.776595142E9</v>
      </c>
      <c r="D1862" s="2" t="s">
        <v>5596</v>
      </c>
      <c r="E1862" s="2">
        <v>13895.0</v>
      </c>
      <c r="F1862" s="2">
        <v>82.0</v>
      </c>
      <c r="G1862" s="2">
        <v>168.0</v>
      </c>
      <c r="H1862" s="2" t="s">
        <v>5905</v>
      </c>
      <c r="I1862" s="2" t="s">
        <v>5905</v>
      </c>
      <c r="J1862" s="2" t="s">
        <v>5491</v>
      </c>
      <c r="K1862" s="2" t="s">
        <v>12795</v>
      </c>
    </row>
    <row r="1863">
      <c r="A1863" s="2" t="s">
        <v>5491</v>
      </c>
      <c r="B1863" s="10" t="s">
        <v>12796</v>
      </c>
      <c r="C1863" s="2">
        <v>5.485180123E9</v>
      </c>
      <c r="D1863" s="2" t="s">
        <v>12797</v>
      </c>
      <c r="E1863" s="2">
        <v>52448.0</v>
      </c>
      <c r="F1863" s="2">
        <v>38.0</v>
      </c>
      <c r="G1863" s="2">
        <v>479.0</v>
      </c>
      <c r="H1863" s="2" t="s">
        <v>5905</v>
      </c>
      <c r="I1863" s="2" t="s">
        <v>5905</v>
      </c>
      <c r="J1863" s="2" t="s">
        <v>5491</v>
      </c>
      <c r="K1863" s="2" t="s">
        <v>12798</v>
      </c>
      <c r="L1863" s="10" t="s">
        <v>12799</v>
      </c>
    </row>
    <row r="1864">
      <c r="A1864" s="2" t="s">
        <v>5491</v>
      </c>
      <c r="B1864" s="2" t="s">
        <v>12800</v>
      </c>
      <c r="C1864" s="2">
        <v>6.9332026123E10</v>
      </c>
      <c r="D1864" s="2" t="s">
        <v>12801</v>
      </c>
      <c r="E1864" s="2">
        <v>75824.0</v>
      </c>
      <c r="F1864" s="2">
        <v>47.0</v>
      </c>
      <c r="G1864" s="2">
        <v>444.0</v>
      </c>
      <c r="H1864" s="2" t="s">
        <v>5905</v>
      </c>
      <c r="I1864" s="2" t="s">
        <v>5905</v>
      </c>
      <c r="J1864" s="2" t="s">
        <v>5491</v>
      </c>
      <c r="K1864" s="2" t="s">
        <v>12802</v>
      </c>
    </row>
    <row r="1865">
      <c r="A1865" s="2" t="s">
        <v>5491</v>
      </c>
      <c r="B1865" s="2" t="s">
        <v>12803</v>
      </c>
      <c r="C1865" s="2">
        <v>2.068509453E9</v>
      </c>
      <c r="D1865" s="2" t="s">
        <v>12788</v>
      </c>
      <c r="E1865" s="2">
        <v>1856422.0</v>
      </c>
      <c r="F1865" s="2">
        <v>34.0</v>
      </c>
      <c r="G1865" s="2">
        <v>1122.0</v>
      </c>
      <c r="H1865" s="2" t="s">
        <v>5905</v>
      </c>
      <c r="I1865" s="2" t="s">
        <v>5906</v>
      </c>
      <c r="J1865" s="2" t="s">
        <v>5561</v>
      </c>
      <c r="K1865" s="2" t="s">
        <v>12804</v>
      </c>
      <c r="L1865" s="10" t="s">
        <v>12805</v>
      </c>
    </row>
    <row r="1866">
      <c r="A1866" s="2" t="s">
        <v>5491</v>
      </c>
      <c r="B1866" s="2" t="s">
        <v>12806</v>
      </c>
      <c r="C1866" s="2">
        <v>5.693956145E9</v>
      </c>
      <c r="D1866" s="2" t="s">
        <v>12807</v>
      </c>
      <c r="E1866" s="2">
        <v>58166.0</v>
      </c>
      <c r="F1866" s="2">
        <v>374.0</v>
      </c>
      <c r="G1866" s="2">
        <v>1957.0</v>
      </c>
      <c r="H1866" s="2" t="s">
        <v>5905</v>
      </c>
      <c r="I1866" s="2" t="s">
        <v>5905</v>
      </c>
      <c r="J1866" s="2" t="s">
        <v>5911</v>
      </c>
      <c r="K1866" s="2" t="s">
        <v>12808</v>
      </c>
      <c r="L1866" s="10" t="s">
        <v>12809</v>
      </c>
    </row>
    <row r="1867">
      <c r="A1867" s="2" t="s">
        <v>5491</v>
      </c>
      <c r="B1867" s="2" t="s">
        <v>12810</v>
      </c>
      <c r="C1867" s="2">
        <v>2.945795228E9</v>
      </c>
      <c r="D1867" s="2" t="s">
        <v>12811</v>
      </c>
      <c r="E1867" s="2">
        <v>741293.0</v>
      </c>
      <c r="F1867" s="2">
        <v>1.0</v>
      </c>
      <c r="G1867" s="2">
        <v>12745.0</v>
      </c>
      <c r="H1867" s="2" t="s">
        <v>5905</v>
      </c>
      <c r="I1867" s="2" t="s">
        <v>5905</v>
      </c>
      <c r="J1867" s="2" t="s">
        <v>5492</v>
      </c>
      <c r="K1867" s="2" t="s">
        <v>12812</v>
      </c>
      <c r="L1867" s="10" t="s">
        <v>12813</v>
      </c>
    </row>
    <row r="1868">
      <c r="A1868" s="2" t="s">
        <v>5491</v>
      </c>
      <c r="B1868" s="2" t="s">
        <v>12814</v>
      </c>
      <c r="C1868" s="2">
        <v>5.9392744319E10</v>
      </c>
      <c r="D1868" s="2" t="s">
        <v>12815</v>
      </c>
      <c r="E1868" s="2">
        <v>93100.0</v>
      </c>
      <c r="F1868" s="2">
        <v>3.0</v>
      </c>
      <c r="G1868" s="2">
        <v>503.0</v>
      </c>
      <c r="H1868" s="2" t="s">
        <v>5905</v>
      </c>
      <c r="I1868" s="2" t="s">
        <v>5905</v>
      </c>
      <c r="J1868" s="2" t="s">
        <v>5491</v>
      </c>
      <c r="K1868" s="2" t="s">
        <v>12816</v>
      </c>
    </row>
    <row r="1869">
      <c r="A1869" s="2" t="s">
        <v>5461</v>
      </c>
      <c r="B1869" s="2" t="s">
        <v>12817</v>
      </c>
      <c r="C1869" s="2">
        <v>1.641677778E9</v>
      </c>
      <c r="D1869" s="2" t="s">
        <v>5461</v>
      </c>
      <c r="E1869" s="2">
        <v>1633508.0</v>
      </c>
      <c r="F1869" s="2">
        <v>29.0</v>
      </c>
      <c r="G1869" s="2">
        <v>16004.0</v>
      </c>
      <c r="H1869" s="2" t="s">
        <v>5906</v>
      </c>
      <c r="I1869" s="2" t="s">
        <v>5906</v>
      </c>
      <c r="J1869" s="2" t="s">
        <v>8013</v>
      </c>
      <c r="K1869" s="2" t="s">
        <v>12818</v>
      </c>
      <c r="L1869" s="10" t="s">
        <v>12819</v>
      </c>
    </row>
    <row r="1870">
      <c r="A1870" s="2" t="s">
        <v>5461</v>
      </c>
      <c r="B1870" s="2" t="s">
        <v>12820</v>
      </c>
      <c r="C1870" s="2">
        <v>1.190777745E10</v>
      </c>
      <c r="D1870" s="2" t="s">
        <v>12821</v>
      </c>
      <c r="E1870" s="2">
        <v>15129.0</v>
      </c>
      <c r="F1870" s="2">
        <v>169.0</v>
      </c>
      <c r="G1870" s="2">
        <v>1513.0</v>
      </c>
      <c r="H1870" s="2" t="s">
        <v>5906</v>
      </c>
      <c r="I1870" s="2" t="s">
        <v>5906</v>
      </c>
      <c r="J1870" s="2" t="s">
        <v>5907</v>
      </c>
      <c r="K1870" s="2" t="s">
        <v>12822</v>
      </c>
      <c r="L1870" s="10" t="s">
        <v>12823</v>
      </c>
    </row>
    <row r="1871">
      <c r="A1871" s="2" t="s">
        <v>5429</v>
      </c>
      <c r="B1871" s="2" t="s">
        <v>12824</v>
      </c>
      <c r="C1871" s="2">
        <v>5.086637E7</v>
      </c>
      <c r="D1871" s="2" t="s">
        <v>5429</v>
      </c>
      <c r="E1871" s="2">
        <v>450154.0</v>
      </c>
      <c r="F1871" s="2">
        <v>952.0</v>
      </c>
      <c r="G1871" s="2">
        <v>39536.0</v>
      </c>
      <c r="H1871" s="2" t="s">
        <v>5906</v>
      </c>
      <c r="I1871" s="2" t="s">
        <v>5906</v>
      </c>
      <c r="J1871" s="2" t="s">
        <v>4397</v>
      </c>
      <c r="L1871" s="10" t="s">
        <v>12825</v>
      </c>
    </row>
    <row r="1872">
      <c r="A1872" s="2" t="s">
        <v>5429</v>
      </c>
      <c r="B1872" s="2" t="s">
        <v>12826</v>
      </c>
      <c r="C1872" s="2">
        <v>3.080007871E9</v>
      </c>
      <c r="D1872" s="2" t="s">
        <v>12827</v>
      </c>
      <c r="E1872" s="2">
        <v>42716.0</v>
      </c>
      <c r="F1872" s="2">
        <v>296.0</v>
      </c>
      <c r="G1872" s="2">
        <v>7935.0</v>
      </c>
      <c r="H1872" s="2" t="s">
        <v>5906</v>
      </c>
      <c r="I1872" s="2" t="s">
        <v>5906</v>
      </c>
      <c r="K1872" s="2" t="s">
        <v>12828</v>
      </c>
      <c r="L1872" s="10" t="s">
        <v>12829</v>
      </c>
    </row>
    <row r="1873">
      <c r="A1873" s="2" t="s">
        <v>5429</v>
      </c>
      <c r="B1873" s="2" t="s">
        <v>12830</v>
      </c>
      <c r="C1873" s="2">
        <v>6.4907336028E10</v>
      </c>
      <c r="D1873" s="2" t="s">
        <v>12831</v>
      </c>
      <c r="E1873" s="2">
        <v>32593.0</v>
      </c>
      <c r="F1873" s="2">
        <v>1853.0</v>
      </c>
      <c r="G1873" s="2">
        <v>452.0</v>
      </c>
      <c r="H1873" s="2" t="s">
        <v>5905</v>
      </c>
      <c r="I1873" s="2" t="s">
        <v>5906</v>
      </c>
      <c r="J1873" s="2" t="s">
        <v>12832</v>
      </c>
      <c r="K1873" s="2" t="s">
        <v>12833</v>
      </c>
      <c r="L1873" s="10" t="s">
        <v>12834</v>
      </c>
    </row>
    <row r="1874">
      <c r="A1874" s="2" t="s">
        <v>5429</v>
      </c>
      <c r="B1874" s="2" t="s">
        <v>12835</v>
      </c>
      <c r="C1874" s="2">
        <v>5.2872032226E10</v>
      </c>
      <c r="D1874" s="2" t="s">
        <v>12836</v>
      </c>
      <c r="E1874" s="2">
        <v>57656.0</v>
      </c>
      <c r="F1874" s="2">
        <v>3481.0</v>
      </c>
      <c r="G1874" s="2">
        <v>487.0</v>
      </c>
      <c r="H1874" s="2" t="s">
        <v>5906</v>
      </c>
      <c r="I1874" s="2" t="s">
        <v>5906</v>
      </c>
      <c r="J1874" s="2" t="s">
        <v>12837</v>
      </c>
      <c r="K1874" s="2" t="s">
        <v>12833</v>
      </c>
      <c r="L1874" s="10" t="s">
        <v>12834</v>
      </c>
    </row>
    <row r="1875">
      <c r="A1875" s="2" t="s">
        <v>5569</v>
      </c>
      <c r="B1875" s="2" t="s">
        <v>12838</v>
      </c>
      <c r="C1875" s="2">
        <v>7.1811589811E10</v>
      </c>
      <c r="D1875" s="2" t="s">
        <v>12839</v>
      </c>
      <c r="E1875" s="2">
        <v>716804.0</v>
      </c>
      <c r="F1875" s="2">
        <v>46.0</v>
      </c>
      <c r="G1875" s="2">
        <v>402.0</v>
      </c>
      <c r="H1875" s="2" t="s">
        <v>5905</v>
      </c>
      <c r="I1875" s="2" t="s">
        <v>5905</v>
      </c>
      <c r="J1875" s="2" t="s">
        <v>5959</v>
      </c>
      <c r="K1875" s="2" t="s">
        <v>12840</v>
      </c>
      <c r="L1875" s="10" t="s">
        <v>12841</v>
      </c>
    </row>
    <row r="1876">
      <c r="A1876" s="2" t="s">
        <v>5569</v>
      </c>
      <c r="B1876" s="2" t="s">
        <v>12842</v>
      </c>
      <c r="C1876" s="2">
        <v>6.7128951836E10</v>
      </c>
      <c r="D1876" s="12" t="s">
        <v>12843</v>
      </c>
      <c r="E1876" s="2">
        <v>13085.0</v>
      </c>
      <c r="F1876" s="2">
        <v>16.0</v>
      </c>
      <c r="G1876" s="2">
        <v>30.0</v>
      </c>
      <c r="H1876" s="2" t="s">
        <v>5905</v>
      </c>
      <c r="I1876" s="2" t="s">
        <v>5905</v>
      </c>
      <c r="J1876" s="2" t="s">
        <v>5928</v>
      </c>
      <c r="K1876" s="12" t="s">
        <v>12844</v>
      </c>
      <c r="L1876" s="10" t="s">
        <v>12845</v>
      </c>
    </row>
    <row r="1877">
      <c r="A1877" s="2" t="s">
        <v>5569</v>
      </c>
      <c r="B1877" s="2" t="s">
        <v>12846</v>
      </c>
      <c r="C1877" s="2">
        <v>6.257953418E10</v>
      </c>
      <c r="D1877" s="2" t="s">
        <v>12847</v>
      </c>
      <c r="E1877" s="2">
        <v>12580.0</v>
      </c>
      <c r="F1877" s="2">
        <v>126.0</v>
      </c>
      <c r="G1877" s="2">
        <v>6199.0</v>
      </c>
      <c r="H1877" s="2" t="s">
        <v>5905</v>
      </c>
      <c r="I1877" s="2" t="s">
        <v>5906</v>
      </c>
      <c r="J1877" s="2" t="s">
        <v>5928</v>
      </c>
      <c r="K1877" s="2" t="s">
        <v>12848</v>
      </c>
      <c r="L1877" s="10" t="s">
        <v>12849</v>
      </c>
    </row>
    <row r="1878">
      <c r="A1878" s="2" t="s">
        <v>5569</v>
      </c>
      <c r="B1878" s="2" t="s">
        <v>12850</v>
      </c>
      <c r="C1878" s="2">
        <v>6.47408898E8</v>
      </c>
      <c r="D1878" s="2" t="s">
        <v>12851</v>
      </c>
      <c r="E1878" s="2">
        <v>464529.0</v>
      </c>
      <c r="F1878" s="2">
        <v>1170.0</v>
      </c>
      <c r="G1878" s="2">
        <v>677.0</v>
      </c>
      <c r="H1878" s="2" t="s">
        <v>5905</v>
      </c>
      <c r="I1878" s="2" t="s">
        <v>5906</v>
      </c>
      <c r="J1878" s="2" t="s">
        <v>5928</v>
      </c>
      <c r="K1878" s="2" t="s">
        <v>12852</v>
      </c>
      <c r="L1878" s="10" t="s">
        <v>12853</v>
      </c>
    </row>
    <row r="1879">
      <c r="A1879" s="2" t="s">
        <v>5569</v>
      </c>
      <c r="B1879" s="2" t="s">
        <v>12854</v>
      </c>
      <c r="C1879" s="2">
        <v>1.917079999E9</v>
      </c>
      <c r="D1879" s="2" t="s">
        <v>12855</v>
      </c>
      <c r="E1879" s="2">
        <v>1994274.0</v>
      </c>
      <c r="F1879" s="2">
        <v>168.0</v>
      </c>
      <c r="G1879" s="2">
        <v>238.0</v>
      </c>
      <c r="H1879" s="2" t="s">
        <v>5906</v>
      </c>
      <c r="I1879" s="2" t="s">
        <v>5905</v>
      </c>
      <c r="J1879" s="2" t="s">
        <v>5928</v>
      </c>
      <c r="K1879" s="2" t="s">
        <v>12856</v>
      </c>
      <c r="L1879" s="10" t="s">
        <v>12857</v>
      </c>
    </row>
    <row r="1880">
      <c r="A1880" s="2" t="s">
        <v>5569</v>
      </c>
      <c r="B1880" s="2" t="s">
        <v>12858</v>
      </c>
      <c r="C1880" s="2">
        <v>5.9379728165E10</v>
      </c>
      <c r="D1880" s="2" t="s">
        <v>12859</v>
      </c>
      <c r="E1880" s="2">
        <v>20842.0</v>
      </c>
      <c r="F1880" s="2">
        <v>268.0</v>
      </c>
      <c r="G1880" s="2">
        <v>93.0</v>
      </c>
      <c r="H1880" s="2" t="s">
        <v>5906</v>
      </c>
      <c r="I1880" s="2" t="s">
        <v>5906</v>
      </c>
      <c r="J1880" s="2" t="s">
        <v>5492</v>
      </c>
      <c r="K1880" s="2" t="s">
        <v>12860</v>
      </c>
      <c r="L1880" s="10" t="s">
        <v>12861</v>
      </c>
    </row>
    <row r="1881">
      <c r="A1881" s="2" t="s">
        <v>5569</v>
      </c>
      <c r="B1881" s="2" t="s">
        <v>12862</v>
      </c>
      <c r="C1881" s="2">
        <v>3.953944535E10</v>
      </c>
      <c r="D1881" s="2" t="s">
        <v>12863</v>
      </c>
      <c r="E1881" s="2">
        <v>108142.0</v>
      </c>
      <c r="F1881" s="2">
        <v>0.0</v>
      </c>
      <c r="G1881" s="2">
        <v>235.0</v>
      </c>
      <c r="H1881" s="2" t="s">
        <v>5905</v>
      </c>
      <c r="I1881" s="2" t="s">
        <v>5905</v>
      </c>
      <c r="J1881" s="2" t="s">
        <v>5928</v>
      </c>
      <c r="K1881" s="2" t="s">
        <v>12864</v>
      </c>
      <c r="L1881" s="10" t="s">
        <v>12865</v>
      </c>
    </row>
    <row r="1882">
      <c r="A1882" s="2" t="s">
        <v>5569</v>
      </c>
      <c r="B1882" s="2" t="s">
        <v>12866</v>
      </c>
      <c r="C1882" s="2">
        <v>1.34367391E9</v>
      </c>
      <c r="D1882" s="2" t="s">
        <v>12867</v>
      </c>
      <c r="E1882" s="2">
        <v>59252.0</v>
      </c>
      <c r="F1882" s="2">
        <v>88.0</v>
      </c>
      <c r="G1882" s="2">
        <v>398.0</v>
      </c>
      <c r="H1882" s="2" t="s">
        <v>5905</v>
      </c>
      <c r="I1882" s="2" t="s">
        <v>5906</v>
      </c>
      <c r="J1882" s="2" t="s">
        <v>5391</v>
      </c>
      <c r="K1882" s="2" t="s">
        <v>12868</v>
      </c>
      <c r="L1882" s="10" t="s">
        <v>12869</v>
      </c>
    </row>
    <row r="1883">
      <c r="A1883" s="2" t="s">
        <v>5569</v>
      </c>
      <c r="B1883" s="2" t="s">
        <v>12870</v>
      </c>
      <c r="C1883" s="2">
        <v>1337343.0</v>
      </c>
      <c r="D1883" s="2" t="s">
        <v>5569</v>
      </c>
      <c r="E1883" s="2">
        <v>3.1107927E7</v>
      </c>
      <c r="F1883" s="2">
        <v>1771.0</v>
      </c>
      <c r="G1883" s="2">
        <v>5947.0</v>
      </c>
      <c r="H1883" s="2" t="s">
        <v>5906</v>
      </c>
      <c r="I1883" s="2" t="s">
        <v>5906</v>
      </c>
      <c r="J1883" s="2" t="s">
        <v>6002</v>
      </c>
      <c r="K1883" s="2" t="s">
        <v>12871</v>
      </c>
      <c r="L1883" s="10" t="s">
        <v>12872</v>
      </c>
    </row>
    <row r="1884">
      <c r="A1884" s="2" t="s">
        <v>5569</v>
      </c>
      <c r="B1884" s="2" t="s">
        <v>12873</v>
      </c>
      <c r="C1884" s="2">
        <v>6.890265626E9</v>
      </c>
      <c r="D1884" s="2" t="s">
        <v>12874</v>
      </c>
      <c r="E1884" s="2">
        <v>277285.0</v>
      </c>
      <c r="F1884" s="2">
        <v>802.0</v>
      </c>
      <c r="G1884" s="2">
        <v>1033.0</v>
      </c>
      <c r="H1884" s="2" t="s">
        <v>5906</v>
      </c>
      <c r="I1884" s="2" t="s">
        <v>5906</v>
      </c>
      <c r="J1884" s="2" t="s">
        <v>5959</v>
      </c>
      <c r="K1884" s="2" t="s">
        <v>12875</v>
      </c>
      <c r="L1884" s="10" t="s">
        <v>12876</v>
      </c>
    </row>
    <row r="1885">
      <c r="A1885" s="2" t="s">
        <v>5569</v>
      </c>
      <c r="B1885" s="2" t="s">
        <v>12877</v>
      </c>
      <c r="C1885" s="2">
        <v>1.1160397731E10</v>
      </c>
      <c r="D1885" s="2" t="s">
        <v>12878</v>
      </c>
      <c r="E1885" s="2">
        <v>4246940.0</v>
      </c>
      <c r="F1885" s="2">
        <v>442.0</v>
      </c>
      <c r="G1885" s="2">
        <v>4262.0</v>
      </c>
      <c r="H1885" s="2" t="s">
        <v>5906</v>
      </c>
      <c r="I1885" s="2" t="s">
        <v>5906</v>
      </c>
      <c r="J1885" s="2" t="s">
        <v>5391</v>
      </c>
      <c r="K1885" s="2" t="s">
        <v>12879</v>
      </c>
    </row>
    <row r="1886">
      <c r="A1886" s="2" t="s">
        <v>5569</v>
      </c>
      <c r="B1886" s="2" t="s">
        <v>12880</v>
      </c>
      <c r="C1886" s="2">
        <v>5.609643003E9</v>
      </c>
      <c r="D1886" s="2" t="s">
        <v>12881</v>
      </c>
      <c r="E1886" s="2">
        <v>2624380.0</v>
      </c>
      <c r="F1886" s="2">
        <v>848.0</v>
      </c>
      <c r="G1886" s="2">
        <v>3009.0</v>
      </c>
      <c r="H1886" s="2" t="s">
        <v>5906</v>
      </c>
      <c r="I1886" s="2" t="s">
        <v>5906</v>
      </c>
      <c r="J1886" s="2" t="s">
        <v>6002</v>
      </c>
      <c r="K1886" s="2" t="s">
        <v>12882</v>
      </c>
      <c r="L1886" s="10" t="s">
        <v>12883</v>
      </c>
    </row>
    <row r="1887">
      <c r="A1887" s="2" t="s">
        <v>5569</v>
      </c>
      <c r="B1887" s="2" t="s">
        <v>12884</v>
      </c>
      <c r="C1887" s="2">
        <v>6.1836333159E10</v>
      </c>
      <c r="D1887" s="2" t="s">
        <v>12885</v>
      </c>
      <c r="E1887" s="2">
        <v>10565.0</v>
      </c>
      <c r="F1887" s="2">
        <v>22.0</v>
      </c>
      <c r="G1887" s="2">
        <v>14.0</v>
      </c>
      <c r="H1887" s="2" t="s">
        <v>5906</v>
      </c>
      <c r="I1887" s="2" t="s">
        <v>5905</v>
      </c>
      <c r="J1887" s="2" t="s">
        <v>5928</v>
      </c>
      <c r="K1887" s="2" t="s">
        <v>12886</v>
      </c>
      <c r="L1887" s="10" t="s">
        <v>12887</v>
      </c>
    </row>
    <row r="1888">
      <c r="A1888" s="2" t="s">
        <v>5569</v>
      </c>
      <c r="B1888" s="2" t="s">
        <v>12888</v>
      </c>
      <c r="C1888" s="2">
        <v>6.5715107711E10</v>
      </c>
      <c r="D1888" s="2" t="s">
        <v>12888</v>
      </c>
      <c r="E1888" s="2">
        <v>17863.0</v>
      </c>
      <c r="F1888" s="2">
        <v>1761.0</v>
      </c>
      <c r="G1888" s="2">
        <v>631.0</v>
      </c>
      <c r="H1888" s="2" t="s">
        <v>5905</v>
      </c>
      <c r="I1888" s="2" t="s">
        <v>5905</v>
      </c>
      <c r="J1888" s="2" t="s">
        <v>5928</v>
      </c>
      <c r="K1888" s="2" t="s">
        <v>12889</v>
      </c>
    </row>
    <row r="1889">
      <c r="A1889" s="2" t="s">
        <v>5569</v>
      </c>
      <c r="B1889" s="2" t="s">
        <v>12890</v>
      </c>
      <c r="C1889" s="2">
        <v>6.3581445955E10</v>
      </c>
      <c r="D1889" s="2" t="s">
        <v>12891</v>
      </c>
      <c r="E1889" s="2">
        <v>35118.0</v>
      </c>
      <c r="F1889" s="2">
        <v>302.0</v>
      </c>
      <c r="G1889" s="2">
        <v>743.0</v>
      </c>
      <c r="H1889" s="2" t="s">
        <v>5906</v>
      </c>
      <c r="I1889" s="2" t="s">
        <v>5906</v>
      </c>
      <c r="J1889" s="2" t="s">
        <v>6002</v>
      </c>
      <c r="K1889" s="2" t="s">
        <v>12892</v>
      </c>
      <c r="L1889" s="10" t="s">
        <v>12893</v>
      </c>
    </row>
    <row r="1890">
      <c r="A1890" s="2" t="s">
        <v>5399</v>
      </c>
      <c r="B1890" s="2" t="s">
        <v>12894</v>
      </c>
      <c r="C1890" s="2">
        <v>6.88955185E9</v>
      </c>
      <c r="D1890" s="2" t="s">
        <v>12895</v>
      </c>
      <c r="E1890" s="2">
        <v>18814.0</v>
      </c>
      <c r="F1890" s="2">
        <v>106.0</v>
      </c>
      <c r="G1890" s="2">
        <v>2439.0</v>
      </c>
      <c r="H1890" s="2" t="s">
        <v>5905</v>
      </c>
      <c r="I1890" s="2" t="s">
        <v>5906</v>
      </c>
      <c r="J1890" s="2" t="s">
        <v>5911</v>
      </c>
      <c r="K1890" s="2" t="s">
        <v>12896</v>
      </c>
      <c r="L1890" s="10" t="s">
        <v>12897</v>
      </c>
    </row>
  </sheetData>
  <hyperlinks>
    <hyperlink r:id="rId1" ref="L2"/>
    <hyperlink r:id="rId2" ref="L3"/>
    <hyperlink r:id="rId3" ref="L4"/>
    <hyperlink r:id="rId4" ref="L5"/>
    <hyperlink r:id="rId5" ref="L6"/>
    <hyperlink r:id="rId6" ref="L8"/>
    <hyperlink r:id="rId7" ref="L9"/>
    <hyperlink r:id="rId8" ref="L11"/>
    <hyperlink r:id="rId9" ref="L12"/>
    <hyperlink r:id="rId10" ref="L14"/>
    <hyperlink r:id="rId11" ref="L16"/>
    <hyperlink r:id="rId12" ref="L17"/>
    <hyperlink r:id="rId13" ref="L18"/>
    <hyperlink r:id="rId14" ref="L19"/>
    <hyperlink r:id="rId15" ref="L20"/>
    <hyperlink r:id="rId16" ref="L21"/>
    <hyperlink r:id="rId17" ref="L22"/>
    <hyperlink r:id="rId18" ref="L23"/>
    <hyperlink r:id="rId19" ref="L24"/>
    <hyperlink r:id="rId20" ref="L25"/>
    <hyperlink r:id="rId21" ref="L26"/>
    <hyperlink r:id="rId22" ref="L27"/>
    <hyperlink r:id="rId23" ref="L28"/>
    <hyperlink r:id="rId24" ref="L29"/>
    <hyperlink r:id="rId25" ref="L31"/>
    <hyperlink r:id="rId26" ref="L32"/>
    <hyperlink r:id="rId27" ref="L33"/>
    <hyperlink r:id="rId28" ref="L34"/>
    <hyperlink r:id="rId29" ref="L35"/>
    <hyperlink r:id="rId30" ref="L36"/>
    <hyperlink r:id="rId31" ref="L37"/>
    <hyperlink r:id="rId32" ref="L39"/>
    <hyperlink r:id="rId33" ref="L40"/>
    <hyperlink r:id="rId34" ref="L41"/>
    <hyperlink r:id="rId35" ref="L42"/>
    <hyperlink r:id="rId36" ref="L43"/>
    <hyperlink r:id="rId37" ref="L44"/>
    <hyperlink r:id="rId38" ref="L45"/>
    <hyperlink r:id="rId39" ref="L46"/>
    <hyperlink r:id="rId40" ref="L47"/>
    <hyperlink r:id="rId41" ref="L48"/>
    <hyperlink r:id="rId42" ref="L49"/>
    <hyperlink r:id="rId43" ref="L50"/>
    <hyperlink r:id="rId44" ref="L51"/>
    <hyperlink r:id="rId45" ref="L52"/>
    <hyperlink r:id="rId46" ref="L53"/>
    <hyperlink r:id="rId47" ref="L54"/>
    <hyperlink r:id="rId48" ref="L55"/>
    <hyperlink r:id="rId49" ref="L56"/>
    <hyperlink r:id="rId50" ref="L57"/>
    <hyperlink r:id="rId51" ref="L58"/>
    <hyperlink r:id="rId52" ref="L59"/>
    <hyperlink r:id="rId53" ref="L60"/>
    <hyperlink r:id="rId54" ref="L61"/>
    <hyperlink r:id="rId55" ref="L62"/>
    <hyperlink r:id="rId56" ref="L63"/>
    <hyperlink r:id="rId57" ref="L64"/>
    <hyperlink r:id="rId58" ref="L65"/>
    <hyperlink r:id="rId59" ref="L67"/>
    <hyperlink r:id="rId60" ref="L68"/>
    <hyperlink r:id="rId61" ref="L69"/>
    <hyperlink r:id="rId62" ref="L70"/>
    <hyperlink r:id="rId63" ref="L71"/>
    <hyperlink r:id="rId64" ref="L72"/>
    <hyperlink r:id="rId65" ref="L73"/>
    <hyperlink r:id="rId66" ref="L74"/>
    <hyperlink r:id="rId67" ref="L75"/>
    <hyperlink r:id="rId68" ref="L76"/>
    <hyperlink r:id="rId69" ref="L77"/>
    <hyperlink r:id="rId70" ref="L78"/>
    <hyperlink r:id="rId71" ref="L79"/>
    <hyperlink r:id="rId72" ref="L80"/>
    <hyperlink r:id="rId73" ref="L81"/>
    <hyperlink r:id="rId74" ref="L82"/>
    <hyperlink r:id="rId75" ref="L83"/>
    <hyperlink r:id="rId76" ref="L84"/>
    <hyperlink r:id="rId77" ref="L85"/>
    <hyperlink r:id="rId78" ref="L86"/>
    <hyperlink r:id="rId79" ref="L87"/>
    <hyperlink r:id="rId80" ref="L88"/>
    <hyperlink r:id="rId81" ref="L89"/>
    <hyperlink r:id="rId82" ref="L90"/>
    <hyperlink r:id="rId83" ref="L91"/>
    <hyperlink r:id="rId84" ref="L92"/>
    <hyperlink r:id="rId85" ref="L93"/>
    <hyperlink r:id="rId86" ref="L94"/>
    <hyperlink r:id="rId87" ref="L95"/>
    <hyperlink r:id="rId88" ref="L96"/>
    <hyperlink r:id="rId89" ref="L97"/>
    <hyperlink r:id="rId90" ref="L98"/>
    <hyperlink r:id="rId91" ref="L99"/>
    <hyperlink r:id="rId92" ref="L100"/>
    <hyperlink r:id="rId93" ref="L101"/>
    <hyperlink r:id="rId94" ref="L102"/>
    <hyperlink r:id="rId95" ref="L103"/>
    <hyperlink r:id="rId96" ref="L104"/>
    <hyperlink r:id="rId97" ref="L105"/>
    <hyperlink r:id="rId98" ref="L106"/>
    <hyperlink r:id="rId99" ref="L107"/>
    <hyperlink r:id="rId100" ref="L108"/>
    <hyperlink r:id="rId101" ref="L109"/>
    <hyperlink r:id="rId102" ref="L110"/>
    <hyperlink r:id="rId103" ref="L111"/>
    <hyperlink r:id="rId104" ref="L113"/>
    <hyperlink r:id="rId105" ref="L114"/>
    <hyperlink r:id="rId106" ref="L115"/>
    <hyperlink r:id="rId107" ref="L116"/>
    <hyperlink r:id="rId108" ref="L120"/>
    <hyperlink r:id="rId109" ref="L121"/>
    <hyperlink r:id="rId110" ref="L122"/>
    <hyperlink r:id="rId111" ref="L123"/>
    <hyperlink r:id="rId112" ref="L124"/>
    <hyperlink r:id="rId113" ref="L125"/>
    <hyperlink r:id="rId114" ref="L126"/>
    <hyperlink r:id="rId115" ref="L129"/>
    <hyperlink r:id="rId116" ref="L130"/>
    <hyperlink r:id="rId117" ref="L133"/>
    <hyperlink r:id="rId118" ref="L134"/>
    <hyperlink r:id="rId119" ref="L135"/>
    <hyperlink r:id="rId120" ref="L136"/>
    <hyperlink r:id="rId121" ref="L137"/>
    <hyperlink r:id="rId122" ref="L138"/>
    <hyperlink r:id="rId123" ref="L139"/>
    <hyperlink r:id="rId124" ref="L140"/>
    <hyperlink r:id="rId125" ref="L142"/>
    <hyperlink r:id="rId126" ref="L144"/>
    <hyperlink r:id="rId127" ref="L145"/>
    <hyperlink r:id="rId128" ref="L146"/>
    <hyperlink r:id="rId129" ref="L147"/>
    <hyperlink r:id="rId130" ref="L148"/>
    <hyperlink r:id="rId131" ref="L149"/>
    <hyperlink r:id="rId132" ref="L150"/>
    <hyperlink r:id="rId133" ref="L151"/>
    <hyperlink r:id="rId134" ref="L153"/>
    <hyperlink r:id="rId135" ref="L154"/>
    <hyperlink r:id="rId136" ref="L155"/>
    <hyperlink r:id="rId137" ref="L156"/>
    <hyperlink r:id="rId138" ref="L157"/>
    <hyperlink r:id="rId139" ref="L158"/>
    <hyperlink r:id="rId140" ref="L159"/>
    <hyperlink r:id="rId141" ref="L160"/>
    <hyperlink r:id="rId142" ref="L161"/>
    <hyperlink r:id="rId143" ref="B162"/>
    <hyperlink r:id="rId144" ref="L163"/>
    <hyperlink r:id="rId145" ref="L164"/>
    <hyperlink r:id="rId146" ref="L165"/>
    <hyperlink r:id="rId147" ref="L166"/>
    <hyperlink r:id="rId148" ref="L167"/>
    <hyperlink r:id="rId149" ref="L168"/>
    <hyperlink r:id="rId150" ref="L169"/>
    <hyperlink r:id="rId151" ref="L171"/>
    <hyperlink r:id="rId152" ref="L172"/>
    <hyperlink r:id="rId153" ref="L174"/>
    <hyperlink r:id="rId154" ref="L176"/>
    <hyperlink r:id="rId155" ref="B178"/>
    <hyperlink r:id="rId156" ref="L179"/>
    <hyperlink r:id="rId157" ref="L180"/>
    <hyperlink r:id="rId158" ref="L181"/>
    <hyperlink r:id="rId159" ref="L182"/>
    <hyperlink r:id="rId160" ref="L183"/>
    <hyperlink r:id="rId161" ref="B184"/>
    <hyperlink r:id="rId162" ref="L184"/>
    <hyperlink r:id="rId163" ref="L185"/>
    <hyperlink r:id="rId164" ref="L186"/>
    <hyperlink r:id="rId165" ref="L187"/>
    <hyperlink r:id="rId166" ref="L188"/>
    <hyperlink r:id="rId167" ref="L191"/>
    <hyperlink r:id="rId168" ref="L193"/>
    <hyperlink r:id="rId169" ref="B194"/>
    <hyperlink r:id="rId170" ref="L194"/>
    <hyperlink r:id="rId171" ref="L195"/>
    <hyperlink r:id="rId172" ref="L196"/>
    <hyperlink r:id="rId173" ref="L197"/>
    <hyperlink r:id="rId174" ref="L198"/>
    <hyperlink r:id="rId175" ref="L199"/>
    <hyperlink r:id="rId176" ref="L200"/>
    <hyperlink r:id="rId177" ref="L201"/>
    <hyperlink r:id="rId178" ref="L202"/>
    <hyperlink r:id="rId179" ref="L203"/>
    <hyperlink r:id="rId180" ref="L204"/>
    <hyperlink r:id="rId181" ref="L205"/>
    <hyperlink r:id="rId182" ref="L206"/>
    <hyperlink r:id="rId183" ref="L207"/>
    <hyperlink r:id="rId184" ref="L208"/>
    <hyperlink r:id="rId185" ref="L209"/>
    <hyperlink r:id="rId186" ref="L210"/>
    <hyperlink r:id="rId187" ref="L211"/>
    <hyperlink r:id="rId188" ref="L212"/>
    <hyperlink r:id="rId189" ref="L213"/>
    <hyperlink r:id="rId190" ref="L214"/>
    <hyperlink r:id="rId191" ref="L215"/>
    <hyperlink r:id="rId192" ref="L216"/>
    <hyperlink r:id="rId193" ref="L217"/>
    <hyperlink r:id="rId194" ref="L218"/>
    <hyperlink r:id="rId195" ref="L219"/>
    <hyperlink r:id="rId196" ref="L220"/>
    <hyperlink r:id="rId197" ref="L221"/>
    <hyperlink r:id="rId198" ref="L222"/>
    <hyperlink r:id="rId199" ref="L223"/>
    <hyperlink r:id="rId200" ref="L224"/>
    <hyperlink r:id="rId201" ref="L225"/>
    <hyperlink r:id="rId202" ref="L226"/>
    <hyperlink r:id="rId203" ref="L227"/>
    <hyperlink r:id="rId204" ref="L228"/>
    <hyperlink r:id="rId205" ref="L229"/>
    <hyperlink r:id="rId206" ref="L230"/>
    <hyperlink r:id="rId207" ref="L231"/>
    <hyperlink r:id="rId208" ref="L232"/>
    <hyperlink r:id="rId209" ref="L233"/>
    <hyperlink r:id="rId210" ref="L234"/>
    <hyperlink r:id="rId211" ref="L235"/>
    <hyperlink r:id="rId212" ref="L236"/>
    <hyperlink r:id="rId213" ref="L238"/>
    <hyperlink r:id="rId214" ref="L239"/>
    <hyperlink r:id="rId215" ref="L240"/>
    <hyperlink r:id="rId216" ref="L242"/>
    <hyperlink r:id="rId217" ref="L243"/>
    <hyperlink r:id="rId218" ref="L244"/>
    <hyperlink r:id="rId219" ref="L245"/>
    <hyperlink r:id="rId220" ref="L246"/>
    <hyperlink r:id="rId221" ref="L247"/>
    <hyperlink r:id="rId222" ref="L248"/>
    <hyperlink r:id="rId223" ref="L249"/>
    <hyperlink r:id="rId224" ref="L250"/>
    <hyperlink r:id="rId225" ref="B251"/>
    <hyperlink r:id="rId226" ref="L251"/>
    <hyperlink r:id="rId227" ref="L252"/>
    <hyperlink r:id="rId228" ref="L253"/>
    <hyperlink r:id="rId229" ref="L254"/>
    <hyperlink r:id="rId230" ref="L255"/>
    <hyperlink r:id="rId231" ref="L258"/>
    <hyperlink r:id="rId232" ref="L261"/>
    <hyperlink r:id="rId233" ref="L262"/>
    <hyperlink r:id="rId234" ref="L264"/>
    <hyperlink r:id="rId235" ref="L267"/>
    <hyperlink r:id="rId236" ref="L269"/>
    <hyperlink r:id="rId237" ref="L270"/>
    <hyperlink r:id="rId238" ref="L271"/>
    <hyperlink r:id="rId239" ref="L273"/>
    <hyperlink r:id="rId240" ref="L274"/>
    <hyperlink r:id="rId241" ref="L275"/>
    <hyperlink r:id="rId242" ref="L276"/>
    <hyperlink r:id="rId243" ref="L277"/>
    <hyperlink r:id="rId244" ref="L278"/>
    <hyperlink r:id="rId245" ref="L279"/>
    <hyperlink r:id="rId246" ref="L280"/>
    <hyperlink r:id="rId247" ref="L281"/>
    <hyperlink r:id="rId248" ref="L282"/>
    <hyperlink r:id="rId249" ref="L283"/>
    <hyperlink r:id="rId250" ref="L284"/>
    <hyperlink r:id="rId251" ref="L285"/>
    <hyperlink r:id="rId252" ref="L286"/>
    <hyperlink r:id="rId253" ref="L287"/>
    <hyperlink r:id="rId254" ref="L288"/>
    <hyperlink r:id="rId255" ref="L290"/>
    <hyperlink r:id="rId256" ref="L291"/>
    <hyperlink r:id="rId257" ref="L292"/>
    <hyperlink r:id="rId258" ref="L294"/>
    <hyperlink r:id="rId259" ref="L295"/>
    <hyperlink r:id="rId260" ref="L296"/>
    <hyperlink r:id="rId261" ref="L297"/>
    <hyperlink r:id="rId262" ref="L299"/>
    <hyperlink r:id="rId263" ref="L300"/>
    <hyperlink r:id="rId264" ref="L301"/>
    <hyperlink r:id="rId265" ref="L302"/>
    <hyperlink r:id="rId266" ref="L303"/>
    <hyperlink r:id="rId267" ref="L305"/>
    <hyperlink r:id="rId268" ref="A306"/>
    <hyperlink r:id="rId269" ref="D306"/>
    <hyperlink r:id="rId270" ref="L306"/>
    <hyperlink r:id="rId271" ref="L309"/>
    <hyperlink r:id="rId272" ref="L311"/>
    <hyperlink r:id="rId273" ref="L313"/>
    <hyperlink r:id="rId274" ref="L314"/>
    <hyperlink r:id="rId275" ref="L315"/>
    <hyperlink r:id="rId276" ref="L316"/>
    <hyperlink r:id="rId277" ref="L317"/>
    <hyperlink r:id="rId278" ref="L318"/>
    <hyperlink r:id="rId279" ref="L319"/>
    <hyperlink r:id="rId280" ref="L320"/>
    <hyperlink r:id="rId281" ref="L321"/>
    <hyperlink r:id="rId282" ref="L322"/>
    <hyperlink r:id="rId283" ref="L323"/>
    <hyperlink r:id="rId284" ref="L324"/>
    <hyperlink r:id="rId285" ref="L326"/>
    <hyperlink r:id="rId286" ref="L327"/>
    <hyperlink r:id="rId287" ref="L328"/>
    <hyperlink r:id="rId288" ref="L329"/>
    <hyperlink r:id="rId289" ref="L330"/>
    <hyperlink r:id="rId290" ref="L331"/>
    <hyperlink r:id="rId291" ref="L332"/>
    <hyperlink r:id="rId292" ref="B333"/>
    <hyperlink r:id="rId293" ref="D333"/>
    <hyperlink r:id="rId294" ref="L333"/>
    <hyperlink r:id="rId295" ref="L334"/>
    <hyperlink r:id="rId296" ref="L336"/>
    <hyperlink r:id="rId297" ref="L337"/>
    <hyperlink r:id="rId298" ref="L338"/>
    <hyperlink r:id="rId299" ref="L339"/>
    <hyperlink r:id="rId300" ref="L340"/>
    <hyperlink r:id="rId301" ref="L342"/>
    <hyperlink r:id="rId302" ref="L343"/>
    <hyperlink r:id="rId303" ref="L344"/>
    <hyperlink r:id="rId304" ref="L346"/>
    <hyperlink r:id="rId305" ref="L347"/>
    <hyperlink r:id="rId306" ref="L348"/>
    <hyperlink r:id="rId307" ref="L350"/>
    <hyperlink r:id="rId308" ref="L351"/>
    <hyperlink r:id="rId309" ref="L352"/>
    <hyperlink r:id="rId310" ref="L353"/>
    <hyperlink r:id="rId311" ref="L354"/>
    <hyperlink r:id="rId312" ref="L357"/>
    <hyperlink r:id="rId313" ref="L358"/>
    <hyperlink r:id="rId314" ref="L359"/>
    <hyperlink r:id="rId315" ref="L360"/>
    <hyperlink r:id="rId316" ref="L361"/>
    <hyperlink r:id="rId317" ref="L362"/>
    <hyperlink r:id="rId318" ref="L363"/>
    <hyperlink r:id="rId319" ref="L364"/>
    <hyperlink r:id="rId320" ref="L365"/>
    <hyperlink r:id="rId321" ref="L366"/>
    <hyperlink r:id="rId322" ref="L367"/>
    <hyperlink r:id="rId323" ref="L368"/>
    <hyperlink r:id="rId324" ref="L369"/>
    <hyperlink r:id="rId325" ref="L370"/>
    <hyperlink r:id="rId326" ref="L371"/>
    <hyperlink r:id="rId327" ref="L372"/>
    <hyperlink r:id="rId328" ref="L373"/>
    <hyperlink r:id="rId329" ref="L374"/>
    <hyperlink r:id="rId330" ref="L375"/>
    <hyperlink r:id="rId331" ref="L376"/>
    <hyperlink r:id="rId332" ref="L377"/>
    <hyperlink r:id="rId333" ref="L378"/>
    <hyperlink r:id="rId334" ref="L379"/>
    <hyperlink r:id="rId335" ref="L381"/>
    <hyperlink r:id="rId336" ref="L384"/>
    <hyperlink r:id="rId337" ref="L385"/>
    <hyperlink r:id="rId338" ref="L386"/>
    <hyperlink r:id="rId339" ref="L387"/>
    <hyperlink r:id="rId340" ref="L388"/>
    <hyperlink r:id="rId341" ref="L390"/>
    <hyperlink r:id="rId342" ref="L391"/>
    <hyperlink r:id="rId343" ref="L392"/>
    <hyperlink r:id="rId344" ref="L393"/>
    <hyperlink r:id="rId345" ref="L394"/>
    <hyperlink r:id="rId346" ref="L395"/>
    <hyperlink r:id="rId347" ref="L396"/>
    <hyperlink r:id="rId348" ref="L397"/>
    <hyperlink r:id="rId349" ref="L398"/>
    <hyperlink r:id="rId350" ref="L399"/>
    <hyperlink r:id="rId351" ref="L401"/>
    <hyperlink r:id="rId352" ref="L402"/>
    <hyperlink r:id="rId353" ref="L403"/>
    <hyperlink r:id="rId354" ref="L404"/>
    <hyperlink r:id="rId355" ref="L405"/>
    <hyperlink r:id="rId356" ref="L406"/>
    <hyperlink r:id="rId357" ref="L407"/>
    <hyperlink r:id="rId358" ref="L408"/>
    <hyperlink r:id="rId359" ref="L409"/>
    <hyperlink r:id="rId360" ref="L410"/>
    <hyperlink r:id="rId361" ref="L411"/>
    <hyperlink r:id="rId362" ref="L412"/>
    <hyperlink r:id="rId363" ref="L413"/>
    <hyperlink r:id="rId364" ref="L414"/>
    <hyperlink r:id="rId365" ref="L415"/>
    <hyperlink r:id="rId366" ref="L416"/>
    <hyperlink r:id="rId367" ref="L417"/>
    <hyperlink r:id="rId368" ref="L418"/>
    <hyperlink r:id="rId369" ref="L419"/>
    <hyperlink r:id="rId370" ref="L420"/>
    <hyperlink r:id="rId371" ref="L421"/>
    <hyperlink r:id="rId372" ref="L422"/>
    <hyperlink r:id="rId373" ref="L423"/>
    <hyperlink r:id="rId374" ref="L425"/>
    <hyperlink r:id="rId375" ref="L426"/>
    <hyperlink r:id="rId376" ref="L427"/>
    <hyperlink r:id="rId377" ref="L428"/>
    <hyperlink r:id="rId378" ref="L429"/>
    <hyperlink r:id="rId379" ref="L431"/>
    <hyperlink r:id="rId380" ref="L432"/>
    <hyperlink r:id="rId381" ref="L433"/>
    <hyperlink r:id="rId382" ref="L434"/>
    <hyperlink r:id="rId383" ref="L435"/>
    <hyperlink r:id="rId384" ref="B436"/>
    <hyperlink r:id="rId385" ref="L436"/>
    <hyperlink r:id="rId386" ref="L437"/>
    <hyperlink r:id="rId387" ref="L438"/>
    <hyperlink r:id="rId388" ref="L439"/>
    <hyperlink r:id="rId389" ref="L440"/>
    <hyperlink r:id="rId390" ref="L441"/>
    <hyperlink r:id="rId391" ref="L442"/>
    <hyperlink r:id="rId392" ref="L443"/>
    <hyperlink r:id="rId393" ref="L444"/>
    <hyperlink r:id="rId394" ref="L446"/>
    <hyperlink r:id="rId395" ref="L447"/>
    <hyperlink r:id="rId396" ref="L448"/>
    <hyperlink r:id="rId397" ref="L451"/>
    <hyperlink r:id="rId398" ref="L453"/>
    <hyperlink r:id="rId399" ref="L455"/>
    <hyperlink r:id="rId400" ref="L456"/>
    <hyperlink r:id="rId401" ref="L457"/>
    <hyperlink r:id="rId402" ref="L458"/>
    <hyperlink r:id="rId403" ref="L459"/>
    <hyperlink r:id="rId404" ref="L460"/>
    <hyperlink r:id="rId405" ref="L461"/>
    <hyperlink r:id="rId406" ref="L462"/>
    <hyperlink r:id="rId407" ref="L463"/>
    <hyperlink r:id="rId408" ref="L465"/>
    <hyperlink r:id="rId409" ref="L466"/>
    <hyperlink r:id="rId410" ref="L467"/>
    <hyperlink r:id="rId411" ref="L468"/>
    <hyperlink r:id="rId412" ref="L469"/>
    <hyperlink r:id="rId413" ref="L470"/>
    <hyperlink r:id="rId414" ref="L471"/>
    <hyperlink r:id="rId415" ref="L472"/>
    <hyperlink r:id="rId416" ref="L473"/>
    <hyperlink r:id="rId417" ref="L474"/>
    <hyperlink r:id="rId418" ref="L475"/>
    <hyperlink r:id="rId419" ref="L476"/>
    <hyperlink r:id="rId420" ref="L477"/>
    <hyperlink r:id="rId421" ref="L478"/>
    <hyperlink r:id="rId422" ref="L480"/>
    <hyperlink r:id="rId423" ref="L481"/>
    <hyperlink r:id="rId424" ref="L484"/>
    <hyperlink r:id="rId425" ref="L485"/>
    <hyperlink r:id="rId426" ref="L486"/>
    <hyperlink r:id="rId427" ref="L487"/>
    <hyperlink r:id="rId428" ref="L488"/>
    <hyperlink r:id="rId429" ref="L489"/>
    <hyperlink r:id="rId430" ref="L490"/>
    <hyperlink r:id="rId431" ref="L491"/>
    <hyperlink r:id="rId432" ref="L492"/>
    <hyperlink r:id="rId433" ref="L493"/>
    <hyperlink r:id="rId434" ref="L495"/>
    <hyperlink r:id="rId435" ref="L496"/>
    <hyperlink r:id="rId436" ref="L497"/>
    <hyperlink r:id="rId437" ref="L498"/>
    <hyperlink r:id="rId438" ref="L499"/>
    <hyperlink r:id="rId439" ref="L500"/>
    <hyperlink r:id="rId440" ref="L501"/>
    <hyperlink r:id="rId441" ref="L502"/>
    <hyperlink r:id="rId442" ref="L503"/>
    <hyperlink r:id="rId443" ref="L504"/>
    <hyperlink r:id="rId444" ref="L505"/>
    <hyperlink r:id="rId445" ref="L506"/>
    <hyperlink r:id="rId446" ref="L507"/>
    <hyperlink r:id="rId447" ref="L508"/>
    <hyperlink r:id="rId448" ref="L509"/>
    <hyperlink r:id="rId449" ref="L510"/>
    <hyperlink r:id="rId450" ref="B511"/>
    <hyperlink r:id="rId451" ref="L512"/>
    <hyperlink r:id="rId452" ref="L513"/>
    <hyperlink r:id="rId453" ref="L514"/>
    <hyperlink r:id="rId454" ref="L515"/>
    <hyperlink r:id="rId455" ref="L516"/>
    <hyperlink r:id="rId456" ref="L517"/>
    <hyperlink r:id="rId457" ref="L518"/>
    <hyperlink r:id="rId458" ref="L520"/>
    <hyperlink r:id="rId459" ref="L521"/>
    <hyperlink r:id="rId460" ref="L522"/>
    <hyperlink r:id="rId461" ref="L523"/>
    <hyperlink r:id="rId462" ref="L524"/>
    <hyperlink r:id="rId463" ref="L525"/>
    <hyperlink r:id="rId464" ref="L526"/>
    <hyperlink r:id="rId465" ref="L527"/>
    <hyperlink r:id="rId466" ref="L528"/>
    <hyperlink r:id="rId467" ref="L530"/>
    <hyperlink r:id="rId468" ref="L531"/>
    <hyperlink r:id="rId469" ref="L532"/>
    <hyperlink r:id="rId470" ref="L533"/>
    <hyperlink r:id="rId471" ref="L534"/>
    <hyperlink r:id="rId472" ref="L535"/>
    <hyperlink r:id="rId473" ref="L536"/>
    <hyperlink r:id="rId474" ref="L537"/>
    <hyperlink r:id="rId475" ref="L539"/>
    <hyperlink r:id="rId476" ref="L540"/>
    <hyperlink r:id="rId477" ref="L541"/>
    <hyperlink r:id="rId478" ref="L542"/>
    <hyperlink r:id="rId479" ref="L543"/>
    <hyperlink r:id="rId480" ref="L544"/>
    <hyperlink r:id="rId481" ref="L545"/>
    <hyperlink r:id="rId482" ref="L546"/>
    <hyperlink r:id="rId483" ref="L547"/>
    <hyperlink r:id="rId484" ref="L548"/>
    <hyperlink r:id="rId485" ref="L549"/>
    <hyperlink r:id="rId486" ref="L550"/>
    <hyperlink r:id="rId487" ref="L551"/>
    <hyperlink r:id="rId488" ref="L554"/>
    <hyperlink r:id="rId489" ref="L556"/>
    <hyperlink r:id="rId490" ref="L557"/>
    <hyperlink r:id="rId491" ref="L558"/>
    <hyperlink r:id="rId492" ref="L559"/>
    <hyperlink r:id="rId493" ref="L561"/>
    <hyperlink r:id="rId494" ref="L562"/>
    <hyperlink r:id="rId495" ref="L563"/>
    <hyperlink r:id="rId496" ref="L564"/>
    <hyperlink r:id="rId497" ref="L565"/>
    <hyperlink r:id="rId498" ref="L566"/>
    <hyperlink r:id="rId499" ref="L567"/>
    <hyperlink r:id="rId500" ref="L568"/>
    <hyperlink r:id="rId501" ref="L569"/>
    <hyperlink r:id="rId502" ref="L570"/>
    <hyperlink r:id="rId503" ref="L571"/>
    <hyperlink r:id="rId504" ref="L572"/>
    <hyperlink r:id="rId505" ref="L573"/>
    <hyperlink r:id="rId506" ref="L574"/>
    <hyperlink r:id="rId507" ref="L575"/>
    <hyperlink r:id="rId508" ref="L576"/>
    <hyperlink r:id="rId509" ref="L577"/>
    <hyperlink r:id="rId510" ref="L578"/>
    <hyperlink r:id="rId511" ref="L579"/>
    <hyperlink r:id="rId512" ref="L580"/>
    <hyperlink r:id="rId513" ref="L581"/>
    <hyperlink r:id="rId514" ref="L582"/>
    <hyperlink r:id="rId515" ref="L583"/>
    <hyperlink r:id="rId516" ref="L584"/>
    <hyperlink r:id="rId517" ref="L585"/>
    <hyperlink r:id="rId518" ref="L586"/>
    <hyperlink r:id="rId519" ref="L589"/>
    <hyperlink r:id="rId520" ref="L590"/>
    <hyperlink r:id="rId521" ref="D591"/>
    <hyperlink r:id="rId522" ref="L591"/>
    <hyperlink r:id="rId523" ref="D592"/>
    <hyperlink r:id="rId524" ref="L593"/>
    <hyperlink r:id="rId525" ref="L594"/>
    <hyperlink r:id="rId526" ref="L595"/>
    <hyperlink r:id="rId527" ref="L596"/>
    <hyperlink r:id="rId528" ref="L597"/>
    <hyperlink r:id="rId529" ref="L598"/>
    <hyperlink r:id="rId530" ref="L599"/>
    <hyperlink r:id="rId531" ref="L600"/>
    <hyperlink r:id="rId532" ref="L601"/>
    <hyperlink r:id="rId533" ref="B602"/>
    <hyperlink r:id="rId534" ref="L602"/>
    <hyperlink r:id="rId535" ref="L605"/>
    <hyperlink r:id="rId536" ref="L606"/>
    <hyperlink r:id="rId537" ref="L607"/>
    <hyperlink r:id="rId538" ref="L608"/>
    <hyperlink r:id="rId539" ref="D611"/>
    <hyperlink r:id="rId540" ref="L611"/>
    <hyperlink r:id="rId541" ref="D612"/>
    <hyperlink r:id="rId542" ref="L612"/>
    <hyperlink r:id="rId543" ref="L613"/>
    <hyperlink r:id="rId544" ref="L616"/>
    <hyperlink r:id="rId545" ref="L618"/>
    <hyperlink r:id="rId546" ref="L619"/>
    <hyperlink r:id="rId547" ref="B620"/>
    <hyperlink r:id="rId548" ref="L620"/>
    <hyperlink r:id="rId549" ref="L621"/>
    <hyperlink r:id="rId550" ref="L622"/>
    <hyperlink r:id="rId551" ref="L623"/>
    <hyperlink r:id="rId552" ref="L624"/>
    <hyperlink r:id="rId553" ref="L625"/>
    <hyperlink r:id="rId554" ref="L626"/>
    <hyperlink r:id="rId555" ref="L627"/>
    <hyperlink r:id="rId556" ref="L628"/>
    <hyperlink r:id="rId557" ref="L630"/>
    <hyperlink r:id="rId558" ref="L631"/>
    <hyperlink r:id="rId559" ref="L633"/>
    <hyperlink r:id="rId560" ref="L634"/>
    <hyperlink r:id="rId561" ref="L636"/>
    <hyperlink r:id="rId562" ref="L637"/>
    <hyperlink r:id="rId563" ref="L638"/>
    <hyperlink r:id="rId564" ref="L640"/>
    <hyperlink r:id="rId565" ref="L641"/>
    <hyperlink r:id="rId566" ref="L642"/>
    <hyperlink r:id="rId567" ref="L643"/>
    <hyperlink r:id="rId568" ref="L644"/>
    <hyperlink r:id="rId569" ref="L645"/>
    <hyperlink r:id="rId570" ref="L646"/>
    <hyperlink r:id="rId571" ref="L647"/>
    <hyperlink r:id="rId572" ref="L648"/>
    <hyperlink r:id="rId573" ref="L649"/>
    <hyperlink r:id="rId574" ref="L650"/>
    <hyperlink r:id="rId575" ref="L651"/>
    <hyperlink r:id="rId576" ref="L652"/>
    <hyperlink r:id="rId577" ref="L654"/>
    <hyperlink r:id="rId578" ref="L656"/>
    <hyperlink r:id="rId579" ref="K657"/>
    <hyperlink r:id="rId580" ref="L660"/>
    <hyperlink r:id="rId581" ref="L661"/>
    <hyperlink r:id="rId582" ref="L662"/>
    <hyperlink r:id="rId583" ref="L663"/>
    <hyperlink r:id="rId584" ref="L664"/>
    <hyperlink r:id="rId585" ref="L665"/>
    <hyperlink r:id="rId586" ref="L666"/>
    <hyperlink r:id="rId587" ref="L667"/>
    <hyperlink r:id="rId588" ref="L668"/>
    <hyperlink r:id="rId589" ref="L669"/>
    <hyperlink r:id="rId590" ref="L670"/>
    <hyperlink r:id="rId591" ref="L671"/>
    <hyperlink r:id="rId592" ref="L672"/>
    <hyperlink r:id="rId593" ref="L674"/>
    <hyperlink r:id="rId594" ref="L675"/>
    <hyperlink r:id="rId595" ref="L676"/>
    <hyperlink r:id="rId596" ref="L677"/>
    <hyperlink r:id="rId597" ref="L679"/>
    <hyperlink r:id="rId598" ref="L680"/>
    <hyperlink r:id="rId599" ref="L681"/>
    <hyperlink r:id="rId600" ref="L682"/>
    <hyperlink r:id="rId601" ref="L683"/>
    <hyperlink r:id="rId602" ref="L684"/>
    <hyperlink r:id="rId603" ref="L686"/>
    <hyperlink r:id="rId604" ref="L687"/>
    <hyperlink r:id="rId605" ref="L688"/>
    <hyperlink r:id="rId606" ref="L689"/>
    <hyperlink r:id="rId607" ref="L690"/>
    <hyperlink r:id="rId608" ref="L691"/>
    <hyperlink r:id="rId609" ref="L692"/>
    <hyperlink r:id="rId610" ref="L693"/>
    <hyperlink r:id="rId611" ref="L694"/>
    <hyperlink r:id="rId612" ref="L695"/>
    <hyperlink r:id="rId613" ref="L696"/>
    <hyperlink r:id="rId614" ref="L697"/>
    <hyperlink r:id="rId615" ref="L698"/>
    <hyperlink r:id="rId616" ref="L699"/>
    <hyperlink r:id="rId617" ref="B700"/>
    <hyperlink r:id="rId618" ref="L700"/>
    <hyperlink r:id="rId619" ref="L702"/>
    <hyperlink r:id="rId620" ref="L703"/>
    <hyperlink r:id="rId621" ref="L704"/>
    <hyperlink r:id="rId622" ref="L705"/>
    <hyperlink r:id="rId623" ref="L706"/>
    <hyperlink r:id="rId624" ref="L707"/>
    <hyperlink r:id="rId625" ref="L708"/>
    <hyperlink r:id="rId626" ref="L709"/>
    <hyperlink r:id="rId627" ref="L710"/>
    <hyperlink r:id="rId628" ref="L711"/>
    <hyperlink r:id="rId629" ref="L712"/>
    <hyperlink r:id="rId630" ref="L713"/>
    <hyperlink r:id="rId631" ref="L714"/>
    <hyperlink r:id="rId632" ref="L715"/>
    <hyperlink r:id="rId633" ref="L716"/>
    <hyperlink r:id="rId634" ref="L717"/>
    <hyperlink r:id="rId635" ref="L718"/>
    <hyperlink r:id="rId636" ref="L720"/>
    <hyperlink r:id="rId637" ref="L721"/>
    <hyperlink r:id="rId638" ref="L723"/>
    <hyperlink r:id="rId639" ref="L724"/>
    <hyperlink r:id="rId640" ref="L725"/>
    <hyperlink r:id="rId641" ref="L726"/>
    <hyperlink r:id="rId642" ref="B727"/>
    <hyperlink r:id="rId643" ref="L728"/>
    <hyperlink r:id="rId644" ref="L729"/>
    <hyperlink r:id="rId645" ref="L730"/>
    <hyperlink r:id="rId646" ref="A731"/>
    <hyperlink r:id="rId647" ref="L731"/>
    <hyperlink r:id="rId648" ref="L732"/>
    <hyperlink r:id="rId649" ref="L733"/>
    <hyperlink r:id="rId650" ref="L734"/>
    <hyperlink r:id="rId651" ref="L735"/>
    <hyperlink r:id="rId652" ref="L736"/>
    <hyperlink r:id="rId653" ref="L739"/>
    <hyperlink r:id="rId654" ref="L740"/>
    <hyperlink r:id="rId655" ref="L741"/>
    <hyperlink r:id="rId656" ref="L742"/>
    <hyperlink r:id="rId657" ref="L743"/>
    <hyperlink r:id="rId658" ref="L744"/>
    <hyperlink r:id="rId659" ref="L745"/>
    <hyperlink r:id="rId660" ref="L746"/>
    <hyperlink r:id="rId661" ref="L747"/>
    <hyperlink r:id="rId662" ref="L748"/>
    <hyperlink r:id="rId663" ref="L749"/>
    <hyperlink r:id="rId664" ref="L750"/>
    <hyperlink r:id="rId665" ref="L751"/>
    <hyperlink r:id="rId666" ref="L752"/>
    <hyperlink r:id="rId667" ref="L753"/>
    <hyperlink r:id="rId668" ref="L754"/>
    <hyperlink r:id="rId669" ref="L755"/>
    <hyperlink r:id="rId670" ref="L756"/>
    <hyperlink r:id="rId671" ref="L757"/>
    <hyperlink r:id="rId672" ref="L758"/>
    <hyperlink r:id="rId673" ref="L759"/>
    <hyperlink r:id="rId674" ref="L760"/>
    <hyperlink r:id="rId675" ref="L761"/>
    <hyperlink r:id="rId676" ref="L762"/>
    <hyperlink r:id="rId677" ref="L763"/>
    <hyperlink r:id="rId678" ref="L764"/>
    <hyperlink r:id="rId679" ref="L765"/>
    <hyperlink r:id="rId680" ref="L766"/>
    <hyperlink r:id="rId681" ref="L767"/>
    <hyperlink r:id="rId682" ref="L768"/>
    <hyperlink r:id="rId683" ref="L769"/>
    <hyperlink r:id="rId684" ref="L770"/>
    <hyperlink r:id="rId685" ref="L771"/>
    <hyperlink r:id="rId686" ref="L773"/>
    <hyperlink r:id="rId687" ref="L774"/>
    <hyperlink r:id="rId688" ref="L775"/>
    <hyperlink r:id="rId689" ref="L776"/>
    <hyperlink r:id="rId690" ref="L777"/>
    <hyperlink r:id="rId691" ref="L778"/>
    <hyperlink r:id="rId692" ref="L779"/>
    <hyperlink r:id="rId693" ref="L781"/>
    <hyperlink r:id="rId694" ref="L782"/>
    <hyperlink r:id="rId695" ref="B784"/>
    <hyperlink r:id="rId696" ref="L784"/>
    <hyperlink r:id="rId697" ref="L787"/>
    <hyperlink r:id="rId698" ref="B788"/>
    <hyperlink r:id="rId699" ref="L789"/>
    <hyperlink r:id="rId700" ref="L790"/>
    <hyperlink r:id="rId701" ref="L791"/>
    <hyperlink r:id="rId702" ref="L793"/>
    <hyperlink r:id="rId703" ref="L794"/>
    <hyperlink r:id="rId704" ref="L795"/>
    <hyperlink r:id="rId705" ref="L796"/>
    <hyperlink r:id="rId706" ref="L797"/>
    <hyperlink r:id="rId707" ref="L798"/>
    <hyperlink r:id="rId708" ref="L799"/>
    <hyperlink r:id="rId709" ref="L800"/>
    <hyperlink r:id="rId710" ref="L801"/>
    <hyperlink r:id="rId711" ref="L802"/>
    <hyperlink r:id="rId712" ref="L803"/>
    <hyperlink r:id="rId713" ref="L804"/>
    <hyperlink r:id="rId714" ref="L805"/>
    <hyperlink r:id="rId715" ref="L806"/>
    <hyperlink r:id="rId716" ref="L807"/>
    <hyperlink r:id="rId717" ref="L808"/>
    <hyperlink r:id="rId718" ref="L810"/>
    <hyperlink r:id="rId719" ref="L811"/>
    <hyperlink r:id="rId720" ref="L812"/>
    <hyperlink r:id="rId721" ref="L816"/>
    <hyperlink r:id="rId722" ref="L818"/>
    <hyperlink r:id="rId723" ref="L819"/>
    <hyperlink r:id="rId724" ref="L820"/>
    <hyperlink r:id="rId725" ref="L821"/>
    <hyperlink r:id="rId726" ref="L822"/>
    <hyperlink r:id="rId727" ref="L823"/>
    <hyperlink r:id="rId728" ref="L824"/>
    <hyperlink r:id="rId729" ref="L825"/>
    <hyperlink r:id="rId730" ref="L826"/>
    <hyperlink r:id="rId731" ref="K827"/>
    <hyperlink r:id="rId732" ref="L827"/>
    <hyperlink r:id="rId733" ref="L828"/>
    <hyperlink r:id="rId734" ref="L829"/>
    <hyperlink r:id="rId735" ref="L830"/>
    <hyperlink r:id="rId736" ref="L831"/>
    <hyperlink r:id="rId737" ref="L832"/>
    <hyperlink r:id="rId738" ref="L833"/>
    <hyperlink r:id="rId739" ref="L834"/>
    <hyperlink r:id="rId740" ref="L835"/>
    <hyperlink r:id="rId741" ref="L836"/>
    <hyperlink r:id="rId742" ref="L838"/>
    <hyperlink r:id="rId743" ref="B839"/>
    <hyperlink r:id="rId744" ref="L839"/>
    <hyperlink r:id="rId745" ref="B840"/>
    <hyperlink r:id="rId746" ref="L840"/>
    <hyperlink r:id="rId747" ref="L841"/>
    <hyperlink r:id="rId748" ref="L842"/>
    <hyperlink r:id="rId749" ref="B844"/>
    <hyperlink r:id="rId750" ref="L845"/>
    <hyperlink r:id="rId751" ref="L846"/>
    <hyperlink r:id="rId752" ref="L848"/>
    <hyperlink r:id="rId753" ref="L849"/>
    <hyperlink r:id="rId754" ref="L850"/>
    <hyperlink r:id="rId755" ref="L851"/>
    <hyperlink r:id="rId756" ref="L852"/>
    <hyperlink r:id="rId757" ref="L853"/>
    <hyperlink r:id="rId758" ref="L854"/>
    <hyperlink r:id="rId759" ref="L855"/>
    <hyperlink r:id="rId760" ref="L856"/>
    <hyperlink r:id="rId761" ref="L857"/>
    <hyperlink r:id="rId762" ref="L859"/>
    <hyperlink r:id="rId763" ref="L861"/>
    <hyperlink r:id="rId764" ref="L862"/>
    <hyperlink r:id="rId765" ref="L864"/>
    <hyperlink r:id="rId766" ref="L865"/>
    <hyperlink r:id="rId767" ref="L866"/>
    <hyperlink r:id="rId768" ref="L867"/>
    <hyperlink r:id="rId769" ref="L868"/>
    <hyperlink r:id="rId770" ref="L869"/>
    <hyperlink r:id="rId771" ref="L870"/>
    <hyperlink r:id="rId772" ref="L871"/>
    <hyperlink r:id="rId773" ref="L873"/>
    <hyperlink r:id="rId774" ref="L874"/>
    <hyperlink r:id="rId775" ref="L875"/>
    <hyperlink r:id="rId776" ref="L878"/>
    <hyperlink r:id="rId777" ref="L879"/>
    <hyperlink r:id="rId778" ref="L880"/>
    <hyperlink r:id="rId779" ref="L881"/>
    <hyperlink r:id="rId780" ref="L884"/>
    <hyperlink r:id="rId781" ref="L887"/>
    <hyperlink r:id="rId782" ref="L888"/>
    <hyperlink r:id="rId783" ref="D889"/>
    <hyperlink r:id="rId784" ref="L891"/>
    <hyperlink r:id="rId785" ref="B892"/>
    <hyperlink r:id="rId786" ref="L892"/>
    <hyperlink r:id="rId787" ref="L893"/>
    <hyperlink r:id="rId788" ref="L894"/>
    <hyperlink r:id="rId789" ref="L895"/>
    <hyperlink r:id="rId790" ref="L896"/>
    <hyperlink r:id="rId791" ref="L897"/>
    <hyperlink r:id="rId792" ref="L898"/>
    <hyperlink r:id="rId793" ref="L899"/>
    <hyperlink r:id="rId794" ref="L900"/>
    <hyperlink r:id="rId795" ref="L901"/>
    <hyperlink r:id="rId796" ref="L902"/>
    <hyperlink r:id="rId797" ref="L906"/>
    <hyperlink r:id="rId798" ref="L907"/>
    <hyperlink r:id="rId799" ref="L908"/>
    <hyperlink r:id="rId800" ref="L909"/>
    <hyperlink r:id="rId801" ref="L911"/>
    <hyperlink r:id="rId802" ref="L912"/>
    <hyperlink r:id="rId803" ref="L913"/>
    <hyperlink r:id="rId804" ref="L915"/>
    <hyperlink r:id="rId805" ref="L916"/>
    <hyperlink r:id="rId806" ref="L917"/>
    <hyperlink r:id="rId807" ref="L918"/>
    <hyperlink r:id="rId808" ref="L919"/>
    <hyperlink r:id="rId809" ref="L920"/>
    <hyperlink r:id="rId810" ref="L921"/>
    <hyperlink r:id="rId811" ref="L922"/>
    <hyperlink r:id="rId812" ref="L923"/>
    <hyperlink r:id="rId813" ref="L924"/>
    <hyperlink r:id="rId814" ref="L925"/>
    <hyperlink r:id="rId815" ref="L926"/>
    <hyperlink r:id="rId816" ref="L927"/>
    <hyperlink r:id="rId817" ref="L928"/>
    <hyperlink r:id="rId818" ref="L929"/>
    <hyperlink r:id="rId819" ref="L931"/>
    <hyperlink r:id="rId820" ref="L933"/>
    <hyperlink r:id="rId821" ref="L934"/>
    <hyperlink r:id="rId822" ref="L935"/>
    <hyperlink r:id="rId823" ref="B936"/>
    <hyperlink r:id="rId824" ref="L936"/>
    <hyperlink r:id="rId825" ref="L938"/>
    <hyperlink r:id="rId826" ref="L940"/>
    <hyperlink r:id="rId827" ref="L941"/>
    <hyperlink r:id="rId828" ref="L942"/>
    <hyperlink r:id="rId829" ref="L944"/>
    <hyperlink r:id="rId830" ref="L946"/>
    <hyperlink r:id="rId831" ref="L947"/>
    <hyperlink r:id="rId832" ref="L949"/>
    <hyperlink r:id="rId833" ref="L950"/>
    <hyperlink r:id="rId834" ref="L951"/>
    <hyperlink r:id="rId835" ref="L952"/>
    <hyperlink r:id="rId836" ref="L953"/>
    <hyperlink r:id="rId837" ref="L955"/>
    <hyperlink r:id="rId838" ref="L956"/>
    <hyperlink r:id="rId839" ref="L957"/>
    <hyperlink r:id="rId840" ref="L958"/>
    <hyperlink r:id="rId841" ref="L959"/>
    <hyperlink r:id="rId842" ref="L960"/>
    <hyperlink r:id="rId843" ref="L962"/>
    <hyperlink r:id="rId844" ref="L963"/>
    <hyperlink r:id="rId845" ref="L964"/>
    <hyperlink r:id="rId846" ref="L965"/>
    <hyperlink r:id="rId847" ref="L966"/>
    <hyperlink r:id="rId848" ref="L967"/>
    <hyperlink r:id="rId849" ref="L968"/>
    <hyperlink r:id="rId850" ref="L969"/>
    <hyperlink r:id="rId851" ref="L971"/>
    <hyperlink r:id="rId852" ref="L972"/>
    <hyperlink r:id="rId853" ref="L973"/>
    <hyperlink r:id="rId854" ref="L974"/>
    <hyperlink r:id="rId855" ref="L975"/>
    <hyperlink r:id="rId856" ref="L976"/>
    <hyperlink r:id="rId857" ref="L977"/>
    <hyperlink r:id="rId858" ref="L978"/>
    <hyperlink r:id="rId859" ref="L979"/>
    <hyperlink r:id="rId860" ref="L980"/>
    <hyperlink r:id="rId861" ref="L981"/>
    <hyperlink r:id="rId862" ref="L982"/>
    <hyperlink r:id="rId863" ref="L983"/>
    <hyperlink r:id="rId864" ref="L984"/>
    <hyperlink r:id="rId865" ref="L985"/>
    <hyperlink r:id="rId866" ref="L986"/>
    <hyperlink r:id="rId867" ref="L987"/>
    <hyperlink r:id="rId868" ref="L988"/>
    <hyperlink r:id="rId869" ref="L989"/>
    <hyperlink r:id="rId870" ref="L990"/>
    <hyperlink r:id="rId871" ref="L991"/>
    <hyperlink r:id="rId872" ref="B992"/>
    <hyperlink r:id="rId873" ref="L994"/>
    <hyperlink r:id="rId874" ref="L995"/>
    <hyperlink r:id="rId875" ref="L996"/>
    <hyperlink r:id="rId876" ref="L997"/>
    <hyperlink r:id="rId877" ref="L998"/>
    <hyperlink r:id="rId878" ref="L999"/>
    <hyperlink r:id="rId879" ref="L1000"/>
    <hyperlink r:id="rId880" ref="L1001"/>
    <hyperlink r:id="rId881" ref="L1002"/>
    <hyperlink r:id="rId882" ref="L1003"/>
    <hyperlink r:id="rId883" ref="L1004"/>
    <hyperlink r:id="rId884" ref="L1005"/>
    <hyperlink r:id="rId885" ref="L1006"/>
    <hyperlink r:id="rId886" ref="L1007"/>
    <hyperlink r:id="rId887" ref="L1008"/>
    <hyperlink r:id="rId888" ref="L1009"/>
    <hyperlink r:id="rId889" ref="L1010"/>
    <hyperlink r:id="rId890" ref="L1011"/>
    <hyperlink r:id="rId891" ref="B1012"/>
    <hyperlink r:id="rId892" ref="L1014"/>
    <hyperlink r:id="rId893" ref="L1015"/>
    <hyperlink r:id="rId894" ref="L1016"/>
    <hyperlink r:id="rId895" ref="L1018"/>
    <hyperlink r:id="rId896" ref="L1020"/>
    <hyperlink r:id="rId897" ref="L1021"/>
    <hyperlink r:id="rId898" ref="L1022"/>
    <hyperlink r:id="rId899" ref="L1023"/>
    <hyperlink r:id="rId900" ref="L1024"/>
    <hyperlink r:id="rId901" ref="L1025"/>
    <hyperlink r:id="rId902" ref="L1026"/>
    <hyperlink r:id="rId903" ref="B1027"/>
    <hyperlink r:id="rId904" ref="L1029"/>
    <hyperlink r:id="rId905" ref="L1030"/>
    <hyperlink r:id="rId906" ref="L1031"/>
    <hyperlink r:id="rId907" ref="L1032"/>
    <hyperlink r:id="rId908" ref="L1033"/>
    <hyperlink r:id="rId909" ref="L1034"/>
    <hyperlink r:id="rId910" ref="L1035"/>
    <hyperlink r:id="rId911" ref="L1036"/>
    <hyperlink r:id="rId912" ref="L1038"/>
    <hyperlink r:id="rId913" ref="L1039"/>
    <hyperlink r:id="rId914" ref="L1040"/>
    <hyperlink r:id="rId915" ref="K1041"/>
    <hyperlink r:id="rId916" ref="L1042"/>
    <hyperlink r:id="rId917" ref="L1043"/>
    <hyperlink r:id="rId918" ref="L1044"/>
    <hyperlink r:id="rId919" ref="L1045"/>
    <hyperlink r:id="rId920" ref="L1046"/>
    <hyperlink r:id="rId921" ref="L1047"/>
    <hyperlink r:id="rId922" ref="L1048"/>
    <hyperlink r:id="rId923" ref="L1049"/>
    <hyperlink r:id="rId924" ref="L1050"/>
    <hyperlink r:id="rId925" ref="L1051"/>
    <hyperlink r:id="rId926" ref="L1052"/>
    <hyperlink r:id="rId927" ref="L1053"/>
    <hyperlink r:id="rId928" ref="L1054"/>
    <hyperlink r:id="rId929" ref="L1055"/>
    <hyperlink r:id="rId930" ref="L1056"/>
    <hyperlink r:id="rId931" ref="L1057"/>
    <hyperlink r:id="rId932" ref="L1058"/>
    <hyperlink r:id="rId933" ref="L1059"/>
    <hyperlink r:id="rId934" ref="L1060"/>
    <hyperlink r:id="rId935" ref="L1061"/>
    <hyperlink r:id="rId936" ref="L1062"/>
    <hyperlink r:id="rId937" ref="L1063"/>
    <hyperlink r:id="rId938" ref="B1064"/>
    <hyperlink r:id="rId939" ref="L1064"/>
    <hyperlink r:id="rId940" ref="L1065"/>
    <hyperlink r:id="rId941" ref="L1066"/>
    <hyperlink r:id="rId942" ref="L1067"/>
    <hyperlink r:id="rId943" ref="L1068"/>
    <hyperlink r:id="rId944" ref="L1069"/>
    <hyperlink r:id="rId945" ref="L1071"/>
    <hyperlink r:id="rId946" ref="L1073"/>
    <hyperlink r:id="rId947" ref="L1075"/>
    <hyperlink r:id="rId948" ref="L1076"/>
    <hyperlink r:id="rId949" ref="L1077"/>
    <hyperlink r:id="rId950" ref="L1078"/>
    <hyperlink r:id="rId951" ref="L1080"/>
    <hyperlink r:id="rId952" ref="L1081"/>
    <hyperlink r:id="rId953" ref="L1082"/>
    <hyperlink r:id="rId954" ref="L1083"/>
    <hyperlink r:id="rId955" ref="L1084"/>
    <hyperlink r:id="rId956" ref="L1085"/>
    <hyperlink r:id="rId957" ref="L1087"/>
    <hyperlink r:id="rId958" ref="L1088"/>
    <hyperlink r:id="rId959" ref="L1089"/>
    <hyperlink r:id="rId960" ref="L1090"/>
    <hyperlink r:id="rId961" ref="L1091"/>
    <hyperlink r:id="rId962" ref="L1092"/>
    <hyperlink r:id="rId963" ref="L1093"/>
    <hyperlink r:id="rId964" ref="L1095"/>
    <hyperlink r:id="rId965" ref="L1096"/>
    <hyperlink r:id="rId966" ref="L1097"/>
    <hyperlink r:id="rId967" ref="L1098"/>
    <hyperlink r:id="rId968" ref="L1099"/>
    <hyperlink r:id="rId969" ref="L1100"/>
    <hyperlink r:id="rId970" ref="L1101"/>
    <hyperlink r:id="rId971" ref="L1102"/>
    <hyperlink r:id="rId972" ref="L1103"/>
    <hyperlink r:id="rId973" ref="L1104"/>
    <hyperlink r:id="rId974" ref="L1105"/>
    <hyperlink r:id="rId975" ref="L1107"/>
    <hyperlink r:id="rId976" ref="L1108"/>
    <hyperlink r:id="rId977" ref="L1109"/>
    <hyperlink r:id="rId978" ref="B1111"/>
    <hyperlink r:id="rId979" ref="L1111"/>
    <hyperlink r:id="rId980" ref="L1112"/>
    <hyperlink r:id="rId981" ref="L1113"/>
    <hyperlink r:id="rId982" ref="L1114"/>
    <hyperlink r:id="rId983" ref="L1115"/>
    <hyperlink r:id="rId984" ref="L1117"/>
    <hyperlink r:id="rId985" ref="L1118"/>
    <hyperlink r:id="rId986" ref="L1119"/>
    <hyperlink r:id="rId987" ref="L1120"/>
    <hyperlink r:id="rId988" ref="L1121"/>
    <hyperlink r:id="rId989" ref="L1122"/>
    <hyperlink r:id="rId990" ref="D1123"/>
    <hyperlink r:id="rId991" ref="L1123"/>
    <hyperlink r:id="rId992" ref="L1125"/>
    <hyperlink r:id="rId993" ref="B1126"/>
    <hyperlink r:id="rId994" ref="L1126"/>
    <hyperlink r:id="rId995" ref="L1127"/>
    <hyperlink r:id="rId996" ref="L1128"/>
    <hyperlink r:id="rId997" ref="L1129"/>
    <hyperlink r:id="rId998" ref="L1130"/>
    <hyperlink r:id="rId999" ref="K1131"/>
    <hyperlink r:id="rId1000" ref="L1131"/>
    <hyperlink r:id="rId1001" ref="L1132"/>
    <hyperlink r:id="rId1002" ref="B1134"/>
    <hyperlink r:id="rId1003" ref="L1134"/>
    <hyperlink r:id="rId1004" ref="B1135"/>
    <hyperlink r:id="rId1005" ref="L1135"/>
    <hyperlink r:id="rId1006" ref="B1136"/>
    <hyperlink r:id="rId1007" ref="L1136"/>
    <hyperlink r:id="rId1008" ref="L1137"/>
    <hyperlink r:id="rId1009" ref="L1138"/>
    <hyperlink r:id="rId1010" ref="L1139"/>
    <hyperlink r:id="rId1011" ref="L1141"/>
    <hyperlink r:id="rId1012" ref="L1142"/>
    <hyperlink r:id="rId1013" ref="L1143"/>
    <hyperlink r:id="rId1014" ref="L1144"/>
    <hyperlink r:id="rId1015" ref="L1145"/>
    <hyperlink r:id="rId1016" ref="L1146"/>
    <hyperlink r:id="rId1017" ref="L1147"/>
    <hyperlink r:id="rId1018" ref="L1148"/>
    <hyperlink r:id="rId1019" ref="L1149"/>
    <hyperlink r:id="rId1020" ref="L1150"/>
    <hyperlink r:id="rId1021" ref="L1151"/>
    <hyperlink r:id="rId1022" ref="L1152"/>
    <hyperlink r:id="rId1023" ref="L1153"/>
    <hyperlink r:id="rId1024" ref="L1154"/>
    <hyperlink r:id="rId1025" ref="L1155"/>
    <hyperlink r:id="rId1026" ref="L1157"/>
    <hyperlink r:id="rId1027" ref="L1158"/>
    <hyperlink r:id="rId1028" ref="L1159"/>
    <hyperlink r:id="rId1029" ref="L1161"/>
    <hyperlink r:id="rId1030" ref="L1162"/>
    <hyperlink r:id="rId1031" ref="L1163"/>
    <hyperlink r:id="rId1032" ref="L1164"/>
    <hyperlink r:id="rId1033" ref="L1165"/>
    <hyperlink r:id="rId1034" ref="L1166"/>
    <hyperlink r:id="rId1035" ref="L1167"/>
    <hyperlink r:id="rId1036" ref="L1168"/>
    <hyperlink r:id="rId1037" ref="L1169"/>
    <hyperlink r:id="rId1038" ref="L1170"/>
    <hyperlink r:id="rId1039" ref="L1171"/>
    <hyperlink r:id="rId1040" ref="L1172"/>
    <hyperlink r:id="rId1041" ref="L1173"/>
    <hyperlink r:id="rId1042" ref="L1174"/>
    <hyperlink r:id="rId1043" ref="L1176"/>
    <hyperlink r:id="rId1044" ref="L1177"/>
    <hyperlink r:id="rId1045" ref="L1178"/>
    <hyperlink r:id="rId1046" ref="L1179"/>
    <hyperlink r:id="rId1047" ref="L1180"/>
    <hyperlink r:id="rId1048" ref="L1182"/>
    <hyperlink r:id="rId1049" ref="L1183"/>
    <hyperlink r:id="rId1050" ref="L1184"/>
    <hyperlink r:id="rId1051" ref="L1186"/>
    <hyperlink r:id="rId1052" ref="L1187"/>
    <hyperlink r:id="rId1053" ref="K1188"/>
    <hyperlink r:id="rId1054" ref="L1188"/>
    <hyperlink r:id="rId1055" ref="L1189"/>
    <hyperlink r:id="rId1056" ref="B1190"/>
    <hyperlink r:id="rId1057" ref="L1190"/>
    <hyperlink r:id="rId1058" ref="L1191"/>
    <hyperlink r:id="rId1059" ref="L1193"/>
    <hyperlink r:id="rId1060" ref="L1194"/>
    <hyperlink r:id="rId1061" ref="L1195"/>
    <hyperlink r:id="rId1062" ref="L1196"/>
    <hyperlink r:id="rId1063" ref="L1197"/>
    <hyperlink r:id="rId1064" ref="L1199"/>
    <hyperlink r:id="rId1065" ref="L1200"/>
    <hyperlink r:id="rId1066" ref="L1201"/>
    <hyperlink r:id="rId1067" ref="L1202"/>
    <hyperlink r:id="rId1068" ref="L1204"/>
    <hyperlink r:id="rId1069" ref="B1205"/>
    <hyperlink r:id="rId1070" ref="L1205"/>
    <hyperlink r:id="rId1071" ref="L1206"/>
    <hyperlink r:id="rId1072" ref="L1207"/>
    <hyperlink r:id="rId1073" ref="L1208"/>
    <hyperlink r:id="rId1074" ref="L1209"/>
    <hyperlink r:id="rId1075" ref="L1210"/>
    <hyperlink r:id="rId1076" ref="L1211"/>
    <hyperlink r:id="rId1077" ref="L1213"/>
    <hyperlink r:id="rId1078" ref="L1214"/>
    <hyperlink r:id="rId1079" ref="L1215"/>
    <hyperlink r:id="rId1080" ref="L1216"/>
    <hyperlink r:id="rId1081" ref="L1217"/>
    <hyperlink r:id="rId1082" ref="L1218"/>
    <hyperlink r:id="rId1083" ref="L1219"/>
    <hyperlink r:id="rId1084" ref="L1221"/>
    <hyperlink r:id="rId1085" ref="L1222"/>
    <hyperlink r:id="rId1086" ref="L1223"/>
    <hyperlink r:id="rId1087" ref="L1224"/>
    <hyperlink r:id="rId1088" ref="L1225"/>
    <hyperlink r:id="rId1089" ref="L1226"/>
    <hyperlink r:id="rId1090" ref="L1227"/>
    <hyperlink r:id="rId1091" ref="L1228"/>
    <hyperlink r:id="rId1092" ref="L1229"/>
    <hyperlink r:id="rId1093" ref="L1230"/>
    <hyperlink r:id="rId1094" ref="L1231"/>
    <hyperlink r:id="rId1095" ref="L1232"/>
    <hyperlink r:id="rId1096" ref="L1234"/>
    <hyperlink r:id="rId1097" ref="L1235"/>
    <hyperlink r:id="rId1098" ref="L1236"/>
    <hyperlink r:id="rId1099" ref="L1237"/>
    <hyperlink r:id="rId1100" ref="L1239"/>
    <hyperlink r:id="rId1101" ref="L1240"/>
    <hyperlink r:id="rId1102" ref="L1241"/>
    <hyperlink r:id="rId1103" ref="L1242"/>
    <hyperlink r:id="rId1104" ref="L1243"/>
    <hyperlink r:id="rId1105" ref="L1244"/>
    <hyperlink r:id="rId1106" ref="L1245"/>
    <hyperlink r:id="rId1107" ref="L1247"/>
    <hyperlink r:id="rId1108" ref="L1248"/>
    <hyperlink r:id="rId1109" ref="L1249"/>
    <hyperlink r:id="rId1110" ref="L1250"/>
    <hyperlink r:id="rId1111" ref="L1251"/>
    <hyperlink r:id="rId1112" ref="L1252"/>
    <hyperlink r:id="rId1113" ref="L1255"/>
    <hyperlink r:id="rId1114" ref="L1256"/>
    <hyperlink r:id="rId1115" ref="L1257"/>
    <hyperlink r:id="rId1116" ref="L1258"/>
    <hyperlink r:id="rId1117" ref="L1260"/>
    <hyperlink r:id="rId1118" ref="L1261"/>
    <hyperlink r:id="rId1119" ref="L1262"/>
    <hyperlink r:id="rId1120" ref="L1263"/>
    <hyperlink r:id="rId1121" ref="L1264"/>
    <hyperlink r:id="rId1122" ref="L1265"/>
    <hyperlink r:id="rId1123" ref="L1266"/>
    <hyperlink r:id="rId1124" ref="L1267"/>
    <hyperlink r:id="rId1125" ref="L1268"/>
    <hyperlink r:id="rId1126" ref="L1269"/>
    <hyperlink r:id="rId1127" ref="L1270"/>
    <hyperlink r:id="rId1128" ref="L1271"/>
    <hyperlink r:id="rId1129" ref="L1272"/>
    <hyperlink r:id="rId1130" ref="L1274"/>
    <hyperlink r:id="rId1131" ref="L1275"/>
    <hyperlink r:id="rId1132" ref="L1276"/>
    <hyperlink r:id="rId1133" ref="L1277"/>
    <hyperlink r:id="rId1134" ref="L1278"/>
    <hyperlink r:id="rId1135" ref="L1281"/>
    <hyperlink r:id="rId1136" ref="L1283"/>
    <hyperlink r:id="rId1137" ref="L1284"/>
    <hyperlink r:id="rId1138" ref="L1285"/>
    <hyperlink r:id="rId1139" ref="L1286"/>
    <hyperlink r:id="rId1140" ref="L1287"/>
    <hyperlink r:id="rId1141" ref="L1288"/>
    <hyperlink r:id="rId1142" ref="L1289"/>
    <hyperlink r:id="rId1143" ref="L1290"/>
    <hyperlink r:id="rId1144" ref="L1291"/>
    <hyperlink r:id="rId1145" ref="L1293"/>
    <hyperlink r:id="rId1146" ref="L1294"/>
    <hyperlink r:id="rId1147" ref="L1296"/>
    <hyperlink r:id="rId1148" ref="L1299"/>
    <hyperlink r:id="rId1149" ref="L1300"/>
    <hyperlink r:id="rId1150" ref="L1301"/>
    <hyperlink r:id="rId1151" ref="L1302"/>
    <hyperlink r:id="rId1152" ref="L1303"/>
    <hyperlink r:id="rId1153" ref="L1304"/>
    <hyperlink r:id="rId1154" ref="L1305"/>
    <hyperlink r:id="rId1155" ref="L1307"/>
    <hyperlink r:id="rId1156" ref="L1309"/>
    <hyperlink r:id="rId1157" ref="L1312"/>
    <hyperlink r:id="rId1158" ref="L1314"/>
    <hyperlink r:id="rId1159" ref="L1315"/>
    <hyperlink r:id="rId1160" ref="L1316"/>
    <hyperlink r:id="rId1161" ref="L1317"/>
    <hyperlink r:id="rId1162" ref="L1318"/>
    <hyperlink r:id="rId1163" ref="L1319"/>
    <hyperlink r:id="rId1164" ref="L1320"/>
    <hyperlink r:id="rId1165" ref="L1321"/>
    <hyperlink r:id="rId1166" ref="L1323"/>
    <hyperlink r:id="rId1167" ref="L1324"/>
    <hyperlink r:id="rId1168" ref="L1325"/>
    <hyperlink r:id="rId1169" ref="L1326"/>
    <hyperlink r:id="rId1170" ref="L1327"/>
    <hyperlink r:id="rId1171" ref="L1328"/>
    <hyperlink r:id="rId1172" ref="L1329"/>
    <hyperlink r:id="rId1173" ref="L1330"/>
    <hyperlink r:id="rId1174" ref="L1331"/>
    <hyperlink r:id="rId1175" ref="L1332"/>
    <hyperlink r:id="rId1176" ref="L1333"/>
    <hyperlink r:id="rId1177" ref="L1334"/>
    <hyperlink r:id="rId1178" ref="L1335"/>
    <hyperlink r:id="rId1179" ref="L1336"/>
    <hyperlink r:id="rId1180" ref="L1338"/>
    <hyperlink r:id="rId1181" ref="L1339"/>
    <hyperlink r:id="rId1182" ref="L1340"/>
    <hyperlink r:id="rId1183" ref="L1341"/>
    <hyperlink r:id="rId1184" ref="L1342"/>
    <hyperlink r:id="rId1185" ref="L1343"/>
    <hyperlink r:id="rId1186" ref="L1344"/>
    <hyperlink r:id="rId1187" ref="L1345"/>
    <hyperlink r:id="rId1188" ref="L1346"/>
    <hyperlink r:id="rId1189" ref="L1347"/>
    <hyperlink r:id="rId1190" ref="L1348"/>
    <hyperlink r:id="rId1191" ref="L1349"/>
    <hyperlink r:id="rId1192" ref="L1350"/>
    <hyperlink r:id="rId1193" ref="L1351"/>
    <hyperlink r:id="rId1194" ref="L1352"/>
    <hyperlink r:id="rId1195" ref="L1353"/>
    <hyperlink r:id="rId1196" ref="L1354"/>
    <hyperlink r:id="rId1197" ref="L1355"/>
    <hyperlink r:id="rId1198" ref="L1356"/>
    <hyperlink r:id="rId1199" ref="L1357"/>
    <hyperlink r:id="rId1200" ref="L1358"/>
    <hyperlink r:id="rId1201" ref="L1359"/>
    <hyperlink r:id="rId1202" ref="L1360"/>
    <hyperlink r:id="rId1203" ref="L1361"/>
    <hyperlink r:id="rId1204" ref="L1362"/>
    <hyperlink r:id="rId1205" ref="L1363"/>
    <hyperlink r:id="rId1206" ref="L1364"/>
    <hyperlink r:id="rId1207" ref="L1365"/>
    <hyperlink r:id="rId1208" ref="L1367"/>
    <hyperlink r:id="rId1209" ref="L1368"/>
    <hyperlink r:id="rId1210" ref="L1369"/>
    <hyperlink r:id="rId1211" ref="L1370"/>
    <hyperlink r:id="rId1212" ref="L1371"/>
    <hyperlink r:id="rId1213" ref="L1372"/>
    <hyperlink r:id="rId1214" ref="L1375"/>
    <hyperlink r:id="rId1215" ref="L1376"/>
    <hyperlink r:id="rId1216" ref="L1379"/>
    <hyperlink r:id="rId1217" ref="L1380"/>
    <hyperlink r:id="rId1218" ref="L1383"/>
    <hyperlink r:id="rId1219" ref="L1386"/>
    <hyperlink r:id="rId1220" ref="B1387"/>
    <hyperlink r:id="rId1221" ref="L1387"/>
    <hyperlink r:id="rId1222" ref="L1388"/>
    <hyperlink r:id="rId1223" ref="L1389"/>
    <hyperlink r:id="rId1224" ref="L1390"/>
    <hyperlink r:id="rId1225" ref="L1391"/>
    <hyperlink r:id="rId1226" ref="L1392"/>
    <hyperlink r:id="rId1227" ref="B1393"/>
    <hyperlink r:id="rId1228" ref="L1393"/>
    <hyperlink r:id="rId1229" ref="L1394"/>
    <hyperlink r:id="rId1230" ref="L1395"/>
    <hyperlink r:id="rId1231" ref="L1396"/>
    <hyperlink r:id="rId1232" ref="L1397"/>
    <hyperlink r:id="rId1233" ref="L1398"/>
    <hyperlink r:id="rId1234" ref="L1399"/>
    <hyperlink r:id="rId1235" ref="L1400"/>
    <hyperlink r:id="rId1236" ref="L1402"/>
    <hyperlink r:id="rId1237" ref="L1404"/>
    <hyperlink r:id="rId1238" ref="L1405"/>
    <hyperlink r:id="rId1239" ref="L1406"/>
    <hyperlink r:id="rId1240" ref="L1407"/>
    <hyperlink r:id="rId1241" ref="L1411"/>
    <hyperlink r:id="rId1242" ref="L1412"/>
    <hyperlink r:id="rId1243" ref="L1413"/>
    <hyperlink r:id="rId1244" ref="L1414"/>
    <hyperlink r:id="rId1245" ref="L1415"/>
    <hyperlink r:id="rId1246" ref="L1416"/>
    <hyperlink r:id="rId1247" ref="L1417"/>
    <hyperlink r:id="rId1248" ref="D1418"/>
    <hyperlink r:id="rId1249" ref="L1419"/>
    <hyperlink r:id="rId1250" ref="L1421"/>
    <hyperlink r:id="rId1251" ref="L1422"/>
    <hyperlink r:id="rId1252" ref="L1423"/>
    <hyperlink r:id="rId1253" ref="L1424"/>
    <hyperlink r:id="rId1254" ref="L1425"/>
    <hyperlink r:id="rId1255" ref="L1426"/>
    <hyperlink r:id="rId1256" ref="L1427"/>
    <hyperlink r:id="rId1257" ref="L1428"/>
    <hyperlink r:id="rId1258" ref="L1429"/>
    <hyperlink r:id="rId1259" ref="L1430"/>
    <hyperlink r:id="rId1260" ref="L1431"/>
    <hyperlink r:id="rId1261" ref="L1432"/>
    <hyperlink r:id="rId1262" ref="L1433"/>
    <hyperlink r:id="rId1263" ref="L1434"/>
    <hyperlink r:id="rId1264" ref="L1435"/>
    <hyperlink r:id="rId1265" ref="L1436"/>
    <hyperlink r:id="rId1266" ref="L1437"/>
    <hyperlink r:id="rId1267" ref="L1438"/>
    <hyperlink r:id="rId1268" ref="L1439"/>
    <hyperlink r:id="rId1269" ref="L1440"/>
    <hyperlink r:id="rId1270" ref="L1441"/>
    <hyperlink r:id="rId1271" ref="L1442"/>
    <hyperlink r:id="rId1272" ref="L1443"/>
    <hyperlink r:id="rId1273" ref="L1444"/>
    <hyperlink r:id="rId1274" ref="L1445"/>
    <hyperlink r:id="rId1275" ref="L1446"/>
    <hyperlink r:id="rId1276" ref="L1447"/>
    <hyperlink r:id="rId1277" ref="L1448"/>
    <hyperlink r:id="rId1278" ref="L1449"/>
    <hyperlink r:id="rId1279" ref="L1450"/>
    <hyperlink r:id="rId1280" ref="L1451"/>
    <hyperlink r:id="rId1281" ref="L1452"/>
    <hyperlink r:id="rId1282" ref="L1453"/>
    <hyperlink r:id="rId1283" ref="L1454"/>
    <hyperlink r:id="rId1284" ref="L1455"/>
    <hyperlink r:id="rId1285" ref="L1456"/>
    <hyperlink r:id="rId1286" ref="L1457"/>
    <hyperlink r:id="rId1287" ref="B1458"/>
    <hyperlink r:id="rId1288" ref="L1459"/>
    <hyperlink r:id="rId1289" ref="L1460"/>
    <hyperlink r:id="rId1290" ref="L1461"/>
    <hyperlink r:id="rId1291" ref="L1462"/>
    <hyperlink r:id="rId1292" ref="L1463"/>
    <hyperlink r:id="rId1293" ref="L1464"/>
    <hyperlink r:id="rId1294" ref="L1465"/>
    <hyperlink r:id="rId1295" ref="L1466"/>
    <hyperlink r:id="rId1296" ref="L1467"/>
    <hyperlink r:id="rId1297" ref="L1468"/>
    <hyperlink r:id="rId1298" ref="L1469"/>
    <hyperlink r:id="rId1299" ref="L1470"/>
    <hyperlink r:id="rId1300" ref="L1471"/>
    <hyperlink r:id="rId1301" ref="L1472"/>
    <hyperlink r:id="rId1302" ref="L1473"/>
    <hyperlink r:id="rId1303" ref="L1474"/>
    <hyperlink r:id="rId1304" ref="L1475"/>
    <hyperlink r:id="rId1305" ref="L1476"/>
    <hyperlink r:id="rId1306" ref="B1477"/>
    <hyperlink r:id="rId1307" ref="L1477"/>
    <hyperlink r:id="rId1308" ref="L1478"/>
    <hyperlink r:id="rId1309" ref="L1479"/>
    <hyperlink r:id="rId1310" ref="L1480"/>
    <hyperlink r:id="rId1311" ref="L1481"/>
    <hyperlink r:id="rId1312" ref="L1482"/>
    <hyperlink r:id="rId1313" ref="L1483"/>
    <hyperlink r:id="rId1314" ref="L1484"/>
    <hyperlink r:id="rId1315" ref="L1485"/>
    <hyperlink r:id="rId1316" ref="B1487"/>
    <hyperlink r:id="rId1317" ref="L1487"/>
    <hyperlink r:id="rId1318" ref="L1488"/>
    <hyperlink r:id="rId1319" ref="L1489"/>
    <hyperlink r:id="rId1320" ref="L1492"/>
    <hyperlink r:id="rId1321" ref="L1493"/>
    <hyperlink r:id="rId1322" ref="L1494"/>
    <hyperlink r:id="rId1323" ref="L1495"/>
    <hyperlink r:id="rId1324" ref="L1497"/>
    <hyperlink r:id="rId1325" ref="L1499"/>
    <hyperlink r:id="rId1326" ref="L1502"/>
    <hyperlink r:id="rId1327" ref="L1503"/>
    <hyperlink r:id="rId1328" ref="L1504"/>
    <hyperlink r:id="rId1329" ref="L1505"/>
    <hyperlink r:id="rId1330" ref="L1506"/>
    <hyperlink r:id="rId1331" ref="L1507"/>
    <hyperlink r:id="rId1332" ref="L1508"/>
    <hyperlink r:id="rId1333" ref="L1509"/>
    <hyperlink r:id="rId1334" ref="L1510"/>
    <hyperlink r:id="rId1335" ref="L1511"/>
    <hyperlink r:id="rId1336" ref="L1512"/>
    <hyperlink r:id="rId1337" ref="L1514"/>
    <hyperlink r:id="rId1338" ref="L1515"/>
    <hyperlink r:id="rId1339" ref="L1516"/>
    <hyperlink r:id="rId1340" ref="L1517"/>
    <hyperlink r:id="rId1341" ref="L1518"/>
    <hyperlink r:id="rId1342" ref="L1519"/>
    <hyperlink r:id="rId1343" ref="L1521"/>
    <hyperlink r:id="rId1344" ref="L1522"/>
    <hyperlink r:id="rId1345" ref="L1523"/>
    <hyperlink r:id="rId1346" ref="L1524"/>
    <hyperlink r:id="rId1347" ref="L1525"/>
    <hyperlink r:id="rId1348" ref="L1526"/>
    <hyperlink r:id="rId1349" ref="L1527"/>
    <hyperlink r:id="rId1350" ref="L1528"/>
    <hyperlink r:id="rId1351" ref="B1530"/>
    <hyperlink r:id="rId1352" ref="L1530"/>
    <hyperlink r:id="rId1353" ref="L1531"/>
    <hyperlink r:id="rId1354" ref="L1532"/>
    <hyperlink r:id="rId1355" ref="L1533"/>
    <hyperlink r:id="rId1356" ref="L1534"/>
    <hyperlink r:id="rId1357" ref="L1535"/>
    <hyperlink r:id="rId1358" ref="L1536"/>
    <hyperlink r:id="rId1359" ref="L1538"/>
    <hyperlink r:id="rId1360" ref="L1539"/>
    <hyperlink r:id="rId1361" ref="L1540"/>
    <hyperlink r:id="rId1362" ref="L1541"/>
    <hyperlink r:id="rId1363" ref="L1542"/>
    <hyperlink r:id="rId1364" ref="L1543"/>
    <hyperlink r:id="rId1365" ref="L1544"/>
    <hyperlink r:id="rId1366" ref="L1545"/>
    <hyperlink r:id="rId1367" ref="L1547"/>
    <hyperlink r:id="rId1368" ref="L1548"/>
    <hyperlink r:id="rId1369" ref="B1549"/>
    <hyperlink r:id="rId1370" ref="L1549"/>
    <hyperlink r:id="rId1371" ref="L1550"/>
    <hyperlink r:id="rId1372" ref="L1551"/>
    <hyperlink r:id="rId1373" ref="L1552"/>
    <hyperlink r:id="rId1374" ref="L1553"/>
    <hyperlink r:id="rId1375" ref="B1554"/>
    <hyperlink r:id="rId1376" ref="L1554"/>
    <hyperlink r:id="rId1377" ref="L1555"/>
    <hyperlink r:id="rId1378" ref="L1556"/>
    <hyperlink r:id="rId1379" ref="L1558"/>
    <hyperlink r:id="rId1380" ref="L1559"/>
    <hyperlink r:id="rId1381" ref="L1561"/>
    <hyperlink r:id="rId1382" ref="L1562"/>
    <hyperlink r:id="rId1383" ref="L1563"/>
    <hyperlink r:id="rId1384" ref="L1565"/>
    <hyperlink r:id="rId1385" ref="L1566"/>
    <hyperlink r:id="rId1386" ref="L1567"/>
    <hyperlink r:id="rId1387" ref="L1568"/>
    <hyperlink r:id="rId1388" ref="L1569"/>
    <hyperlink r:id="rId1389" ref="L1570"/>
    <hyperlink r:id="rId1390" ref="L1572"/>
    <hyperlink r:id="rId1391" ref="L1573"/>
    <hyperlink r:id="rId1392" ref="L1574"/>
    <hyperlink r:id="rId1393" ref="L1575"/>
    <hyperlink r:id="rId1394" ref="L1576"/>
    <hyperlink r:id="rId1395" ref="B1577"/>
    <hyperlink r:id="rId1396" ref="L1577"/>
    <hyperlink r:id="rId1397" ref="L1579"/>
    <hyperlink r:id="rId1398" ref="L1580"/>
    <hyperlink r:id="rId1399" ref="D1581"/>
    <hyperlink r:id="rId1400" ref="L1581"/>
    <hyperlink r:id="rId1401" ref="L1582"/>
    <hyperlink r:id="rId1402" ref="L1583"/>
    <hyperlink r:id="rId1403" ref="L1584"/>
    <hyperlink r:id="rId1404" ref="L1585"/>
    <hyperlink r:id="rId1405" ref="L1586"/>
    <hyperlink r:id="rId1406" ref="L1587"/>
    <hyperlink r:id="rId1407" ref="L1588"/>
    <hyperlink r:id="rId1408" ref="L1589"/>
    <hyperlink r:id="rId1409" ref="L1590"/>
    <hyperlink r:id="rId1410" ref="L1591"/>
    <hyperlink r:id="rId1411" ref="L1592"/>
    <hyperlink r:id="rId1412" ref="B1593"/>
    <hyperlink r:id="rId1413" ref="L1593"/>
    <hyperlink r:id="rId1414" ref="L1594"/>
    <hyperlink r:id="rId1415" ref="L1595"/>
    <hyperlink r:id="rId1416" ref="L1596"/>
    <hyperlink r:id="rId1417" ref="L1597"/>
    <hyperlink r:id="rId1418" ref="L1598"/>
    <hyperlink r:id="rId1419" ref="L1599"/>
    <hyperlink r:id="rId1420" ref="L1600"/>
    <hyperlink r:id="rId1421" ref="L1601"/>
    <hyperlink r:id="rId1422" ref="L1602"/>
    <hyperlink r:id="rId1423" ref="L1603"/>
    <hyperlink r:id="rId1424" ref="L1604"/>
    <hyperlink r:id="rId1425" ref="L1605"/>
    <hyperlink r:id="rId1426" ref="L1606"/>
    <hyperlink r:id="rId1427" ref="L1608"/>
    <hyperlink r:id="rId1428" ref="L1609"/>
    <hyperlink r:id="rId1429" ref="L1610"/>
    <hyperlink r:id="rId1430" ref="L1611"/>
    <hyperlink r:id="rId1431" ref="L1612"/>
    <hyperlink r:id="rId1432" ref="L1613"/>
    <hyperlink r:id="rId1433" ref="L1614"/>
    <hyperlink r:id="rId1434" ref="L1615"/>
    <hyperlink r:id="rId1435" ref="L1616"/>
    <hyperlink r:id="rId1436" ref="L1617"/>
    <hyperlink r:id="rId1437" ref="L1618"/>
    <hyperlink r:id="rId1438" ref="L1619"/>
    <hyperlink r:id="rId1439" ref="B1620"/>
    <hyperlink r:id="rId1440" ref="L1621"/>
    <hyperlink r:id="rId1441" ref="L1622"/>
    <hyperlink r:id="rId1442" ref="L1623"/>
    <hyperlink r:id="rId1443" ref="L1624"/>
    <hyperlink r:id="rId1444" ref="L1625"/>
    <hyperlink r:id="rId1445" ref="L1627"/>
    <hyperlink r:id="rId1446" ref="L1628"/>
    <hyperlink r:id="rId1447" ref="L1629"/>
    <hyperlink r:id="rId1448" ref="L1630"/>
    <hyperlink r:id="rId1449" ref="L1631"/>
    <hyperlink r:id="rId1450" ref="L1632"/>
    <hyperlink r:id="rId1451" ref="L1633"/>
    <hyperlink r:id="rId1452" ref="L1634"/>
    <hyperlink r:id="rId1453" ref="L1635"/>
    <hyperlink r:id="rId1454" ref="L1636"/>
    <hyperlink r:id="rId1455" ref="L1637"/>
    <hyperlink r:id="rId1456" ref="L1638"/>
    <hyperlink r:id="rId1457" ref="L1640"/>
    <hyperlink r:id="rId1458" ref="L1641"/>
    <hyperlink r:id="rId1459" ref="L1642"/>
    <hyperlink r:id="rId1460" ref="L1643"/>
    <hyperlink r:id="rId1461" ref="L1644"/>
    <hyperlink r:id="rId1462" ref="L1645"/>
    <hyperlink r:id="rId1463" ref="L1646"/>
    <hyperlink r:id="rId1464" ref="L1647"/>
    <hyperlink r:id="rId1465" ref="L1648"/>
    <hyperlink r:id="rId1466" ref="L1649"/>
    <hyperlink r:id="rId1467" ref="L1651"/>
    <hyperlink r:id="rId1468" ref="L1652"/>
    <hyperlink r:id="rId1469" ref="L1653"/>
    <hyperlink r:id="rId1470" ref="L1654"/>
    <hyperlink r:id="rId1471" ref="B1655"/>
    <hyperlink r:id="rId1472" ref="L1655"/>
    <hyperlink r:id="rId1473" ref="L1656"/>
    <hyperlink r:id="rId1474" ref="L1659"/>
    <hyperlink r:id="rId1475" ref="L1660"/>
    <hyperlink r:id="rId1476" ref="L1662"/>
    <hyperlink r:id="rId1477" ref="L1663"/>
    <hyperlink r:id="rId1478" ref="L1664"/>
    <hyperlink r:id="rId1479" ref="L1665"/>
    <hyperlink r:id="rId1480" ref="L1666"/>
    <hyperlink r:id="rId1481" ref="L1667"/>
    <hyperlink r:id="rId1482" ref="L1669"/>
    <hyperlink r:id="rId1483" ref="L1670"/>
    <hyperlink r:id="rId1484" ref="L1671"/>
    <hyperlink r:id="rId1485" ref="L1672"/>
    <hyperlink r:id="rId1486" ref="L1673"/>
    <hyperlink r:id="rId1487" ref="B1674"/>
    <hyperlink r:id="rId1488" ref="L1674"/>
    <hyperlink r:id="rId1489" ref="L1675"/>
    <hyperlink r:id="rId1490" ref="L1676"/>
    <hyperlink r:id="rId1491" ref="L1677"/>
    <hyperlink r:id="rId1492" ref="L1678"/>
    <hyperlink r:id="rId1493" ref="L1679"/>
    <hyperlink r:id="rId1494" ref="L1680"/>
    <hyperlink r:id="rId1495" ref="L1681"/>
    <hyperlink r:id="rId1496" ref="L1682"/>
    <hyperlink r:id="rId1497" ref="L1683"/>
    <hyperlink r:id="rId1498" ref="L1684"/>
    <hyperlink r:id="rId1499" ref="L1685"/>
    <hyperlink r:id="rId1500" ref="L1686"/>
    <hyperlink r:id="rId1501" ref="L1687"/>
    <hyperlink r:id="rId1502" ref="L1688"/>
    <hyperlink r:id="rId1503" ref="L1689"/>
    <hyperlink r:id="rId1504" ref="L1690"/>
    <hyperlink r:id="rId1505" ref="L1691"/>
    <hyperlink r:id="rId1506" ref="B1692"/>
    <hyperlink r:id="rId1507" ref="L1694"/>
    <hyperlink r:id="rId1508" ref="L1695"/>
    <hyperlink r:id="rId1509" ref="L1696"/>
    <hyperlink r:id="rId1510" ref="L1697"/>
    <hyperlink r:id="rId1511" ref="L1698"/>
    <hyperlink r:id="rId1512" ref="L1699"/>
    <hyperlink r:id="rId1513" ref="L1700"/>
    <hyperlink r:id="rId1514" ref="L1703"/>
    <hyperlink r:id="rId1515" ref="L1705"/>
    <hyperlink r:id="rId1516" ref="L1706"/>
    <hyperlink r:id="rId1517" ref="L1708"/>
    <hyperlink r:id="rId1518" ref="L1709"/>
    <hyperlink r:id="rId1519" ref="L1710"/>
    <hyperlink r:id="rId1520" ref="L1711"/>
    <hyperlink r:id="rId1521" ref="L1713"/>
    <hyperlink r:id="rId1522" ref="L1714"/>
    <hyperlink r:id="rId1523" ref="L1715"/>
    <hyperlink r:id="rId1524" ref="L1716"/>
    <hyperlink r:id="rId1525" ref="L1717"/>
    <hyperlink r:id="rId1526" ref="L1718"/>
    <hyperlink r:id="rId1527" ref="L1719"/>
    <hyperlink r:id="rId1528" ref="K1720"/>
    <hyperlink r:id="rId1529" ref="L1720"/>
    <hyperlink r:id="rId1530" ref="L1722"/>
    <hyperlink r:id="rId1531" ref="L1724"/>
    <hyperlink r:id="rId1532" ref="L1725"/>
    <hyperlink r:id="rId1533" ref="L1726"/>
    <hyperlink r:id="rId1534" ref="L1727"/>
    <hyperlink r:id="rId1535" ref="L1728"/>
    <hyperlink r:id="rId1536" ref="L1729"/>
    <hyperlink r:id="rId1537" ref="L1730"/>
    <hyperlink r:id="rId1538" ref="L1731"/>
    <hyperlink r:id="rId1539" ref="L1732"/>
    <hyperlink r:id="rId1540" ref="L1733"/>
    <hyperlink r:id="rId1541" ref="L1735"/>
    <hyperlink r:id="rId1542" ref="L1736"/>
    <hyperlink r:id="rId1543" ref="L1737"/>
    <hyperlink r:id="rId1544" ref="L1738"/>
    <hyperlink r:id="rId1545" ref="L1739"/>
    <hyperlink r:id="rId1546" ref="L1740"/>
    <hyperlink r:id="rId1547" ref="L1741"/>
    <hyperlink r:id="rId1548" ref="L1742"/>
    <hyperlink r:id="rId1549" ref="L1743"/>
    <hyperlink r:id="rId1550" ref="L1744"/>
    <hyperlink r:id="rId1551" ref="L1745"/>
    <hyperlink r:id="rId1552" ref="L1746"/>
    <hyperlink r:id="rId1553" ref="L1748"/>
    <hyperlink r:id="rId1554" ref="L1749"/>
    <hyperlink r:id="rId1555" ref="L1750"/>
    <hyperlink r:id="rId1556" ref="L1752"/>
    <hyperlink r:id="rId1557" ref="L1753"/>
    <hyperlink r:id="rId1558" ref="L1754"/>
    <hyperlink r:id="rId1559" ref="L1755"/>
    <hyperlink r:id="rId1560" ref="L1756"/>
    <hyperlink r:id="rId1561" ref="L1758"/>
    <hyperlink r:id="rId1562" ref="L1760"/>
    <hyperlink r:id="rId1563" ref="L1762"/>
    <hyperlink r:id="rId1564" ref="L1763"/>
    <hyperlink r:id="rId1565" ref="L1764"/>
    <hyperlink r:id="rId1566" ref="L1765"/>
    <hyperlink r:id="rId1567" ref="L1766"/>
    <hyperlink r:id="rId1568" ref="L1767"/>
    <hyperlink r:id="rId1569" ref="L1768"/>
    <hyperlink r:id="rId1570" ref="L1769"/>
    <hyperlink r:id="rId1571" ref="L1770"/>
    <hyperlink r:id="rId1572" ref="L1771"/>
    <hyperlink r:id="rId1573" ref="L1772"/>
    <hyperlink r:id="rId1574" ref="L1774"/>
    <hyperlink r:id="rId1575" ref="L1775"/>
    <hyperlink r:id="rId1576" ref="L1776"/>
    <hyperlink r:id="rId1577" ref="B1777"/>
    <hyperlink r:id="rId1578" ref="L1777"/>
    <hyperlink r:id="rId1579" ref="L1778"/>
    <hyperlink r:id="rId1580" ref="L1779"/>
    <hyperlink r:id="rId1581" ref="L1780"/>
    <hyperlink r:id="rId1582" ref="L1782"/>
    <hyperlink r:id="rId1583" ref="L1783"/>
    <hyperlink r:id="rId1584" ref="L1784"/>
    <hyperlink r:id="rId1585" ref="L1785"/>
    <hyperlink r:id="rId1586" ref="L1786"/>
    <hyperlink r:id="rId1587" ref="L1787"/>
    <hyperlink r:id="rId1588" ref="L1788"/>
    <hyperlink r:id="rId1589" ref="L1789"/>
    <hyperlink r:id="rId1590" ref="L1790"/>
    <hyperlink r:id="rId1591" ref="L1791"/>
    <hyperlink r:id="rId1592" ref="L1792"/>
    <hyperlink r:id="rId1593" ref="L1793"/>
    <hyperlink r:id="rId1594" ref="L1794"/>
    <hyperlink r:id="rId1595" ref="L1796"/>
    <hyperlink r:id="rId1596" ref="L1797"/>
    <hyperlink r:id="rId1597" ref="L1798"/>
    <hyperlink r:id="rId1598" ref="L1800"/>
    <hyperlink r:id="rId1599" ref="L1801"/>
    <hyperlink r:id="rId1600" ref="L1802"/>
    <hyperlink r:id="rId1601" ref="L1804"/>
    <hyperlink r:id="rId1602" ref="L1805"/>
    <hyperlink r:id="rId1603" ref="L1806"/>
    <hyperlink r:id="rId1604" ref="L1807"/>
    <hyperlink r:id="rId1605" ref="L1808"/>
    <hyperlink r:id="rId1606" ref="L1809"/>
    <hyperlink r:id="rId1607" ref="L1812"/>
    <hyperlink r:id="rId1608" ref="L1814"/>
    <hyperlink r:id="rId1609" ref="L1815"/>
    <hyperlink r:id="rId1610" ref="L1816"/>
    <hyperlink r:id="rId1611" ref="L1817"/>
    <hyperlink r:id="rId1612" ref="L1818"/>
    <hyperlink r:id="rId1613" ref="L1819"/>
    <hyperlink r:id="rId1614" ref="L1820"/>
    <hyperlink r:id="rId1615" ref="L1822"/>
    <hyperlink r:id="rId1616" ref="K1824"/>
    <hyperlink r:id="rId1617" ref="L1824"/>
    <hyperlink r:id="rId1618" ref="L1825"/>
    <hyperlink r:id="rId1619" ref="L1826"/>
    <hyperlink r:id="rId1620" ref="L1827"/>
    <hyperlink r:id="rId1621" ref="L1828"/>
    <hyperlink r:id="rId1622" ref="L1829"/>
    <hyperlink r:id="rId1623" ref="L1830"/>
    <hyperlink r:id="rId1624" ref="L1831"/>
    <hyperlink r:id="rId1625" ref="L1832"/>
    <hyperlink r:id="rId1626" ref="L1833"/>
    <hyperlink r:id="rId1627" ref="L1835"/>
    <hyperlink r:id="rId1628" ref="B1836"/>
    <hyperlink r:id="rId1629" ref="L1836"/>
    <hyperlink r:id="rId1630" ref="L1837"/>
    <hyperlink r:id="rId1631" ref="L1840"/>
    <hyperlink r:id="rId1632" ref="L1841"/>
    <hyperlink r:id="rId1633" ref="L1842"/>
    <hyperlink r:id="rId1634" ref="L1843"/>
    <hyperlink r:id="rId1635" ref="L1845"/>
    <hyperlink r:id="rId1636" ref="L1846"/>
    <hyperlink r:id="rId1637" ref="L1848"/>
    <hyperlink r:id="rId1638" ref="L1849"/>
    <hyperlink r:id="rId1639" ref="L1850"/>
    <hyperlink r:id="rId1640" ref="L1851"/>
    <hyperlink r:id="rId1641" ref="L1852"/>
    <hyperlink r:id="rId1642" ref="L1853"/>
    <hyperlink r:id="rId1643" ref="L1855"/>
    <hyperlink r:id="rId1644" ref="L1857"/>
    <hyperlink r:id="rId1645" ref="L1860"/>
    <hyperlink r:id="rId1646" ref="B1863"/>
    <hyperlink r:id="rId1647" ref="L1863"/>
    <hyperlink r:id="rId1648" ref="L1865"/>
    <hyperlink r:id="rId1649" ref="L1866"/>
    <hyperlink r:id="rId1650" ref="L1867"/>
    <hyperlink r:id="rId1651" ref="L1869"/>
    <hyperlink r:id="rId1652" ref="L1870"/>
    <hyperlink r:id="rId1653" ref="L1871"/>
    <hyperlink r:id="rId1654" ref="L1872"/>
    <hyperlink r:id="rId1655" ref="L1873"/>
    <hyperlink r:id="rId1656" ref="L1874"/>
    <hyperlink r:id="rId1657" ref="L1875"/>
    <hyperlink r:id="rId1658" ref="L1876"/>
    <hyperlink r:id="rId1659" ref="L1877"/>
    <hyperlink r:id="rId1660" ref="L1878"/>
    <hyperlink r:id="rId1661" ref="L1879"/>
    <hyperlink r:id="rId1662" ref="L1880"/>
    <hyperlink r:id="rId1663" ref="L1881"/>
    <hyperlink r:id="rId1664" ref="L1882"/>
    <hyperlink r:id="rId1665" ref="L1883"/>
    <hyperlink r:id="rId1666" ref="L1884"/>
    <hyperlink r:id="rId1667" ref="L1886"/>
    <hyperlink r:id="rId1668" ref="L1887"/>
    <hyperlink r:id="rId1669" ref="L1889"/>
    <hyperlink r:id="rId1670" ref="L1890"/>
  </hyperlinks>
  <drawing r:id="rId167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5625</v>
      </c>
      <c r="B2" s="2" t="s">
        <v>12898</v>
      </c>
      <c r="C2" s="2">
        <v>2504191.0</v>
      </c>
      <c r="D2" s="2" t="s">
        <v>12899</v>
      </c>
      <c r="E2" s="2">
        <v>41015.0</v>
      </c>
      <c r="F2" s="2">
        <v>2285.0</v>
      </c>
      <c r="G2" s="2">
        <v>767.0</v>
      </c>
      <c r="H2" s="2" t="s">
        <v>5906</v>
      </c>
      <c r="I2" s="2" t="s">
        <v>5905</v>
      </c>
      <c r="J2" s="2" t="s">
        <v>12900</v>
      </c>
      <c r="K2" s="2" t="s">
        <v>12901</v>
      </c>
    </row>
    <row r="3">
      <c r="A3" s="2" t="s">
        <v>5625</v>
      </c>
      <c r="B3" s="2" t="s">
        <v>12902</v>
      </c>
      <c r="C3" s="2">
        <v>5.79283674E8</v>
      </c>
      <c r="D3" s="2" t="s">
        <v>5625</v>
      </c>
      <c r="E3" s="2">
        <v>503441.0</v>
      </c>
      <c r="F3" s="2">
        <v>706.0</v>
      </c>
      <c r="G3" s="2">
        <v>1188.0</v>
      </c>
      <c r="H3" s="2" t="s">
        <v>5906</v>
      </c>
      <c r="I3" s="2" t="s">
        <v>5905</v>
      </c>
      <c r="J3" s="2" t="s">
        <v>6414</v>
      </c>
    </row>
    <row r="4">
      <c r="A4" s="2" t="s">
        <v>5792</v>
      </c>
      <c r="B4" s="2" t="s">
        <v>12903</v>
      </c>
      <c r="C4" s="2">
        <v>2.66319242E8</v>
      </c>
      <c r="D4" s="2" t="s">
        <v>5792</v>
      </c>
      <c r="E4" s="2">
        <v>7.8572471E7</v>
      </c>
      <c r="F4" s="2">
        <v>9.0</v>
      </c>
      <c r="G4" s="2">
        <v>983.0</v>
      </c>
      <c r="H4" s="2" t="s">
        <v>5906</v>
      </c>
      <c r="I4" s="2" t="s">
        <v>5905</v>
      </c>
      <c r="J4" s="2" t="s">
        <v>5993</v>
      </c>
      <c r="L4" s="10" t="s">
        <v>12904</v>
      </c>
    </row>
    <row r="5">
      <c r="A5" s="2" t="s">
        <v>5673</v>
      </c>
      <c r="B5" s="2" t="s">
        <v>12905</v>
      </c>
      <c r="C5" s="2">
        <v>2.04773435E8</v>
      </c>
      <c r="D5" s="2" t="s">
        <v>12906</v>
      </c>
      <c r="E5" s="2">
        <v>2590261.0</v>
      </c>
      <c r="F5" s="2">
        <v>224.0</v>
      </c>
      <c r="G5" s="2">
        <v>893.0</v>
      </c>
      <c r="H5" s="2" t="s">
        <v>5906</v>
      </c>
      <c r="I5" s="2" t="s">
        <v>5905</v>
      </c>
      <c r="J5" s="2" t="s">
        <v>6414</v>
      </c>
      <c r="K5" s="2" t="s">
        <v>12907</v>
      </c>
    </row>
    <row r="6">
      <c r="A6" s="2" t="s">
        <v>5627</v>
      </c>
      <c r="B6" s="2" t="s">
        <v>12908</v>
      </c>
      <c r="C6" s="2">
        <v>184.0</v>
      </c>
      <c r="D6" s="2" t="s">
        <v>12909</v>
      </c>
      <c r="E6" s="2">
        <v>48255.0</v>
      </c>
      <c r="F6" s="2">
        <v>817.0</v>
      </c>
      <c r="G6" s="2">
        <v>376.0</v>
      </c>
      <c r="H6" s="2" t="s">
        <v>5906</v>
      </c>
      <c r="I6" s="2" t="s">
        <v>5905</v>
      </c>
      <c r="J6" s="2" t="s">
        <v>5993</v>
      </c>
      <c r="K6" s="2" t="s">
        <v>12910</v>
      </c>
    </row>
    <row r="7">
      <c r="A7" s="2" t="s">
        <v>5627</v>
      </c>
      <c r="B7" s="2" t="s">
        <v>12911</v>
      </c>
      <c r="C7" s="2">
        <v>1.346502623E9</v>
      </c>
      <c r="D7" s="2" t="s">
        <v>12912</v>
      </c>
      <c r="E7" s="2">
        <v>2.3500677E7</v>
      </c>
      <c r="F7" s="2">
        <v>51.0</v>
      </c>
      <c r="G7" s="2">
        <v>585.0</v>
      </c>
      <c r="H7" s="2" t="s">
        <v>5906</v>
      </c>
      <c r="I7" s="2" t="s">
        <v>5905</v>
      </c>
      <c r="J7" s="2" t="s">
        <v>8838</v>
      </c>
      <c r="K7" s="2" t="s">
        <v>12913</v>
      </c>
    </row>
    <row r="8">
      <c r="A8" s="2" t="s">
        <v>5627</v>
      </c>
      <c r="B8" s="2" t="s">
        <v>12914</v>
      </c>
      <c r="C8" s="2">
        <v>2.26050381E8</v>
      </c>
      <c r="D8" s="2" t="s">
        <v>12915</v>
      </c>
      <c r="E8" s="2">
        <v>1.1740653E7</v>
      </c>
      <c r="F8" s="2">
        <v>2070.0</v>
      </c>
      <c r="G8" s="2">
        <v>1787.0</v>
      </c>
      <c r="H8" s="2" t="s">
        <v>5906</v>
      </c>
      <c r="I8" s="2" t="s">
        <v>5905</v>
      </c>
      <c r="J8" s="2" t="s">
        <v>6414</v>
      </c>
      <c r="K8" s="2" t="s">
        <v>12916</v>
      </c>
    </row>
    <row r="9">
      <c r="A9" s="2" t="s">
        <v>5627</v>
      </c>
      <c r="B9" s="2" t="s">
        <v>12917</v>
      </c>
      <c r="C9" s="2">
        <v>1.1602001213E10</v>
      </c>
      <c r="D9" s="2" t="s">
        <v>5627</v>
      </c>
      <c r="E9" s="2">
        <v>221490.0</v>
      </c>
      <c r="F9" s="2">
        <v>134.0</v>
      </c>
      <c r="G9" s="2">
        <v>288.0</v>
      </c>
      <c r="H9" s="2" t="s">
        <v>5905</v>
      </c>
      <c r="I9" s="2" t="s">
        <v>5906</v>
      </c>
      <c r="J9" s="2" t="s">
        <v>6393</v>
      </c>
      <c r="K9" s="2" t="s">
        <v>12918</v>
      </c>
      <c r="L9" s="10" t="s">
        <v>12919</v>
      </c>
    </row>
    <row r="10">
      <c r="A10" s="2" t="s">
        <v>5747</v>
      </c>
      <c r="B10" s="2" t="s">
        <v>12920</v>
      </c>
      <c r="C10" s="2">
        <v>3.8907886E7</v>
      </c>
      <c r="D10" s="2" t="s">
        <v>5747</v>
      </c>
      <c r="E10" s="2">
        <v>85791.0</v>
      </c>
      <c r="F10" s="2">
        <v>1530.0</v>
      </c>
      <c r="G10" s="2">
        <v>223.0</v>
      </c>
      <c r="H10" s="2" t="s">
        <v>5906</v>
      </c>
      <c r="I10" s="2" t="s">
        <v>5906</v>
      </c>
      <c r="J10" s="2" t="s">
        <v>12921</v>
      </c>
      <c r="K10" s="2" t="s">
        <v>12922</v>
      </c>
      <c r="L10" s="10" t="s">
        <v>12923</v>
      </c>
    </row>
    <row r="11">
      <c r="A11" s="2" t="s">
        <v>5747</v>
      </c>
      <c r="B11" s="2" t="s">
        <v>12924</v>
      </c>
      <c r="C11" s="2">
        <v>4.860992213E9</v>
      </c>
      <c r="D11" s="2" t="s">
        <v>12925</v>
      </c>
      <c r="E11" s="2">
        <v>119901.0</v>
      </c>
      <c r="F11" s="2">
        <v>709.0</v>
      </c>
      <c r="G11" s="2">
        <v>469.0</v>
      </c>
      <c r="H11" s="2" t="s">
        <v>5906</v>
      </c>
      <c r="I11" s="2" t="s">
        <v>5905</v>
      </c>
      <c r="J11" s="2" t="s">
        <v>8604</v>
      </c>
      <c r="K11" s="2" t="s">
        <v>12926</v>
      </c>
    </row>
    <row r="12">
      <c r="A12" s="2" t="s">
        <v>5747</v>
      </c>
      <c r="B12" s="2" t="s">
        <v>12927</v>
      </c>
      <c r="C12" s="2">
        <v>4.58401839E8</v>
      </c>
      <c r="D12" s="2" t="s">
        <v>12928</v>
      </c>
      <c r="E12" s="2">
        <v>1229308.0</v>
      </c>
      <c r="F12" s="2">
        <v>646.0</v>
      </c>
      <c r="G12" s="2">
        <v>591.0</v>
      </c>
      <c r="H12" s="2" t="s">
        <v>5905</v>
      </c>
      <c r="I12" s="2" t="s">
        <v>5905</v>
      </c>
      <c r="J12" s="2" t="s">
        <v>6628</v>
      </c>
      <c r="K12" s="2" t="s">
        <v>12929</v>
      </c>
      <c r="L12" s="10" t="s">
        <v>12930</v>
      </c>
    </row>
    <row r="13">
      <c r="A13" s="2" t="s">
        <v>5793</v>
      </c>
      <c r="B13" s="2" t="s">
        <v>12931</v>
      </c>
      <c r="C13" s="2">
        <v>8.907055431E9</v>
      </c>
      <c r="D13" s="2" t="s">
        <v>12932</v>
      </c>
      <c r="E13" s="2">
        <v>232209.0</v>
      </c>
      <c r="F13" s="2">
        <v>697.0</v>
      </c>
      <c r="G13" s="2">
        <v>175.0</v>
      </c>
      <c r="H13" s="2" t="s">
        <v>5906</v>
      </c>
      <c r="I13" s="2" t="s">
        <v>5905</v>
      </c>
      <c r="J13" s="2" t="s">
        <v>10543</v>
      </c>
      <c r="K13" s="2" t="s">
        <v>12933</v>
      </c>
      <c r="L13" s="10" t="s">
        <v>12934</v>
      </c>
    </row>
    <row r="14">
      <c r="A14" s="2" t="s">
        <v>5794</v>
      </c>
      <c r="B14" s="2" t="s">
        <v>12935</v>
      </c>
      <c r="C14" s="2">
        <v>101674.0</v>
      </c>
      <c r="D14" s="2" t="s">
        <v>12936</v>
      </c>
      <c r="E14" s="2">
        <v>14304.0</v>
      </c>
      <c r="F14" s="2">
        <v>0.0</v>
      </c>
      <c r="G14" s="2">
        <v>0.0</v>
      </c>
      <c r="H14" s="2" t="s">
        <v>5905</v>
      </c>
      <c r="I14" s="2" t="s">
        <v>5905</v>
      </c>
    </row>
    <row r="15">
      <c r="A15" s="2" t="s">
        <v>5794</v>
      </c>
      <c r="B15" s="2" t="s">
        <v>12937</v>
      </c>
      <c r="C15" s="2">
        <v>2.105793655E9</v>
      </c>
      <c r="D15" s="2" t="s">
        <v>12938</v>
      </c>
      <c r="E15" s="2">
        <v>10670.0</v>
      </c>
      <c r="F15" s="2">
        <v>1777.0</v>
      </c>
      <c r="G15" s="2">
        <v>8.0</v>
      </c>
      <c r="H15" s="2" t="s">
        <v>5905</v>
      </c>
      <c r="I15" s="2" t="s">
        <v>5905</v>
      </c>
      <c r="J15" s="2" t="s">
        <v>6393</v>
      </c>
    </row>
    <row r="16">
      <c r="A16" s="2" t="s">
        <v>5794</v>
      </c>
      <c r="B16" s="2" t="s">
        <v>12939</v>
      </c>
      <c r="C16" s="2">
        <v>1.803393952E9</v>
      </c>
      <c r="D16" s="2" t="s">
        <v>12940</v>
      </c>
      <c r="E16" s="2">
        <v>6734984.0</v>
      </c>
      <c r="F16" s="2">
        <v>627.0</v>
      </c>
      <c r="G16" s="2">
        <v>231.0</v>
      </c>
      <c r="H16" s="2" t="s">
        <v>5906</v>
      </c>
      <c r="I16" s="2" t="s">
        <v>5905</v>
      </c>
      <c r="J16" s="2" t="s">
        <v>8144</v>
      </c>
      <c r="K16" s="2" t="s">
        <v>12941</v>
      </c>
    </row>
    <row r="17">
      <c r="A17" s="2" t="s">
        <v>5794</v>
      </c>
      <c r="B17" s="2" t="s">
        <v>12942</v>
      </c>
      <c r="C17" s="2">
        <v>2.47410177E8</v>
      </c>
      <c r="D17" s="2" t="s">
        <v>12943</v>
      </c>
      <c r="E17" s="2">
        <v>607366.0</v>
      </c>
      <c r="F17" s="2">
        <v>687.0</v>
      </c>
      <c r="G17" s="2">
        <v>962.0</v>
      </c>
      <c r="H17" s="2" t="s">
        <v>5906</v>
      </c>
      <c r="I17" s="2" t="s">
        <v>5905</v>
      </c>
      <c r="J17" s="2" t="s">
        <v>5959</v>
      </c>
      <c r="K17" s="2" t="s">
        <v>12944</v>
      </c>
      <c r="L17" s="10" t="s">
        <v>12945</v>
      </c>
    </row>
    <row r="18">
      <c r="A18" s="2" t="s">
        <v>5794</v>
      </c>
      <c r="B18" s="2" t="s">
        <v>12946</v>
      </c>
      <c r="C18" s="2">
        <v>2.14024124E8</v>
      </c>
      <c r="D18" s="2" t="s">
        <v>12947</v>
      </c>
      <c r="E18" s="2">
        <v>7854938.0</v>
      </c>
      <c r="F18" s="2">
        <v>5572.0</v>
      </c>
      <c r="G18" s="2">
        <v>3228.0</v>
      </c>
      <c r="H18" s="2" t="s">
        <v>5906</v>
      </c>
      <c r="I18" s="2" t="s">
        <v>5905</v>
      </c>
      <c r="J18" s="2" t="s">
        <v>5993</v>
      </c>
      <c r="K18" s="2" t="s">
        <v>12948</v>
      </c>
      <c r="L18" s="10" t="s">
        <v>12949</v>
      </c>
    </row>
    <row r="19">
      <c r="A19" s="2" t="s">
        <v>5794</v>
      </c>
      <c r="B19" s="2" t="s">
        <v>12950</v>
      </c>
      <c r="C19" s="2">
        <v>3.556206566E9</v>
      </c>
      <c r="D19" s="2" t="s">
        <v>12951</v>
      </c>
      <c r="E19" s="2">
        <v>17402.0</v>
      </c>
      <c r="F19" s="2">
        <v>3.0</v>
      </c>
      <c r="G19" s="2">
        <v>1.0</v>
      </c>
      <c r="H19" s="2" t="s">
        <v>5905</v>
      </c>
      <c r="I19" s="2" t="s">
        <v>5905</v>
      </c>
      <c r="K19" s="2" t="s">
        <v>12952</v>
      </c>
    </row>
    <row r="20">
      <c r="A20" s="2" t="s">
        <v>5639</v>
      </c>
      <c r="B20" s="2" t="s">
        <v>12953</v>
      </c>
      <c r="C20" s="2">
        <v>21338.0</v>
      </c>
      <c r="D20" s="2" t="s">
        <v>12954</v>
      </c>
      <c r="E20" s="2">
        <v>23912.0</v>
      </c>
      <c r="F20" s="2">
        <v>27.0</v>
      </c>
      <c r="G20" s="2">
        <v>4.0</v>
      </c>
      <c r="H20" s="2" t="s">
        <v>5906</v>
      </c>
      <c r="I20" s="2" t="s">
        <v>5905</v>
      </c>
      <c r="J20" s="2" t="s">
        <v>5391</v>
      </c>
      <c r="K20" s="2" t="s">
        <v>12955</v>
      </c>
    </row>
    <row r="21">
      <c r="A21" s="2" t="s">
        <v>5639</v>
      </c>
      <c r="B21" s="2" t="s">
        <v>12956</v>
      </c>
      <c r="C21" s="2">
        <v>2.3801042E7</v>
      </c>
      <c r="D21" s="2" t="s">
        <v>12957</v>
      </c>
      <c r="E21" s="2">
        <v>10860.0</v>
      </c>
      <c r="F21" s="2">
        <v>2937.0</v>
      </c>
      <c r="G21" s="2">
        <v>122.0</v>
      </c>
      <c r="H21" s="2" t="s">
        <v>5905</v>
      </c>
      <c r="I21" s="2" t="s">
        <v>5905</v>
      </c>
      <c r="J21" s="2" t="s">
        <v>12958</v>
      </c>
      <c r="K21" s="2" t="s">
        <v>12959</v>
      </c>
      <c r="L21" s="10" t="s">
        <v>12960</v>
      </c>
    </row>
    <row r="22">
      <c r="A22" s="2" t="s">
        <v>5639</v>
      </c>
      <c r="B22" s="2" t="s">
        <v>12946</v>
      </c>
      <c r="C22" s="2">
        <v>2.14024124E8</v>
      </c>
      <c r="D22" s="2" t="s">
        <v>12947</v>
      </c>
      <c r="E22" s="2">
        <v>7854905.0</v>
      </c>
      <c r="F22" s="2">
        <v>5572.0</v>
      </c>
      <c r="G22" s="2">
        <v>3228.0</v>
      </c>
      <c r="H22" s="2" t="s">
        <v>5906</v>
      </c>
      <c r="I22" s="2" t="s">
        <v>5905</v>
      </c>
      <c r="J22" s="2" t="s">
        <v>5993</v>
      </c>
      <c r="K22" s="2" t="s">
        <v>12948</v>
      </c>
      <c r="L22" s="10" t="s">
        <v>12949</v>
      </c>
    </row>
    <row r="23">
      <c r="A23" s="2" t="s">
        <v>5639</v>
      </c>
      <c r="B23" s="2" t="s">
        <v>12961</v>
      </c>
      <c r="C23" s="2">
        <v>6.70590639E8</v>
      </c>
      <c r="D23" s="2" t="s">
        <v>12962</v>
      </c>
      <c r="E23" s="2">
        <v>19363.0</v>
      </c>
      <c r="F23" s="2">
        <v>3318.0</v>
      </c>
      <c r="G23" s="2">
        <v>490.0</v>
      </c>
      <c r="H23" s="2" t="s">
        <v>5905</v>
      </c>
      <c r="I23" s="2" t="s">
        <v>5905</v>
      </c>
      <c r="J23" s="2" t="s">
        <v>8144</v>
      </c>
      <c r="K23" s="2" t="s">
        <v>12963</v>
      </c>
      <c r="L23" s="10" t="s">
        <v>12964</v>
      </c>
    </row>
    <row r="24">
      <c r="A24" s="2" t="s">
        <v>5639</v>
      </c>
      <c r="B24" s="2" t="s">
        <v>12965</v>
      </c>
      <c r="C24" s="2">
        <v>1.830167971E9</v>
      </c>
      <c r="E24" s="2">
        <v>1.1700225E7</v>
      </c>
      <c r="F24" s="2">
        <v>352.0</v>
      </c>
      <c r="G24" s="2">
        <v>117.0</v>
      </c>
      <c r="H24" s="2" t="s">
        <v>5906</v>
      </c>
      <c r="I24" s="2" t="s">
        <v>5906</v>
      </c>
      <c r="J24" s="2" t="s">
        <v>8144</v>
      </c>
      <c r="K24" s="2" t="s">
        <v>12966</v>
      </c>
    </row>
    <row r="25">
      <c r="A25" s="2" t="s">
        <v>5639</v>
      </c>
      <c r="B25" s="2" t="s">
        <v>12967</v>
      </c>
      <c r="C25" s="2">
        <v>6.56094389E8</v>
      </c>
      <c r="D25" s="2" t="s">
        <v>12968</v>
      </c>
      <c r="E25" s="2">
        <v>2.1224031E7</v>
      </c>
      <c r="F25" s="2">
        <v>1.0</v>
      </c>
      <c r="G25" s="2">
        <v>44.0</v>
      </c>
      <c r="H25" s="2" t="s">
        <v>5906</v>
      </c>
      <c r="I25" s="2" t="s">
        <v>5906</v>
      </c>
      <c r="J25" s="2" t="s">
        <v>12969</v>
      </c>
      <c r="K25" s="2" t="s">
        <v>12970</v>
      </c>
      <c r="L25" s="10" t="s">
        <v>12971</v>
      </c>
    </row>
    <row r="26">
      <c r="A26" s="2" t="s">
        <v>5610</v>
      </c>
      <c r="B26" s="2" t="s">
        <v>12972</v>
      </c>
      <c r="C26" s="2">
        <v>4081.0</v>
      </c>
      <c r="D26" s="2" t="s">
        <v>12973</v>
      </c>
      <c r="E26" s="2">
        <v>19879.0</v>
      </c>
      <c r="F26" s="2">
        <v>2197.0</v>
      </c>
      <c r="G26" s="2">
        <v>386.0</v>
      </c>
      <c r="H26" s="2" t="s">
        <v>5906</v>
      </c>
      <c r="I26" s="2" t="s">
        <v>5905</v>
      </c>
      <c r="J26" s="2" t="s">
        <v>5391</v>
      </c>
      <c r="K26" s="2" t="s">
        <v>12974</v>
      </c>
      <c r="L26" s="10" t="s">
        <v>12975</v>
      </c>
    </row>
    <row r="27">
      <c r="A27" s="2" t="s">
        <v>5610</v>
      </c>
      <c r="B27" s="2" t="s">
        <v>12976</v>
      </c>
      <c r="C27" s="2">
        <v>4.7694755503E10</v>
      </c>
      <c r="D27" s="2" t="s">
        <v>12977</v>
      </c>
      <c r="E27" s="2">
        <v>21416.0</v>
      </c>
      <c r="F27" s="2">
        <v>5.0</v>
      </c>
      <c r="G27" s="2">
        <v>67.0</v>
      </c>
      <c r="H27" s="2" t="s">
        <v>5905</v>
      </c>
      <c r="I27" s="2" t="s">
        <v>5906</v>
      </c>
      <c r="J27" s="2" t="s">
        <v>5959</v>
      </c>
      <c r="K27" s="12" t="s">
        <v>12978</v>
      </c>
      <c r="L27" s="10" t="s">
        <v>12979</v>
      </c>
    </row>
    <row r="28">
      <c r="A28" s="2" t="s">
        <v>5610</v>
      </c>
      <c r="B28" s="2" t="s">
        <v>12980</v>
      </c>
      <c r="C28" s="2">
        <v>2.4425222E7</v>
      </c>
      <c r="D28" s="2" t="s">
        <v>12981</v>
      </c>
      <c r="E28" s="2">
        <v>2451348.0</v>
      </c>
      <c r="F28" s="2">
        <v>343.0</v>
      </c>
      <c r="G28" s="2">
        <v>146.0</v>
      </c>
      <c r="H28" s="2" t="s">
        <v>5906</v>
      </c>
      <c r="I28" s="2" t="s">
        <v>5905</v>
      </c>
      <c r="J28" s="2" t="s">
        <v>8144</v>
      </c>
      <c r="K28" s="2" t="s">
        <v>12982</v>
      </c>
    </row>
    <row r="29">
      <c r="A29" s="2" t="s">
        <v>5662</v>
      </c>
      <c r="B29" s="2" t="s">
        <v>12980</v>
      </c>
      <c r="C29" s="2">
        <v>2.4425222E7</v>
      </c>
      <c r="D29" s="2" t="s">
        <v>12981</v>
      </c>
      <c r="E29" s="2">
        <v>2451691.0</v>
      </c>
      <c r="F29" s="2">
        <v>343.0</v>
      </c>
      <c r="G29" s="2">
        <v>146.0</v>
      </c>
      <c r="H29" s="2" t="s">
        <v>5906</v>
      </c>
      <c r="I29" s="2" t="s">
        <v>5905</v>
      </c>
      <c r="J29" s="2" t="s">
        <v>8144</v>
      </c>
      <c r="K29" s="2" t="s">
        <v>12982</v>
      </c>
    </row>
    <row r="30">
      <c r="A30" s="2" t="s">
        <v>5795</v>
      </c>
      <c r="B30" s="2" t="s">
        <v>12983</v>
      </c>
      <c r="C30" s="2">
        <v>7832993.0</v>
      </c>
      <c r="D30" s="2" t="s">
        <v>12984</v>
      </c>
      <c r="E30" s="2">
        <v>51427.0</v>
      </c>
      <c r="F30" s="2">
        <v>927.0</v>
      </c>
      <c r="G30" s="2">
        <v>295.0</v>
      </c>
      <c r="H30" s="2" t="s">
        <v>5905</v>
      </c>
      <c r="I30" s="2" t="s">
        <v>5905</v>
      </c>
      <c r="J30" s="2" t="s">
        <v>5928</v>
      </c>
      <c r="K30" s="2" t="s">
        <v>12985</v>
      </c>
      <c r="L30" s="10" t="s">
        <v>12986</v>
      </c>
    </row>
    <row r="31">
      <c r="A31" s="2" t="s">
        <v>5795</v>
      </c>
      <c r="B31" s="2" t="s">
        <v>12987</v>
      </c>
      <c r="C31" s="2">
        <v>8.390590348E9</v>
      </c>
      <c r="D31" s="2" t="s">
        <v>12988</v>
      </c>
      <c r="E31" s="2">
        <v>286040.0</v>
      </c>
      <c r="F31" s="2">
        <v>353.0</v>
      </c>
      <c r="G31" s="2">
        <v>34.0</v>
      </c>
      <c r="H31" s="2" t="s">
        <v>5906</v>
      </c>
      <c r="I31" s="2" t="s">
        <v>5905</v>
      </c>
      <c r="J31" s="2" t="s">
        <v>5959</v>
      </c>
      <c r="K31" s="2" t="s">
        <v>12989</v>
      </c>
      <c r="L31" s="10" t="s">
        <v>12990</v>
      </c>
    </row>
    <row r="32">
      <c r="A32" s="2" t="s">
        <v>5795</v>
      </c>
      <c r="B32" s="2" t="s">
        <v>12991</v>
      </c>
      <c r="C32" s="2">
        <v>1.47526941E9</v>
      </c>
      <c r="D32" s="2" t="s">
        <v>12992</v>
      </c>
      <c r="E32" s="2">
        <v>304056.0</v>
      </c>
      <c r="F32" s="2">
        <v>1767.0</v>
      </c>
      <c r="G32" s="2">
        <v>270.0</v>
      </c>
      <c r="H32" s="2" t="s">
        <v>5906</v>
      </c>
      <c r="I32" s="2" t="s">
        <v>5905</v>
      </c>
      <c r="J32" s="2" t="s">
        <v>12993</v>
      </c>
      <c r="K32" s="2" t="s">
        <v>12994</v>
      </c>
      <c r="L32" s="10" t="s">
        <v>12995</v>
      </c>
    </row>
    <row r="33">
      <c r="A33" s="2" t="s">
        <v>5795</v>
      </c>
      <c r="B33" s="2" t="s">
        <v>12996</v>
      </c>
      <c r="C33" s="2">
        <v>1.4066545E7</v>
      </c>
      <c r="D33" s="2" t="s">
        <v>12997</v>
      </c>
      <c r="E33" s="2">
        <v>11609.0</v>
      </c>
      <c r="F33" s="2">
        <v>697.0</v>
      </c>
      <c r="G33" s="2">
        <v>76.0</v>
      </c>
      <c r="H33" s="2" t="s">
        <v>5905</v>
      </c>
      <c r="I33" s="2" t="s">
        <v>5906</v>
      </c>
      <c r="K33" s="2" t="s">
        <v>12998</v>
      </c>
      <c r="L33" s="10" t="s">
        <v>12999</v>
      </c>
    </row>
    <row r="34">
      <c r="A34" s="2" t="s">
        <v>5795</v>
      </c>
      <c r="B34" s="2" t="s">
        <v>13000</v>
      </c>
      <c r="C34" s="2">
        <v>8.505485706E9</v>
      </c>
      <c r="D34" s="2" t="s">
        <v>13001</v>
      </c>
      <c r="E34" s="2">
        <v>317151.0</v>
      </c>
      <c r="F34" s="2">
        <v>237.0</v>
      </c>
      <c r="G34" s="2">
        <v>40.0</v>
      </c>
      <c r="H34" s="2" t="s">
        <v>5905</v>
      </c>
      <c r="I34" s="2" t="s">
        <v>5905</v>
      </c>
      <c r="J34" s="2" t="s">
        <v>5959</v>
      </c>
      <c r="K34" s="2" t="s">
        <v>13002</v>
      </c>
      <c r="L34" s="10" t="s">
        <v>13003</v>
      </c>
    </row>
    <row r="35">
      <c r="A35" s="2" t="s">
        <v>5795</v>
      </c>
      <c r="B35" s="2" t="s">
        <v>13004</v>
      </c>
      <c r="C35" s="2">
        <v>2.83595953E8</v>
      </c>
      <c r="D35" s="2" t="s">
        <v>13005</v>
      </c>
      <c r="E35" s="2">
        <v>158941.0</v>
      </c>
      <c r="F35" s="2">
        <v>1786.0</v>
      </c>
      <c r="G35" s="2">
        <v>626.0</v>
      </c>
      <c r="H35" s="2" t="s">
        <v>5905</v>
      </c>
      <c r="I35" s="2" t="s">
        <v>5905</v>
      </c>
      <c r="J35" s="2" t="s">
        <v>5928</v>
      </c>
      <c r="K35" s="2" t="s">
        <v>13006</v>
      </c>
      <c r="L35" s="10" t="s">
        <v>13007</v>
      </c>
    </row>
    <row r="36">
      <c r="A36" s="2" t="s">
        <v>5795</v>
      </c>
      <c r="B36" s="2" t="s">
        <v>13008</v>
      </c>
      <c r="C36" s="2">
        <v>1.74656305E8</v>
      </c>
      <c r="D36" s="2" t="s">
        <v>13009</v>
      </c>
      <c r="E36" s="2">
        <v>323444.0</v>
      </c>
      <c r="F36" s="2">
        <v>1039.0</v>
      </c>
      <c r="G36" s="2">
        <v>391.0</v>
      </c>
      <c r="H36" s="2" t="s">
        <v>5905</v>
      </c>
      <c r="I36" s="2" t="s">
        <v>5905</v>
      </c>
      <c r="J36" s="2" t="s">
        <v>5993</v>
      </c>
      <c r="K36" s="2" t="s">
        <v>13010</v>
      </c>
    </row>
    <row r="37">
      <c r="A37" s="2" t="s">
        <v>5795</v>
      </c>
      <c r="B37" s="2" t="s">
        <v>13011</v>
      </c>
      <c r="C37" s="2">
        <v>1.502006554E9</v>
      </c>
      <c r="D37" s="2" t="s">
        <v>13012</v>
      </c>
      <c r="E37" s="2">
        <v>1381276.0</v>
      </c>
      <c r="F37" s="2">
        <v>740.0</v>
      </c>
      <c r="G37" s="2">
        <v>1397.0</v>
      </c>
      <c r="H37" s="2" t="s">
        <v>5906</v>
      </c>
      <c r="I37" s="2" t="s">
        <v>5906</v>
      </c>
      <c r="K37" s="2" t="s">
        <v>13013</v>
      </c>
    </row>
    <row r="38">
      <c r="A38" s="2" t="s">
        <v>5795</v>
      </c>
      <c r="B38" s="2" t="s">
        <v>13014</v>
      </c>
      <c r="C38" s="2">
        <v>4.8373825917E10</v>
      </c>
      <c r="D38" s="2" t="s">
        <v>13015</v>
      </c>
      <c r="E38" s="2">
        <v>15999.0</v>
      </c>
      <c r="F38" s="2">
        <v>380.0</v>
      </c>
      <c r="G38" s="2">
        <v>58.0</v>
      </c>
      <c r="H38" s="2" t="s">
        <v>5905</v>
      </c>
      <c r="I38" s="2" t="s">
        <v>5905</v>
      </c>
      <c r="J38" s="2" t="s">
        <v>6414</v>
      </c>
      <c r="K38" s="2" t="s">
        <v>13016</v>
      </c>
    </row>
    <row r="39">
      <c r="A39" s="2" t="s">
        <v>5796</v>
      </c>
      <c r="B39" s="2" t="s">
        <v>13017</v>
      </c>
      <c r="C39" s="2">
        <v>1.31818284E9</v>
      </c>
      <c r="D39" s="2" t="s">
        <v>13018</v>
      </c>
      <c r="E39" s="2">
        <v>30583.0</v>
      </c>
      <c r="F39" s="2">
        <v>1474.0</v>
      </c>
      <c r="G39" s="2">
        <v>313.0</v>
      </c>
      <c r="H39" s="2" t="s">
        <v>5906</v>
      </c>
      <c r="I39" s="2" t="s">
        <v>5905</v>
      </c>
      <c r="K39" s="2" t="s">
        <v>13019</v>
      </c>
      <c r="L39" s="10" t="s">
        <v>13020</v>
      </c>
    </row>
    <row r="40">
      <c r="A40" s="2" t="s">
        <v>5797</v>
      </c>
      <c r="B40" s="2" t="s">
        <v>13021</v>
      </c>
      <c r="C40" s="2">
        <v>2.61544479E8</v>
      </c>
      <c r="D40" s="2" t="s">
        <v>13022</v>
      </c>
      <c r="E40" s="2">
        <v>65581.0</v>
      </c>
      <c r="F40" s="2">
        <v>2161.0</v>
      </c>
      <c r="G40" s="2">
        <v>103.0</v>
      </c>
      <c r="H40" s="2" t="s">
        <v>5906</v>
      </c>
      <c r="I40" s="2" t="s">
        <v>5906</v>
      </c>
      <c r="K40" s="2" t="s">
        <v>13023</v>
      </c>
    </row>
    <row r="41">
      <c r="A41" s="2" t="s">
        <v>5758</v>
      </c>
      <c r="B41" s="2" t="s">
        <v>13024</v>
      </c>
      <c r="C41" s="2">
        <v>4.7528077E7</v>
      </c>
      <c r="D41" s="2" t="s">
        <v>13025</v>
      </c>
      <c r="E41" s="2">
        <v>38500.0</v>
      </c>
      <c r="F41" s="2">
        <v>5311.0</v>
      </c>
      <c r="G41" s="2">
        <v>4553.0</v>
      </c>
      <c r="H41" s="2" t="s">
        <v>5906</v>
      </c>
      <c r="I41" s="2" t="s">
        <v>5906</v>
      </c>
      <c r="J41" s="2" t="s">
        <v>5489</v>
      </c>
      <c r="K41" s="2" t="s">
        <v>13026</v>
      </c>
      <c r="L41" s="10" t="s">
        <v>13027</v>
      </c>
    </row>
    <row r="42">
      <c r="A42" s="2" t="s">
        <v>5758</v>
      </c>
      <c r="B42" s="2" t="s">
        <v>13028</v>
      </c>
      <c r="C42" s="2">
        <v>7.46348186E8</v>
      </c>
      <c r="D42" s="2" t="s">
        <v>13029</v>
      </c>
      <c r="E42" s="2">
        <v>308418.0</v>
      </c>
      <c r="F42" s="2">
        <v>1.0</v>
      </c>
      <c r="G42" s="2">
        <v>757.0</v>
      </c>
      <c r="H42" s="2" t="s">
        <v>5905</v>
      </c>
      <c r="I42" s="2" t="s">
        <v>5905</v>
      </c>
      <c r="J42" s="2" t="s">
        <v>5492</v>
      </c>
      <c r="K42" s="2" t="s">
        <v>13030</v>
      </c>
      <c r="L42" s="10" t="s">
        <v>13031</v>
      </c>
    </row>
    <row r="43">
      <c r="A43" s="2" t="s">
        <v>5758</v>
      </c>
      <c r="B43" s="2" t="s">
        <v>13032</v>
      </c>
      <c r="C43" s="2">
        <v>5.7538511308E10</v>
      </c>
      <c r="D43" s="2" t="s">
        <v>13033</v>
      </c>
      <c r="E43" s="2">
        <v>639898.0</v>
      </c>
      <c r="F43" s="2">
        <v>938.0</v>
      </c>
      <c r="G43" s="2">
        <v>3451.0</v>
      </c>
      <c r="H43" s="2" t="s">
        <v>5906</v>
      </c>
      <c r="I43" s="2" t="s">
        <v>5905</v>
      </c>
      <c r="J43" s="2" t="s">
        <v>5959</v>
      </c>
      <c r="K43" s="2" t="s">
        <v>13034</v>
      </c>
    </row>
    <row r="44">
      <c r="A44" s="2" t="s">
        <v>5758</v>
      </c>
      <c r="B44" s="2" t="s">
        <v>13035</v>
      </c>
      <c r="C44" s="2">
        <v>6.27265625E8</v>
      </c>
      <c r="D44" s="2" t="s">
        <v>13036</v>
      </c>
      <c r="E44" s="2">
        <v>1.484932E7</v>
      </c>
      <c r="F44" s="2">
        <v>443.0</v>
      </c>
      <c r="G44" s="2">
        <v>1485.0</v>
      </c>
      <c r="H44" s="2" t="s">
        <v>5906</v>
      </c>
      <c r="I44" s="2" t="s">
        <v>5905</v>
      </c>
      <c r="J44" s="2" t="s">
        <v>4397</v>
      </c>
      <c r="K44" s="2" t="s">
        <v>13037</v>
      </c>
      <c r="L44" s="10" t="s">
        <v>13038</v>
      </c>
    </row>
    <row r="45">
      <c r="A45" s="2" t="s">
        <v>5682</v>
      </c>
      <c r="B45" s="2" t="s">
        <v>13039</v>
      </c>
      <c r="C45" s="2">
        <v>6450493.0</v>
      </c>
      <c r="D45" s="2" t="s">
        <v>13040</v>
      </c>
      <c r="E45" s="2">
        <v>84425.0</v>
      </c>
      <c r="F45" s="2">
        <v>899.0</v>
      </c>
      <c r="G45" s="2">
        <v>120.0</v>
      </c>
      <c r="H45" s="2" t="s">
        <v>5906</v>
      </c>
      <c r="I45" s="2" t="s">
        <v>5905</v>
      </c>
      <c r="K45" s="2" t="s">
        <v>13041</v>
      </c>
    </row>
    <row r="46">
      <c r="A46" s="2" t="s">
        <v>5682</v>
      </c>
      <c r="B46" s="2" t="s">
        <v>13042</v>
      </c>
      <c r="C46" s="2">
        <v>4.0052770779E10</v>
      </c>
      <c r="D46" s="2" t="s">
        <v>13043</v>
      </c>
      <c r="E46" s="2">
        <v>2156775.0</v>
      </c>
      <c r="F46" s="2">
        <v>66.0</v>
      </c>
      <c r="G46" s="2">
        <v>1087.0</v>
      </c>
      <c r="H46" s="2" t="s">
        <v>5906</v>
      </c>
      <c r="I46" s="2" t="s">
        <v>5905</v>
      </c>
      <c r="J46" s="2" t="s">
        <v>6414</v>
      </c>
      <c r="K46" s="2" t="s">
        <v>13044</v>
      </c>
      <c r="L46" s="10" t="s">
        <v>13045</v>
      </c>
    </row>
    <row r="47">
      <c r="A47" s="2" t="s">
        <v>5663</v>
      </c>
      <c r="B47" s="2" t="s">
        <v>13046</v>
      </c>
      <c r="C47" s="2">
        <v>3079914.0</v>
      </c>
      <c r="D47" s="2" t="s">
        <v>13047</v>
      </c>
      <c r="E47" s="2">
        <v>16474.0</v>
      </c>
      <c r="F47" s="2">
        <v>585.0</v>
      </c>
      <c r="G47" s="2">
        <v>1691.0</v>
      </c>
      <c r="H47" s="2" t="s">
        <v>5906</v>
      </c>
      <c r="I47" s="2" t="s">
        <v>5905</v>
      </c>
      <c r="K47" s="2" t="s">
        <v>13048</v>
      </c>
    </row>
    <row r="48">
      <c r="A48" s="2" t="s">
        <v>5647</v>
      </c>
      <c r="B48" s="2" t="s">
        <v>13049</v>
      </c>
      <c r="C48" s="2">
        <v>3.5381841751E10</v>
      </c>
      <c r="D48" s="2" t="s">
        <v>13050</v>
      </c>
      <c r="E48" s="2">
        <v>25087.0</v>
      </c>
      <c r="F48" s="2">
        <v>177.0</v>
      </c>
      <c r="G48" s="2">
        <v>120.0</v>
      </c>
      <c r="H48" s="2" t="s">
        <v>5905</v>
      </c>
      <c r="I48" s="2" t="s">
        <v>5906</v>
      </c>
      <c r="J48" s="2" t="s">
        <v>7620</v>
      </c>
      <c r="K48" s="2" t="s">
        <v>13051</v>
      </c>
      <c r="L48" s="10" t="s">
        <v>13052</v>
      </c>
    </row>
    <row r="49">
      <c r="A49" s="2" t="s">
        <v>5647</v>
      </c>
      <c r="B49" s="2" t="s">
        <v>13053</v>
      </c>
      <c r="C49" s="2">
        <v>3.4633745E7</v>
      </c>
      <c r="D49" s="2" t="s">
        <v>5647</v>
      </c>
      <c r="E49" s="2">
        <v>370071.0</v>
      </c>
      <c r="F49" s="2">
        <v>753.0</v>
      </c>
      <c r="G49" s="2">
        <v>1062.0</v>
      </c>
      <c r="H49" s="2" t="s">
        <v>5905</v>
      </c>
      <c r="I49" s="2" t="s">
        <v>5905</v>
      </c>
      <c r="J49" s="2" t="s">
        <v>5959</v>
      </c>
      <c r="K49" s="2" t="s">
        <v>13054</v>
      </c>
      <c r="L49" s="10" t="s">
        <v>13055</v>
      </c>
    </row>
    <row r="50">
      <c r="A50" s="2" t="s">
        <v>5655</v>
      </c>
      <c r="B50" s="2" t="s">
        <v>13056</v>
      </c>
      <c r="C50" s="2">
        <v>8778.0</v>
      </c>
      <c r="D50" s="2" t="s">
        <v>5655</v>
      </c>
      <c r="E50" s="2">
        <v>15611.0</v>
      </c>
      <c r="F50" s="2">
        <v>1471.0</v>
      </c>
      <c r="G50" s="2">
        <v>814.0</v>
      </c>
      <c r="H50" s="2" t="s">
        <v>5905</v>
      </c>
      <c r="I50" s="2" t="s">
        <v>5905</v>
      </c>
    </row>
    <row r="51">
      <c r="A51" s="2" t="s">
        <v>5655</v>
      </c>
      <c r="B51" s="2" t="s">
        <v>13057</v>
      </c>
      <c r="C51" s="2">
        <v>4.245231342E9</v>
      </c>
      <c r="D51" s="2" t="s">
        <v>13058</v>
      </c>
      <c r="E51" s="2">
        <v>5057767.0</v>
      </c>
      <c r="F51" s="2">
        <v>53.0</v>
      </c>
      <c r="G51" s="2">
        <v>1166.0</v>
      </c>
      <c r="H51" s="2" t="s">
        <v>5906</v>
      </c>
      <c r="I51" s="2" t="s">
        <v>5905</v>
      </c>
      <c r="J51" s="2" t="s">
        <v>6414</v>
      </c>
    </row>
    <row r="52">
      <c r="A52" s="2" t="s">
        <v>5798</v>
      </c>
      <c r="B52" s="2" t="s">
        <v>13059</v>
      </c>
      <c r="C52" s="2">
        <v>3.5651387295E10</v>
      </c>
      <c r="D52" s="2" t="s">
        <v>13060</v>
      </c>
      <c r="E52" s="2">
        <v>11142.0</v>
      </c>
      <c r="F52" s="2">
        <v>598.0</v>
      </c>
      <c r="G52" s="2">
        <v>12.0</v>
      </c>
      <c r="H52" s="2" t="s">
        <v>5905</v>
      </c>
      <c r="I52" s="2" t="s">
        <v>5905</v>
      </c>
      <c r="L52" s="10" t="s">
        <v>13061</v>
      </c>
    </row>
    <row r="53">
      <c r="A53" s="2" t="s">
        <v>5799</v>
      </c>
      <c r="B53" s="2" t="s">
        <v>13062</v>
      </c>
      <c r="C53" s="2">
        <v>2.20701931E8</v>
      </c>
      <c r="D53" s="2" t="s">
        <v>13063</v>
      </c>
      <c r="E53" s="2">
        <v>1471157.0</v>
      </c>
      <c r="F53" s="2">
        <v>488.0</v>
      </c>
      <c r="G53" s="2">
        <v>2739.0</v>
      </c>
      <c r="H53" s="2" t="s">
        <v>5906</v>
      </c>
      <c r="I53" s="2" t="s">
        <v>5905</v>
      </c>
      <c r="J53" s="2" t="s">
        <v>6414</v>
      </c>
      <c r="K53" s="2" t="s">
        <v>13064</v>
      </c>
      <c r="L53" s="10" t="s">
        <v>13065</v>
      </c>
    </row>
    <row r="54">
      <c r="A54" s="2" t="s">
        <v>5800</v>
      </c>
      <c r="B54" s="2" t="s">
        <v>13066</v>
      </c>
      <c r="C54" s="2">
        <v>5.3797452939E10</v>
      </c>
      <c r="D54" s="2" t="s">
        <v>13067</v>
      </c>
      <c r="E54" s="2">
        <v>462746.0</v>
      </c>
      <c r="F54" s="2">
        <v>1047.0</v>
      </c>
      <c r="G54" s="2">
        <v>395.0</v>
      </c>
      <c r="H54" s="2" t="s">
        <v>5905</v>
      </c>
      <c r="I54" s="2" t="s">
        <v>5906</v>
      </c>
      <c r="J54" s="2" t="s">
        <v>5928</v>
      </c>
      <c r="K54" s="2" t="s">
        <v>13068</v>
      </c>
      <c r="L54" s="10" t="s">
        <v>13069</v>
      </c>
    </row>
    <row r="55">
      <c r="A55" s="2" t="s">
        <v>5731</v>
      </c>
      <c r="B55" s="2" t="s">
        <v>13070</v>
      </c>
      <c r="C55" s="2">
        <v>1.94704539E8</v>
      </c>
      <c r="D55" s="2" t="s">
        <v>13071</v>
      </c>
      <c r="E55" s="2">
        <v>115392.0</v>
      </c>
      <c r="F55" s="2">
        <v>340.0</v>
      </c>
      <c r="G55" s="2">
        <v>2017.0</v>
      </c>
      <c r="H55" s="2" t="s">
        <v>5906</v>
      </c>
      <c r="I55" s="2" t="s">
        <v>5905</v>
      </c>
      <c r="J55" s="2" t="s">
        <v>6393</v>
      </c>
      <c r="K55" s="2" t="s">
        <v>13072</v>
      </c>
      <c r="L55" s="10" t="s">
        <v>13073</v>
      </c>
    </row>
    <row r="56">
      <c r="A56" s="2" t="s">
        <v>5596</v>
      </c>
      <c r="B56" s="2" t="s">
        <v>13074</v>
      </c>
      <c r="C56" s="2">
        <v>4.109052493E9</v>
      </c>
      <c r="D56" s="2" t="s">
        <v>13075</v>
      </c>
      <c r="E56" s="2">
        <v>41233.0</v>
      </c>
      <c r="F56" s="2">
        <v>563.0</v>
      </c>
      <c r="G56" s="2">
        <v>92.0</v>
      </c>
      <c r="H56" s="2" t="s">
        <v>5906</v>
      </c>
      <c r="I56" s="2" t="s">
        <v>5905</v>
      </c>
      <c r="J56" s="2" t="s">
        <v>5993</v>
      </c>
      <c r="K56" s="2" t="s">
        <v>13076</v>
      </c>
      <c r="L56" s="10" t="s">
        <v>13077</v>
      </c>
    </row>
    <row r="57">
      <c r="A57" s="2" t="s">
        <v>5596</v>
      </c>
      <c r="B57" s="2" t="s">
        <v>13078</v>
      </c>
      <c r="C57" s="2">
        <v>2712336.0</v>
      </c>
      <c r="D57" s="2" t="s">
        <v>13079</v>
      </c>
      <c r="E57" s="2">
        <v>74118.0</v>
      </c>
      <c r="F57" s="2">
        <v>1005.0</v>
      </c>
      <c r="G57" s="2">
        <v>3230.0</v>
      </c>
      <c r="H57" s="2" t="s">
        <v>5906</v>
      </c>
      <c r="I57" s="2" t="s">
        <v>5905</v>
      </c>
      <c r="J57" s="2" t="s">
        <v>7620</v>
      </c>
      <c r="K57" s="2" t="s">
        <v>13080</v>
      </c>
      <c r="L57" s="10" t="s">
        <v>13081</v>
      </c>
    </row>
    <row r="58">
      <c r="A58" s="2" t="s">
        <v>5801</v>
      </c>
      <c r="B58" s="2" t="s">
        <v>13082</v>
      </c>
      <c r="C58" s="2">
        <v>4.6236261652E10</v>
      </c>
      <c r="D58" s="2" t="s">
        <v>5801</v>
      </c>
      <c r="E58" s="2">
        <v>597902.0</v>
      </c>
      <c r="F58" s="2">
        <v>178.0</v>
      </c>
      <c r="G58" s="2">
        <v>1162.0</v>
      </c>
      <c r="H58" s="2" t="s">
        <v>5906</v>
      </c>
      <c r="I58" s="2" t="s">
        <v>5906</v>
      </c>
      <c r="J58" s="2" t="s">
        <v>7604</v>
      </c>
      <c r="K58" s="2" t="s">
        <v>13083</v>
      </c>
      <c r="L58" s="10" t="s">
        <v>13084</v>
      </c>
    </row>
    <row r="59">
      <c r="A59" s="2" t="s">
        <v>5801</v>
      </c>
      <c r="B59" s="2" t="s">
        <v>13085</v>
      </c>
      <c r="C59" s="2">
        <v>4.6781993E7</v>
      </c>
      <c r="D59" s="2" t="s">
        <v>13086</v>
      </c>
      <c r="E59" s="2">
        <v>1297220.0</v>
      </c>
      <c r="F59" s="2">
        <v>343.0</v>
      </c>
      <c r="G59" s="2">
        <v>12189.0</v>
      </c>
      <c r="H59" s="2" t="s">
        <v>5906</v>
      </c>
      <c r="I59" s="2" t="s">
        <v>5906</v>
      </c>
      <c r="K59" s="2" t="s">
        <v>13087</v>
      </c>
      <c r="L59" s="10" t="s">
        <v>13088</v>
      </c>
    </row>
    <row r="60">
      <c r="A60" s="2" t="s">
        <v>5789</v>
      </c>
      <c r="B60" s="2" t="s">
        <v>13089</v>
      </c>
      <c r="C60" s="2">
        <v>2.822472E7</v>
      </c>
      <c r="D60" s="2" t="s">
        <v>13090</v>
      </c>
      <c r="E60" s="2">
        <v>42062.0</v>
      </c>
      <c r="F60" s="2">
        <v>399.0</v>
      </c>
      <c r="G60" s="2">
        <v>222.0</v>
      </c>
      <c r="H60" s="2" t="s">
        <v>5905</v>
      </c>
      <c r="I60" s="2" t="s">
        <v>5905</v>
      </c>
      <c r="J60" s="2" t="s">
        <v>5959</v>
      </c>
      <c r="K60" s="2" t="s">
        <v>13091</v>
      </c>
      <c r="L60" s="10" t="s">
        <v>13092</v>
      </c>
    </row>
    <row r="61">
      <c r="A61" s="2" t="s">
        <v>5803</v>
      </c>
      <c r="B61" s="2" t="s">
        <v>13093</v>
      </c>
      <c r="C61" s="2">
        <v>4.218609589E9</v>
      </c>
      <c r="D61" s="2" t="s">
        <v>13094</v>
      </c>
      <c r="E61" s="2">
        <v>2221202.0</v>
      </c>
      <c r="F61" s="2">
        <v>261.0</v>
      </c>
      <c r="G61" s="2">
        <v>183.0</v>
      </c>
      <c r="H61" s="2" t="s">
        <v>5906</v>
      </c>
      <c r="I61" s="2" t="s">
        <v>5905</v>
      </c>
      <c r="J61" s="2" t="s">
        <v>5993</v>
      </c>
      <c r="K61" s="2" t="s">
        <v>13095</v>
      </c>
      <c r="L61" s="10" t="s">
        <v>13096</v>
      </c>
    </row>
    <row r="62">
      <c r="A62" s="2" t="s">
        <v>5804</v>
      </c>
      <c r="B62" s="2" t="s">
        <v>13097</v>
      </c>
      <c r="C62" s="2">
        <v>1.8505736E7</v>
      </c>
      <c r="D62" s="2" t="s">
        <v>13098</v>
      </c>
      <c r="E62" s="2">
        <v>80139.0</v>
      </c>
      <c r="F62" s="2">
        <v>540.0</v>
      </c>
      <c r="G62" s="2">
        <v>50.0</v>
      </c>
      <c r="H62" s="2" t="s">
        <v>5905</v>
      </c>
      <c r="I62" s="2" t="s">
        <v>5905</v>
      </c>
      <c r="J62" s="2" t="s">
        <v>5492</v>
      </c>
      <c r="K62" s="2" t="s">
        <v>13099</v>
      </c>
    </row>
    <row r="63">
      <c r="A63" s="2" t="s">
        <v>5805</v>
      </c>
      <c r="B63" s="2" t="s">
        <v>13100</v>
      </c>
      <c r="C63" s="2">
        <v>1155.0</v>
      </c>
      <c r="D63" s="2" t="s">
        <v>13101</v>
      </c>
      <c r="E63" s="2">
        <v>15165.0</v>
      </c>
      <c r="F63" s="2">
        <v>5284.0</v>
      </c>
      <c r="G63" s="2">
        <v>1774.0</v>
      </c>
      <c r="H63" s="2" t="s">
        <v>5906</v>
      </c>
      <c r="I63" s="2" t="s">
        <v>5905</v>
      </c>
      <c r="J63" s="2" t="s">
        <v>5484</v>
      </c>
      <c r="K63" s="2" t="s">
        <v>13102</v>
      </c>
    </row>
    <row r="64">
      <c r="A64" s="2" t="s">
        <v>5805</v>
      </c>
      <c r="B64" s="2" t="s">
        <v>13103</v>
      </c>
      <c r="C64" s="2">
        <v>2.24352246E8</v>
      </c>
      <c r="D64" s="2" t="s">
        <v>13104</v>
      </c>
      <c r="E64" s="2">
        <v>637639.0</v>
      </c>
      <c r="F64" s="2">
        <v>3962.0</v>
      </c>
      <c r="G64" s="2">
        <v>15411.0</v>
      </c>
      <c r="H64" s="2" t="s">
        <v>5905</v>
      </c>
      <c r="I64" s="2" t="s">
        <v>5906</v>
      </c>
      <c r="J64" s="2" t="s">
        <v>6166</v>
      </c>
      <c r="K64" s="2" t="s">
        <v>13105</v>
      </c>
      <c r="L64" s="10" t="s">
        <v>13106</v>
      </c>
    </row>
    <row r="65">
      <c r="A65" s="2" t="s">
        <v>5805</v>
      </c>
      <c r="B65" s="2" t="s">
        <v>13107</v>
      </c>
      <c r="C65" s="2">
        <v>1.470296487E9</v>
      </c>
      <c r="D65" s="2" t="s">
        <v>13108</v>
      </c>
      <c r="E65" s="2">
        <v>3.6842996E7</v>
      </c>
      <c r="F65" s="2">
        <v>108.0</v>
      </c>
      <c r="G65" s="2">
        <v>863.0</v>
      </c>
      <c r="H65" s="2" t="s">
        <v>5906</v>
      </c>
      <c r="I65" s="2" t="s">
        <v>5905</v>
      </c>
      <c r="J65" s="2" t="s">
        <v>8838</v>
      </c>
      <c r="K65" s="2" t="s">
        <v>13109</v>
      </c>
    </row>
    <row r="66">
      <c r="A66" s="2" t="s">
        <v>5605</v>
      </c>
      <c r="B66" s="2" t="s">
        <v>13110</v>
      </c>
      <c r="C66" s="2">
        <v>1.0826005541E10</v>
      </c>
      <c r="D66" s="2" t="s">
        <v>13111</v>
      </c>
      <c r="E66" s="2">
        <v>107705.0</v>
      </c>
      <c r="F66" s="2">
        <v>5105.0</v>
      </c>
      <c r="G66" s="2">
        <v>84.0</v>
      </c>
      <c r="H66" s="2" t="s">
        <v>5906</v>
      </c>
      <c r="I66" s="2" t="s">
        <v>5905</v>
      </c>
      <c r="J66" s="2" t="s">
        <v>5959</v>
      </c>
      <c r="K66" s="2" t="s">
        <v>13112</v>
      </c>
      <c r="L66" s="10" t="s">
        <v>13113</v>
      </c>
    </row>
    <row r="67">
      <c r="A67" s="2" t="s">
        <v>5729</v>
      </c>
      <c r="B67" s="2" t="s">
        <v>13114</v>
      </c>
      <c r="C67" s="2">
        <v>2.301310407E9</v>
      </c>
      <c r="D67" s="2" t="s">
        <v>13115</v>
      </c>
      <c r="E67" s="2">
        <v>250219.0</v>
      </c>
      <c r="F67" s="2">
        <v>90.0</v>
      </c>
      <c r="G67" s="2">
        <v>776.0</v>
      </c>
      <c r="H67" s="2" t="s">
        <v>5906</v>
      </c>
      <c r="I67" s="2" t="s">
        <v>5905</v>
      </c>
      <c r="J67" s="2" t="s">
        <v>5959</v>
      </c>
      <c r="K67" s="2" t="s">
        <v>13116</v>
      </c>
      <c r="L67" s="10" t="s">
        <v>13117</v>
      </c>
    </row>
    <row r="68">
      <c r="A68" s="2" t="s">
        <v>5806</v>
      </c>
      <c r="B68" s="2" t="s">
        <v>13118</v>
      </c>
      <c r="C68" s="2">
        <v>8819329.0</v>
      </c>
      <c r="D68" s="2" t="s">
        <v>13119</v>
      </c>
      <c r="E68" s="2">
        <v>5517919.0</v>
      </c>
      <c r="F68" s="2">
        <v>277.0</v>
      </c>
      <c r="G68" s="2">
        <v>2993.0</v>
      </c>
      <c r="H68" s="2" t="s">
        <v>5906</v>
      </c>
      <c r="I68" s="2" t="s">
        <v>5905</v>
      </c>
      <c r="J68" s="2" t="s">
        <v>5959</v>
      </c>
      <c r="K68" s="2" t="s">
        <v>13120</v>
      </c>
    </row>
    <row r="69">
      <c r="A69" s="2" t="s">
        <v>5806</v>
      </c>
      <c r="B69" s="2" t="s">
        <v>13121</v>
      </c>
      <c r="C69" s="2">
        <v>2.016291324E9</v>
      </c>
      <c r="D69" s="2" t="s">
        <v>13122</v>
      </c>
      <c r="E69" s="2">
        <v>4141286.0</v>
      </c>
      <c r="F69" s="2">
        <v>472.0</v>
      </c>
      <c r="G69" s="2">
        <v>67.0</v>
      </c>
      <c r="H69" s="2" t="s">
        <v>5906</v>
      </c>
      <c r="I69" s="2" t="s">
        <v>5905</v>
      </c>
      <c r="J69" s="2" t="s">
        <v>5993</v>
      </c>
      <c r="K69" s="2" t="s">
        <v>13123</v>
      </c>
    </row>
    <row r="70">
      <c r="A70" s="2" t="s">
        <v>5806</v>
      </c>
      <c r="B70" s="2" t="s">
        <v>13124</v>
      </c>
      <c r="C70" s="2">
        <v>4.6334316E7</v>
      </c>
      <c r="D70" s="2" t="s">
        <v>5734</v>
      </c>
      <c r="E70" s="2">
        <v>116084.0</v>
      </c>
      <c r="F70" s="2">
        <v>2125.0</v>
      </c>
      <c r="G70" s="2">
        <v>193.0</v>
      </c>
      <c r="H70" s="2" t="s">
        <v>5905</v>
      </c>
      <c r="I70" s="2" t="s">
        <v>5905</v>
      </c>
      <c r="J70" s="2" t="s">
        <v>6393</v>
      </c>
      <c r="K70" s="2" t="s">
        <v>13125</v>
      </c>
    </row>
    <row r="71">
      <c r="A71" s="2" t="s">
        <v>5806</v>
      </c>
      <c r="B71" s="2" t="s">
        <v>13126</v>
      </c>
      <c r="C71" s="2">
        <v>6.1691479173E10</v>
      </c>
      <c r="D71" s="2" t="s">
        <v>13127</v>
      </c>
      <c r="E71" s="2">
        <v>131555.0</v>
      </c>
      <c r="F71" s="2">
        <v>16.0</v>
      </c>
      <c r="G71" s="2">
        <v>7.0</v>
      </c>
      <c r="H71" s="2" t="s">
        <v>5905</v>
      </c>
      <c r="I71" s="2" t="s">
        <v>5905</v>
      </c>
      <c r="K71" s="2" t="s">
        <v>13128</v>
      </c>
      <c r="L71" s="10" t="s">
        <v>13129</v>
      </c>
    </row>
    <row r="72">
      <c r="A72" s="2" t="s">
        <v>5733</v>
      </c>
      <c r="B72" s="2" t="s">
        <v>13130</v>
      </c>
      <c r="C72" s="2">
        <v>1.605836547E9</v>
      </c>
      <c r="D72" s="2" t="s">
        <v>13131</v>
      </c>
      <c r="E72" s="2">
        <v>160028.0</v>
      </c>
      <c r="F72" s="2">
        <v>443.0</v>
      </c>
      <c r="G72" s="2">
        <v>59.0</v>
      </c>
      <c r="H72" s="2" t="s">
        <v>5906</v>
      </c>
      <c r="I72" s="2" t="s">
        <v>5905</v>
      </c>
      <c r="J72" s="2" t="s">
        <v>8144</v>
      </c>
      <c r="K72" s="2" t="s">
        <v>13132</v>
      </c>
      <c r="L72" s="10" t="s">
        <v>13133</v>
      </c>
    </row>
    <row r="73">
      <c r="A73" s="2" t="s">
        <v>5733</v>
      </c>
      <c r="B73" s="2" t="s">
        <v>13134</v>
      </c>
      <c r="C73" s="2">
        <v>3.08103012E8</v>
      </c>
      <c r="D73" s="2" t="s">
        <v>13135</v>
      </c>
      <c r="E73" s="2">
        <v>48380.0</v>
      </c>
      <c r="F73" s="2">
        <v>858.0</v>
      </c>
      <c r="G73" s="2">
        <v>279.0</v>
      </c>
      <c r="H73" s="2" t="s">
        <v>5905</v>
      </c>
      <c r="I73" s="2" t="s">
        <v>5906</v>
      </c>
      <c r="J73" s="2" t="s">
        <v>5480</v>
      </c>
      <c r="K73" s="2" t="s">
        <v>13136</v>
      </c>
    </row>
    <row r="74">
      <c r="A74" s="2" t="s">
        <v>5769</v>
      </c>
      <c r="B74" s="2" t="s">
        <v>13137</v>
      </c>
      <c r="C74" s="2">
        <v>1.82924983E8</v>
      </c>
      <c r="D74" s="2" t="s">
        <v>13138</v>
      </c>
      <c r="E74" s="2">
        <v>228718.0</v>
      </c>
      <c r="F74" s="2">
        <v>2283.0</v>
      </c>
      <c r="G74" s="2">
        <v>289.0</v>
      </c>
      <c r="H74" s="2" t="s">
        <v>5906</v>
      </c>
      <c r="I74" s="2" t="s">
        <v>5905</v>
      </c>
      <c r="J74" s="2" t="s">
        <v>8144</v>
      </c>
      <c r="K74" s="2" t="s">
        <v>13139</v>
      </c>
    </row>
    <row r="75">
      <c r="A75" s="2" t="s">
        <v>5769</v>
      </c>
      <c r="B75" s="2" t="s">
        <v>13137</v>
      </c>
      <c r="C75" s="2">
        <v>1.82924983E8</v>
      </c>
      <c r="D75" s="2" t="s">
        <v>13138</v>
      </c>
      <c r="E75" s="2">
        <v>228718.0</v>
      </c>
      <c r="F75" s="2">
        <v>2283.0</v>
      </c>
      <c r="G75" s="2">
        <v>289.0</v>
      </c>
      <c r="H75" s="2" t="s">
        <v>5906</v>
      </c>
      <c r="I75" s="2" t="s">
        <v>5905</v>
      </c>
      <c r="J75" s="2" t="s">
        <v>8144</v>
      </c>
      <c r="K75" s="2" t="s">
        <v>13139</v>
      </c>
    </row>
    <row r="76">
      <c r="A76" s="2" t="s">
        <v>5769</v>
      </c>
      <c r="B76" s="2" t="s">
        <v>13140</v>
      </c>
      <c r="C76" s="2">
        <v>4.98755813E8</v>
      </c>
      <c r="D76" s="2" t="s">
        <v>13141</v>
      </c>
      <c r="E76" s="2">
        <v>1968407.0</v>
      </c>
      <c r="F76" s="2">
        <v>761.0</v>
      </c>
      <c r="G76" s="2">
        <v>280.0</v>
      </c>
      <c r="H76" s="2" t="s">
        <v>5906</v>
      </c>
      <c r="I76" s="2" t="s">
        <v>5905</v>
      </c>
      <c r="J76" s="2" t="s">
        <v>8144</v>
      </c>
      <c r="K76" s="2" t="s">
        <v>13142</v>
      </c>
    </row>
    <row r="77">
      <c r="A77" s="2" t="s">
        <v>5643</v>
      </c>
      <c r="B77" s="2" t="s">
        <v>13143</v>
      </c>
      <c r="C77" s="2">
        <v>2.11484966E8</v>
      </c>
      <c r="D77" s="2" t="s">
        <v>13144</v>
      </c>
      <c r="E77" s="2">
        <v>2.1197544E7</v>
      </c>
      <c r="F77" s="2">
        <v>1058.0</v>
      </c>
      <c r="G77" s="2">
        <v>4064.0</v>
      </c>
      <c r="H77" s="2" t="s">
        <v>5906</v>
      </c>
      <c r="I77" s="2" t="s">
        <v>5905</v>
      </c>
      <c r="J77" s="2" t="s">
        <v>6414</v>
      </c>
      <c r="K77" s="2" t="s">
        <v>13145</v>
      </c>
      <c r="L77" s="10" t="s">
        <v>13146</v>
      </c>
    </row>
    <row r="78">
      <c r="A78" s="2" t="s">
        <v>5643</v>
      </c>
      <c r="B78" s="2" t="s">
        <v>13147</v>
      </c>
      <c r="C78" s="2">
        <v>6.637002981E9</v>
      </c>
      <c r="D78" s="2" t="s">
        <v>13148</v>
      </c>
      <c r="E78" s="2">
        <v>22952.0</v>
      </c>
      <c r="F78" s="2">
        <v>1936.0</v>
      </c>
      <c r="G78" s="2">
        <v>43.0</v>
      </c>
      <c r="H78" s="2" t="s">
        <v>5905</v>
      </c>
      <c r="I78" s="2" t="s">
        <v>5905</v>
      </c>
      <c r="J78" s="2" t="s">
        <v>5391</v>
      </c>
      <c r="K78" s="2" t="s">
        <v>13149</v>
      </c>
    </row>
    <row r="79">
      <c r="A79" s="2" t="s">
        <v>5643</v>
      </c>
      <c r="B79" s="2" t="s">
        <v>13150</v>
      </c>
      <c r="C79" s="2">
        <v>1.9266579E7</v>
      </c>
      <c r="D79" s="2" t="s">
        <v>13151</v>
      </c>
      <c r="E79" s="2">
        <v>469808.0</v>
      </c>
      <c r="F79" s="2">
        <v>836.0</v>
      </c>
      <c r="G79" s="2">
        <v>723.0</v>
      </c>
      <c r="H79" s="2" t="s">
        <v>5905</v>
      </c>
      <c r="I79" s="2" t="s">
        <v>5905</v>
      </c>
      <c r="J79" s="2" t="s">
        <v>5551</v>
      </c>
      <c r="K79" s="2" t="s">
        <v>13152</v>
      </c>
      <c r="L79" s="10" t="s">
        <v>13153</v>
      </c>
    </row>
    <row r="80">
      <c r="A80" s="2" t="s">
        <v>5604</v>
      </c>
      <c r="B80" s="2" t="s">
        <v>13154</v>
      </c>
      <c r="C80" s="2">
        <v>3.284673215E9</v>
      </c>
      <c r="D80" s="2" t="s">
        <v>13155</v>
      </c>
      <c r="E80" s="2">
        <v>25804.0</v>
      </c>
      <c r="F80" s="2">
        <v>184.0</v>
      </c>
      <c r="G80" s="2">
        <v>12.0</v>
      </c>
      <c r="H80" s="2" t="s">
        <v>5905</v>
      </c>
      <c r="I80" s="2" t="s">
        <v>5906</v>
      </c>
      <c r="K80" s="2" t="s">
        <v>13156</v>
      </c>
    </row>
    <row r="81">
      <c r="A81" s="2" t="s">
        <v>5791</v>
      </c>
      <c r="B81" s="2" t="s">
        <v>13157</v>
      </c>
      <c r="C81" s="2">
        <v>9.266968974E9</v>
      </c>
      <c r="D81" s="2" t="s">
        <v>13158</v>
      </c>
      <c r="E81" s="2">
        <v>2025854.0</v>
      </c>
      <c r="F81" s="2">
        <v>46.0</v>
      </c>
      <c r="G81" s="2">
        <v>26.0</v>
      </c>
      <c r="H81" s="2" t="s">
        <v>5906</v>
      </c>
      <c r="I81" s="2" t="s">
        <v>5905</v>
      </c>
      <c r="J81" s="2" t="s">
        <v>5959</v>
      </c>
      <c r="K81" s="2" t="s">
        <v>13159</v>
      </c>
      <c r="L81" s="10" t="s">
        <v>13160</v>
      </c>
    </row>
    <row r="82">
      <c r="A82" s="2" t="s">
        <v>5791</v>
      </c>
      <c r="B82" s="2" t="s">
        <v>13161</v>
      </c>
      <c r="C82" s="2">
        <v>4.3485912464E10</v>
      </c>
      <c r="D82" s="2" t="s">
        <v>13162</v>
      </c>
      <c r="E82" s="2">
        <v>1165654.0</v>
      </c>
      <c r="F82" s="2">
        <v>713.0</v>
      </c>
      <c r="G82" s="2">
        <v>293.0</v>
      </c>
      <c r="H82" s="2" t="s">
        <v>5905</v>
      </c>
      <c r="I82" s="2" t="s">
        <v>5906</v>
      </c>
      <c r="J82" s="2" t="s">
        <v>6354</v>
      </c>
      <c r="K82" s="2" t="s">
        <v>13163</v>
      </c>
      <c r="L82" s="10" t="s">
        <v>13164</v>
      </c>
    </row>
    <row r="83">
      <c r="A83" s="2" t="s">
        <v>5791</v>
      </c>
      <c r="B83" s="2" t="s">
        <v>13165</v>
      </c>
      <c r="C83" s="2">
        <v>4.221030147E9</v>
      </c>
      <c r="D83" s="2" t="s">
        <v>13162</v>
      </c>
      <c r="E83" s="2">
        <v>844897.0</v>
      </c>
      <c r="F83" s="2">
        <v>358.0</v>
      </c>
      <c r="G83" s="2">
        <v>379.0</v>
      </c>
      <c r="H83" s="2" t="s">
        <v>5905</v>
      </c>
      <c r="I83" s="2" t="s">
        <v>5905</v>
      </c>
      <c r="J83" s="2" t="s">
        <v>6414</v>
      </c>
      <c r="K83" s="2" t="s">
        <v>13166</v>
      </c>
      <c r="L83" s="10" t="s">
        <v>13164</v>
      </c>
    </row>
    <row r="84">
      <c r="A84" s="2" t="s">
        <v>5808</v>
      </c>
      <c r="B84" s="2" t="s">
        <v>13167</v>
      </c>
      <c r="C84" s="2">
        <v>1.79298492E8</v>
      </c>
      <c r="D84" s="2" t="s">
        <v>13168</v>
      </c>
      <c r="E84" s="2">
        <v>639697.0</v>
      </c>
      <c r="F84" s="2">
        <v>2615.0</v>
      </c>
      <c r="G84" s="2">
        <v>382.0</v>
      </c>
      <c r="H84" s="2" t="s">
        <v>5906</v>
      </c>
      <c r="I84" s="2" t="s">
        <v>5905</v>
      </c>
      <c r="J84" s="2" t="s">
        <v>5993</v>
      </c>
      <c r="K84" s="2" t="s">
        <v>13169</v>
      </c>
      <c r="L84" s="10" t="s">
        <v>13170</v>
      </c>
    </row>
    <row r="85">
      <c r="A85" s="2" t="s">
        <v>5808</v>
      </c>
      <c r="B85" s="2" t="s">
        <v>13171</v>
      </c>
      <c r="C85" s="2">
        <v>5395721.0</v>
      </c>
      <c r="D85" s="2" t="s">
        <v>13167</v>
      </c>
      <c r="E85" s="2">
        <v>673549.0</v>
      </c>
      <c r="F85" s="2">
        <v>1560.0</v>
      </c>
      <c r="G85" s="2">
        <v>1261.0</v>
      </c>
      <c r="H85" s="2" t="s">
        <v>5905</v>
      </c>
      <c r="I85" s="2" t="s">
        <v>5905</v>
      </c>
      <c r="J85" s="2" t="s">
        <v>5959</v>
      </c>
      <c r="K85" s="2" t="s">
        <v>13172</v>
      </c>
      <c r="L85" s="10" t="s">
        <v>13173</v>
      </c>
    </row>
    <row r="86">
      <c r="A86" s="2" t="s">
        <v>5808</v>
      </c>
      <c r="B86" s="2" t="s">
        <v>13174</v>
      </c>
      <c r="C86" s="2">
        <v>5.6351687656E10</v>
      </c>
      <c r="D86" s="2" t="s">
        <v>13175</v>
      </c>
      <c r="E86" s="2">
        <v>2527244.0</v>
      </c>
      <c r="F86" s="2">
        <v>22.0</v>
      </c>
      <c r="G86" s="2">
        <v>1173.0</v>
      </c>
      <c r="H86" s="2" t="s">
        <v>5906</v>
      </c>
      <c r="I86" s="2" t="s">
        <v>5906</v>
      </c>
      <c r="J86" s="2" t="s">
        <v>5959</v>
      </c>
      <c r="K86" s="2" t="s">
        <v>13176</v>
      </c>
      <c r="L86" s="10" t="s">
        <v>13177</v>
      </c>
    </row>
    <row r="87">
      <c r="A87" s="2" t="s">
        <v>5808</v>
      </c>
      <c r="B87" s="2" t="s">
        <v>13178</v>
      </c>
      <c r="C87" s="2">
        <v>2.10746792E8</v>
      </c>
      <c r="D87" s="2" t="s">
        <v>13179</v>
      </c>
      <c r="E87" s="2">
        <v>2.0557422E7</v>
      </c>
      <c r="F87" s="2">
        <v>383.0</v>
      </c>
      <c r="G87" s="2">
        <v>2022.0</v>
      </c>
      <c r="H87" s="2" t="s">
        <v>5906</v>
      </c>
      <c r="I87" s="2" t="s">
        <v>5905</v>
      </c>
      <c r="J87" s="2" t="s">
        <v>8604</v>
      </c>
      <c r="K87" s="2" t="s">
        <v>13180</v>
      </c>
    </row>
    <row r="88">
      <c r="A88" s="2" t="s">
        <v>5809</v>
      </c>
      <c r="B88" s="2" t="s">
        <v>13181</v>
      </c>
      <c r="C88" s="2">
        <v>1.2690345E7</v>
      </c>
      <c r="D88" s="2" t="s">
        <v>13182</v>
      </c>
      <c r="E88" s="2">
        <v>78876.0</v>
      </c>
      <c r="F88" s="2">
        <v>1375.0</v>
      </c>
      <c r="G88" s="2">
        <v>2932.0</v>
      </c>
      <c r="H88" s="2" t="s">
        <v>5906</v>
      </c>
      <c r="I88" s="2" t="s">
        <v>5905</v>
      </c>
      <c r="J88" s="2" t="s">
        <v>5959</v>
      </c>
      <c r="K88" s="2" t="s">
        <v>13183</v>
      </c>
      <c r="L88" s="10" t="s">
        <v>13184</v>
      </c>
    </row>
    <row r="89">
      <c r="A89" s="2" t="s">
        <v>5809</v>
      </c>
      <c r="B89" s="2" t="s">
        <v>13185</v>
      </c>
      <c r="C89" s="2">
        <v>4.40247768E8</v>
      </c>
      <c r="D89" s="2" t="s">
        <v>13186</v>
      </c>
      <c r="E89" s="2">
        <v>307485.0</v>
      </c>
      <c r="F89" s="2">
        <v>2272.0</v>
      </c>
      <c r="G89" s="2">
        <v>3356.0</v>
      </c>
      <c r="H89" s="2" t="s">
        <v>5906</v>
      </c>
      <c r="I89" s="2" t="s">
        <v>5905</v>
      </c>
      <c r="J89" s="2" t="s">
        <v>5993</v>
      </c>
      <c r="K89" s="2" t="s">
        <v>13187</v>
      </c>
      <c r="L89" s="10" t="s">
        <v>13188</v>
      </c>
    </row>
    <row r="90">
      <c r="A90" s="2" t="s">
        <v>5809</v>
      </c>
      <c r="B90" s="2" t="s">
        <v>13189</v>
      </c>
      <c r="C90" s="2">
        <v>3.1976592392E10</v>
      </c>
      <c r="D90" s="2" t="s">
        <v>13190</v>
      </c>
      <c r="E90" s="2">
        <v>147136.0</v>
      </c>
      <c r="F90" s="2">
        <v>46.0</v>
      </c>
      <c r="G90" s="2">
        <v>171.0</v>
      </c>
      <c r="H90" s="2" t="s">
        <v>5906</v>
      </c>
      <c r="I90" s="2" t="s">
        <v>5905</v>
      </c>
      <c r="J90" s="2" t="s">
        <v>5928</v>
      </c>
      <c r="K90" s="2" t="s">
        <v>13191</v>
      </c>
      <c r="L90" s="10" t="s">
        <v>13192</v>
      </c>
    </row>
    <row r="91">
      <c r="A91" s="2" t="s">
        <v>5809</v>
      </c>
      <c r="B91" s="2" t="s">
        <v>13193</v>
      </c>
      <c r="C91" s="2">
        <v>6.0440272017E10</v>
      </c>
      <c r="D91" s="2" t="s">
        <v>13194</v>
      </c>
      <c r="E91" s="2">
        <v>20776.0</v>
      </c>
      <c r="F91" s="2">
        <v>6.0</v>
      </c>
      <c r="G91" s="2">
        <v>125.0</v>
      </c>
      <c r="H91" s="2" t="s">
        <v>5906</v>
      </c>
      <c r="I91" s="2" t="s">
        <v>5905</v>
      </c>
      <c r="J91" s="2" t="s">
        <v>6027</v>
      </c>
      <c r="K91" s="2" t="s">
        <v>13195</v>
      </c>
      <c r="L91" s="10" t="s">
        <v>13196</v>
      </c>
    </row>
    <row r="92">
      <c r="A92" s="2" t="s">
        <v>5810</v>
      </c>
      <c r="B92" s="2" t="s">
        <v>13197</v>
      </c>
      <c r="C92" s="2">
        <v>7.231588468E9</v>
      </c>
      <c r="D92" s="2" t="s">
        <v>13198</v>
      </c>
      <c r="E92" s="2">
        <v>377379.0</v>
      </c>
      <c r="F92" s="2">
        <v>1325.0</v>
      </c>
      <c r="G92" s="2">
        <v>2428.0</v>
      </c>
      <c r="H92" s="2" t="s">
        <v>5906</v>
      </c>
      <c r="I92" s="2" t="s">
        <v>5905</v>
      </c>
      <c r="J92" s="2" t="s">
        <v>13199</v>
      </c>
      <c r="K92" s="2" t="s">
        <v>13200</v>
      </c>
    </row>
    <row r="93">
      <c r="A93" s="2" t="s">
        <v>5810</v>
      </c>
      <c r="B93" s="2" t="s">
        <v>13201</v>
      </c>
      <c r="C93" s="2">
        <v>1.45550766E8</v>
      </c>
      <c r="D93" s="2" t="s">
        <v>5810</v>
      </c>
      <c r="E93" s="2">
        <v>411163.0</v>
      </c>
      <c r="F93" s="2">
        <v>25.0</v>
      </c>
      <c r="G93" s="2">
        <v>4218.0</v>
      </c>
      <c r="H93" s="2" t="s">
        <v>5905</v>
      </c>
      <c r="I93" s="2" t="s">
        <v>5905</v>
      </c>
      <c r="J93" s="2" t="s">
        <v>5993</v>
      </c>
      <c r="K93" s="2" t="s">
        <v>13202</v>
      </c>
    </row>
    <row r="94">
      <c r="A94" s="2" t="s">
        <v>5810</v>
      </c>
      <c r="B94" s="2" t="s">
        <v>13203</v>
      </c>
      <c r="C94" s="2">
        <v>1.7399094E7</v>
      </c>
      <c r="D94" s="2" t="s">
        <v>13204</v>
      </c>
      <c r="E94" s="2">
        <v>1.8044575E7</v>
      </c>
      <c r="F94" s="2">
        <v>931.0</v>
      </c>
      <c r="G94" s="2">
        <v>242.0</v>
      </c>
      <c r="H94" s="2" t="s">
        <v>5906</v>
      </c>
      <c r="I94" s="2" t="s">
        <v>5905</v>
      </c>
      <c r="J94" s="2" t="s">
        <v>5993</v>
      </c>
      <c r="K94" s="2" t="s">
        <v>13205</v>
      </c>
      <c r="L94" s="10" t="s">
        <v>13206</v>
      </c>
    </row>
    <row r="95">
      <c r="A95" s="2" t="s">
        <v>5810</v>
      </c>
      <c r="B95" s="2" t="s">
        <v>13207</v>
      </c>
      <c r="C95" s="2">
        <v>1.9721256E7</v>
      </c>
      <c r="D95" s="2" t="s">
        <v>13208</v>
      </c>
      <c r="E95" s="2">
        <v>14481.0</v>
      </c>
      <c r="F95" s="2">
        <v>212.0</v>
      </c>
      <c r="G95" s="2">
        <v>6.0</v>
      </c>
      <c r="H95" s="2" t="s">
        <v>5905</v>
      </c>
      <c r="I95" s="2" t="s">
        <v>5905</v>
      </c>
      <c r="K95" s="2" t="s">
        <v>13209</v>
      </c>
    </row>
    <row r="96">
      <c r="A96" s="2" t="s">
        <v>5811</v>
      </c>
      <c r="B96" s="2" t="s">
        <v>13210</v>
      </c>
      <c r="C96" s="2">
        <v>2.46043919E8</v>
      </c>
      <c r="D96" s="2" t="s">
        <v>13211</v>
      </c>
      <c r="E96" s="2">
        <v>920383.0</v>
      </c>
      <c r="F96" s="2">
        <v>899.0</v>
      </c>
      <c r="G96" s="2">
        <v>547.0</v>
      </c>
      <c r="H96" s="2" t="s">
        <v>5906</v>
      </c>
      <c r="I96" s="2" t="s">
        <v>5905</v>
      </c>
      <c r="J96" s="2" t="s">
        <v>5959</v>
      </c>
      <c r="K96" s="2" t="s">
        <v>13212</v>
      </c>
      <c r="L96" s="10" t="s">
        <v>13213</v>
      </c>
    </row>
    <row r="97">
      <c r="A97" s="2" t="s">
        <v>5811</v>
      </c>
      <c r="B97" s="2" t="s">
        <v>13214</v>
      </c>
      <c r="C97" s="2">
        <v>2.03367903E8</v>
      </c>
      <c r="D97" s="2" t="s">
        <v>13215</v>
      </c>
      <c r="E97" s="2">
        <v>27165.0</v>
      </c>
      <c r="F97" s="2">
        <v>1996.0</v>
      </c>
      <c r="G97" s="2">
        <v>47.0</v>
      </c>
      <c r="H97" s="2" t="s">
        <v>5905</v>
      </c>
      <c r="I97" s="2" t="s">
        <v>5906</v>
      </c>
      <c r="J97" s="2" t="s">
        <v>5993</v>
      </c>
      <c r="L97" s="10" t="s">
        <v>13216</v>
      </c>
    </row>
    <row r="98">
      <c r="A98" s="2" t="s">
        <v>5812</v>
      </c>
      <c r="B98" s="2" t="s">
        <v>13217</v>
      </c>
      <c r="C98" s="2">
        <v>1.149385705E9</v>
      </c>
      <c r="D98" s="2" t="s">
        <v>5812</v>
      </c>
      <c r="E98" s="2">
        <v>4081235.0</v>
      </c>
      <c r="F98" s="2">
        <v>277.0</v>
      </c>
      <c r="G98" s="2">
        <v>387.0</v>
      </c>
      <c r="H98" s="2" t="s">
        <v>5906</v>
      </c>
      <c r="I98" s="2" t="s">
        <v>5905</v>
      </c>
      <c r="J98" s="2" t="s">
        <v>6414</v>
      </c>
      <c r="K98" s="2" t="s">
        <v>13218</v>
      </c>
      <c r="L98" s="10" t="s">
        <v>13219</v>
      </c>
    </row>
    <row r="99">
      <c r="A99" s="2" t="s">
        <v>5812</v>
      </c>
      <c r="B99" s="2" t="s">
        <v>13220</v>
      </c>
      <c r="C99" s="2">
        <v>3.226586821E9</v>
      </c>
      <c r="D99" s="2" t="s">
        <v>13221</v>
      </c>
      <c r="E99" s="2">
        <v>40518.0</v>
      </c>
      <c r="F99" s="2">
        <v>7.0</v>
      </c>
      <c r="G99" s="2">
        <v>719.0</v>
      </c>
      <c r="H99" s="2" t="s">
        <v>5905</v>
      </c>
      <c r="I99" s="2" t="s">
        <v>5906</v>
      </c>
      <c r="J99" s="2" t="s">
        <v>13222</v>
      </c>
      <c r="K99" s="2" t="s">
        <v>13223</v>
      </c>
    </row>
    <row r="100">
      <c r="A100" s="2" t="s">
        <v>5813</v>
      </c>
      <c r="B100" s="2" t="s">
        <v>13224</v>
      </c>
      <c r="C100" s="2">
        <v>2.38501642E8</v>
      </c>
      <c r="D100" s="2" t="s">
        <v>13225</v>
      </c>
      <c r="E100" s="2">
        <v>1.9368933E7</v>
      </c>
      <c r="F100" s="2">
        <v>2850.0</v>
      </c>
      <c r="G100" s="2">
        <v>8071.0</v>
      </c>
      <c r="H100" s="2" t="s">
        <v>5906</v>
      </c>
      <c r="I100" s="2" t="s">
        <v>5905</v>
      </c>
      <c r="J100" s="2" t="s">
        <v>6414</v>
      </c>
      <c r="K100" s="2" t="s">
        <v>13226</v>
      </c>
      <c r="L100" s="10" t="s">
        <v>13227</v>
      </c>
    </row>
    <row r="101">
      <c r="A101" s="2" t="s">
        <v>5813</v>
      </c>
      <c r="B101" s="2" t="s">
        <v>13228</v>
      </c>
      <c r="C101" s="2">
        <v>2.80908452E8</v>
      </c>
      <c r="D101" s="2" t="s">
        <v>13229</v>
      </c>
      <c r="E101" s="2">
        <v>38793.0</v>
      </c>
      <c r="F101" s="2">
        <v>3165.0</v>
      </c>
      <c r="G101" s="2">
        <v>27.0</v>
      </c>
      <c r="H101" s="2" t="s">
        <v>5906</v>
      </c>
      <c r="I101" s="2" t="s">
        <v>5905</v>
      </c>
      <c r="J101" s="2" t="s">
        <v>6393</v>
      </c>
      <c r="K101" s="2" t="s">
        <v>13230</v>
      </c>
      <c r="L101" s="10" t="s">
        <v>13231</v>
      </c>
    </row>
    <row r="102">
      <c r="A102" s="2" t="s">
        <v>5707</v>
      </c>
      <c r="B102" s="2" t="s">
        <v>13232</v>
      </c>
      <c r="C102" s="2">
        <v>3000.0</v>
      </c>
      <c r="D102" s="2" t="s">
        <v>13233</v>
      </c>
      <c r="E102" s="2">
        <v>13024.0</v>
      </c>
      <c r="F102" s="2">
        <v>916.0</v>
      </c>
      <c r="G102" s="2">
        <v>11.0</v>
      </c>
      <c r="H102" s="2" t="s">
        <v>5905</v>
      </c>
      <c r="I102" s="2" t="s">
        <v>5905</v>
      </c>
    </row>
    <row r="103">
      <c r="A103" s="2" t="s">
        <v>5707</v>
      </c>
      <c r="B103" s="2" t="s">
        <v>13234</v>
      </c>
      <c r="C103" s="2">
        <v>1.437529575E9</v>
      </c>
      <c r="D103" s="2" t="s">
        <v>13235</v>
      </c>
      <c r="E103" s="2">
        <v>4.2841298E7</v>
      </c>
      <c r="F103" s="2">
        <v>624.0</v>
      </c>
      <c r="G103" s="2">
        <v>229.0</v>
      </c>
      <c r="H103" s="2" t="s">
        <v>5906</v>
      </c>
      <c r="I103" s="2" t="s">
        <v>5905</v>
      </c>
      <c r="J103" s="2" t="s">
        <v>5391</v>
      </c>
      <c r="K103" s="2" t="s">
        <v>13236</v>
      </c>
      <c r="L103" s="10" t="s">
        <v>13237</v>
      </c>
    </row>
    <row r="104">
      <c r="A104" s="2" t="s">
        <v>5705</v>
      </c>
      <c r="B104" s="2" t="s">
        <v>13238</v>
      </c>
      <c r="C104" s="2">
        <v>8.634578345E9</v>
      </c>
      <c r="D104" s="2" t="s">
        <v>13239</v>
      </c>
      <c r="E104" s="2">
        <v>478159.0</v>
      </c>
      <c r="F104" s="2">
        <v>2.0</v>
      </c>
      <c r="G104" s="2">
        <v>328.0</v>
      </c>
      <c r="H104" s="2" t="s">
        <v>5905</v>
      </c>
      <c r="I104" s="2" t="s">
        <v>5906</v>
      </c>
      <c r="J104" s="2" t="s">
        <v>5561</v>
      </c>
      <c r="K104" s="2" t="s">
        <v>13240</v>
      </c>
      <c r="L104" s="10" t="s">
        <v>13241</v>
      </c>
    </row>
    <row r="105">
      <c r="A105" s="2" t="s">
        <v>5705</v>
      </c>
      <c r="B105" s="2" t="s">
        <v>13242</v>
      </c>
      <c r="C105" s="2">
        <v>4.5245071354E10</v>
      </c>
      <c r="E105" s="2">
        <v>712119.0</v>
      </c>
      <c r="F105" s="2">
        <v>46.0</v>
      </c>
      <c r="G105" s="2">
        <v>691.0</v>
      </c>
      <c r="H105" s="2" t="s">
        <v>5905</v>
      </c>
      <c r="I105" s="2" t="s">
        <v>5905</v>
      </c>
      <c r="J105" s="2" t="s">
        <v>6171</v>
      </c>
      <c r="K105" s="2" t="s">
        <v>13243</v>
      </c>
    </row>
    <row r="106">
      <c r="A106" s="2" t="s">
        <v>5705</v>
      </c>
      <c r="B106" s="2" t="s">
        <v>13244</v>
      </c>
      <c r="C106" s="2">
        <v>1.5941115E7</v>
      </c>
      <c r="D106" s="2" t="s">
        <v>13245</v>
      </c>
      <c r="E106" s="2">
        <v>1215196.0</v>
      </c>
      <c r="F106" s="2">
        <v>1309.0</v>
      </c>
      <c r="G106" s="2">
        <v>324.0</v>
      </c>
      <c r="H106" s="2" t="s">
        <v>5906</v>
      </c>
      <c r="I106" s="2" t="s">
        <v>5905</v>
      </c>
      <c r="J106" s="2" t="s">
        <v>6124</v>
      </c>
      <c r="K106" s="2" t="s">
        <v>13246</v>
      </c>
      <c r="L106" s="10" t="s">
        <v>13247</v>
      </c>
    </row>
    <row r="107">
      <c r="A107" s="2" t="s">
        <v>5705</v>
      </c>
      <c r="B107" s="2" t="s">
        <v>13248</v>
      </c>
      <c r="C107" s="2">
        <v>2.3729504E7</v>
      </c>
      <c r="D107" s="2" t="s">
        <v>13249</v>
      </c>
      <c r="E107" s="2">
        <v>65911.0</v>
      </c>
      <c r="F107" s="2">
        <v>6933.0</v>
      </c>
      <c r="G107" s="2">
        <v>2073.0</v>
      </c>
      <c r="H107" s="2" t="s">
        <v>5906</v>
      </c>
      <c r="I107" s="2" t="s">
        <v>5906</v>
      </c>
      <c r="J107" s="2" t="s">
        <v>6124</v>
      </c>
      <c r="K107" s="2" t="s">
        <v>13250</v>
      </c>
      <c r="L107" s="10" t="s">
        <v>13251</v>
      </c>
    </row>
    <row r="108">
      <c r="A108" s="2" t="s">
        <v>5814</v>
      </c>
      <c r="B108" s="2" t="s">
        <v>2306</v>
      </c>
      <c r="C108" s="2">
        <v>1.1666736E7</v>
      </c>
      <c r="D108" s="2" t="s">
        <v>13252</v>
      </c>
      <c r="E108" s="2">
        <v>6037132.0</v>
      </c>
      <c r="F108" s="2">
        <v>758.0</v>
      </c>
      <c r="G108" s="2">
        <v>417.0</v>
      </c>
      <c r="H108" s="2" t="s">
        <v>5906</v>
      </c>
      <c r="I108" s="2" t="s">
        <v>5906</v>
      </c>
      <c r="J108" s="2" t="s">
        <v>5993</v>
      </c>
      <c r="K108" s="2" t="s">
        <v>13253</v>
      </c>
      <c r="L108" s="10" t="s">
        <v>13254</v>
      </c>
    </row>
    <row r="109">
      <c r="A109" s="2" t="s">
        <v>5814</v>
      </c>
      <c r="B109" s="2" t="s">
        <v>13255</v>
      </c>
      <c r="C109" s="2">
        <v>2279522.0</v>
      </c>
      <c r="D109" s="2" t="s">
        <v>13256</v>
      </c>
      <c r="E109" s="2">
        <v>196114.0</v>
      </c>
      <c r="F109" s="2">
        <v>1120.0</v>
      </c>
      <c r="G109" s="2">
        <v>520.0</v>
      </c>
      <c r="H109" s="2" t="s">
        <v>5905</v>
      </c>
      <c r="I109" s="2" t="s">
        <v>5905</v>
      </c>
      <c r="J109" s="2" t="s">
        <v>6414</v>
      </c>
      <c r="K109" s="2" t="s">
        <v>13257</v>
      </c>
      <c r="L109" s="10" t="s">
        <v>13258</v>
      </c>
    </row>
    <row r="110">
      <c r="A110" s="2" t="s">
        <v>5814</v>
      </c>
      <c r="B110" s="2" t="s">
        <v>13259</v>
      </c>
      <c r="C110" s="2">
        <v>8079937.0</v>
      </c>
      <c r="D110" s="2" t="s">
        <v>13260</v>
      </c>
      <c r="E110" s="2">
        <v>3194070.0</v>
      </c>
      <c r="F110" s="2">
        <v>0.0</v>
      </c>
      <c r="G110" s="2">
        <v>9810.0</v>
      </c>
      <c r="H110" s="2" t="s">
        <v>5906</v>
      </c>
      <c r="I110" s="2" t="s">
        <v>5906</v>
      </c>
      <c r="L110" s="10" t="s">
        <v>13261</v>
      </c>
    </row>
    <row r="111">
      <c r="A111" s="2" t="s">
        <v>5814</v>
      </c>
      <c r="B111" s="2" t="s">
        <v>13262</v>
      </c>
      <c r="C111" s="2">
        <v>8.500295626E9</v>
      </c>
      <c r="D111" s="2" t="s">
        <v>13263</v>
      </c>
      <c r="E111" s="2">
        <v>160488.0</v>
      </c>
      <c r="F111" s="2">
        <v>1141.0</v>
      </c>
      <c r="G111" s="2">
        <v>337.0</v>
      </c>
      <c r="H111" s="2" t="s">
        <v>5906</v>
      </c>
      <c r="I111" s="2" t="s">
        <v>5905</v>
      </c>
      <c r="J111" s="2" t="s">
        <v>6414</v>
      </c>
      <c r="K111" s="2" t="s">
        <v>13264</v>
      </c>
      <c r="L111" s="10" t="s">
        <v>13265</v>
      </c>
    </row>
    <row r="112">
      <c r="A112" s="2" t="s">
        <v>5815</v>
      </c>
      <c r="B112" s="2" t="s">
        <v>13266</v>
      </c>
      <c r="C112" s="2">
        <v>5.01391458E8</v>
      </c>
      <c r="D112" s="2" t="s">
        <v>13267</v>
      </c>
      <c r="E112" s="2">
        <v>510306.0</v>
      </c>
      <c r="F112" s="2">
        <v>1862.0</v>
      </c>
      <c r="G112" s="2">
        <v>3687.0</v>
      </c>
      <c r="H112" s="2" t="s">
        <v>5906</v>
      </c>
      <c r="I112" s="2" t="s">
        <v>5905</v>
      </c>
      <c r="J112" s="2" t="s">
        <v>5993</v>
      </c>
      <c r="K112" s="2" t="s">
        <v>13268</v>
      </c>
      <c r="L112" s="10" t="s">
        <v>13269</v>
      </c>
    </row>
    <row r="113">
      <c r="A113" s="2" t="s">
        <v>5815</v>
      </c>
      <c r="B113" s="2" t="s">
        <v>13270</v>
      </c>
      <c r="C113" s="2">
        <v>2.38553441E8</v>
      </c>
      <c r="D113" s="2" t="s">
        <v>13266</v>
      </c>
      <c r="E113" s="2">
        <v>251341.0</v>
      </c>
      <c r="F113" s="2">
        <v>333.0</v>
      </c>
      <c r="G113" s="2">
        <v>2409.0</v>
      </c>
      <c r="H113" s="2" t="s">
        <v>5906</v>
      </c>
      <c r="I113" s="2" t="s">
        <v>5905</v>
      </c>
      <c r="J113" s="2" t="s">
        <v>5959</v>
      </c>
      <c r="K113" s="2" t="s">
        <v>13271</v>
      </c>
      <c r="L113" s="10" t="s">
        <v>13272</v>
      </c>
    </row>
    <row r="114">
      <c r="A114" s="2" t="s">
        <v>5815</v>
      </c>
      <c r="B114" s="2" t="s">
        <v>13273</v>
      </c>
      <c r="C114" s="2">
        <v>1.7940935E7</v>
      </c>
      <c r="D114" s="2" t="s">
        <v>13274</v>
      </c>
      <c r="E114" s="2">
        <v>140499.0</v>
      </c>
      <c r="F114" s="2">
        <v>1346.0</v>
      </c>
      <c r="G114" s="2">
        <v>5428.0</v>
      </c>
      <c r="H114" s="2" t="s">
        <v>5906</v>
      </c>
      <c r="I114" s="2" t="s">
        <v>5906</v>
      </c>
      <c r="J114" s="2" t="s">
        <v>5492</v>
      </c>
      <c r="K114" s="2" t="s">
        <v>13275</v>
      </c>
      <c r="L114" s="10" t="s">
        <v>13276</v>
      </c>
    </row>
    <row r="115">
      <c r="A115" s="2" t="s">
        <v>5690</v>
      </c>
      <c r="B115" s="2" t="s">
        <v>13277</v>
      </c>
      <c r="C115" s="2">
        <v>1.447514128E9</v>
      </c>
      <c r="D115" s="2" t="s">
        <v>5690</v>
      </c>
      <c r="E115" s="2">
        <v>10646.0</v>
      </c>
      <c r="F115" s="2">
        <v>2761.0</v>
      </c>
      <c r="G115" s="2">
        <v>69.0</v>
      </c>
      <c r="H115" s="2" t="s">
        <v>5906</v>
      </c>
      <c r="I115" s="2" t="s">
        <v>5905</v>
      </c>
      <c r="J115" s="2" t="s">
        <v>5959</v>
      </c>
      <c r="K115" s="2" t="s">
        <v>13278</v>
      </c>
      <c r="L115" s="10" t="s">
        <v>13279</v>
      </c>
    </row>
    <row r="116">
      <c r="A116" s="2" t="s">
        <v>5690</v>
      </c>
      <c r="B116" s="2" t="s">
        <v>13280</v>
      </c>
      <c r="C116" s="2">
        <v>1.104715078E10</v>
      </c>
      <c r="D116" s="2" t="s">
        <v>5690</v>
      </c>
      <c r="E116" s="2">
        <v>393567.0</v>
      </c>
      <c r="F116" s="2">
        <v>674.0</v>
      </c>
      <c r="G116" s="2">
        <v>927.0</v>
      </c>
      <c r="H116" s="2" t="s">
        <v>5906</v>
      </c>
      <c r="I116" s="2" t="s">
        <v>5905</v>
      </c>
      <c r="J116" s="2" t="s">
        <v>5492</v>
      </c>
    </row>
    <row r="117">
      <c r="A117" s="2" t="s">
        <v>5690</v>
      </c>
      <c r="B117" s="2" t="s">
        <v>13281</v>
      </c>
      <c r="C117" s="2">
        <v>7.30821906E9</v>
      </c>
      <c r="D117" s="2" t="s">
        <v>13282</v>
      </c>
      <c r="E117" s="2">
        <v>1017060.0</v>
      </c>
      <c r="F117" s="2">
        <v>2015.0</v>
      </c>
      <c r="G117" s="2">
        <v>996.0</v>
      </c>
      <c r="H117" s="2" t="s">
        <v>5906</v>
      </c>
      <c r="I117" s="2" t="s">
        <v>5905</v>
      </c>
      <c r="J117" s="2" t="s">
        <v>7543</v>
      </c>
      <c r="K117" s="2" t="s">
        <v>13283</v>
      </c>
      <c r="L117" s="10" t="s">
        <v>13284</v>
      </c>
    </row>
    <row r="118">
      <c r="A118" s="2" t="s">
        <v>5690</v>
      </c>
      <c r="B118" s="2" t="s">
        <v>13285</v>
      </c>
      <c r="C118" s="2">
        <v>1.789992108E9</v>
      </c>
      <c r="D118" s="2" t="s">
        <v>13286</v>
      </c>
      <c r="E118" s="2">
        <v>231574.0</v>
      </c>
      <c r="F118" s="2">
        <v>291.0</v>
      </c>
      <c r="G118" s="2">
        <v>218.0</v>
      </c>
      <c r="H118" s="2" t="s">
        <v>5906</v>
      </c>
      <c r="I118" s="2" t="s">
        <v>5906</v>
      </c>
      <c r="K118" s="2" t="s">
        <v>13287</v>
      </c>
      <c r="L118" s="10" t="s">
        <v>13288</v>
      </c>
    </row>
    <row r="119">
      <c r="A119" s="2" t="s">
        <v>5690</v>
      </c>
      <c r="B119" s="2" t="s">
        <v>13289</v>
      </c>
      <c r="C119" s="2">
        <v>5.8895751321E10</v>
      </c>
      <c r="D119" s="2" t="s">
        <v>13290</v>
      </c>
      <c r="E119" s="2">
        <v>2337346.0</v>
      </c>
      <c r="F119" s="2">
        <v>21.0</v>
      </c>
      <c r="G119" s="2">
        <v>1440.0</v>
      </c>
      <c r="H119" s="2" t="s">
        <v>5905</v>
      </c>
      <c r="I119" s="2" t="s">
        <v>5905</v>
      </c>
      <c r="J119" s="2" t="s">
        <v>5492</v>
      </c>
      <c r="L119" s="10" t="s">
        <v>13291</v>
      </c>
    </row>
    <row r="120">
      <c r="A120" s="2" t="s">
        <v>5690</v>
      </c>
      <c r="B120" s="2" t="s">
        <v>13292</v>
      </c>
      <c r="C120" s="2">
        <v>4.466404769E9</v>
      </c>
      <c r="D120" s="2" t="s">
        <v>13293</v>
      </c>
      <c r="E120" s="2">
        <v>217341.0</v>
      </c>
      <c r="F120" s="2">
        <v>618.0</v>
      </c>
      <c r="G120" s="2">
        <v>1183.0</v>
      </c>
      <c r="H120" s="2" t="s">
        <v>5906</v>
      </c>
      <c r="I120" s="2" t="s">
        <v>5905</v>
      </c>
      <c r="J120" s="2" t="s">
        <v>5485</v>
      </c>
      <c r="K120" s="2" t="s">
        <v>13294</v>
      </c>
      <c r="L120" s="10" t="s">
        <v>13295</v>
      </c>
    </row>
    <row r="121">
      <c r="A121" s="2" t="s">
        <v>5690</v>
      </c>
      <c r="B121" s="2" t="s">
        <v>13296</v>
      </c>
      <c r="C121" s="2">
        <v>1.84965137E8</v>
      </c>
      <c r="D121" s="2" t="s">
        <v>13297</v>
      </c>
      <c r="E121" s="2">
        <v>52951.0</v>
      </c>
      <c r="F121" s="2">
        <v>726.0</v>
      </c>
      <c r="G121" s="2">
        <v>292.0</v>
      </c>
      <c r="H121" s="2" t="s">
        <v>5905</v>
      </c>
      <c r="I121" s="2" t="s">
        <v>5906</v>
      </c>
      <c r="J121" s="2" t="s">
        <v>5928</v>
      </c>
      <c r="K121" s="2" t="s">
        <v>13298</v>
      </c>
      <c r="L121" s="10" t="s">
        <v>13299</v>
      </c>
    </row>
    <row r="122">
      <c r="A122" s="2" t="s">
        <v>5665</v>
      </c>
      <c r="B122" s="2" t="s">
        <v>13300</v>
      </c>
      <c r="C122" s="2">
        <v>73056.0</v>
      </c>
      <c r="D122" s="2" t="s">
        <v>13300</v>
      </c>
      <c r="E122" s="2">
        <v>17147.0</v>
      </c>
      <c r="F122" s="2">
        <v>3331.0</v>
      </c>
      <c r="G122" s="2">
        <v>1552.0</v>
      </c>
      <c r="H122" s="2" t="s">
        <v>5905</v>
      </c>
      <c r="I122" s="2" t="s">
        <v>5905</v>
      </c>
      <c r="J122" s="2" t="s">
        <v>6414</v>
      </c>
      <c r="K122" s="2" t="s">
        <v>13301</v>
      </c>
    </row>
    <row r="123">
      <c r="A123" s="2" t="s">
        <v>5816</v>
      </c>
      <c r="B123" s="2" t="s">
        <v>13302</v>
      </c>
      <c r="C123" s="2">
        <v>8.00141675E8</v>
      </c>
      <c r="D123" s="2" t="s">
        <v>13303</v>
      </c>
      <c r="E123" s="2">
        <v>4660121.0</v>
      </c>
      <c r="F123" s="2">
        <v>944.0</v>
      </c>
      <c r="G123" s="2">
        <v>1122.0</v>
      </c>
      <c r="H123" s="2" t="s">
        <v>5906</v>
      </c>
      <c r="I123" s="2" t="s">
        <v>5905</v>
      </c>
      <c r="J123" s="2" t="s">
        <v>8838</v>
      </c>
      <c r="K123" s="2" t="s">
        <v>13304</v>
      </c>
      <c r="L123" s="10" t="s">
        <v>13305</v>
      </c>
    </row>
    <row r="124">
      <c r="A124" s="2" t="s">
        <v>5816</v>
      </c>
      <c r="B124" s="2" t="s">
        <v>13306</v>
      </c>
      <c r="C124" s="2">
        <v>5.3381214561E10</v>
      </c>
      <c r="D124" s="2" t="s">
        <v>13307</v>
      </c>
      <c r="E124" s="2">
        <v>133043.0</v>
      </c>
      <c r="F124" s="2">
        <v>6763.0</v>
      </c>
      <c r="G124" s="2">
        <v>53.0</v>
      </c>
      <c r="H124" s="2" t="s">
        <v>5905</v>
      </c>
      <c r="I124" s="2" t="s">
        <v>5906</v>
      </c>
      <c r="J124" s="2" t="s">
        <v>5391</v>
      </c>
      <c r="K124" s="2" t="s">
        <v>13308</v>
      </c>
    </row>
    <row r="125">
      <c r="A125" s="2" t="s">
        <v>5816</v>
      </c>
      <c r="B125" s="2" t="s">
        <v>13309</v>
      </c>
      <c r="C125" s="2">
        <v>3.5780446337E10</v>
      </c>
      <c r="D125" s="2" t="s">
        <v>13310</v>
      </c>
      <c r="E125" s="2">
        <v>156691.0</v>
      </c>
      <c r="F125" s="2">
        <v>228.0</v>
      </c>
      <c r="G125" s="2">
        <v>69.0</v>
      </c>
      <c r="H125" s="2" t="s">
        <v>5905</v>
      </c>
      <c r="I125" s="2" t="s">
        <v>5905</v>
      </c>
      <c r="J125" s="2" t="s">
        <v>6002</v>
      </c>
      <c r="K125" s="2" t="s">
        <v>13311</v>
      </c>
    </row>
    <row r="126">
      <c r="A126" s="2" t="s">
        <v>5816</v>
      </c>
      <c r="B126" s="2" t="s">
        <v>13312</v>
      </c>
      <c r="C126" s="2">
        <v>4032621.0</v>
      </c>
      <c r="D126" s="2" t="s">
        <v>13313</v>
      </c>
      <c r="E126" s="2">
        <v>94941.0</v>
      </c>
      <c r="F126" s="2">
        <v>940.0</v>
      </c>
      <c r="G126" s="2">
        <v>395.0</v>
      </c>
      <c r="H126" s="2" t="s">
        <v>5905</v>
      </c>
      <c r="I126" s="2" t="s">
        <v>5905</v>
      </c>
      <c r="J126" s="2" t="s">
        <v>5959</v>
      </c>
      <c r="K126" s="2" t="s">
        <v>13314</v>
      </c>
      <c r="L126" s="10" t="s">
        <v>13315</v>
      </c>
    </row>
    <row r="127">
      <c r="A127" s="2" t="s">
        <v>5816</v>
      </c>
      <c r="B127" s="2" t="s">
        <v>13316</v>
      </c>
      <c r="C127" s="2">
        <v>6.016700448E9</v>
      </c>
      <c r="D127" s="2" t="s">
        <v>13317</v>
      </c>
      <c r="E127" s="2">
        <v>331236.0</v>
      </c>
      <c r="F127" s="2">
        <v>1410.0</v>
      </c>
      <c r="G127" s="2">
        <v>118.0</v>
      </c>
      <c r="H127" s="2" t="s">
        <v>5905</v>
      </c>
      <c r="I127" s="2" t="s">
        <v>5906</v>
      </c>
      <c r="J127" s="2" t="s">
        <v>5993</v>
      </c>
      <c r="K127" s="2" t="s">
        <v>13318</v>
      </c>
      <c r="L127" s="10" t="s">
        <v>13319</v>
      </c>
    </row>
    <row r="128">
      <c r="A128" s="2" t="s">
        <v>5648</v>
      </c>
      <c r="B128" s="2" t="s">
        <v>13320</v>
      </c>
      <c r="C128" s="2">
        <v>1.2637035E7</v>
      </c>
      <c r="D128" s="2" t="s">
        <v>13321</v>
      </c>
      <c r="E128" s="2">
        <v>1883761.0</v>
      </c>
      <c r="F128" s="2">
        <v>774.0</v>
      </c>
      <c r="G128" s="2">
        <v>1506.0</v>
      </c>
      <c r="H128" s="2" t="s">
        <v>5906</v>
      </c>
      <c r="I128" s="2" t="s">
        <v>5906</v>
      </c>
      <c r="K128" s="2" t="s">
        <v>13322</v>
      </c>
      <c r="L128" s="10" t="s">
        <v>13323</v>
      </c>
    </row>
    <row r="129">
      <c r="A129" s="2" t="s">
        <v>5648</v>
      </c>
      <c r="B129" s="2" t="s">
        <v>13324</v>
      </c>
      <c r="C129" s="2">
        <v>1.8538197425E10</v>
      </c>
      <c r="D129" s="2" t="s">
        <v>13320</v>
      </c>
      <c r="E129" s="2">
        <v>2110013.0</v>
      </c>
      <c r="F129" s="2">
        <v>1944.0</v>
      </c>
      <c r="G129" s="2">
        <v>736.0</v>
      </c>
      <c r="H129" s="2" t="s">
        <v>5906</v>
      </c>
      <c r="I129" s="2" t="s">
        <v>5905</v>
      </c>
      <c r="J129" s="2" t="s">
        <v>5928</v>
      </c>
      <c r="K129" s="2" t="s">
        <v>13325</v>
      </c>
      <c r="L129" s="10" t="s">
        <v>13326</v>
      </c>
    </row>
    <row r="130">
      <c r="A130" s="2" t="s">
        <v>5648</v>
      </c>
      <c r="B130" s="2" t="s">
        <v>13327</v>
      </c>
      <c r="C130" s="2">
        <v>1.6920429E7</v>
      </c>
      <c r="D130" s="2" t="s">
        <v>13328</v>
      </c>
      <c r="E130" s="2">
        <v>2156682.0</v>
      </c>
      <c r="F130" s="2">
        <v>359.0</v>
      </c>
      <c r="G130" s="2">
        <v>2065.0</v>
      </c>
      <c r="H130" s="2" t="s">
        <v>5906</v>
      </c>
      <c r="I130" s="2" t="s">
        <v>5905</v>
      </c>
      <c r="J130" s="2" t="s">
        <v>6414</v>
      </c>
      <c r="K130" s="2" t="s">
        <v>13329</v>
      </c>
      <c r="L130" s="10" t="s">
        <v>13330</v>
      </c>
    </row>
    <row r="131">
      <c r="A131" s="2" t="s">
        <v>5670</v>
      </c>
      <c r="B131" s="2" t="s">
        <v>13331</v>
      </c>
      <c r="C131" s="2">
        <v>447485.0</v>
      </c>
      <c r="D131" s="2" t="s">
        <v>13332</v>
      </c>
      <c r="E131" s="2">
        <v>18055.0</v>
      </c>
      <c r="F131" s="2">
        <v>2360.0</v>
      </c>
      <c r="G131" s="2">
        <v>3278.0</v>
      </c>
      <c r="H131" s="2" t="s">
        <v>5906</v>
      </c>
      <c r="I131" s="2" t="s">
        <v>5905</v>
      </c>
      <c r="J131" s="2" t="s">
        <v>5391</v>
      </c>
      <c r="K131" s="2" t="s">
        <v>13333</v>
      </c>
      <c r="L131" s="10" t="s">
        <v>13334</v>
      </c>
    </row>
    <row r="132">
      <c r="A132" s="2" t="s">
        <v>5670</v>
      </c>
      <c r="B132" s="2" t="s">
        <v>13335</v>
      </c>
      <c r="C132" s="2">
        <v>7.760376737E9</v>
      </c>
      <c r="D132" s="2" t="s">
        <v>5670</v>
      </c>
      <c r="E132" s="2">
        <v>109371.0</v>
      </c>
      <c r="F132" s="2">
        <v>2758.0</v>
      </c>
      <c r="G132" s="2">
        <v>107.0</v>
      </c>
      <c r="H132" s="2" t="s">
        <v>5905</v>
      </c>
      <c r="I132" s="2" t="s">
        <v>5906</v>
      </c>
      <c r="J132" s="2" t="s">
        <v>5959</v>
      </c>
      <c r="K132" s="2" t="s">
        <v>13336</v>
      </c>
      <c r="L132" s="10" t="s">
        <v>13337</v>
      </c>
    </row>
    <row r="133">
      <c r="A133" s="2" t="s">
        <v>5670</v>
      </c>
      <c r="B133" s="2" t="s">
        <v>13338</v>
      </c>
      <c r="C133" s="2">
        <v>1.0694988012E10</v>
      </c>
      <c r="D133" s="2" t="s">
        <v>13339</v>
      </c>
      <c r="E133" s="2">
        <v>7992683.0</v>
      </c>
      <c r="F133" s="2">
        <v>732.0</v>
      </c>
      <c r="G133" s="2">
        <v>336.0</v>
      </c>
      <c r="H133" s="2" t="s">
        <v>5906</v>
      </c>
      <c r="I133" s="2" t="s">
        <v>5906</v>
      </c>
      <c r="J133" s="2" t="s">
        <v>5959</v>
      </c>
      <c r="K133" s="2" t="s">
        <v>13340</v>
      </c>
      <c r="L133" s="10" t="s">
        <v>13341</v>
      </c>
    </row>
    <row r="134">
      <c r="A134" s="2" t="s">
        <v>5670</v>
      </c>
      <c r="B134" s="2" t="s">
        <v>13342</v>
      </c>
      <c r="C134" s="2">
        <v>2.6339472489E10</v>
      </c>
      <c r="D134" s="2" t="s">
        <v>13343</v>
      </c>
      <c r="E134" s="2">
        <v>74769.0</v>
      </c>
      <c r="F134" s="2">
        <v>595.0</v>
      </c>
      <c r="G134" s="2">
        <v>30.0</v>
      </c>
      <c r="H134" s="2" t="s">
        <v>5906</v>
      </c>
      <c r="I134" s="2" t="s">
        <v>5905</v>
      </c>
      <c r="J134" s="2" t="s">
        <v>6393</v>
      </c>
      <c r="K134" s="2" t="s">
        <v>13344</v>
      </c>
    </row>
    <row r="135">
      <c r="A135" s="2" t="s">
        <v>5765</v>
      </c>
      <c r="B135" s="10" t="s">
        <v>13345</v>
      </c>
      <c r="C135" s="2">
        <v>8.120449615E9</v>
      </c>
      <c r="D135" s="2" t="s">
        <v>13346</v>
      </c>
      <c r="E135" s="2">
        <v>332284.0</v>
      </c>
      <c r="F135" s="2">
        <v>910.0</v>
      </c>
      <c r="G135" s="2">
        <v>3202.0</v>
      </c>
      <c r="H135" s="2" t="s">
        <v>5906</v>
      </c>
      <c r="I135" s="2" t="s">
        <v>5906</v>
      </c>
      <c r="J135" s="2" t="s">
        <v>6002</v>
      </c>
      <c r="K135" s="2" t="s">
        <v>13347</v>
      </c>
      <c r="L135" s="10" t="s">
        <v>13348</v>
      </c>
    </row>
    <row r="136">
      <c r="A136" s="2" t="s">
        <v>5765</v>
      </c>
      <c r="B136" s="2" t="s">
        <v>13349</v>
      </c>
      <c r="C136" s="2">
        <v>1.96521168E8</v>
      </c>
      <c r="D136" s="2" t="s">
        <v>13350</v>
      </c>
      <c r="E136" s="2">
        <v>1.2434806E7</v>
      </c>
      <c r="F136" s="2">
        <v>548.0</v>
      </c>
      <c r="G136" s="2">
        <v>7205.0</v>
      </c>
      <c r="H136" s="2" t="s">
        <v>5906</v>
      </c>
      <c r="I136" s="2" t="s">
        <v>5905</v>
      </c>
      <c r="K136" s="2" t="s">
        <v>13351</v>
      </c>
      <c r="L136" s="10" t="s">
        <v>13352</v>
      </c>
    </row>
    <row r="137">
      <c r="A137" s="2" t="s">
        <v>5765</v>
      </c>
      <c r="B137" s="2" t="s">
        <v>13353</v>
      </c>
      <c r="C137" s="2">
        <v>4.065894228E9</v>
      </c>
      <c r="D137" s="2" t="s">
        <v>13354</v>
      </c>
      <c r="E137" s="2">
        <v>673461.0</v>
      </c>
      <c r="F137" s="2">
        <v>75.0</v>
      </c>
      <c r="G137" s="2">
        <v>101.0</v>
      </c>
      <c r="H137" s="2" t="s">
        <v>5906</v>
      </c>
      <c r="I137" s="2" t="s">
        <v>5905</v>
      </c>
      <c r="K137" s="2" t="s">
        <v>13355</v>
      </c>
      <c r="L137" s="10" t="s">
        <v>13356</v>
      </c>
    </row>
    <row r="138">
      <c r="A138" s="2" t="s">
        <v>5699</v>
      </c>
      <c r="B138" s="2" t="s">
        <v>13357</v>
      </c>
      <c r="C138" s="2">
        <v>3.1277371E7</v>
      </c>
      <c r="D138" s="2" t="s">
        <v>13358</v>
      </c>
      <c r="E138" s="2">
        <v>585927.0</v>
      </c>
      <c r="F138" s="2">
        <v>1286.0</v>
      </c>
      <c r="G138" s="2">
        <v>96.0</v>
      </c>
      <c r="H138" s="2" t="s">
        <v>5906</v>
      </c>
      <c r="I138" s="2" t="s">
        <v>5905</v>
      </c>
      <c r="J138" s="2" t="s">
        <v>6414</v>
      </c>
      <c r="K138" s="2" t="s">
        <v>13359</v>
      </c>
      <c r="L138" s="10" t="s">
        <v>13360</v>
      </c>
    </row>
    <row r="139">
      <c r="A139" s="2" t="s">
        <v>5748</v>
      </c>
      <c r="B139" s="2" t="s">
        <v>13361</v>
      </c>
      <c r="C139" s="2">
        <v>2.303457234E9</v>
      </c>
      <c r="D139" s="2" t="s">
        <v>13362</v>
      </c>
      <c r="E139" s="2">
        <v>253215.0</v>
      </c>
      <c r="F139" s="2">
        <v>1539.0</v>
      </c>
      <c r="G139" s="2">
        <v>152.0</v>
      </c>
      <c r="H139" s="2" t="s">
        <v>5906</v>
      </c>
      <c r="I139" s="2" t="s">
        <v>5906</v>
      </c>
      <c r="J139" s="2" t="s">
        <v>8144</v>
      </c>
      <c r="K139" s="2" t="s">
        <v>13363</v>
      </c>
      <c r="L139" s="10" t="s">
        <v>13364</v>
      </c>
    </row>
    <row r="140">
      <c r="A140" s="2" t="s">
        <v>5748</v>
      </c>
      <c r="B140" s="2" t="s">
        <v>13365</v>
      </c>
      <c r="C140" s="2">
        <v>4.313545157E9</v>
      </c>
      <c r="D140" s="2" t="s">
        <v>13366</v>
      </c>
      <c r="E140" s="2">
        <v>81317.0</v>
      </c>
      <c r="F140" s="2">
        <v>301.0</v>
      </c>
      <c r="G140" s="2">
        <v>28.0</v>
      </c>
      <c r="H140" s="2" t="s">
        <v>5905</v>
      </c>
      <c r="I140" s="2" t="s">
        <v>5905</v>
      </c>
      <c r="J140" s="2" t="s">
        <v>5928</v>
      </c>
      <c r="L140" s="10" t="s">
        <v>13367</v>
      </c>
    </row>
    <row r="141">
      <c r="A141" s="2" t="s">
        <v>5748</v>
      </c>
      <c r="B141" s="2" t="s">
        <v>13368</v>
      </c>
      <c r="C141" s="2">
        <v>4.159160074E9</v>
      </c>
      <c r="D141" s="2" t="s">
        <v>13369</v>
      </c>
      <c r="E141" s="2">
        <v>513128.0</v>
      </c>
      <c r="F141" s="2">
        <v>1425.0</v>
      </c>
      <c r="G141" s="2">
        <v>286.0</v>
      </c>
      <c r="H141" s="2" t="s">
        <v>5905</v>
      </c>
      <c r="I141" s="2" t="s">
        <v>5905</v>
      </c>
      <c r="J141" s="2" t="s">
        <v>6393</v>
      </c>
      <c r="K141" s="2" t="s">
        <v>13370</v>
      </c>
      <c r="L141" s="10" t="s">
        <v>13371</v>
      </c>
    </row>
    <row r="142">
      <c r="A142" s="2" t="s">
        <v>5748</v>
      </c>
      <c r="B142" s="2" t="s">
        <v>13372</v>
      </c>
      <c r="C142" s="2">
        <v>2.164943411E9</v>
      </c>
      <c r="D142" s="2" t="s">
        <v>13373</v>
      </c>
      <c r="E142" s="2">
        <v>3682519.0</v>
      </c>
      <c r="F142" s="2">
        <v>915.0</v>
      </c>
      <c r="G142" s="2">
        <v>687.0</v>
      </c>
      <c r="H142" s="2" t="s">
        <v>5906</v>
      </c>
      <c r="I142" s="2" t="s">
        <v>5905</v>
      </c>
      <c r="J142" s="2" t="s">
        <v>5993</v>
      </c>
      <c r="K142" s="2" t="s">
        <v>13374</v>
      </c>
      <c r="L142" s="10" t="s">
        <v>13375</v>
      </c>
    </row>
    <row r="143">
      <c r="A143" s="2" t="s">
        <v>5748</v>
      </c>
      <c r="B143" s="2" t="s">
        <v>13376</v>
      </c>
      <c r="C143" s="2">
        <v>1.449154051E9</v>
      </c>
      <c r="D143" s="2" t="s">
        <v>13377</v>
      </c>
      <c r="E143" s="2">
        <v>6658754.0</v>
      </c>
      <c r="F143" s="2">
        <v>1062.0</v>
      </c>
      <c r="G143" s="2">
        <v>1181.0</v>
      </c>
      <c r="H143" s="2" t="s">
        <v>5906</v>
      </c>
      <c r="I143" s="2" t="s">
        <v>5905</v>
      </c>
      <c r="J143" s="2" t="s">
        <v>10769</v>
      </c>
      <c r="K143" s="2" t="s">
        <v>13378</v>
      </c>
      <c r="L143" s="10" t="s">
        <v>13379</v>
      </c>
    </row>
    <row r="144">
      <c r="A144" s="2" t="s">
        <v>5748</v>
      </c>
      <c r="B144" s="2" t="s">
        <v>13380</v>
      </c>
      <c r="C144" s="2">
        <v>9.905919545E9</v>
      </c>
      <c r="D144" s="2" t="s">
        <v>13381</v>
      </c>
      <c r="E144" s="2">
        <v>608167.0</v>
      </c>
      <c r="F144" s="2">
        <v>496.0</v>
      </c>
      <c r="G144" s="2">
        <v>552.0</v>
      </c>
      <c r="H144" s="2" t="s">
        <v>5905</v>
      </c>
      <c r="I144" s="2" t="s">
        <v>5905</v>
      </c>
      <c r="J144" s="2" t="s">
        <v>6171</v>
      </c>
      <c r="K144" s="2" t="s">
        <v>13382</v>
      </c>
    </row>
    <row r="145">
      <c r="A145" s="2" t="s">
        <v>5748</v>
      </c>
      <c r="B145" s="2" t="s">
        <v>13383</v>
      </c>
      <c r="C145" s="2">
        <v>4.5050700315E10</v>
      </c>
      <c r="D145" s="2" t="s">
        <v>13384</v>
      </c>
      <c r="E145" s="2">
        <v>1654440.0</v>
      </c>
      <c r="F145" s="2">
        <v>204.0</v>
      </c>
      <c r="G145" s="2">
        <v>1330.0</v>
      </c>
      <c r="H145" s="2" t="s">
        <v>5906</v>
      </c>
      <c r="I145" s="2" t="s">
        <v>5905</v>
      </c>
      <c r="J145" s="2" t="s">
        <v>5959</v>
      </c>
      <c r="K145" s="2" t="s">
        <v>13385</v>
      </c>
      <c r="L145" s="10" t="s">
        <v>13386</v>
      </c>
    </row>
    <row r="146">
      <c r="A146" s="2" t="s">
        <v>5748</v>
      </c>
      <c r="B146" s="2" t="s">
        <v>13387</v>
      </c>
      <c r="C146" s="2">
        <v>4.8500195037E10</v>
      </c>
      <c r="D146" s="2" t="s">
        <v>13388</v>
      </c>
      <c r="E146" s="2">
        <v>2096612.0</v>
      </c>
      <c r="F146" s="2">
        <v>834.0</v>
      </c>
      <c r="G146" s="2">
        <v>37.0</v>
      </c>
      <c r="H146" s="2" t="s">
        <v>5906</v>
      </c>
      <c r="I146" s="2" t="s">
        <v>5906</v>
      </c>
      <c r="J146" s="2" t="s">
        <v>8144</v>
      </c>
      <c r="K146" s="2" t="s">
        <v>13389</v>
      </c>
    </row>
    <row r="147">
      <c r="A147" s="2" t="s">
        <v>5748</v>
      </c>
      <c r="B147" s="2" t="s">
        <v>13390</v>
      </c>
      <c r="C147" s="2">
        <v>2.285629438E9</v>
      </c>
      <c r="D147" s="2" t="s">
        <v>13391</v>
      </c>
      <c r="E147" s="2">
        <v>208241.0</v>
      </c>
      <c r="F147" s="2">
        <v>1.0</v>
      </c>
      <c r="G147" s="2">
        <v>185.0</v>
      </c>
      <c r="H147" s="2" t="s">
        <v>5905</v>
      </c>
      <c r="I147" s="2" t="s">
        <v>5905</v>
      </c>
      <c r="J147" s="2" t="s">
        <v>5928</v>
      </c>
      <c r="K147" s="2" t="s">
        <v>13392</v>
      </c>
      <c r="L147" s="10" t="s">
        <v>13393</v>
      </c>
    </row>
    <row r="148">
      <c r="A148" s="2" t="s">
        <v>5738</v>
      </c>
      <c r="B148" s="2" t="s">
        <v>13394</v>
      </c>
      <c r="C148" s="2">
        <v>6.49723472E8</v>
      </c>
      <c r="D148" s="2" t="s">
        <v>13395</v>
      </c>
      <c r="E148" s="2">
        <v>306640.0</v>
      </c>
      <c r="F148" s="2">
        <v>296.0</v>
      </c>
      <c r="G148" s="2">
        <v>35.0</v>
      </c>
      <c r="H148" s="2" t="s">
        <v>5906</v>
      </c>
      <c r="I148" s="2" t="s">
        <v>5905</v>
      </c>
      <c r="J148" s="2" t="s">
        <v>8144</v>
      </c>
      <c r="K148" s="2" t="s">
        <v>13396</v>
      </c>
    </row>
    <row r="149">
      <c r="A149" s="2" t="s">
        <v>5624</v>
      </c>
      <c r="B149" s="2" t="s">
        <v>13397</v>
      </c>
      <c r="C149" s="2">
        <v>6.275779093E9</v>
      </c>
      <c r="D149" s="2" t="s">
        <v>13398</v>
      </c>
      <c r="E149" s="2">
        <v>306078.0</v>
      </c>
      <c r="F149" s="2">
        <v>919.0</v>
      </c>
      <c r="G149" s="2">
        <v>1812.0</v>
      </c>
      <c r="H149" s="2" t="s">
        <v>5905</v>
      </c>
      <c r="I149" s="2" t="s">
        <v>5906</v>
      </c>
      <c r="K149" s="2" t="s">
        <v>13399</v>
      </c>
      <c r="L149" s="10" t="s">
        <v>13400</v>
      </c>
    </row>
    <row r="150">
      <c r="A150" s="2" t="s">
        <v>5624</v>
      </c>
      <c r="B150" s="2" t="s">
        <v>13401</v>
      </c>
      <c r="C150" s="2">
        <v>6.47710534E8</v>
      </c>
      <c r="D150" s="2" t="s">
        <v>13402</v>
      </c>
      <c r="E150" s="2">
        <v>1.2022863E7</v>
      </c>
      <c r="F150" s="2">
        <v>125.0</v>
      </c>
      <c r="G150" s="2">
        <v>91.0</v>
      </c>
      <c r="H150" s="2" t="s">
        <v>5906</v>
      </c>
      <c r="I150" s="2" t="s">
        <v>5906</v>
      </c>
      <c r="J150" s="2" t="s">
        <v>6393</v>
      </c>
      <c r="K150" s="2" t="s">
        <v>13403</v>
      </c>
      <c r="L150" s="10" t="s">
        <v>13404</v>
      </c>
    </row>
    <row r="151">
      <c r="A151" s="2" t="s">
        <v>5624</v>
      </c>
      <c r="B151" s="2" t="s">
        <v>13405</v>
      </c>
      <c r="C151" s="2">
        <v>1.146822691E9</v>
      </c>
      <c r="D151" s="2" t="s">
        <v>13406</v>
      </c>
      <c r="E151" s="2">
        <v>77969.0</v>
      </c>
      <c r="F151" s="2">
        <v>984.0</v>
      </c>
      <c r="G151" s="2">
        <v>858.0</v>
      </c>
      <c r="H151" s="2" t="s">
        <v>5905</v>
      </c>
      <c r="I151" s="2" t="s">
        <v>5905</v>
      </c>
      <c r="J151" s="2" t="s">
        <v>6393</v>
      </c>
      <c r="K151" s="2" t="s">
        <v>13407</v>
      </c>
      <c r="L151" s="10" t="s">
        <v>13408</v>
      </c>
    </row>
    <row r="152">
      <c r="A152" s="2" t="s">
        <v>5624</v>
      </c>
      <c r="B152" s="2" t="s">
        <v>13409</v>
      </c>
      <c r="C152" s="2">
        <v>1.911839853E9</v>
      </c>
      <c r="D152" s="2" t="s">
        <v>13410</v>
      </c>
      <c r="E152" s="2">
        <v>122758.0</v>
      </c>
      <c r="F152" s="2">
        <v>3447.0</v>
      </c>
      <c r="G152" s="2">
        <v>201.0</v>
      </c>
      <c r="H152" s="2" t="s">
        <v>5905</v>
      </c>
      <c r="I152" s="2" t="s">
        <v>5905</v>
      </c>
      <c r="J152" s="2" t="s">
        <v>5993</v>
      </c>
      <c r="K152" s="2" t="s">
        <v>13411</v>
      </c>
    </row>
    <row r="153">
      <c r="A153" s="2" t="s">
        <v>5624</v>
      </c>
      <c r="B153" s="2" t="s">
        <v>13412</v>
      </c>
      <c r="C153" s="2">
        <v>1.45312309E8</v>
      </c>
      <c r="D153" s="2" t="s">
        <v>13413</v>
      </c>
      <c r="E153" s="2">
        <v>4.7245044E7</v>
      </c>
      <c r="F153" s="2">
        <v>842.0</v>
      </c>
      <c r="G153" s="2">
        <v>507.0</v>
      </c>
      <c r="H153" s="2" t="s">
        <v>5906</v>
      </c>
      <c r="I153" s="2" t="s">
        <v>5905</v>
      </c>
      <c r="J153" s="2" t="s">
        <v>7427</v>
      </c>
      <c r="K153" s="2" t="s">
        <v>13414</v>
      </c>
      <c r="L153" s="10" t="s">
        <v>13415</v>
      </c>
    </row>
    <row r="154">
      <c r="A154" s="2" t="s">
        <v>5624</v>
      </c>
      <c r="B154" s="2" t="s">
        <v>13416</v>
      </c>
      <c r="C154" s="2">
        <v>5.5024541E7</v>
      </c>
      <c r="D154" s="2" t="s">
        <v>13417</v>
      </c>
      <c r="E154" s="2">
        <v>96858.0</v>
      </c>
      <c r="F154" s="2">
        <v>770.0</v>
      </c>
      <c r="G154" s="2">
        <v>1065.0</v>
      </c>
      <c r="H154" s="2" t="s">
        <v>5905</v>
      </c>
      <c r="I154" s="2" t="s">
        <v>5905</v>
      </c>
      <c r="J154" s="2" t="s">
        <v>7347</v>
      </c>
      <c r="K154" s="2" t="s">
        <v>13418</v>
      </c>
      <c r="L154" s="10" t="s">
        <v>13419</v>
      </c>
    </row>
    <row r="155">
      <c r="A155" s="2" t="s">
        <v>5624</v>
      </c>
      <c r="B155" s="2" t="s">
        <v>13420</v>
      </c>
      <c r="C155" s="2">
        <v>2.088155038E9</v>
      </c>
      <c r="D155" s="2" t="s">
        <v>13421</v>
      </c>
      <c r="E155" s="2">
        <v>700203.0</v>
      </c>
      <c r="F155" s="2">
        <v>752.0</v>
      </c>
      <c r="G155" s="2">
        <v>4196.0</v>
      </c>
      <c r="H155" s="2" t="s">
        <v>5906</v>
      </c>
      <c r="I155" s="2" t="s">
        <v>5906</v>
      </c>
      <c r="J155" s="2" t="s">
        <v>9470</v>
      </c>
      <c r="K155" s="2" t="s">
        <v>13422</v>
      </c>
      <c r="L155" s="10" t="s">
        <v>13423</v>
      </c>
    </row>
    <row r="156">
      <c r="A156" s="2" t="s">
        <v>5624</v>
      </c>
      <c r="B156" s="2" t="s">
        <v>13424</v>
      </c>
      <c r="C156" s="2">
        <v>6.2235052036E10</v>
      </c>
      <c r="D156" s="2" t="s">
        <v>13425</v>
      </c>
      <c r="E156" s="2">
        <v>840791.0</v>
      </c>
      <c r="F156" s="2">
        <v>531.0</v>
      </c>
      <c r="G156" s="2">
        <v>401.0</v>
      </c>
      <c r="H156" s="2" t="s">
        <v>5906</v>
      </c>
      <c r="I156" s="2" t="s">
        <v>5905</v>
      </c>
      <c r="J156" s="2" t="s">
        <v>5959</v>
      </c>
      <c r="K156" s="2" t="s">
        <v>13426</v>
      </c>
      <c r="L156" s="10" t="s">
        <v>13427</v>
      </c>
    </row>
    <row r="157">
      <c r="A157" s="2" t="s">
        <v>5624</v>
      </c>
      <c r="B157" s="2" t="s">
        <v>13428</v>
      </c>
      <c r="C157" s="2">
        <v>9.18102753E8</v>
      </c>
      <c r="D157" s="2" t="s">
        <v>13429</v>
      </c>
      <c r="E157" s="2">
        <v>1.1269827E7</v>
      </c>
      <c r="F157" s="2">
        <v>244.0</v>
      </c>
      <c r="G157" s="2">
        <v>804.0</v>
      </c>
      <c r="H157" s="2" t="s">
        <v>5906</v>
      </c>
      <c r="I157" s="2" t="s">
        <v>5905</v>
      </c>
    </row>
    <row r="158">
      <c r="A158" s="2" t="s">
        <v>5624</v>
      </c>
      <c r="B158" s="2" t="s">
        <v>13430</v>
      </c>
      <c r="C158" s="2">
        <v>1.8635719E7</v>
      </c>
      <c r="D158" s="2" t="s">
        <v>5624</v>
      </c>
      <c r="E158" s="2">
        <v>75628.0</v>
      </c>
      <c r="F158" s="2">
        <v>539.0</v>
      </c>
      <c r="G158" s="2">
        <v>29.0</v>
      </c>
      <c r="H158" s="2" t="s">
        <v>5905</v>
      </c>
      <c r="I158" s="2" t="s">
        <v>5905</v>
      </c>
      <c r="J158" s="2" t="s">
        <v>6393</v>
      </c>
    </row>
    <row r="159">
      <c r="A159" s="2" t="s">
        <v>5817</v>
      </c>
      <c r="B159" s="2" t="s">
        <v>13431</v>
      </c>
      <c r="C159" s="2">
        <v>1.398902745E9</v>
      </c>
      <c r="D159" s="2" t="s">
        <v>13432</v>
      </c>
      <c r="E159" s="2">
        <v>172890.0</v>
      </c>
      <c r="F159" s="2">
        <v>225.0</v>
      </c>
      <c r="G159" s="2">
        <v>1406.0</v>
      </c>
      <c r="H159" s="2" t="s">
        <v>5906</v>
      </c>
      <c r="I159" s="2" t="s">
        <v>5906</v>
      </c>
      <c r="K159" s="2" t="s">
        <v>13433</v>
      </c>
      <c r="L159" s="10" t="s">
        <v>13434</v>
      </c>
    </row>
    <row r="160">
      <c r="A160" s="2" t="s">
        <v>5817</v>
      </c>
      <c r="B160" s="2" t="s">
        <v>13435</v>
      </c>
      <c r="C160" s="2">
        <v>8984191.0</v>
      </c>
      <c r="D160" s="2" t="s">
        <v>5817</v>
      </c>
      <c r="E160" s="2">
        <v>1146567.0</v>
      </c>
      <c r="F160" s="2">
        <v>3190.0</v>
      </c>
      <c r="G160" s="2">
        <v>1757.0</v>
      </c>
      <c r="H160" s="2" t="s">
        <v>5906</v>
      </c>
      <c r="I160" s="2" t="s">
        <v>5905</v>
      </c>
      <c r="J160" s="2" t="s">
        <v>5993</v>
      </c>
      <c r="K160" s="2" t="s">
        <v>13436</v>
      </c>
      <c r="L160" s="10" t="s">
        <v>13437</v>
      </c>
    </row>
    <row r="161">
      <c r="A161" s="2" t="s">
        <v>5817</v>
      </c>
      <c r="B161" s="2" t="s">
        <v>13438</v>
      </c>
      <c r="C161" s="2">
        <v>1.4222884E7</v>
      </c>
      <c r="D161" s="2" t="s">
        <v>13439</v>
      </c>
      <c r="E161" s="2">
        <v>1.1390269E7</v>
      </c>
      <c r="F161" s="2">
        <v>760.0</v>
      </c>
      <c r="G161" s="2">
        <v>412.0</v>
      </c>
      <c r="H161" s="2" t="s">
        <v>5906</v>
      </c>
      <c r="I161" s="2" t="s">
        <v>5905</v>
      </c>
      <c r="J161" s="2" t="s">
        <v>7140</v>
      </c>
      <c r="K161" s="2" t="s">
        <v>13440</v>
      </c>
      <c r="L161" s="10" t="s">
        <v>13441</v>
      </c>
    </row>
    <row r="162">
      <c r="A162" s="2" t="s">
        <v>5817</v>
      </c>
      <c r="B162" s="2" t="s">
        <v>13442</v>
      </c>
      <c r="C162" s="2">
        <v>4.3114731E7</v>
      </c>
      <c r="D162" s="2" t="s">
        <v>13443</v>
      </c>
      <c r="E162" s="2">
        <v>1.9963046E7</v>
      </c>
      <c r="F162" s="2">
        <v>1435.0</v>
      </c>
      <c r="G162" s="2">
        <v>1220.0</v>
      </c>
      <c r="H162" s="2" t="s">
        <v>5906</v>
      </c>
      <c r="I162" s="2" t="s">
        <v>5906</v>
      </c>
      <c r="K162" s="2" t="s">
        <v>13444</v>
      </c>
      <c r="L162" s="10" t="s">
        <v>13445</v>
      </c>
    </row>
    <row r="163">
      <c r="A163" s="2" t="s">
        <v>5817</v>
      </c>
      <c r="B163" s="2" t="s">
        <v>13446</v>
      </c>
      <c r="C163" s="2">
        <v>2.64612615E8</v>
      </c>
      <c r="D163" s="2" t="s">
        <v>5817</v>
      </c>
      <c r="E163" s="2">
        <v>209347.0</v>
      </c>
      <c r="F163" s="2">
        <v>1232.0</v>
      </c>
      <c r="G163" s="2">
        <v>910.0</v>
      </c>
      <c r="H163" s="2" t="s">
        <v>5906</v>
      </c>
      <c r="I163" s="2" t="s">
        <v>5905</v>
      </c>
      <c r="J163" s="2" t="s">
        <v>8144</v>
      </c>
      <c r="K163" s="2" t="s">
        <v>13447</v>
      </c>
      <c r="L163" s="10" t="s">
        <v>13448</v>
      </c>
    </row>
    <row r="164">
      <c r="A164" s="2" t="s">
        <v>5818</v>
      </c>
      <c r="B164" s="2" t="s">
        <v>13449</v>
      </c>
      <c r="C164" s="2">
        <v>2.7172886E7</v>
      </c>
      <c r="D164" s="2" t="s">
        <v>13450</v>
      </c>
      <c r="E164" s="2">
        <v>40196.0</v>
      </c>
      <c r="F164" s="2">
        <v>3792.0</v>
      </c>
      <c r="G164" s="2">
        <v>1885.0</v>
      </c>
      <c r="H164" s="2" t="s">
        <v>5906</v>
      </c>
      <c r="I164" s="2" t="s">
        <v>5905</v>
      </c>
      <c r="J164" s="2" t="s">
        <v>5391</v>
      </c>
      <c r="K164" s="2" t="s">
        <v>13451</v>
      </c>
      <c r="L164" s="10" t="s">
        <v>13452</v>
      </c>
    </row>
    <row r="165">
      <c r="A165" s="2" t="s">
        <v>5818</v>
      </c>
      <c r="B165" s="2" t="s">
        <v>13453</v>
      </c>
      <c r="C165" s="2">
        <v>1.5667295E7</v>
      </c>
      <c r="D165" s="2" t="s">
        <v>13454</v>
      </c>
      <c r="E165" s="2">
        <v>27150.0</v>
      </c>
      <c r="F165" s="2">
        <v>1139.0</v>
      </c>
      <c r="G165" s="2">
        <v>412.0</v>
      </c>
      <c r="H165" s="2" t="s">
        <v>5906</v>
      </c>
      <c r="I165" s="2" t="s">
        <v>5905</v>
      </c>
      <c r="J165" s="2" t="s">
        <v>5993</v>
      </c>
      <c r="K165" s="2" t="s">
        <v>13455</v>
      </c>
      <c r="L165" s="10" t="s">
        <v>13456</v>
      </c>
    </row>
    <row r="166">
      <c r="A166" s="2" t="s">
        <v>5636</v>
      </c>
      <c r="B166" s="2" t="s">
        <v>13457</v>
      </c>
      <c r="C166" s="2">
        <v>2.02732282E8</v>
      </c>
      <c r="D166" s="2" t="s">
        <v>13458</v>
      </c>
      <c r="E166" s="2">
        <v>1690157.0</v>
      </c>
      <c r="F166" s="2">
        <v>638.0</v>
      </c>
      <c r="G166" s="2">
        <v>416.0</v>
      </c>
      <c r="H166" s="2" t="s">
        <v>5906</v>
      </c>
      <c r="I166" s="2" t="s">
        <v>5906</v>
      </c>
      <c r="J166" s="2" t="s">
        <v>5993</v>
      </c>
      <c r="K166" s="2" t="s">
        <v>13459</v>
      </c>
      <c r="L166" s="10" t="s">
        <v>13460</v>
      </c>
    </row>
    <row r="167">
      <c r="A167" s="2" t="s">
        <v>5636</v>
      </c>
      <c r="B167" s="2" t="s">
        <v>13461</v>
      </c>
      <c r="C167" s="2">
        <v>6.4377030738E10</v>
      </c>
      <c r="D167" s="2" t="s">
        <v>13462</v>
      </c>
      <c r="E167" s="2">
        <v>16982.0</v>
      </c>
      <c r="F167" s="2">
        <v>98.0</v>
      </c>
      <c r="G167" s="2">
        <v>359.0</v>
      </c>
      <c r="H167" s="2" t="s">
        <v>5906</v>
      </c>
      <c r="I167" s="2" t="s">
        <v>5905</v>
      </c>
      <c r="J167" s="2" t="s">
        <v>10769</v>
      </c>
      <c r="K167" s="2" t="s">
        <v>13463</v>
      </c>
      <c r="L167" s="10" t="s">
        <v>13464</v>
      </c>
    </row>
    <row r="168">
      <c r="A168" s="2" t="s">
        <v>5819</v>
      </c>
      <c r="B168" s="2" t="s">
        <v>13465</v>
      </c>
      <c r="C168" s="2">
        <v>1.114438358E9</v>
      </c>
      <c r="E168" s="2">
        <v>24947.0</v>
      </c>
      <c r="F168" s="2">
        <v>1.0</v>
      </c>
      <c r="G168" s="2">
        <v>0.0</v>
      </c>
      <c r="H168" s="2" t="s">
        <v>5905</v>
      </c>
      <c r="I168" s="2" t="s">
        <v>5905</v>
      </c>
    </row>
    <row r="169">
      <c r="A169" s="2" t="s">
        <v>5820</v>
      </c>
      <c r="B169" s="2" t="s">
        <v>13466</v>
      </c>
      <c r="C169" s="2">
        <v>5.49581096E8</v>
      </c>
      <c r="D169" s="2" t="s">
        <v>13467</v>
      </c>
      <c r="E169" s="2">
        <v>434425.0</v>
      </c>
      <c r="F169" s="2">
        <v>363.0</v>
      </c>
      <c r="G169" s="2">
        <v>66.0</v>
      </c>
      <c r="H169" s="2" t="s">
        <v>5906</v>
      </c>
      <c r="I169" s="2" t="s">
        <v>5905</v>
      </c>
      <c r="J169" s="2" t="s">
        <v>5959</v>
      </c>
      <c r="K169" s="2" t="s">
        <v>13468</v>
      </c>
    </row>
    <row r="170">
      <c r="A170" s="2" t="s">
        <v>5820</v>
      </c>
      <c r="B170" s="2" t="s">
        <v>13469</v>
      </c>
      <c r="C170" s="2">
        <v>3.268978947E9</v>
      </c>
      <c r="D170" s="2" t="s">
        <v>13470</v>
      </c>
      <c r="E170" s="2">
        <v>1.0517302E7</v>
      </c>
      <c r="F170" s="2">
        <v>656.0</v>
      </c>
      <c r="G170" s="2">
        <v>3338.0</v>
      </c>
      <c r="H170" s="2" t="s">
        <v>5906</v>
      </c>
      <c r="I170" s="2" t="s">
        <v>5905</v>
      </c>
      <c r="J170" s="2" t="s">
        <v>5993</v>
      </c>
      <c r="K170" s="2" t="s">
        <v>13471</v>
      </c>
      <c r="L170" s="10" t="s">
        <v>13472</v>
      </c>
    </row>
    <row r="171">
      <c r="A171" s="2" t="s">
        <v>5820</v>
      </c>
      <c r="B171" s="2" t="s">
        <v>13473</v>
      </c>
      <c r="C171" s="2">
        <v>2.4871076E7</v>
      </c>
      <c r="D171" s="2" t="s">
        <v>13474</v>
      </c>
      <c r="E171" s="2">
        <v>2223639.0</v>
      </c>
      <c r="F171" s="2">
        <v>658.0</v>
      </c>
      <c r="G171" s="2">
        <v>670.0</v>
      </c>
      <c r="H171" s="2" t="s">
        <v>5906</v>
      </c>
      <c r="I171" s="2" t="s">
        <v>5905</v>
      </c>
      <c r="J171" s="2" t="s">
        <v>5492</v>
      </c>
      <c r="K171" s="2" t="s">
        <v>13475</v>
      </c>
      <c r="L171" s="10" t="s">
        <v>13476</v>
      </c>
    </row>
    <row r="172">
      <c r="A172" s="2" t="s">
        <v>5703</v>
      </c>
      <c r="B172" s="2" t="s">
        <v>13477</v>
      </c>
      <c r="C172" s="2">
        <v>3.64139894E8</v>
      </c>
      <c r="D172" s="2" t="s">
        <v>13478</v>
      </c>
      <c r="E172" s="2">
        <v>209310.0</v>
      </c>
      <c r="F172" s="2">
        <v>5327.0</v>
      </c>
      <c r="G172" s="2">
        <v>936.0</v>
      </c>
      <c r="H172" s="2" t="s">
        <v>5906</v>
      </c>
      <c r="I172" s="2" t="s">
        <v>5905</v>
      </c>
      <c r="J172" s="2" t="s">
        <v>5391</v>
      </c>
      <c r="K172" s="2" t="s">
        <v>13479</v>
      </c>
      <c r="L172" s="10" t="s">
        <v>13480</v>
      </c>
    </row>
    <row r="173">
      <c r="A173" s="2" t="s">
        <v>5777</v>
      </c>
      <c r="B173" s="2" t="s">
        <v>13481</v>
      </c>
      <c r="C173" s="2">
        <v>2.4706085E7</v>
      </c>
      <c r="D173" s="2" t="s">
        <v>13482</v>
      </c>
      <c r="E173" s="2">
        <v>56601.0</v>
      </c>
      <c r="F173" s="2">
        <v>5258.0</v>
      </c>
      <c r="G173" s="2">
        <v>2148.0</v>
      </c>
      <c r="H173" s="2" t="s">
        <v>5906</v>
      </c>
      <c r="I173" s="2" t="s">
        <v>5905</v>
      </c>
      <c r="K173" s="2" t="s">
        <v>13483</v>
      </c>
      <c r="L173" s="10" t="s">
        <v>13484</v>
      </c>
    </row>
    <row r="174">
      <c r="A174" s="2" t="s">
        <v>5777</v>
      </c>
      <c r="B174" s="2" t="s">
        <v>13485</v>
      </c>
      <c r="C174" s="2">
        <v>6.998396584E9</v>
      </c>
      <c r="D174" s="2" t="s">
        <v>5777</v>
      </c>
      <c r="E174" s="2">
        <v>73091.0</v>
      </c>
      <c r="F174" s="2">
        <v>195.0</v>
      </c>
      <c r="G174" s="2">
        <v>31.0</v>
      </c>
      <c r="H174" s="2" t="s">
        <v>5905</v>
      </c>
      <c r="I174" s="2" t="s">
        <v>5905</v>
      </c>
      <c r="J174" s="2" t="s">
        <v>6032</v>
      </c>
      <c r="K174" s="2" t="s">
        <v>13486</v>
      </c>
      <c r="L174" s="10" t="s">
        <v>13487</v>
      </c>
    </row>
    <row r="175">
      <c r="A175" s="2" t="s">
        <v>5821</v>
      </c>
      <c r="B175" s="2" t="s">
        <v>13488</v>
      </c>
      <c r="C175" s="2">
        <v>1.97671586E8</v>
      </c>
      <c r="D175" s="2" t="s">
        <v>5821</v>
      </c>
      <c r="E175" s="2">
        <v>1964408.0</v>
      </c>
      <c r="F175" s="2">
        <v>2911.0</v>
      </c>
      <c r="G175" s="2">
        <v>2988.0</v>
      </c>
      <c r="H175" s="2" t="s">
        <v>5906</v>
      </c>
      <c r="I175" s="2" t="s">
        <v>5905</v>
      </c>
      <c r="J175" s="2" t="s">
        <v>5993</v>
      </c>
      <c r="K175" s="2" t="s">
        <v>13489</v>
      </c>
      <c r="L175" s="10" t="s">
        <v>13490</v>
      </c>
    </row>
    <row r="176">
      <c r="A176" s="2" t="s">
        <v>5821</v>
      </c>
      <c r="B176" s="2" t="s">
        <v>13491</v>
      </c>
      <c r="C176" s="2">
        <v>1.1963103E7</v>
      </c>
      <c r="D176" s="2" t="s">
        <v>13492</v>
      </c>
      <c r="E176" s="2">
        <v>7152608.0</v>
      </c>
      <c r="F176" s="2">
        <v>213.0</v>
      </c>
      <c r="G176" s="2">
        <v>661.0</v>
      </c>
      <c r="H176" s="2" t="s">
        <v>5906</v>
      </c>
      <c r="I176" s="2" t="s">
        <v>5905</v>
      </c>
      <c r="J176" s="2" t="s">
        <v>5959</v>
      </c>
      <c r="K176" s="2" t="s">
        <v>13493</v>
      </c>
      <c r="L176" s="10" t="s">
        <v>13494</v>
      </c>
    </row>
    <row r="177">
      <c r="A177" s="2" t="s">
        <v>5821</v>
      </c>
      <c r="B177" s="2" t="s">
        <v>13495</v>
      </c>
      <c r="C177" s="2">
        <v>1.560120233E9</v>
      </c>
      <c r="D177" s="2" t="s">
        <v>13496</v>
      </c>
      <c r="E177" s="2">
        <v>6166366.0</v>
      </c>
      <c r="F177" s="2">
        <v>321.0</v>
      </c>
      <c r="G177" s="2">
        <v>2059.0</v>
      </c>
      <c r="H177" s="2" t="s">
        <v>5906</v>
      </c>
      <c r="I177" s="2" t="s">
        <v>5906</v>
      </c>
      <c r="J177" s="2" t="s">
        <v>8838</v>
      </c>
      <c r="K177" s="2" t="s">
        <v>13497</v>
      </c>
      <c r="L177" s="10" t="s">
        <v>13498</v>
      </c>
    </row>
    <row r="178">
      <c r="A178" s="2" t="s">
        <v>5822</v>
      </c>
      <c r="B178" s="2" t="s">
        <v>13499</v>
      </c>
      <c r="C178" s="2">
        <v>1.533286287E9</v>
      </c>
      <c r="D178" s="2" t="s">
        <v>13500</v>
      </c>
      <c r="E178" s="2">
        <v>883340.0</v>
      </c>
      <c r="F178" s="2">
        <v>780.0</v>
      </c>
      <c r="G178" s="2">
        <v>432.0</v>
      </c>
      <c r="H178" s="2" t="s">
        <v>5906</v>
      </c>
      <c r="I178" s="2" t="s">
        <v>5905</v>
      </c>
      <c r="J178" s="2" t="s">
        <v>5993</v>
      </c>
      <c r="K178" s="2" t="s">
        <v>13501</v>
      </c>
      <c r="L178" s="10" t="s">
        <v>13502</v>
      </c>
    </row>
    <row r="179">
      <c r="A179" s="2" t="s">
        <v>5822</v>
      </c>
      <c r="B179" s="2" t="s">
        <v>13503</v>
      </c>
      <c r="C179" s="2">
        <v>3.07193458E8</v>
      </c>
      <c r="D179" s="2" t="s">
        <v>13504</v>
      </c>
      <c r="E179" s="2">
        <v>70598.0</v>
      </c>
      <c r="F179" s="2">
        <v>719.0</v>
      </c>
      <c r="G179" s="2">
        <v>319.0</v>
      </c>
      <c r="H179" s="2" t="s">
        <v>5905</v>
      </c>
      <c r="I179" s="2" t="s">
        <v>5905</v>
      </c>
      <c r="J179" s="2" t="s">
        <v>5959</v>
      </c>
      <c r="K179" s="2" t="s">
        <v>13505</v>
      </c>
      <c r="L179" s="10" t="s">
        <v>13506</v>
      </c>
    </row>
    <row r="180">
      <c r="A180" s="2" t="s">
        <v>5712</v>
      </c>
      <c r="B180" s="2" t="s">
        <v>13507</v>
      </c>
      <c r="C180" s="2">
        <v>3.528045345E9</v>
      </c>
      <c r="D180" s="2" t="s">
        <v>5712</v>
      </c>
      <c r="E180" s="2">
        <v>877801.0</v>
      </c>
      <c r="F180" s="2">
        <v>1221.0</v>
      </c>
      <c r="G180" s="2">
        <v>1811.0</v>
      </c>
      <c r="H180" s="2" t="s">
        <v>5906</v>
      </c>
      <c r="I180" s="2" t="s">
        <v>5906</v>
      </c>
      <c r="J180" s="2" t="s">
        <v>6393</v>
      </c>
      <c r="K180" s="2" t="s">
        <v>13508</v>
      </c>
      <c r="L180" s="10" t="s">
        <v>13509</v>
      </c>
    </row>
    <row r="181">
      <c r="A181" s="2" t="s">
        <v>5712</v>
      </c>
      <c r="B181" s="2" t="s">
        <v>13510</v>
      </c>
      <c r="C181" s="2">
        <v>2.9602150786E10</v>
      </c>
      <c r="D181" s="2" t="s">
        <v>13511</v>
      </c>
      <c r="E181" s="2">
        <v>28089.0</v>
      </c>
      <c r="F181" s="2">
        <v>674.0</v>
      </c>
      <c r="G181" s="2">
        <v>2042.0</v>
      </c>
      <c r="H181" s="2" t="s">
        <v>5905</v>
      </c>
      <c r="I181" s="2" t="s">
        <v>5905</v>
      </c>
      <c r="J181" s="2" t="s">
        <v>13512</v>
      </c>
      <c r="K181" s="2" t="s">
        <v>13513</v>
      </c>
    </row>
    <row r="182">
      <c r="A182" s="2" t="s">
        <v>5712</v>
      </c>
      <c r="B182" s="2" t="s">
        <v>13514</v>
      </c>
      <c r="C182" s="2">
        <v>5.4974844E7</v>
      </c>
      <c r="D182" s="2" t="s">
        <v>13515</v>
      </c>
      <c r="E182" s="2">
        <v>14811.0</v>
      </c>
      <c r="F182" s="2">
        <v>3773.0</v>
      </c>
      <c r="G182" s="2">
        <v>17.0</v>
      </c>
      <c r="H182" s="2" t="s">
        <v>5905</v>
      </c>
      <c r="I182" s="2" t="s">
        <v>5905</v>
      </c>
      <c r="J182" s="2" t="s">
        <v>6414</v>
      </c>
      <c r="K182" s="2" t="s">
        <v>13516</v>
      </c>
    </row>
    <row r="183">
      <c r="A183" s="2" t="s">
        <v>5823</v>
      </c>
      <c r="B183" s="2" t="s">
        <v>13517</v>
      </c>
      <c r="C183" s="2">
        <v>6.647951072E9</v>
      </c>
      <c r="D183" s="2" t="s">
        <v>5823</v>
      </c>
      <c r="E183" s="2">
        <v>95997.0</v>
      </c>
      <c r="F183" s="2">
        <v>1796.0</v>
      </c>
      <c r="G183" s="2">
        <v>188.0</v>
      </c>
      <c r="H183" s="2" t="s">
        <v>5906</v>
      </c>
      <c r="I183" s="2" t="s">
        <v>5905</v>
      </c>
      <c r="J183" s="2" t="s">
        <v>13518</v>
      </c>
      <c r="K183" s="2" t="s">
        <v>13519</v>
      </c>
      <c r="L183" s="10" t="s">
        <v>13520</v>
      </c>
    </row>
    <row r="184">
      <c r="A184" s="2" t="s">
        <v>5823</v>
      </c>
      <c r="B184" s="2" t="s">
        <v>13521</v>
      </c>
      <c r="C184" s="2">
        <v>5.5467526919E10</v>
      </c>
      <c r="D184" s="2" t="s">
        <v>13522</v>
      </c>
      <c r="E184" s="2">
        <v>68465.0</v>
      </c>
      <c r="F184" s="2">
        <v>861.0</v>
      </c>
      <c r="G184" s="2">
        <v>419.0</v>
      </c>
      <c r="H184" s="2" t="s">
        <v>5905</v>
      </c>
      <c r="I184" s="2" t="s">
        <v>5906</v>
      </c>
      <c r="J184" s="2" t="s">
        <v>7620</v>
      </c>
      <c r="K184" s="2" t="s">
        <v>13523</v>
      </c>
      <c r="L184" s="10" t="s">
        <v>13524</v>
      </c>
    </row>
    <row r="185">
      <c r="A185" s="2" t="s">
        <v>5823</v>
      </c>
      <c r="B185" s="2" t="s">
        <v>13525</v>
      </c>
      <c r="C185" s="2">
        <v>6.2030146122E10</v>
      </c>
      <c r="D185" s="2" t="s">
        <v>13526</v>
      </c>
      <c r="E185" s="2">
        <v>647235.0</v>
      </c>
      <c r="F185" s="2">
        <v>395.0</v>
      </c>
      <c r="G185" s="2">
        <v>397.0</v>
      </c>
      <c r="H185" s="2" t="s">
        <v>5906</v>
      </c>
      <c r="I185" s="2" t="s">
        <v>5905</v>
      </c>
      <c r="J185" s="2" t="s">
        <v>5928</v>
      </c>
      <c r="K185" s="2" t="s">
        <v>13527</v>
      </c>
      <c r="L185" s="10" t="s">
        <v>13528</v>
      </c>
    </row>
    <row r="186">
      <c r="A186" s="2" t="s">
        <v>5823</v>
      </c>
      <c r="B186" s="2" t="s">
        <v>13529</v>
      </c>
      <c r="C186" s="2">
        <v>4.5374485292E10</v>
      </c>
      <c r="D186" s="2" t="s">
        <v>13530</v>
      </c>
      <c r="E186" s="2">
        <v>251290.0</v>
      </c>
      <c r="F186" s="2">
        <v>428.0</v>
      </c>
      <c r="G186" s="2">
        <v>317.0</v>
      </c>
      <c r="H186" s="2" t="s">
        <v>5906</v>
      </c>
      <c r="I186" s="2" t="s">
        <v>5905</v>
      </c>
      <c r="J186" s="2" t="s">
        <v>5959</v>
      </c>
      <c r="K186" s="2" t="s">
        <v>13531</v>
      </c>
      <c r="L186" s="10" t="s">
        <v>13532</v>
      </c>
    </row>
    <row r="187">
      <c r="A187" s="2" t="s">
        <v>5825</v>
      </c>
      <c r="B187" s="2" t="s">
        <v>13533</v>
      </c>
      <c r="C187" s="2">
        <v>9.84411922E8</v>
      </c>
      <c r="D187" s="2" t="s">
        <v>13533</v>
      </c>
      <c r="E187" s="2">
        <v>32684.0</v>
      </c>
      <c r="F187" s="2">
        <v>935.0</v>
      </c>
      <c r="G187" s="2">
        <v>49.0</v>
      </c>
      <c r="H187" s="2" t="s">
        <v>5905</v>
      </c>
      <c r="I187" s="2" t="s">
        <v>5906</v>
      </c>
      <c r="J187" s="2" t="s">
        <v>5492</v>
      </c>
    </row>
    <row r="188">
      <c r="A188" s="2" t="s">
        <v>5825</v>
      </c>
      <c r="B188" s="2" t="s">
        <v>13534</v>
      </c>
      <c r="C188" s="2">
        <v>2.44309106E8</v>
      </c>
      <c r="D188" s="2" t="s">
        <v>13535</v>
      </c>
      <c r="E188" s="2">
        <v>4.3888932E7</v>
      </c>
      <c r="F188" s="2">
        <v>237.0</v>
      </c>
      <c r="G188" s="2">
        <v>24782.0</v>
      </c>
      <c r="H188" s="2" t="s">
        <v>5906</v>
      </c>
      <c r="I188" s="2" t="s">
        <v>5906</v>
      </c>
      <c r="J188" s="2" t="s">
        <v>8479</v>
      </c>
      <c r="K188" s="2" t="s">
        <v>13536</v>
      </c>
      <c r="L188" s="10" t="s">
        <v>13537</v>
      </c>
    </row>
    <row r="189">
      <c r="A189" s="2" t="s">
        <v>5825</v>
      </c>
      <c r="B189" s="2" t="s">
        <v>13538</v>
      </c>
      <c r="C189" s="2">
        <v>2.4095128E7</v>
      </c>
      <c r="D189" s="2" t="s">
        <v>13539</v>
      </c>
      <c r="E189" s="2">
        <v>230555.0</v>
      </c>
      <c r="F189" s="2">
        <v>1203.0</v>
      </c>
      <c r="G189" s="2">
        <v>954.0</v>
      </c>
      <c r="H189" s="2" t="s">
        <v>5905</v>
      </c>
      <c r="I189" s="2" t="s">
        <v>5905</v>
      </c>
      <c r="J189" s="2" t="s">
        <v>5391</v>
      </c>
      <c r="K189" s="2" t="s">
        <v>13540</v>
      </c>
      <c r="L189" s="10" t="s">
        <v>13541</v>
      </c>
    </row>
    <row r="190">
      <c r="A190" s="2" t="s">
        <v>5674</v>
      </c>
      <c r="B190" s="2" t="s">
        <v>13542</v>
      </c>
      <c r="C190" s="2">
        <v>5.60379617E8</v>
      </c>
      <c r="D190" s="2" t="s">
        <v>13543</v>
      </c>
      <c r="E190" s="2">
        <v>1.1408343E7</v>
      </c>
      <c r="F190" s="2">
        <v>1.0</v>
      </c>
      <c r="G190" s="2">
        <v>520.0</v>
      </c>
      <c r="H190" s="2" t="s">
        <v>5906</v>
      </c>
      <c r="I190" s="2" t="s">
        <v>5906</v>
      </c>
      <c r="K190" s="2" t="s">
        <v>13544</v>
      </c>
      <c r="L190" s="10" t="s">
        <v>13545</v>
      </c>
    </row>
    <row r="191">
      <c r="A191" s="2" t="s">
        <v>5674</v>
      </c>
      <c r="B191" s="2" t="s">
        <v>13546</v>
      </c>
      <c r="C191" s="2">
        <v>4.5238803571E10</v>
      </c>
      <c r="D191" s="2" t="s">
        <v>13547</v>
      </c>
      <c r="E191" s="2">
        <v>7675673.0</v>
      </c>
      <c r="F191" s="2">
        <v>490.0</v>
      </c>
      <c r="G191" s="2">
        <v>530.0</v>
      </c>
      <c r="H191" s="2" t="s">
        <v>5906</v>
      </c>
      <c r="I191" s="2" t="s">
        <v>5906</v>
      </c>
      <c r="J191" s="2" t="s">
        <v>5993</v>
      </c>
      <c r="K191" s="2" t="s">
        <v>13548</v>
      </c>
      <c r="L191" s="10" t="s">
        <v>13549</v>
      </c>
    </row>
    <row r="192">
      <c r="A192" s="2" t="s">
        <v>5620</v>
      </c>
      <c r="B192" s="2" t="s">
        <v>13550</v>
      </c>
      <c r="C192" s="2">
        <v>1.96232889E8</v>
      </c>
      <c r="D192" s="2" t="s">
        <v>13551</v>
      </c>
      <c r="E192" s="2">
        <v>4085267.0</v>
      </c>
      <c r="F192" s="2">
        <v>854.0</v>
      </c>
      <c r="G192" s="2">
        <v>453.0</v>
      </c>
      <c r="H192" s="2" t="s">
        <v>5906</v>
      </c>
      <c r="I192" s="2" t="s">
        <v>5905</v>
      </c>
      <c r="J192" s="2" t="s">
        <v>8838</v>
      </c>
      <c r="K192" s="2" t="s">
        <v>13552</v>
      </c>
      <c r="L192" s="10" t="s">
        <v>13553</v>
      </c>
    </row>
    <row r="193">
      <c r="A193" s="2" t="s">
        <v>5620</v>
      </c>
      <c r="B193" s="2" t="s">
        <v>13554</v>
      </c>
      <c r="C193" s="2">
        <v>5.6800349882E10</v>
      </c>
      <c r="D193" s="2" t="s">
        <v>13550</v>
      </c>
      <c r="E193" s="2">
        <v>53847.0</v>
      </c>
      <c r="F193" s="2">
        <v>703.0</v>
      </c>
      <c r="G193" s="2">
        <v>6.0</v>
      </c>
      <c r="H193" s="2" t="s">
        <v>5905</v>
      </c>
      <c r="I193" s="2" t="s">
        <v>5905</v>
      </c>
      <c r="J193" s="2" t="s">
        <v>6393</v>
      </c>
      <c r="K193" s="2" t="s">
        <v>13555</v>
      </c>
    </row>
    <row r="194">
      <c r="A194" s="2" t="s">
        <v>5679</v>
      </c>
      <c r="B194" s="2" t="s">
        <v>13556</v>
      </c>
      <c r="C194" s="2">
        <v>6.36465432E8</v>
      </c>
      <c r="D194" s="2" t="s">
        <v>13557</v>
      </c>
      <c r="E194" s="2">
        <v>1.0319137E7</v>
      </c>
      <c r="F194" s="2">
        <v>177.0</v>
      </c>
      <c r="G194" s="2">
        <v>1143.0</v>
      </c>
      <c r="H194" s="2" t="s">
        <v>5906</v>
      </c>
      <c r="I194" s="2" t="s">
        <v>5905</v>
      </c>
      <c r="J194" s="2" t="s">
        <v>6628</v>
      </c>
      <c r="L194" s="10" t="s">
        <v>13558</v>
      </c>
    </row>
    <row r="195">
      <c r="A195" s="2" t="s">
        <v>5591</v>
      </c>
      <c r="B195" s="2" t="s">
        <v>13559</v>
      </c>
      <c r="C195" s="2">
        <v>3.57605612E8</v>
      </c>
      <c r="D195" s="2" t="s">
        <v>13560</v>
      </c>
      <c r="E195" s="2">
        <v>4399218.0</v>
      </c>
      <c r="F195" s="2">
        <v>827.0</v>
      </c>
      <c r="G195" s="2">
        <v>140.0</v>
      </c>
      <c r="H195" s="2" t="s">
        <v>5906</v>
      </c>
      <c r="I195" s="2" t="s">
        <v>5905</v>
      </c>
      <c r="J195" s="2" t="s">
        <v>8838</v>
      </c>
      <c r="L195" s="10" t="s">
        <v>13561</v>
      </c>
    </row>
    <row r="196">
      <c r="A196" s="2" t="s">
        <v>5591</v>
      </c>
      <c r="B196" s="2" t="s">
        <v>13562</v>
      </c>
      <c r="C196" s="2">
        <v>3.28198633E8</v>
      </c>
      <c r="D196" s="2" t="s">
        <v>13563</v>
      </c>
      <c r="E196" s="2">
        <v>39793.0</v>
      </c>
      <c r="F196" s="2">
        <v>2211.0</v>
      </c>
      <c r="G196" s="2">
        <v>946.0</v>
      </c>
      <c r="H196" s="2" t="s">
        <v>5906</v>
      </c>
      <c r="I196" s="2" t="s">
        <v>5905</v>
      </c>
      <c r="K196" s="2" t="s">
        <v>13564</v>
      </c>
      <c r="L196" s="10" t="s">
        <v>13565</v>
      </c>
    </row>
    <row r="197">
      <c r="A197" s="2" t="s">
        <v>5591</v>
      </c>
      <c r="B197" s="2" t="s">
        <v>13566</v>
      </c>
      <c r="C197" s="2">
        <v>1.067503629E9</v>
      </c>
      <c r="D197" s="2" t="s">
        <v>13567</v>
      </c>
      <c r="E197" s="2">
        <v>132167.0</v>
      </c>
      <c r="F197" s="2">
        <v>535.0</v>
      </c>
      <c r="G197" s="2">
        <v>2533.0</v>
      </c>
      <c r="H197" s="2" t="s">
        <v>5905</v>
      </c>
      <c r="I197" s="2" t="s">
        <v>5906</v>
      </c>
      <c r="J197" s="2" t="s">
        <v>9008</v>
      </c>
      <c r="K197" s="2" t="s">
        <v>13568</v>
      </c>
      <c r="L197" s="10" t="s">
        <v>13569</v>
      </c>
    </row>
    <row r="198">
      <c r="A198" s="2" t="s">
        <v>5591</v>
      </c>
      <c r="B198" s="2" t="s">
        <v>13570</v>
      </c>
      <c r="C198" s="2">
        <v>5.353847503E9</v>
      </c>
      <c r="D198" s="2" t="s">
        <v>13571</v>
      </c>
      <c r="E198" s="2">
        <v>1231630.0</v>
      </c>
      <c r="F198" s="2">
        <v>1027.0</v>
      </c>
      <c r="G198" s="2">
        <v>154.0</v>
      </c>
      <c r="H198" s="2" t="s">
        <v>5906</v>
      </c>
      <c r="I198" s="2" t="s">
        <v>5905</v>
      </c>
      <c r="J198" s="2" t="s">
        <v>8144</v>
      </c>
      <c r="K198" s="2" t="s">
        <v>13572</v>
      </c>
    </row>
    <row r="199">
      <c r="A199" s="2" t="s">
        <v>5826</v>
      </c>
      <c r="B199" s="2" t="s">
        <v>13573</v>
      </c>
      <c r="C199" s="2">
        <v>1.0952824E7</v>
      </c>
      <c r="D199" s="2" t="s">
        <v>13574</v>
      </c>
      <c r="E199" s="2">
        <v>19847.0</v>
      </c>
      <c r="F199" s="2">
        <v>1272.0</v>
      </c>
      <c r="G199" s="2">
        <v>297.0</v>
      </c>
      <c r="H199" s="2" t="s">
        <v>5905</v>
      </c>
      <c r="I199" s="2" t="s">
        <v>5905</v>
      </c>
      <c r="K199" s="2" t="s">
        <v>13575</v>
      </c>
      <c r="L199" s="10" t="s">
        <v>13576</v>
      </c>
    </row>
    <row r="200">
      <c r="A200" s="2" t="s">
        <v>5826</v>
      </c>
      <c r="B200" s="2" t="s">
        <v>13577</v>
      </c>
      <c r="C200" s="2">
        <v>2.0061387E7</v>
      </c>
      <c r="D200" s="2" t="s">
        <v>13578</v>
      </c>
      <c r="E200" s="2">
        <v>550842.0</v>
      </c>
      <c r="F200" s="2">
        <v>332.0</v>
      </c>
      <c r="G200" s="2">
        <v>524.0</v>
      </c>
      <c r="H200" s="2" t="s">
        <v>5905</v>
      </c>
      <c r="I200" s="2" t="s">
        <v>5905</v>
      </c>
      <c r="J200" s="2" t="s">
        <v>5959</v>
      </c>
      <c r="L200" s="10" t="s">
        <v>13579</v>
      </c>
    </row>
    <row r="201">
      <c r="A201" s="2" t="s">
        <v>5826</v>
      </c>
      <c r="B201" s="2" t="s">
        <v>13580</v>
      </c>
      <c r="C201" s="2">
        <v>2.097166433E9</v>
      </c>
      <c r="D201" s="2" t="s">
        <v>13581</v>
      </c>
      <c r="E201" s="2">
        <v>442747.0</v>
      </c>
      <c r="F201" s="2">
        <v>12.0</v>
      </c>
      <c r="G201" s="2">
        <v>62.0</v>
      </c>
      <c r="H201" s="2" t="s">
        <v>5906</v>
      </c>
      <c r="I201" s="2" t="s">
        <v>5905</v>
      </c>
      <c r="J201" s="2" t="s">
        <v>6354</v>
      </c>
      <c r="K201" s="2" t="s">
        <v>13582</v>
      </c>
      <c r="L201" s="10" t="s">
        <v>13583</v>
      </c>
    </row>
    <row r="202">
      <c r="A202" s="2" t="s">
        <v>5827</v>
      </c>
      <c r="B202" s="2" t="s">
        <v>13584</v>
      </c>
      <c r="C202" s="2">
        <v>2.57983742E8</v>
      </c>
      <c r="D202" s="2" t="s">
        <v>13585</v>
      </c>
      <c r="E202" s="2">
        <v>711469.0</v>
      </c>
      <c r="F202" s="2">
        <v>3420.0</v>
      </c>
      <c r="G202" s="2">
        <v>3530.0</v>
      </c>
      <c r="H202" s="2" t="s">
        <v>5906</v>
      </c>
      <c r="I202" s="2" t="s">
        <v>5905</v>
      </c>
      <c r="J202" s="2" t="s">
        <v>6414</v>
      </c>
      <c r="K202" s="2" t="s">
        <v>13586</v>
      </c>
      <c r="L202" s="10" t="s">
        <v>13587</v>
      </c>
    </row>
    <row r="203">
      <c r="A203" s="2" t="s">
        <v>5827</v>
      </c>
      <c r="B203" s="2" t="s">
        <v>13588</v>
      </c>
      <c r="C203" s="2">
        <v>4.053682595E9</v>
      </c>
      <c r="D203" s="2" t="s">
        <v>13584</v>
      </c>
      <c r="E203" s="2">
        <v>536351.0</v>
      </c>
      <c r="F203" s="2">
        <v>1397.0</v>
      </c>
      <c r="G203" s="2">
        <v>725.0</v>
      </c>
      <c r="H203" s="2" t="s">
        <v>5905</v>
      </c>
      <c r="I203" s="2" t="s">
        <v>5905</v>
      </c>
      <c r="J203" s="2" t="s">
        <v>5959</v>
      </c>
      <c r="K203" s="2" t="s">
        <v>13589</v>
      </c>
    </row>
    <row r="204">
      <c r="A204" s="2" t="s">
        <v>5827</v>
      </c>
      <c r="B204" s="2" t="s">
        <v>13590</v>
      </c>
      <c r="C204" s="2">
        <v>4.93526559E8</v>
      </c>
      <c r="D204" s="2" t="s">
        <v>13591</v>
      </c>
      <c r="E204" s="2">
        <v>906839.0</v>
      </c>
      <c r="F204" s="2">
        <v>1516.0</v>
      </c>
      <c r="G204" s="2">
        <v>175.0</v>
      </c>
      <c r="H204" s="2" t="s">
        <v>5906</v>
      </c>
      <c r="I204" s="2" t="s">
        <v>5905</v>
      </c>
      <c r="J204" s="2" t="s">
        <v>6628</v>
      </c>
      <c r="K204" s="2" t="s">
        <v>13592</v>
      </c>
      <c r="L204" s="10" t="s">
        <v>13593</v>
      </c>
    </row>
    <row r="205">
      <c r="A205" s="2" t="s">
        <v>5828</v>
      </c>
      <c r="B205" s="2" t="s">
        <v>13594</v>
      </c>
      <c r="C205" s="2">
        <v>2.114747576E9</v>
      </c>
      <c r="D205" s="2" t="s">
        <v>13595</v>
      </c>
      <c r="E205" s="2">
        <v>173056.0</v>
      </c>
      <c r="F205" s="2">
        <v>1865.0</v>
      </c>
      <c r="G205" s="2">
        <v>415.0</v>
      </c>
      <c r="H205" s="2" t="s">
        <v>5906</v>
      </c>
      <c r="I205" s="2" t="s">
        <v>5905</v>
      </c>
      <c r="J205" s="2" t="s">
        <v>6393</v>
      </c>
      <c r="K205" s="2" t="s">
        <v>13596</v>
      </c>
      <c r="L205" s="10" t="s">
        <v>13597</v>
      </c>
    </row>
    <row r="206">
      <c r="A206" s="2" t="s">
        <v>5829</v>
      </c>
      <c r="B206" s="2" t="s">
        <v>13598</v>
      </c>
      <c r="C206" s="2">
        <v>7101536.0</v>
      </c>
      <c r="D206" s="2" t="s">
        <v>13599</v>
      </c>
      <c r="E206" s="2">
        <v>1204332.0</v>
      </c>
      <c r="F206" s="2">
        <v>48.0</v>
      </c>
      <c r="G206" s="2">
        <v>195.0</v>
      </c>
      <c r="H206" s="2" t="s">
        <v>5906</v>
      </c>
      <c r="I206" s="2" t="s">
        <v>5905</v>
      </c>
      <c r="J206" s="2" t="s">
        <v>5993</v>
      </c>
    </row>
    <row r="207">
      <c r="A207" s="2" t="s">
        <v>5829</v>
      </c>
      <c r="B207" s="2" t="s">
        <v>13600</v>
      </c>
      <c r="C207" s="2">
        <v>4.467859002E10</v>
      </c>
      <c r="D207" s="2" t="s">
        <v>13601</v>
      </c>
      <c r="E207" s="2">
        <v>250660.0</v>
      </c>
      <c r="F207" s="2">
        <v>21.0</v>
      </c>
      <c r="G207" s="2">
        <v>92.0</v>
      </c>
      <c r="H207" s="2" t="s">
        <v>5905</v>
      </c>
      <c r="I207" s="2" t="s">
        <v>5905</v>
      </c>
      <c r="J207" s="2" t="s">
        <v>7414</v>
      </c>
      <c r="K207" s="2" t="s">
        <v>13602</v>
      </c>
      <c r="L207" s="10" t="s">
        <v>13603</v>
      </c>
    </row>
    <row r="208">
      <c r="A208" s="2" t="s">
        <v>5749</v>
      </c>
      <c r="B208" s="2" t="s">
        <v>13604</v>
      </c>
      <c r="C208" s="2">
        <v>1.464702437E9</v>
      </c>
      <c r="D208" s="2" t="s">
        <v>13605</v>
      </c>
      <c r="E208" s="2">
        <v>16813.0</v>
      </c>
      <c r="F208" s="2">
        <v>1765.0</v>
      </c>
      <c r="G208" s="2">
        <v>6.0</v>
      </c>
      <c r="H208" s="2" t="s">
        <v>5905</v>
      </c>
      <c r="I208" s="2" t="s">
        <v>5905</v>
      </c>
      <c r="J208" s="2" t="s">
        <v>5391</v>
      </c>
      <c r="K208" s="2" t="s">
        <v>13606</v>
      </c>
      <c r="L208" s="10" t="s">
        <v>13607</v>
      </c>
    </row>
    <row r="209">
      <c r="A209" s="2" t="s">
        <v>5749</v>
      </c>
      <c r="B209" s="2" t="s">
        <v>13608</v>
      </c>
      <c r="C209" s="2">
        <v>1.834271085E9</v>
      </c>
      <c r="D209" s="2" t="s">
        <v>13609</v>
      </c>
      <c r="E209" s="2">
        <v>6534378.0</v>
      </c>
      <c r="F209" s="2">
        <v>282.0</v>
      </c>
      <c r="G209" s="2">
        <v>2245.0</v>
      </c>
      <c r="H209" s="2" t="s">
        <v>5906</v>
      </c>
      <c r="I209" s="2" t="s">
        <v>5905</v>
      </c>
      <c r="J209" s="2" t="s">
        <v>6414</v>
      </c>
      <c r="K209" s="2" t="s">
        <v>13610</v>
      </c>
      <c r="L209" s="10" t="s">
        <v>13611</v>
      </c>
    </row>
    <row r="210">
      <c r="A210" s="2" t="s">
        <v>5749</v>
      </c>
      <c r="B210" s="2" t="s">
        <v>13612</v>
      </c>
      <c r="C210" s="2">
        <v>1.77126427E8</v>
      </c>
      <c r="D210" s="2" t="s">
        <v>13613</v>
      </c>
      <c r="E210" s="2">
        <v>643314.0</v>
      </c>
      <c r="F210" s="2">
        <v>1171.0</v>
      </c>
      <c r="G210" s="2">
        <v>1016.0</v>
      </c>
      <c r="H210" s="2" t="s">
        <v>5906</v>
      </c>
      <c r="I210" s="2" t="s">
        <v>5905</v>
      </c>
      <c r="J210" s="2" t="s">
        <v>10778</v>
      </c>
      <c r="K210" s="2" t="s">
        <v>13614</v>
      </c>
      <c r="L210" s="10" t="s">
        <v>13615</v>
      </c>
    </row>
    <row r="211">
      <c r="A211" s="2" t="s">
        <v>5694</v>
      </c>
      <c r="B211" s="2" t="s">
        <v>13616</v>
      </c>
      <c r="C211" s="2">
        <v>1.2589784E7</v>
      </c>
      <c r="D211" s="2" t="s">
        <v>13617</v>
      </c>
      <c r="E211" s="2">
        <v>426441.0</v>
      </c>
      <c r="F211" s="2">
        <v>451.0</v>
      </c>
      <c r="G211" s="2">
        <v>749.0</v>
      </c>
      <c r="H211" s="2" t="s">
        <v>5906</v>
      </c>
      <c r="I211" s="2" t="s">
        <v>5905</v>
      </c>
      <c r="J211" s="2" t="s">
        <v>6124</v>
      </c>
      <c r="K211" s="2" t="s">
        <v>13618</v>
      </c>
      <c r="L211" s="10" t="s">
        <v>13619</v>
      </c>
    </row>
    <row r="212">
      <c r="A212" s="2" t="s">
        <v>5694</v>
      </c>
      <c r="B212" s="2" t="s">
        <v>13620</v>
      </c>
      <c r="C212" s="2">
        <v>2.133412795E9</v>
      </c>
      <c r="D212" s="2" t="s">
        <v>13621</v>
      </c>
      <c r="E212" s="2">
        <v>2400191.0</v>
      </c>
      <c r="F212" s="2">
        <v>816.0</v>
      </c>
      <c r="G212" s="2">
        <v>92.0</v>
      </c>
      <c r="H212" s="2" t="s">
        <v>5906</v>
      </c>
      <c r="I212" s="2" t="s">
        <v>5906</v>
      </c>
      <c r="J212" s="2" t="s">
        <v>8144</v>
      </c>
      <c r="K212" s="2" t="s">
        <v>13622</v>
      </c>
    </row>
    <row r="213">
      <c r="A213" s="2" t="s">
        <v>5694</v>
      </c>
      <c r="B213" s="2" t="s">
        <v>13623</v>
      </c>
      <c r="C213" s="2">
        <v>1.1380914E7</v>
      </c>
      <c r="D213" s="2" t="s">
        <v>13624</v>
      </c>
      <c r="E213" s="2">
        <v>5100516.0</v>
      </c>
      <c r="F213" s="2">
        <v>848.0</v>
      </c>
      <c r="G213" s="2">
        <v>922.0</v>
      </c>
      <c r="H213" s="2" t="s">
        <v>5906</v>
      </c>
      <c r="I213" s="2" t="s">
        <v>5905</v>
      </c>
      <c r="J213" s="2" t="s">
        <v>6124</v>
      </c>
      <c r="L213" s="10" t="s">
        <v>13625</v>
      </c>
    </row>
    <row r="214">
      <c r="A214" s="2" t="s">
        <v>5714</v>
      </c>
      <c r="B214" s="2" t="s">
        <v>13626</v>
      </c>
      <c r="C214" s="2">
        <v>2.100638E7</v>
      </c>
      <c r="D214" s="2" t="s">
        <v>13627</v>
      </c>
      <c r="E214" s="2">
        <v>1104293.0</v>
      </c>
      <c r="F214" s="2">
        <v>630.0</v>
      </c>
      <c r="G214" s="2">
        <v>812.0</v>
      </c>
      <c r="H214" s="2" t="s">
        <v>5906</v>
      </c>
      <c r="I214" s="2" t="s">
        <v>5906</v>
      </c>
      <c r="J214" s="2" t="s">
        <v>5993</v>
      </c>
      <c r="K214" s="2" t="s">
        <v>13628</v>
      </c>
      <c r="L214" s="10" t="s">
        <v>13629</v>
      </c>
    </row>
    <row r="215">
      <c r="A215" s="2" t="s">
        <v>5714</v>
      </c>
      <c r="B215" s="2" t="s">
        <v>13630</v>
      </c>
      <c r="C215" s="2">
        <v>2.117079143E9</v>
      </c>
      <c r="D215" s="2" t="s">
        <v>13631</v>
      </c>
      <c r="E215" s="2">
        <v>12006.0</v>
      </c>
      <c r="F215" s="2">
        <v>756.0</v>
      </c>
      <c r="G215" s="2">
        <v>6.0</v>
      </c>
      <c r="H215" s="2" t="s">
        <v>5905</v>
      </c>
      <c r="I215" s="2" t="s">
        <v>5906</v>
      </c>
      <c r="J215" s="2" t="s">
        <v>8144</v>
      </c>
    </row>
    <row r="216">
      <c r="A216" s="2" t="s">
        <v>5830</v>
      </c>
      <c r="B216" s="2" t="s">
        <v>13632</v>
      </c>
      <c r="C216" s="2">
        <v>2.8648096E7</v>
      </c>
      <c r="D216" s="2" t="s">
        <v>13633</v>
      </c>
      <c r="E216" s="2">
        <v>7276289.0</v>
      </c>
      <c r="F216" s="2">
        <v>993.0</v>
      </c>
      <c r="G216" s="2">
        <v>3085.0</v>
      </c>
      <c r="H216" s="2" t="s">
        <v>5906</v>
      </c>
      <c r="I216" s="2" t="s">
        <v>5905</v>
      </c>
      <c r="J216" s="2" t="s">
        <v>13634</v>
      </c>
      <c r="K216" s="2" t="s">
        <v>13635</v>
      </c>
      <c r="L216" s="10" t="s">
        <v>13636</v>
      </c>
    </row>
    <row r="217">
      <c r="A217" s="2" t="s">
        <v>5830</v>
      </c>
      <c r="B217" s="2" t="s">
        <v>13637</v>
      </c>
      <c r="C217" s="2">
        <v>2.209657471E9</v>
      </c>
      <c r="D217" s="2" t="s">
        <v>5830</v>
      </c>
      <c r="E217" s="2">
        <v>656824.0</v>
      </c>
      <c r="F217" s="2">
        <v>659.0</v>
      </c>
      <c r="G217" s="2">
        <v>144.0</v>
      </c>
      <c r="H217" s="2" t="s">
        <v>5905</v>
      </c>
      <c r="I217" s="2" t="s">
        <v>5905</v>
      </c>
      <c r="J217" s="2" t="s">
        <v>5959</v>
      </c>
      <c r="K217" s="2" t="s">
        <v>13638</v>
      </c>
      <c r="L217" s="10" t="s">
        <v>13639</v>
      </c>
    </row>
    <row r="218">
      <c r="A218" s="2" t="s">
        <v>5830</v>
      </c>
      <c r="B218" s="2" t="s">
        <v>13640</v>
      </c>
      <c r="C218" s="2">
        <v>5.426674E7</v>
      </c>
      <c r="D218" s="2" t="s">
        <v>13641</v>
      </c>
      <c r="E218" s="2">
        <v>500080.0</v>
      </c>
      <c r="F218" s="2">
        <v>1498.0</v>
      </c>
      <c r="G218" s="2">
        <v>167.0</v>
      </c>
      <c r="H218" s="2" t="s">
        <v>5906</v>
      </c>
      <c r="I218" s="2" t="s">
        <v>5906</v>
      </c>
      <c r="J218" s="2" t="s">
        <v>6393</v>
      </c>
      <c r="K218" s="2" t="s">
        <v>13642</v>
      </c>
      <c r="L218" s="10" t="s">
        <v>13643</v>
      </c>
    </row>
    <row r="219">
      <c r="A219" s="2" t="s">
        <v>5830</v>
      </c>
      <c r="B219" s="2" t="s">
        <v>13644</v>
      </c>
      <c r="C219" s="2">
        <v>3.408770952E9</v>
      </c>
      <c r="D219" s="2" t="s">
        <v>13632</v>
      </c>
      <c r="E219" s="2">
        <v>83623.0</v>
      </c>
      <c r="F219" s="2">
        <v>540.0</v>
      </c>
      <c r="G219" s="2">
        <v>120.0</v>
      </c>
      <c r="H219" s="2" t="s">
        <v>5905</v>
      </c>
      <c r="I219" s="2" t="s">
        <v>5905</v>
      </c>
      <c r="J219" s="2" t="s">
        <v>13645</v>
      </c>
      <c r="K219" s="2" t="s">
        <v>13646</v>
      </c>
      <c r="L219" s="10" t="s">
        <v>13647</v>
      </c>
    </row>
    <row r="220">
      <c r="A220" s="2" t="s">
        <v>5630</v>
      </c>
      <c r="B220" s="2" t="s">
        <v>13648</v>
      </c>
      <c r="C220" s="2">
        <v>10659.0</v>
      </c>
      <c r="D220" s="2" t="s">
        <v>13649</v>
      </c>
      <c r="E220" s="2">
        <v>76362.0</v>
      </c>
      <c r="F220" s="2">
        <v>1225.0</v>
      </c>
      <c r="G220" s="2">
        <v>1026.0</v>
      </c>
      <c r="H220" s="2" t="s">
        <v>5905</v>
      </c>
      <c r="I220" s="2" t="s">
        <v>5905</v>
      </c>
      <c r="J220" s="2" t="s">
        <v>10630</v>
      </c>
      <c r="K220" s="2" t="s">
        <v>13650</v>
      </c>
      <c r="L220" s="10" t="s">
        <v>13651</v>
      </c>
    </row>
    <row r="221">
      <c r="A221" s="2" t="s">
        <v>5630</v>
      </c>
      <c r="B221" s="2" t="s">
        <v>13652</v>
      </c>
      <c r="C221" s="2">
        <v>6.1455723838E10</v>
      </c>
      <c r="D221" s="2" t="s">
        <v>5630</v>
      </c>
      <c r="E221" s="2">
        <v>246279.0</v>
      </c>
      <c r="F221" s="2">
        <v>2169.0</v>
      </c>
      <c r="G221" s="2">
        <v>752.0</v>
      </c>
      <c r="H221" s="2" t="s">
        <v>5905</v>
      </c>
      <c r="I221" s="2" t="s">
        <v>5905</v>
      </c>
      <c r="J221" s="2" t="s">
        <v>5959</v>
      </c>
      <c r="L221" s="10" t="s">
        <v>13653</v>
      </c>
    </row>
    <row r="222">
      <c r="A222" s="2" t="s">
        <v>5630</v>
      </c>
      <c r="B222" s="2" t="s">
        <v>13654</v>
      </c>
      <c r="C222" s="2">
        <v>1.85836598E8</v>
      </c>
      <c r="D222" s="2" t="s">
        <v>5630</v>
      </c>
      <c r="E222" s="2">
        <v>372715.0</v>
      </c>
      <c r="F222" s="2">
        <v>459.0</v>
      </c>
      <c r="G222" s="2">
        <v>536.0</v>
      </c>
      <c r="H222" s="2" t="s">
        <v>5905</v>
      </c>
      <c r="I222" s="2" t="s">
        <v>5905</v>
      </c>
      <c r="J222" s="2" t="s">
        <v>8719</v>
      </c>
      <c r="K222" s="2" t="s">
        <v>13655</v>
      </c>
      <c r="L222" s="10" t="s">
        <v>13656</v>
      </c>
    </row>
    <row r="223">
      <c r="A223" s="2" t="s">
        <v>5630</v>
      </c>
      <c r="B223" s="2" t="s">
        <v>13657</v>
      </c>
      <c r="C223" s="2">
        <v>2.53146002E8</v>
      </c>
      <c r="D223" s="2" t="s">
        <v>13658</v>
      </c>
      <c r="E223" s="2">
        <v>2549226.0</v>
      </c>
      <c r="F223" s="2">
        <v>1291.0</v>
      </c>
      <c r="G223" s="2">
        <v>771.0</v>
      </c>
      <c r="H223" s="2" t="s">
        <v>5906</v>
      </c>
      <c r="I223" s="2" t="s">
        <v>5905</v>
      </c>
      <c r="J223" s="2" t="s">
        <v>5993</v>
      </c>
      <c r="K223" s="2" t="s">
        <v>13659</v>
      </c>
      <c r="L223" s="10" t="s">
        <v>13660</v>
      </c>
    </row>
    <row r="224">
      <c r="A224" s="2" t="s">
        <v>5630</v>
      </c>
      <c r="B224" s="2" t="s">
        <v>13661</v>
      </c>
      <c r="C224" s="2">
        <v>6.0336792396E10</v>
      </c>
      <c r="D224" s="2" t="s">
        <v>13648</v>
      </c>
      <c r="E224" s="2">
        <v>25109.0</v>
      </c>
      <c r="F224" s="2">
        <v>423.0</v>
      </c>
      <c r="G224" s="2">
        <v>69.0</v>
      </c>
      <c r="H224" s="2" t="s">
        <v>5905</v>
      </c>
      <c r="I224" s="2" t="s">
        <v>5905</v>
      </c>
      <c r="K224" s="2" t="s">
        <v>13662</v>
      </c>
      <c r="L224" s="10" t="s">
        <v>13663</v>
      </c>
    </row>
    <row r="225">
      <c r="A225" s="2" t="s">
        <v>5630</v>
      </c>
      <c r="B225" s="2" t="s">
        <v>13664</v>
      </c>
      <c r="C225" s="2">
        <v>6.48269665E8</v>
      </c>
      <c r="D225" s="2" t="s">
        <v>13665</v>
      </c>
      <c r="E225" s="2">
        <v>5845292.0</v>
      </c>
      <c r="F225" s="2">
        <v>804.0</v>
      </c>
      <c r="G225" s="2">
        <v>54.0</v>
      </c>
      <c r="H225" s="2" t="s">
        <v>5906</v>
      </c>
      <c r="I225" s="2" t="s">
        <v>5906</v>
      </c>
      <c r="J225" s="2" t="s">
        <v>8838</v>
      </c>
      <c r="K225" s="2" t="s">
        <v>13666</v>
      </c>
    </row>
    <row r="226">
      <c r="A226" s="2" t="s">
        <v>5630</v>
      </c>
      <c r="B226" s="2" t="s">
        <v>13667</v>
      </c>
      <c r="C226" s="2">
        <v>5.2540783389E10</v>
      </c>
      <c r="D226" s="2" t="s">
        <v>13668</v>
      </c>
      <c r="E226" s="2">
        <v>244543.0</v>
      </c>
      <c r="F226" s="2">
        <v>7.0</v>
      </c>
      <c r="G226" s="2">
        <v>230.0</v>
      </c>
      <c r="H226" s="2" t="s">
        <v>5906</v>
      </c>
      <c r="I226" s="2" t="s">
        <v>5905</v>
      </c>
      <c r="J226" s="2" t="s">
        <v>6171</v>
      </c>
      <c r="K226" s="2" t="s">
        <v>13669</v>
      </c>
    </row>
    <row r="227">
      <c r="A227" s="2" t="s">
        <v>5630</v>
      </c>
      <c r="B227" s="2" t="s">
        <v>13670</v>
      </c>
      <c r="C227" s="2">
        <v>6.2928526157E10</v>
      </c>
      <c r="D227" s="2" t="s">
        <v>13671</v>
      </c>
      <c r="E227" s="2">
        <v>34305.0</v>
      </c>
      <c r="F227" s="2">
        <v>1.0</v>
      </c>
      <c r="G227" s="2">
        <v>995.0</v>
      </c>
      <c r="H227" s="2" t="s">
        <v>5905</v>
      </c>
      <c r="I227" s="2" t="s">
        <v>5905</v>
      </c>
      <c r="J227" s="2" t="s">
        <v>6171</v>
      </c>
      <c r="K227" s="2" t="s">
        <v>13672</v>
      </c>
    </row>
    <row r="228">
      <c r="A228" s="2" t="s">
        <v>5704</v>
      </c>
      <c r="B228" s="2" t="s">
        <v>13673</v>
      </c>
      <c r="C228" s="2">
        <v>5.2632423696E10</v>
      </c>
      <c r="D228" s="2" t="s">
        <v>13674</v>
      </c>
      <c r="E228" s="2">
        <v>2419826.0</v>
      </c>
      <c r="F228" s="2">
        <v>594.0</v>
      </c>
      <c r="G228" s="2">
        <v>50.0</v>
      </c>
      <c r="H228" s="2" t="s">
        <v>5906</v>
      </c>
      <c r="I228" s="2" t="s">
        <v>5905</v>
      </c>
      <c r="J228" s="2" t="s">
        <v>8838</v>
      </c>
      <c r="K228" s="2" t="s">
        <v>13675</v>
      </c>
    </row>
    <row r="229">
      <c r="A229" s="2" t="s">
        <v>5656</v>
      </c>
      <c r="B229" s="2" t="s">
        <v>13676</v>
      </c>
      <c r="C229" s="2">
        <v>1.85740194E8</v>
      </c>
      <c r="D229" s="2" t="s">
        <v>5656</v>
      </c>
      <c r="E229" s="2">
        <v>223132.0</v>
      </c>
      <c r="F229" s="2">
        <v>671.0</v>
      </c>
      <c r="G229" s="2">
        <v>1891.0</v>
      </c>
      <c r="H229" s="2" t="s">
        <v>5905</v>
      </c>
      <c r="I229" s="2" t="s">
        <v>5905</v>
      </c>
      <c r="J229" s="2" t="s">
        <v>13677</v>
      </c>
      <c r="K229" s="2" t="s">
        <v>13678</v>
      </c>
      <c r="L229" s="10" t="s">
        <v>13679</v>
      </c>
    </row>
    <row r="230">
      <c r="A230" s="2" t="s">
        <v>5751</v>
      </c>
      <c r="B230" s="2" t="s">
        <v>13680</v>
      </c>
      <c r="C230" s="2">
        <v>6.6854442533E10</v>
      </c>
      <c r="D230" s="2" t="s">
        <v>13681</v>
      </c>
      <c r="E230" s="2">
        <v>248213.0</v>
      </c>
      <c r="F230" s="2">
        <v>124.0</v>
      </c>
      <c r="G230" s="2">
        <v>1463.0</v>
      </c>
      <c r="H230" s="2" t="s">
        <v>5906</v>
      </c>
      <c r="I230" s="2" t="s">
        <v>5906</v>
      </c>
      <c r="J230" s="2" t="s">
        <v>7405</v>
      </c>
      <c r="K230" s="2" t="s">
        <v>13682</v>
      </c>
      <c r="L230" s="10" t="s">
        <v>13683</v>
      </c>
    </row>
    <row r="231">
      <c r="A231" s="2" t="s">
        <v>5751</v>
      </c>
      <c r="B231" s="2" t="s">
        <v>13684</v>
      </c>
      <c r="C231" s="2">
        <v>8.791021187E9</v>
      </c>
      <c r="D231" s="2" t="s">
        <v>13685</v>
      </c>
      <c r="E231" s="2">
        <v>694282.0</v>
      </c>
      <c r="F231" s="2">
        <v>1030.0</v>
      </c>
      <c r="G231" s="2">
        <v>117.0</v>
      </c>
      <c r="H231" s="2" t="s">
        <v>5906</v>
      </c>
      <c r="I231" s="2" t="s">
        <v>5905</v>
      </c>
      <c r="L231" s="10" t="s">
        <v>13686</v>
      </c>
    </row>
    <row r="232">
      <c r="A232" s="2" t="s">
        <v>5751</v>
      </c>
      <c r="B232" s="2" t="s">
        <v>13687</v>
      </c>
      <c r="C232" s="2">
        <v>3.05801309E8</v>
      </c>
      <c r="D232" s="2" t="s">
        <v>13688</v>
      </c>
      <c r="E232" s="2">
        <v>681962.0</v>
      </c>
      <c r="F232" s="2">
        <v>2124.0</v>
      </c>
      <c r="G232" s="2">
        <v>3067.0</v>
      </c>
      <c r="H232" s="2" t="s">
        <v>5906</v>
      </c>
      <c r="I232" s="2" t="s">
        <v>5906</v>
      </c>
      <c r="J232" s="2" t="s">
        <v>8144</v>
      </c>
      <c r="K232" s="2" t="s">
        <v>13689</v>
      </c>
      <c r="L232" s="10" t="s">
        <v>13690</v>
      </c>
    </row>
    <row r="233">
      <c r="A233" s="2" t="s">
        <v>5751</v>
      </c>
      <c r="B233" s="2" t="s">
        <v>13691</v>
      </c>
      <c r="C233" s="2">
        <v>1.9329686E8</v>
      </c>
      <c r="D233" s="2" t="s">
        <v>13692</v>
      </c>
      <c r="E233" s="2">
        <v>427330.0</v>
      </c>
      <c r="F233" s="2">
        <v>1963.0</v>
      </c>
      <c r="G233" s="2">
        <v>2074.0</v>
      </c>
      <c r="H233" s="2" t="s">
        <v>5906</v>
      </c>
      <c r="I233" s="2" t="s">
        <v>5905</v>
      </c>
      <c r="J233" s="2" t="s">
        <v>5484</v>
      </c>
      <c r="K233" s="2" t="s">
        <v>13693</v>
      </c>
      <c r="L233" s="10" t="s">
        <v>13694</v>
      </c>
    </row>
    <row r="234">
      <c r="A234" s="2" t="s">
        <v>5751</v>
      </c>
      <c r="B234" s="2" t="s">
        <v>13695</v>
      </c>
      <c r="C234" s="2">
        <v>2.68246131E8</v>
      </c>
      <c r="D234" s="2" t="s">
        <v>13696</v>
      </c>
      <c r="E234" s="2">
        <v>43130.0</v>
      </c>
      <c r="F234" s="2">
        <v>247.0</v>
      </c>
      <c r="G234" s="2">
        <v>2014.0</v>
      </c>
      <c r="H234" s="2" t="s">
        <v>5906</v>
      </c>
      <c r="I234" s="2" t="s">
        <v>5905</v>
      </c>
      <c r="J234" s="2" t="s">
        <v>6393</v>
      </c>
      <c r="K234" s="2" t="s">
        <v>13697</v>
      </c>
    </row>
    <row r="235">
      <c r="A235" s="2" t="s">
        <v>5751</v>
      </c>
      <c r="B235" s="2" t="s">
        <v>13698</v>
      </c>
      <c r="C235" s="2">
        <v>9654615.0</v>
      </c>
      <c r="D235" s="2" t="s">
        <v>13699</v>
      </c>
      <c r="E235" s="2">
        <v>141269.0</v>
      </c>
      <c r="F235" s="2">
        <v>782.0</v>
      </c>
      <c r="G235" s="2">
        <v>153.0</v>
      </c>
      <c r="H235" s="2" t="s">
        <v>5906</v>
      </c>
      <c r="I235" s="2" t="s">
        <v>5905</v>
      </c>
      <c r="J235" s="2" t="s">
        <v>8144</v>
      </c>
    </row>
    <row r="236">
      <c r="A236" s="2" t="s">
        <v>5751</v>
      </c>
      <c r="B236" s="2" t="s">
        <v>13700</v>
      </c>
      <c r="C236" s="2">
        <v>7.4992909894E10</v>
      </c>
      <c r="D236" s="2" t="s">
        <v>13701</v>
      </c>
      <c r="E236" s="2">
        <v>146188.0</v>
      </c>
      <c r="F236" s="2">
        <v>1194.0</v>
      </c>
      <c r="G236" s="2">
        <v>104.0</v>
      </c>
      <c r="H236" s="2" t="s">
        <v>5905</v>
      </c>
      <c r="I236" s="2" t="s">
        <v>5905</v>
      </c>
      <c r="J236" s="2" t="s">
        <v>4404</v>
      </c>
      <c r="K236" s="2" t="s">
        <v>13702</v>
      </c>
      <c r="L236" s="10" t="s">
        <v>13703</v>
      </c>
    </row>
    <row r="237">
      <c r="A237" s="2" t="s">
        <v>5831</v>
      </c>
      <c r="B237" s="2" t="s">
        <v>13704</v>
      </c>
      <c r="C237" s="2">
        <v>1.551431148E9</v>
      </c>
      <c r="D237" s="2" t="s">
        <v>13705</v>
      </c>
      <c r="E237" s="2">
        <v>2907261.0</v>
      </c>
      <c r="F237" s="2">
        <v>2150.0</v>
      </c>
      <c r="G237" s="2">
        <v>2055.0</v>
      </c>
      <c r="H237" s="2" t="s">
        <v>5906</v>
      </c>
      <c r="I237" s="2" t="s">
        <v>5905</v>
      </c>
      <c r="J237" s="2" t="s">
        <v>13706</v>
      </c>
      <c r="K237" s="2" t="s">
        <v>13707</v>
      </c>
      <c r="L237" s="10" t="s">
        <v>13708</v>
      </c>
    </row>
    <row r="238">
      <c r="A238" s="2" t="s">
        <v>5831</v>
      </c>
      <c r="B238" s="2" t="s">
        <v>13709</v>
      </c>
      <c r="C238" s="2">
        <v>6.80066104E9</v>
      </c>
      <c r="D238" s="2" t="s">
        <v>13710</v>
      </c>
      <c r="E238" s="2">
        <v>155412.0</v>
      </c>
      <c r="F238" s="2">
        <v>2544.0</v>
      </c>
      <c r="G238" s="2">
        <v>575.0</v>
      </c>
      <c r="H238" s="2" t="s">
        <v>5905</v>
      </c>
      <c r="I238" s="2" t="s">
        <v>5906</v>
      </c>
      <c r="J238" s="2" t="s">
        <v>6628</v>
      </c>
      <c r="K238" s="2" t="s">
        <v>13711</v>
      </c>
      <c r="L238" s="10" t="s">
        <v>13712</v>
      </c>
    </row>
    <row r="239">
      <c r="A239" s="2" t="s">
        <v>5831</v>
      </c>
      <c r="B239" s="2" t="s">
        <v>13713</v>
      </c>
      <c r="C239" s="2">
        <v>2.217276806E9</v>
      </c>
      <c r="D239" s="2" t="s">
        <v>5831</v>
      </c>
      <c r="E239" s="2">
        <v>2735045.0</v>
      </c>
      <c r="F239" s="2">
        <v>1257.0</v>
      </c>
      <c r="G239" s="2">
        <v>1126.0</v>
      </c>
      <c r="H239" s="2" t="s">
        <v>5906</v>
      </c>
      <c r="I239" s="2" t="s">
        <v>5905</v>
      </c>
      <c r="J239" s="2" t="s">
        <v>5492</v>
      </c>
      <c r="K239" s="2" t="s">
        <v>13714</v>
      </c>
      <c r="L239" s="10" t="s">
        <v>13715</v>
      </c>
    </row>
    <row r="240">
      <c r="A240" s="2" t="s">
        <v>5832</v>
      </c>
      <c r="B240" s="2" t="s">
        <v>13716</v>
      </c>
      <c r="C240" s="2">
        <v>1.838911E7</v>
      </c>
      <c r="D240" s="2" t="s">
        <v>13717</v>
      </c>
      <c r="E240" s="2">
        <v>11708.0</v>
      </c>
      <c r="F240" s="2">
        <v>1905.0</v>
      </c>
      <c r="G240" s="2">
        <v>741.0</v>
      </c>
      <c r="H240" s="2" t="s">
        <v>5906</v>
      </c>
      <c r="I240" s="2" t="s">
        <v>5905</v>
      </c>
      <c r="J240" s="2" t="s">
        <v>11730</v>
      </c>
      <c r="K240" s="2" t="s">
        <v>13718</v>
      </c>
    </row>
    <row r="241">
      <c r="A241" s="2" t="s">
        <v>5832</v>
      </c>
      <c r="B241" s="2" t="s">
        <v>13719</v>
      </c>
      <c r="C241" s="2">
        <v>4.408034E7</v>
      </c>
      <c r="D241" s="2" t="s">
        <v>13720</v>
      </c>
      <c r="E241" s="2">
        <v>2981814.0</v>
      </c>
      <c r="F241" s="2">
        <v>3593.0</v>
      </c>
      <c r="G241" s="2">
        <v>1277.0</v>
      </c>
      <c r="H241" s="2" t="s">
        <v>5906</v>
      </c>
      <c r="I241" s="2" t="s">
        <v>5905</v>
      </c>
      <c r="J241" s="2" t="s">
        <v>5993</v>
      </c>
      <c r="K241" s="2" t="s">
        <v>13721</v>
      </c>
      <c r="L241" s="10" t="s">
        <v>13722</v>
      </c>
    </row>
    <row r="242">
      <c r="A242" s="2" t="s">
        <v>5833</v>
      </c>
      <c r="B242" s="2" t="s">
        <v>13723</v>
      </c>
      <c r="C242" s="2">
        <v>2.01883516E8</v>
      </c>
      <c r="D242" s="2" t="s">
        <v>13724</v>
      </c>
      <c r="E242" s="2">
        <v>3029710.0</v>
      </c>
      <c r="F242" s="2">
        <v>899.0</v>
      </c>
      <c r="G242" s="2">
        <v>299.0</v>
      </c>
      <c r="H242" s="2" t="s">
        <v>5906</v>
      </c>
      <c r="I242" s="2" t="s">
        <v>5905</v>
      </c>
      <c r="J242" s="2" t="s">
        <v>8838</v>
      </c>
      <c r="K242" s="2" t="s">
        <v>13725</v>
      </c>
    </row>
    <row r="243">
      <c r="A243" s="2" t="s">
        <v>5833</v>
      </c>
      <c r="B243" s="2" t="s">
        <v>13726</v>
      </c>
      <c r="C243" s="2">
        <v>1.57794535E9</v>
      </c>
      <c r="D243" s="2" t="s">
        <v>13727</v>
      </c>
      <c r="E243" s="2">
        <v>535492.0</v>
      </c>
      <c r="F243" s="2">
        <v>286.0</v>
      </c>
      <c r="G243" s="2">
        <v>326.0</v>
      </c>
      <c r="H243" s="2" t="s">
        <v>5906</v>
      </c>
      <c r="I243" s="2" t="s">
        <v>5905</v>
      </c>
      <c r="J243" s="2" t="s">
        <v>5959</v>
      </c>
      <c r="K243" s="2" t="s">
        <v>13728</v>
      </c>
      <c r="L243" s="10" t="s">
        <v>13729</v>
      </c>
    </row>
    <row r="244">
      <c r="A244" s="2" t="s">
        <v>5781</v>
      </c>
      <c r="B244" s="2" t="s">
        <v>13730</v>
      </c>
      <c r="C244" s="2">
        <v>1.494465305E9</v>
      </c>
      <c r="D244" s="2" t="s">
        <v>13731</v>
      </c>
      <c r="E244" s="2">
        <v>87967.0</v>
      </c>
      <c r="F244" s="2">
        <v>946.0</v>
      </c>
      <c r="G244" s="2">
        <v>1325.0</v>
      </c>
      <c r="H244" s="2" t="s">
        <v>5906</v>
      </c>
      <c r="I244" s="2" t="s">
        <v>5905</v>
      </c>
      <c r="J244" s="2" t="s">
        <v>12900</v>
      </c>
      <c r="K244" s="2" t="s">
        <v>13732</v>
      </c>
    </row>
    <row r="245">
      <c r="A245" s="2" t="s">
        <v>5781</v>
      </c>
      <c r="B245" s="2" t="s">
        <v>13733</v>
      </c>
      <c r="C245" s="2">
        <v>5.66328842E8</v>
      </c>
      <c r="D245" s="2" t="s">
        <v>13734</v>
      </c>
      <c r="E245" s="2">
        <v>1.0764038E7</v>
      </c>
      <c r="F245" s="2">
        <v>2904.0</v>
      </c>
      <c r="G245" s="2">
        <v>13566.0</v>
      </c>
      <c r="H245" s="2" t="s">
        <v>5906</v>
      </c>
      <c r="I245" s="2" t="s">
        <v>5906</v>
      </c>
      <c r="J245" s="2" t="s">
        <v>4397</v>
      </c>
      <c r="K245" s="2" t="s">
        <v>13735</v>
      </c>
      <c r="L245" s="10" t="s">
        <v>13736</v>
      </c>
    </row>
    <row r="246">
      <c r="A246" s="2" t="s">
        <v>5597</v>
      </c>
      <c r="B246" s="2" t="s">
        <v>13737</v>
      </c>
      <c r="C246" s="2">
        <v>3296236.0</v>
      </c>
      <c r="D246" s="2" t="s">
        <v>13737</v>
      </c>
      <c r="E246" s="2">
        <v>148211.0</v>
      </c>
      <c r="F246" s="2">
        <v>1217.0</v>
      </c>
      <c r="G246" s="2">
        <v>128.0</v>
      </c>
      <c r="H246" s="2" t="s">
        <v>5906</v>
      </c>
      <c r="I246" s="2" t="s">
        <v>5905</v>
      </c>
      <c r="J246" s="2" t="s">
        <v>7620</v>
      </c>
      <c r="K246" s="2" t="s">
        <v>13738</v>
      </c>
      <c r="L246" s="10" t="s">
        <v>13739</v>
      </c>
    </row>
    <row r="247">
      <c r="A247" s="2" t="s">
        <v>5597</v>
      </c>
      <c r="B247" s="2" t="s">
        <v>13740</v>
      </c>
      <c r="C247" s="2">
        <v>2.084258637E9</v>
      </c>
      <c r="D247" s="2" t="s">
        <v>13741</v>
      </c>
      <c r="E247" s="2">
        <v>9739270.0</v>
      </c>
      <c r="F247" s="2">
        <v>188.0</v>
      </c>
      <c r="G247" s="2">
        <v>142.0</v>
      </c>
      <c r="H247" s="2" t="s">
        <v>5906</v>
      </c>
      <c r="I247" s="2" t="s">
        <v>5906</v>
      </c>
      <c r="J247" s="2" t="s">
        <v>8144</v>
      </c>
    </row>
    <row r="248">
      <c r="A248" s="2" t="s">
        <v>5664</v>
      </c>
      <c r="B248" s="2" t="s">
        <v>13742</v>
      </c>
      <c r="C248" s="2">
        <v>1.101566163E9</v>
      </c>
      <c r="D248" s="2" t="s">
        <v>13743</v>
      </c>
      <c r="E248" s="2">
        <v>134681.0</v>
      </c>
      <c r="F248" s="2">
        <v>559.0</v>
      </c>
      <c r="G248" s="2">
        <v>753.0</v>
      </c>
      <c r="H248" s="2" t="s">
        <v>5906</v>
      </c>
      <c r="I248" s="2" t="s">
        <v>5905</v>
      </c>
      <c r="J248" s="2" t="s">
        <v>5959</v>
      </c>
      <c r="K248" s="2" t="s">
        <v>13744</v>
      </c>
    </row>
    <row r="249">
      <c r="A249" s="2" t="s">
        <v>5664</v>
      </c>
      <c r="B249" s="2" t="s">
        <v>13745</v>
      </c>
      <c r="C249" s="2">
        <v>3.231363582E9</v>
      </c>
      <c r="D249" s="2" t="s">
        <v>13746</v>
      </c>
      <c r="E249" s="2">
        <v>7428819.0</v>
      </c>
      <c r="F249" s="2">
        <v>1619.0</v>
      </c>
      <c r="G249" s="2">
        <v>1851.0</v>
      </c>
      <c r="H249" s="2" t="s">
        <v>5906</v>
      </c>
      <c r="I249" s="2" t="s">
        <v>5905</v>
      </c>
      <c r="J249" s="2" t="s">
        <v>5391</v>
      </c>
      <c r="K249" s="2" t="s">
        <v>13747</v>
      </c>
      <c r="L249" s="10" t="s">
        <v>13748</v>
      </c>
    </row>
    <row r="250">
      <c r="A250" s="2" t="s">
        <v>5664</v>
      </c>
      <c r="B250" s="2" t="s">
        <v>13749</v>
      </c>
      <c r="C250" s="2">
        <v>2.2472022E8</v>
      </c>
      <c r="D250" s="2" t="s">
        <v>13750</v>
      </c>
      <c r="E250" s="2">
        <v>154783.0</v>
      </c>
      <c r="F250" s="2">
        <v>509.0</v>
      </c>
      <c r="G250" s="2">
        <v>647.0</v>
      </c>
      <c r="H250" s="2" t="s">
        <v>5905</v>
      </c>
      <c r="I250" s="2" t="s">
        <v>5906</v>
      </c>
      <c r="J250" s="2" t="s">
        <v>5959</v>
      </c>
      <c r="K250" s="2" t="s">
        <v>13751</v>
      </c>
      <c r="L250" s="10" t="s">
        <v>13752</v>
      </c>
    </row>
    <row r="251">
      <c r="A251" s="2" t="s">
        <v>5664</v>
      </c>
      <c r="B251" s="2" t="s">
        <v>13753</v>
      </c>
      <c r="C251" s="2">
        <v>1.0175602E7</v>
      </c>
      <c r="D251" s="2" t="s">
        <v>13754</v>
      </c>
      <c r="E251" s="2">
        <v>1356177.0</v>
      </c>
      <c r="F251" s="2">
        <v>1110.0</v>
      </c>
      <c r="G251" s="2">
        <v>886.0</v>
      </c>
      <c r="H251" s="2" t="s">
        <v>5906</v>
      </c>
      <c r="I251" s="2" t="s">
        <v>5905</v>
      </c>
      <c r="J251" s="2" t="s">
        <v>5959</v>
      </c>
      <c r="K251" s="2" t="s">
        <v>13755</v>
      </c>
      <c r="L251" s="10" t="s">
        <v>13756</v>
      </c>
    </row>
    <row r="252">
      <c r="A252" s="2" t="s">
        <v>5664</v>
      </c>
      <c r="B252" s="2" t="s">
        <v>13757</v>
      </c>
      <c r="C252" s="2">
        <v>2.79038122E8</v>
      </c>
      <c r="D252" s="2" t="s">
        <v>13758</v>
      </c>
      <c r="E252" s="2">
        <v>1876691.0</v>
      </c>
      <c r="F252" s="2">
        <v>998.0</v>
      </c>
      <c r="G252" s="2">
        <v>1196.0</v>
      </c>
      <c r="H252" s="2" t="s">
        <v>5906</v>
      </c>
      <c r="I252" s="2" t="s">
        <v>5905</v>
      </c>
      <c r="J252" s="2" t="s">
        <v>8144</v>
      </c>
      <c r="K252" s="2" t="s">
        <v>13759</v>
      </c>
      <c r="L252" s="10" t="s">
        <v>13760</v>
      </c>
    </row>
    <row r="253">
      <c r="A253" s="2" t="s">
        <v>5611</v>
      </c>
      <c r="B253" s="2" t="s">
        <v>13761</v>
      </c>
      <c r="C253" s="2">
        <v>6.079325638E9</v>
      </c>
      <c r="D253" s="2" t="s">
        <v>13762</v>
      </c>
      <c r="E253" s="2">
        <v>17212.0</v>
      </c>
      <c r="F253" s="2">
        <v>1287.0</v>
      </c>
      <c r="G253" s="2">
        <v>168.0</v>
      </c>
      <c r="H253" s="2" t="s">
        <v>5905</v>
      </c>
      <c r="I253" s="2" t="s">
        <v>5905</v>
      </c>
      <c r="J253" s="2" t="s">
        <v>13763</v>
      </c>
      <c r="K253" s="2" t="s">
        <v>13764</v>
      </c>
      <c r="L253" s="10" t="s">
        <v>13765</v>
      </c>
    </row>
    <row r="254">
      <c r="A254" s="2" t="s">
        <v>5835</v>
      </c>
      <c r="B254" s="2" t="s">
        <v>13766</v>
      </c>
      <c r="C254" s="2">
        <v>3.566418816E9</v>
      </c>
      <c r="D254" s="2" t="s">
        <v>13767</v>
      </c>
      <c r="E254" s="2">
        <v>76922.0</v>
      </c>
      <c r="F254" s="2">
        <v>271.0</v>
      </c>
      <c r="G254" s="2">
        <v>1469.0</v>
      </c>
      <c r="H254" s="2" t="s">
        <v>5906</v>
      </c>
      <c r="I254" s="2" t="s">
        <v>5906</v>
      </c>
      <c r="K254" s="2" t="s">
        <v>13768</v>
      </c>
      <c r="L254" s="10" t="s">
        <v>13769</v>
      </c>
    </row>
    <row r="255">
      <c r="A255" s="2" t="s">
        <v>5835</v>
      </c>
      <c r="B255" s="2" t="s">
        <v>13770</v>
      </c>
      <c r="C255" s="2">
        <v>1.8194718514E10</v>
      </c>
      <c r="D255" s="2" t="s">
        <v>13771</v>
      </c>
      <c r="E255" s="2">
        <v>105248.0</v>
      </c>
      <c r="F255" s="2">
        <v>2023.0</v>
      </c>
      <c r="G255" s="2">
        <v>168.0</v>
      </c>
      <c r="H255" s="2" t="s">
        <v>5905</v>
      </c>
      <c r="I255" s="2" t="s">
        <v>5905</v>
      </c>
      <c r="J255" s="2" t="s">
        <v>6354</v>
      </c>
      <c r="K255" s="2" t="s">
        <v>13772</v>
      </c>
      <c r="L255" s="10" t="s">
        <v>13773</v>
      </c>
    </row>
    <row r="256">
      <c r="A256" s="2" t="s">
        <v>5835</v>
      </c>
      <c r="B256" s="2" t="s">
        <v>13774</v>
      </c>
      <c r="C256" s="2">
        <v>4.86614958E10</v>
      </c>
      <c r="D256" s="2" t="s">
        <v>13775</v>
      </c>
      <c r="E256" s="2">
        <v>169468.0</v>
      </c>
      <c r="F256" s="2">
        <v>300.0</v>
      </c>
      <c r="G256" s="2">
        <v>70.0</v>
      </c>
      <c r="H256" s="2" t="s">
        <v>5906</v>
      </c>
      <c r="I256" s="2" t="s">
        <v>5905</v>
      </c>
      <c r="J256" s="2" t="s">
        <v>6354</v>
      </c>
      <c r="K256" s="2" t="s">
        <v>13776</v>
      </c>
      <c r="L256" s="10" t="s">
        <v>13777</v>
      </c>
    </row>
    <row r="257">
      <c r="A257" s="2" t="s">
        <v>5835</v>
      </c>
      <c r="B257" s="2" t="s">
        <v>13778</v>
      </c>
      <c r="C257" s="2">
        <v>1.913247717E9</v>
      </c>
      <c r="D257" s="2" t="s">
        <v>5835</v>
      </c>
      <c r="E257" s="2">
        <v>207336.0</v>
      </c>
      <c r="F257" s="2">
        <v>4962.0</v>
      </c>
      <c r="G257" s="2">
        <v>2836.0</v>
      </c>
      <c r="H257" s="2" t="s">
        <v>5906</v>
      </c>
      <c r="I257" s="2" t="s">
        <v>5906</v>
      </c>
      <c r="K257" s="2" t="s">
        <v>13779</v>
      </c>
      <c r="L257" s="10" t="s">
        <v>13780</v>
      </c>
    </row>
    <row r="258">
      <c r="A258" s="2" t="s">
        <v>5835</v>
      </c>
      <c r="B258" s="2" t="s">
        <v>13781</v>
      </c>
      <c r="C258" s="2">
        <v>5.9467922305E10</v>
      </c>
      <c r="D258" s="2" t="s">
        <v>5835</v>
      </c>
      <c r="E258" s="2">
        <v>130220.0</v>
      </c>
      <c r="F258" s="2">
        <v>11.0</v>
      </c>
      <c r="G258" s="2">
        <v>789.0</v>
      </c>
      <c r="H258" s="2" t="s">
        <v>5905</v>
      </c>
      <c r="I258" s="2" t="s">
        <v>5905</v>
      </c>
      <c r="J258" s="2" t="s">
        <v>5928</v>
      </c>
      <c r="K258" s="2" t="s">
        <v>13782</v>
      </c>
      <c r="L258" s="10" t="s">
        <v>13783</v>
      </c>
    </row>
    <row r="259">
      <c r="A259" s="2" t="s">
        <v>5836</v>
      </c>
      <c r="B259" s="2" t="s">
        <v>13784</v>
      </c>
      <c r="C259" s="2">
        <v>2.5814807E7</v>
      </c>
      <c r="D259" s="2" t="s">
        <v>13785</v>
      </c>
      <c r="E259" s="2">
        <v>104915.0</v>
      </c>
      <c r="F259" s="2">
        <v>1031.0</v>
      </c>
      <c r="G259" s="2">
        <v>471.0</v>
      </c>
      <c r="H259" s="2" t="s">
        <v>5905</v>
      </c>
      <c r="I259" s="2" t="s">
        <v>5905</v>
      </c>
      <c r="J259" s="2" t="s">
        <v>8838</v>
      </c>
      <c r="K259" s="2" t="s">
        <v>13786</v>
      </c>
    </row>
    <row r="260">
      <c r="A260" s="2" t="s">
        <v>5695</v>
      </c>
      <c r="B260" s="2" t="s">
        <v>13787</v>
      </c>
      <c r="C260" s="2">
        <v>1.053720493E9</v>
      </c>
      <c r="D260" s="2" t="s">
        <v>13788</v>
      </c>
      <c r="E260" s="2">
        <v>47596.0</v>
      </c>
      <c r="F260" s="2">
        <v>490.0</v>
      </c>
      <c r="G260" s="2">
        <v>73.0</v>
      </c>
      <c r="H260" s="2" t="s">
        <v>5906</v>
      </c>
      <c r="I260" s="2" t="s">
        <v>5905</v>
      </c>
      <c r="K260" s="2" t="s">
        <v>13789</v>
      </c>
    </row>
    <row r="261">
      <c r="A261" s="2" t="s">
        <v>5695</v>
      </c>
      <c r="B261" s="2" t="s">
        <v>13790</v>
      </c>
      <c r="C261" s="2">
        <v>1.0899464E7</v>
      </c>
      <c r="D261" s="2" t="s">
        <v>13791</v>
      </c>
      <c r="E261" s="2">
        <v>16663.0</v>
      </c>
      <c r="F261" s="2">
        <v>453.0</v>
      </c>
      <c r="G261" s="2">
        <v>1189.0</v>
      </c>
      <c r="H261" s="2" t="s">
        <v>5905</v>
      </c>
      <c r="I261" s="2" t="s">
        <v>5906</v>
      </c>
      <c r="J261" s="2" t="s">
        <v>6414</v>
      </c>
      <c r="K261" s="2" t="s">
        <v>13792</v>
      </c>
      <c r="L261" s="10" t="s">
        <v>13793</v>
      </c>
    </row>
    <row r="262">
      <c r="A262" s="2" t="s">
        <v>5695</v>
      </c>
      <c r="B262" s="2" t="s">
        <v>13794</v>
      </c>
      <c r="C262" s="2">
        <v>4.7177464E7</v>
      </c>
      <c r="D262" s="2" t="s">
        <v>13795</v>
      </c>
      <c r="E262" s="2">
        <v>2389978.0</v>
      </c>
      <c r="F262" s="2">
        <v>997.0</v>
      </c>
      <c r="G262" s="2">
        <v>464.0</v>
      </c>
      <c r="H262" s="2" t="s">
        <v>5906</v>
      </c>
      <c r="I262" s="2" t="s">
        <v>5905</v>
      </c>
      <c r="J262" s="2" t="s">
        <v>5928</v>
      </c>
      <c r="K262" s="2" t="s">
        <v>13796</v>
      </c>
      <c r="L262" s="10" t="s">
        <v>13797</v>
      </c>
    </row>
    <row r="263">
      <c r="A263" s="2" t="s">
        <v>5695</v>
      </c>
      <c r="B263" s="2" t="s">
        <v>13798</v>
      </c>
      <c r="C263" s="2">
        <v>5.4134923781E10</v>
      </c>
      <c r="D263" s="2" t="s">
        <v>13799</v>
      </c>
      <c r="E263" s="2">
        <v>154948.0</v>
      </c>
      <c r="F263" s="2">
        <v>761.0</v>
      </c>
      <c r="G263" s="2">
        <v>427.0</v>
      </c>
      <c r="H263" s="2" t="s">
        <v>5905</v>
      </c>
      <c r="I263" s="2" t="s">
        <v>5905</v>
      </c>
      <c r="K263" s="2" t="s">
        <v>13800</v>
      </c>
      <c r="L263" s="10" t="s">
        <v>13801</v>
      </c>
    </row>
    <row r="264">
      <c r="A264" s="2" t="s">
        <v>5675</v>
      </c>
      <c r="B264" s="2" t="s">
        <v>13802</v>
      </c>
      <c r="C264" s="2">
        <v>6.423866576E9</v>
      </c>
      <c r="D264" s="2" t="s">
        <v>13803</v>
      </c>
      <c r="E264" s="2">
        <v>163284.0</v>
      </c>
      <c r="F264" s="2">
        <v>10.0</v>
      </c>
      <c r="G264" s="2">
        <v>334.0</v>
      </c>
      <c r="H264" s="2" t="s">
        <v>5906</v>
      </c>
      <c r="I264" s="2" t="s">
        <v>5905</v>
      </c>
      <c r="K264" s="2" t="s">
        <v>13804</v>
      </c>
      <c r="L264" s="10" t="s">
        <v>13805</v>
      </c>
    </row>
    <row r="265">
      <c r="A265" s="2" t="s">
        <v>5717</v>
      </c>
      <c r="B265" s="2" t="s">
        <v>13806</v>
      </c>
      <c r="C265" s="2">
        <v>1.422113764E9</v>
      </c>
      <c r="D265" s="2" t="s">
        <v>13807</v>
      </c>
      <c r="E265" s="2">
        <v>80062.0</v>
      </c>
      <c r="F265" s="2">
        <v>434.0</v>
      </c>
      <c r="G265" s="2">
        <v>292.0</v>
      </c>
      <c r="H265" s="2" t="s">
        <v>5906</v>
      </c>
      <c r="I265" s="2" t="s">
        <v>5905</v>
      </c>
      <c r="J265" s="2" t="s">
        <v>6414</v>
      </c>
      <c r="K265" s="2" t="s">
        <v>13808</v>
      </c>
    </row>
    <row r="266">
      <c r="A266" s="2" t="s">
        <v>5717</v>
      </c>
      <c r="B266" s="2" t="s">
        <v>13809</v>
      </c>
      <c r="C266" s="2">
        <v>5019660.0</v>
      </c>
      <c r="D266" s="2" t="s">
        <v>13810</v>
      </c>
      <c r="E266" s="2">
        <v>1566620.0</v>
      </c>
      <c r="F266" s="2">
        <v>2007.0</v>
      </c>
      <c r="G266" s="2">
        <v>2582.0</v>
      </c>
      <c r="H266" s="2" t="s">
        <v>5906</v>
      </c>
      <c r="I266" s="2" t="s">
        <v>5905</v>
      </c>
      <c r="J266" s="2" t="s">
        <v>8604</v>
      </c>
      <c r="K266" s="2" t="s">
        <v>13811</v>
      </c>
      <c r="L266" s="10" t="s">
        <v>13812</v>
      </c>
    </row>
    <row r="267">
      <c r="A267" s="2" t="s">
        <v>5772</v>
      </c>
      <c r="B267" s="2" t="s">
        <v>13813</v>
      </c>
      <c r="C267" s="2">
        <v>1.83221954E8</v>
      </c>
      <c r="D267" s="2" t="s">
        <v>13814</v>
      </c>
      <c r="E267" s="2">
        <v>1362514.0</v>
      </c>
      <c r="F267" s="2">
        <v>1122.0</v>
      </c>
      <c r="G267" s="2">
        <v>5451.0</v>
      </c>
      <c r="H267" s="2" t="s">
        <v>5906</v>
      </c>
      <c r="I267" s="2" t="s">
        <v>5905</v>
      </c>
      <c r="J267" s="2" t="s">
        <v>5993</v>
      </c>
      <c r="K267" s="2" t="s">
        <v>13815</v>
      </c>
    </row>
    <row r="268">
      <c r="A268" s="2" t="s">
        <v>5772</v>
      </c>
      <c r="B268" s="2" t="s">
        <v>13813</v>
      </c>
      <c r="C268" s="2">
        <v>1.83221954E8</v>
      </c>
      <c r="D268" s="2" t="s">
        <v>13814</v>
      </c>
      <c r="E268" s="2">
        <v>1362513.0</v>
      </c>
      <c r="F268" s="2">
        <v>1122.0</v>
      </c>
      <c r="G268" s="2">
        <v>5451.0</v>
      </c>
      <c r="H268" s="2" t="s">
        <v>5906</v>
      </c>
      <c r="I268" s="2" t="s">
        <v>5905</v>
      </c>
      <c r="J268" s="2" t="s">
        <v>5993</v>
      </c>
      <c r="K268" s="2" t="s">
        <v>13815</v>
      </c>
    </row>
    <row r="269">
      <c r="A269" s="2" t="s">
        <v>5772</v>
      </c>
      <c r="B269" s="2" t="s">
        <v>13816</v>
      </c>
      <c r="C269" s="2">
        <v>3.8338487368E10</v>
      </c>
      <c r="E269" s="2">
        <v>66760.0</v>
      </c>
      <c r="F269" s="2">
        <v>3205.0</v>
      </c>
      <c r="G269" s="2">
        <v>87.0</v>
      </c>
      <c r="H269" s="2" t="s">
        <v>5905</v>
      </c>
      <c r="I269" s="2" t="s">
        <v>5905</v>
      </c>
      <c r="J269" s="2" t="s">
        <v>7414</v>
      </c>
      <c r="K269" s="2" t="s">
        <v>13817</v>
      </c>
    </row>
    <row r="270">
      <c r="A270" s="2" t="s">
        <v>5732</v>
      </c>
      <c r="B270" s="2" t="s">
        <v>13818</v>
      </c>
      <c r="C270" s="2">
        <v>2.64909454E8</v>
      </c>
      <c r="D270" s="2" t="s">
        <v>13819</v>
      </c>
      <c r="E270" s="2">
        <v>4672209.0</v>
      </c>
      <c r="F270" s="2">
        <v>1822.0</v>
      </c>
      <c r="G270" s="2">
        <v>579.0</v>
      </c>
      <c r="H270" s="2" t="s">
        <v>5906</v>
      </c>
      <c r="I270" s="2" t="s">
        <v>5905</v>
      </c>
      <c r="K270" s="2" t="s">
        <v>13820</v>
      </c>
      <c r="L270" s="10" t="s">
        <v>13821</v>
      </c>
    </row>
    <row r="271">
      <c r="A271" s="2" t="s">
        <v>5760</v>
      </c>
      <c r="B271" s="2" t="s">
        <v>13822</v>
      </c>
      <c r="C271" s="2">
        <v>2.15151627E8</v>
      </c>
      <c r="D271" s="2" t="s">
        <v>13823</v>
      </c>
      <c r="E271" s="2">
        <v>7716128.0</v>
      </c>
      <c r="F271" s="2">
        <v>2354.0</v>
      </c>
      <c r="G271" s="2">
        <v>1159.0</v>
      </c>
      <c r="H271" s="2" t="s">
        <v>5906</v>
      </c>
      <c r="I271" s="2" t="s">
        <v>5906</v>
      </c>
      <c r="J271" s="2" t="s">
        <v>5993</v>
      </c>
      <c r="K271" s="2" t="s">
        <v>13824</v>
      </c>
      <c r="L271" s="10" t="s">
        <v>13825</v>
      </c>
    </row>
    <row r="272">
      <c r="A272" s="2" t="s">
        <v>5838</v>
      </c>
      <c r="B272" s="2" t="s">
        <v>13826</v>
      </c>
      <c r="C272" s="2">
        <v>2.0746464E8</v>
      </c>
      <c r="D272" s="2" t="s">
        <v>13827</v>
      </c>
      <c r="E272" s="2">
        <v>787039.0</v>
      </c>
      <c r="F272" s="2">
        <v>956.0</v>
      </c>
      <c r="G272" s="2">
        <v>1221.0</v>
      </c>
      <c r="H272" s="2" t="s">
        <v>5906</v>
      </c>
      <c r="I272" s="2" t="s">
        <v>5905</v>
      </c>
      <c r="J272" s="2" t="s">
        <v>5391</v>
      </c>
      <c r="K272" s="2" t="s">
        <v>13828</v>
      </c>
      <c r="L272" s="10" t="s">
        <v>13829</v>
      </c>
    </row>
    <row r="273">
      <c r="A273" s="2" t="s">
        <v>5838</v>
      </c>
      <c r="B273" s="2" t="s">
        <v>13830</v>
      </c>
      <c r="C273" s="2">
        <v>2.283493549E9</v>
      </c>
      <c r="D273" s="2" t="s">
        <v>13831</v>
      </c>
      <c r="E273" s="2">
        <v>17910.0</v>
      </c>
      <c r="F273" s="2">
        <v>1.0</v>
      </c>
      <c r="G273" s="2">
        <v>0.0</v>
      </c>
      <c r="H273" s="2" t="s">
        <v>5905</v>
      </c>
      <c r="I273" s="2" t="s">
        <v>5905</v>
      </c>
      <c r="K273" s="2" t="s">
        <v>13832</v>
      </c>
      <c r="L273" s="10" t="s">
        <v>13833</v>
      </c>
    </row>
    <row r="274">
      <c r="A274" s="2" t="s">
        <v>5750</v>
      </c>
      <c r="B274" s="2" t="s">
        <v>13834</v>
      </c>
      <c r="C274" s="2">
        <v>3.88376486E8</v>
      </c>
      <c r="D274" s="2" t="s">
        <v>13835</v>
      </c>
      <c r="E274" s="2">
        <v>1429147.0</v>
      </c>
      <c r="F274" s="2">
        <v>838.0</v>
      </c>
      <c r="G274" s="2">
        <v>592.0</v>
      </c>
      <c r="H274" s="2" t="s">
        <v>5906</v>
      </c>
      <c r="I274" s="2" t="s">
        <v>5905</v>
      </c>
      <c r="J274" s="2" t="s">
        <v>8144</v>
      </c>
      <c r="K274" s="2" t="s">
        <v>13836</v>
      </c>
    </row>
    <row r="275">
      <c r="A275" s="2" t="s">
        <v>5721</v>
      </c>
      <c r="B275" s="2" t="s">
        <v>13837</v>
      </c>
      <c r="C275" s="2">
        <v>29.0</v>
      </c>
      <c r="D275" s="2" t="s">
        <v>5721</v>
      </c>
      <c r="E275" s="2">
        <v>51746.0</v>
      </c>
      <c r="F275" s="2">
        <v>4911.0</v>
      </c>
      <c r="G275" s="2">
        <v>1280.0</v>
      </c>
      <c r="H275" s="2" t="s">
        <v>5905</v>
      </c>
      <c r="I275" s="2" t="s">
        <v>5905</v>
      </c>
      <c r="K275" s="2" t="s">
        <v>13838</v>
      </c>
    </row>
    <row r="276">
      <c r="A276" s="2" t="s">
        <v>5721</v>
      </c>
      <c r="B276" s="2" t="s">
        <v>13839</v>
      </c>
      <c r="C276" s="2">
        <v>2.035283E7</v>
      </c>
      <c r="D276" s="2" t="s">
        <v>5721</v>
      </c>
      <c r="E276" s="2">
        <v>105388.0</v>
      </c>
      <c r="F276" s="2">
        <v>983.0</v>
      </c>
      <c r="G276" s="2">
        <v>262.0</v>
      </c>
      <c r="H276" s="2" t="s">
        <v>5905</v>
      </c>
      <c r="I276" s="2" t="s">
        <v>5905</v>
      </c>
      <c r="J276" s="2" t="s">
        <v>8144</v>
      </c>
      <c r="K276" s="2" t="s">
        <v>13840</v>
      </c>
      <c r="L276" s="10" t="s">
        <v>13841</v>
      </c>
    </row>
    <row r="277">
      <c r="A277" s="2" t="s">
        <v>5840</v>
      </c>
      <c r="B277" s="2" t="s">
        <v>13842</v>
      </c>
      <c r="C277" s="2">
        <v>4989734.0</v>
      </c>
      <c r="D277" s="2" t="s">
        <v>13843</v>
      </c>
      <c r="E277" s="2">
        <v>46274.0</v>
      </c>
      <c r="F277" s="2">
        <v>1494.0</v>
      </c>
      <c r="G277" s="2">
        <v>70.0</v>
      </c>
      <c r="H277" s="2" t="s">
        <v>5906</v>
      </c>
      <c r="I277" s="2" t="s">
        <v>5905</v>
      </c>
      <c r="K277" s="2" t="s">
        <v>13844</v>
      </c>
      <c r="L277" s="10" t="s">
        <v>13845</v>
      </c>
    </row>
    <row r="278">
      <c r="A278" s="2" t="s">
        <v>5840</v>
      </c>
      <c r="B278" s="2" t="s">
        <v>13846</v>
      </c>
      <c r="C278" s="2">
        <v>5.36304046E8</v>
      </c>
      <c r="D278" s="2" t="s">
        <v>5840</v>
      </c>
      <c r="E278" s="2">
        <v>863224.0</v>
      </c>
      <c r="F278" s="2">
        <v>1949.0</v>
      </c>
      <c r="G278" s="2">
        <v>338.0</v>
      </c>
      <c r="H278" s="2" t="s">
        <v>5906</v>
      </c>
      <c r="I278" s="2" t="s">
        <v>5905</v>
      </c>
      <c r="J278" s="2" t="s">
        <v>6393</v>
      </c>
      <c r="K278" s="2" t="s">
        <v>13847</v>
      </c>
      <c r="L278" s="10" t="s">
        <v>13848</v>
      </c>
    </row>
    <row r="279">
      <c r="A279" s="2" t="s">
        <v>5735</v>
      </c>
      <c r="B279" s="2" t="s">
        <v>13849</v>
      </c>
      <c r="C279" s="2">
        <v>7.730531918E9</v>
      </c>
      <c r="D279" s="2" t="s">
        <v>13850</v>
      </c>
      <c r="E279" s="2">
        <v>114516.0</v>
      </c>
      <c r="F279" s="2">
        <v>3.0</v>
      </c>
      <c r="G279" s="2">
        <v>432.0</v>
      </c>
      <c r="H279" s="2" t="s">
        <v>5906</v>
      </c>
      <c r="I279" s="2" t="s">
        <v>5906</v>
      </c>
      <c r="J279" s="2" t="s">
        <v>5391</v>
      </c>
      <c r="K279" s="2" t="s">
        <v>13851</v>
      </c>
      <c r="L279" s="10" t="s">
        <v>13852</v>
      </c>
    </row>
    <row r="280">
      <c r="A280" s="2" t="s">
        <v>5841</v>
      </c>
      <c r="B280" s="2" t="s">
        <v>13853</v>
      </c>
      <c r="C280" s="2">
        <v>7.189079373E9</v>
      </c>
      <c r="D280" s="2" t="s">
        <v>13854</v>
      </c>
      <c r="E280" s="2">
        <v>589349.0</v>
      </c>
      <c r="F280" s="2">
        <v>36.0</v>
      </c>
      <c r="G280" s="2">
        <v>8.0</v>
      </c>
      <c r="H280" s="2" t="s">
        <v>5905</v>
      </c>
      <c r="I280" s="2" t="s">
        <v>5905</v>
      </c>
      <c r="J280" s="2" t="s">
        <v>6414</v>
      </c>
      <c r="K280" s="2" t="s">
        <v>13855</v>
      </c>
      <c r="L280" s="10" t="s">
        <v>13856</v>
      </c>
    </row>
    <row r="281">
      <c r="A281" s="2" t="s">
        <v>5841</v>
      </c>
      <c r="B281" s="2" t="s">
        <v>13857</v>
      </c>
      <c r="C281" s="2">
        <v>9.772045374E9</v>
      </c>
      <c r="D281" s="2" t="s">
        <v>13858</v>
      </c>
      <c r="E281" s="2">
        <v>703015.0</v>
      </c>
      <c r="F281" s="2">
        <v>1372.0</v>
      </c>
      <c r="G281" s="2">
        <v>94.0</v>
      </c>
      <c r="H281" s="2" t="s">
        <v>5905</v>
      </c>
      <c r="I281" s="2" t="s">
        <v>5905</v>
      </c>
      <c r="J281" s="2" t="s">
        <v>5959</v>
      </c>
      <c r="K281" s="2" t="s">
        <v>13859</v>
      </c>
      <c r="L281" s="10" t="s">
        <v>13860</v>
      </c>
    </row>
    <row r="282">
      <c r="A282" s="2" t="s">
        <v>5842</v>
      </c>
      <c r="B282" s="2" t="s">
        <v>13861</v>
      </c>
      <c r="C282" s="2">
        <v>1.418682224E9</v>
      </c>
      <c r="D282" s="2" t="s">
        <v>13862</v>
      </c>
      <c r="E282" s="2">
        <v>13677.0</v>
      </c>
      <c r="F282" s="2">
        <v>2267.0</v>
      </c>
      <c r="G282" s="2">
        <v>630.0</v>
      </c>
      <c r="H282" s="2" t="s">
        <v>5905</v>
      </c>
      <c r="I282" s="2" t="s">
        <v>5905</v>
      </c>
      <c r="K282" s="2" t="s">
        <v>13863</v>
      </c>
      <c r="L282" s="10" t="s">
        <v>13864</v>
      </c>
    </row>
    <row r="283">
      <c r="A283" s="2" t="s">
        <v>5842</v>
      </c>
      <c r="B283" s="2" t="s">
        <v>13865</v>
      </c>
      <c r="C283" s="2">
        <v>1.87249022E8</v>
      </c>
      <c r="D283" s="2" t="s">
        <v>13866</v>
      </c>
      <c r="E283" s="2">
        <v>246937.0</v>
      </c>
      <c r="F283" s="2">
        <v>1676.0</v>
      </c>
      <c r="G283" s="2">
        <v>1279.0</v>
      </c>
      <c r="H283" s="2" t="s">
        <v>5906</v>
      </c>
      <c r="I283" s="2" t="s">
        <v>5906</v>
      </c>
      <c r="J283" s="2" t="s">
        <v>5492</v>
      </c>
      <c r="K283" s="2" t="s">
        <v>13867</v>
      </c>
      <c r="L283" s="10" t="s">
        <v>13868</v>
      </c>
    </row>
    <row r="284">
      <c r="A284" s="2" t="s">
        <v>5843</v>
      </c>
      <c r="B284" s="2" t="s">
        <v>13857</v>
      </c>
      <c r="C284" s="2">
        <v>9.772045374E9</v>
      </c>
      <c r="D284" s="2" t="s">
        <v>13858</v>
      </c>
      <c r="E284" s="2">
        <v>703014.0</v>
      </c>
      <c r="F284" s="2">
        <v>1372.0</v>
      </c>
      <c r="G284" s="2">
        <v>94.0</v>
      </c>
      <c r="H284" s="2" t="s">
        <v>5905</v>
      </c>
      <c r="I284" s="2" t="s">
        <v>5905</v>
      </c>
      <c r="J284" s="2" t="s">
        <v>5959</v>
      </c>
      <c r="K284" s="2" t="s">
        <v>13859</v>
      </c>
      <c r="L284" s="10" t="s">
        <v>13860</v>
      </c>
    </row>
    <row r="285">
      <c r="A285" s="2" t="s">
        <v>5843</v>
      </c>
      <c r="B285" s="2" t="s">
        <v>13869</v>
      </c>
      <c r="C285" s="2">
        <v>2.1843541E7</v>
      </c>
      <c r="D285" s="2" t="s">
        <v>13870</v>
      </c>
      <c r="E285" s="2">
        <v>97979.0</v>
      </c>
      <c r="F285" s="2">
        <v>1687.0</v>
      </c>
      <c r="G285" s="2">
        <v>214.0</v>
      </c>
      <c r="H285" s="2" t="s">
        <v>5906</v>
      </c>
      <c r="I285" s="2" t="s">
        <v>5906</v>
      </c>
      <c r="J285" s="2" t="s">
        <v>5993</v>
      </c>
      <c r="K285" s="2" t="s">
        <v>13871</v>
      </c>
      <c r="L285" s="10" t="s">
        <v>13872</v>
      </c>
    </row>
    <row r="286">
      <c r="A286" s="2" t="s">
        <v>5844</v>
      </c>
      <c r="B286" s="2" t="s">
        <v>13873</v>
      </c>
      <c r="C286" s="2">
        <v>6.8006195741E10</v>
      </c>
      <c r="D286" s="2" t="s">
        <v>13874</v>
      </c>
      <c r="E286" s="2">
        <v>19681.0</v>
      </c>
      <c r="F286" s="2">
        <v>256.0</v>
      </c>
      <c r="G286" s="2">
        <v>462.0</v>
      </c>
      <c r="H286" s="2" t="s">
        <v>5905</v>
      </c>
      <c r="I286" s="2" t="s">
        <v>5905</v>
      </c>
      <c r="J286" s="2" t="s">
        <v>7669</v>
      </c>
      <c r="K286" s="12" t="s">
        <v>13875</v>
      </c>
    </row>
    <row r="287">
      <c r="A287" s="2" t="s">
        <v>5845</v>
      </c>
      <c r="B287" s="2" t="s">
        <v>13876</v>
      </c>
      <c r="C287" s="2">
        <v>5.0043015E7</v>
      </c>
      <c r="D287" s="2" t="s">
        <v>13877</v>
      </c>
      <c r="E287" s="2">
        <v>3412084.0</v>
      </c>
      <c r="F287" s="2">
        <v>195.0</v>
      </c>
      <c r="G287" s="2">
        <v>21.0</v>
      </c>
      <c r="H287" s="2" t="s">
        <v>5906</v>
      </c>
      <c r="I287" s="2" t="s">
        <v>5906</v>
      </c>
      <c r="J287" s="2" t="s">
        <v>5993</v>
      </c>
      <c r="L287" s="10" t="s">
        <v>13878</v>
      </c>
    </row>
    <row r="288">
      <c r="A288" s="2" t="s">
        <v>5845</v>
      </c>
      <c r="B288" s="2" t="s">
        <v>13879</v>
      </c>
      <c r="C288" s="2">
        <v>7.513097381E9</v>
      </c>
      <c r="D288" s="2" t="s">
        <v>13880</v>
      </c>
      <c r="E288" s="2">
        <v>188148.0</v>
      </c>
      <c r="F288" s="2">
        <v>393.0</v>
      </c>
      <c r="G288" s="2">
        <v>8.0</v>
      </c>
      <c r="H288" s="2" t="s">
        <v>5906</v>
      </c>
      <c r="I288" s="2" t="s">
        <v>5906</v>
      </c>
      <c r="J288" s="2" t="s">
        <v>5928</v>
      </c>
      <c r="K288" s="2" t="s">
        <v>13881</v>
      </c>
      <c r="L288" s="10" t="s">
        <v>13882</v>
      </c>
    </row>
    <row r="289">
      <c r="A289" s="2" t="s">
        <v>5846</v>
      </c>
      <c r="B289" s="2" t="s">
        <v>13883</v>
      </c>
      <c r="C289" s="2">
        <v>1.8918467E7</v>
      </c>
      <c r="D289" s="2" t="s">
        <v>13884</v>
      </c>
      <c r="E289" s="2">
        <v>1.35482532E8</v>
      </c>
      <c r="F289" s="2">
        <v>425.0</v>
      </c>
      <c r="G289" s="2">
        <v>12064.0</v>
      </c>
      <c r="H289" s="2" t="s">
        <v>5906</v>
      </c>
      <c r="I289" s="2" t="s">
        <v>5906</v>
      </c>
      <c r="J289" s="2" t="s">
        <v>13634</v>
      </c>
      <c r="K289" s="2" t="s">
        <v>13885</v>
      </c>
      <c r="L289" s="10" t="s">
        <v>13886</v>
      </c>
    </row>
    <row r="290">
      <c r="A290" s="2" t="s">
        <v>5847</v>
      </c>
      <c r="B290" s="2" t="s">
        <v>13876</v>
      </c>
      <c r="C290" s="2">
        <v>5.0043015E7</v>
      </c>
      <c r="D290" s="2" t="s">
        <v>13877</v>
      </c>
      <c r="E290" s="2">
        <v>3412084.0</v>
      </c>
      <c r="F290" s="2">
        <v>195.0</v>
      </c>
      <c r="G290" s="2">
        <v>21.0</v>
      </c>
      <c r="H290" s="2" t="s">
        <v>5906</v>
      </c>
      <c r="I290" s="2" t="s">
        <v>5906</v>
      </c>
      <c r="J290" s="2" t="s">
        <v>5993</v>
      </c>
      <c r="L290" s="10" t="s">
        <v>13878</v>
      </c>
    </row>
    <row r="291">
      <c r="A291" s="2" t="s">
        <v>5847</v>
      </c>
      <c r="B291" s="2" t="s">
        <v>13887</v>
      </c>
      <c r="C291" s="2">
        <v>9.677085541E9</v>
      </c>
      <c r="D291" s="2" t="s">
        <v>13888</v>
      </c>
      <c r="E291" s="2">
        <v>18256.0</v>
      </c>
      <c r="F291" s="2">
        <v>26.0</v>
      </c>
      <c r="G291" s="2">
        <v>20.0</v>
      </c>
      <c r="H291" s="2" t="s">
        <v>5905</v>
      </c>
      <c r="I291" s="2" t="s">
        <v>5906</v>
      </c>
      <c r="K291" s="2" t="s">
        <v>13889</v>
      </c>
    </row>
    <row r="292">
      <c r="A292" s="2" t="s">
        <v>5847</v>
      </c>
      <c r="B292" s="2" t="s">
        <v>13890</v>
      </c>
      <c r="C292" s="2">
        <v>5.3804802E8</v>
      </c>
      <c r="D292" s="2" t="s">
        <v>13891</v>
      </c>
      <c r="E292" s="2">
        <v>1462987.0</v>
      </c>
      <c r="F292" s="2">
        <v>687.0</v>
      </c>
      <c r="G292" s="2">
        <v>2256.0</v>
      </c>
      <c r="H292" s="2" t="s">
        <v>5906</v>
      </c>
      <c r="I292" s="2" t="s">
        <v>5905</v>
      </c>
      <c r="J292" s="2" t="s">
        <v>5959</v>
      </c>
      <c r="K292" s="2" t="s">
        <v>13892</v>
      </c>
      <c r="L292" s="10" t="s">
        <v>13893</v>
      </c>
    </row>
    <row r="293">
      <c r="A293" s="2" t="s">
        <v>5847</v>
      </c>
      <c r="B293" s="2" t="s">
        <v>13894</v>
      </c>
      <c r="C293" s="2">
        <v>4.8681021566E10</v>
      </c>
      <c r="D293" s="2" t="s">
        <v>13895</v>
      </c>
      <c r="E293" s="2">
        <v>226519.0</v>
      </c>
      <c r="F293" s="2">
        <v>456.0</v>
      </c>
      <c r="G293" s="2">
        <v>246.0</v>
      </c>
      <c r="H293" s="2" t="s">
        <v>5905</v>
      </c>
      <c r="I293" s="2" t="s">
        <v>5905</v>
      </c>
      <c r="J293" s="2" t="s">
        <v>6393</v>
      </c>
      <c r="K293" s="2" t="s">
        <v>13896</v>
      </c>
      <c r="L293" s="10" t="s">
        <v>13897</v>
      </c>
    </row>
    <row r="294">
      <c r="A294" s="2" t="s">
        <v>5847</v>
      </c>
      <c r="B294" s="2" t="s">
        <v>13898</v>
      </c>
      <c r="C294" s="2">
        <v>2.8106568E7</v>
      </c>
      <c r="D294" s="2" t="s">
        <v>13899</v>
      </c>
      <c r="E294" s="2">
        <v>8593391.0</v>
      </c>
      <c r="F294" s="2">
        <v>1045.0</v>
      </c>
      <c r="G294" s="2">
        <v>4318.0</v>
      </c>
      <c r="H294" s="2" t="s">
        <v>5906</v>
      </c>
      <c r="I294" s="2" t="s">
        <v>5905</v>
      </c>
      <c r="J294" s="2" t="s">
        <v>8604</v>
      </c>
      <c r="K294" s="2" t="s">
        <v>13900</v>
      </c>
      <c r="L294" s="10" t="s">
        <v>13901</v>
      </c>
    </row>
    <row r="295">
      <c r="A295" s="2" t="s">
        <v>5644</v>
      </c>
      <c r="B295" s="2" t="s">
        <v>13902</v>
      </c>
      <c r="C295" s="2">
        <v>2.6913546E7</v>
      </c>
      <c r="D295" s="2" t="s">
        <v>13903</v>
      </c>
      <c r="E295" s="2">
        <v>33796.0</v>
      </c>
      <c r="F295" s="2">
        <v>348.0</v>
      </c>
      <c r="G295" s="2">
        <v>320.0</v>
      </c>
      <c r="H295" s="2" t="s">
        <v>5906</v>
      </c>
      <c r="I295" s="2" t="s">
        <v>5906</v>
      </c>
      <c r="J295" s="2" t="s">
        <v>8838</v>
      </c>
      <c r="K295" s="2" t="s">
        <v>13904</v>
      </c>
      <c r="L295" s="10" t="s">
        <v>13905</v>
      </c>
    </row>
    <row r="296">
      <c r="A296" s="2" t="s">
        <v>5644</v>
      </c>
      <c r="B296" s="2" t="s">
        <v>13906</v>
      </c>
      <c r="C296" s="2">
        <v>6.048845096E9</v>
      </c>
      <c r="D296" s="2" t="s">
        <v>13907</v>
      </c>
      <c r="E296" s="2">
        <v>1733522.0</v>
      </c>
      <c r="F296" s="2">
        <v>513.0</v>
      </c>
      <c r="G296" s="2">
        <v>1424.0</v>
      </c>
      <c r="H296" s="2" t="s">
        <v>5905</v>
      </c>
      <c r="I296" s="2" t="s">
        <v>5906</v>
      </c>
      <c r="J296" s="2" t="s">
        <v>5993</v>
      </c>
      <c r="K296" s="2" t="s">
        <v>13908</v>
      </c>
      <c r="L296" s="10" t="s">
        <v>13909</v>
      </c>
    </row>
    <row r="297">
      <c r="A297" s="2" t="s">
        <v>5848</v>
      </c>
      <c r="B297" s="2" t="s">
        <v>13910</v>
      </c>
      <c r="C297" s="2">
        <v>3.43562362E8</v>
      </c>
      <c r="D297" s="2" t="s">
        <v>5848</v>
      </c>
      <c r="E297" s="2">
        <v>279737.0</v>
      </c>
      <c r="F297" s="2">
        <v>35.0</v>
      </c>
      <c r="G297" s="2">
        <v>165.0</v>
      </c>
      <c r="H297" s="2" t="s">
        <v>5906</v>
      </c>
      <c r="I297" s="2" t="s">
        <v>5905</v>
      </c>
      <c r="J297" s="2" t="s">
        <v>6414</v>
      </c>
      <c r="K297" s="2" t="s">
        <v>13911</v>
      </c>
      <c r="L297" s="10" t="s">
        <v>13912</v>
      </c>
    </row>
    <row r="298">
      <c r="A298" s="2" t="s">
        <v>5848</v>
      </c>
      <c r="B298" s="2" t="s">
        <v>13913</v>
      </c>
      <c r="C298" s="2">
        <v>3.859569796E9</v>
      </c>
      <c r="D298" s="2" t="s">
        <v>13914</v>
      </c>
      <c r="E298" s="2">
        <v>5313419.0</v>
      </c>
      <c r="F298" s="2">
        <v>150.0</v>
      </c>
      <c r="G298" s="2">
        <v>2422.0</v>
      </c>
      <c r="H298" s="2" t="s">
        <v>5906</v>
      </c>
      <c r="I298" s="2" t="s">
        <v>5906</v>
      </c>
      <c r="K298" s="2" t="s">
        <v>13915</v>
      </c>
      <c r="L298" s="10" t="s">
        <v>13916</v>
      </c>
    </row>
    <row r="299">
      <c r="A299" s="2" t="s">
        <v>5848</v>
      </c>
      <c r="B299" s="2" t="s">
        <v>13917</v>
      </c>
      <c r="C299" s="2">
        <v>1.608509325E9</v>
      </c>
      <c r="D299" s="2" t="s">
        <v>13918</v>
      </c>
      <c r="E299" s="2">
        <v>43436.0</v>
      </c>
      <c r="F299" s="2">
        <v>5837.0</v>
      </c>
      <c r="G299" s="2">
        <v>84.0</v>
      </c>
      <c r="H299" s="2" t="s">
        <v>5906</v>
      </c>
      <c r="I299" s="2" t="s">
        <v>5905</v>
      </c>
      <c r="J299" s="2" t="s">
        <v>6414</v>
      </c>
      <c r="K299" s="2" t="s">
        <v>13919</v>
      </c>
      <c r="L299" s="10" t="s">
        <v>13920</v>
      </c>
    </row>
    <row r="300">
      <c r="A300" s="2" t="s">
        <v>5608</v>
      </c>
      <c r="B300" s="2" t="s">
        <v>13921</v>
      </c>
      <c r="C300" s="2">
        <v>2.200445165E9</v>
      </c>
      <c r="D300" s="2" t="s">
        <v>13922</v>
      </c>
      <c r="E300" s="2">
        <v>21354.0</v>
      </c>
      <c r="F300" s="2">
        <v>1782.0</v>
      </c>
      <c r="G300" s="2">
        <v>15.0</v>
      </c>
      <c r="H300" s="2" t="s">
        <v>5906</v>
      </c>
      <c r="I300" s="2" t="s">
        <v>5906</v>
      </c>
      <c r="J300" s="2" t="s">
        <v>5391</v>
      </c>
      <c r="K300" s="2" t="s">
        <v>13923</v>
      </c>
      <c r="L300" s="10" t="s">
        <v>13924</v>
      </c>
    </row>
    <row r="301">
      <c r="A301" s="2" t="s">
        <v>5608</v>
      </c>
      <c r="B301" s="2" t="s">
        <v>13925</v>
      </c>
      <c r="C301" s="2">
        <v>7.419983273E9</v>
      </c>
      <c r="D301" s="2" t="s">
        <v>13926</v>
      </c>
      <c r="E301" s="2">
        <v>500033.0</v>
      </c>
      <c r="F301" s="2">
        <v>92.0</v>
      </c>
      <c r="G301" s="2">
        <v>1000.0</v>
      </c>
      <c r="H301" s="2" t="s">
        <v>5905</v>
      </c>
      <c r="I301" s="2" t="s">
        <v>5905</v>
      </c>
      <c r="J301" s="2" t="s">
        <v>5959</v>
      </c>
      <c r="K301" s="2" t="s">
        <v>13927</v>
      </c>
      <c r="L301" s="10" t="s">
        <v>13928</v>
      </c>
    </row>
    <row r="302">
      <c r="A302" s="2" t="s">
        <v>5608</v>
      </c>
      <c r="B302" s="2" t="s">
        <v>13929</v>
      </c>
      <c r="C302" s="2">
        <v>6.2660104522E10</v>
      </c>
      <c r="D302" s="2" t="s">
        <v>13930</v>
      </c>
      <c r="E302" s="2">
        <v>3116350.0</v>
      </c>
      <c r="F302" s="2">
        <v>11.0</v>
      </c>
      <c r="G302" s="2">
        <v>60.0</v>
      </c>
      <c r="H302" s="2" t="s">
        <v>5906</v>
      </c>
      <c r="I302" s="2" t="s">
        <v>5905</v>
      </c>
      <c r="J302" s="2" t="s">
        <v>6124</v>
      </c>
      <c r="K302" s="2" t="s">
        <v>13931</v>
      </c>
    </row>
    <row r="303">
      <c r="A303" s="2" t="s">
        <v>5608</v>
      </c>
      <c r="B303" s="2" t="s">
        <v>13932</v>
      </c>
      <c r="C303" s="2">
        <v>1.692965167E9</v>
      </c>
      <c r="D303" s="2" t="s">
        <v>13933</v>
      </c>
      <c r="E303" s="2">
        <v>24455.0</v>
      </c>
      <c r="F303" s="2">
        <v>1417.0</v>
      </c>
      <c r="G303" s="2">
        <v>605.0</v>
      </c>
      <c r="H303" s="2" t="s">
        <v>5905</v>
      </c>
      <c r="I303" s="2" t="s">
        <v>5905</v>
      </c>
      <c r="J303" s="2" t="s">
        <v>5993</v>
      </c>
      <c r="K303" s="2" t="s">
        <v>13934</v>
      </c>
      <c r="L303" s="10" t="s">
        <v>13935</v>
      </c>
    </row>
    <row r="304">
      <c r="A304" s="2" t="s">
        <v>5849</v>
      </c>
      <c r="B304" s="2" t="s">
        <v>13936</v>
      </c>
      <c r="C304" s="2">
        <v>1.025409629E9</v>
      </c>
      <c r="D304" s="2" t="s">
        <v>13937</v>
      </c>
      <c r="E304" s="2">
        <v>1634233.0</v>
      </c>
      <c r="F304" s="2">
        <v>832.0</v>
      </c>
      <c r="G304" s="2">
        <v>387.0</v>
      </c>
      <c r="H304" s="2" t="s">
        <v>5905</v>
      </c>
      <c r="I304" s="2" t="s">
        <v>5906</v>
      </c>
      <c r="J304" s="2" t="s">
        <v>8604</v>
      </c>
      <c r="K304" s="2" t="s">
        <v>13938</v>
      </c>
      <c r="L304" s="10" t="s">
        <v>13939</v>
      </c>
    </row>
    <row r="305">
      <c r="A305" s="2" t="s">
        <v>5849</v>
      </c>
      <c r="B305" s="2" t="s">
        <v>13940</v>
      </c>
      <c r="C305" s="2">
        <v>5647074.0</v>
      </c>
      <c r="D305" s="2" t="s">
        <v>13941</v>
      </c>
      <c r="E305" s="2">
        <v>17918.0</v>
      </c>
      <c r="F305" s="2">
        <v>1524.0</v>
      </c>
      <c r="G305" s="2">
        <v>6431.0</v>
      </c>
      <c r="H305" s="2" t="s">
        <v>5906</v>
      </c>
      <c r="I305" s="2" t="s">
        <v>5906</v>
      </c>
      <c r="J305" s="2" t="s">
        <v>5963</v>
      </c>
      <c r="K305" s="2" t="s">
        <v>13942</v>
      </c>
      <c r="L305" s="10" t="s">
        <v>13943</v>
      </c>
    </row>
    <row r="306">
      <c r="A306" s="2" t="s">
        <v>5850</v>
      </c>
      <c r="B306" s="2" t="s">
        <v>13944</v>
      </c>
      <c r="C306" s="2">
        <v>2.15114277E8</v>
      </c>
      <c r="D306" s="2" t="s">
        <v>13945</v>
      </c>
      <c r="E306" s="2">
        <v>12589.0</v>
      </c>
      <c r="F306" s="2">
        <v>2263.0</v>
      </c>
      <c r="G306" s="2">
        <v>108.0</v>
      </c>
      <c r="H306" s="2" t="s">
        <v>5906</v>
      </c>
      <c r="I306" s="2" t="s">
        <v>5906</v>
      </c>
      <c r="J306" s="2" t="s">
        <v>5993</v>
      </c>
      <c r="K306" s="2" t="s">
        <v>13946</v>
      </c>
      <c r="L306" s="10" t="s">
        <v>13947</v>
      </c>
    </row>
    <row r="307">
      <c r="A307" s="2" t="s">
        <v>5850</v>
      </c>
      <c r="B307" s="2" t="s">
        <v>13948</v>
      </c>
      <c r="C307" s="2">
        <v>6.31373184E8</v>
      </c>
      <c r="D307" s="2" t="s">
        <v>5850</v>
      </c>
      <c r="E307" s="2">
        <v>487564.0</v>
      </c>
      <c r="F307" s="2">
        <v>174.0</v>
      </c>
      <c r="G307" s="2">
        <v>62.0</v>
      </c>
      <c r="H307" s="2" t="s">
        <v>5905</v>
      </c>
      <c r="I307" s="2" t="s">
        <v>5905</v>
      </c>
      <c r="J307" s="2" t="s">
        <v>6414</v>
      </c>
      <c r="K307" s="2" t="s">
        <v>13949</v>
      </c>
      <c r="L307" s="10" t="s">
        <v>13950</v>
      </c>
    </row>
    <row r="308">
      <c r="A308" s="2" t="s">
        <v>5850</v>
      </c>
      <c r="B308" s="2" t="s">
        <v>13951</v>
      </c>
      <c r="C308" s="2">
        <v>4.4745033064E10</v>
      </c>
      <c r="D308" s="2" t="s">
        <v>13952</v>
      </c>
      <c r="E308" s="2">
        <v>57018.0</v>
      </c>
      <c r="F308" s="2">
        <v>0.0</v>
      </c>
      <c r="G308" s="2">
        <v>654.0</v>
      </c>
      <c r="H308" s="2" t="s">
        <v>5905</v>
      </c>
      <c r="I308" s="2" t="s">
        <v>5906</v>
      </c>
      <c r="J308" s="2" t="s">
        <v>13953</v>
      </c>
      <c r="K308" s="2" t="s">
        <v>13954</v>
      </c>
      <c r="L308" s="10" t="s">
        <v>13955</v>
      </c>
    </row>
    <row r="309">
      <c r="A309" s="2" t="s">
        <v>5851</v>
      </c>
      <c r="B309" s="2" t="s">
        <v>13956</v>
      </c>
      <c r="C309" s="2">
        <v>2.20510216E8</v>
      </c>
      <c r="D309" s="2" t="s">
        <v>13957</v>
      </c>
      <c r="E309" s="2">
        <v>2793290.0</v>
      </c>
      <c r="F309" s="2">
        <v>998.0</v>
      </c>
      <c r="G309" s="2">
        <v>1581.0</v>
      </c>
      <c r="H309" s="2" t="s">
        <v>5906</v>
      </c>
      <c r="I309" s="2" t="s">
        <v>5905</v>
      </c>
      <c r="J309" s="2" t="s">
        <v>8144</v>
      </c>
      <c r="K309" s="2" t="s">
        <v>13958</v>
      </c>
      <c r="L309" s="10" t="s">
        <v>13959</v>
      </c>
    </row>
    <row r="310">
      <c r="A310" s="2" t="s">
        <v>5852</v>
      </c>
      <c r="B310" s="2" t="s">
        <v>13960</v>
      </c>
      <c r="C310" s="2">
        <v>3.1772961E8</v>
      </c>
      <c r="D310" s="2" t="s">
        <v>13961</v>
      </c>
      <c r="E310" s="2">
        <v>10207.0</v>
      </c>
      <c r="F310" s="2">
        <v>1469.0</v>
      </c>
      <c r="G310" s="2">
        <v>623.0</v>
      </c>
      <c r="H310" s="2" t="s">
        <v>5905</v>
      </c>
      <c r="I310" s="2" t="s">
        <v>5905</v>
      </c>
    </row>
    <row r="311">
      <c r="A311" s="2" t="s">
        <v>5853</v>
      </c>
      <c r="B311" s="2" t="s">
        <v>13962</v>
      </c>
      <c r="C311" s="2">
        <v>1.3970409E7</v>
      </c>
      <c r="D311" s="2" t="s">
        <v>13963</v>
      </c>
      <c r="E311" s="2">
        <v>31195.0</v>
      </c>
      <c r="F311" s="2">
        <v>824.0</v>
      </c>
      <c r="G311" s="2">
        <v>1243.0</v>
      </c>
      <c r="H311" s="2" t="s">
        <v>5905</v>
      </c>
      <c r="I311" s="2" t="s">
        <v>5906</v>
      </c>
      <c r="K311" s="2" t="s">
        <v>13964</v>
      </c>
      <c r="L311" s="10" t="s">
        <v>13965</v>
      </c>
    </row>
    <row r="312">
      <c r="A312" s="2" t="s">
        <v>5854</v>
      </c>
      <c r="B312" s="2" t="s">
        <v>13966</v>
      </c>
      <c r="C312" s="2">
        <v>8.901910508E9</v>
      </c>
      <c r="D312" s="2" t="s">
        <v>13967</v>
      </c>
      <c r="E312" s="2">
        <v>172031.0</v>
      </c>
      <c r="F312" s="2">
        <v>361.0</v>
      </c>
      <c r="G312" s="2">
        <v>318.0</v>
      </c>
      <c r="H312" s="2" t="s">
        <v>5905</v>
      </c>
      <c r="I312" s="2" t="s">
        <v>5906</v>
      </c>
      <c r="J312" s="2" t="s">
        <v>6414</v>
      </c>
      <c r="K312" s="2" t="s">
        <v>13968</v>
      </c>
    </row>
    <row r="313">
      <c r="A313" s="2" t="s">
        <v>5854</v>
      </c>
      <c r="B313" s="2" t="s">
        <v>13969</v>
      </c>
      <c r="C313" s="2">
        <v>3.817358E7</v>
      </c>
      <c r="D313" s="2" t="s">
        <v>13970</v>
      </c>
      <c r="E313" s="2">
        <v>305731.0</v>
      </c>
      <c r="F313" s="2">
        <v>1083.0</v>
      </c>
      <c r="G313" s="2">
        <v>427.0</v>
      </c>
      <c r="H313" s="2" t="s">
        <v>5906</v>
      </c>
      <c r="I313" s="2" t="s">
        <v>5905</v>
      </c>
      <c r="J313" s="2" t="s">
        <v>6124</v>
      </c>
      <c r="K313" s="2" t="s">
        <v>13971</v>
      </c>
      <c r="L313" s="10" t="s">
        <v>13972</v>
      </c>
    </row>
    <row r="314">
      <c r="A314" s="2" t="s">
        <v>5854</v>
      </c>
      <c r="B314" s="2" t="s">
        <v>13973</v>
      </c>
      <c r="C314" s="2">
        <v>4.7403051951E10</v>
      </c>
      <c r="D314" s="2" t="s">
        <v>13974</v>
      </c>
      <c r="E314" s="2">
        <v>36253.0</v>
      </c>
      <c r="F314" s="2">
        <v>38.0</v>
      </c>
      <c r="G314" s="2">
        <v>86.0</v>
      </c>
      <c r="H314" s="2" t="s">
        <v>5905</v>
      </c>
      <c r="I314" s="2" t="s">
        <v>5906</v>
      </c>
      <c r="J314" s="2" t="s">
        <v>5391</v>
      </c>
      <c r="K314" s="2" t="s">
        <v>13975</v>
      </c>
    </row>
    <row r="315">
      <c r="A315" s="2" t="s">
        <v>5854</v>
      </c>
      <c r="B315" s="2" t="s">
        <v>13976</v>
      </c>
      <c r="C315" s="2">
        <v>2.8578101E7</v>
      </c>
      <c r="D315" s="2" t="s">
        <v>13977</v>
      </c>
      <c r="E315" s="2">
        <v>3.169699E7</v>
      </c>
      <c r="F315" s="2">
        <v>875.0</v>
      </c>
      <c r="G315" s="2">
        <v>1495.0</v>
      </c>
      <c r="H315" s="2" t="s">
        <v>5906</v>
      </c>
      <c r="I315" s="2" t="s">
        <v>5906</v>
      </c>
      <c r="K315" s="2" t="s">
        <v>13978</v>
      </c>
      <c r="L315" s="10" t="s">
        <v>13979</v>
      </c>
    </row>
    <row r="316">
      <c r="A316" s="2" t="s">
        <v>5855</v>
      </c>
      <c r="B316" s="2" t="s">
        <v>13980</v>
      </c>
      <c r="C316" s="2">
        <v>1.5539514E7</v>
      </c>
      <c r="D316" s="2" t="s">
        <v>13981</v>
      </c>
      <c r="E316" s="2">
        <v>3156294.0</v>
      </c>
      <c r="F316" s="2">
        <v>905.0</v>
      </c>
      <c r="G316" s="2">
        <v>3046.0</v>
      </c>
      <c r="H316" s="2" t="s">
        <v>5906</v>
      </c>
      <c r="I316" s="2" t="s">
        <v>5905</v>
      </c>
      <c r="J316" s="2" t="s">
        <v>5993</v>
      </c>
      <c r="K316" s="2" t="s">
        <v>13982</v>
      </c>
      <c r="L316" s="10" t="s">
        <v>13983</v>
      </c>
    </row>
    <row r="317">
      <c r="A317" s="2" t="s">
        <v>5855</v>
      </c>
      <c r="B317" s="2" t="s">
        <v>13984</v>
      </c>
      <c r="C317" s="2">
        <v>3.178711738E10</v>
      </c>
      <c r="D317" s="2" t="s">
        <v>13985</v>
      </c>
      <c r="E317" s="2">
        <v>51273.0</v>
      </c>
      <c r="F317" s="2">
        <v>1219.0</v>
      </c>
      <c r="G317" s="2">
        <v>496.0</v>
      </c>
      <c r="H317" s="2" t="s">
        <v>5906</v>
      </c>
      <c r="I317" s="2" t="s">
        <v>5905</v>
      </c>
      <c r="J317" s="2" t="s">
        <v>5993</v>
      </c>
      <c r="K317" s="2" t="s">
        <v>13986</v>
      </c>
    </row>
    <row r="318">
      <c r="A318" s="2" t="s">
        <v>5856</v>
      </c>
      <c r="B318" s="2" t="s">
        <v>13987</v>
      </c>
      <c r="C318" s="2">
        <v>1.471610256E9</v>
      </c>
      <c r="D318" s="2" t="s">
        <v>13988</v>
      </c>
      <c r="E318" s="2">
        <v>166221.0</v>
      </c>
      <c r="F318" s="2">
        <v>1450.0</v>
      </c>
      <c r="G318" s="2">
        <v>2540.0</v>
      </c>
      <c r="H318" s="2" t="s">
        <v>5905</v>
      </c>
      <c r="I318" s="2" t="s">
        <v>5905</v>
      </c>
      <c r="J318" s="2" t="s">
        <v>7414</v>
      </c>
      <c r="K318" s="2" t="s">
        <v>13989</v>
      </c>
      <c r="L318" s="10" t="s">
        <v>13990</v>
      </c>
    </row>
    <row r="319">
      <c r="A319" s="2" t="s">
        <v>5856</v>
      </c>
      <c r="B319" s="2" t="s">
        <v>13991</v>
      </c>
      <c r="C319" s="2">
        <v>4158156.0</v>
      </c>
      <c r="D319" s="2" t="s">
        <v>13992</v>
      </c>
      <c r="E319" s="2">
        <v>101384.0</v>
      </c>
      <c r="F319" s="2">
        <v>899.0</v>
      </c>
      <c r="G319" s="2">
        <v>8691.0</v>
      </c>
      <c r="H319" s="2" t="s">
        <v>5906</v>
      </c>
      <c r="I319" s="2" t="s">
        <v>5905</v>
      </c>
      <c r="J319" s="2" t="s">
        <v>5959</v>
      </c>
      <c r="K319" s="2" t="s">
        <v>13993</v>
      </c>
      <c r="L319" s="10" t="s">
        <v>13994</v>
      </c>
    </row>
    <row r="320">
      <c r="A320" s="2" t="s">
        <v>5856</v>
      </c>
      <c r="B320" s="2" t="s">
        <v>13995</v>
      </c>
      <c r="C320" s="2">
        <v>5.2523525206E10</v>
      </c>
      <c r="D320" s="2" t="s">
        <v>13996</v>
      </c>
      <c r="E320" s="2">
        <v>101596.0</v>
      </c>
      <c r="F320" s="2">
        <v>2950.0</v>
      </c>
      <c r="G320" s="2">
        <v>49.0</v>
      </c>
      <c r="H320" s="2" t="s">
        <v>5905</v>
      </c>
      <c r="I320" s="2" t="s">
        <v>5905</v>
      </c>
      <c r="J320" s="2" t="s">
        <v>8838</v>
      </c>
      <c r="K320" s="2" t="s">
        <v>13997</v>
      </c>
      <c r="L320" s="10" t="s">
        <v>13998</v>
      </c>
    </row>
    <row r="321">
      <c r="A321" s="2" t="s">
        <v>5856</v>
      </c>
      <c r="B321" s="2" t="s">
        <v>13999</v>
      </c>
      <c r="C321" s="2">
        <v>3.540347971E9</v>
      </c>
      <c r="D321" s="2" t="s">
        <v>14000</v>
      </c>
      <c r="E321" s="2">
        <v>109725.0</v>
      </c>
      <c r="F321" s="2">
        <v>756.0</v>
      </c>
      <c r="G321" s="2">
        <v>297.0</v>
      </c>
      <c r="H321" s="2" t="s">
        <v>5906</v>
      </c>
      <c r="I321" s="2" t="s">
        <v>5905</v>
      </c>
      <c r="J321" s="2" t="s">
        <v>5959</v>
      </c>
      <c r="K321" s="2" t="s">
        <v>14001</v>
      </c>
      <c r="L321" s="10" t="s">
        <v>14002</v>
      </c>
    </row>
    <row r="322">
      <c r="A322" s="2" t="s">
        <v>5856</v>
      </c>
      <c r="B322" s="2" t="s">
        <v>14003</v>
      </c>
      <c r="C322" s="2">
        <v>1.723014952E9</v>
      </c>
      <c r="D322" s="2" t="s">
        <v>14004</v>
      </c>
      <c r="E322" s="2">
        <v>17633.0</v>
      </c>
      <c r="F322" s="2">
        <v>817.0</v>
      </c>
      <c r="G322" s="2">
        <v>392.0</v>
      </c>
      <c r="H322" s="2" t="s">
        <v>5905</v>
      </c>
      <c r="I322" s="2" t="s">
        <v>5905</v>
      </c>
      <c r="J322" s="2" t="s">
        <v>5959</v>
      </c>
      <c r="K322" s="2" t="s">
        <v>14005</v>
      </c>
    </row>
    <row r="323">
      <c r="A323" s="2" t="s">
        <v>5856</v>
      </c>
      <c r="B323" s="2" t="s">
        <v>14006</v>
      </c>
      <c r="C323" s="2">
        <v>2.4248497075E10</v>
      </c>
      <c r="D323" s="2" t="s">
        <v>14007</v>
      </c>
      <c r="E323" s="2">
        <v>677517.0</v>
      </c>
      <c r="F323" s="2">
        <v>108.0</v>
      </c>
      <c r="G323" s="2">
        <v>2051.0</v>
      </c>
      <c r="H323" s="2" t="s">
        <v>5906</v>
      </c>
      <c r="I323" s="2" t="s">
        <v>5906</v>
      </c>
      <c r="J323" s="2" t="s">
        <v>5391</v>
      </c>
      <c r="K323" s="2" t="s">
        <v>14008</v>
      </c>
    </row>
    <row r="324">
      <c r="A324" s="2" t="s">
        <v>5857</v>
      </c>
      <c r="B324" s="2" t="s">
        <v>13996</v>
      </c>
      <c r="C324" s="2">
        <v>1.0462017E7</v>
      </c>
      <c r="D324" s="2" t="s">
        <v>14009</v>
      </c>
      <c r="E324" s="2">
        <v>277045.0</v>
      </c>
      <c r="F324" s="2">
        <v>2385.0</v>
      </c>
      <c r="G324" s="2">
        <v>4637.0</v>
      </c>
      <c r="H324" s="2" t="s">
        <v>5906</v>
      </c>
      <c r="I324" s="2" t="s">
        <v>5905</v>
      </c>
      <c r="J324" s="2" t="s">
        <v>5959</v>
      </c>
      <c r="K324" s="2" t="s">
        <v>14010</v>
      </c>
      <c r="L324" s="10" t="s">
        <v>14011</v>
      </c>
    </row>
    <row r="325">
      <c r="A325" s="2" t="s">
        <v>5724</v>
      </c>
      <c r="B325" s="2" t="s">
        <v>14012</v>
      </c>
      <c r="C325" s="2">
        <v>108605.0</v>
      </c>
      <c r="D325" s="2" t="s">
        <v>14013</v>
      </c>
      <c r="E325" s="2">
        <v>12533.0</v>
      </c>
      <c r="F325" s="2">
        <v>4137.0</v>
      </c>
      <c r="G325" s="2">
        <v>334.0</v>
      </c>
      <c r="H325" s="2" t="s">
        <v>5906</v>
      </c>
      <c r="I325" s="2" t="s">
        <v>5905</v>
      </c>
      <c r="K325" s="2" t="s">
        <v>14014</v>
      </c>
      <c r="L325" s="10" t="s">
        <v>14015</v>
      </c>
    </row>
    <row r="326">
      <c r="A326" s="2" t="s">
        <v>5724</v>
      </c>
      <c r="B326" s="10" t="s">
        <v>14016</v>
      </c>
      <c r="C326" s="2">
        <v>1.714343289E9</v>
      </c>
      <c r="D326" s="2" t="s">
        <v>14017</v>
      </c>
      <c r="E326" s="2">
        <v>1116886.0</v>
      </c>
      <c r="F326" s="2">
        <v>3550.0</v>
      </c>
      <c r="G326" s="2">
        <v>3420.0</v>
      </c>
      <c r="H326" s="2" t="s">
        <v>5906</v>
      </c>
      <c r="I326" s="2" t="s">
        <v>5905</v>
      </c>
      <c r="J326" s="2" t="s">
        <v>5993</v>
      </c>
      <c r="K326" s="2" t="s">
        <v>14018</v>
      </c>
      <c r="L326" s="10" t="s">
        <v>14019</v>
      </c>
    </row>
    <row r="327">
      <c r="A327" s="2" t="s">
        <v>5858</v>
      </c>
      <c r="B327" s="2" t="s">
        <v>14020</v>
      </c>
      <c r="C327" s="2">
        <v>5.344726923E9</v>
      </c>
      <c r="D327" s="2" t="s">
        <v>14021</v>
      </c>
      <c r="E327" s="2">
        <v>37495.0</v>
      </c>
      <c r="F327" s="2">
        <v>564.0</v>
      </c>
      <c r="G327" s="2">
        <v>1281.0</v>
      </c>
      <c r="H327" s="2" t="s">
        <v>5906</v>
      </c>
      <c r="I327" s="2" t="s">
        <v>5906</v>
      </c>
      <c r="J327" s="2" t="s">
        <v>12993</v>
      </c>
      <c r="K327" s="2" t="s">
        <v>14022</v>
      </c>
      <c r="L327" s="10" t="s">
        <v>14023</v>
      </c>
    </row>
    <row r="328">
      <c r="A328" s="2" t="s">
        <v>5858</v>
      </c>
      <c r="B328" s="2" t="s">
        <v>14024</v>
      </c>
      <c r="C328" s="2">
        <v>5.418800173E9</v>
      </c>
      <c r="D328" s="2" t="s">
        <v>14025</v>
      </c>
      <c r="E328" s="2">
        <v>840185.0</v>
      </c>
      <c r="F328" s="2">
        <v>1563.0</v>
      </c>
      <c r="G328" s="2">
        <v>747.0</v>
      </c>
      <c r="H328" s="2" t="s">
        <v>5906</v>
      </c>
      <c r="I328" s="2" t="s">
        <v>5905</v>
      </c>
      <c r="J328" s="2" t="s">
        <v>8144</v>
      </c>
      <c r="K328" s="2" t="s">
        <v>14026</v>
      </c>
      <c r="L328" s="10" t="s">
        <v>14027</v>
      </c>
    </row>
    <row r="329">
      <c r="A329" s="2" t="s">
        <v>5858</v>
      </c>
      <c r="B329" s="2" t="s">
        <v>14028</v>
      </c>
      <c r="C329" s="2">
        <v>5.8123270493E10</v>
      </c>
      <c r="E329" s="2">
        <v>67620.0</v>
      </c>
      <c r="F329" s="2">
        <v>0.0</v>
      </c>
      <c r="G329" s="2">
        <v>0.0</v>
      </c>
      <c r="H329" s="2" t="s">
        <v>5906</v>
      </c>
      <c r="I329" s="2" t="s">
        <v>5905</v>
      </c>
      <c r="J329" s="2" t="s">
        <v>8604</v>
      </c>
    </row>
    <row r="330">
      <c r="A330" s="2" t="s">
        <v>5633</v>
      </c>
      <c r="B330" s="2" t="s">
        <v>14029</v>
      </c>
      <c r="C330" s="2">
        <v>1.939688462E9</v>
      </c>
      <c r="D330" s="2" t="s">
        <v>14030</v>
      </c>
      <c r="E330" s="2">
        <v>188095.0</v>
      </c>
      <c r="F330" s="2">
        <v>82.0</v>
      </c>
      <c r="G330" s="2">
        <v>301.0</v>
      </c>
      <c r="H330" s="2" t="s">
        <v>5906</v>
      </c>
      <c r="I330" s="2" t="s">
        <v>5905</v>
      </c>
      <c r="J330" s="2" t="s">
        <v>5993</v>
      </c>
    </row>
    <row r="331">
      <c r="A331" s="2" t="s">
        <v>5633</v>
      </c>
      <c r="B331" s="2" t="s">
        <v>14031</v>
      </c>
      <c r="C331" s="2">
        <v>1.217481644E9</v>
      </c>
      <c r="D331" s="2" t="s">
        <v>5633</v>
      </c>
      <c r="E331" s="2">
        <v>1055679.0</v>
      </c>
      <c r="F331" s="2">
        <v>1110.0</v>
      </c>
      <c r="G331" s="2">
        <v>456.0</v>
      </c>
      <c r="H331" s="2" t="s">
        <v>5906</v>
      </c>
      <c r="I331" s="2" t="s">
        <v>5905</v>
      </c>
      <c r="J331" s="2" t="s">
        <v>8144</v>
      </c>
      <c r="K331" s="2" t="s">
        <v>14032</v>
      </c>
      <c r="L331" s="10" t="s">
        <v>14033</v>
      </c>
    </row>
    <row r="332">
      <c r="A332" s="2" t="s">
        <v>5633</v>
      </c>
      <c r="B332" s="2" t="s">
        <v>14034</v>
      </c>
      <c r="C332" s="2">
        <v>3.641421908E9</v>
      </c>
      <c r="D332" s="2" t="s">
        <v>14035</v>
      </c>
      <c r="E332" s="2">
        <v>61460.0</v>
      </c>
      <c r="F332" s="2">
        <v>817.0</v>
      </c>
      <c r="G332" s="2">
        <v>284.0</v>
      </c>
      <c r="H332" s="2" t="s">
        <v>5905</v>
      </c>
      <c r="I332" s="2" t="s">
        <v>5905</v>
      </c>
      <c r="J332" s="2" t="s">
        <v>6628</v>
      </c>
      <c r="K332" s="2" t="s">
        <v>14036</v>
      </c>
      <c r="L332" s="10" t="s">
        <v>14037</v>
      </c>
    </row>
    <row r="333">
      <c r="A333" s="2" t="s">
        <v>5633</v>
      </c>
      <c r="B333" s="2" t="s">
        <v>14038</v>
      </c>
      <c r="C333" s="2">
        <v>1.082062552E9</v>
      </c>
      <c r="D333" s="2" t="s">
        <v>14039</v>
      </c>
      <c r="E333" s="2">
        <v>6825211.0</v>
      </c>
      <c r="F333" s="2">
        <v>397.0</v>
      </c>
      <c r="G333" s="2">
        <v>103.0</v>
      </c>
      <c r="H333" s="2" t="s">
        <v>5906</v>
      </c>
      <c r="I333" s="2" t="s">
        <v>5905</v>
      </c>
      <c r="J333" s="2" t="s">
        <v>8838</v>
      </c>
      <c r="K333" s="2" t="s">
        <v>14040</v>
      </c>
    </row>
    <row r="334">
      <c r="A334" s="2" t="s">
        <v>5676</v>
      </c>
      <c r="B334" s="2" t="s">
        <v>14041</v>
      </c>
      <c r="C334" s="2">
        <v>1.46226922E8</v>
      </c>
      <c r="D334" s="2" t="s">
        <v>14041</v>
      </c>
      <c r="E334" s="2">
        <v>588838.0</v>
      </c>
      <c r="F334" s="2">
        <v>203.0</v>
      </c>
      <c r="G334" s="2">
        <v>281.0</v>
      </c>
      <c r="H334" s="2" t="s">
        <v>5906</v>
      </c>
      <c r="I334" s="2" t="s">
        <v>5905</v>
      </c>
      <c r="J334" s="2" t="s">
        <v>6414</v>
      </c>
      <c r="K334" s="2" t="s">
        <v>14042</v>
      </c>
      <c r="L334" s="10" t="s">
        <v>14043</v>
      </c>
    </row>
    <row r="335">
      <c r="A335" s="2" t="s">
        <v>5715</v>
      </c>
      <c r="B335" s="2" t="s">
        <v>14044</v>
      </c>
      <c r="C335" s="2">
        <v>3.47419253E8</v>
      </c>
      <c r="D335" s="2" t="s">
        <v>14045</v>
      </c>
      <c r="E335" s="2">
        <v>250534.0</v>
      </c>
      <c r="F335" s="2">
        <v>1566.0</v>
      </c>
      <c r="G335" s="2">
        <v>314.0</v>
      </c>
      <c r="H335" s="2" t="s">
        <v>5906</v>
      </c>
      <c r="I335" s="2" t="s">
        <v>5905</v>
      </c>
      <c r="J335" s="2" t="s">
        <v>5959</v>
      </c>
      <c r="K335" s="2" t="s">
        <v>14046</v>
      </c>
    </row>
    <row r="336">
      <c r="A336" s="2" t="s">
        <v>5715</v>
      </c>
      <c r="B336" s="2" t="s">
        <v>14047</v>
      </c>
      <c r="C336" s="2">
        <v>5569207.0</v>
      </c>
      <c r="D336" s="2" t="s">
        <v>14048</v>
      </c>
      <c r="E336" s="2">
        <v>134158.0</v>
      </c>
      <c r="F336" s="2">
        <v>2953.0</v>
      </c>
      <c r="G336" s="2">
        <v>731.0</v>
      </c>
      <c r="H336" s="2" t="s">
        <v>5906</v>
      </c>
      <c r="I336" s="2" t="s">
        <v>5906</v>
      </c>
      <c r="J336" s="2" t="s">
        <v>5963</v>
      </c>
      <c r="K336" s="2" t="s">
        <v>14049</v>
      </c>
      <c r="L336" s="10" t="s">
        <v>14050</v>
      </c>
    </row>
    <row r="337">
      <c r="A337" s="2" t="s">
        <v>5768</v>
      </c>
      <c r="B337" s="2" t="s">
        <v>14051</v>
      </c>
      <c r="C337" s="2">
        <v>7.740047999E9</v>
      </c>
      <c r="D337" s="2" t="s">
        <v>14052</v>
      </c>
      <c r="E337" s="2">
        <v>309664.0</v>
      </c>
      <c r="F337" s="2">
        <v>85.0</v>
      </c>
      <c r="G337" s="2">
        <v>519.0</v>
      </c>
      <c r="H337" s="2" t="s">
        <v>5906</v>
      </c>
      <c r="I337" s="2" t="s">
        <v>5905</v>
      </c>
      <c r="K337" s="2" t="s">
        <v>14053</v>
      </c>
      <c r="L337" s="10" t="s">
        <v>14054</v>
      </c>
    </row>
    <row r="338">
      <c r="A338" s="2" t="s">
        <v>5768</v>
      </c>
      <c r="B338" s="2" t="s">
        <v>14055</v>
      </c>
      <c r="C338" s="2">
        <v>9.870200643E9</v>
      </c>
      <c r="D338" s="2" t="s">
        <v>14056</v>
      </c>
      <c r="E338" s="2">
        <v>1047518.0</v>
      </c>
      <c r="F338" s="2">
        <v>770.0</v>
      </c>
      <c r="G338" s="2">
        <v>651.0</v>
      </c>
      <c r="H338" s="2" t="s">
        <v>5906</v>
      </c>
      <c r="I338" s="2" t="s">
        <v>5905</v>
      </c>
      <c r="K338" s="2" t="s">
        <v>14057</v>
      </c>
    </row>
    <row r="339">
      <c r="A339" s="2" t="s">
        <v>5859</v>
      </c>
      <c r="B339" s="2" t="s">
        <v>14058</v>
      </c>
      <c r="C339" s="2">
        <v>8.206870625E9</v>
      </c>
      <c r="D339" s="2" t="s">
        <v>14059</v>
      </c>
      <c r="E339" s="2">
        <v>51671.0</v>
      </c>
      <c r="F339" s="2">
        <v>0.0</v>
      </c>
      <c r="G339" s="2">
        <v>109.0</v>
      </c>
      <c r="H339" s="2" t="s">
        <v>5905</v>
      </c>
      <c r="I339" s="2" t="s">
        <v>5905</v>
      </c>
      <c r="J339" s="2" t="s">
        <v>11010</v>
      </c>
      <c r="K339" s="2" t="s">
        <v>14060</v>
      </c>
    </row>
    <row r="340">
      <c r="A340" s="2" t="s">
        <v>5706</v>
      </c>
      <c r="B340" s="2" t="s">
        <v>14061</v>
      </c>
      <c r="C340" s="2">
        <v>5.2799443E7</v>
      </c>
      <c r="D340" s="2" t="s">
        <v>14062</v>
      </c>
      <c r="E340" s="2">
        <v>4949054.0</v>
      </c>
      <c r="F340" s="2">
        <v>3429.0</v>
      </c>
      <c r="G340" s="2">
        <v>9414.0</v>
      </c>
      <c r="H340" s="2" t="s">
        <v>5906</v>
      </c>
      <c r="I340" s="2" t="s">
        <v>5906</v>
      </c>
      <c r="J340" s="2" t="s">
        <v>6414</v>
      </c>
      <c r="K340" s="2" t="s">
        <v>14063</v>
      </c>
      <c r="L340" s="10" t="s">
        <v>14064</v>
      </c>
    </row>
    <row r="341">
      <c r="A341" s="2" t="s">
        <v>5706</v>
      </c>
      <c r="B341" s="2" t="s">
        <v>14065</v>
      </c>
      <c r="C341" s="2">
        <v>1.1935083E7</v>
      </c>
      <c r="D341" s="2" t="s">
        <v>14066</v>
      </c>
      <c r="E341" s="2">
        <v>7529698.0</v>
      </c>
      <c r="F341" s="2">
        <v>976.0</v>
      </c>
      <c r="G341" s="2">
        <v>46.0</v>
      </c>
      <c r="H341" s="2" t="s">
        <v>5906</v>
      </c>
      <c r="I341" s="2" t="s">
        <v>5905</v>
      </c>
      <c r="J341" s="2" t="s">
        <v>5993</v>
      </c>
    </row>
    <row r="342">
      <c r="A342" s="2" t="s">
        <v>5860</v>
      </c>
      <c r="B342" s="2" t="s">
        <v>14067</v>
      </c>
      <c r="C342" s="2">
        <v>3.1266110416E10</v>
      </c>
      <c r="D342" s="2" t="s">
        <v>5860</v>
      </c>
      <c r="E342" s="2">
        <v>198805.0</v>
      </c>
      <c r="F342" s="2">
        <v>235.0</v>
      </c>
      <c r="G342" s="2">
        <v>30.0</v>
      </c>
      <c r="H342" s="2" t="s">
        <v>5906</v>
      </c>
      <c r="I342" s="2" t="s">
        <v>5905</v>
      </c>
      <c r="J342" s="2" t="s">
        <v>10778</v>
      </c>
      <c r="K342" s="2" t="s">
        <v>14068</v>
      </c>
    </row>
    <row r="343">
      <c r="A343" s="2" t="s">
        <v>5860</v>
      </c>
      <c r="B343" s="2" t="s">
        <v>14069</v>
      </c>
      <c r="C343" s="2">
        <v>4.835526715E10</v>
      </c>
      <c r="D343" s="2" t="s">
        <v>14070</v>
      </c>
      <c r="E343" s="2">
        <v>161409.0</v>
      </c>
      <c r="F343" s="2">
        <v>20.0</v>
      </c>
      <c r="G343" s="2">
        <v>29.0</v>
      </c>
      <c r="H343" s="2" t="s">
        <v>5905</v>
      </c>
      <c r="I343" s="2" t="s">
        <v>5905</v>
      </c>
      <c r="J343" s="2" t="s">
        <v>8838</v>
      </c>
      <c r="K343" s="2" t="s">
        <v>14071</v>
      </c>
    </row>
    <row r="344">
      <c r="A344" s="2" t="s">
        <v>5860</v>
      </c>
      <c r="B344" s="2" t="s">
        <v>14072</v>
      </c>
      <c r="C344" s="2">
        <v>9.483588376E9</v>
      </c>
      <c r="D344" s="2" t="s">
        <v>5860</v>
      </c>
      <c r="E344" s="2">
        <v>91836.0</v>
      </c>
      <c r="F344" s="2">
        <v>15.0</v>
      </c>
      <c r="G344" s="2">
        <v>90.0</v>
      </c>
      <c r="H344" s="2" t="s">
        <v>5905</v>
      </c>
      <c r="I344" s="2" t="s">
        <v>5906</v>
      </c>
      <c r="J344" s="2" t="s">
        <v>5928</v>
      </c>
      <c r="K344" s="2" t="s">
        <v>14073</v>
      </c>
      <c r="L344" s="10" t="s">
        <v>14074</v>
      </c>
    </row>
    <row r="345">
      <c r="A345" s="2" t="s">
        <v>5860</v>
      </c>
      <c r="B345" s="2" t="s">
        <v>14075</v>
      </c>
      <c r="C345" s="2">
        <v>5.80333195E8</v>
      </c>
      <c r="D345" s="2" t="s">
        <v>14076</v>
      </c>
      <c r="E345" s="2">
        <v>129913.0</v>
      </c>
      <c r="F345" s="2">
        <v>1746.0</v>
      </c>
      <c r="G345" s="2">
        <v>223.0</v>
      </c>
      <c r="H345" s="2" t="s">
        <v>5906</v>
      </c>
      <c r="I345" s="2" t="s">
        <v>5905</v>
      </c>
      <c r="J345" s="2" t="s">
        <v>6393</v>
      </c>
    </row>
    <row r="346">
      <c r="A346" s="2" t="s">
        <v>5860</v>
      </c>
      <c r="B346" s="2" t="s">
        <v>14077</v>
      </c>
      <c r="C346" s="2">
        <v>2.74160261E8</v>
      </c>
      <c r="D346" s="2" t="s">
        <v>14078</v>
      </c>
      <c r="E346" s="2">
        <v>347933.0</v>
      </c>
      <c r="F346" s="2">
        <v>899.0</v>
      </c>
      <c r="G346" s="2">
        <v>1636.0</v>
      </c>
      <c r="H346" s="2" t="s">
        <v>5906</v>
      </c>
      <c r="I346" s="2" t="s">
        <v>5905</v>
      </c>
      <c r="J346" s="2" t="s">
        <v>5959</v>
      </c>
      <c r="K346" s="2" t="s">
        <v>14079</v>
      </c>
      <c r="L346" s="10" t="s">
        <v>14080</v>
      </c>
    </row>
    <row r="347">
      <c r="A347" s="2" t="s">
        <v>5860</v>
      </c>
      <c r="B347" s="2" t="s">
        <v>14081</v>
      </c>
      <c r="C347" s="2">
        <v>7.58814308E8</v>
      </c>
      <c r="D347" s="2" t="s">
        <v>14082</v>
      </c>
      <c r="E347" s="2">
        <v>22035.0</v>
      </c>
      <c r="F347" s="2">
        <v>867.0</v>
      </c>
      <c r="G347" s="2">
        <v>176.0</v>
      </c>
      <c r="H347" s="2" t="s">
        <v>5905</v>
      </c>
      <c r="I347" s="2" t="s">
        <v>5905</v>
      </c>
      <c r="J347" s="2" t="s">
        <v>6393</v>
      </c>
      <c r="K347" s="2" t="s">
        <v>14083</v>
      </c>
      <c r="L347" s="10" t="s">
        <v>14084</v>
      </c>
    </row>
    <row r="348">
      <c r="A348" s="2" t="s">
        <v>5860</v>
      </c>
      <c r="B348" s="2" t="s">
        <v>14085</v>
      </c>
      <c r="C348" s="2">
        <v>5.78429235E8</v>
      </c>
      <c r="D348" s="2" t="s">
        <v>5860</v>
      </c>
      <c r="E348" s="2">
        <v>400872.0</v>
      </c>
      <c r="F348" s="2">
        <v>3296.0</v>
      </c>
      <c r="G348" s="2">
        <v>663.0</v>
      </c>
      <c r="H348" s="2" t="s">
        <v>5906</v>
      </c>
      <c r="I348" s="2" t="s">
        <v>5906</v>
      </c>
      <c r="J348" s="2" t="s">
        <v>5993</v>
      </c>
      <c r="K348" s="2" t="s">
        <v>14086</v>
      </c>
      <c r="L348" s="10" t="s">
        <v>14087</v>
      </c>
    </row>
    <row r="349">
      <c r="A349" s="2" t="s">
        <v>5860</v>
      </c>
      <c r="B349" s="2" t="s">
        <v>14088</v>
      </c>
      <c r="C349" s="2">
        <v>5.1689130588E10</v>
      </c>
      <c r="D349" s="2" t="s">
        <v>14089</v>
      </c>
      <c r="E349" s="2">
        <v>39793.0</v>
      </c>
      <c r="F349" s="2">
        <v>17.0</v>
      </c>
      <c r="G349" s="2">
        <v>163.0</v>
      </c>
      <c r="H349" s="2" t="s">
        <v>5906</v>
      </c>
      <c r="I349" s="2" t="s">
        <v>5905</v>
      </c>
      <c r="J349" s="2" t="s">
        <v>14090</v>
      </c>
      <c r="K349" s="2" t="s">
        <v>14091</v>
      </c>
      <c r="L349" s="10" t="s">
        <v>14092</v>
      </c>
    </row>
    <row r="350">
      <c r="A350" s="2" t="s">
        <v>5860</v>
      </c>
      <c r="B350" s="2" t="s">
        <v>14093</v>
      </c>
      <c r="C350" s="2">
        <v>1.601587978E9</v>
      </c>
      <c r="D350" s="2" t="s">
        <v>14094</v>
      </c>
      <c r="E350" s="2">
        <v>35663.0</v>
      </c>
      <c r="F350" s="2">
        <v>2261.0</v>
      </c>
      <c r="G350" s="2">
        <v>220.0</v>
      </c>
      <c r="H350" s="2" t="s">
        <v>5905</v>
      </c>
      <c r="I350" s="2" t="s">
        <v>5905</v>
      </c>
      <c r="L350" s="10" t="s">
        <v>14095</v>
      </c>
    </row>
    <row r="351">
      <c r="A351" s="2" t="s">
        <v>5861</v>
      </c>
      <c r="B351" s="2" t="s">
        <v>14096</v>
      </c>
      <c r="C351" s="2">
        <v>7141291.0</v>
      </c>
      <c r="D351" s="2" t="s">
        <v>14097</v>
      </c>
      <c r="E351" s="2">
        <v>5.5569571E7</v>
      </c>
      <c r="F351" s="2">
        <v>942.0</v>
      </c>
      <c r="G351" s="2">
        <v>691.0</v>
      </c>
      <c r="H351" s="2" t="s">
        <v>5906</v>
      </c>
      <c r="I351" s="2" t="s">
        <v>5906</v>
      </c>
      <c r="J351" s="2" t="s">
        <v>8604</v>
      </c>
      <c r="K351" s="2" t="s">
        <v>14098</v>
      </c>
      <c r="L351" s="10" t="s">
        <v>14099</v>
      </c>
    </row>
    <row r="352">
      <c r="A352" s="2" t="s">
        <v>5671</v>
      </c>
      <c r="B352" s="2" t="s">
        <v>14100</v>
      </c>
      <c r="C352" s="2">
        <v>6.320088746E10</v>
      </c>
      <c r="D352" s="2" t="s">
        <v>14101</v>
      </c>
      <c r="E352" s="2">
        <v>724863.0</v>
      </c>
      <c r="F352" s="2">
        <v>40.0</v>
      </c>
      <c r="G352" s="2">
        <v>38.0</v>
      </c>
      <c r="H352" s="2" t="s">
        <v>5906</v>
      </c>
      <c r="I352" s="2" t="s">
        <v>5905</v>
      </c>
      <c r="J352" s="2" t="s">
        <v>5928</v>
      </c>
      <c r="K352" s="2" t="s">
        <v>14102</v>
      </c>
      <c r="L352" s="10" t="s">
        <v>14103</v>
      </c>
    </row>
    <row r="353">
      <c r="A353" s="2" t="s">
        <v>5671</v>
      </c>
      <c r="B353" s="2" t="s">
        <v>14104</v>
      </c>
      <c r="C353" s="2">
        <v>7.955601573E9</v>
      </c>
      <c r="D353" s="2" t="s">
        <v>14105</v>
      </c>
      <c r="E353" s="2">
        <v>2730811.0</v>
      </c>
      <c r="F353" s="2">
        <v>854.0</v>
      </c>
      <c r="G353" s="2">
        <v>484.0</v>
      </c>
      <c r="H353" s="2" t="s">
        <v>5906</v>
      </c>
      <c r="I353" s="2" t="s">
        <v>5905</v>
      </c>
      <c r="J353" s="2" t="s">
        <v>6393</v>
      </c>
      <c r="K353" s="2" t="s">
        <v>14106</v>
      </c>
      <c r="L353" s="10" t="s">
        <v>14103</v>
      </c>
    </row>
    <row r="354">
      <c r="A354" s="2" t="s">
        <v>5671</v>
      </c>
      <c r="B354" s="2" t="s">
        <v>14107</v>
      </c>
      <c r="C354" s="2">
        <v>3.9689977977E10</v>
      </c>
      <c r="D354" s="2" t="s">
        <v>14105</v>
      </c>
      <c r="E354" s="2">
        <v>776115.0</v>
      </c>
      <c r="F354" s="2">
        <v>31.0</v>
      </c>
      <c r="G354" s="2">
        <v>439.0</v>
      </c>
      <c r="H354" s="2" t="s">
        <v>5906</v>
      </c>
      <c r="I354" s="2" t="s">
        <v>5905</v>
      </c>
      <c r="J354" s="2" t="s">
        <v>5959</v>
      </c>
      <c r="K354" s="2" t="s">
        <v>14108</v>
      </c>
      <c r="L354" s="10" t="s">
        <v>14109</v>
      </c>
    </row>
    <row r="355">
      <c r="A355" s="2" t="s">
        <v>5641</v>
      </c>
      <c r="B355" s="2" t="s">
        <v>14110</v>
      </c>
      <c r="C355" s="2">
        <v>4.159132239E9</v>
      </c>
      <c r="D355" s="2" t="s">
        <v>14111</v>
      </c>
      <c r="E355" s="2">
        <v>55840.0</v>
      </c>
      <c r="F355" s="2">
        <v>3875.0</v>
      </c>
      <c r="G355" s="2">
        <v>142.0</v>
      </c>
      <c r="H355" s="2" t="s">
        <v>5906</v>
      </c>
      <c r="I355" s="2" t="s">
        <v>5905</v>
      </c>
      <c r="J355" s="2" t="s">
        <v>5993</v>
      </c>
      <c r="K355" s="2" t="s">
        <v>14112</v>
      </c>
      <c r="L355" s="10" t="s">
        <v>14113</v>
      </c>
    </row>
    <row r="356">
      <c r="A356" s="2" t="s">
        <v>5764</v>
      </c>
      <c r="B356" s="2" t="s">
        <v>14114</v>
      </c>
      <c r="C356" s="2">
        <v>6.289652059E9</v>
      </c>
      <c r="D356" s="2" t="s">
        <v>14115</v>
      </c>
      <c r="E356" s="2">
        <v>30558.0</v>
      </c>
      <c r="F356" s="2">
        <v>1151.0</v>
      </c>
      <c r="G356" s="2">
        <v>31.0</v>
      </c>
      <c r="H356" s="2" t="s">
        <v>5906</v>
      </c>
      <c r="I356" s="2" t="s">
        <v>5905</v>
      </c>
      <c r="J356" s="2" t="s">
        <v>8838</v>
      </c>
      <c r="K356" s="2" t="s">
        <v>14116</v>
      </c>
      <c r="L356" s="10" t="s">
        <v>14117</v>
      </c>
    </row>
    <row r="357">
      <c r="A357" s="2" t="s">
        <v>5764</v>
      </c>
      <c r="B357" s="2" t="s">
        <v>14118</v>
      </c>
      <c r="C357" s="2">
        <v>6.3495572261E10</v>
      </c>
      <c r="D357" s="2" t="s">
        <v>14119</v>
      </c>
      <c r="E357" s="2">
        <v>1496037.0</v>
      </c>
      <c r="F357" s="2">
        <v>241.0</v>
      </c>
      <c r="G357" s="2">
        <v>1774.0</v>
      </c>
      <c r="H357" s="2" t="s">
        <v>5905</v>
      </c>
      <c r="I357" s="2" t="s">
        <v>5906</v>
      </c>
      <c r="J357" s="2" t="s">
        <v>6166</v>
      </c>
      <c r="K357" s="2" t="s">
        <v>14120</v>
      </c>
      <c r="L357" s="10" t="s">
        <v>14121</v>
      </c>
    </row>
    <row r="358">
      <c r="A358" s="2" t="s">
        <v>5764</v>
      </c>
      <c r="B358" s="2" t="s">
        <v>14122</v>
      </c>
      <c r="C358" s="2">
        <v>3.656479086E9</v>
      </c>
      <c r="D358" s="2" t="s">
        <v>14123</v>
      </c>
      <c r="E358" s="2">
        <v>1018905.0</v>
      </c>
      <c r="F358" s="2">
        <v>213.0</v>
      </c>
      <c r="G358" s="2">
        <v>3479.0</v>
      </c>
      <c r="H358" s="2" t="s">
        <v>5906</v>
      </c>
      <c r="I358" s="2" t="s">
        <v>5906</v>
      </c>
      <c r="J358" s="2" t="s">
        <v>12774</v>
      </c>
      <c r="K358" s="2" t="s">
        <v>14124</v>
      </c>
      <c r="L358" s="10" t="s">
        <v>14125</v>
      </c>
    </row>
    <row r="359">
      <c r="A359" s="2" t="s">
        <v>5764</v>
      </c>
      <c r="B359" s="2" t="s">
        <v>14126</v>
      </c>
      <c r="C359" s="2">
        <v>3.323668721E9</v>
      </c>
      <c r="D359" s="2" t="s">
        <v>14127</v>
      </c>
      <c r="E359" s="2">
        <v>12885.0</v>
      </c>
      <c r="F359" s="2">
        <v>377.0</v>
      </c>
      <c r="G359" s="2">
        <v>25.0</v>
      </c>
      <c r="H359" s="2" t="s">
        <v>5906</v>
      </c>
      <c r="I359" s="2" t="s">
        <v>5905</v>
      </c>
      <c r="J359" s="2" t="s">
        <v>8144</v>
      </c>
      <c r="K359" s="2" t="s">
        <v>14128</v>
      </c>
    </row>
    <row r="360">
      <c r="A360" s="2" t="s">
        <v>5783</v>
      </c>
      <c r="B360" s="2" t="s">
        <v>14129</v>
      </c>
      <c r="C360" s="2">
        <v>8.233839608E9</v>
      </c>
      <c r="D360" s="2" t="s">
        <v>5783</v>
      </c>
      <c r="E360" s="2">
        <v>1998846.0</v>
      </c>
      <c r="F360" s="2">
        <v>20.0</v>
      </c>
      <c r="G360" s="2">
        <v>2025.0</v>
      </c>
      <c r="H360" s="2" t="s">
        <v>5905</v>
      </c>
      <c r="I360" s="2" t="s">
        <v>5905</v>
      </c>
      <c r="J360" s="2" t="s">
        <v>6002</v>
      </c>
      <c r="K360" s="2" t="s">
        <v>14130</v>
      </c>
    </row>
    <row r="361">
      <c r="A361" s="2" t="s">
        <v>5783</v>
      </c>
      <c r="B361" s="2" t="s">
        <v>14131</v>
      </c>
      <c r="C361" s="2">
        <v>4.014897952E9</v>
      </c>
      <c r="D361" s="2" t="s">
        <v>14132</v>
      </c>
      <c r="E361" s="2">
        <v>157737.0</v>
      </c>
      <c r="F361" s="2">
        <v>2.0</v>
      </c>
      <c r="G361" s="2">
        <v>66.0</v>
      </c>
      <c r="H361" s="2" t="s">
        <v>5905</v>
      </c>
      <c r="I361" s="2" t="s">
        <v>5905</v>
      </c>
      <c r="J361" s="2" t="s">
        <v>6166</v>
      </c>
      <c r="K361" s="2" t="s">
        <v>14133</v>
      </c>
      <c r="L361" s="10" t="s">
        <v>14134</v>
      </c>
    </row>
    <row r="362">
      <c r="A362" s="2" t="s">
        <v>5783</v>
      </c>
      <c r="B362" s="2" t="s">
        <v>14135</v>
      </c>
      <c r="C362" s="2">
        <v>1.6688810307E10</v>
      </c>
      <c r="D362" s="2" t="s">
        <v>5783</v>
      </c>
      <c r="E362" s="2">
        <v>51874.0</v>
      </c>
      <c r="F362" s="2">
        <v>6478.0</v>
      </c>
      <c r="G362" s="2">
        <v>2658.0</v>
      </c>
      <c r="H362" s="2" t="s">
        <v>5905</v>
      </c>
      <c r="I362" s="2" t="s">
        <v>5905</v>
      </c>
      <c r="J362" s="2" t="s">
        <v>5959</v>
      </c>
      <c r="K362" s="2" t="s">
        <v>14136</v>
      </c>
      <c r="L362" s="10" t="s">
        <v>14137</v>
      </c>
    </row>
    <row r="363">
      <c r="A363" s="2" t="s">
        <v>5783</v>
      </c>
      <c r="B363" s="2" t="s">
        <v>14138</v>
      </c>
      <c r="C363" s="2">
        <v>4.6496757278E10</v>
      </c>
      <c r="D363" s="2" t="s">
        <v>14139</v>
      </c>
      <c r="E363" s="2">
        <v>160332.0</v>
      </c>
      <c r="F363" s="2">
        <v>1.0</v>
      </c>
      <c r="G363" s="2">
        <v>169.0</v>
      </c>
      <c r="H363" s="2" t="s">
        <v>5905</v>
      </c>
      <c r="I363" s="2" t="s">
        <v>5906</v>
      </c>
      <c r="J363" s="2" t="s">
        <v>7931</v>
      </c>
      <c r="K363" s="2" t="s">
        <v>14140</v>
      </c>
      <c r="L363" s="10" t="s">
        <v>14141</v>
      </c>
    </row>
    <row r="364">
      <c r="A364" s="2" t="s">
        <v>5783</v>
      </c>
      <c r="B364" s="2" t="s">
        <v>14142</v>
      </c>
      <c r="C364" s="2">
        <v>1.254976768E9</v>
      </c>
      <c r="D364" s="2" t="s">
        <v>14143</v>
      </c>
      <c r="E364" s="2">
        <v>88524.0</v>
      </c>
      <c r="F364" s="2">
        <v>3590.0</v>
      </c>
      <c r="G364" s="2">
        <v>120.0</v>
      </c>
      <c r="H364" s="2" t="s">
        <v>5906</v>
      </c>
      <c r="I364" s="2" t="s">
        <v>5905</v>
      </c>
      <c r="J364" s="2" t="s">
        <v>5993</v>
      </c>
      <c r="K364" s="2" t="s">
        <v>14144</v>
      </c>
      <c r="L364" s="10" t="s">
        <v>14145</v>
      </c>
    </row>
    <row r="365">
      <c r="A365" s="2" t="s">
        <v>5790</v>
      </c>
      <c r="B365" s="2" t="s">
        <v>14146</v>
      </c>
      <c r="C365" s="2">
        <v>4.5376782E7</v>
      </c>
      <c r="D365" s="2" t="s">
        <v>14147</v>
      </c>
      <c r="E365" s="2">
        <v>1385540.0</v>
      </c>
      <c r="F365" s="2">
        <v>3313.0</v>
      </c>
      <c r="G365" s="2">
        <v>10961.0</v>
      </c>
      <c r="H365" s="2" t="s">
        <v>5906</v>
      </c>
      <c r="I365" s="2" t="s">
        <v>5905</v>
      </c>
      <c r="J365" s="2" t="s">
        <v>6414</v>
      </c>
      <c r="K365" s="2" t="s">
        <v>14148</v>
      </c>
    </row>
    <row r="366">
      <c r="A366" s="2" t="s">
        <v>5790</v>
      </c>
      <c r="B366" s="2" t="s">
        <v>14149</v>
      </c>
      <c r="C366" s="2">
        <v>6.684525266E9</v>
      </c>
      <c r="D366" s="2" t="s">
        <v>14150</v>
      </c>
      <c r="E366" s="2">
        <v>92913.0</v>
      </c>
      <c r="F366" s="2">
        <v>66.0</v>
      </c>
      <c r="G366" s="2">
        <v>80.0</v>
      </c>
      <c r="H366" s="2" t="s">
        <v>5905</v>
      </c>
      <c r="I366" s="2" t="s">
        <v>5905</v>
      </c>
      <c r="J366" s="2" t="s">
        <v>13222</v>
      </c>
      <c r="K366" s="2" t="s">
        <v>14151</v>
      </c>
    </row>
    <row r="367">
      <c r="A367" s="2" t="s">
        <v>5790</v>
      </c>
      <c r="B367" s="2" t="s">
        <v>14152</v>
      </c>
      <c r="C367" s="2">
        <v>1.199348497E9</v>
      </c>
      <c r="D367" s="2" t="s">
        <v>14153</v>
      </c>
      <c r="E367" s="2">
        <v>50002.0</v>
      </c>
      <c r="F367" s="2">
        <v>1189.0</v>
      </c>
      <c r="G367" s="2">
        <v>85.0</v>
      </c>
      <c r="H367" s="2" t="s">
        <v>5905</v>
      </c>
      <c r="I367" s="2" t="s">
        <v>5906</v>
      </c>
      <c r="J367" s="2" t="s">
        <v>5993</v>
      </c>
      <c r="K367" s="2" t="s">
        <v>14154</v>
      </c>
      <c r="L367" s="10" t="s">
        <v>14155</v>
      </c>
    </row>
    <row r="368">
      <c r="A368" s="2" t="s">
        <v>5790</v>
      </c>
      <c r="B368" s="2" t="s">
        <v>14156</v>
      </c>
      <c r="C368" s="2">
        <v>5.499976919E9</v>
      </c>
      <c r="D368" s="2" t="s">
        <v>14157</v>
      </c>
      <c r="E368" s="2">
        <v>10684.0</v>
      </c>
      <c r="F368" s="2">
        <v>15.0</v>
      </c>
      <c r="G368" s="2">
        <v>56.0</v>
      </c>
      <c r="H368" s="2" t="s">
        <v>5905</v>
      </c>
      <c r="I368" s="2" t="s">
        <v>5906</v>
      </c>
      <c r="K368" s="2" t="s">
        <v>14158</v>
      </c>
      <c r="L368" s="10" t="s">
        <v>14159</v>
      </c>
    </row>
    <row r="369">
      <c r="A369" s="2" t="s">
        <v>5790</v>
      </c>
      <c r="B369" s="10" t="s">
        <v>14160</v>
      </c>
      <c r="C369" s="2">
        <v>6.1161906098E10</v>
      </c>
      <c r="D369" s="2" t="s">
        <v>14161</v>
      </c>
      <c r="E369" s="2">
        <v>16912.0</v>
      </c>
      <c r="F369" s="2">
        <v>21.0</v>
      </c>
      <c r="G369" s="2">
        <v>505.0</v>
      </c>
      <c r="H369" s="2" t="s">
        <v>5905</v>
      </c>
      <c r="I369" s="2" t="s">
        <v>5906</v>
      </c>
      <c r="J369" s="2" t="s">
        <v>5391</v>
      </c>
      <c r="K369" s="2" t="s">
        <v>14162</v>
      </c>
      <c r="L369" s="10" t="s">
        <v>14163</v>
      </c>
    </row>
    <row r="370">
      <c r="A370" s="2" t="s">
        <v>5790</v>
      </c>
      <c r="B370" s="2" t="s">
        <v>14164</v>
      </c>
      <c r="C370" s="2">
        <v>7.2057899252E10</v>
      </c>
      <c r="D370" s="2" t="s">
        <v>14165</v>
      </c>
      <c r="E370" s="2">
        <v>12881.0</v>
      </c>
      <c r="F370" s="2">
        <v>1.0</v>
      </c>
      <c r="G370" s="2">
        <v>105.0</v>
      </c>
      <c r="H370" s="2" t="s">
        <v>5905</v>
      </c>
      <c r="I370" s="2" t="s">
        <v>5905</v>
      </c>
      <c r="J370" s="2" t="s">
        <v>8604</v>
      </c>
      <c r="K370" s="2" t="s">
        <v>14166</v>
      </c>
      <c r="L370" s="10" t="s">
        <v>14167</v>
      </c>
    </row>
    <row r="371">
      <c r="A371" s="2" t="s">
        <v>5790</v>
      </c>
      <c r="B371" s="2" t="s">
        <v>14168</v>
      </c>
      <c r="C371" s="2">
        <v>2.0607972E7</v>
      </c>
      <c r="D371" s="2" t="s">
        <v>14169</v>
      </c>
      <c r="E371" s="2">
        <v>146871.0</v>
      </c>
      <c r="F371" s="2">
        <v>228.0</v>
      </c>
      <c r="G371" s="2">
        <v>2105.0</v>
      </c>
      <c r="H371" s="2" t="s">
        <v>5906</v>
      </c>
      <c r="I371" s="2" t="s">
        <v>5906</v>
      </c>
      <c r="K371" s="2" t="s">
        <v>14170</v>
      </c>
      <c r="L371" s="10" t="s">
        <v>14171</v>
      </c>
    </row>
    <row r="372">
      <c r="A372" s="2" t="s">
        <v>5776</v>
      </c>
      <c r="B372" s="2" t="s">
        <v>14172</v>
      </c>
      <c r="C372" s="2">
        <v>3.1340611E7</v>
      </c>
      <c r="D372" s="2" t="s">
        <v>14173</v>
      </c>
      <c r="E372" s="2">
        <v>14932.0</v>
      </c>
      <c r="F372" s="2">
        <v>3054.0</v>
      </c>
      <c r="G372" s="2">
        <v>708.0</v>
      </c>
      <c r="H372" s="2" t="s">
        <v>5906</v>
      </c>
      <c r="I372" s="2" t="s">
        <v>5905</v>
      </c>
      <c r="K372" s="2" t="s">
        <v>14174</v>
      </c>
      <c r="L372" s="10" t="s">
        <v>14175</v>
      </c>
    </row>
    <row r="373">
      <c r="A373" s="2" t="s">
        <v>5776</v>
      </c>
      <c r="B373" s="2" t="s">
        <v>14176</v>
      </c>
      <c r="C373" s="2">
        <v>4.4630598E8</v>
      </c>
      <c r="D373" s="2" t="s">
        <v>14177</v>
      </c>
      <c r="E373" s="2">
        <v>1.2582858E7</v>
      </c>
      <c r="F373" s="2">
        <v>995.0</v>
      </c>
      <c r="G373" s="2">
        <v>8901.0</v>
      </c>
      <c r="H373" s="2" t="s">
        <v>5906</v>
      </c>
      <c r="I373" s="2" t="s">
        <v>5905</v>
      </c>
      <c r="J373" s="2" t="s">
        <v>6414</v>
      </c>
      <c r="K373" s="2" t="s">
        <v>14178</v>
      </c>
      <c r="L373" s="10" t="s">
        <v>14179</v>
      </c>
    </row>
    <row r="374">
      <c r="A374" s="2" t="s">
        <v>5862</v>
      </c>
      <c r="B374" s="2" t="s">
        <v>14180</v>
      </c>
      <c r="C374" s="2">
        <v>3714.0</v>
      </c>
      <c r="D374" s="2" t="s">
        <v>5862</v>
      </c>
      <c r="E374" s="2">
        <v>105948.0</v>
      </c>
      <c r="F374" s="2">
        <v>58.0</v>
      </c>
      <c r="G374" s="2">
        <v>185.0</v>
      </c>
      <c r="H374" s="2" t="s">
        <v>5906</v>
      </c>
      <c r="I374" s="2" t="s">
        <v>5906</v>
      </c>
      <c r="J374" s="2" t="s">
        <v>14181</v>
      </c>
      <c r="K374" s="2" t="s">
        <v>14182</v>
      </c>
      <c r="L374" s="10" t="s">
        <v>14183</v>
      </c>
    </row>
    <row r="375">
      <c r="A375" s="2" t="s">
        <v>5862</v>
      </c>
      <c r="B375" s="2" t="s">
        <v>14184</v>
      </c>
      <c r="C375" s="2">
        <v>3.54700151E8</v>
      </c>
      <c r="D375" s="2" t="s">
        <v>14185</v>
      </c>
      <c r="E375" s="2">
        <v>15186.0</v>
      </c>
      <c r="F375" s="2">
        <v>280.0</v>
      </c>
      <c r="G375" s="2">
        <v>566.0</v>
      </c>
      <c r="H375" s="2" t="s">
        <v>5905</v>
      </c>
      <c r="I375" s="2" t="s">
        <v>5905</v>
      </c>
      <c r="J375" s="2" t="s">
        <v>6393</v>
      </c>
      <c r="K375" s="2" t="s">
        <v>14186</v>
      </c>
    </row>
    <row r="376">
      <c r="A376" s="2" t="s">
        <v>5742</v>
      </c>
      <c r="B376" s="2" t="s">
        <v>14187</v>
      </c>
      <c r="C376" s="2">
        <v>2.57757758E8</v>
      </c>
      <c r="D376" s="2" t="s">
        <v>14188</v>
      </c>
      <c r="E376" s="2">
        <v>29699.0</v>
      </c>
      <c r="F376" s="2">
        <v>137.0</v>
      </c>
      <c r="G376" s="2">
        <v>11.0</v>
      </c>
      <c r="H376" s="2" t="s">
        <v>5906</v>
      </c>
      <c r="I376" s="2" t="s">
        <v>5905</v>
      </c>
      <c r="J376" s="2" t="s">
        <v>5959</v>
      </c>
    </row>
    <row r="377">
      <c r="A377" s="2" t="s">
        <v>5742</v>
      </c>
      <c r="B377" s="2" t="s">
        <v>14189</v>
      </c>
      <c r="C377" s="2">
        <v>8.4824085E9</v>
      </c>
      <c r="D377" s="2" t="s">
        <v>5742</v>
      </c>
      <c r="E377" s="2">
        <v>131172.0</v>
      </c>
      <c r="F377" s="2">
        <v>93.0</v>
      </c>
      <c r="G377" s="2">
        <v>293.0</v>
      </c>
      <c r="H377" s="2" t="s">
        <v>5905</v>
      </c>
      <c r="I377" s="2" t="s">
        <v>5905</v>
      </c>
      <c r="J377" s="2" t="s">
        <v>5959</v>
      </c>
      <c r="K377" s="2" t="s">
        <v>14190</v>
      </c>
      <c r="L377" s="10" t="s">
        <v>14191</v>
      </c>
    </row>
    <row r="378">
      <c r="A378" s="2" t="s">
        <v>5786</v>
      </c>
      <c r="B378" s="2" t="s">
        <v>14192</v>
      </c>
      <c r="C378" s="2">
        <v>1.209345505E9</v>
      </c>
      <c r="D378" s="2" t="s">
        <v>14193</v>
      </c>
      <c r="E378" s="2">
        <v>153109.0</v>
      </c>
      <c r="F378" s="2">
        <v>922.0</v>
      </c>
      <c r="G378" s="2">
        <v>2148.0</v>
      </c>
      <c r="H378" s="2" t="s">
        <v>5906</v>
      </c>
      <c r="I378" s="2" t="s">
        <v>5905</v>
      </c>
      <c r="K378" s="2" t="s">
        <v>14194</v>
      </c>
      <c r="L378" s="10" t="s">
        <v>14195</v>
      </c>
    </row>
    <row r="379">
      <c r="A379" s="2" t="s">
        <v>5634</v>
      </c>
      <c r="B379" s="2" t="s">
        <v>14196</v>
      </c>
      <c r="C379" s="2">
        <v>1.030582849E9</v>
      </c>
      <c r="D379" s="2" t="s">
        <v>5634</v>
      </c>
      <c r="E379" s="2">
        <v>54817.0</v>
      </c>
      <c r="F379" s="2">
        <v>412.0</v>
      </c>
      <c r="G379" s="2">
        <v>34.0</v>
      </c>
      <c r="H379" s="2" t="s">
        <v>5906</v>
      </c>
      <c r="I379" s="2" t="s">
        <v>5905</v>
      </c>
      <c r="J379" s="2" t="s">
        <v>6124</v>
      </c>
      <c r="K379" s="2" t="s">
        <v>14197</v>
      </c>
      <c r="L379" s="10" t="s">
        <v>14198</v>
      </c>
    </row>
    <row r="380">
      <c r="A380" s="2" t="s">
        <v>5634</v>
      </c>
      <c r="B380" s="2" t="s">
        <v>14199</v>
      </c>
      <c r="C380" s="2">
        <v>2.92275809E8</v>
      </c>
      <c r="D380" s="2" t="s">
        <v>5634</v>
      </c>
      <c r="E380" s="2">
        <v>6719023.0</v>
      </c>
      <c r="F380" s="2">
        <v>1065.0</v>
      </c>
      <c r="G380" s="2">
        <v>203.0</v>
      </c>
      <c r="H380" s="2" t="s">
        <v>5906</v>
      </c>
      <c r="I380" s="2" t="s">
        <v>5905</v>
      </c>
      <c r="J380" s="2" t="s">
        <v>5993</v>
      </c>
    </row>
    <row r="381">
      <c r="A381" s="2" t="s">
        <v>5697</v>
      </c>
      <c r="B381" s="2" t="s">
        <v>14200</v>
      </c>
      <c r="C381" s="2">
        <v>2.2232728E8</v>
      </c>
      <c r="D381" s="2" t="s">
        <v>14201</v>
      </c>
      <c r="E381" s="2">
        <v>17107.0</v>
      </c>
      <c r="F381" s="2">
        <v>7500.0</v>
      </c>
      <c r="G381" s="2">
        <v>280.0</v>
      </c>
      <c r="H381" s="2" t="s">
        <v>5905</v>
      </c>
      <c r="I381" s="2" t="s">
        <v>5905</v>
      </c>
      <c r="J381" s="2" t="s">
        <v>6414</v>
      </c>
      <c r="K381" s="2" t="s">
        <v>14202</v>
      </c>
    </row>
    <row r="382">
      <c r="A382" s="2" t="s">
        <v>5697</v>
      </c>
      <c r="B382" s="2" t="s">
        <v>14203</v>
      </c>
      <c r="C382" s="2">
        <v>3.90870692E8</v>
      </c>
      <c r="D382" s="2" t="s">
        <v>14204</v>
      </c>
      <c r="E382" s="2">
        <v>4124246.0</v>
      </c>
      <c r="F382" s="2">
        <v>6.0</v>
      </c>
      <c r="G382" s="2">
        <v>354.0</v>
      </c>
      <c r="H382" s="2" t="s">
        <v>5906</v>
      </c>
      <c r="I382" s="2" t="s">
        <v>5905</v>
      </c>
      <c r="J382" s="2" t="s">
        <v>5993</v>
      </c>
      <c r="K382" s="2" t="s">
        <v>14205</v>
      </c>
    </row>
    <row r="383">
      <c r="A383" s="2" t="s">
        <v>5697</v>
      </c>
      <c r="B383" s="2" t="s">
        <v>14206</v>
      </c>
      <c r="C383" s="2">
        <v>2192.0</v>
      </c>
      <c r="D383" s="2" t="s">
        <v>14207</v>
      </c>
      <c r="E383" s="2">
        <v>22598.0</v>
      </c>
      <c r="F383" s="2">
        <v>474.0</v>
      </c>
      <c r="G383" s="2">
        <v>4.0</v>
      </c>
      <c r="H383" s="2" t="s">
        <v>5905</v>
      </c>
      <c r="I383" s="2" t="s">
        <v>5905</v>
      </c>
      <c r="K383" s="2" t="s">
        <v>14208</v>
      </c>
    </row>
    <row r="384">
      <c r="A384" s="2" t="s">
        <v>5697</v>
      </c>
      <c r="B384" s="2" t="s">
        <v>14209</v>
      </c>
      <c r="C384" s="2">
        <v>5.7252566298E10</v>
      </c>
      <c r="D384" s="2" t="s">
        <v>14210</v>
      </c>
      <c r="E384" s="2">
        <v>241617.0</v>
      </c>
      <c r="F384" s="2">
        <v>69.0</v>
      </c>
      <c r="G384" s="2">
        <v>295.0</v>
      </c>
      <c r="H384" s="2" t="s">
        <v>5905</v>
      </c>
      <c r="I384" s="2" t="s">
        <v>5905</v>
      </c>
      <c r="J384" s="2" t="s">
        <v>5492</v>
      </c>
      <c r="K384" s="2" t="s">
        <v>14211</v>
      </c>
      <c r="L384" s="10" t="s">
        <v>14212</v>
      </c>
    </row>
    <row r="385">
      <c r="A385" s="2" t="s">
        <v>5863</v>
      </c>
      <c r="B385" s="2" t="s">
        <v>14213</v>
      </c>
      <c r="C385" s="2">
        <v>1.9446582407E10</v>
      </c>
      <c r="D385" s="2" t="s">
        <v>14214</v>
      </c>
      <c r="E385" s="2">
        <v>1.1378263E7</v>
      </c>
      <c r="F385" s="2">
        <v>4.0</v>
      </c>
      <c r="G385" s="2">
        <v>200.0</v>
      </c>
      <c r="H385" s="2" t="s">
        <v>5906</v>
      </c>
      <c r="I385" s="2" t="s">
        <v>5905</v>
      </c>
    </row>
    <row r="386">
      <c r="A386" s="2" t="s">
        <v>5661</v>
      </c>
      <c r="B386" s="2" t="s">
        <v>14215</v>
      </c>
      <c r="C386" s="2">
        <v>7733314.0</v>
      </c>
      <c r="D386" s="2" t="s">
        <v>14216</v>
      </c>
      <c r="E386" s="2">
        <v>474107.0</v>
      </c>
      <c r="F386" s="2">
        <v>622.0</v>
      </c>
      <c r="G386" s="2">
        <v>986.0</v>
      </c>
      <c r="H386" s="2" t="s">
        <v>5906</v>
      </c>
      <c r="I386" s="2" t="s">
        <v>5905</v>
      </c>
      <c r="J386" s="2" t="s">
        <v>6354</v>
      </c>
      <c r="K386" s="2" t="s">
        <v>14217</v>
      </c>
      <c r="L386" s="10" t="s">
        <v>14218</v>
      </c>
    </row>
    <row r="387">
      <c r="A387" s="2" t="s">
        <v>5741</v>
      </c>
      <c r="B387" s="2" t="s">
        <v>14219</v>
      </c>
      <c r="C387" s="2">
        <v>3.70518058E8</v>
      </c>
      <c r="D387" s="2" t="s">
        <v>5741</v>
      </c>
      <c r="E387" s="2">
        <v>12315.0</v>
      </c>
      <c r="F387" s="2">
        <v>1354.0</v>
      </c>
      <c r="G387" s="2">
        <v>50.0</v>
      </c>
      <c r="H387" s="2" t="s">
        <v>5905</v>
      </c>
      <c r="I387" s="2" t="s">
        <v>5905</v>
      </c>
      <c r="J387" s="2" t="s">
        <v>13518</v>
      </c>
      <c r="K387" s="2" t="s">
        <v>14220</v>
      </c>
      <c r="L387" s="10" t="s">
        <v>14221</v>
      </c>
    </row>
    <row r="388">
      <c r="A388" s="2" t="s">
        <v>5741</v>
      </c>
      <c r="B388" s="2" t="s">
        <v>14222</v>
      </c>
      <c r="C388" s="2">
        <v>7.6402545922E10</v>
      </c>
      <c r="D388" s="2" t="s">
        <v>14223</v>
      </c>
      <c r="E388" s="2">
        <v>223900.0</v>
      </c>
      <c r="F388" s="2">
        <v>49.0</v>
      </c>
      <c r="G388" s="2">
        <v>29.0</v>
      </c>
      <c r="H388" s="2" t="s">
        <v>5906</v>
      </c>
      <c r="I388" s="2" t="s">
        <v>5905</v>
      </c>
      <c r="J388" s="2" t="s">
        <v>5959</v>
      </c>
      <c r="K388" s="2" t="s">
        <v>14224</v>
      </c>
    </row>
    <row r="389">
      <c r="A389" s="2" t="s">
        <v>5741</v>
      </c>
      <c r="B389" s="2" t="s">
        <v>14225</v>
      </c>
      <c r="C389" s="2">
        <v>3.08929112E8</v>
      </c>
      <c r="D389" s="2" t="s">
        <v>5741</v>
      </c>
      <c r="E389" s="2">
        <v>962503.0</v>
      </c>
      <c r="F389" s="2">
        <v>127.0</v>
      </c>
      <c r="G389" s="2">
        <v>273.0</v>
      </c>
      <c r="H389" s="2" t="s">
        <v>5906</v>
      </c>
      <c r="I389" s="2" t="s">
        <v>5905</v>
      </c>
      <c r="L389" s="10" t="s">
        <v>14226</v>
      </c>
    </row>
    <row r="390">
      <c r="A390" s="2" t="s">
        <v>5594</v>
      </c>
      <c r="B390" s="2" t="s">
        <v>14227</v>
      </c>
      <c r="C390" s="2">
        <v>9.27378976E8</v>
      </c>
      <c r="D390" s="2" t="s">
        <v>14228</v>
      </c>
      <c r="E390" s="2">
        <v>1111779.0</v>
      </c>
      <c r="F390" s="2">
        <v>2081.0</v>
      </c>
      <c r="G390" s="2">
        <v>2698.0</v>
      </c>
      <c r="H390" s="2" t="s">
        <v>5906</v>
      </c>
      <c r="I390" s="2" t="s">
        <v>5905</v>
      </c>
      <c r="J390" s="2" t="s">
        <v>5391</v>
      </c>
      <c r="K390" s="2" t="s">
        <v>14229</v>
      </c>
      <c r="L390" s="10" t="s">
        <v>14230</v>
      </c>
    </row>
    <row r="391">
      <c r="A391" s="2" t="s">
        <v>5865</v>
      </c>
      <c r="B391" s="2" t="s">
        <v>14231</v>
      </c>
      <c r="C391" s="2">
        <v>1.2424088E7</v>
      </c>
      <c r="D391" s="2" t="s">
        <v>5865</v>
      </c>
      <c r="E391" s="2">
        <v>30279.0</v>
      </c>
      <c r="F391" s="2">
        <v>1713.0</v>
      </c>
      <c r="G391" s="2">
        <v>966.0</v>
      </c>
      <c r="H391" s="2" t="s">
        <v>5905</v>
      </c>
      <c r="I391" s="2" t="s">
        <v>5905</v>
      </c>
      <c r="J391" s="2" t="s">
        <v>5959</v>
      </c>
      <c r="K391" s="2" t="s">
        <v>14232</v>
      </c>
      <c r="L391" s="10" t="s">
        <v>14233</v>
      </c>
    </row>
    <row r="392">
      <c r="A392" s="2" t="s">
        <v>5866</v>
      </c>
      <c r="B392" s="2" t="s">
        <v>14234</v>
      </c>
      <c r="C392" s="2">
        <v>1.1244852E7</v>
      </c>
      <c r="D392" s="2" t="s">
        <v>14235</v>
      </c>
      <c r="E392" s="2">
        <v>1.9158448E7</v>
      </c>
      <c r="F392" s="2">
        <v>1.0</v>
      </c>
      <c r="G392" s="2">
        <v>1717.0</v>
      </c>
      <c r="H392" s="2" t="s">
        <v>5906</v>
      </c>
      <c r="I392" s="2" t="s">
        <v>5905</v>
      </c>
      <c r="J392" s="2" t="s">
        <v>5993</v>
      </c>
      <c r="K392" s="2" t="s">
        <v>14236</v>
      </c>
      <c r="L392" s="10" t="s">
        <v>14237</v>
      </c>
    </row>
    <row r="393">
      <c r="A393" s="2" t="s">
        <v>5866</v>
      </c>
      <c r="B393" s="2" t="s">
        <v>14238</v>
      </c>
      <c r="C393" s="2">
        <v>3.12634515E8</v>
      </c>
      <c r="D393" s="2" t="s">
        <v>14239</v>
      </c>
      <c r="E393" s="2">
        <v>1.0418061E7</v>
      </c>
      <c r="F393" s="2">
        <v>990.0</v>
      </c>
      <c r="G393" s="2">
        <v>462.0</v>
      </c>
      <c r="H393" s="2" t="s">
        <v>5906</v>
      </c>
      <c r="I393" s="2" t="s">
        <v>5905</v>
      </c>
      <c r="J393" s="2" t="s">
        <v>5993</v>
      </c>
      <c r="K393" s="2" t="s">
        <v>14240</v>
      </c>
      <c r="L393" s="10" t="s">
        <v>14241</v>
      </c>
    </row>
    <row r="394">
      <c r="A394" s="2" t="s">
        <v>5612</v>
      </c>
      <c r="B394" s="2" t="s">
        <v>14242</v>
      </c>
      <c r="C394" s="2">
        <v>1.9123807E7</v>
      </c>
      <c r="D394" s="2" t="s">
        <v>14243</v>
      </c>
      <c r="E394" s="2">
        <v>7278686.0</v>
      </c>
      <c r="F394" s="2">
        <v>1134.0</v>
      </c>
      <c r="G394" s="2">
        <v>493.0</v>
      </c>
      <c r="H394" s="2" t="s">
        <v>5906</v>
      </c>
      <c r="I394" s="2" t="s">
        <v>5905</v>
      </c>
      <c r="J394" s="2" t="s">
        <v>6111</v>
      </c>
      <c r="K394" s="2" t="s">
        <v>14244</v>
      </c>
      <c r="L394" s="10" t="s">
        <v>14245</v>
      </c>
    </row>
    <row r="395">
      <c r="A395" s="2" t="s">
        <v>5612</v>
      </c>
      <c r="B395" s="2" t="s">
        <v>14246</v>
      </c>
      <c r="C395" s="2">
        <v>1.9410587E7</v>
      </c>
      <c r="D395" s="2" t="s">
        <v>14247</v>
      </c>
      <c r="E395" s="2">
        <v>1.58742805E8</v>
      </c>
      <c r="F395" s="2">
        <v>429.0</v>
      </c>
      <c r="G395" s="2">
        <v>2784.0</v>
      </c>
      <c r="H395" s="2" t="s">
        <v>5906</v>
      </c>
      <c r="I395" s="2" t="s">
        <v>5905</v>
      </c>
      <c r="J395" s="2" t="s">
        <v>8144</v>
      </c>
    </row>
    <row r="396">
      <c r="A396" s="2" t="s">
        <v>5867</v>
      </c>
      <c r="B396" s="2" t="s">
        <v>14248</v>
      </c>
      <c r="C396" s="2">
        <v>6887735.0</v>
      </c>
      <c r="D396" s="2" t="s">
        <v>14249</v>
      </c>
      <c r="E396" s="2">
        <v>86281.0</v>
      </c>
      <c r="F396" s="2">
        <v>859.0</v>
      </c>
      <c r="G396" s="2">
        <v>374.0</v>
      </c>
      <c r="H396" s="2" t="s">
        <v>5906</v>
      </c>
      <c r="I396" s="2" t="s">
        <v>5905</v>
      </c>
      <c r="J396" s="2" t="s">
        <v>5928</v>
      </c>
      <c r="K396" s="2" t="s">
        <v>14250</v>
      </c>
      <c r="L396" s="10" t="s">
        <v>14251</v>
      </c>
    </row>
    <row r="397">
      <c r="A397" s="2" t="s">
        <v>5867</v>
      </c>
      <c r="B397" s="2" t="s">
        <v>14252</v>
      </c>
      <c r="C397" s="2">
        <v>2.111292809E9</v>
      </c>
      <c r="D397" s="2" t="s">
        <v>14253</v>
      </c>
      <c r="E397" s="2">
        <v>7901161.0</v>
      </c>
      <c r="F397" s="2">
        <v>240.0</v>
      </c>
      <c r="G397" s="2">
        <v>1678.0</v>
      </c>
      <c r="H397" s="2" t="s">
        <v>5906</v>
      </c>
      <c r="I397" s="2" t="s">
        <v>5906</v>
      </c>
      <c r="J397" s="2" t="s">
        <v>6124</v>
      </c>
      <c r="K397" s="2" t="s">
        <v>14254</v>
      </c>
      <c r="L397" s="10" t="s">
        <v>14255</v>
      </c>
    </row>
    <row r="398">
      <c r="A398" s="2" t="s">
        <v>5867</v>
      </c>
      <c r="B398" s="2" t="s">
        <v>14256</v>
      </c>
      <c r="C398" s="2">
        <v>3.9228285061E10</v>
      </c>
      <c r="D398" s="2" t="s">
        <v>5867</v>
      </c>
      <c r="E398" s="2">
        <v>20534.0</v>
      </c>
      <c r="F398" s="2">
        <v>28.0</v>
      </c>
      <c r="G398" s="2">
        <v>306.0</v>
      </c>
      <c r="H398" s="2" t="s">
        <v>5905</v>
      </c>
      <c r="I398" s="2" t="s">
        <v>5905</v>
      </c>
      <c r="K398" s="2" t="s">
        <v>14257</v>
      </c>
      <c r="L398" s="10" t="s">
        <v>14258</v>
      </c>
    </row>
    <row r="399">
      <c r="A399" s="2" t="s">
        <v>5868</v>
      </c>
      <c r="B399" s="2" t="s">
        <v>14259</v>
      </c>
      <c r="C399" s="2">
        <v>1.3306175617E10</v>
      </c>
      <c r="E399" s="2">
        <v>359829.0</v>
      </c>
      <c r="F399" s="2">
        <v>798.0</v>
      </c>
      <c r="G399" s="2">
        <v>428.0</v>
      </c>
      <c r="H399" s="2" t="s">
        <v>5905</v>
      </c>
      <c r="I399" s="2" t="s">
        <v>5905</v>
      </c>
      <c r="J399" s="2" t="s">
        <v>5959</v>
      </c>
      <c r="K399" s="2" t="s">
        <v>14260</v>
      </c>
      <c r="L399" s="10" t="s">
        <v>14261</v>
      </c>
    </row>
    <row r="400">
      <c r="A400" s="2" t="s">
        <v>5868</v>
      </c>
      <c r="B400" s="2" t="s">
        <v>14262</v>
      </c>
      <c r="C400" s="2">
        <v>6.579983571E10</v>
      </c>
      <c r="D400" s="2" t="s">
        <v>14263</v>
      </c>
      <c r="E400" s="2">
        <v>3429042.0</v>
      </c>
      <c r="F400" s="2">
        <v>203.0</v>
      </c>
      <c r="G400" s="2">
        <v>93.0</v>
      </c>
      <c r="H400" s="2" t="s">
        <v>5906</v>
      </c>
      <c r="I400" s="2" t="s">
        <v>5905</v>
      </c>
      <c r="J400" s="2" t="s">
        <v>6032</v>
      </c>
      <c r="K400" s="2" t="s">
        <v>14264</v>
      </c>
      <c r="L400" s="10" t="s">
        <v>14265</v>
      </c>
    </row>
    <row r="401">
      <c r="A401" s="2" t="s">
        <v>5868</v>
      </c>
      <c r="B401" s="2" t="s">
        <v>14266</v>
      </c>
      <c r="C401" s="2">
        <v>7.2723143322E10</v>
      </c>
      <c r="D401" s="2" t="s">
        <v>14267</v>
      </c>
      <c r="E401" s="2">
        <v>76017.0</v>
      </c>
      <c r="F401" s="2">
        <v>19.0</v>
      </c>
      <c r="G401" s="2">
        <v>58.0</v>
      </c>
      <c r="H401" s="2" t="s">
        <v>5906</v>
      </c>
      <c r="I401" s="2" t="s">
        <v>5905</v>
      </c>
      <c r="J401" s="2" t="s">
        <v>6171</v>
      </c>
      <c r="K401" s="2" t="s">
        <v>14268</v>
      </c>
    </row>
    <row r="402">
      <c r="A402" s="2" t="s">
        <v>5868</v>
      </c>
      <c r="B402" s="2" t="s">
        <v>14269</v>
      </c>
      <c r="C402" s="2">
        <v>4.0630169672E10</v>
      </c>
      <c r="D402" s="2" t="s">
        <v>14270</v>
      </c>
      <c r="E402" s="2">
        <v>153384.0</v>
      </c>
      <c r="F402" s="2">
        <v>3194.0</v>
      </c>
      <c r="G402" s="2">
        <v>18.0</v>
      </c>
      <c r="H402" s="2" t="s">
        <v>5905</v>
      </c>
      <c r="I402" s="2" t="s">
        <v>5905</v>
      </c>
      <c r="J402" s="2" t="s">
        <v>5928</v>
      </c>
      <c r="K402" s="2" t="s">
        <v>14271</v>
      </c>
      <c r="L402" s="10" t="s">
        <v>14272</v>
      </c>
    </row>
    <row r="403">
      <c r="A403" s="2" t="s">
        <v>5696</v>
      </c>
      <c r="B403" s="2" t="s">
        <v>14273</v>
      </c>
      <c r="C403" s="2">
        <v>2.9524868E7</v>
      </c>
      <c r="D403" s="2" t="s">
        <v>14274</v>
      </c>
      <c r="E403" s="2">
        <v>1.1889356E7</v>
      </c>
      <c r="F403" s="2">
        <v>3.0</v>
      </c>
      <c r="G403" s="2">
        <v>584.0</v>
      </c>
      <c r="H403" s="2" t="s">
        <v>5906</v>
      </c>
      <c r="I403" s="2" t="s">
        <v>5905</v>
      </c>
      <c r="J403" s="2" t="s">
        <v>6124</v>
      </c>
      <c r="K403" s="2" t="s">
        <v>14275</v>
      </c>
      <c r="L403" s="10" t="s">
        <v>14276</v>
      </c>
    </row>
    <row r="404">
      <c r="A404" s="2" t="s">
        <v>5696</v>
      </c>
      <c r="B404" s="2" t="s">
        <v>14277</v>
      </c>
      <c r="C404" s="2">
        <v>2.05311972E9</v>
      </c>
      <c r="D404" s="2" t="s">
        <v>14278</v>
      </c>
      <c r="E404" s="2">
        <v>6860241.0</v>
      </c>
      <c r="F404" s="2">
        <v>259.0</v>
      </c>
      <c r="G404" s="2">
        <v>494.0</v>
      </c>
      <c r="H404" s="2" t="s">
        <v>5906</v>
      </c>
      <c r="I404" s="2" t="s">
        <v>5905</v>
      </c>
      <c r="J404" s="2" t="s">
        <v>5993</v>
      </c>
      <c r="L404" s="10" t="s">
        <v>14279</v>
      </c>
    </row>
    <row r="405">
      <c r="A405" s="2" t="s">
        <v>5696</v>
      </c>
      <c r="B405" s="2" t="s">
        <v>14280</v>
      </c>
      <c r="C405" s="2">
        <v>3.270979363E9</v>
      </c>
      <c r="D405" s="2" t="s">
        <v>14281</v>
      </c>
      <c r="E405" s="2">
        <v>1007188.0</v>
      </c>
      <c r="F405" s="2">
        <v>801.0</v>
      </c>
      <c r="G405" s="2">
        <v>40.0</v>
      </c>
      <c r="H405" s="2" t="s">
        <v>5906</v>
      </c>
      <c r="I405" s="2" t="s">
        <v>5905</v>
      </c>
      <c r="J405" s="2" t="s">
        <v>8144</v>
      </c>
      <c r="K405" s="2" t="s">
        <v>14282</v>
      </c>
      <c r="L405" s="10" t="s">
        <v>14283</v>
      </c>
    </row>
    <row r="406">
      <c r="A406" s="2" t="s">
        <v>5666</v>
      </c>
      <c r="B406" s="2" t="s">
        <v>14284</v>
      </c>
      <c r="C406" s="2">
        <v>3.1226794E7</v>
      </c>
      <c r="D406" s="2" t="s">
        <v>14285</v>
      </c>
      <c r="E406" s="2">
        <v>24333.0</v>
      </c>
      <c r="F406" s="2">
        <v>3568.0</v>
      </c>
      <c r="G406" s="2">
        <v>390.0</v>
      </c>
      <c r="H406" s="2" t="s">
        <v>5905</v>
      </c>
      <c r="I406" s="2" t="s">
        <v>5906</v>
      </c>
      <c r="J406" s="2" t="s">
        <v>6032</v>
      </c>
    </row>
    <row r="407">
      <c r="A407" s="2" t="s">
        <v>5623</v>
      </c>
      <c r="B407" s="2" t="s">
        <v>14286</v>
      </c>
      <c r="C407" s="2">
        <v>1333.0</v>
      </c>
      <c r="D407" s="2" t="s">
        <v>14287</v>
      </c>
      <c r="E407" s="2">
        <v>56904.0</v>
      </c>
      <c r="F407" s="2">
        <v>1831.0</v>
      </c>
      <c r="G407" s="2">
        <v>267.0</v>
      </c>
      <c r="H407" s="2" t="s">
        <v>5906</v>
      </c>
      <c r="I407" s="2" t="s">
        <v>5905</v>
      </c>
      <c r="J407" s="2" t="s">
        <v>5391</v>
      </c>
      <c r="K407" s="2" t="s">
        <v>14288</v>
      </c>
      <c r="L407" s="10" t="s">
        <v>14289</v>
      </c>
    </row>
    <row r="408">
      <c r="A408" s="2" t="s">
        <v>5623</v>
      </c>
      <c r="B408" s="2" t="s">
        <v>14290</v>
      </c>
      <c r="C408" s="2">
        <v>1.777543238E9</v>
      </c>
      <c r="D408" s="2" t="s">
        <v>14291</v>
      </c>
      <c r="E408" s="2">
        <v>4.3949421E7</v>
      </c>
      <c r="F408" s="2">
        <v>0.0</v>
      </c>
      <c r="G408" s="2">
        <v>388.0</v>
      </c>
      <c r="H408" s="2" t="s">
        <v>5906</v>
      </c>
      <c r="I408" s="2" t="s">
        <v>5905</v>
      </c>
      <c r="J408" s="2" t="s">
        <v>8838</v>
      </c>
      <c r="L408" s="10" t="s">
        <v>14292</v>
      </c>
    </row>
    <row r="409">
      <c r="A409" s="2" t="s">
        <v>5623</v>
      </c>
      <c r="B409" s="2" t="s">
        <v>14293</v>
      </c>
      <c r="C409" s="2">
        <v>9.18028867E8</v>
      </c>
      <c r="D409" s="2" t="s">
        <v>14294</v>
      </c>
      <c r="E409" s="2">
        <v>1.6892687E7</v>
      </c>
      <c r="F409" s="2">
        <v>1338.0</v>
      </c>
      <c r="G409" s="2">
        <v>3940.0</v>
      </c>
      <c r="H409" s="2" t="s">
        <v>5906</v>
      </c>
      <c r="I409" s="2" t="s">
        <v>5905</v>
      </c>
      <c r="J409" s="2" t="s">
        <v>4404</v>
      </c>
      <c r="K409" s="2" t="s">
        <v>14295</v>
      </c>
      <c r="L409" s="10" t="s">
        <v>14296</v>
      </c>
    </row>
    <row r="410">
      <c r="A410" s="2" t="s">
        <v>5869</v>
      </c>
      <c r="B410" s="2" t="s">
        <v>14297</v>
      </c>
      <c r="C410" s="2">
        <v>4534.0</v>
      </c>
      <c r="D410" s="2" t="s">
        <v>14298</v>
      </c>
      <c r="E410" s="2">
        <v>14448.0</v>
      </c>
      <c r="F410" s="2">
        <v>308.0</v>
      </c>
      <c r="G410" s="2">
        <v>0.0</v>
      </c>
      <c r="H410" s="2" t="s">
        <v>5905</v>
      </c>
      <c r="I410" s="2" t="s">
        <v>5905</v>
      </c>
      <c r="J410" s="2" t="s">
        <v>5391</v>
      </c>
      <c r="K410" s="2" t="s">
        <v>14299</v>
      </c>
    </row>
    <row r="411">
      <c r="A411" s="2" t="s">
        <v>5700</v>
      </c>
      <c r="B411" s="2" t="s">
        <v>14300</v>
      </c>
      <c r="C411" s="2">
        <v>5.7295166173E10</v>
      </c>
      <c r="D411" s="2" t="s">
        <v>14301</v>
      </c>
      <c r="E411" s="2">
        <v>2271555.0</v>
      </c>
      <c r="F411" s="2">
        <v>96.0</v>
      </c>
      <c r="G411" s="2">
        <v>12.0</v>
      </c>
      <c r="H411" s="2" t="s">
        <v>5906</v>
      </c>
      <c r="I411" s="2" t="s">
        <v>5905</v>
      </c>
      <c r="J411" s="2" t="s">
        <v>13634</v>
      </c>
      <c r="K411" s="2" t="s">
        <v>14302</v>
      </c>
      <c r="L411" s="10" t="s">
        <v>14303</v>
      </c>
    </row>
    <row r="412">
      <c r="A412" s="2" t="s">
        <v>5785</v>
      </c>
      <c r="B412" s="2" t="s">
        <v>14304</v>
      </c>
      <c r="C412" s="2">
        <v>2.95930574E8</v>
      </c>
      <c r="D412" s="2" t="s">
        <v>14305</v>
      </c>
      <c r="E412" s="2">
        <v>3.8916728E7</v>
      </c>
      <c r="F412" s="2">
        <v>624.0</v>
      </c>
      <c r="G412" s="2">
        <v>82.0</v>
      </c>
      <c r="H412" s="2" t="s">
        <v>5906</v>
      </c>
      <c r="I412" s="2" t="s">
        <v>5905</v>
      </c>
      <c r="J412" s="2" t="s">
        <v>5993</v>
      </c>
    </row>
    <row r="413">
      <c r="A413" s="2" t="s">
        <v>5737</v>
      </c>
      <c r="B413" s="2" t="s">
        <v>14306</v>
      </c>
      <c r="C413" s="2">
        <v>7.19783504E8</v>
      </c>
      <c r="D413" s="2" t="s">
        <v>14307</v>
      </c>
      <c r="E413" s="2">
        <v>886243.0</v>
      </c>
      <c r="F413" s="2">
        <v>757.0</v>
      </c>
      <c r="G413" s="2">
        <v>156.0</v>
      </c>
      <c r="H413" s="2" t="s">
        <v>5906</v>
      </c>
      <c r="I413" s="2" t="s">
        <v>5905</v>
      </c>
      <c r="J413" s="2" t="s">
        <v>6354</v>
      </c>
      <c r="K413" s="2" t="s">
        <v>14308</v>
      </c>
      <c r="L413" s="10" t="s">
        <v>14309</v>
      </c>
    </row>
    <row r="414">
      <c r="A414" s="2" t="s">
        <v>5737</v>
      </c>
      <c r="B414" s="2" t="s">
        <v>14310</v>
      </c>
      <c r="C414" s="2">
        <v>6.7814952111E10</v>
      </c>
      <c r="D414" s="2" t="s">
        <v>14311</v>
      </c>
      <c r="E414" s="2">
        <v>47191.0</v>
      </c>
      <c r="F414" s="2">
        <v>382.0</v>
      </c>
      <c r="G414" s="2">
        <v>414.0</v>
      </c>
      <c r="H414" s="2" t="s">
        <v>5905</v>
      </c>
      <c r="I414" s="2" t="s">
        <v>5905</v>
      </c>
      <c r="J414" s="2" t="s">
        <v>6171</v>
      </c>
      <c r="K414" s="2" t="s">
        <v>14312</v>
      </c>
      <c r="L414" s="10" t="s">
        <v>14313</v>
      </c>
    </row>
    <row r="415">
      <c r="A415" s="2" t="s">
        <v>5737</v>
      </c>
      <c r="B415" s="2" t="s">
        <v>14314</v>
      </c>
      <c r="C415" s="2">
        <v>2.13664076E8</v>
      </c>
      <c r="D415" s="2" t="s">
        <v>14315</v>
      </c>
      <c r="E415" s="2">
        <v>37079.0</v>
      </c>
      <c r="F415" s="2">
        <v>129.0</v>
      </c>
      <c r="G415" s="2">
        <v>32.0</v>
      </c>
      <c r="H415" s="2" t="s">
        <v>5906</v>
      </c>
      <c r="I415" s="2" t="s">
        <v>5905</v>
      </c>
      <c r="J415" s="2" t="s">
        <v>6393</v>
      </c>
    </row>
    <row r="416">
      <c r="A416" s="2" t="s">
        <v>5737</v>
      </c>
      <c r="B416" s="2" t="s">
        <v>14316</v>
      </c>
      <c r="C416" s="2">
        <v>4.192694774E9</v>
      </c>
      <c r="D416" s="2" t="s">
        <v>14317</v>
      </c>
      <c r="E416" s="2">
        <v>155575.0</v>
      </c>
      <c r="F416" s="2">
        <v>1313.0</v>
      </c>
      <c r="G416" s="2">
        <v>169.0</v>
      </c>
      <c r="H416" s="2" t="s">
        <v>5906</v>
      </c>
      <c r="I416" s="2" t="s">
        <v>5906</v>
      </c>
      <c r="J416" s="2" t="s">
        <v>5391</v>
      </c>
      <c r="K416" s="2" t="s">
        <v>14318</v>
      </c>
      <c r="L416" s="10" t="s">
        <v>14319</v>
      </c>
    </row>
    <row r="417">
      <c r="A417" s="2" t="s">
        <v>5737</v>
      </c>
      <c r="B417" s="2" t="s">
        <v>14320</v>
      </c>
      <c r="C417" s="2">
        <v>4.05711015E8</v>
      </c>
      <c r="D417" s="2" t="s">
        <v>5737</v>
      </c>
      <c r="E417" s="2">
        <v>12534.0</v>
      </c>
      <c r="F417" s="2">
        <v>2595.0</v>
      </c>
      <c r="G417" s="2">
        <v>29.0</v>
      </c>
      <c r="H417" s="2" t="s">
        <v>5906</v>
      </c>
      <c r="I417" s="2" t="s">
        <v>5905</v>
      </c>
      <c r="K417" s="2" t="s">
        <v>14321</v>
      </c>
    </row>
    <row r="418">
      <c r="A418" s="2" t="s">
        <v>5737</v>
      </c>
      <c r="B418" s="2" t="s">
        <v>14322</v>
      </c>
      <c r="C418" s="2">
        <v>2.77848513E8</v>
      </c>
      <c r="D418" s="2" t="s">
        <v>14323</v>
      </c>
      <c r="E418" s="2">
        <v>1294957.0</v>
      </c>
      <c r="F418" s="2">
        <v>1556.0</v>
      </c>
      <c r="G418" s="2">
        <v>523.0</v>
      </c>
      <c r="H418" s="2" t="s">
        <v>5906</v>
      </c>
      <c r="I418" s="2" t="s">
        <v>5906</v>
      </c>
      <c r="J418" s="2" t="s">
        <v>6124</v>
      </c>
      <c r="K418" s="2" t="s">
        <v>14324</v>
      </c>
      <c r="L418" s="10" t="s">
        <v>14325</v>
      </c>
    </row>
    <row r="419">
      <c r="A419" s="2" t="s">
        <v>5737</v>
      </c>
      <c r="B419" s="2" t="s">
        <v>14326</v>
      </c>
      <c r="C419" s="2">
        <v>1.191521534E9</v>
      </c>
      <c r="D419" s="2" t="s">
        <v>14311</v>
      </c>
      <c r="E419" s="2">
        <v>87090.0</v>
      </c>
      <c r="F419" s="2">
        <v>11.0</v>
      </c>
      <c r="G419" s="2">
        <v>425.0</v>
      </c>
      <c r="H419" s="2" t="s">
        <v>5905</v>
      </c>
      <c r="I419" s="2" t="s">
        <v>5906</v>
      </c>
      <c r="K419" s="2" t="s">
        <v>14327</v>
      </c>
      <c r="L419" s="10" t="s">
        <v>14328</v>
      </c>
    </row>
    <row r="420">
      <c r="A420" s="2" t="s">
        <v>5737</v>
      </c>
      <c r="B420" s="2" t="s">
        <v>14329</v>
      </c>
      <c r="C420" s="2">
        <v>4.2727056745E10</v>
      </c>
      <c r="D420" s="2" t="s">
        <v>14330</v>
      </c>
      <c r="E420" s="2">
        <v>994245.0</v>
      </c>
      <c r="F420" s="2">
        <v>2.0</v>
      </c>
      <c r="G420" s="2">
        <v>44.0</v>
      </c>
      <c r="H420" s="2" t="s">
        <v>5906</v>
      </c>
      <c r="I420" s="2" t="s">
        <v>5905</v>
      </c>
      <c r="J420" s="2" t="s">
        <v>5993</v>
      </c>
      <c r="K420" s="2" t="s">
        <v>14331</v>
      </c>
      <c r="L420" s="10" t="s">
        <v>14332</v>
      </c>
    </row>
    <row r="421">
      <c r="A421" s="2" t="s">
        <v>5737</v>
      </c>
      <c r="B421" s="2" t="s">
        <v>14333</v>
      </c>
      <c r="C421" s="2">
        <v>5.374850739E9</v>
      </c>
      <c r="D421" s="2" t="s">
        <v>14334</v>
      </c>
      <c r="E421" s="2">
        <v>636045.0</v>
      </c>
      <c r="F421" s="2">
        <v>3982.0</v>
      </c>
      <c r="G421" s="2">
        <v>55.0</v>
      </c>
      <c r="H421" s="2" t="s">
        <v>5906</v>
      </c>
      <c r="I421" s="2" t="s">
        <v>5905</v>
      </c>
      <c r="J421" s="2" t="s">
        <v>10778</v>
      </c>
      <c r="K421" s="2" t="s">
        <v>14335</v>
      </c>
    </row>
    <row r="422">
      <c r="A422" s="2" t="s">
        <v>5754</v>
      </c>
      <c r="B422" s="2" t="s">
        <v>14336</v>
      </c>
      <c r="C422" s="2">
        <v>3.3618822381E10</v>
      </c>
      <c r="D422" s="2" t="s">
        <v>14337</v>
      </c>
      <c r="E422" s="2">
        <v>93998.0</v>
      </c>
      <c r="F422" s="2">
        <v>494.0</v>
      </c>
      <c r="G422" s="2">
        <v>1022.0</v>
      </c>
      <c r="H422" s="2" t="s">
        <v>5905</v>
      </c>
      <c r="I422" s="2" t="s">
        <v>5905</v>
      </c>
      <c r="J422" s="2" t="s">
        <v>6414</v>
      </c>
      <c r="K422" s="2" t="s">
        <v>14338</v>
      </c>
      <c r="L422" s="10" t="s">
        <v>14339</v>
      </c>
    </row>
    <row r="423">
      <c r="A423" s="2" t="s">
        <v>5754</v>
      </c>
      <c r="B423" s="2" t="s">
        <v>14340</v>
      </c>
      <c r="C423" s="2">
        <v>2.25124609E8</v>
      </c>
      <c r="D423" s="2" t="s">
        <v>14341</v>
      </c>
      <c r="E423" s="2">
        <v>15092.0</v>
      </c>
      <c r="F423" s="2">
        <v>7500.0</v>
      </c>
      <c r="G423" s="2">
        <v>18.0</v>
      </c>
      <c r="H423" s="2" t="s">
        <v>5905</v>
      </c>
      <c r="I423" s="2" t="s">
        <v>5905</v>
      </c>
      <c r="J423" s="2" t="s">
        <v>5489</v>
      </c>
      <c r="K423" s="2" t="s">
        <v>14342</v>
      </c>
      <c r="L423" s="10" t="s">
        <v>14343</v>
      </c>
    </row>
    <row r="424">
      <c r="A424" s="2" t="s">
        <v>5754</v>
      </c>
      <c r="B424" s="2" t="s">
        <v>14344</v>
      </c>
      <c r="C424" s="2">
        <v>2.71698321E8</v>
      </c>
      <c r="D424" s="2" t="s">
        <v>14345</v>
      </c>
      <c r="E424" s="2">
        <v>9413043.0</v>
      </c>
      <c r="F424" s="2">
        <v>3160.0</v>
      </c>
      <c r="G424" s="2">
        <v>1851.0</v>
      </c>
      <c r="H424" s="2" t="s">
        <v>5906</v>
      </c>
      <c r="I424" s="2" t="s">
        <v>5905</v>
      </c>
      <c r="J424" s="2" t="s">
        <v>5928</v>
      </c>
      <c r="K424" s="2" t="s">
        <v>14346</v>
      </c>
    </row>
    <row r="425">
      <c r="A425" s="2" t="s">
        <v>5710</v>
      </c>
      <c r="B425" s="2" t="s">
        <v>14347</v>
      </c>
      <c r="C425" s="2">
        <v>1.87479342E8</v>
      </c>
      <c r="D425" s="2" t="s">
        <v>5710</v>
      </c>
      <c r="E425" s="2">
        <v>1165269.0</v>
      </c>
      <c r="F425" s="2">
        <v>737.0</v>
      </c>
      <c r="G425" s="2">
        <v>255.0</v>
      </c>
      <c r="H425" s="2" t="s">
        <v>5905</v>
      </c>
      <c r="I425" s="2" t="s">
        <v>5905</v>
      </c>
      <c r="J425" s="2" t="s">
        <v>5485</v>
      </c>
      <c r="K425" s="2" t="s">
        <v>14348</v>
      </c>
      <c r="L425" s="10" t="s">
        <v>14349</v>
      </c>
    </row>
    <row r="426">
      <c r="A426" s="2" t="s">
        <v>5710</v>
      </c>
      <c r="B426" s="2" t="s">
        <v>14350</v>
      </c>
      <c r="C426" s="2">
        <v>1.81676664E8</v>
      </c>
      <c r="D426" s="2" t="s">
        <v>5710</v>
      </c>
      <c r="E426" s="2">
        <v>22864.0</v>
      </c>
      <c r="F426" s="2">
        <v>951.0</v>
      </c>
      <c r="G426" s="2">
        <v>2900.0</v>
      </c>
      <c r="H426" s="2" t="s">
        <v>5905</v>
      </c>
      <c r="I426" s="2" t="s">
        <v>5905</v>
      </c>
      <c r="J426" s="2" t="s">
        <v>5391</v>
      </c>
      <c r="K426" s="2" t="s">
        <v>14351</v>
      </c>
      <c r="L426" s="10" t="s">
        <v>14352</v>
      </c>
    </row>
    <row r="427">
      <c r="A427" s="2" t="s">
        <v>5710</v>
      </c>
      <c r="B427" s="2" t="s">
        <v>14353</v>
      </c>
      <c r="C427" s="2">
        <v>3.93630419E8</v>
      </c>
      <c r="D427" s="2" t="s">
        <v>14354</v>
      </c>
      <c r="E427" s="2">
        <v>4374967.0</v>
      </c>
      <c r="F427" s="2">
        <v>926.0</v>
      </c>
      <c r="G427" s="2">
        <v>841.0</v>
      </c>
      <c r="H427" s="2" t="s">
        <v>5906</v>
      </c>
      <c r="I427" s="2" t="s">
        <v>5905</v>
      </c>
      <c r="J427" s="2" t="s">
        <v>6393</v>
      </c>
      <c r="K427" s="2" t="s">
        <v>14355</v>
      </c>
      <c r="L427" s="10" t="s">
        <v>14356</v>
      </c>
    </row>
    <row r="428">
      <c r="A428" s="2" t="s">
        <v>5710</v>
      </c>
      <c r="B428" s="2" t="s">
        <v>14357</v>
      </c>
      <c r="C428" s="2">
        <v>4.733637452E10</v>
      </c>
      <c r="D428" s="2" t="s">
        <v>14358</v>
      </c>
      <c r="E428" s="2">
        <v>99771.0</v>
      </c>
      <c r="F428" s="2">
        <v>398.0</v>
      </c>
      <c r="G428" s="2">
        <v>77.0</v>
      </c>
      <c r="H428" s="2" t="s">
        <v>5905</v>
      </c>
      <c r="I428" s="2" t="s">
        <v>5905</v>
      </c>
      <c r="J428" s="2" t="s">
        <v>6414</v>
      </c>
      <c r="K428" s="2" t="s">
        <v>14359</v>
      </c>
      <c r="L428" s="10" t="s">
        <v>14360</v>
      </c>
    </row>
    <row r="429">
      <c r="A429" s="2" t="s">
        <v>5710</v>
      </c>
      <c r="B429" s="2" t="s">
        <v>14361</v>
      </c>
      <c r="C429" s="2">
        <v>1.9010847432E10</v>
      </c>
      <c r="D429" s="2" t="s">
        <v>14362</v>
      </c>
      <c r="E429" s="2">
        <v>1010268.0</v>
      </c>
      <c r="F429" s="2">
        <v>441.0</v>
      </c>
      <c r="G429" s="2">
        <v>314.0</v>
      </c>
      <c r="H429" s="2" t="s">
        <v>5906</v>
      </c>
      <c r="I429" s="2" t="s">
        <v>5905</v>
      </c>
      <c r="J429" s="2" t="s">
        <v>6354</v>
      </c>
      <c r="K429" s="2" t="s">
        <v>14363</v>
      </c>
    </row>
    <row r="430">
      <c r="A430" s="2" t="s">
        <v>5642</v>
      </c>
      <c r="B430" s="2" t="s">
        <v>14364</v>
      </c>
      <c r="C430" s="2">
        <v>2.8556608E8</v>
      </c>
      <c r="D430" s="2" t="s">
        <v>14365</v>
      </c>
      <c r="E430" s="2">
        <v>69201.0</v>
      </c>
      <c r="F430" s="2">
        <v>915.0</v>
      </c>
      <c r="G430" s="2">
        <v>357.0</v>
      </c>
      <c r="H430" s="2" t="s">
        <v>5906</v>
      </c>
      <c r="I430" s="2" t="s">
        <v>5905</v>
      </c>
      <c r="J430" s="2" t="s">
        <v>14366</v>
      </c>
      <c r="K430" s="2" t="s">
        <v>14367</v>
      </c>
    </row>
    <row r="431">
      <c r="A431" s="2" t="s">
        <v>5642</v>
      </c>
      <c r="B431" s="2" t="s">
        <v>14368</v>
      </c>
      <c r="C431" s="2">
        <v>9.538223634E9</v>
      </c>
      <c r="D431" s="2" t="s">
        <v>14369</v>
      </c>
      <c r="E431" s="2">
        <v>22175.0</v>
      </c>
      <c r="F431" s="2">
        <v>4640.0</v>
      </c>
      <c r="G431" s="2">
        <v>169.0</v>
      </c>
      <c r="H431" s="2" t="s">
        <v>5906</v>
      </c>
      <c r="I431" s="2" t="s">
        <v>5905</v>
      </c>
      <c r="J431" s="2" t="s">
        <v>7414</v>
      </c>
      <c r="K431" s="2" t="s">
        <v>14370</v>
      </c>
    </row>
    <row r="432">
      <c r="A432" s="2" t="s">
        <v>5642</v>
      </c>
      <c r="B432" s="2" t="s">
        <v>14371</v>
      </c>
      <c r="C432" s="2">
        <v>8.493935462E9</v>
      </c>
      <c r="D432" s="2" t="s">
        <v>14372</v>
      </c>
      <c r="E432" s="2">
        <v>652986.0</v>
      </c>
      <c r="F432" s="2">
        <v>461.0</v>
      </c>
      <c r="G432" s="2">
        <v>8228.0</v>
      </c>
      <c r="H432" s="2" t="s">
        <v>5905</v>
      </c>
      <c r="I432" s="2" t="s">
        <v>5905</v>
      </c>
      <c r="J432" s="2" t="s">
        <v>5959</v>
      </c>
      <c r="K432" s="2" t="s">
        <v>14373</v>
      </c>
      <c r="L432" s="10" t="s">
        <v>14374</v>
      </c>
    </row>
    <row r="433">
      <c r="A433" s="2" t="s">
        <v>5642</v>
      </c>
      <c r="B433" s="2" t="s">
        <v>14375</v>
      </c>
      <c r="C433" s="2">
        <v>2.1739797E7</v>
      </c>
      <c r="D433" s="2" t="s">
        <v>14376</v>
      </c>
      <c r="E433" s="2">
        <v>155914.0</v>
      </c>
      <c r="F433" s="2">
        <v>1610.0</v>
      </c>
      <c r="G433" s="2">
        <v>1547.0</v>
      </c>
      <c r="H433" s="2" t="s">
        <v>5905</v>
      </c>
      <c r="I433" s="2" t="s">
        <v>5905</v>
      </c>
      <c r="J433" s="2" t="s">
        <v>5959</v>
      </c>
      <c r="K433" s="2" t="s">
        <v>14377</v>
      </c>
      <c r="L433" s="10" t="s">
        <v>14378</v>
      </c>
    </row>
    <row r="434">
      <c r="A434" s="2" t="s">
        <v>5642</v>
      </c>
      <c r="B434" s="2" t="s">
        <v>14379</v>
      </c>
      <c r="C434" s="2">
        <v>1.8849759716E10</v>
      </c>
      <c r="D434" s="2" t="s">
        <v>14380</v>
      </c>
      <c r="E434" s="2">
        <v>975343.0</v>
      </c>
      <c r="F434" s="2">
        <v>872.0</v>
      </c>
      <c r="G434" s="2">
        <v>687.0</v>
      </c>
      <c r="H434" s="2" t="s">
        <v>5906</v>
      </c>
      <c r="I434" s="2" t="s">
        <v>5905</v>
      </c>
      <c r="J434" s="2" t="s">
        <v>5928</v>
      </c>
      <c r="K434" s="2" t="s">
        <v>14381</v>
      </c>
      <c r="L434" s="10" t="s">
        <v>14382</v>
      </c>
    </row>
    <row r="435">
      <c r="A435" s="2" t="s">
        <v>5870</v>
      </c>
      <c r="B435" s="2" t="s">
        <v>14383</v>
      </c>
      <c r="C435" s="2">
        <v>2.23336989E8</v>
      </c>
      <c r="D435" s="2" t="s">
        <v>14384</v>
      </c>
      <c r="E435" s="2">
        <v>4642764.0</v>
      </c>
      <c r="F435" s="2">
        <v>376.0</v>
      </c>
      <c r="G435" s="2">
        <v>106.0</v>
      </c>
      <c r="H435" s="2" t="s">
        <v>5906</v>
      </c>
      <c r="I435" s="2" t="s">
        <v>5905</v>
      </c>
      <c r="J435" s="2" t="s">
        <v>8838</v>
      </c>
      <c r="K435" s="2" t="s">
        <v>14385</v>
      </c>
    </row>
    <row r="436">
      <c r="A436" s="2" t="s">
        <v>5870</v>
      </c>
      <c r="B436" s="2" t="s">
        <v>14386</v>
      </c>
      <c r="C436" s="2">
        <v>4.08200245E8</v>
      </c>
      <c r="D436" s="2" t="s">
        <v>14387</v>
      </c>
      <c r="E436" s="2">
        <v>11550.0</v>
      </c>
      <c r="F436" s="2">
        <v>3214.0</v>
      </c>
      <c r="G436" s="2">
        <v>240.0</v>
      </c>
      <c r="H436" s="2" t="s">
        <v>5905</v>
      </c>
      <c r="I436" s="2" t="s">
        <v>5905</v>
      </c>
      <c r="J436" s="2" t="s">
        <v>12969</v>
      </c>
      <c r="K436" s="2" t="s">
        <v>14388</v>
      </c>
    </row>
    <row r="437">
      <c r="A437" s="2" t="s">
        <v>5870</v>
      </c>
      <c r="B437" s="2" t="s">
        <v>14389</v>
      </c>
      <c r="C437" s="2">
        <v>1.74141628E8</v>
      </c>
      <c r="D437" s="2" t="s">
        <v>14390</v>
      </c>
      <c r="E437" s="2">
        <v>1554118.0</v>
      </c>
      <c r="F437" s="2">
        <v>181.0</v>
      </c>
      <c r="G437" s="2">
        <v>2411.0</v>
      </c>
      <c r="H437" s="2" t="s">
        <v>5906</v>
      </c>
      <c r="I437" s="2" t="s">
        <v>5905</v>
      </c>
      <c r="J437" s="2" t="s">
        <v>9793</v>
      </c>
      <c r="K437" s="2" t="s">
        <v>14391</v>
      </c>
      <c r="L437" s="10" t="s">
        <v>14392</v>
      </c>
    </row>
    <row r="438">
      <c r="A438" s="2" t="s">
        <v>5870</v>
      </c>
      <c r="B438" s="2" t="s">
        <v>14393</v>
      </c>
      <c r="C438" s="2">
        <v>5.4520413577E10</v>
      </c>
      <c r="D438" s="2" t="s">
        <v>14394</v>
      </c>
      <c r="E438" s="2">
        <v>196126.0</v>
      </c>
      <c r="F438" s="2">
        <v>112.0</v>
      </c>
      <c r="G438" s="2">
        <v>786.0</v>
      </c>
      <c r="H438" s="2" t="s">
        <v>5905</v>
      </c>
      <c r="I438" s="2" t="s">
        <v>5906</v>
      </c>
      <c r="J438" s="2" t="s">
        <v>5551</v>
      </c>
      <c r="K438" s="2" t="s">
        <v>14395</v>
      </c>
      <c r="L438" s="10" t="s">
        <v>14396</v>
      </c>
    </row>
    <row r="439">
      <c r="A439" s="2" t="s">
        <v>5870</v>
      </c>
      <c r="B439" s="2" t="s">
        <v>14397</v>
      </c>
      <c r="C439" s="2">
        <v>3.92916333E8</v>
      </c>
      <c r="D439" s="2" t="s">
        <v>14398</v>
      </c>
      <c r="E439" s="2">
        <v>3298415.0</v>
      </c>
      <c r="F439" s="2">
        <v>1275.0</v>
      </c>
      <c r="G439" s="2">
        <v>2626.0</v>
      </c>
      <c r="H439" s="2" t="s">
        <v>5906</v>
      </c>
      <c r="I439" s="2" t="s">
        <v>5905</v>
      </c>
      <c r="J439" s="2" t="s">
        <v>14399</v>
      </c>
      <c r="K439" s="2" t="s">
        <v>14400</v>
      </c>
      <c r="L439" s="10" t="s">
        <v>14401</v>
      </c>
    </row>
    <row r="440">
      <c r="A440" s="2" t="s">
        <v>5871</v>
      </c>
      <c r="B440" s="2" t="s">
        <v>14402</v>
      </c>
      <c r="C440" s="2">
        <v>2747309.0</v>
      </c>
      <c r="D440" s="2" t="s">
        <v>14403</v>
      </c>
      <c r="E440" s="2">
        <v>215288.0</v>
      </c>
      <c r="F440" s="2">
        <v>154.0</v>
      </c>
      <c r="G440" s="2">
        <v>2159.0</v>
      </c>
      <c r="H440" s="2" t="s">
        <v>5906</v>
      </c>
      <c r="I440" s="2" t="s">
        <v>5905</v>
      </c>
      <c r="J440" s="2" t="s">
        <v>5959</v>
      </c>
      <c r="K440" s="2" t="s">
        <v>14404</v>
      </c>
      <c r="L440" s="10" t="s">
        <v>14405</v>
      </c>
    </row>
    <row r="441">
      <c r="A441" s="2" t="s">
        <v>5871</v>
      </c>
      <c r="B441" s="2" t="s">
        <v>14406</v>
      </c>
      <c r="C441" s="2">
        <v>4.5336096304E10</v>
      </c>
      <c r="D441" s="2" t="s">
        <v>14407</v>
      </c>
      <c r="E441" s="2">
        <v>54585.0</v>
      </c>
      <c r="F441" s="2">
        <v>374.0</v>
      </c>
      <c r="G441" s="2">
        <v>43.0</v>
      </c>
      <c r="H441" s="2" t="s">
        <v>5905</v>
      </c>
      <c r="I441" s="2" t="s">
        <v>5905</v>
      </c>
      <c r="J441" s="2" t="s">
        <v>6171</v>
      </c>
      <c r="K441" s="2" t="s">
        <v>14408</v>
      </c>
    </row>
    <row r="442">
      <c r="A442" s="2" t="s">
        <v>5872</v>
      </c>
      <c r="B442" s="2" t="s">
        <v>14409</v>
      </c>
      <c r="C442" s="2">
        <v>3.47663349E8</v>
      </c>
      <c r="D442" s="2" t="s">
        <v>5872</v>
      </c>
      <c r="E442" s="2">
        <v>1373454.0</v>
      </c>
      <c r="F442" s="2">
        <v>5420.0</v>
      </c>
      <c r="G442" s="2">
        <v>105.0</v>
      </c>
      <c r="H442" s="2" t="s">
        <v>5906</v>
      </c>
      <c r="I442" s="2" t="s">
        <v>5905</v>
      </c>
      <c r="J442" s="2" t="s">
        <v>5993</v>
      </c>
      <c r="K442" s="2" t="s">
        <v>14410</v>
      </c>
    </row>
    <row r="443">
      <c r="A443" s="2" t="s">
        <v>5872</v>
      </c>
      <c r="B443" s="2" t="s">
        <v>14411</v>
      </c>
      <c r="C443" s="2">
        <v>1.420120172E9</v>
      </c>
      <c r="D443" s="2" t="s">
        <v>14412</v>
      </c>
      <c r="E443" s="2">
        <v>168179.0</v>
      </c>
      <c r="F443" s="2">
        <v>1357.0</v>
      </c>
      <c r="G443" s="2">
        <v>580.0</v>
      </c>
      <c r="H443" s="2" t="s">
        <v>5905</v>
      </c>
      <c r="I443" s="2" t="s">
        <v>5905</v>
      </c>
      <c r="J443" s="2" t="s">
        <v>5959</v>
      </c>
      <c r="K443" s="2" t="s">
        <v>14413</v>
      </c>
      <c r="L443" s="10" t="s">
        <v>14414</v>
      </c>
    </row>
    <row r="444">
      <c r="A444" s="2" t="s">
        <v>5873</v>
      </c>
      <c r="B444" s="2" t="s">
        <v>14415</v>
      </c>
      <c r="C444" s="2">
        <v>6741705.0</v>
      </c>
      <c r="D444" s="2" t="s">
        <v>14416</v>
      </c>
      <c r="E444" s="2">
        <v>600663.0</v>
      </c>
      <c r="F444" s="2">
        <v>1513.0</v>
      </c>
      <c r="G444" s="2">
        <v>186.0</v>
      </c>
      <c r="H444" s="2" t="s">
        <v>5906</v>
      </c>
      <c r="I444" s="2" t="s">
        <v>5905</v>
      </c>
      <c r="J444" s="2" t="s">
        <v>5391</v>
      </c>
      <c r="K444" s="2" t="s">
        <v>14417</v>
      </c>
      <c r="L444" s="10" t="s">
        <v>14418</v>
      </c>
    </row>
    <row r="445">
      <c r="A445" s="2" t="s">
        <v>5757</v>
      </c>
      <c r="B445" s="2" t="s">
        <v>14419</v>
      </c>
      <c r="C445" s="2">
        <v>2.8735001E7</v>
      </c>
      <c r="D445" s="2" t="s">
        <v>14420</v>
      </c>
      <c r="E445" s="2">
        <v>129693.0</v>
      </c>
      <c r="F445" s="2">
        <v>624.0</v>
      </c>
      <c r="G445" s="2">
        <v>129.0</v>
      </c>
      <c r="H445" s="2" t="s">
        <v>5906</v>
      </c>
      <c r="I445" s="2" t="s">
        <v>5905</v>
      </c>
      <c r="J445" s="2" t="s">
        <v>7631</v>
      </c>
      <c r="K445" s="2" t="s">
        <v>14421</v>
      </c>
      <c r="L445" s="10" t="s">
        <v>14422</v>
      </c>
    </row>
    <row r="446">
      <c r="A446" s="2" t="s">
        <v>5613</v>
      </c>
      <c r="B446" s="2" t="s">
        <v>14423</v>
      </c>
      <c r="C446" s="2">
        <v>402657.0</v>
      </c>
      <c r="D446" s="2" t="s">
        <v>14424</v>
      </c>
      <c r="E446" s="2">
        <v>1360925.0</v>
      </c>
      <c r="F446" s="2">
        <v>4560.0</v>
      </c>
      <c r="G446" s="2">
        <v>340.0</v>
      </c>
      <c r="H446" s="2" t="s">
        <v>5906</v>
      </c>
      <c r="I446" s="2" t="s">
        <v>5905</v>
      </c>
      <c r="J446" s="2" t="s">
        <v>14425</v>
      </c>
      <c r="K446" s="2" t="s">
        <v>14426</v>
      </c>
    </row>
    <row r="447">
      <c r="A447" s="2" t="s">
        <v>5615</v>
      </c>
      <c r="B447" s="2" t="s">
        <v>14427</v>
      </c>
      <c r="C447" s="2">
        <v>104.0</v>
      </c>
      <c r="D447" s="2" t="s">
        <v>14428</v>
      </c>
      <c r="E447" s="2">
        <v>66888.0</v>
      </c>
      <c r="F447" s="2">
        <v>295.0</v>
      </c>
      <c r="G447" s="2">
        <v>94.0</v>
      </c>
      <c r="H447" s="2" t="s">
        <v>5906</v>
      </c>
      <c r="I447" s="2" t="s">
        <v>5905</v>
      </c>
      <c r="J447" s="2" t="s">
        <v>5391</v>
      </c>
      <c r="K447" s="2" t="s">
        <v>14429</v>
      </c>
      <c r="L447" s="10" t="s">
        <v>14430</v>
      </c>
    </row>
    <row r="448">
      <c r="A448" s="2" t="s">
        <v>5626</v>
      </c>
      <c r="B448" s="2" t="s">
        <v>14431</v>
      </c>
      <c r="C448" s="2">
        <v>1.77079501E8</v>
      </c>
      <c r="D448" s="2" t="s">
        <v>14432</v>
      </c>
      <c r="E448" s="2">
        <v>511495.0</v>
      </c>
      <c r="F448" s="2">
        <v>1155.0</v>
      </c>
      <c r="G448" s="2">
        <v>143.0</v>
      </c>
      <c r="H448" s="2" t="s">
        <v>5906</v>
      </c>
      <c r="I448" s="2" t="s">
        <v>5906</v>
      </c>
      <c r="J448" s="2" t="s">
        <v>8144</v>
      </c>
      <c r="K448" s="2" t="s">
        <v>14433</v>
      </c>
      <c r="L448" s="10" t="s">
        <v>14434</v>
      </c>
    </row>
    <row r="449">
      <c r="A449" s="2" t="s">
        <v>5626</v>
      </c>
      <c r="B449" s="2" t="s">
        <v>14435</v>
      </c>
      <c r="C449" s="2">
        <v>2.221453104E9</v>
      </c>
      <c r="D449" s="2" t="s">
        <v>14436</v>
      </c>
      <c r="E449" s="2">
        <v>699767.0</v>
      </c>
      <c r="F449" s="2">
        <v>611.0</v>
      </c>
      <c r="G449" s="2">
        <v>378.0</v>
      </c>
      <c r="H449" s="2" t="s">
        <v>5906</v>
      </c>
      <c r="I449" s="2" t="s">
        <v>5905</v>
      </c>
      <c r="J449" s="2" t="s">
        <v>6414</v>
      </c>
      <c r="K449" s="2" t="s">
        <v>14437</v>
      </c>
      <c r="L449" s="10" t="s">
        <v>14438</v>
      </c>
    </row>
    <row r="450">
      <c r="A450" s="2" t="s">
        <v>5626</v>
      </c>
      <c r="B450" s="2" t="s">
        <v>14439</v>
      </c>
      <c r="C450" s="2">
        <v>5332352.0</v>
      </c>
      <c r="D450" s="2" t="s">
        <v>5626</v>
      </c>
      <c r="E450" s="2">
        <v>2.6978534E7</v>
      </c>
      <c r="F450" s="2">
        <v>362.0</v>
      </c>
      <c r="G450" s="2">
        <v>112.0</v>
      </c>
      <c r="H450" s="2" t="s">
        <v>5906</v>
      </c>
      <c r="I450" s="2" t="s">
        <v>5906</v>
      </c>
      <c r="K450" s="2" t="s">
        <v>14440</v>
      </c>
      <c r="L450" s="10" t="s">
        <v>14441</v>
      </c>
    </row>
    <row r="451">
      <c r="A451" s="2" t="s">
        <v>5626</v>
      </c>
      <c r="B451" s="2" t="s">
        <v>14442</v>
      </c>
      <c r="C451" s="2">
        <v>7.20939915E8</v>
      </c>
      <c r="D451" s="2" t="s">
        <v>14443</v>
      </c>
      <c r="E451" s="2">
        <v>82170.0</v>
      </c>
      <c r="F451" s="2">
        <v>1002.0</v>
      </c>
      <c r="G451" s="2">
        <v>149.0</v>
      </c>
      <c r="H451" s="2" t="s">
        <v>5905</v>
      </c>
      <c r="I451" s="2" t="s">
        <v>5906</v>
      </c>
      <c r="J451" s="2" t="s">
        <v>5928</v>
      </c>
      <c r="K451" s="2" t="s">
        <v>14444</v>
      </c>
    </row>
    <row r="452">
      <c r="A452" s="2" t="s">
        <v>5637</v>
      </c>
      <c r="B452" s="2" t="s">
        <v>14445</v>
      </c>
      <c r="C452" s="2">
        <v>4895.0</v>
      </c>
      <c r="D452" s="2" t="s">
        <v>14446</v>
      </c>
      <c r="E452" s="2">
        <v>49129.0</v>
      </c>
      <c r="F452" s="2">
        <v>287.0</v>
      </c>
      <c r="G452" s="2">
        <v>3686.0</v>
      </c>
      <c r="H452" s="2" t="s">
        <v>5906</v>
      </c>
      <c r="I452" s="2" t="s">
        <v>5905</v>
      </c>
      <c r="J452" s="2" t="s">
        <v>5491</v>
      </c>
      <c r="K452" s="2" t="s">
        <v>14447</v>
      </c>
      <c r="L452" s="10" t="s">
        <v>14448</v>
      </c>
    </row>
    <row r="453">
      <c r="A453" s="2" t="s">
        <v>5599</v>
      </c>
      <c r="B453" s="2" t="s">
        <v>14449</v>
      </c>
      <c r="C453" s="2">
        <v>1235.0</v>
      </c>
      <c r="D453" s="2" t="s">
        <v>5599</v>
      </c>
      <c r="E453" s="2">
        <v>13709.0</v>
      </c>
      <c r="F453" s="2">
        <v>322.0</v>
      </c>
      <c r="G453" s="2">
        <v>208.0</v>
      </c>
      <c r="H453" s="2" t="s">
        <v>5905</v>
      </c>
      <c r="I453" s="2" t="s">
        <v>5905</v>
      </c>
      <c r="K453" s="2" t="s">
        <v>14450</v>
      </c>
    </row>
    <row r="454">
      <c r="A454" s="2" t="s">
        <v>5599</v>
      </c>
      <c r="B454" s="2" t="s">
        <v>14451</v>
      </c>
      <c r="C454" s="2">
        <v>5.4506435509E10</v>
      </c>
      <c r="D454" s="2" t="s">
        <v>14452</v>
      </c>
      <c r="E454" s="2">
        <v>217034.0</v>
      </c>
      <c r="F454" s="2">
        <v>1105.0</v>
      </c>
      <c r="G454" s="2">
        <v>14.0</v>
      </c>
      <c r="H454" s="2" t="s">
        <v>5906</v>
      </c>
      <c r="I454" s="2" t="s">
        <v>5905</v>
      </c>
      <c r="J454" s="2" t="s">
        <v>8838</v>
      </c>
    </row>
    <row r="455">
      <c r="A455" s="2" t="s">
        <v>5593</v>
      </c>
      <c r="B455" s="2" t="s">
        <v>14453</v>
      </c>
      <c r="C455" s="2">
        <v>1.2490160384E10</v>
      </c>
      <c r="D455" s="2" t="s">
        <v>14454</v>
      </c>
      <c r="E455" s="2">
        <v>161942.0</v>
      </c>
      <c r="F455" s="2">
        <v>0.0</v>
      </c>
      <c r="G455" s="2">
        <v>14.0</v>
      </c>
      <c r="H455" s="2" t="s">
        <v>5905</v>
      </c>
      <c r="I455" s="2" t="s">
        <v>5905</v>
      </c>
      <c r="K455" s="2" t="s">
        <v>14455</v>
      </c>
    </row>
    <row r="456">
      <c r="A456" s="2" t="s">
        <v>5593</v>
      </c>
      <c r="B456" s="2" t="s">
        <v>14456</v>
      </c>
      <c r="C456" s="2">
        <v>3.78119612E8</v>
      </c>
      <c r="D456" s="2" t="s">
        <v>14457</v>
      </c>
      <c r="E456" s="2">
        <v>6083423.0</v>
      </c>
      <c r="F456" s="2">
        <v>786.0</v>
      </c>
      <c r="G456" s="2">
        <v>433.0</v>
      </c>
      <c r="H456" s="2" t="s">
        <v>5906</v>
      </c>
      <c r="I456" s="2" t="s">
        <v>5906</v>
      </c>
      <c r="J456" s="2" t="s">
        <v>8838</v>
      </c>
      <c r="K456" s="2" t="s">
        <v>14458</v>
      </c>
    </row>
    <row r="457">
      <c r="A457" s="2" t="s">
        <v>5593</v>
      </c>
      <c r="B457" s="2" t="s">
        <v>14459</v>
      </c>
      <c r="C457" s="2">
        <v>2.70144545E8</v>
      </c>
      <c r="D457" s="2" t="s">
        <v>14460</v>
      </c>
      <c r="E457" s="2">
        <v>2083839.0</v>
      </c>
      <c r="F457" s="2">
        <v>538.0</v>
      </c>
      <c r="G457" s="2">
        <v>244.0</v>
      </c>
      <c r="H457" s="2" t="s">
        <v>5906</v>
      </c>
      <c r="I457" s="2" t="s">
        <v>5905</v>
      </c>
      <c r="J457" s="2" t="s">
        <v>5993</v>
      </c>
      <c r="K457" s="2" t="s">
        <v>14461</v>
      </c>
      <c r="L457" s="10" t="s">
        <v>14462</v>
      </c>
    </row>
    <row r="458">
      <c r="A458" s="2" t="s">
        <v>5874</v>
      </c>
      <c r="B458" s="2" t="s">
        <v>14463</v>
      </c>
      <c r="C458" s="2">
        <v>7711328.0</v>
      </c>
      <c r="D458" s="2" t="s">
        <v>14463</v>
      </c>
      <c r="E458" s="2">
        <v>75771.0</v>
      </c>
      <c r="F458" s="2">
        <v>1398.0</v>
      </c>
      <c r="G458" s="2">
        <v>274.0</v>
      </c>
      <c r="H458" s="2" t="s">
        <v>5905</v>
      </c>
      <c r="I458" s="2" t="s">
        <v>5905</v>
      </c>
      <c r="J458" s="2" t="s">
        <v>13706</v>
      </c>
      <c r="K458" s="2" t="s">
        <v>14464</v>
      </c>
      <c r="L458" s="10" t="s">
        <v>14465</v>
      </c>
    </row>
    <row r="459">
      <c r="A459" s="2" t="s">
        <v>5874</v>
      </c>
      <c r="B459" s="2" t="s">
        <v>14466</v>
      </c>
      <c r="C459" s="2">
        <v>2.3414173703E10</v>
      </c>
      <c r="D459" s="2" t="s">
        <v>14467</v>
      </c>
      <c r="E459" s="2">
        <v>31199.0</v>
      </c>
      <c r="F459" s="2">
        <v>1009.0</v>
      </c>
      <c r="G459" s="2">
        <v>15.0</v>
      </c>
      <c r="H459" s="2" t="s">
        <v>5905</v>
      </c>
      <c r="I459" s="2" t="s">
        <v>5905</v>
      </c>
      <c r="K459" s="2" t="s">
        <v>14468</v>
      </c>
    </row>
    <row r="460">
      <c r="A460" s="2" t="s">
        <v>5638</v>
      </c>
      <c r="B460" s="2" t="s">
        <v>14469</v>
      </c>
      <c r="C460" s="2">
        <v>1.6837223E7</v>
      </c>
      <c r="D460" s="2" t="s">
        <v>14470</v>
      </c>
      <c r="E460" s="2">
        <v>37911.0</v>
      </c>
      <c r="F460" s="2">
        <v>3693.0</v>
      </c>
      <c r="G460" s="2">
        <v>1292.0</v>
      </c>
      <c r="H460" s="2" t="s">
        <v>5906</v>
      </c>
      <c r="I460" s="2" t="s">
        <v>5905</v>
      </c>
      <c r="J460" s="2" t="s">
        <v>6393</v>
      </c>
      <c r="K460" s="2" t="s">
        <v>14471</v>
      </c>
    </row>
    <row r="461">
      <c r="A461" s="2" t="s">
        <v>5638</v>
      </c>
      <c r="B461" s="2" t="s">
        <v>14472</v>
      </c>
      <c r="C461" s="2">
        <v>4.74788489E8</v>
      </c>
      <c r="D461" s="2" t="s">
        <v>5638</v>
      </c>
      <c r="E461" s="2">
        <v>365358.0</v>
      </c>
      <c r="F461" s="2">
        <v>4.0</v>
      </c>
      <c r="G461" s="2">
        <v>1185.0</v>
      </c>
      <c r="H461" s="2" t="s">
        <v>5906</v>
      </c>
      <c r="I461" s="2" t="s">
        <v>5905</v>
      </c>
      <c r="J461" s="2" t="s">
        <v>6856</v>
      </c>
      <c r="K461" s="2" t="s">
        <v>14473</v>
      </c>
    </row>
    <row r="462">
      <c r="A462" s="2" t="s">
        <v>5638</v>
      </c>
      <c r="B462" s="2" t="s">
        <v>14474</v>
      </c>
      <c r="C462" s="2">
        <v>5.2266848021E10</v>
      </c>
      <c r="D462" s="2" t="s">
        <v>14469</v>
      </c>
      <c r="E462" s="2">
        <v>303742.0</v>
      </c>
      <c r="F462" s="2">
        <v>642.0</v>
      </c>
      <c r="G462" s="2">
        <v>161.0</v>
      </c>
      <c r="H462" s="2" t="s">
        <v>5905</v>
      </c>
      <c r="I462" s="2" t="s">
        <v>5906</v>
      </c>
      <c r="J462" s="2" t="s">
        <v>6393</v>
      </c>
      <c r="K462" s="2" t="s">
        <v>14475</v>
      </c>
      <c r="L462" s="10" t="s">
        <v>14476</v>
      </c>
    </row>
    <row r="463">
      <c r="A463" s="2" t="s">
        <v>5876</v>
      </c>
      <c r="B463" s="2" t="s">
        <v>14477</v>
      </c>
      <c r="C463" s="2">
        <v>8.107717656E9</v>
      </c>
      <c r="D463" s="2" t="s">
        <v>5876</v>
      </c>
      <c r="E463" s="2">
        <v>73373.0</v>
      </c>
      <c r="F463" s="2">
        <v>1708.0</v>
      </c>
      <c r="G463" s="2">
        <v>476.0</v>
      </c>
      <c r="H463" s="2" t="s">
        <v>5906</v>
      </c>
      <c r="I463" s="2" t="s">
        <v>5905</v>
      </c>
      <c r="J463" s="2" t="s">
        <v>5993</v>
      </c>
      <c r="K463" s="2" t="s">
        <v>14478</v>
      </c>
      <c r="L463" s="10" t="s">
        <v>14479</v>
      </c>
    </row>
    <row r="464">
      <c r="A464" s="2" t="s">
        <v>5876</v>
      </c>
      <c r="B464" s="2" t="s">
        <v>14480</v>
      </c>
      <c r="C464" s="2">
        <v>2.246263788E9</v>
      </c>
      <c r="D464" s="2" t="s">
        <v>5876</v>
      </c>
      <c r="E464" s="2">
        <v>15167.0</v>
      </c>
      <c r="F464" s="2">
        <v>289.0</v>
      </c>
      <c r="G464" s="2">
        <v>1.0</v>
      </c>
      <c r="H464" s="2" t="s">
        <v>5905</v>
      </c>
      <c r="I464" s="2" t="s">
        <v>5905</v>
      </c>
      <c r="J464" s="2" t="s">
        <v>12969</v>
      </c>
      <c r="K464" s="2" t="s">
        <v>14481</v>
      </c>
    </row>
    <row r="465">
      <c r="A465" s="2" t="s">
        <v>5755</v>
      </c>
      <c r="B465" s="2" t="s">
        <v>14482</v>
      </c>
      <c r="C465" s="2">
        <v>7.5092724664E10</v>
      </c>
      <c r="D465" s="2" t="s">
        <v>14483</v>
      </c>
      <c r="E465" s="2">
        <v>17064.0</v>
      </c>
      <c r="F465" s="2">
        <v>1.0</v>
      </c>
      <c r="G465" s="2">
        <v>3.0</v>
      </c>
      <c r="H465" s="2" t="s">
        <v>5906</v>
      </c>
      <c r="I465" s="2" t="s">
        <v>5905</v>
      </c>
      <c r="J465" s="2" t="s">
        <v>5391</v>
      </c>
      <c r="K465" s="2" t="s">
        <v>14484</v>
      </c>
    </row>
    <row r="466">
      <c r="A466" s="2" t="s">
        <v>5601</v>
      </c>
      <c r="B466" s="2" t="s">
        <v>14485</v>
      </c>
      <c r="C466" s="2">
        <v>1.2683967E7</v>
      </c>
      <c r="D466" s="2" t="s">
        <v>14485</v>
      </c>
      <c r="E466" s="2">
        <v>43216.0</v>
      </c>
      <c r="F466" s="2">
        <v>1023.0</v>
      </c>
      <c r="G466" s="2">
        <v>2.0</v>
      </c>
      <c r="H466" s="2" t="s">
        <v>5906</v>
      </c>
      <c r="I466" s="2" t="s">
        <v>5905</v>
      </c>
      <c r="J466" s="2" t="s">
        <v>5391</v>
      </c>
    </row>
    <row r="467">
      <c r="A467" s="2" t="s">
        <v>5601</v>
      </c>
      <c r="B467" s="2" t="s">
        <v>14486</v>
      </c>
      <c r="C467" s="2">
        <v>3.6357398401E10</v>
      </c>
      <c r="D467" s="2" t="s">
        <v>14487</v>
      </c>
      <c r="E467" s="2">
        <v>6935071.0</v>
      </c>
      <c r="F467" s="2">
        <v>261.0</v>
      </c>
      <c r="G467" s="2">
        <v>20344.0</v>
      </c>
      <c r="H467" s="2" t="s">
        <v>5906</v>
      </c>
      <c r="I467" s="2" t="s">
        <v>5905</v>
      </c>
      <c r="J467" s="2" t="s">
        <v>12993</v>
      </c>
      <c r="K467" s="2" t="s">
        <v>14488</v>
      </c>
      <c r="L467" s="10" t="s">
        <v>14489</v>
      </c>
    </row>
    <row r="468">
      <c r="A468" s="2" t="s">
        <v>5601</v>
      </c>
      <c r="B468" s="2" t="s">
        <v>14490</v>
      </c>
      <c r="C468" s="2">
        <v>6860189.0</v>
      </c>
      <c r="D468" s="2" t="s">
        <v>14491</v>
      </c>
      <c r="E468" s="2">
        <v>2.9402664E8</v>
      </c>
      <c r="F468" s="2">
        <v>898.0</v>
      </c>
      <c r="G468" s="2">
        <v>8337.0</v>
      </c>
      <c r="H468" s="2" t="s">
        <v>5906</v>
      </c>
      <c r="I468" s="2" t="s">
        <v>5905</v>
      </c>
      <c r="J468" s="2" t="s">
        <v>6628</v>
      </c>
      <c r="K468" s="2" t="s">
        <v>14492</v>
      </c>
      <c r="L468" s="10" t="s">
        <v>14493</v>
      </c>
    </row>
    <row r="469">
      <c r="A469" s="2" t="s">
        <v>5685</v>
      </c>
      <c r="B469" s="2" t="s">
        <v>14494</v>
      </c>
      <c r="C469" s="2">
        <v>12.0</v>
      </c>
      <c r="D469" s="2" t="s">
        <v>14495</v>
      </c>
      <c r="E469" s="2">
        <v>20172.0</v>
      </c>
      <c r="F469" s="2">
        <v>936.0</v>
      </c>
      <c r="G469" s="2">
        <v>675.0</v>
      </c>
      <c r="H469" s="2" t="s">
        <v>5905</v>
      </c>
      <c r="I469" s="2" t="s">
        <v>5905</v>
      </c>
      <c r="K469" s="2" t="s">
        <v>14496</v>
      </c>
      <c r="L469" s="10" t="s">
        <v>14497</v>
      </c>
    </row>
    <row r="470">
      <c r="A470" s="2" t="s">
        <v>5685</v>
      </c>
      <c r="B470" s="2" t="s">
        <v>14498</v>
      </c>
      <c r="C470" s="2">
        <v>1.74822548E8</v>
      </c>
      <c r="D470" s="2" t="s">
        <v>14499</v>
      </c>
      <c r="E470" s="2">
        <v>965121.0</v>
      </c>
      <c r="F470" s="2">
        <v>1814.0</v>
      </c>
      <c r="G470" s="2">
        <v>909.0</v>
      </c>
      <c r="H470" s="2" t="s">
        <v>5906</v>
      </c>
      <c r="I470" s="2" t="s">
        <v>5905</v>
      </c>
      <c r="J470" s="2" t="s">
        <v>5959</v>
      </c>
      <c r="K470" s="2" t="s">
        <v>14500</v>
      </c>
      <c r="L470" s="10" t="s">
        <v>14501</v>
      </c>
    </row>
    <row r="471">
      <c r="A471" s="2" t="s">
        <v>5877</v>
      </c>
      <c r="B471" s="2" t="s">
        <v>14502</v>
      </c>
      <c r="C471" s="2">
        <v>2773323.0</v>
      </c>
      <c r="D471" s="2" t="s">
        <v>14503</v>
      </c>
      <c r="E471" s="2">
        <v>51459.0</v>
      </c>
      <c r="F471" s="2">
        <v>6797.0</v>
      </c>
      <c r="G471" s="2">
        <v>2615.0</v>
      </c>
      <c r="H471" s="2" t="s">
        <v>5906</v>
      </c>
      <c r="I471" s="2" t="s">
        <v>5905</v>
      </c>
      <c r="J471" s="2" t="s">
        <v>5959</v>
      </c>
      <c r="K471" s="2" t="s">
        <v>14504</v>
      </c>
      <c r="L471" s="10" t="s">
        <v>14505</v>
      </c>
    </row>
    <row r="472">
      <c r="A472" s="2" t="s">
        <v>5877</v>
      </c>
      <c r="B472" s="2" t="s">
        <v>14506</v>
      </c>
      <c r="C472" s="2">
        <v>1.531822671E9</v>
      </c>
      <c r="D472" s="2" t="s">
        <v>14507</v>
      </c>
      <c r="E472" s="2">
        <v>3227673.0</v>
      </c>
      <c r="F472" s="2">
        <v>1612.0</v>
      </c>
      <c r="G472" s="2">
        <v>186.0</v>
      </c>
      <c r="H472" s="2" t="s">
        <v>5906</v>
      </c>
      <c r="I472" s="2" t="s">
        <v>5905</v>
      </c>
      <c r="J472" s="2" t="s">
        <v>5492</v>
      </c>
      <c r="K472" s="2" t="s">
        <v>14508</v>
      </c>
      <c r="L472" s="10" t="s">
        <v>14509</v>
      </c>
    </row>
    <row r="473">
      <c r="A473" s="2" t="s">
        <v>5878</v>
      </c>
      <c r="B473" s="2" t="s">
        <v>14510</v>
      </c>
      <c r="C473" s="2">
        <v>4.9768102725E10</v>
      </c>
      <c r="D473" s="2" t="s">
        <v>14511</v>
      </c>
      <c r="E473" s="2">
        <v>1072589.0</v>
      </c>
      <c r="F473" s="2">
        <v>38.0</v>
      </c>
      <c r="G473" s="2">
        <v>229.0</v>
      </c>
      <c r="H473" s="2" t="s">
        <v>5905</v>
      </c>
      <c r="I473" s="2" t="s">
        <v>5905</v>
      </c>
      <c r="J473" s="2" t="s">
        <v>5959</v>
      </c>
      <c r="K473" s="2" t="s">
        <v>14512</v>
      </c>
      <c r="L473" s="10" t="s">
        <v>14513</v>
      </c>
    </row>
    <row r="474">
      <c r="A474" s="2" t="s">
        <v>5878</v>
      </c>
      <c r="B474" s="2" t="s">
        <v>14514</v>
      </c>
      <c r="C474" s="2">
        <v>5.9495472804E10</v>
      </c>
      <c r="D474" s="2" t="s">
        <v>14515</v>
      </c>
      <c r="E474" s="2">
        <v>2.3133459E7</v>
      </c>
      <c r="F474" s="2">
        <v>4.0</v>
      </c>
      <c r="G474" s="2">
        <v>256.0</v>
      </c>
      <c r="H474" s="2" t="s">
        <v>5906</v>
      </c>
      <c r="I474" s="2" t="s">
        <v>5905</v>
      </c>
      <c r="K474" s="2" t="s">
        <v>14516</v>
      </c>
    </row>
    <row r="475">
      <c r="A475" s="2" t="s">
        <v>5879</v>
      </c>
      <c r="B475" s="2" t="s">
        <v>14517</v>
      </c>
      <c r="C475" s="2">
        <v>1.82312348E9</v>
      </c>
      <c r="D475" s="2" t="s">
        <v>14518</v>
      </c>
      <c r="E475" s="2">
        <v>109604.0</v>
      </c>
      <c r="F475" s="2">
        <v>633.0</v>
      </c>
      <c r="G475" s="2">
        <v>160.0</v>
      </c>
      <c r="H475" s="2" t="s">
        <v>5906</v>
      </c>
      <c r="I475" s="2" t="s">
        <v>5905</v>
      </c>
      <c r="J475" s="2" t="s">
        <v>8604</v>
      </c>
      <c r="K475" s="2" t="s">
        <v>14519</v>
      </c>
      <c r="L475" s="10" t="s">
        <v>14520</v>
      </c>
    </row>
    <row r="476">
      <c r="A476" s="2" t="s">
        <v>5879</v>
      </c>
      <c r="B476" s="2" t="s">
        <v>14521</v>
      </c>
      <c r="C476" s="2">
        <v>5.724138009E9</v>
      </c>
      <c r="D476" s="2" t="s">
        <v>5879</v>
      </c>
      <c r="E476" s="2">
        <v>139620.0</v>
      </c>
      <c r="F476" s="2">
        <v>660.0</v>
      </c>
      <c r="G476" s="2">
        <v>337.0</v>
      </c>
      <c r="H476" s="2" t="s">
        <v>5905</v>
      </c>
      <c r="I476" s="2" t="s">
        <v>5905</v>
      </c>
      <c r="J476" s="2" t="s">
        <v>5959</v>
      </c>
      <c r="K476" s="2" t="s">
        <v>14522</v>
      </c>
    </row>
    <row r="477">
      <c r="A477" s="2" t="s">
        <v>5667</v>
      </c>
      <c r="B477" s="2" t="s">
        <v>14523</v>
      </c>
      <c r="C477" s="2">
        <v>4.3147626E7</v>
      </c>
      <c r="D477" s="2" t="s">
        <v>14524</v>
      </c>
      <c r="E477" s="2">
        <v>339485.0</v>
      </c>
      <c r="F477" s="2">
        <v>1541.0</v>
      </c>
      <c r="G477" s="2">
        <v>1936.0</v>
      </c>
      <c r="H477" s="2" t="s">
        <v>5905</v>
      </c>
      <c r="I477" s="2" t="s">
        <v>5905</v>
      </c>
      <c r="J477" s="2" t="s">
        <v>6393</v>
      </c>
      <c r="K477" s="2" t="s">
        <v>14525</v>
      </c>
      <c r="L477" s="10" t="s">
        <v>14526</v>
      </c>
    </row>
    <row r="478">
      <c r="A478" s="2" t="s">
        <v>5788</v>
      </c>
      <c r="B478" s="10" t="s">
        <v>14527</v>
      </c>
      <c r="C478" s="2">
        <v>8401501.0</v>
      </c>
      <c r="D478" s="2" t="s">
        <v>14528</v>
      </c>
      <c r="E478" s="2">
        <v>634538.0</v>
      </c>
      <c r="F478" s="2">
        <v>1145.0</v>
      </c>
      <c r="G478" s="2">
        <v>3869.0</v>
      </c>
      <c r="H478" s="2" t="s">
        <v>5906</v>
      </c>
      <c r="I478" s="2" t="s">
        <v>5905</v>
      </c>
      <c r="J478" s="2" t="s">
        <v>5959</v>
      </c>
      <c r="K478" s="2" t="s">
        <v>14529</v>
      </c>
      <c r="L478" s="10" t="s">
        <v>14530</v>
      </c>
    </row>
    <row r="479">
      <c r="A479" s="2" t="s">
        <v>5880</v>
      </c>
      <c r="B479" s="2" t="s">
        <v>14531</v>
      </c>
      <c r="C479" s="2">
        <v>1.122948802E9</v>
      </c>
      <c r="D479" s="2" t="s">
        <v>14532</v>
      </c>
      <c r="E479" s="2">
        <v>179612.0</v>
      </c>
      <c r="F479" s="2">
        <v>863.0</v>
      </c>
      <c r="G479" s="2">
        <v>311.0</v>
      </c>
      <c r="H479" s="2" t="s">
        <v>5905</v>
      </c>
      <c r="I479" s="2" t="s">
        <v>5905</v>
      </c>
      <c r="J479" s="2" t="s">
        <v>6414</v>
      </c>
      <c r="K479" s="2" t="s">
        <v>14533</v>
      </c>
      <c r="L479" s="10" t="s">
        <v>14534</v>
      </c>
    </row>
    <row r="480">
      <c r="A480" s="2" t="s">
        <v>5880</v>
      </c>
      <c r="B480" s="2" t="s">
        <v>14535</v>
      </c>
      <c r="C480" s="2">
        <v>1.419104855E9</v>
      </c>
      <c r="D480" s="2" t="s">
        <v>14536</v>
      </c>
      <c r="E480" s="2">
        <v>14819.0</v>
      </c>
      <c r="F480" s="2">
        <v>967.0</v>
      </c>
      <c r="G480" s="2">
        <v>38.0</v>
      </c>
      <c r="H480" s="2" t="s">
        <v>5905</v>
      </c>
      <c r="I480" s="2" t="s">
        <v>5905</v>
      </c>
      <c r="J480" s="2" t="s">
        <v>12969</v>
      </c>
      <c r="K480" s="2" t="s">
        <v>14537</v>
      </c>
      <c r="L480" s="10" t="s">
        <v>14538</v>
      </c>
    </row>
    <row r="481">
      <c r="A481" s="2" t="s">
        <v>5652</v>
      </c>
      <c r="B481" s="2" t="s">
        <v>14539</v>
      </c>
      <c r="C481" s="2">
        <v>1.50925166E9</v>
      </c>
      <c r="D481" s="2" t="s">
        <v>14540</v>
      </c>
      <c r="E481" s="2">
        <v>722141.0</v>
      </c>
      <c r="F481" s="2">
        <v>767.0</v>
      </c>
      <c r="G481" s="2">
        <v>92.0</v>
      </c>
      <c r="H481" s="2" t="s">
        <v>5906</v>
      </c>
      <c r="I481" s="2" t="s">
        <v>5905</v>
      </c>
      <c r="J481" s="2" t="s">
        <v>6414</v>
      </c>
      <c r="K481" s="2" t="s">
        <v>14541</v>
      </c>
      <c r="L481" s="10" t="s">
        <v>14542</v>
      </c>
    </row>
    <row r="482">
      <c r="A482" s="2" t="s">
        <v>5652</v>
      </c>
      <c r="B482" s="2" t="s">
        <v>14543</v>
      </c>
      <c r="C482" s="2">
        <v>5.494839887E9</v>
      </c>
      <c r="D482" s="2" t="s">
        <v>14544</v>
      </c>
      <c r="E482" s="2">
        <v>532732.0</v>
      </c>
      <c r="F482" s="2">
        <v>1.0</v>
      </c>
      <c r="G482" s="2">
        <v>152.0</v>
      </c>
      <c r="H482" s="2" t="s">
        <v>5906</v>
      </c>
      <c r="I482" s="2" t="s">
        <v>5905</v>
      </c>
      <c r="J482" s="2" t="s">
        <v>5928</v>
      </c>
      <c r="K482" s="2" t="s">
        <v>14545</v>
      </c>
      <c r="L482" s="10" t="s">
        <v>14546</v>
      </c>
    </row>
    <row r="483">
      <c r="A483" s="2" t="s">
        <v>5606</v>
      </c>
      <c r="B483" s="2" t="s">
        <v>14547</v>
      </c>
      <c r="C483" s="2">
        <v>3.0</v>
      </c>
      <c r="D483" s="2" t="s">
        <v>14548</v>
      </c>
      <c r="E483" s="2">
        <v>7776736.0</v>
      </c>
      <c r="F483" s="2">
        <v>678.0</v>
      </c>
      <c r="G483" s="2">
        <v>1512.0</v>
      </c>
      <c r="H483" s="2" t="s">
        <v>5906</v>
      </c>
      <c r="I483" s="2" t="s">
        <v>5905</v>
      </c>
      <c r="K483" s="2" t="s">
        <v>14549</v>
      </c>
    </row>
    <row r="484">
      <c r="A484" s="2" t="s">
        <v>5683</v>
      </c>
      <c r="B484" s="2" t="s">
        <v>14550</v>
      </c>
      <c r="C484" s="2">
        <v>2.1895109327E10</v>
      </c>
      <c r="D484" s="2" t="s">
        <v>14551</v>
      </c>
      <c r="E484" s="2">
        <v>12608.0</v>
      </c>
      <c r="F484" s="2">
        <v>128.0</v>
      </c>
      <c r="G484" s="2">
        <v>397.0</v>
      </c>
      <c r="H484" s="2" t="s">
        <v>5906</v>
      </c>
      <c r="I484" s="2" t="s">
        <v>5906</v>
      </c>
      <c r="J484" s="2" t="s">
        <v>8245</v>
      </c>
      <c r="K484" s="2" t="s">
        <v>14552</v>
      </c>
      <c r="L484" s="10" t="s">
        <v>14553</v>
      </c>
    </row>
    <row r="485">
      <c r="A485" s="2" t="s">
        <v>5683</v>
      </c>
      <c r="B485" s="2" t="s">
        <v>14554</v>
      </c>
      <c r="C485" s="2">
        <v>2.93750284E8</v>
      </c>
      <c r="D485" s="2" t="s">
        <v>14555</v>
      </c>
      <c r="E485" s="2">
        <v>805876.0</v>
      </c>
      <c r="F485" s="2">
        <v>1900.0</v>
      </c>
      <c r="G485" s="2">
        <v>1578.0</v>
      </c>
      <c r="H485" s="2" t="s">
        <v>5906</v>
      </c>
      <c r="I485" s="2" t="s">
        <v>5905</v>
      </c>
      <c r="J485" s="2" t="s">
        <v>6124</v>
      </c>
      <c r="K485" s="2" t="s">
        <v>14556</v>
      </c>
      <c r="L485" s="10" t="s">
        <v>14557</v>
      </c>
    </row>
    <row r="486">
      <c r="A486" s="2" t="s">
        <v>5683</v>
      </c>
      <c r="B486" s="2" t="s">
        <v>14558</v>
      </c>
      <c r="C486" s="2">
        <v>1.445966092E9</v>
      </c>
      <c r="D486" s="2" t="s">
        <v>5683</v>
      </c>
      <c r="E486" s="2">
        <v>13767.0</v>
      </c>
      <c r="F486" s="2">
        <v>998.0</v>
      </c>
      <c r="G486" s="2">
        <v>25.0</v>
      </c>
      <c r="H486" s="2" t="s">
        <v>5905</v>
      </c>
      <c r="I486" s="2" t="s">
        <v>5905</v>
      </c>
    </row>
    <row r="487">
      <c r="A487" s="2" t="s">
        <v>5778</v>
      </c>
      <c r="B487" s="2" t="s">
        <v>14559</v>
      </c>
      <c r="C487" s="2">
        <v>2.952592693E9</v>
      </c>
      <c r="D487" s="2" t="s">
        <v>14560</v>
      </c>
      <c r="E487" s="2">
        <v>1.5809834E7</v>
      </c>
      <c r="F487" s="2">
        <v>937.0</v>
      </c>
      <c r="G487" s="2">
        <v>1675.0</v>
      </c>
      <c r="H487" s="2" t="s">
        <v>5906</v>
      </c>
      <c r="I487" s="2" t="s">
        <v>5906</v>
      </c>
      <c r="J487" s="2" t="s">
        <v>8838</v>
      </c>
      <c r="L487" s="10" t="s">
        <v>14561</v>
      </c>
    </row>
    <row r="488">
      <c r="A488" s="2" t="s">
        <v>5881</v>
      </c>
      <c r="B488" s="2" t="s">
        <v>14562</v>
      </c>
      <c r="C488" s="2">
        <v>2.5610189E7</v>
      </c>
      <c r="D488" s="2" t="s">
        <v>14563</v>
      </c>
      <c r="E488" s="2">
        <v>928035.0</v>
      </c>
      <c r="F488" s="2">
        <v>1122.0</v>
      </c>
      <c r="G488" s="2">
        <v>4427.0</v>
      </c>
      <c r="H488" s="2" t="s">
        <v>5906</v>
      </c>
      <c r="I488" s="2" t="s">
        <v>5906</v>
      </c>
      <c r="J488" s="2" t="s">
        <v>6628</v>
      </c>
      <c r="K488" s="2" t="s">
        <v>14564</v>
      </c>
      <c r="L488" s="10" t="s">
        <v>14565</v>
      </c>
    </row>
    <row r="489">
      <c r="A489" s="2" t="s">
        <v>5881</v>
      </c>
      <c r="B489" s="2" t="s">
        <v>14566</v>
      </c>
      <c r="C489" s="2">
        <v>9.214503729E9</v>
      </c>
      <c r="D489" s="2" t="s">
        <v>14567</v>
      </c>
      <c r="E489" s="2">
        <v>218258.0</v>
      </c>
      <c r="F489" s="2">
        <v>1423.0</v>
      </c>
      <c r="G489" s="2">
        <v>964.0</v>
      </c>
      <c r="H489" s="2" t="s">
        <v>5906</v>
      </c>
      <c r="I489" s="2" t="s">
        <v>5905</v>
      </c>
      <c r="J489" s="2" t="s">
        <v>5959</v>
      </c>
      <c r="K489" s="2" t="s">
        <v>14568</v>
      </c>
      <c r="L489" s="10" t="s">
        <v>14569</v>
      </c>
    </row>
    <row r="490">
      <c r="A490" s="2" t="s">
        <v>5607</v>
      </c>
      <c r="B490" s="2" t="s">
        <v>14570</v>
      </c>
      <c r="C490" s="2">
        <v>2.58288542E8</v>
      </c>
      <c r="D490" s="2" t="s">
        <v>14571</v>
      </c>
      <c r="E490" s="2">
        <v>2533599.0</v>
      </c>
      <c r="F490" s="2">
        <v>1523.0</v>
      </c>
      <c r="G490" s="2">
        <v>226.0</v>
      </c>
      <c r="H490" s="2" t="s">
        <v>5906</v>
      </c>
      <c r="I490" s="2" t="s">
        <v>5905</v>
      </c>
      <c r="J490" s="2" t="s">
        <v>13634</v>
      </c>
      <c r="K490" s="2" t="s">
        <v>14572</v>
      </c>
    </row>
    <row r="491">
      <c r="A491" s="2" t="s">
        <v>5607</v>
      </c>
      <c r="B491" s="2" t="s">
        <v>14573</v>
      </c>
      <c r="C491" s="2">
        <v>3.9526703E7</v>
      </c>
      <c r="E491" s="2">
        <v>173582.0</v>
      </c>
      <c r="F491" s="2">
        <v>0.0</v>
      </c>
      <c r="G491" s="2">
        <v>5.0</v>
      </c>
      <c r="H491" s="2" t="s">
        <v>5905</v>
      </c>
      <c r="I491" s="2" t="s">
        <v>5906</v>
      </c>
      <c r="J491" s="2" t="s">
        <v>5968</v>
      </c>
      <c r="K491" s="2" t="s">
        <v>14574</v>
      </c>
    </row>
    <row r="492">
      <c r="A492" s="2" t="s">
        <v>5882</v>
      </c>
      <c r="B492" s="2" t="s">
        <v>14575</v>
      </c>
      <c r="C492" s="2">
        <v>2.84340734E8</v>
      </c>
      <c r="D492" s="2" t="s">
        <v>14576</v>
      </c>
      <c r="E492" s="2">
        <v>180706.0</v>
      </c>
      <c r="F492" s="2">
        <v>1571.0</v>
      </c>
      <c r="G492" s="2">
        <v>1337.0</v>
      </c>
      <c r="H492" s="2" t="s">
        <v>5906</v>
      </c>
      <c r="I492" s="2" t="s">
        <v>5905</v>
      </c>
      <c r="J492" s="2" t="s">
        <v>5993</v>
      </c>
      <c r="K492" s="2" t="s">
        <v>14577</v>
      </c>
      <c r="L492" s="10" t="s">
        <v>14578</v>
      </c>
    </row>
    <row r="493">
      <c r="A493" s="2" t="s">
        <v>5883</v>
      </c>
      <c r="B493" s="2" t="s">
        <v>14579</v>
      </c>
      <c r="C493" s="2">
        <v>2.73616881E8</v>
      </c>
      <c r="D493" s="2" t="s">
        <v>14580</v>
      </c>
      <c r="E493" s="2">
        <v>620673.0</v>
      </c>
      <c r="F493" s="2">
        <v>1726.0</v>
      </c>
      <c r="G493" s="2">
        <v>851.0</v>
      </c>
      <c r="H493" s="2" t="s">
        <v>5906</v>
      </c>
      <c r="I493" s="2" t="s">
        <v>5906</v>
      </c>
      <c r="K493" s="2" t="s">
        <v>14581</v>
      </c>
      <c r="L493" s="10" t="s">
        <v>14582</v>
      </c>
    </row>
    <row r="494">
      <c r="A494" s="2" t="s">
        <v>5651</v>
      </c>
      <c r="B494" s="2" t="s">
        <v>14583</v>
      </c>
      <c r="C494" s="2">
        <v>1.466558267E9</v>
      </c>
      <c r="D494" s="2" t="s">
        <v>5651</v>
      </c>
      <c r="E494" s="2">
        <v>13806.0</v>
      </c>
      <c r="F494" s="2">
        <v>3082.0</v>
      </c>
      <c r="G494" s="2">
        <v>254.0</v>
      </c>
      <c r="H494" s="2" t="s">
        <v>5905</v>
      </c>
      <c r="I494" s="2" t="s">
        <v>5905</v>
      </c>
      <c r="J494" s="2" t="s">
        <v>5492</v>
      </c>
      <c r="K494" s="2" t="s">
        <v>14584</v>
      </c>
    </row>
    <row r="495">
      <c r="A495" s="2" t="s">
        <v>5884</v>
      </c>
      <c r="B495" s="2" t="s">
        <v>14585</v>
      </c>
      <c r="C495" s="2">
        <v>2.6187324868E10</v>
      </c>
      <c r="D495" s="2" t="s">
        <v>5884</v>
      </c>
      <c r="E495" s="2">
        <v>49960.0</v>
      </c>
      <c r="F495" s="2">
        <v>8.0</v>
      </c>
      <c r="G495" s="2">
        <v>288.0</v>
      </c>
      <c r="H495" s="2" t="s">
        <v>5905</v>
      </c>
      <c r="I495" s="2" t="s">
        <v>5905</v>
      </c>
      <c r="J495" s="2" t="s">
        <v>5928</v>
      </c>
      <c r="K495" s="2" t="s">
        <v>14586</v>
      </c>
      <c r="L495" s="10" t="s">
        <v>14587</v>
      </c>
    </row>
    <row r="496">
      <c r="A496" s="2" t="s">
        <v>5884</v>
      </c>
      <c r="B496" s="2" t="s">
        <v>14588</v>
      </c>
      <c r="C496" s="2">
        <v>9902006.0</v>
      </c>
      <c r="D496" s="2" t="s">
        <v>14589</v>
      </c>
      <c r="E496" s="2">
        <v>120976.0</v>
      </c>
      <c r="F496" s="2">
        <v>755.0</v>
      </c>
      <c r="G496" s="2">
        <v>3005.0</v>
      </c>
      <c r="H496" s="2" t="s">
        <v>5906</v>
      </c>
      <c r="I496" s="2" t="s">
        <v>5906</v>
      </c>
      <c r="J496" s="2" t="s">
        <v>6414</v>
      </c>
      <c r="K496" s="2" t="s">
        <v>14590</v>
      </c>
      <c r="L496" s="10" t="s">
        <v>14591</v>
      </c>
    </row>
    <row r="497">
      <c r="A497" s="2" t="s">
        <v>5752</v>
      </c>
      <c r="B497" s="2" t="s">
        <v>14592</v>
      </c>
      <c r="C497" s="2">
        <v>4.81482962E8</v>
      </c>
      <c r="D497" s="2" t="s">
        <v>14593</v>
      </c>
      <c r="E497" s="2">
        <v>5203427.0</v>
      </c>
      <c r="F497" s="2">
        <v>3459.0</v>
      </c>
      <c r="G497" s="2">
        <v>2413.0</v>
      </c>
      <c r="H497" s="2" t="s">
        <v>5906</v>
      </c>
      <c r="I497" s="2" t="s">
        <v>5905</v>
      </c>
      <c r="J497" s="2" t="s">
        <v>7414</v>
      </c>
      <c r="K497" s="2" t="s">
        <v>14594</v>
      </c>
      <c r="L497" s="10" t="s">
        <v>14595</v>
      </c>
    </row>
    <row r="498">
      <c r="A498" s="2" t="s">
        <v>5752</v>
      </c>
      <c r="B498" s="2" t="s">
        <v>14596</v>
      </c>
      <c r="C498" s="2">
        <v>4.3704167754E10</v>
      </c>
      <c r="D498" s="2" t="s">
        <v>14597</v>
      </c>
      <c r="E498" s="2">
        <v>290264.0</v>
      </c>
      <c r="F498" s="2">
        <v>44.0</v>
      </c>
      <c r="G498" s="2">
        <v>636.0</v>
      </c>
      <c r="H498" s="2" t="s">
        <v>5905</v>
      </c>
      <c r="I498" s="2" t="s">
        <v>5905</v>
      </c>
      <c r="J498" s="2" t="s">
        <v>6171</v>
      </c>
      <c r="K498" s="2" t="s">
        <v>14598</v>
      </c>
    </row>
    <row r="499">
      <c r="A499" s="2" t="s">
        <v>5752</v>
      </c>
      <c r="B499" s="2" t="s">
        <v>14599</v>
      </c>
      <c r="C499" s="2">
        <v>1.9770946E7</v>
      </c>
      <c r="D499" s="2" t="s">
        <v>14600</v>
      </c>
      <c r="E499" s="2">
        <v>18534.0</v>
      </c>
      <c r="F499" s="2">
        <v>1168.0</v>
      </c>
      <c r="G499" s="2">
        <v>299.0</v>
      </c>
      <c r="H499" s="2" t="s">
        <v>5905</v>
      </c>
      <c r="I499" s="2" t="s">
        <v>5905</v>
      </c>
      <c r="J499" s="2" t="s">
        <v>7543</v>
      </c>
      <c r="K499" s="2" t="s">
        <v>14601</v>
      </c>
      <c r="L499" s="10" t="s">
        <v>14602</v>
      </c>
    </row>
    <row r="500">
      <c r="A500" s="2" t="s">
        <v>5752</v>
      </c>
      <c r="B500" s="2" t="s">
        <v>14603</v>
      </c>
      <c r="C500" s="2">
        <v>7.00296041E8</v>
      </c>
      <c r="D500" s="2" t="s">
        <v>14604</v>
      </c>
      <c r="E500" s="2">
        <v>949079.0</v>
      </c>
      <c r="F500" s="2">
        <v>1253.0</v>
      </c>
      <c r="G500" s="2">
        <v>360.0</v>
      </c>
      <c r="H500" s="2" t="s">
        <v>5906</v>
      </c>
      <c r="I500" s="2" t="s">
        <v>5905</v>
      </c>
      <c r="J500" s="2" t="s">
        <v>8144</v>
      </c>
    </row>
    <row r="501">
      <c r="A501" s="2" t="s">
        <v>5885</v>
      </c>
      <c r="B501" s="2" t="s">
        <v>7243</v>
      </c>
      <c r="C501" s="2">
        <v>6.464866831E9</v>
      </c>
      <c r="D501" s="2" t="s">
        <v>7244</v>
      </c>
      <c r="E501" s="2">
        <v>189636.0</v>
      </c>
      <c r="F501" s="2">
        <v>412.0</v>
      </c>
      <c r="G501" s="2">
        <v>1789.0</v>
      </c>
      <c r="H501" s="2" t="s">
        <v>5906</v>
      </c>
      <c r="I501" s="2" t="s">
        <v>5905</v>
      </c>
      <c r="J501" s="2" t="s">
        <v>6856</v>
      </c>
      <c r="K501" s="2" t="s">
        <v>7245</v>
      </c>
      <c r="L501" s="10" t="s">
        <v>7246</v>
      </c>
    </row>
    <row r="502">
      <c r="A502" s="2" t="s">
        <v>5885</v>
      </c>
      <c r="B502" s="2" t="s">
        <v>14605</v>
      </c>
      <c r="C502" s="2">
        <v>9095934.0</v>
      </c>
      <c r="D502" s="2" t="s">
        <v>14606</v>
      </c>
      <c r="E502" s="2">
        <v>457471.0</v>
      </c>
      <c r="F502" s="2">
        <v>3966.0</v>
      </c>
      <c r="G502" s="2">
        <v>859.0</v>
      </c>
      <c r="H502" s="2" t="s">
        <v>5906</v>
      </c>
      <c r="I502" s="2" t="s">
        <v>5905</v>
      </c>
      <c r="J502" s="2" t="s">
        <v>5993</v>
      </c>
      <c r="K502" s="2" t="s">
        <v>14607</v>
      </c>
      <c r="L502" s="10" t="s">
        <v>14608</v>
      </c>
    </row>
    <row r="503">
      <c r="A503" s="2" t="s">
        <v>5886</v>
      </c>
      <c r="B503" s="2" t="s">
        <v>14609</v>
      </c>
      <c r="C503" s="2">
        <v>2.3319920069E10</v>
      </c>
      <c r="D503" s="2" t="s">
        <v>14610</v>
      </c>
      <c r="E503" s="2">
        <v>124300.0</v>
      </c>
      <c r="F503" s="2">
        <v>694.0</v>
      </c>
      <c r="G503" s="2">
        <v>859.0</v>
      </c>
      <c r="H503" s="2" t="s">
        <v>5906</v>
      </c>
      <c r="I503" s="2" t="s">
        <v>5905</v>
      </c>
      <c r="J503" s="2" t="s">
        <v>12969</v>
      </c>
      <c r="K503" s="2" t="s">
        <v>14611</v>
      </c>
      <c r="L503" s="10" t="s">
        <v>14612</v>
      </c>
    </row>
    <row r="504">
      <c r="A504" s="2" t="s">
        <v>5887</v>
      </c>
      <c r="B504" s="2" t="s">
        <v>14613</v>
      </c>
      <c r="C504" s="2">
        <v>4.6857105519E10</v>
      </c>
      <c r="D504" s="2" t="s">
        <v>5887</v>
      </c>
      <c r="E504" s="2">
        <v>27011.0</v>
      </c>
      <c r="F504" s="2">
        <v>314.0</v>
      </c>
      <c r="G504" s="2">
        <v>15.0</v>
      </c>
      <c r="H504" s="2" t="s">
        <v>5905</v>
      </c>
      <c r="I504" s="2" t="s">
        <v>5905</v>
      </c>
      <c r="J504" s="2" t="s">
        <v>14614</v>
      </c>
      <c r="K504" s="2" t="s">
        <v>14615</v>
      </c>
      <c r="L504" s="10" t="s">
        <v>14616</v>
      </c>
    </row>
    <row r="505">
      <c r="A505" s="2" t="s">
        <v>5887</v>
      </c>
      <c r="B505" s="2" t="s">
        <v>14617</v>
      </c>
      <c r="C505" s="2">
        <v>5.3318227339E10</v>
      </c>
      <c r="D505" s="2" t="s">
        <v>5887</v>
      </c>
      <c r="E505" s="2">
        <v>19051.0</v>
      </c>
      <c r="F505" s="2">
        <v>11.0</v>
      </c>
      <c r="G505" s="2">
        <v>680.0</v>
      </c>
      <c r="H505" s="2" t="s">
        <v>5905</v>
      </c>
      <c r="I505" s="2" t="s">
        <v>5905</v>
      </c>
      <c r="K505" s="2" t="s">
        <v>14618</v>
      </c>
      <c r="L505" s="10" t="s">
        <v>14616</v>
      </c>
    </row>
    <row r="506">
      <c r="A506" s="2" t="s">
        <v>5622</v>
      </c>
      <c r="B506" s="2" t="s">
        <v>14619</v>
      </c>
      <c r="C506" s="2">
        <v>3.1693643036E10</v>
      </c>
      <c r="D506" s="2" t="s">
        <v>14620</v>
      </c>
      <c r="E506" s="2">
        <v>11584.0</v>
      </c>
      <c r="F506" s="2">
        <v>1084.0</v>
      </c>
      <c r="G506" s="2">
        <v>31.0</v>
      </c>
      <c r="H506" s="2" t="s">
        <v>5905</v>
      </c>
      <c r="I506" s="2" t="s">
        <v>5905</v>
      </c>
      <c r="J506" s="2" t="s">
        <v>8604</v>
      </c>
      <c r="K506" s="2" t="s">
        <v>14621</v>
      </c>
    </row>
    <row r="507">
      <c r="A507" s="2" t="s">
        <v>5622</v>
      </c>
      <c r="B507" s="2" t="s">
        <v>14622</v>
      </c>
      <c r="C507" s="2">
        <v>2.68634843E8</v>
      </c>
      <c r="D507" s="2" t="s">
        <v>14623</v>
      </c>
      <c r="E507" s="2">
        <v>163239.0</v>
      </c>
      <c r="F507" s="2">
        <v>1040.0</v>
      </c>
      <c r="G507" s="2">
        <v>273.0</v>
      </c>
      <c r="H507" s="2" t="s">
        <v>5906</v>
      </c>
      <c r="I507" s="2" t="s">
        <v>5906</v>
      </c>
      <c r="J507" s="2" t="s">
        <v>6414</v>
      </c>
      <c r="K507" s="2" t="s">
        <v>14624</v>
      </c>
    </row>
    <row r="508">
      <c r="A508" s="2" t="s">
        <v>5622</v>
      </c>
      <c r="B508" s="2" t="s">
        <v>14625</v>
      </c>
      <c r="C508" s="2">
        <v>2.177944949E9</v>
      </c>
      <c r="D508" s="2" t="s">
        <v>14626</v>
      </c>
      <c r="E508" s="2">
        <v>55221.0</v>
      </c>
      <c r="F508" s="2">
        <v>1331.0</v>
      </c>
      <c r="G508" s="2">
        <v>9.0</v>
      </c>
      <c r="H508" s="2" t="s">
        <v>5906</v>
      </c>
      <c r="I508" s="2" t="s">
        <v>5905</v>
      </c>
      <c r="J508" s="2" t="s">
        <v>5993</v>
      </c>
      <c r="K508" s="2" t="s">
        <v>14627</v>
      </c>
      <c r="L508" s="10" t="s">
        <v>14628</v>
      </c>
    </row>
    <row r="509">
      <c r="A509" s="2" t="s">
        <v>5622</v>
      </c>
      <c r="B509" s="2" t="s">
        <v>14629</v>
      </c>
      <c r="C509" s="2">
        <v>2.33261388E8</v>
      </c>
      <c r="D509" s="2" t="s">
        <v>14630</v>
      </c>
      <c r="E509" s="2">
        <v>69897.0</v>
      </c>
      <c r="F509" s="2">
        <v>341.0</v>
      </c>
      <c r="G509" s="2">
        <v>73.0</v>
      </c>
      <c r="H509" s="2" t="s">
        <v>5906</v>
      </c>
      <c r="I509" s="2" t="s">
        <v>5905</v>
      </c>
      <c r="J509" s="2" t="s">
        <v>5391</v>
      </c>
      <c r="K509" s="2" t="s">
        <v>14631</v>
      </c>
      <c r="L509" s="10" t="s">
        <v>14632</v>
      </c>
    </row>
    <row r="510">
      <c r="A510" s="2" t="s">
        <v>5622</v>
      </c>
      <c r="B510" s="2" t="s">
        <v>14633</v>
      </c>
      <c r="C510" s="2">
        <v>5.7708303391E10</v>
      </c>
      <c r="D510" s="2" t="s">
        <v>5622</v>
      </c>
      <c r="E510" s="2">
        <v>144918.0</v>
      </c>
      <c r="F510" s="2">
        <v>156.0</v>
      </c>
      <c r="G510" s="2">
        <v>9.0</v>
      </c>
      <c r="H510" s="2" t="s">
        <v>5906</v>
      </c>
      <c r="I510" s="2" t="s">
        <v>5905</v>
      </c>
      <c r="J510" s="2" t="s">
        <v>6393</v>
      </c>
      <c r="K510" s="2" t="s">
        <v>14634</v>
      </c>
    </row>
    <row r="511">
      <c r="A511" s="2" t="s">
        <v>5622</v>
      </c>
      <c r="B511" s="2" t="s">
        <v>14635</v>
      </c>
      <c r="C511" s="2">
        <v>5.273697721E10</v>
      </c>
      <c r="D511" s="2" t="s">
        <v>14636</v>
      </c>
      <c r="E511" s="2">
        <v>17316.0</v>
      </c>
      <c r="F511" s="2">
        <v>2576.0</v>
      </c>
      <c r="G511" s="2">
        <v>589.0</v>
      </c>
      <c r="H511" s="2" t="s">
        <v>5906</v>
      </c>
      <c r="I511" s="2" t="s">
        <v>5905</v>
      </c>
      <c r="J511" s="2" t="s">
        <v>5959</v>
      </c>
      <c r="K511" s="2" t="s">
        <v>14637</v>
      </c>
    </row>
    <row r="512">
      <c r="A512" s="2" t="s">
        <v>5622</v>
      </c>
      <c r="B512" s="2" t="s">
        <v>14638</v>
      </c>
      <c r="C512" s="2">
        <v>5.3559731693E10</v>
      </c>
      <c r="D512" s="2" t="s">
        <v>14639</v>
      </c>
      <c r="E512" s="2">
        <v>10180.0</v>
      </c>
      <c r="F512" s="2">
        <v>969.0</v>
      </c>
      <c r="G512" s="2">
        <v>0.0</v>
      </c>
      <c r="H512" s="2" t="s">
        <v>5905</v>
      </c>
      <c r="I512" s="2" t="s">
        <v>5905</v>
      </c>
      <c r="K512" s="2" t="s">
        <v>14640</v>
      </c>
    </row>
    <row r="513">
      <c r="A513" s="2" t="s">
        <v>5622</v>
      </c>
      <c r="B513" s="2" t="s">
        <v>14641</v>
      </c>
      <c r="C513" s="2">
        <v>4.93525227E8</v>
      </c>
      <c r="D513" s="2" t="s">
        <v>14642</v>
      </c>
      <c r="E513" s="2">
        <v>2.7132953E7</v>
      </c>
      <c r="F513" s="2">
        <v>959.0</v>
      </c>
      <c r="G513" s="2">
        <v>1309.0</v>
      </c>
      <c r="H513" s="2" t="s">
        <v>5906</v>
      </c>
      <c r="I513" s="2" t="s">
        <v>5905</v>
      </c>
      <c r="J513" s="2" t="s">
        <v>14643</v>
      </c>
      <c r="K513" s="2" t="s">
        <v>14644</v>
      </c>
    </row>
    <row r="514">
      <c r="A514" s="2" t="s">
        <v>5888</v>
      </c>
      <c r="B514" s="2" t="s">
        <v>14645</v>
      </c>
      <c r="C514" s="2">
        <v>1.6594694E7</v>
      </c>
      <c r="D514" s="2" t="s">
        <v>14646</v>
      </c>
      <c r="E514" s="2">
        <v>1737886.0</v>
      </c>
      <c r="F514" s="2">
        <v>1319.0</v>
      </c>
      <c r="G514" s="2">
        <v>1088.0</v>
      </c>
      <c r="H514" s="2" t="s">
        <v>5906</v>
      </c>
      <c r="I514" s="2" t="s">
        <v>5905</v>
      </c>
      <c r="K514" s="2" t="s">
        <v>14647</v>
      </c>
      <c r="L514" s="10" t="s">
        <v>14648</v>
      </c>
    </row>
    <row r="515">
      <c r="A515" s="2" t="s">
        <v>5889</v>
      </c>
      <c r="B515" s="2" t="s">
        <v>14649</v>
      </c>
      <c r="C515" s="2">
        <v>2.20984427E8</v>
      </c>
      <c r="D515" s="2" t="s">
        <v>14650</v>
      </c>
      <c r="E515" s="2">
        <v>421176.0</v>
      </c>
      <c r="F515" s="2">
        <v>1015.0</v>
      </c>
      <c r="G515" s="2">
        <v>1212.0</v>
      </c>
      <c r="H515" s="2" t="s">
        <v>5906</v>
      </c>
      <c r="I515" s="2" t="s">
        <v>5905</v>
      </c>
      <c r="J515" s="2" t="s">
        <v>5928</v>
      </c>
      <c r="K515" s="2" t="s">
        <v>14651</v>
      </c>
    </row>
    <row r="516">
      <c r="A516" s="2" t="s">
        <v>5889</v>
      </c>
      <c r="B516" s="2" t="s">
        <v>14652</v>
      </c>
      <c r="C516" s="2">
        <v>1.445816952E9</v>
      </c>
      <c r="D516" s="2" t="s">
        <v>5889</v>
      </c>
      <c r="E516" s="2">
        <v>431875.0</v>
      </c>
      <c r="F516" s="2">
        <v>580.0</v>
      </c>
      <c r="G516" s="2">
        <v>6470.0</v>
      </c>
      <c r="H516" s="2" t="s">
        <v>5906</v>
      </c>
      <c r="I516" s="2" t="s">
        <v>5906</v>
      </c>
      <c r="K516" s="2" t="s">
        <v>14653</v>
      </c>
    </row>
    <row r="517">
      <c r="A517" s="2" t="s">
        <v>5889</v>
      </c>
      <c r="B517" s="2" t="s">
        <v>14654</v>
      </c>
      <c r="C517" s="2">
        <v>3.21477103E8</v>
      </c>
      <c r="D517" s="2" t="s">
        <v>14655</v>
      </c>
      <c r="E517" s="2">
        <v>940858.0</v>
      </c>
      <c r="F517" s="2">
        <v>1335.0</v>
      </c>
      <c r="G517" s="2">
        <v>4131.0</v>
      </c>
      <c r="H517" s="2" t="s">
        <v>5906</v>
      </c>
      <c r="I517" s="2" t="s">
        <v>5905</v>
      </c>
      <c r="J517" s="2" t="s">
        <v>6124</v>
      </c>
      <c r="K517" s="2" t="s">
        <v>14656</v>
      </c>
      <c r="L517" s="10" t="s">
        <v>14657</v>
      </c>
    </row>
    <row r="518">
      <c r="A518" s="2" t="s">
        <v>5889</v>
      </c>
      <c r="B518" s="2" t="s">
        <v>14658</v>
      </c>
      <c r="C518" s="2">
        <v>4.1915204482E10</v>
      </c>
      <c r="D518" s="2" t="s">
        <v>14659</v>
      </c>
      <c r="E518" s="2">
        <v>551676.0</v>
      </c>
      <c r="F518" s="2">
        <v>86.0</v>
      </c>
      <c r="G518" s="2">
        <v>21.0</v>
      </c>
      <c r="H518" s="2" t="s">
        <v>5906</v>
      </c>
      <c r="I518" s="2" t="s">
        <v>5905</v>
      </c>
      <c r="J518" s="2" t="s">
        <v>5492</v>
      </c>
      <c r="K518" s="2" t="s">
        <v>14660</v>
      </c>
      <c r="L518" s="10" t="s">
        <v>14661</v>
      </c>
    </row>
    <row r="519">
      <c r="A519" s="2" t="s">
        <v>5762</v>
      </c>
      <c r="B519" s="2" t="s">
        <v>14662</v>
      </c>
      <c r="C519" s="2">
        <v>4.10718201E8</v>
      </c>
      <c r="D519" s="2" t="s">
        <v>14663</v>
      </c>
      <c r="E519" s="2">
        <v>8706168.0</v>
      </c>
      <c r="F519" s="2">
        <v>433.0</v>
      </c>
      <c r="G519" s="2">
        <v>119.0</v>
      </c>
      <c r="H519" s="2" t="s">
        <v>5906</v>
      </c>
      <c r="I519" s="2" t="s">
        <v>5905</v>
      </c>
      <c r="J519" s="2" t="s">
        <v>8838</v>
      </c>
      <c r="K519" s="2" t="s">
        <v>14664</v>
      </c>
    </row>
    <row r="520">
      <c r="A520" s="2" t="s">
        <v>5762</v>
      </c>
      <c r="B520" s="2" t="s">
        <v>14665</v>
      </c>
      <c r="C520" s="2">
        <v>1.8761912E8</v>
      </c>
      <c r="D520" s="2" t="s">
        <v>14666</v>
      </c>
      <c r="E520" s="2">
        <v>5.5968336E7</v>
      </c>
      <c r="F520" s="2">
        <v>7.0</v>
      </c>
      <c r="G520" s="2">
        <v>8854.0</v>
      </c>
      <c r="H520" s="2" t="s">
        <v>5906</v>
      </c>
      <c r="I520" s="2" t="s">
        <v>5906</v>
      </c>
      <c r="K520" s="2" t="s">
        <v>14667</v>
      </c>
      <c r="L520" s="10" t="s">
        <v>14668</v>
      </c>
    </row>
    <row r="521">
      <c r="A521" s="2" t="s">
        <v>5713</v>
      </c>
      <c r="B521" s="2" t="s">
        <v>14669</v>
      </c>
      <c r="C521" s="2">
        <v>4.9443046E7</v>
      </c>
      <c r="D521" s="2" t="s">
        <v>14670</v>
      </c>
      <c r="E521" s="2">
        <v>2988173.0</v>
      </c>
      <c r="F521" s="2">
        <v>1776.0</v>
      </c>
      <c r="G521" s="2">
        <v>2523.0</v>
      </c>
      <c r="H521" s="2" t="s">
        <v>5906</v>
      </c>
      <c r="I521" s="2" t="s">
        <v>5906</v>
      </c>
      <c r="J521" s="2" t="s">
        <v>5993</v>
      </c>
      <c r="K521" s="2" t="s">
        <v>14671</v>
      </c>
    </row>
    <row r="522">
      <c r="A522" s="2" t="s">
        <v>5713</v>
      </c>
      <c r="B522" s="2" t="s">
        <v>14672</v>
      </c>
      <c r="C522" s="2">
        <v>2.1465052749E10</v>
      </c>
      <c r="D522" s="2" t="s">
        <v>14673</v>
      </c>
      <c r="E522" s="2">
        <v>1.0859855E7</v>
      </c>
      <c r="F522" s="2">
        <v>17.0</v>
      </c>
      <c r="G522" s="2">
        <v>176.0</v>
      </c>
      <c r="H522" s="2" t="s">
        <v>5906</v>
      </c>
      <c r="I522" s="2" t="s">
        <v>5905</v>
      </c>
      <c r="J522" s="2" t="s">
        <v>5993</v>
      </c>
      <c r="K522" s="2" t="s">
        <v>5993</v>
      </c>
    </row>
    <row r="523">
      <c r="A523" s="2" t="s">
        <v>5890</v>
      </c>
      <c r="B523" s="2" t="s">
        <v>14674</v>
      </c>
      <c r="C523" s="2">
        <v>2.30987727E8</v>
      </c>
      <c r="D523" s="2" t="s">
        <v>5890</v>
      </c>
      <c r="E523" s="2">
        <v>19305.0</v>
      </c>
      <c r="F523" s="2">
        <v>2342.0</v>
      </c>
      <c r="G523" s="2">
        <v>76.0</v>
      </c>
      <c r="H523" s="2" t="s">
        <v>5906</v>
      </c>
      <c r="I523" s="2" t="s">
        <v>5906</v>
      </c>
      <c r="J523" s="2" t="s">
        <v>6628</v>
      </c>
      <c r="K523" s="2" t="s">
        <v>14675</v>
      </c>
      <c r="L523" s="10" t="s">
        <v>14676</v>
      </c>
    </row>
    <row r="524">
      <c r="A524" s="2" t="s">
        <v>5635</v>
      </c>
      <c r="B524" s="2" t="s">
        <v>14677</v>
      </c>
      <c r="C524" s="2">
        <v>7.371883982E9</v>
      </c>
      <c r="D524" s="2" t="s">
        <v>5635</v>
      </c>
      <c r="E524" s="2">
        <v>17383.0</v>
      </c>
      <c r="F524" s="2">
        <v>1143.0</v>
      </c>
      <c r="G524" s="2">
        <v>527.0</v>
      </c>
      <c r="H524" s="2" t="s">
        <v>5905</v>
      </c>
      <c r="I524" s="2" t="s">
        <v>5905</v>
      </c>
      <c r="J524" s="2" t="s">
        <v>14678</v>
      </c>
      <c r="K524" s="2" t="s">
        <v>14679</v>
      </c>
      <c r="L524" s="10" t="s">
        <v>14680</v>
      </c>
    </row>
    <row r="525">
      <c r="A525" s="2" t="s">
        <v>5635</v>
      </c>
      <c r="B525" s="2" t="s">
        <v>14681</v>
      </c>
      <c r="C525" s="2">
        <v>5.00033968E10</v>
      </c>
      <c r="D525" s="2" t="s">
        <v>14682</v>
      </c>
      <c r="E525" s="2">
        <v>4814270.0</v>
      </c>
      <c r="F525" s="2">
        <v>247.0</v>
      </c>
      <c r="G525" s="2">
        <v>693.0</v>
      </c>
      <c r="H525" s="2" t="s">
        <v>5906</v>
      </c>
      <c r="I525" s="2" t="s">
        <v>5905</v>
      </c>
      <c r="J525" s="2" t="s">
        <v>5993</v>
      </c>
      <c r="K525" s="2" t="s">
        <v>14683</v>
      </c>
    </row>
    <row r="526">
      <c r="A526" s="2" t="s">
        <v>5891</v>
      </c>
      <c r="B526" s="2" t="s">
        <v>14684</v>
      </c>
      <c r="C526" s="2">
        <v>4.4207341E7</v>
      </c>
      <c r="D526" s="2" t="s">
        <v>14685</v>
      </c>
      <c r="E526" s="2">
        <v>102297.0</v>
      </c>
      <c r="F526" s="2">
        <v>5554.0</v>
      </c>
      <c r="G526" s="2">
        <v>1678.0</v>
      </c>
      <c r="H526" s="2" t="s">
        <v>5906</v>
      </c>
      <c r="I526" s="2" t="s">
        <v>5905</v>
      </c>
      <c r="J526" s="2" t="s">
        <v>6393</v>
      </c>
      <c r="K526" s="2" t="s">
        <v>14686</v>
      </c>
      <c r="L526" s="10" t="s">
        <v>14687</v>
      </c>
    </row>
    <row r="527">
      <c r="A527" s="2" t="s">
        <v>5891</v>
      </c>
      <c r="B527" s="2" t="s">
        <v>14688</v>
      </c>
      <c r="C527" s="2">
        <v>2.24480115E8</v>
      </c>
      <c r="D527" s="2" t="s">
        <v>5891</v>
      </c>
      <c r="E527" s="2">
        <v>14080.0</v>
      </c>
      <c r="F527" s="2">
        <v>1171.0</v>
      </c>
      <c r="G527" s="2">
        <v>1031.0</v>
      </c>
      <c r="H527" s="2" t="s">
        <v>5905</v>
      </c>
      <c r="I527" s="2" t="s">
        <v>5905</v>
      </c>
      <c r="J527" s="2" t="s">
        <v>5993</v>
      </c>
      <c r="K527" s="2" t="s">
        <v>14689</v>
      </c>
      <c r="L527" s="10" t="s">
        <v>14690</v>
      </c>
    </row>
    <row r="528">
      <c r="A528" s="2" t="s">
        <v>5891</v>
      </c>
      <c r="B528" s="2" t="s">
        <v>14691</v>
      </c>
      <c r="C528" s="2">
        <v>1.78214645E8</v>
      </c>
      <c r="D528" s="2" t="s">
        <v>14692</v>
      </c>
      <c r="E528" s="2">
        <v>7016147.0</v>
      </c>
      <c r="F528" s="2">
        <v>294.0</v>
      </c>
      <c r="G528" s="2">
        <v>1957.0</v>
      </c>
      <c r="H528" s="2" t="s">
        <v>5906</v>
      </c>
      <c r="I528" s="2" t="s">
        <v>5906</v>
      </c>
      <c r="J528" s="2" t="s">
        <v>5993</v>
      </c>
      <c r="K528" s="2" t="s">
        <v>14693</v>
      </c>
      <c r="L528" s="10" t="s">
        <v>14694</v>
      </c>
    </row>
    <row r="529">
      <c r="A529" s="2" t="s">
        <v>5672</v>
      </c>
      <c r="B529" s="2" t="s">
        <v>14695</v>
      </c>
      <c r="C529" s="2">
        <v>1.9649762E7</v>
      </c>
      <c r="D529" s="2" t="s">
        <v>14696</v>
      </c>
      <c r="E529" s="2">
        <v>4.0151416E7</v>
      </c>
      <c r="F529" s="2">
        <v>996.0</v>
      </c>
      <c r="G529" s="2">
        <v>674.0</v>
      </c>
      <c r="H529" s="2" t="s">
        <v>5906</v>
      </c>
      <c r="I529" s="2" t="s">
        <v>5905</v>
      </c>
      <c r="J529" s="2" t="s">
        <v>6628</v>
      </c>
      <c r="L529" s="10" t="s">
        <v>14697</v>
      </c>
    </row>
    <row r="530">
      <c r="A530" s="2" t="s">
        <v>5677</v>
      </c>
      <c r="B530" s="2" t="s">
        <v>14698</v>
      </c>
      <c r="C530" s="2">
        <v>1.2246775E7</v>
      </c>
      <c r="D530" s="2" t="s">
        <v>14699</v>
      </c>
      <c r="E530" s="2">
        <v>4.1977437E7</v>
      </c>
      <c r="F530" s="2">
        <v>54.0</v>
      </c>
      <c r="G530" s="2">
        <v>3856.0</v>
      </c>
      <c r="H530" s="2" t="s">
        <v>5906</v>
      </c>
      <c r="I530" s="2" t="s">
        <v>5905</v>
      </c>
      <c r="J530" s="2" t="s">
        <v>6124</v>
      </c>
      <c r="K530" s="2" t="s">
        <v>14700</v>
      </c>
      <c r="L530" s="10" t="s">
        <v>14701</v>
      </c>
    </row>
    <row r="531">
      <c r="A531" s="2" t="s">
        <v>5677</v>
      </c>
      <c r="B531" s="2" t="s">
        <v>14702</v>
      </c>
      <c r="C531" s="2">
        <v>3.9221572E7</v>
      </c>
      <c r="D531" s="2" t="s">
        <v>5677</v>
      </c>
      <c r="E531" s="2">
        <v>10389.0</v>
      </c>
      <c r="F531" s="2">
        <v>3438.0</v>
      </c>
      <c r="G531" s="2">
        <v>1485.0</v>
      </c>
      <c r="H531" s="2" t="s">
        <v>5905</v>
      </c>
      <c r="I531" s="2" t="s">
        <v>5906</v>
      </c>
      <c r="J531" s="2" t="s">
        <v>5959</v>
      </c>
    </row>
    <row r="532">
      <c r="A532" s="2" t="s">
        <v>5677</v>
      </c>
      <c r="B532" s="2" t="s">
        <v>14703</v>
      </c>
      <c r="C532" s="2">
        <v>8.44822095E8</v>
      </c>
      <c r="D532" s="2" t="s">
        <v>5677</v>
      </c>
      <c r="E532" s="2">
        <v>24092.0</v>
      </c>
      <c r="F532" s="2">
        <v>586.0</v>
      </c>
      <c r="G532" s="2">
        <v>59.0</v>
      </c>
      <c r="H532" s="2" t="s">
        <v>5905</v>
      </c>
      <c r="I532" s="2" t="s">
        <v>5905</v>
      </c>
      <c r="J532" s="2" t="s">
        <v>6354</v>
      </c>
      <c r="K532" s="2" t="s">
        <v>14704</v>
      </c>
    </row>
    <row r="533">
      <c r="A533" s="2" t="s">
        <v>5677</v>
      </c>
      <c r="B533" s="2" t="s">
        <v>14705</v>
      </c>
      <c r="C533" s="2">
        <v>1.6427333E7</v>
      </c>
      <c r="E533" s="2">
        <v>27863.0</v>
      </c>
      <c r="F533" s="2">
        <v>2197.0</v>
      </c>
      <c r="G533" s="2">
        <v>390.0</v>
      </c>
      <c r="H533" s="2" t="s">
        <v>5905</v>
      </c>
      <c r="I533" s="2" t="s">
        <v>5905</v>
      </c>
      <c r="J533" s="2" t="s">
        <v>14090</v>
      </c>
      <c r="K533" s="2" t="s">
        <v>14706</v>
      </c>
      <c r="L533" s="10" t="s">
        <v>14707</v>
      </c>
    </row>
    <row r="534">
      <c r="A534" s="2" t="s">
        <v>5677</v>
      </c>
      <c r="B534" s="2" t="s">
        <v>14708</v>
      </c>
      <c r="C534" s="2">
        <v>2.9751711E7</v>
      </c>
      <c r="D534" s="2" t="s">
        <v>5677</v>
      </c>
      <c r="E534" s="2">
        <v>9517516.0</v>
      </c>
      <c r="F534" s="2">
        <v>998.0</v>
      </c>
      <c r="G534" s="2">
        <v>2907.0</v>
      </c>
      <c r="H534" s="2" t="s">
        <v>5906</v>
      </c>
      <c r="I534" s="2" t="s">
        <v>5905</v>
      </c>
      <c r="J534" s="2" t="s">
        <v>8838</v>
      </c>
      <c r="K534" s="2" t="s">
        <v>14709</v>
      </c>
    </row>
    <row r="535">
      <c r="A535" s="2" t="s">
        <v>5677</v>
      </c>
      <c r="B535" s="2" t="s">
        <v>14710</v>
      </c>
      <c r="C535" s="2">
        <v>1.90650707E8</v>
      </c>
      <c r="D535" s="2" t="s">
        <v>5677</v>
      </c>
      <c r="E535" s="2">
        <v>211401.0</v>
      </c>
      <c r="F535" s="2">
        <v>1811.0</v>
      </c>
      <c r="G535" s="2">
        <v>3393.0</v>
      </c>
      <c r="H535" s="2" t="s">
        <v>5905</v>
      </c>
      <c r="I535" s="2" t="s">
        <v>5905</v>
      </c>
      <c r="J535" s="2" t="s">
        <v>5959</v>
      </c>
      <c r="K535" s="2" t="s">
        <v>14711</v>
      </c>
      <c r="L535" s="10" t="s">
        <v>14712</v>
      </c>
    </row>
    <row r="536">
      <c r="A536" s="2" t="s">
        <v>5701</v>
      </c>
      <c r="B536" s="2" t="s">
        <v>14713</v>
      </c>
      <c r="C536" s="2">
        <v>2.12640293E8</v>
      </c>
      <c r="D536" s="2" t="s">
        <v>14714</v>
      </c>
      <c r="E536" s="2">
        <v>4123846.0</v>
      </c>
      <c r="F536" s="2">
        <v>2822.0</v>
      </c>
      <c r="G536" s="2">
        <v>1137.0</v>
      </c>
      <c r="H536" s="2" t="s">
        <v>5906</v>
      </c>
      <c r="I536" s="2" t="s">
        <v>5905</v>
      </c>
      <c r="J536" s="2" t="s">
        <v>8838</v>
      </c>
      <c r="K536" s="2" t="s">
        <v>14715</v>
      </c>
      <c r="L536" s="10" t="s">
        <v>14716</v>
      </c>
    </row>
    <row r="537">
      <c r="A537" s="2" t="s">
        <v>5701</v>
      </c>
      <c r="B537" s="2" t="s">
        <v>14717</v>
      </c>
      <c r="C537" s="2">
        <v>4.5321619558E10</v>
      </c>
      <c r="D537" s="2" t="s">
        <v>5701</v>
      </c>
      <c r="E537" s="2">
        <v>1.2951368E7</v>
      </c>
      <c r="F537" s="2">
        <v>47.0</v>
      </c>
      <c r="G537" s="2">
        <v>284.0</v>
      </c>
      <c r="H537" s="2" t="s">
        <v>5906</v>
      </c>
      <c r="I537" s="2" t="s">
        <v>5905</v>
      </c>
      <c r="J537" s="2" t="s">
        <v>6124</v>
      </c>
      <c r="K537" s="2" t="s">
        <v>14718</v>
      </c>
    </row>
    <row r="538">
      <c r="A538" s="2" t="s">
        <v>5701</v>
      </c>
      <c r="B538" s="2" t="s">
        <v>14719</v>
      </c>
      <c r="C538" s="2">
        <v>314216.0</v>
      </c>
      <c r="D538" s="2" t="s">
        <v>14720</v>
      </c>
      <c r="E538" s="2">
        <v>1.5956221E7</v>
      </c>
      <c r="F538" s="2">
        <v>616.0</v>
      </c>
      <c r="G538" s="2">
        <v>403.0</v>
      </c>
      <c r="H538" s="2" t="s">
        <v>5906</v>
      </c>
      <c r="I538" s="2" t="s">
        <v>5905</v>
      </c>
      <c r="J538" s="2" t="s">
        <v>5391</v>
      </c>
      <c r="K538" s="2" t="s">
        <v>14721</v>
      </c>
    </row>
    <row r="539">
      <c r="A539" s="2" t="s">
        <v>5744</v>
      </c>
      <c r="B539" s="2" t="s">
        <v>14722</v>
      </c>
      <c r="C539" s="2">
        <v>1.82694248E8</v>
      </c>
      <c r="D539" s="2" t="s">
        <v>5744</v>
      </c>
      <c r="E539" s="2">
        <v>26090.0</v>
      </c>
      <c r="F539" s="2">
        <v>954.0</v>
      </c>
      <c r="G539" s="2">
        <v>189.0</v>
      </c>
      <c r="H539" s="2" t="s">
        <v>5905</v>
      </c>
      <c r="I539" s="2" t="s">
        <v>5906</v>
      </c>
      <c r="J539" s="2" t="s">
        <v>5391</v>
      </c>
      <c r="K539" s="2" t="s">
        <v>14723</v>
      </c>
    </row>
    <row r="540">
      <c r="A540" s="2" t="s">
        <v>5744</v>
      </c>
      <c r="B540" s="2" t="s">
        <v>14724</v>
      </c>
      <c r="C540" s="2">
        <v>2.18406945E8</v>
      </c>
      <c r="D540" s="2" t="s">
        <v>14725</v>
      </c>
      <c r="E540" s="2">
        <v>440175.0</v>
      </c>
      <c r="F540" s="2">
        <v>804.0</v>
      </c>
      <c r="G540" s="2">
        <v>850.0</v>
      </c>
      <c r="H540" s="2" t="s">
        <v>5906</v>
      </c>
      <c r="I540" s="2" t="s">
        <v>5906</v>
      </c>
      <c r="J540" s="2" t="s">
        <v>5963</v>
      </c>
      <c r="L540" s="10" t="s">
        <v>14726</v>
      </c>
    </row>
    <row r="541">
      <c r="A541" s="2" t="s">
        <v>5592</v>
      </c>
      <c r="B541" s="2" t="s">
        <v>14727</v>
      </c>
      <c r="C541" s="2">
        <v>4.0121716241E10</v>
      </c>
      <c r="D541" s="2" t="s">
        <v>14728</v>
      </c>
      <c r="E541" s="2">
        <v>47818.0</v>
      </c>
      <c r="F541" s="2">
        <v>810.0</v>
      </c>
      <c r="G541" s="2">
        <v>23.0</v>
      </c>
      <c r="H541" s="2" t="s">
        <v>5905</v>
      </c>
      <c r="I541" s="2" t="s">
        <v>5905</v>
      </c>
      <c r="J541" s="2" t="s">
        <v>8838</v>
      </c>
      <c r="K541" s="2" t="s">
        <v>14729</v>
      </c>
    </row>
    <row r="542">
      <c r="A542" s="2" t="s">
        <v>5592</v>
      </c>
      <c r="B542" s="2" t="s">
        <v>14730</v>
      </c>
      <c r="C542" s="2">
        <v>536225.0</v>
      </c>
      <c r="D542" s="2" t="s">
        <v>14731</v>
      </c>
      <c r="E542" s="2">
        <v>10619.0</v>
      </c>
      <c r="F542" s="2">
        <v>4305.0</v>
      </c>
      <c r="G542" s="2">
        <v>62.0</v>
      </c>
      <c r="H542" s="2" t="s">
        <v>5905</v>
      </c>
      <c r="I542" s="2" t="s">
        <v>5905</v>
      </c>
      <c r="J542" s="2" t="s">
        <v>5492</v>
      </c>
      <c r="K542" s="2" t="s">
        <v>14732</v>
      </c>
      <c r="L542" s="10" t="s">
        <v>14733</v>
      </c>
    </row>
    <row r="543">
      <c r="A543" s="2" t="s">
        <v>5745</v>
      </c>
      <c r="B543" s="2" t="s">
        <v>14734</v>
      </c>
      <c r="C543" s="2">
        <v>1.86708831E8</v>
      </c>
      <c r="D543" s="2" t="s">
        <v>14735</v>
      </c>
      <c r="E543" s="2">
        <v>873294.0</v>
      </c>
      <c r="F543" s="2">
        <v>0.0</v>
      </c>
      <c r="G543" s="2">
        <v>151.0</v>
      </c>
      <c r="H543" s="2" t="s">
        <v>5906</v>
      </c>
      <c r="I543" s="2" t="s">
        <v>5906</v>
      </c>
      <c r="J543" s="2" t="s">
        <v>8245</v>
      </c>
      <c r="L543" s="10" t="s">
        <v>14736</v>
      </c>
    </row>
    <row r="544">
      <c r="A544" s="2" t="s">
        <v>5745</v>
      </c>
      <c r="B544" s="2" t="s">
        <v>14737</v>
      </c>
      <c r="C544" s="2">
        <v>3.0579491E7</v>
      </c>
      <c r="D544" s="2" t="s">
        <v>5745</v>
      </c>
      <c r="E544" s="2">
        <v>1076237.0</v>
      </c>
      <c r="F544" s="2">
        <v>0.0</v>
      </c>
      <c r="G544" s="2">
        <v>50.0</v>
      </c>
      <c r="H544" s="2" t="s">
        <v>5906</v>
      </c>
      <c r="I544" s="2" t="s">
        <v>5905</v>
      </c>
      <c r="J544" s="2" t="s">
        <v>6124</v>
      </c>
      <c r="K544" s="2" t="s">
        <v>14738</v>
      </c>
      <c r="L544" s="10" t="s">
        <v>14739</v>
      </c>
    </row>
    <row r="545">
      <c r="A545" s="2" t="s">
        <v>5745</v>
      </c>
      <c r="B545" s="2" t="s">
        <v>14740</v>
      </c>
      <c r="C545" s="2">
        <v>1.800185784E9</v>
      </c>
      <c r="D545" s="2" t="s">
        <v>14741</v>
      </c>
      <c r="E545" s="2">
        <v>1059831.0</v>
      </c>
      <c r="F545" s="2">
        <v>0.0</v>
      </c>
      <c r="G545" s="2">
        <v>390.0</v>
      </c>
      <c r="H545" s="2" t="s">
        <v>5906</v>
      </c>
      <c r="I545" s="2" t="s">
        <v>5905</v>
      </c>
      <c r="J545" s="2" t="s">
        <v>5993</v>
      </c>
      <c r="K545" s="2" t="s">
        <v>14742</v>
      </c>
      <c r="L545" s="10" t="s">
        <v>14743</v>
      </c>
    </row>
    <row r="546">
      <c r="A546" s="2" t="s">
        <v>5745</v>
      </c>
      <c r="B546" s="2" t="s">
        <v>14744</v>
      </c>
      <c r="C546" s="2">
        <v>4.9484514E8</v>
      </c>
      <c r="D546" s="2" t="s">
        <v>14745</v>
      </c>
      <c r="E546" s="2">
        <v>84464.0</v>
      </c>
      <c r="F546" s="2">
        <v>29.0</v>
      </c>
      <c r="G546" s="2">
        <v>3650.0</v>
      </c>
      <c r="H546" s="2" t="s">
        <v>5905</v>
      </c>
      <c r="I546" s="2" t="s">
        <v>5905</v>
      </c>
      <c r="J546" s="2" t="s">
        <v>5993</v>
      </c>
      <c r="K546" s="2" t="s">
        <v>14746</v>
      </c>
      <c r="L546" s="10" t="s">
        <v>14747</v>
      </c>
    </row>
    <row r="547">
      <c r="A547" s="2" t="s">
        <v>5650</v>
      </c>
      <c r="B547" s="2" t="s">
        <v>14748</v>
      </c>
      <c r="C547" s="2">
        <v>1.376331573E9</v>
      </c>
      <c r="D547" s="2" t="s">
        <v>14749</v>
      </c>
      <c r="E547" s="2">
        <v>2.1232584E7</v>
      </c>
      <c r="F547" s="2">
        <v>0.0</v>
      </c>
      <c r="G547" s="2">
        <v>0.0</v>
      </c>
      <c r="H547" s="2" t="s">
        <v>5906</v>
      </c>
      <c r="I547" s="2" t="s">
        <v>5905</v>
      </c>
      <c r="J547" s="2" t="s">
        <v>5993</v>
      </c>
    </row>
    <row r="548">
      <c r="A548" s="2" t="s">
        <v>5650</v>
      </c>
      <c r="B548" s="2" t="s">
        <v>14750</v>
      </c>
      <c r="C548" s="2">
        <v>3.1220599E7</v>
      </c>
      <c r="D548" s="2" t="s">
        <v>14751</v>
      </c>
      <c r="E548" s="2">
        <v>3.2796466E7</v>
      </c>
      <c r="F548" s="2">
        <v>195.0</v>
      </c>
      <c r="G548" s="2">
        <v>617.0</v>
      </c>
      <c r="H548" s="2" t="s">
        <v>5906</v>
      </c>
      <c r="I548" s="2" t="s">
        <v>5906</v>
      </c>
      <c r="J548" s="2" t="s">
        <v>5993</v>
      </c>
      <c r="K548" s="2" t="s">
        <v>14752</v>
      </c>
      <c r="L548" s="10" t="s">
        <v>14753</v>
      </c>
    </row>
    <row r="549">
      <c r="A549" s="2" t="s">
        <v>5680</v>
      </c>
      <c r="B549" s="2" t="s">
        <v>14754</v>
      </c>
      <c r="C549" s="2">
        <v>2929231.0</v>
      </c>
      <c r="D549" s="2" t="s">
        <v>14755</v>
      </c>
      <c r="E549" s="2">
        <v>194202.0</v>
      </c>
      <c r="F549" s="2">
        <v>649.0</v>
      </c>
      <c r="G549" s="2">
        <v>302.0</v>
      </c>
      <c r="H549" s="2" t="s">
        <v>5906</v>
      </c>
      <c r="I549" s="2" t="s">
        <v>5905</v>
      </c>
      <c r="J549" s="2" t="s">
        <v>7620</v>
      </c>
      <c r="K549" s="2" t="s">
        <v>14756</v>
      </c>
    </row>
    <row r="550">
      <c r="A550" s="2" t="s">
        <v>5590</v>
      </c>
      <c r="B550" s="2" t="s">
        <v>14757</v>
      </c>
      <c r="C550" s="2">
        <v>5.0789450179E10</v>
      </c>
      <c r="D550" s="2" t="s">
        <v>5590</v>
      </c>
      <c r="E550" s="2">
        <v>12175.0</v>
      </c>
      <c r="F550" s="2">
        <v>1549.0</v>
      </c>
      <c r="G550" s="2">
        <v>5.0</v>
      </c>
      <c r="H550" s="2" t="s">
        <v>5905</v>
      </c>
      <c r="I550" s="2" t="s">
        <v>5905</v>
      </c>
      <c r="K550" s="12" t="s">
        <v>14758</v>
      </c>
    </row>
    <row r="551">
      <c r="A551" s="2" t="s">
        <v>5590</v>
      </c>
      <c r="B551" s="2" t="s">
        <v>14759</v>
      </c>
      <c r="C551" s="2">
        <v>1.972547274E9</v>
      </c>
      <c r="D551" s="2" t="s">
        <v>14760</v>
      </c>
      <c r="E551" s="2">
        <v>71446.0</v>
      </c>
      <c r="F551" s="2">
        <v>661.0</v>
      </c>
      <c r="G551" s="2">
        <v>522.0</v>
      </c>
      <c r="H551" s="2" t="s">
        <v>5906</v>
      </c>
      <c r="I551" s="2" t="s">
        <v>5905</v>
      </c>
      <c r="J551" s="2" t="s">
        <v>9008</v>
      </c>
      <c r="K551" s="2" t="s">
        <v>14761</v>
      </c>
    </row>
    <row r="552">
      <c r="A552" s="2" t="s">
        <v>5590</v>
      </c>
      <c r="B552" s="2" t="s">
        <v>14762</v>
      </c>
      <c r="C552" s="2">
        <v>4.68393523E8</v>
      </c>
      <c r="D552" s="2" t="s">
        <v>14763</v>
      </c>
      <c r="E552" s="2">
        <v>1.0141413E7</v>
      </c>
      <c r="F552" s="2">
        <v>3.0</v>
      </c>
      <c r="G552" s="2">
        <v>1824.0</v>
      </c>
      <c r="H552" s="2" t="s">
        <v>5906</v>
      </c>
      <c r="I552" s="2" t="s">
        <v>5906</v>
      </c>
      <c r="K552" s="2" t="s">
        <v>14764</v>
      </c>
      <c r="L552" s="10" t="s">
        <v>14765</v>
      </c>
    </row>
    <row r="553">
      <c r="A553" s="2" t="s">
        <v>5590</v>
      </c>
      <c r="B553" s="2" t="s">
        <v>14766</v>
      </c>
      <c r="C553" s="2">
        <v>1906837.0</v>
      </c>
      <c r="D553" s="2" t="s">
        <v>14767</v>
      </c>
      <c r="E553" s="2">
        <v>1.9285681E7</v>
      </c>
      <c r="F553" s="2">
        <v>333.0</v>
      </c>
      <c r="G553" s="2">
        <v>8340.0</v>
      </c>
      <c r="H553" s="2" t="s">
        <v>5906</v>
      </c>
      <c r="I553" s="2" t="s">
        <v>5906</v>
      </c>
      <c r="K553" s="2" t="s">
        <v>14768</v>
      </c>
      <c r="L553" s="10" t="s">
        <v>14769</v>
      </c>
    </row>
    <row r="554">
      <c r="A554" s="2" t="s">
        <v>5590</v>
      </c>
      <c r="B554" s="2" t="s">
        <v>14770</v>
      </c>
      <c r="C554" s="2">
        <v>2.2737452441E10</v>
      </c>
      <c r="D554" s="2" t="s">
        <v>14771</v>
      </c>
      <c r="E554" s="2">
        <v>2544181.0</v>
      </c>
      <c r="F554" s="2">
        <v>20.0</v>
      </c>
      <c r="G554" s="2">
        <v>3.0</v>
      </c>
      <c r="H554" s="2" t="s">
        <v>5905</v>
      </c>
      <c r="I554" s="2" t="s">
        <v>5905</v>
      </c>
      <c r="J554" s="2" t="s">
        <v>6124</v>
      </c>
      <c r="K554" s="2" t="s">
        <v>14772</v>
      </c>
    </row>
    <row r="555">
      <c r="A555" s="2" t="s">
        <v>5590</v>
      </c>
      <c r="B555" s="2" t="s">
        <v>14773</v>
      </c>
      <c r="C555" s="2">
        <v>2.104056234E9</v>
      </c>
      <c r="D555" s="2" t="s">
        <v>5590</v>
      </c>
      <c r="E555" s="2">
        <v>13447.0</v>
      </c>
      <c r="F555" s="2">
        <v>243.0</v>
      </c>
      <c r="G555" s="2">
        <v>10.0</v>
      </c>
      <c r="H555" s="2" t="s">
        <v>5905</v>
      </c>
      <c r="I555" s="2" t="s">
        <v>5905</v>
      </c>
      <c r="J555" s="2" t="s">
        <v>5959</v>
      </c>
      <c r="K555" s="2" t="s">
        <v>14774</v>
      </c>
      <c r="L555" s="10" t="s">
        <v>14775</v>
      </c>
    </row>
    <row r="556">
      <c r="A556" s="2" t="s">
        <v>5681</v>
      </c>
      <c r="B556" s="2" t="s">
        <v>14776</v>
      </c>
      <c r="C556" s="2">
        <v>1.8424951E7</v>
      </c>
      <c r="D556" s="2" t="s">
        <v>14777</v>
      </c>
      <c r="E556" s="2">
        <v>35773.0</v>
      </c>
      <c r="F556" s="2">
        <v>3369.0</v>
      </c>
      <c r="G556" s="2">
        <v>2145.0</v>
      </c>
      <c r="H556" s="2" t="s">
        <v>5906</v>
      </c>
      <c r="I556" s="2" t="s">
        <v>5905</v>
      </c>
      <c r="J556" s="2" t="s">
        <v>14778</v>
      </c>
      <c r="K556" s="2" t="s">
        <v>14779</v>
      </c>
      <c r="L556" s="10" t="s">
        <v>14780</v>
      </c>
    </row>
    <row r="557">
      <c r="A557" s="2" t="s">
        <v>5681</v>
      </c>
      <c r="B557" s="2" t="s">
        <v>14781</v>
      </c>
      <c r="C557" s="2">
        <v>2.4875227E7</v>
      </c>
      <c r="D557" s="2" t="s">
        <v>14782</v>
      </c>
      <c r="E557" s="2">
        <v>1622261.0</v>
      </c>
      <c r="F557" s="2">
        <v>4525.0</v>
      </c>
      <c r="G557" s="2">
        <v>8240.0</v>
      </c>
      <c r="H557" s="2" t="s">
        <v>5906</v>
      </c>
      <c r="I557" s="2" t="s">
        <v>5905</v>
      </c>
      <c r="J557" s="2" t="s">
        <v>4996</v>
      </c>
      <c r="K557" s="2" t="s">
        <v>14783</v>
      </c>
      <c r="L557" s="10" t="s">
        <v>14784</v>
      </c>
    </row>
    <row r="558">
      <c r="A558" s="2" t="s">
        <v>5681</v>
      </c>
      <c r="B558" s="2" t="s">
        <v>14785</v>
      </c>
      <c r="C558" s="2">
        <v>1.649678405E9</v>
      </c>
      <c r="D558" s="2" t="s">
        <v>14786</v>
      </c>
      <c r="E558" s="2">
        <v>219839.0</v>
      </c>
      <c r="F558" s="2">
        <v>847.0</v>
      </c>
      <c r="G558" s="2">
        <v>209.0</v>
      </c>
      <c r="H558" s="2" t="s">
        <v>5906</v>
      </c>
      <c r="I558" s="2" t="s">
        <v>5905</v>
      </c>
      <c r="J558" s="2" t="s">
        <v>5993</v>
      </c>
      <c r="K558" s="2" t="s">
        <v>14787</v>
      </c>
    </row>
    <row r="559">
      <c r="A559" s="2" t="s">
        <v>5681</v>
      </c>
      <c r="B559" s="2" t="s">
        <v>14788</v>
      </c>
      <c r="C559" s="2">
        <v>2.9592841E8</v>
      </c>
      <c r="D559" s="2" t="s">
        <v>14789</v>
      </c>
      <c r="E559" s="2">
        <v>22825.0</v>
      </c>
      <c r="F559" s="2">
        <v>3647.0</v>
      </c>
      <c r="G559" s="2">
        <v>103.0</v>
      </c>
      <c r="H559" s="2" t="s">
        <v>5905</v>
      </c>
      <c r="I559" s="2" t="s">
        <v>5905</v>
      </c>
      <c r="K559" s="2" t="s">
        <v>14790</v>
      </c>
    </row>
    <row r="560">
      <c r="A560" s="2" t="s">
        <v>5681</v>
      </c>
      <c r="B560" s="2" t="s">
        <v>14791</v>
      </c>
      <c r="C560" s="2">
        <v>1.46282561E9</v>
      </c>
      <c r="D560" s="2" t="s">
        <v>14792</v>
      </c>
      <c r="E560" s="2">
        <v>20072.0</v>
      </c>
      <c r="F560" s="2">
        <v>3529.0</v>
      </c>
      <c r="G560" s="2">
        <v>1647.0</v>
      </c>
      <c r="H560" s="2" t="s">
        <v>5906</v>
      </c>
      <c r="I560" s="2" t="s">
        <v>5905</v>
      </c>
      <c r="J560" s="2" t="s">
        <v>5959</v>
      </c>
      <c r="K560" s="2" t="s">
        <v>14793</v>
      </c>
      <c r="L560" s="10" t="s">
        <v>14794</v>
      </c>
    </row>
    <row r="561">
      <c r="A561" s="2" t="s">
        <v>5681</v>
      </c>
      <c r="B561" s="2" t="s">
        <v>14795</v>
      </c>
      <c r="C561" s="2">
        <v>4.302013048E9</v>
      </c>
      <c r="D561" s="2" t="s">
        <v>14796</v>
      </c>
      <c r="E561" s="2">
        <v>5.7635272E7</v>
      </c>
      <c r="F561" s="2">
        <v>14.0</v>
      </c>
      <c r="G561" s="2">
        <v>1115.0</v>
      </c>
      <c r="H561" s="2" t="s">
        <v>5906</v>
      </c>
      <c r="I561" s="2" t="s">
        <v>5906</v>
      </c>
      <c r="J561" s="2" t="s">
        <v>6414</v>
      </c>
      <c r="K561" s="2" t="s">
        <v>14797</v>
      </c>
      <c r="L561" s="10" t="s">
        <v>14798</v>
      </c>
    </row>
    <row r="562">
      <c r="A562" s="2" t="s">
        <v>5681</v>
      </c>
      <c r="B562" s="2" t="s">
        <v>14799</v>
      </c>
      <c r="C562" s="2">
        <v>1.2825023E7</v>
      </c>
      <c r="D562" s="2" t="s">
        <v>14800</v>
      </c>
      <c r="E562" s="2">
        <v>1796986.0</v>
      </c>
      <c r="F562" s="2">
        <v>2082.0</v>
      </c>
      <c r="G562" s="2">
        <v>2518.0</v>
      </c>
      <c r="H562" s="2" t="s">
        <v>5906</v>
      </c>
      <c r="I562" s="2" t="s">
        <v>5905</v>
      </c>
      <c r="J562" s="2" t="s">
        <v>5391</v>
      </c>
      <c r="K562" s="2" t="s">
        <v>14801</v>
      </c>
      <c r="L562" s="10" t="s">
        <v>14802</v>
      </c>
    </row>
    <row r="563">
      <c r="A563" s="2" t="s">
        <v>5681</v>
      </c>
      <c r="B563" s="2" t="s">
        <v>14803</v>
      </c>
      <c r="C563" s="2">
        <v>8487298.0</v>
      </c>
      <c r="D563" s="2" t="s">
        <v>14788</v>
      </c>
      <c r="E563" s="2">
        <v>10789.0</v>
      </c>
      <c r="F563" s="2">
        <v>767.0</v>
      </c>
      <c r="G563" s="2">
        <v>266.0</v>
      </c>
      <c r="H563" s="2" t="s">
        <v>5905</v>
      </c>
      <c r="I563" s="2" t="s">
        <v>5905</v>
      </c>
      <c r="J563" s="2" t="s">
        <v>11730</v>
      </c>
      <c r="K563" s="2" t="s">
        <v>14804</v>
      </c>
    </row>
    <row r="564">
      <c r="A564" s="2" t="s">
        <v>5728</v>
      </c>
      <c r="B564" s="2" t="s">
        <v>14805</v>
      </c>
      <c r="C564" s="2">
        <v>7490726.0</v>
      </c>
      <c r="D564" s="2" t="s">
        <v>5728</v>
      </c>
      <c r="E564" s="2">
        <v>4849232.0</v>
      </c>
      <c r="F564" s="2">
        <v>1743.0</v>
      </c>
      <c r="G564" s="2">
        <v>54.0</v>
      </c>
      <c r="H564" s="2" t="s">
        <v>5906</v>
      </c>
      <c r="I564" s="2" t="s">
        <v>5906</v>
      </c>
      <c r="J564" s="2" t="s">
        <v>5993</v>
      </c>
      <c r="L564" s="10" t="s">
        <v>14806</v>
      </c>
    </row>
    <row r="565">
      <c r="A565" s="2" t="s">
        <v>5728</v>
      </c>
      <c r="B565" s="2" t="s">
        <v>14807</v>
      </c>
      <c r="C565" s="2">
        <v>2.94493971E8</v>
      </c>
      <c r="D565" s="2" t="s">
        <v>14808</v>
      </c>
      <c r="E565" s="2">
        <v>1667718.0</v>
      </c>
      <c r="F565" s="2">
        <v>461.0</v>
      </c>
      <c r="G565" s="2">
        <v>217.0</v>
      </c>
      <c r="H565" s="2" t="s">
        <v>5906</v>
      </c>
      <c r="I565" s="2" t="s">
        <v>5906</v>
      </c>
      <c r="J565" s="2" t="s">
        <v>5993</v>
      </c>
      <c r="K565" s="2" t="s">
        <v>14809</v>
      </c>
      <c r="L565" s="10" t="s">
        <v>14810</v>
      </c>
    </row>
    <row r="566">
      <c r="A566" s="2" t="s">
        <v>5711</v>
      </c>
      <c r="B566" s="2" t="s">
        <v>14811</v>
      </c>
      <c r="C566" s="2">
        <v>5.054072984E9</v>
      </c>
      <c r="D566" s="2" t="s">
        <v>14812</v>
      </c>
      <c r="E566" s="2">
        <v>10595.0</v>
      </c>
      <c r="F566" s="2">
        <v>1842.0</v>
      </c>
      <c r="G566" s="2">
        <v>15.0</v>
      </c>
      <c r="H566" s="2" t="s">
        <v>5905</v>
      </c>
      <c r="I566" s="2" t="s">
        <v>5905</v>
      </c>
      <c r="K566" s="2" t="s">
        <v>14813</v>
      </c>
    </row>
    <row r="567">
      <c r="A567" s="2" t="s">
        <v>5711</v>
      </c>
      <c r="B567" s="2" t="s">
        <v>14814</v>
      </c>
      <c r="C567" s="2">
        <v>1.329426228E9</v>
      </c>
      <c r="D567" s="2" t="s">
        <v>14815</v>
      </c>
      <c r="E567" s="2">
        <v>61496.0</v>
      </c>
      <c r="F567" s="2">
        <v>542.0</v>
      </c>
      <c r="G567" s="2">
        <v>1.0</v>
      </c>
      <c r="H567" s="2" t="s">
        <v>5906</v>
      </c>
      <c r="I567" s="2" t="s">
        <v>5905</v>
      </c>
      <c r="J567" s="2" t="s">
        <v>5391</v>
      </c>
    </row>
    <row r="568">
      <c r="A568" s="2" t="s">
        <v>5711</v>
      </c>
      <c r="B568" s="2" t="s">
        <v>14816</v>
      </c>
      <c r="C568" s="2">
        <v>2.002849654E9</v>
      </c>
      <c r="D568" s="2" t="s">
        <v>14817</v>
      </c>
      <c r="E568" s="2">
        <v>1621699.0</v>
      </c>
      <c r="F568" s="2">
        <v>528.0</v>
      </c>
      <c r="G568" s="2">
        <v>145.0</v>
      </c>
      <c r="H568" s="2" t="s">
        <v>5906</v>
      </c>
      <c r="I568" s="2" t="s">
        <v>5905</v>
      </c>
      <c r="J568" s="2" t="s">
        <v>5993</v>
      </c>
      <c r="L568" s="10" t="s">
        <v>14818</v>
      </c>
    </row>
    <row r="569">
      <c r="A569" s="2" t="s">
        <v>5711</v>
      </c>
      <c r="B569" s="2" t="s">
        <v>14819</v>
      </c>
      <c r="C569" s="2">
        <v>4.4771253311E10</v>
      </c>
      <c r="D569" s="2" t="s">
        <v>14820</v>
      </c>
      <c r="E569" s="2">
        <v>11305.0</v>
      </c>
      <c r="F569" s="2">
        <v>137.0</v>
      </c>
      <c r="G569" s="2">
        <v>248.0</v>
      </c>
      <c r="H569" s="2" t="s">
        <v>5905</v>
      </c>
      <c r="I569" s="2" t="s">
        <v>5905</v>
      </c>
      <c r="J569" s="2" t="s">
        <v>5959</v>
      </c>
      <c r="K569" s="2" t="s">
        <v>14821</v>
      </c>
      <c r="L569" s="10" t="s">
        <v>14822</v>
      </c>
    </row>
    <row r="570">
      <c r="A570" s="2" t="s">
        <v>5711</v>
      </c>
      <c r="B570" s="2" t="s">
        <v>14823</v>
      </c>
      <c r="C570" s="2">
        <v>2364270.0</v>
      </c>
      <c r="D570" s="2" t="s">
        <v>14824</v>
      </c>
      <c r="E570" s="2">
        <v>3.5358067E7</v>
      </c>
      <c r="F570" s="2">
        <v>1326.0</v>
      </c>
      <c r="G570" s="2">
        <v>6635.0</v>
      </c>
      <c r="H570" s="2" t="s">
        <v>5906</v>
      </c>
      <c r="I570" s="2" t="s">
        <v>5906</v>
      </c>
      <c r="J570" s="2" t="s">
        <v>8838</v>
      </c>
      <c r="K570" s="2" t="s">
        <v>14825</v>
      </c>
    </row>
    <row r="571">
      <c r="A571" s="2" t="s">
        <v>5773</v>
      </c>
      <c r="B571" s="2" t="s">
        <v>14826</v>
      </c>
      <c r="C571" s="2">
        <v>1577754.0</v>
      </c>
      <c r="D571" s="2" t="s">
        <v>14827</v>
      </c>
      <c r="E571" s="2">
        <v>11083.0</v>
      </c>
      <c r="F571" s="2">
        <v>3933.0</v>
      </c>
      <c r="G571" s="2">
        <v>918.0</v>
      </c>
      <c r="H571" s="2" t="s">
        <v>5906</v>
      </c>
      <c r="I571" s="2" t="s">
        <v>5905</v>
      </c>
      <c r="J571" s="2" t="s">
        <v>5959</v>
      </c>
      <c r="K571" s="2" t="s">
        <v>14828</v>
      </c>
      <c r="L571" s="10" t="s">
        <v>14829</v>
      </c>
    </row>
    <row r="572">
      <c r="A572" s="2" t="s">
        <v>5668</v>
      </c>
      <c r="B572" s="2" t="s">
        <v>14830</v>
      </c>
      <c r="C572" s="2">
        <v>2.4494677E7</v>
      </c>
      <c r="D572" s="2" t="s">
        <v>14831</v>
      </c>
      <c r="E572" s="2">
        <v>4954185.0</v>
      </c>
      <c r="F572" s="2">
        <v>314.0</v>
      </c>
      <c r="G572" s="2">
        <v>1760.0</v>
      </c>
      <c r="H572" s="2" t="s">
        <v>5906</v>
      </c>
      <c r="I572" s="2" t="s">
        <v>5905</v>
      </c>
      <c r="J572" s="2" t="s">
        <v>13634</v>
      </c>
      <c r="K572" s="2" t="s">
        <v>14832</v>
      </c>
      <c r="L572" s="10" t="s">
        <v>14833</v>
      </c>
    </row>
    <row r="573">
      <c r="A573" s="2" t="s">
        <v>5668</v>
      </c>
      <c r="B573" s="2" t="s">
        <v>14834</v>
      </c>
      <c r="C573" s="2">
        <v>1.89929289E8</v>
      </c>
      <c r="D573" s="2" t="s">
        <v>14835</v>
      </c>
      <c r="E573" s="2">
        <v>9031931.0</v>
      </c>
      <c r="F573" s="2">
        <v>790.0</v>
      </c>
      <c r="G573" s="2">
        <v>746.0</v>
      </c>
      <c r="H573" s="2" t="s">
        <v>5906</v>
      </c>
      <c r="I573" s="2" t="s">
        <v>5906</v>
      </c>
      <c r="L573" s="10" t="s">
        <v>14836</v>
      </c>
    </row>
    <row r="574">
      <c r="A574" s="2" t="s">
        <v>5658</v>
      </c>
      <c r="B574" s="2" t="s">
        <v>14837</v>
      </c>
      <c r="C574" s="2">
        <v>1.4009837E7</v>
      </c>
      <c r="D574" s="2" t="s">
        <v>14838</v>
      </c>
      <c r="E574" s="2">
        <v>114561.0</v>
      </c>
      <c r="F574" s="2">
        <v>2363.0</v>
      </c>
      <c r="G574" s="2">
        <v>1547.0</v>
      </c>
      <c r="H574" s="2" t="s">
        <v>5906</v>
      </c>
      <c r="I574" s="2" t="s">
        <v>5906</v>
      </c>
      <c r="J574" s="2" t="s">
        <v>7620</v>
      </c>
      <c r="K574" s="2" t="s">
        <v>14839</v>
      </c>
      <c r="L574" s="10" t="s">
        <v>14840</v>
      </c>
    </row>
    <row r="575">
      <c r="A575" s="2" t="s">
        <v>5619</v>
      </c>
      <c r="B575" s="2" t="s">
        <v>14841</v>
      </c>
      <c r="C575" s="2">
        <v>938269.0</v>
      </c>
      <c r="D575" s="2" t="s">
        <v>14842</v>
      </c>
      <c r="E575" s="2">
        <v>774482.0</v>
      </c>
      <c r="F575" s="2">
        <v>1136.0</v>
      </c>
      <c r="G575" s="2">
        <v>7706.0</v>
      </c>
      <c r="H575" s="2" t="s">
        <v>5906</v>
      </c>
      <c r="I575" s="2" t="s">
        <v>5905</v>
      </c>
      <c r="J575" s="2" t="s">
        <v>5959</v>
      </c>
      <c r="K575" s="2" t="s">
        <v>14843</v>
      </c>
      <c r="L575" s="10" t="s">
        <v>14844</v>
      </c>
    </row>
    <row r="576">
      <c r="A576" s="2" t="s">
        <v>5595</v>
      </c>
      <c r="B576" s="2" t="s">
        <v>14845</v>
      </c>
      <c r="C576" s="2">
        <v>4.006246232E9</v>
      </c>
      <c r="D576" s="2" t="s">
        <v>14846</v>
      </c>
      <c r="E576" s="2">
        <v>1664975.0</v>
      </c>
      <c r="F576" s="2">
        <v>297.0</v>
      </c>
      <c r="G576" s="2">
        <v>13.0</v>
      </c>
      <c r="H576" s="2" t="s">
        <v>5906</v>
      </c>
      <c r="I576" s="2" t="s">
        <v>5905</v>
      </c>
      <c r="J576" s="2" t="s">
        <v>8838</v>
      </c>
    </row>
    <row r="577">
      <c r="A577" s="2" t="s">
        <v>5595</v>
      </c>
      <c r="B577" s="2" t="s">
        <v>14847</v>
      </c>
      <c r="C577" s="2">
        <v>5.97890405E8</v>
      </c>
      <c r="D577" s="2" t="s">
        <v>14848</v>
      </c>
      <c r="E577" s="2">
        <v>5843595.0</v>
      </c>
      <c r="F577" s="2">
        <v>307.0</v>
      </c>
      <c r="G577" s="2">
        <v>122.0</v>
      </c>
      <c r="H577" s="2" t="s">
        <v>5906</v>
      </c>
      <c r="I577" s="2" t="s">
        <v>5905</v>
      </c>
      <c r="J577" s="2" t="s">
        <v>8838</v>
      </c>
      <c r="L577" s="10" t="s">
        <v>14849</v>
      </c>
    </row>
    <row r="578">
      <c r="A578" s="2" t="s">
        <v>5654</v>
      </c>
      <c r="B578" s="2" t="s">
        <v>14850</v>
      </c>
      <c r="C578" s="2">
        <v>2.148324425E9</v>
      </c>
      <c r="E578" s="2">
        <v>2.2454371E7</v>
      </c>
      <c r="F578" s="2">
        <v>1021.0</v>
      </c>
      <c r="G578" s="2">
        <v>269.0</v>
      </c>
      <c r="H578" s="2" t="s">
        <v>5906</v>
      </c>
      <c r="I578" s="2" t="s">
        <v>5905</v>
      </c>
      <c r="J578" s="2" t="s">
        <v>5993</v>
      </c>
      <c r="L578" s="10" t="s">
        <v>14851</v>
      </c>
    </row>
    <row r="579">
      <c r="A579" s="2" t="s">
        <v>5654</v>
      </c>
      <c r="B579" s="2" t="s">
        <v>14852</v>
      </c>
      <c r="C579" s="2">
        <v>6.0</v>
      </c>
      <c r="D579" s="2" t="s">
        <v>14853</v>
      </c>
      <c r="E579" s="2">
        <v>129223.0</v>
      </c>
      <c r="F579" s="2">
        <v>507.0</v>
      </c>
      <c r="G579" s="2">
        <v>1126.0</v>
      </c>
      <c r="H579" s="2" t="s">
        <v>5906</v>
      </c>
      <c r="I579" s="2" t="s">
        <v>5905</v>
      </c>
      <c r="L579" s="10" t="s">
        <v>14854</v>
      </c>
    </row>
    <row r="580">
      <c r="A580" s="2" t="s">
        <v>5632</v>
      </c>
      <c r="B580" s="2" t="s">
        <v>14855</v>
      </c>
      <c r="C580" s="2">
        <v>3.3283012E7</v>
      </c>
      <c r="D580" s="2" t="s">
        <v>5632</v>
      </c>
      <c r="E580" s="2">
        <v>1.3683494E7</v>
      </c>
      <c r="F580" s="2">
        <v>398.0</v>
      </c>
      <c r="G580" s="2">
        <v>3.0</v>
      </c>
      <c r="H580" s="2" t="s">
        <v>5906</v>
      </c>
      <c r="I580" s="2" t="s">
        <v>5905</v>
      </c>
      <c r="J580" s="2" t="s">
        <v>14856</v>
      </c>
    </row>
    <row r="581">
      <c r="A581" s="2" t="s">
        <v>5632</v>
      </c>
      <c r="B581" s="2" t="s">
        <v>14857</v>
      </c>
      <c r="C581" s="2">
        <v>1.95877443E9</v>
      </c>
      <c r="D581" s="2" t="s">
        <v>5632</v>
      </c>
      <c r="E581" s="2">
        <v>12772.0</v>
      </c>
      <c r="F581" s="2">
        <v>389.0</v>
      </c>
      <c r="G581" s="2">
        <v>6.0</v>
      </c>
      <c r="H581" s="2" t="s">
        <v>5905</v>
      </c>
      <c r="I581" s="2" t="s">
        <v>5905</v>
      </c>
      <c r="J581" s="2" t="s">
        <v>14858</v>
      </c>
      <c r="K581" s="2" t="s">
        <v>14859</v>
      </c>
    </row>
    <row r="582">
      <c r="A582" s="2" t="s">
        <v>5632</v>
      </c>
      <c r="B582" s="2" t="s">
        <v>14860</v>
      </c>
      <c r="C582" s="2">
        <v>6.6857981461E10</v>
      </c>
      <c r="D582" s="2" t="s">
        <v>14861</v>
      </c>
      <c r="E582" s="2">
        <v>1135782.0</v>
      </c>
      <c r="F582" s="2">
        <v>79.0</v>
      </c>
      <c r="G582" s="2">
        <v>15.0</v>
      </c>
      <c r="H582" s="2" t="s">
        <v>5906</v>
      </c>
      <c r="I582" s="2" t="s">
        <v>5905</v>
      </c>
      <c r="J582" s="2" t="s">
        <v>5492</v>
      </c>
      <c r="K582" s="2" t="s">
        <v>14862</v>
      </c>
    </row>
    <row r="583">
      <c r="A583" s="2" t="s">
        <v>5632</v>
      </c>
      <c r="B583" s="2" t="s">
        <v>14863</v>
      </c>
      <c r="C583" s="2">
        <v>3.43716991E8</v>
      </c>
      <c r="D583" s="2" t="s">
        <v>14864</v>
      </c>
      <c r="E583" s="2">
        <v>2.1267386E7</v>
      </c>
      <c r="F583" s="2">
        <v>367.0</v>
      </c>
      <c r="G583" s="2">
        <v>182.0</v>
      </c>
      <c r="H583" s="2" t="s">
        <v>5906</v>
      </c>
      <c r="I583" s="2" t="s">
        <v>5906</v>
      </c>
      <c r="J583" s="2" t="s">
        <v>8838</v>
      </c>
    </row>
    <row r="584">
      <c r="A584" s="2" t="s">
        <v>5632</v>
      </c>
      <c r="B584" s="2" t="s">
        <v>14865</v>
      </c>
      <c r="C584" s="2">
        <v>5.49951216E8</v>
      </c>
      <c r="D584" s="2" t="s">
        <v>14866</v>
      </c>
      <c r="E584" s="2">
        <v>1124142.0</v>
      </c>
      <c r="F584" s="2">
        <v>240.0</v>
      </c>
      <c r="G584" s="2">
        <v>2186.0</v>
      </c>
      <c r="H584" s="2" t="s">
        <v>5906</v>
      </c>
      <c r="I584" s="2" t="s">
        <v>5905</v>
      </c>
      <c r="J584" s="2" t="s">
        <v>6124</v>
      </c>
      <c r="K584" s="2" t="s">
        <v>14867</v>
      </c>
      <c r="L584" s="10" t="s">
        <v>14868</v>
      </c>
    </row>
    <row r="585">
      <c r="A585" s="2" t="s">
        <v>5659</v>
      </c>
      <c r="B585" s="2" t="s">
        <v>14869</v>
      </c>
      <c r="C585" s="2">
        <v>1.7610748E7</v>
      </c>
      <c r="D585" s="2" t="s">
        <v>5659</v>
      </c>
      <c r="E585" s="2">
        <v>17991.0</v>
      </c>
      <c r="F585" s="2">
        <v>2989.0</v>
      </c>
      <c r="G585" s="2">
        <v>781.0</v>
      </c>
      <c r="H585" s="2" t="s">
        <v>5906</v>
      </c>
      <c r="I585" s="2" t="s">
        <v>5905</v>
      </c>
      <c r="J585" s="2" t="s">
        <v>12900</v>
      </c>
      <c r="K585" s="2" t="s">
        <v>14870</v>
      </c>
      <c r="L585" s="10" t="s">
        <v>14871</v>
      </c>
    </row>
    <row r="586">
      <c r="A586" s="2" t="s">
        <v>5659</v>
      </c>
      <c r="B586" s="2" t="s">
        <v>14872</v>
      </c>
      <c r="C586" s="2">
        <v>2.02381459E8</v>
      </c>
      <c r="D586" s="2" t="s">
        <v>5659</v>
      </c>
      <c r="E586" s="2">
        <v>124095.0</v>
      </c>
      <c r="F586" s="2">
        <v>980.0</v>
      </c>
      <c r="G586" s="2">
        <v>100.0</v>
      </c>
      <c r="H586" s="2" t="s">
        <v>5905</v>
      </c>
      <c r="I586" s="2" t="s">
        <v>5906</v>
      </c>
      <c r="K586" s="2" t="s">
        <v>14873</v>
      </c>
    </row>
    <row r="587">
      <c r="A587" s="2" t="s">
        <v>5659</v>
      </c>
      <c r="B587" s="2" t="s">
        <v>14874</v>
      </c>
      <c r="C587" s="2">
        <v>1.625608507E9</v>
      </c>
      <c r="D587" s="2" t="s">
        <v>14875</v>
      </c>
      <c r="E587" s="2">
        <v>3.9553592E7</v>
      </c>
      <c r="F587" s="2">
        <v>0.0</v>
      </c>
      <c r="G587" s="2">
        <v>372.0</v>
      </c>
      <c r="H587" s="2" t="s">
        <v>5906</v>
      </c>
      <c r="I587" s="2" t="s">
        <v>5905</v>
      </c>
      <c r="J587" s="2" t="s">
        <v>6628</v>
      </c>
      <c r="K587" s="2" t="s">
        <v>14876</v>
      </c>
      <c r="L587" s="10" t="s">
        <v>14877</v>
      </c>
    </row>
    <row r="588">
      <c r="A588" s="2" t="s">
        <v>5659</v>
      </c>
      <c r="B588" s="2" t="s">
        <v>14878</v>
      </c>
      <c r="C588" s="2">
        <v>5.650880724E9</v>
      </c>
      <c r="D588" s="2" t="s">
        <v>14869</v>
      </c>
      <c r="E588" s="2">
        <v>19177.0</v>
      </c>
      <c r="F588" s="2">
        <v>948.0</v>
      </c>
      <c r="G588" s="2">
        <v>85.0</v>
      </c>
      <c r="H588" s="2" t="s">
        <v>5905</v>
      </c>
      <c r="I588" s="2" t="s">
        <v>5905</v>
      </c>
      <c r="J588" s="2" t="s">
        <v>8144</v>
      </c>
      <c r="K588" s="2" t="s">
        <v>14879</v>
      </c>
      <c r="L588" s="10" t="s">
        <v>14880</v>
      </c>
    </row>
    <row r="589">
      <c r="A589" s="2" t="s">
        <v>5640</v>
      </c>
      <c r="B589" s="2" t="s">
        <v>14881</v>
      </c>
      <c r="C589" s="2">
        <v>4.28470966E8</v>
      </c>
      <c r="D589" s="2" t="s">
        <v>14882</v>
      </c>
      <c r="E589" s="2">
        <v>819422.0</v>
      </c>
      <c r="F589" s="2">
        <v>916.0</v>
      </c>
      <c r="G589" s="2">
        <v>46.0</v>
      </c>
      <c r="H589" s="2" t="s">
        <v>5906</v>
      </c>
      <c r="I589" s="2" t="s">
        <v>5905</v>
      </c>
      <c r="J589" s="2" t="s">
        <v>4397</v>
      </c>
      <c r="K589" s="2" t="s">
        <v>14883</v>
      </c>
    </row>
    <row r="590">
      <c r="A590" s="2" t="s">
        <v>5722</v>
      </c>
      <c r="B590" s="2" t="s">
        <v>14884</v>
      </c>
      <c r="C590" s="2">
        <v>2.80392917E8</v>
      </c>
      <c r="D590" s="2" t="s">
        <v>14885</v>
      </c>
      <c r="E590" s="2">
        <v>140868.0</v>
      </c>
      <c r="F590" s="2">
        <v>230.0</v>
      </c>
      <c r="G590" s="2">
        <v>62.0</v>
      </c>
      <c r="H590" s="2" t="s">
        <v>5906</v>
      </c>
      <c r="I590" s="2" t="s">
        <v>5905</v>
      </c>
      <c r="J590" s="2" t="s">
        <v>10778</v>
      </c>
      <c r="K590" s="2" t="s">
        <v>14886</v>
      </c>
    </row>
    <row r="591">
      <c r="A591" s="2" t="s">
        <v>5746</v>
      </c>
      <c r="B591" s="2" t="s">
        <v>14887</v>
      </c>
      <c r="C591" s="2">
        <v>1.88835696E8</v>
      </c>
      <c r="D591" s="2" t="s">
        <v>14888</v>
      </c>
      <c r="E591" s="2">
        <v>2474234.0</v>
      </c>
      <c r="F591" s="2">
        <v>962.0</v>
      </c>
      <c r="G591" s="2">
        <v>529.0</v>
      </c>
      <c r="H591" s="2" t="s">
        <v>5906</v>
      </c>
      <c r="I591" s="2" t="s">
        <v>5905</v>
      </c>
      <c r="J591" s="2" t="s">
        <v>5959</v>
      </c>
      <c r="K591" s="2" t="s">
        <v>14889</v>
      </c>
      <c r="L591" s="10" t="s">
        <v>14890</v>
      </c>
    </row>
    <row r="592">
      <c r="A592" s="2" t="s">
        <v>5784</v>
      </c>
      <c r="B592" s="2" t="s">
        <v>14891</v>
      </c>
      <c r="C592" s="2">
        <v>1.9937095E7</v>
      </c>
      <c r="D592" s="2" t="s">
        <v>14892</v>
      </c>
      <c r="E592" s="2">
        <v>410432.0</v>
      </c>
      <c r="F592" s="2">
        <v>1497.0</v>
      </c>
      <c r="G592" s="2">
        <v>5682.0</v>
      </c>
      <c r="H592" s="2" t="s">
        <v>5906</v>
      </c>
      <c r="I592" s="2" t="s">
        <v>5906</v>
      </c>
      <c r="K592" s="2" t="s">
        <v>14893</v>
      </c>
      <c r="L592" s="10" t="s">
        <v>14894</v>
      </c>
    </row>
    <row r="593">
      <c r="A593" s="2" t="s">
        <v>5784</v>
      </c>
      <c r="B593" s="2" t="s">
        <v>14895</v>
      </c>
      <c r="C593" s="2">
        <v>3.015522014E9</v>
      </c>
      <c r="D593" s="2" t="s">
        <v>14896</v>
      </c>
      <c r="E593" s="2">
        <v>1035149.0</v>
      </c>
      <c r="F593" s="2">
        <v>588.0</v>
      </c>
      <c r="G593" s="2">
        <v>414.0</v>
      </c>
      <c r="H593" s="2" t="s">
        <v>5906</v>
      </c>
      <c r="I593" s="2" t="s">
        <v>5905</v>
      </c>
      <c r="J593" s="2" t="s">
        <v>5959</v>
      </c>
      <c r="K593" s="2" t="s">
        <v>14897</v>
      </c>
      <c r="L593" s="10" t="s">
        <v>14898</v>
      </c>
    </row>
    <row r="594">
      <c r="A594" s="2" t="s">
        <v>5628</v>
      </c>
      <c r="B594" s="2" t="s">
        <v>14899</v>
      </c>
      <c r="C594" s="2">
        <v>6.964844701E9</v>
      </c>
      <c r="D594" s="2" t="s">
        <v>14900</v>
      </c>
      <c r="E594" s="2">
        <v>608618.0</v>
      </c>
      <c r="F594" s="2">
        <v>210.0</v>
      </c>
      <c r="G594" s="2">
        <v>154.0</v>
      </c>
      <c r="H594" s="2" t="s">
        <v>5906</v>
      </c>
      <c r="I594" s="2" t="s">
        <v>5905</v>
      </c>
      <c r="J594" s="2" t="s">
        <v>14901</v>
      </c>
      <c r="K594" s="2" t="s">
        <v>14902</v>
      </c>
      <c r="L594" s="10" t="s">
        <v>14903</v>
      </c>
    </row>
    <row r="595">
      <c r="A595" s="2" t="s">
        <v>5628</v>
      </c>
      <c r="B595" s="2" t="s">
        <v>14904</v>
      </c>
      <c r="C595" s="2">
        <v>2.3379226E7</v>
      </c>
      <c r="D595" s="2" t="s">
        <v>14905</v>
      </c>
      <c r="E595" s="2">
        <v>3942805.0</v>
      </c>
      <c r="F595" s="2">
        <v>2173.0</v>
      </c>
      <c r="G595" s="2">
        <v>102.0</v>
      </c>
      <c r="H595" s="2" t="s">
        <v>5906</v>
      </c>
      <c r="I595" s="2" t="s">
        <v>5905</v>
      </c>
      <c r="J595" s="2" t="s">
        <v>5993</v>
      </c>
      <c r="K595" s="2" t="s">
        <v>14906</v>
      </c>
      <c r="L595" s="10" t="s">
        <v>14907</v>
      </c>
    </row>
    <row r="596">
      <c r="A596" s="2" t="s">
        <v>5743</v>
      </c>
      <c r="B596" s="2" t="s">
        <v>14908</v>
      </c>
      <c r="C596" s="2">
        <v>3.40735596E8</v>
      </c>
      <c r="D596" s="2" t="s">
        <v>14909</v>
      </c>
      <c r="E596" s="2">
        <v>4078906.0</v>
      </c>
      <c r="F596" s="2">
        <v>9.0</v>
      </c>
      <c r="G596" s="2">
        <v>1450.0</v>
      </c>
      <c r="H596" s="2" t="s">
        <v>5905</v>
      </c>
      <c r="I596" s="2" t="s">
        <v>5906</v>
      </c>
      <c r="J596" s="2" t="s">
        <v>8838</v>
      </c>
      <c r="K596" s="2" t="s">
        <v>14910</v>
      </c>
    </row>
    <row r="597">
      <c r="A597" s="2" t="s">
        <v>5743</v>
      </c>
      <c r="B597" s="2" t="s">
        <v>14911</v>
      </c>
      <c r="C597" s="2">
        <v>2.1866868296E10</v>
      </c>
      <c r="D597" s="2" t="s">
        <v>14912</v>
      </c>
      <c r="E597" s="2">
        <v>31426.0</v>
      </c>
      <c r="F597" s="2">
        <v>523.0</v>
      </c>
      <c r="G597" s="2">
        <v>15.0</v>
      </c>
      <c r="H597" s="2" t="s">
        <v>5905</v>
      </c>
      <c r="I597" s="2" t="s">
        <v>5905</v>
      </c>
      <c r="J597" s="2" t="s">
        <v>5959</v>
      </c>
      <c r="K597" s="2" t="s">
        <v>14913</v>
      </c>
    </row>
    <row r="598">
      <c r="A598" s="2" t="s">
        <v>5743</v>
      </c>
      <c r="B598" s="2" t="s">
        <v>14914</v>
      </c>
      <c r="C598" s="2">
        <v>3.40326589E8</v>
      </c>
      <c r="D598" s="2" t="s">
        <v>14915</v>
      </c>
      <c r="E598" s="2">
        <v>1298472.0</v>
      </c>
      <c r="F598" s="2">
        <v>1100.0</v>
      </c>
      <c r="G598" s="2">
        <v>356.0</v>
      </c>
      <c r="H598" s="2" t="s">
        <v>5905</v>
      </c>
      <c r="I598" s="2" t="s">
        <v>5906</v>
      </c>
      <c r="J598" s="2" t="s">
        <v>5959</v>
      </c>
      <c r="K598" s="2" t="s">
        <v>14916</v>
      </c>
      <c r="L598" s="10" t="s">
        <v>14917</v>
      </c>
    </row>
    <row r="599">
      <c r="A599" s="2" t="s">
        <v>5743</v>
      </c>
      <c r="B599" s="2" t="s">
        <v>14918</v>
      </c>
      <c r="C599" s="2">
        <v>6.7837577853E10</v>
      </c>
      <c r="D599" s="2" t="s">
        <v>14919</v>
      </c>
      <c r="E599" s="2">
        <v>246066.0</v>
      </c>
      <c r="F599" s="2">
        <v>0.0</v>
      </c>
      <c r="G599" s="2">
        <v>3006.0</v>
      </c>
      <c r="H599" s="2" t="s">
        <v>5905</v>
      </c>
      <c r="I599" s="2" t="s">
        <v>5905</v>
      </c>
      <c r="J599" s="2" t="s">
        <v>5928</v>
      </c>
      <c r="K599" s="2" t="s">
        <v>14920</v>
      </c>
      <c r="L599" s="10" t="s">
        <v>14921</v>
      </c>
    </row>
    <row r="600">
      <c r="A600" s="2" t="s">
        <v>5743</v>
      </c>
      <c r="B600" s="2" t="s">
        <v>14922</v>
      </c>
      <c r="C600" s="2">
        <v>3.501961713E9</v>
      </c>
      <c r="D600" s="2" t="s">
        <v>14923</v>
      </c>
      <c r="E600" s="2">
        <v>110527.0</v>
      </c>
      <c r="F600" s="2">
        <v>1300.0</v>
      </c>
      <c r="G600" s="2">
        <v>34.0</v>
      </c>
      <c r="H600" s="2" t="s">
        <v>5905</v>
      </c>
      <c r="I600" s="2" t="s">
        <v>5905</v>
      </c>
    </row>
    <row r="601">
      <c r="A601" s="2" t="s">
        <v>5719</v>
      </c>
      <c r="B601" s="2" t="s">
        <v>14924</v>
      </c>
      <c r="C601" s="2">
        <v>2.3150392E7</v>
      </c>
      <c r="D601" s="2" t="s">
        <v>14925</v>
      </c>
      <c r="E601" s="2">
        <v>427587.0</v>
      </c>
      <c r="F601" s="2">
        <v>2880.0</v>
      </c>
      <c r="G601" s="2">
        <v>1143.0</v>
      </c>
      <c r="H601" s="2" t="s">
        <v>5906</v>
      </c>
      <c r="I601" s="2" t="s">
        <v>5905</v>
      </c>
      <c r="J601" s="2" t="s">
        <v>5484</v>
      </c>
      <c r="K601" s="2" t="s">
        <v>14926</v>
      </c>
      <c r="L601" s="10" t="s">
        <v>14927</v>
      </c>
    </row>
    <row r="602">
      <c r="A602" s="2" t="s">
        <v>5719</v>
      </c>
      <c r="B602" s="2" t="s">
        <v>14928</v>
      </c>
      <c r="C602" s="2">
        <v>5.05864786E8</v>
      </c>
      <c r="D602" s="2" t="s">
        <v>14929</v>
      </c>
      <c r="E602" s="2">
        <v>92085.0</v>
      </c>
      <c r="F602" s="2">
        <v>4008.0</v>
      </c>
      <c r="G602" s="2">
        <v>919.0</v>
      </c>
      <c r="H602" s="2" t="s">
        <v>5906</v>
      </c>
      <c r="I602" s="2" t="s">
        <v>5906</v>
      </c>
      <c r="J602" s="2" t="s">
        <v>12993</v>
      </c>
      <c r="K602" s="2" t="s">
        <v>14930</v>
      </c>
    </row>
    <row r="603">
      <c r="A603" s="2" t="s">
        <v>5653</v>
      </c>
      <c r="B603" s="2" t="s">
        <v>14931</v>
      </c>
      <c r="C603" s="2">
        <v>6.546414951E9</v>
      </c>
      <c r="D603" s="2" t="s">
        <v>14932</v>
      </c>
      <c r="E603" s="2">
        <v>160776.0</v>
      </c>
      <c r="F603" s="2">
        <v>67.0</v>
      </c>
      <c r="G603" s="2">
        <v>0.0</v>
      </c>
      <c r="H603" s="2" t="s">
        <v>5905</v>
      </c>
      <c r="I603" s="2" t="s">
        <v>5906</v>
      </c>
      <c r="J603" s="2" t="s">
        <v>5518</v>
      </c>
    </row>
    <row r="604">
      <c r="A604" s="2" t="s">
        <v>5761</v>
      </c>
      <c r="B604" s="2" t="s">
        <v>14933</v>
      </c>
      <c r="C604" s="2">
        <v>6.95811635E8</v>
      </c>
      <c r="D604" s="2" t="s">
        <v>14934</v>
      </c>
      <c r="E604" s="2">
        <v>23735.0</v>
      </c>
      <c r="F604" s="2">
        <v>5703.0</v>
      </c>
      <c r="G604" s="2">
        <v>4369.0</v>
      </c>
      <c r="H604" s="2" t="s">
        <v>5905</v>
      </c>
      <c r="I604" s="2" t="s">
        <v>5906</v>
      </c>
      <c r="K604" s="2" t="s">
        <v>14935</v>
      </c>
      <c r="L604" s="10" t="s">
        <v>14936</v>
      </c>
    </row>
    <row r="605">
      <c r="A605" s="2" t="s">
        <v>5761</v>
      </c>
      <c r="B605" s="2" t="s">
        <v>14937</v>
      </c>
      <c r="C605" s="2">
        <v>2.185393542E9</v>
      </c>
      <c r="D605" s="2" t="s">
        <v>5761</v>
      </c>
      <c r="E605" s="2">
        <v>293111.0</v>
      </c>
      <c r="F605" s="2">
        <v>1076.0</v>
      </c>
      <c r="G605" s="2">
        <v>1366.0</v>
      </c>
      <c r="H605" s="2" t="s">
        <v>5905</v>
      </c>
      <c r="I605" s="2" t="s">
        <v>5905</v>
      </c>
      <c r="J605" s="2" t="s">
        <v>5959</v>
      </c>
      <c r="K605" s="2" t="s">
        <v>14938</v>
      </c>
      <c r="L605" s="10" t="s">
        <v>14939</v>
      </c>
    </row>
    <row r="606">
      <c r="A606" s="2" t="s">
        <v>5761</v>
      </c>
      <c r="B606" s="2" t="s">
        <v>14940</v>
      </c>
      <c r="C606" s="2">
        <v>2054.0</v>
      </c>
      <c r="D606" s="2" t="s">
        <v>14941</v>
      </c>
      <c r="E606" s="2">
        <v>14755.0</v>
      </c>
      <c r="F606" s="2">
        <v>300.0</v>
      </c>
      <c r="G606" s="2">
        <v>1.0</v>
      </c>
      <c r="H606" s="2" t="s">
        <v>5905</v>
      </c>
      <c r="I606" s="2" t="s">
        <v>5905</v>
      </c>
      <c r="J606" s="2" t="s">
        <v>14942</v>
      </c>
      <c r="K606" s="2" t="s">
        <v>14943</v>
      </c>
      <c r="L606" s="10" t="s">
        <v>14944</v>
      </c>
    </row>
    <row r="607">
      <c r="A607" s="2" t="s">
        <v>5761</v>
      </c>
      <c r="B607" s="2" t="s">
        <v>14945</v>
      </c>
      <c r="C607" s="2">
        <v>2.8178315432E10</v>
      </c>
      <c r="D607" s="2" t="s">
        <v>14940</v>
      </c>
      <c r="E607" s="2">
        <v>55747.0</v>
      </c>
      <c r="F607" s="2">
        <v>794.0</v>
      </c>
      <c r="G607" s="2">
        <v>315.0</v>
      </c>
      <c r="H607" s="2" t="s">
        <v>5905</v>
      </c>
      <c r="I607" s="2" t="s">
        <v>5906</v>
      </c>
      <c r="J607" s="2" t="s">
        <v>5993</v>
      </c>
      <c r="K607" s="2" t="s">
        <v>14946</v>
      </c>
      <c r="L607" s="10" t="s">
        <v>14947</v>
      </c>
    </row>
    <row r="608">
      <c r="A608" s="2" t="s">
        <v>5761</v>
      </c>
      <c r="B608" s="10" t="s">
        <v>14948</v>
      </c>
      <c r="C608" s="2">
        <v>3.0532749512E10</v>
      </c>
      <c r="D608" s="2" t="s">
        <v>14949</v>
      </c>
      <c r="E608" s="2">
        <v>16482.0</v>
      </c>
      <c r="F608" s="2">
        <v>15.0</v>
      </c>
      <c r="G608" s="2">
        <v>115.0</v>
      </c>
      <c r="H608" s="2" t="s">
        <v>5905</v>
      </c>
      <c r="I608" s="2" t="s">
        <v>5906</v>
      </c>
      <c r="J608" s="2" t="s">
        <v>6166</v>
      </c>
      <c r="K608" s="2" t="s">
        <v>14950</v>
      </c>
      <c r="L608" s="10" t="s">
        <v>14951</v>
      </c>
    </row>
    <row r="609">
      <c r="A609" s="2" t="s">
        <v>5684</v>
      </c>
      <c r="B609" s="2" t="s">
        <v>14952</v>
      </c>
      <c r="C609" s="2">
        <v>1.665122735E9</v>
      </c>
      <c r="D609" s="2" t="s">
        <v>5684</v>
      </c>
      <c r="E609" s="2">
        <v>2330854.0</v>
      </c>
      <c r="F609" s="2">
        <v>997.0</v>
      </c>
      <c r="G609" s="2">
        <v>379.0</v>
      </c>
      <c r="H609" s="2" t="s">
        <v>5906</v>
      </c>
      <c r="I609" s="2" t="s">
        <v>5906</v>
      </c>
      <c r="J609" s="2" t="s">
        <v>5492</v>
      </c>
      <c r="K609" s="2" t="s">
        <v>14953</v>
      </c>
      <c r="L609" s="10" t="s">
        <v>14954</v>
      </c>
    </row>
    <row r="610">
      <c r="A610" s="2" t="s">
        <v>5684</v>
      </c>
      <c r="B610" s="2" t="s">
        <v>14955</v>
      </c>
      <c r="C610" s="2">
        <v>2.65656448E8</v>
      </c>
      <c r="D610" s="2" t="s">
        <v>14956</v>
      </c>
      <c r="E610" s="2">
        <v>3873555.0</v>
      </c>
      <c r="F610" s="2">
        <v>4913.0</v>
      </c>
      <c r="G610" s="2">
        <v>3250.0</v>
      </c>
      <c r="H610" s="2" t="s">
        <v>5906</v>
      </c>
      <c r="I610" s="2" t="s">
        <v>5906</v>
      </c>
      <c r="J610" s="2" t="s">
        <v>5993</v>
      </c>
      <c r="K610" s="2" t="s">
        <v>14957</v>
      </c>
      <c r="L610" s="10" t="s">
        <v>14958</v>
      </c>
    </row>
    <row r="611">
      <c r="A611" s="2" t="s">
        <v>5684</v>
      </c>
      <c r="B611" s="2" t="s">
        <v>14959</v>
      </c>
      <c r="C611" s="2">
        <v>3.1753935332E10</v>
      </c>
      <c r="D611" s="2" t="s">
        <v>14960</v>
      </c>
      <c r="E611" s="2">
        <v>1307788.0</v>
      </c>
      <c r="F611" s="2">
        <v>0.0</v>
      </c>
      <c r="G611" s="2">
        <v>184.0</v>
      </c>
      <c r="H611" s="2" t="s">
        <v>5906</v>
      </c>
      <c r="I611" s="2" t="s">
        <v>5905</v>
      </c>
      <c r="J611" s="2" t="s">
        <v>6414</v>
      </c>
      <c r="K611" s="2" t="s">
        <v>14961</v>
      </c>
    </row>
    <row r="612">
      <c r="A612" s="2" t="s">
        <v>5726</v>
      </c>
      <c r="B612" s="2" t="s">
        <v>14962</v>
      </c>
      <c r="C612" s="2">
        <v>5.9839992287E10</v>
      </c>
      <c r="D612" s="2" t="s">
        <v>14963</v>
      </c>
      <c r="E612" s="2">
        <v>1778963.0</v>
      </c>
      <c r="F612" s="2">
        <v>1232.0</v>
      </c>
      <c r="G612" s="2">
        <v>276.0</v>
      </c>
      <c r="H612" s="2" t="s">
        <v>5906</v>
      </c>
      <c r="I612" s="2" t="s">
        <v>5905</v>
      </c>
      <c r="J612" s="2" t="s">
        <v>5959</v>
      </c>
      <c r="K612" s="2" t="s">
        <v>14964</v>
      </c>
      <c r="L612" s="10" t="s">
        <v>14965</v>
      </c>
    </row>
    <row r="613">
      <c r="A613" s="2" t="s">
        <v>5726</v>
      </c>
      <c r="B613" s="2" t="s">
        <v>14966</v>
      </c>
      <c r="C613" s="2">
        <v>4.8612341556E10</v>
      </c>
      <c r="D613" s="2" t="s">
        <v>14966</v>
      </c>
      <c r="E613" s="2">
        <v>91430.0</v>
      </c>
      <c r="F613" s="2">
        <v>4964.0</v>
      </c>
      <c r="G613" s="2">
        <v>18.0</v>
      </c>
      <c r="H613" s="2" t="s">
        <v>5905</v>
      </c>
      <c r="I613" s="2" t="s">
        <v>5905</v>
      </c>
      <c r="K613" s="2" t="s">
        <v>14967</v>
      </c>
    </row>
    <row r="614">
      <c r="A614" s="2" t="s">
        <v>5726</v>
      </c>
      <c r="B614" s="2" t="s">
        <v>14968</v>
      </c>
      <c r="C614" s="2">
        <v>5.3669616682E10</v>
      </c>
      <c r="D614" s="2" t="s">
        <v>5726</v>
      </c>
      <c r="E614" s="2">
        <v>107439.0</v>
      </c>
      <c r="F614" s="2">
        <v>968.0</v>
      </c>
      <c r="G614" s="2">
        <v>125.0</v>
      </c>
      <c r="H614" s="2" t="s">
        <v>5905</v>
      </c>
      <c r="I614" s="2" t="s">
        <v>5905</v>
      </c>
      <c r="J614" s="2" t="s">
        <v>6699</v>
      </c>
      <c r="K614" s="2" t="s">
        <v>14969</v>
      </c>
      <c r="L614" s="10" t="s">
        <v>14970</v>
      </c>
    </row>
    <row r="615">
      <c r="A615" s="2" t="s">
        <v>5616</v>
      </c>
      <c r="B615" s="2" t="s">
        <v>14971</v>
      </c>
      <c r="C615" s="2">
        <v>2.13719486E8</v>
      </c>
      <c r="D615" s="2" t="s">
        <v>14972</v>
      </c>
      <c r="E615" s="2">
        <v>55670.0</v>
      </c>
      <c r="F615" s="2">
        <v>2110.0</v>
      </c>
      <c r="G615" s="2">
        <v>34.0</v>
      </c>
      <c r="H615" s="2" t="s">
        <v>5906</v>
      </c>
      <c r="I615" s="2" t="s">
        <v>5905</v>
      </c>
      <c r="J615" s="2" t="s">
        <v>5391</v>
      </c>
      <c r="K615" s="2" t="s">
        <v>14973</v>
      </c>
      <c r="L615" s="10" t="s">
        <v>14974</v>
      </c>
    </row>
    <row r="616">
      <c r="A616" s="2" t="s">
        <v>5616</v>
      </c>
      <c r="B616" s="2" t="s">
        <v>14975</v>
      </c>
      <c r="C616" s="2">
        <v>1.518284433E9</v>
      </c>
      <c r="D616" s="2" t="s">
        <v>14976</v>
      </c>
      <c r="E616" s="2">
        <v>5.7096289E7</v>
      </c>
      <c r="F616" s="2">
        <v>8.0</v>
      </c>
      <c r="G616" s="2">
        <v>598.0</v>
      </c>
      <c r="H616" s="2" t="s">
        <v>5906</v>
      </c>
      <c r="I616" s="2" t="s">
        <v>5906</v>
      </c>
      <c r="J616" s="2" t="s">
        <v>5993</v>
      </c>
      <c r="K616" s="2" t="s">
        <v>14977</v>
      </c>
      <c r="L616" s="10" t="s">
        <v>14978</v>
      </c>
    </row>
    <row r="617">
      <c r="A617" s="2" t="s">
        <v>5766</v>
      </c>
      <c r="B617" s="2" t="s">
        <v>14979</v>
      </c>
      <c r="C617" s="2">
        <v>2287787.0</v>
      </c>
      <c r="D617" s="2" t="s">
        <v>14980</v>
      </c>
      <c r="E617" s="2">
        <v>18804.0</v>
      </c>
      <c r="F617" s="2">
        <v>473.0</v>
      </c>
      <c r="G617" s="2">
        <v>1760.0</v>
      </c>
      <c r="H617" s="2" t="s">
        <v>5905</v>
      </c>
      <c r="I617" s="2" t="s">
        <v>5906</v>
      </c>
      <c r="K617" s="2" t="s">
        <v>14981</v>
      </c>
      <c r="L617" s="10" t="s">
        <v>14982</v>
      </c>
    </row>
    <row r="618">
      <c r="A618" s="2" t="s">
        <v>5766</v>
      </c>
      <c r="B618" s="2" t="s">
        <v>14983</v>
      </c>
      <c r="C618" s="2">
        <v>2.175487856E9</v>
      </c>
      <c r="D618" s="2" t="s">
        <v>14984</v>
      </c>
      <c r="E618" s="2">
        <v>69969.0</v>
      </c>
      <c r="F618" s="2">
        <v>601.0</v>
      </c>
      <c r="G618" s="2">
        <v>250.0</v>
      </c>
      <c r="H618" s="2" t="s">
        <v>5906</v>
      </c>
      <c r="I618" s="2" t="s">
        <v>5905</v>
      </c>
      <c r="J618" s="2" t="s">
        <v>6414</v>
      </c>
      <c r="K618" s="2" t="s">
        <v>14985</v>
      </c>
      <c r="L618" s="10" t="s">
        <v>14986</v>
      </c>
    </row>
    <row r="619">
      <c r="A619" s="2" t="s">
        <v>5766</v>
      </c>
      <c r="B619" s="2" t="s">
        <v>14987</v>
      </c>
      <c r="C619" s="2">
        <v>4.9944019E8</v>
      </c>
      <c r="D619" s="2" t="s">
        <v>14988</v>
      </c>
      <c r="E619" s="2">
        <v>1.3020744E7</v>
      </c>
      <c r="F619" s="2">
        <v>123.0</v>
      </c>
      <c r="G619" s="2">
        <v>571.0</v>
      </c>
      <c r="H619" s="2" t="s">
        <v>5906</v>
      </c>
      <c r="I619" s="2" t="s">
        <v>5905</v>
      </c>
      <c r="J619" s="2" t="s">
        <v>8144</v>
      </c>
      <c r="K619" s="2" t="s">
        <v>14989</v>
      </c>
      <c r="L619" s="10" t="s">
        <v>14990</v>
      </c>
    </row>
    <row r="620">
      <c r="A620" s="2" t="s">
        <v>5766</v>
      </c>
      <c r="B620" s="2" t="s">
        <v>14991</v>
      </c>
      <c r="C620" s="2">
        <v>3.209474123E9</v>
      </c>
      <c r="D620" s="2" t="s">
        <v>14992</v>
      </c>
      <c r="E620" s="2">
        <v>1414580.0</v>
      </c>
      <c r="F620" s="2">
        <v>29.0</v>
      </c>
      <c r="G620" s="2">
        <v>1559.0</v>
      </c>
      <c r="H620" s="2" t="s">
        <v>5906</v>
      </c>
      <c r="I620" s="2" t="s">
        <v>5906</v>
      </c>
      <c r="J620" s="2" t="s">
        <v>6124</v>
      </c>
      <c r="K620" s="2" t="s">
        <v>14993</v>
      </c>
      <c r="L620" s="10" t="s">
        <v>14994</v>
      </c>
    </row>
    <row r="621">
      <c r="A621" s="2" t="s">
        <v>5771</v>
      </c>
      <c r="B621" s="2" t="s">
        <v>14995</v>
      </c>
      <c r="C621" s="2">
        <v>1.7356042E8</v>
      </c>
      <c r="D621" s="2" t="s">
        <v>14996</v>
      </c>
      <c r="E621" s="2">
        <v>6.63904942E8</v>
      </c>
      <c r="F621" s="2">
        <v>607.0</v>
      </c>
      <c r="G621" s="2">
        <v>3934.0</v>
      </c>
      <c r="H621" s="2" t="s">
        <v>5906</v>
      </c>
      <c r="I621" s="2" t="s">
        <v>5905</v>
      </c>
      <c r="J621" s="2" t="s">
        <v>8144</v>
      </c>
      <c r="K621" s="2" t="s">
        <v>14997</v>
      </c>
      <c r="L621" s="10" t="s">
        <v>14998</v>
      </c>
    </row>
    <row r="622">
      <c r="A622" s="2" t="s">
        <v>5771</v>
      </c>
      <c r="B622" s="2" t="s">
        <v>14999</v>
      </c>
      <c r="C622" s="2">
        <v>4.2843552642E10</v>
      </c>
      <c r="D622" s="2" t="s">
        <v>5771</v>
      </c>
      <c r="E622" s="2">
        <v>13556.0</v>
      </c>
      <c r="F622" s="2">
        <v>88.0</v>
      </c>
      <c r="G622" s="2">
        <v>206.0</v>
      </c>
      <c r="H622" s="2" t="s">
        <v>5905</v>
      </c>
      <c r="I622" s="2" t="s">
        <v>5906</v>
      </c>
      <c r="J622" s="2" t="s">
        <v>15000</v>
      </c>
      <c r="K622" s="2" t="s">
        <v>15001</v>
      </c>
      <c r="L622" s="10" t="s">
        <v>15002</v>
      </c>
    </row>
    <row r="623">
      <c r="A623" s="2" t="s">
        <v>5771</v>
      </c>
      <c r="B623" s="2" t="s">
        <v>15003</v>
      </c>
      <c r="C623" s="2">
        <v>3.489810224E9</v>
      </c>
      <c r="E623" s="2">
        <v>90070.0</v>
      </c>
      <c r="F623" s="2">
        <v>2144.0</v>
      </c>
      <c r="G623" s="2">
        <v>1542.0</v>
      </c>
      <c r="H623" s="2" t="s">
        <v>5905</v>
      </c>
      <c r="I623" s="2" t="s">
        <v>5905</v>
      </c>
      <c r="J623" s="2" t="s">
        <v>5993</v>
      </c>
    </row>
    <row r="624">
      <c r="A624" s="2" t="s">
        <v>5771</v>
      </c>
      <c r="B624" s="2" t="s">
        <v>15004</v>
      </c>
      <c r="C624" s="2">
        <v>2.04789786E8</v>
      </c>
      <c r="D624" s="2" t="s">
        <v>15005</v>
      </c>
      <c r="E624" s="2">
        <v>342244.0</v>
      </c>
      <c r="F624" s="2">
        <v>872.0</v>
      </c>
      <c r="G624" s="2">
        <v>485.0</v>
      </c>
      <c r="H624" s="2" t="s">
        <v>5906</v>
      </c>
      <c r="I624" s="2" t="s">
        <v>5905</v>
      </c>
      <c r="J624" s="2" t="s">
        <v>6414</v>
      </c>
      <c r="K624" s="2" t="s">
        <v>15006</v>
      </c>
      <c r="L624" s="10" t="s">
        <v>15007</v>
      </c>
    </row>
    <row r="625">
      <c r="A625" s="2" t="s">
        <v>5771</v>
      </c>
      <c r="B625" s="2" t="s">
        <v>15008</v>
      </c>
      <c r="C625" s="2">
        <v>4.98247894E9</v>
      </c>
      <c r="D625" s="2" t="s">
        <v>15009</v>
      </c>
      <c r="E625" s="2">
        <v>42106.0</v>
      </c>
      <c r="F625" s="2">
        <v>1447.0</v>
      </c>
      <c r="G625" s="2">
        <v>320.0</v>
      </c>
      <c r="H625" s="2" t="s">
        <v>5905</v>
      </c>
      <c r="I625" s="2" t="s">
        <v>5905</v>
      </c>
      <c r="J625" s="2" t="s">
        <v>6166</v>
      </c>
      <c r="K625" s="2" t="s">
        <v>15010</v>
      </c>
    </row>
    <row r="626">
      <c r="A626" s="2" t="s">
        <v>5771</v>
      </c>
      <c r="B626" s="2" t="s">
        <v>592</v>
      </c>
      <c r="C626" s="2">
        <v>9.79177642E8</v>
      </c>
      <c r="D626" s="2" t="s">
        <v>15011</v>
      </c>
      <c r="E626" s="2">
        <v>7.7709778E7</v>
      </c>
      <c r="F626" s="2">
        <v>562.0</v>
      </c>
      <c r="G626" s="2">
        <v>3610.0</v>
      </c>
      <c r="H626" s="2" t="s">
        <v>5906</v>
      </c>
      <c r="I626" s="2" t="s">
        <v>5905</v>
      </c>
      <c r="J626" s="2" t="s">
        <v>4397</v>
      </c>
      <c r="K626" s="2" t="s">
        <v>15012</v>
      </c>
      <c r="L626" s="10" t="s">
        <v>15013</v>
      </c>
    </row>
    <row r="627">
      <c r="A627" s="2" t="s">
        <v>5771</v>
      </c>
      <c r="B627" s="2" t="s">
        <v>15014</v>
      </c>
      <c r="C627" s="2">
        <v>5749522.0</v>
      </c>
      <c r="D627" s="2" t="s">
        <v>15015</v>
      </c>
      <c r="E627" s="2">
        <v>2.9281743E7</v>
      </c>
      <c r="F627" s="2">
        <v>3116.0</v>
      </c>
      <c r="G627" s="2">
        <v>1538.0</v>
      </c>
      <c r="H627" s="2" t="s">
        <v>5906</v>
      </c>
      <c r="I627" s="2" t="s">
        <v>5905</v>
      </c>
      <c r="J627" s="2" t="s">
        <v>5391</v>
      </c>
      <c r="K627" s="2" t="s">
        <v>15016</v>
      </c>
    </row>
    <row r="628">
      <c r="A628" s="2" t="s">
        <v>5771</v>
      </c>
      <c r="B628" s="2" t="s">
        <v>15017</v>
      </c>
      <c r="C628" s="2">
        <v>4.035494864E9</v>
      </c>
      <c r="D628" s="2" t="s">
        <v>15018</v>
      </c>
      <c r="E628" s="2">
        <v>659087.0</v>
      </c>
      <c r="F628" s="2">
        <v>993.0</v>
      </c>
      <c r="G628" s="2">
        <v>38.0</v>
      </c>
      <c r="H628" s="2" t="s">
        <v>5906</v>
      </c>
      <c r="I628" s="2" t="s">
        <v>5906</v>
      </c>
      <c r="J628" s="2" t="s">
        <v>8144</v>
      </c>
      <c r="K628" s="2" t="s">
        <v>15019</v>
      </c>
      <c r="L628" s="10" t="s">
        <v>15020</v>
      </c>
    </row>
    <row r="629">
      <c r="A629" s="2" t="s">
        <v>5771</v>
      </c>
      <c r="B629" s="2" t="s">
        <v>15021</v>
      </c>
      <c r="C629" s="2">
        <v>3.46320928E8</v>
      </c>
      <c r="D629" s="2" t="s">
        <v>15022</v>
      </c>
      <c r="E629" s="2">
        <v>1377324.0</v>
      </c>
      <c r="F629" s="2">
        <v>342.0</v>
      </c>
      <c r="G629" s="2">
        <v>2934.0</v>
      </c>
      <c r="H629" s="2" t="s">
        <v>5906</v>
      </c>
      <c r="I629" s="2" t="s">
        <v>5905</v>
      </c>
      <c r="J629" s="2" t="s">
        <v>5959</v>
      </c>
      <c r="K629" s="2" t="s">
        <v>15023</v>
      </c>
      <c r="L629" s="10" t="s">
        <v>15024</v>
      </c>
    </row>
    <row r="630">
      <c r="A630" s="2" t="s">
        <v>5771</v>
      </c>
      <c r="B630" s="2" t="s">
        <v>15025</v>
      </c>
      <c r="C630" s="2">
        <v>1.506265289E9</v>
      </c>
      <c r="D630" s="2" t="s">
        <v>15026</v>
      </c>
      <c r="E630" s="2">
        <v>2234760.0</v>
      </c>
      <c r="F630" s="2">
        <v>571.0</v>
      </c>
      <c r="G630" s="2">
        <v>12.0</v>
      </c>
      <c r="H630" s="2" t="s">
        <v>5906</v>
      </c>
      <c r="I630" s="2" t="s">
        <v>5905</v>
      </c>
      <c r="J630" s="2" t="s">
        <v>6073</v>
      </c>
      <c r="K630" s="2" t="s">
        <v>15027</v>
      </c>
    </row>
    <row r="631">
      <c r="A631" s="2" t="s">
        <v>5753</v>
      </c>
      <c r="B631" s="2" t="s">
        <v>15028</v>
      </c>
      <c r="C631" s="2">
        <v>3.9672294E8</v>
      </c>
      <c r="D631" s="2" t="s">
        <v>15029</v>
      </c>
      <c r="E631" s="2">
        <v>28116.0</v>
      </c>
      <c r="F631" s="2">
        <v>3106.0</v>
      </c>
      <c r="G631" s="2">
        <v>324.0</v>
      </c>
      <c r="H631" s="2" t="s">
        <v>5906</v>
      </c>
      <c r="I631" s="2" t="s">
        <v>5905</v>
      </c>
      <c r="J631" s="2" t="s">
        <v>6414</v>
      </c>
      <c r="K631" s="2" t="s">
        <v>15030</v>
      </c>
      <c r="L631" s="10" t="s">
        <v>15031</v>
      </c>
    </row>
    <row r="632">
      <c r="A632" s="2" t="s">
        <v>5753</v>
      </c>
      <c r="B632" s="2" t="s">
        <v>15032</v>
      </c>
      <c r="C632" s="2">
        <v>2.401909195E9</v>
      </c>
      <c r="D632" s="2" t="s">
        <v>15033</v>
      </c>
      <c r="E632" s="2">
        <v>1854129.0</v>
      </c>
      <c r="F632" s="2">
        <v>331.0</v>
      </c>
      <c r="G632" s="2">
        <v>6154.0</v>
      </c>
      <c r="H632" s="2" t="s">
        <v>5906</v>
      </c>
      <c r="I632" s="2" t="s">
        <v>5906</v>
      </c>
      <c r="J632" s="2" t="s">
        <v>6124</v>
      </c>
      <c r="K632" s="2" t="s">
        <v>15034</v>
      </c>
      <c r="L632" s="10" t="s">
        <v>15035</v>
      </c>
    </row>
    <row r="633">
      <c r="A633" s="2" t="s">
        <v>5753</v>
      </c>
      <c r="B633" s="2" t="s">
        <v>15036</v>
      </c>
      <c r="C633" s="2">
        <v>2.144201112E9</v>
      </c>
      <c r="D633" s="2" t="s">
        <v>15037</v>
      </c>
      <c r="E633" s="2">
        <v>970631.0</v>
      </c>
      <c r="F633" s="2">
        <v>275.0</v>
      </c>
      <c r="G633" s="2">
        <v>72.0</v>
      </c>
      <c r="H633" s="2" t="s">
        <v>5906</v>
      </c>
      <c r="I633" s="2" t="s">
        <v>5906</v>
      </c>
      <c r="J633" s="2" t="s">
        <v>8604</v>
      </c>
      <c r="K633" s="2" t="s">
        <v>15038</v>
      </c>
      <c r="L633" s="10" t="s">
        <v>15039</v>
      </c>
    </row>
    <row r="634">
      <c r="A634" s="2" t="s">
        <v>5753</v>
      </c>
      <c r="B634" s="2" t="s">
        <v>15040</v>
      </c>
      <c r="C634" s="2">
        <v>1.666324992E9</v>
      </c>
      <c r="D634" s="2" t="s">
        <v>15041</v>
      </c>
      <c r="E634" s="2">
        <v>4801576.0</v>
      </c>
      <c r="F634" s="2">
        <v>768.0</v>
      </c>
      <c r="G634" s="2">
        <v>5769.0</v>
      </c>
      <c r="H634" s="2" t="s">
        <v>5906</v>
      </c>
      <c r="I634" s="2" t="s">
        <v>5906</v>
      </c>
      <c r="J634" s="2" t="s">
        <v>13634</v>
      </c>
      <c r="K634" s="2" t="s">
        <v>15042</v>
      </c>
      <c r="L634" s="10" t="s">
        <v>15043</v>
      </c>
    </row>
    <row r="635">
      <c r="A635" s="2" t="s">
        <v>5602</v>
      </c>
      <c r="B635" s="2" t="s">
        <v>15044</v>
      </c>
      <c r="C635" s="2">
        <v>5.77506137E9</v>
      </c>
      <c r="D635" s="2" t="s">
        <v>15045</v>
      </c>
      <c r="E635" s="2">
        <v>63440.0</v>
      </c>
      <c r="F635" s="2">
        <v>6137.0</v>
      </c>
      <c r="G635" s="2">
        <v>534.0</v>
      </c>
      <c r="H635" s="2" t="s">
        <v>5905</v>
      </c>
      <c r="I635" s="2" t="s">
        <v>5905</v>
      </c>
      <c r="J635" s="2" t="s">
        <v>5391</v>
      </c>
      <c r="K635" s="2" t="s">
        <v>15046</v>
      </c>
      <c r="L635" s="10" t="s">
        <v>15047</v>
      </c>
    </row>
    <row r="636">
      <c r="A636" s="2" t="s">
        <v>5602</v>
      </c>
      <c r="B636" s="2" t="s">
        <v>15048</v>
      </c>
      <c r="C636" s="2">
        <v>1.3357946E7</v>
      </c>
      <c r="D636" s="2" t="s">
        <v>5602</v>
      </c>
      <c r="E636" s="2">
        <v>471877.0</v>
      </c>
      <c r="F636" s="2">
        <v>40.0</v>
      </c>
      <c r="G636" s="2">
        <v>137.0</v>
      </c>
      <c r="H636" s="2" t="s">
        <v>5906</v>
      </c>
      <c r="I636" s="2" t="s">
        <v>5905</v>
      </c>
      <c r="J636" s="2" t="s">
        <v>5391</v>
      </c>
      <c r="K636" s="2" t="s">
        <v>15049</v>
      </c>
      <c r="L636" s="10" t="s">
        <v>15050</v>
      </c>
    </row>
    <row r="637">
      <c r="A637" s="2" t="s">
        <v>5602</v>
      </c>
      <c r="B637" s="2" t="s">
        <v>15051</v>
      </c>
      <c r="C637" s="2">
        <v>1745007.0</v>
      </c>
      <c r="D637" s="2" t="s">
        <v>5602</v>
      </c>
      <c r="E637" s="2">
        <v>20566.0</v>
      </c>
      <c r="F637" s="2">
        <v>3972.0</v>
      </c>
      <c r="G637" s="2">
        <v>1907.0</v>
      </c>
      <c r="H637" s="2" t="s">
        <v>5905</v>
      </c>
      <c r="I637" s="2" t="s">
        <v>5906</v>
      </c>
      <c r="K637" s="2" t="s">
        <v>15052</v>
      </c>
    </row>
    <row r="638">
      <c r="A638" s="2" t="s">
        <v>5602</v>
      </c>
      <c r="B638" s="2" t="s">
        <v>15053</v>
      </c>
      <c r="C638" s="2">
        <v>3.213415546E9</v>
      </c>
      <c r="D638" s="2" t="s">
        <v>5602</v>
      </c>
      <c r="E638" s="2">
        <v>11664.0</v>
      </c>
      <c r="F638" s="2">
        <v>857.0</v>
      </c>
      <c r="G638" s="2">
        <v>126.0</v>
      </c>
      <c r="H638" s="2" t="s">
        <v>5905</v>
      </c>
      <c r="I638" s="2" t="s">
        <v>5905</v>
      </c>
    </row>
    <row r="639">
      <c r="A639" s="2" t="s">
        <v>5646</v>
      </c>
      <c r="B639" s="2" t="s">
        <v>15054</v>
      </c>
      <c r="C639" s="2">
        <v>3.4659391E7</v>
      </c>
      <c r="D639" s="2" t="s">
        <v>15055</v>
      </c>
      <c r="E639" s="2">
        <v>154892.0</v>
      </c>
      <c r="F639" s="2">
        <v>1493.0</v>
      </c>
      <c r="G639" s="2">
        <v>3836.0</v>
      </c>
      <c r="H639" s="2" t="s">
        <v>5906</v>
      </c>
      <c r="I639" s="2" t="s">
        <v>5905</v>
      </c>
      <c r="J639" s="2" t="s">
        <v>5391</v>
      </c>
      <c r="K639" s="2" t="s">
        <v>15056</v>
      </c>
    </row>
    <row r="640">
      <c r="A640" s="2" t="s">
        <v>5646</v>
      </c>
      <c r="B640" s="2" t="s">
        <v>15057</v>
      </c>
      <c r="C640" s="2">
        <v>1.0698573E7</v>
      </c>
      <c r="D640" s="2" t="s">
        <v>15058</v>
      </c>
      <c r="E640" s="2">
        <v>98931.0</v>
      </c>
      <c r="F640" s="2">
        <v>2522.0</v>
      </c>
      <c r="G640" s="2">
        <v>1270.0</v>
      </c>
      <c r="H640" s="2" t="s">
        <v>5906</v>
      </c>
      <c r="I640" s="2" t="s">
        <v>5906</v>
      </c>
      <c r="J640" s="2" t="s">
        <v>5959</v>
      </c>
      <c r="K640" s="2" t="s">
        <v>15059</v>
      </c>
      <c r="L640" s="10" t="s">
        <v>15060</v>
      </c>
    </row>
    <row r="641">
      <c r="A641" s="2" t="s">
        <v>5618</v>
      </c>
      <c r="B641" s="2" t="s">
        <v>15061</v>
      </c>
      <c r="C641" s="2">
        <v>9.386405288E9</v>
      </c>
      <c r="D641" s="2" t="s">
        <v>15062</v>
      </c>
      <c r="E641" s="2">
        <v>36514.0</v>
      </c>
      <c r="F641" s="2">
        <v>970.0</v>
      </c>
      <c r="G641" s="2">
        <v>52.0</v>
      </c>
      <c r="H641" s="2" t="s">
        <v>5906</v>
      </c>
      <c r="I641" s="2" t="s">
        <v>5905</v>
      </c>
      <c r="J641" s="2" t="s">
        <v>11730</v>
      </c>
      <c r="K641" s="2" t="s">
        <v>15063</v>
      </c>
      <c r="L641" s="10" t="s">
        <v>15064</v>
      </c>
    </row>
    <row r="642">
      <c r="A642" s="2" t="s">
        <v>5645</v>
      </c>
      <c r="B642" s="2" t="s">
        <v>15065</v>
      </c>
      <c r="C642" s="2">
        <v>2.0650809E7</v>
      </c>
      <c r="D642" s="2" t="s">
        <v>15066</v>
      </c>
      <c r="E642" s="2">
        <v>3584497.0</v>
      </c>
      <c r="F642" s="2">
        <v>1374.0</v>
      </c>
      <c r="G642" s="2">
        <v>814.0</v>
      </c>
      <c r="H642" s="2" t="s">
        <v>5906</v>
      </c>
      <c r="I642" s="2" t="s">
        <v>5905</v>
      </c>
      <c r="J642" s="2" t="s">
        <v>5959</v>
      </c>
      <c r="K642" s="2" t="s">
        <v>15067</v>
      </c>
    </row>
    <row r="643">
      <c r="A643" s="2" t="s">
        <v>5645</v>
      </c>
      <c r="B643" s="2" t="s">
        <v>15068</v>
      </c>
      <c r="C643" s="2">
        <v>1.7063691071E10</v>
      </c>
      <c r="D643" s="2" t="s">
        <v>15069</v>
      </c>
      <c r="E643" s="2">
        <v>12464.0</v>
      </c>
      <c r="F643" s="2">
        <v>1105.0</v>
      </c>
      <c r="G643" s="2">
        <v>80.0</v>
      </c>
      <c r="H643" s="2" t="s">
        <v>5905</v>
      </c>
      <c r="I643" s="2" t="s">
        <v>5905</v>
      </c>
      <c r="J643" s="2" t="s">
        <v>5928</v>
      </c>
      <c r="K643" s="2" t="s">
        <v>15070</v>
      </c>
      <c r="L643" s="10" t="s">
        <v>15071</v>
      </c>
    </row>
    <row r="644">
      <c r="A644" s="2" t="s">
        <v>5739</v>
      </c>
      <c r="B644" s="2" t="s">
        <v>15072</v>
      </c>
      <c r="C644" s="2">
        <v>2.1687210178E10</v>
      </c>
      <c r="D644" s="2" t="s">
        <v>5739</v>
      </c>
      <c r="E644" s="2">
        <v>7481604.0</v>
      </c>
      <c r="F644" s="2">
        <v>138.0</v>
      </c>
      <c r="G644" s="2">
        <v>687.0</v>
      </c>
      <c r="H644" s="2" t="s">
        <v>5906</v>
      </c>
      <c r="I644" s="2" t="s">
        <v>5905</v>
      </c>
      <c r="J644" s="2" t="s">
        <v>6592</v>
      </c>
      <c r="K644" s="2" t="s">
        <v>15073</v>
      </c>
    </row>
    <row r="645">
      <c r="A645" s="2" t="s">
        <v>5739</v>
      </c>
      <c r="B645" s="2" t="s">
        <v>15074</v>
      </c>
      <c r="C645" s="2">
        <v>5.4105398E7</v>
      </c>
      <c r="D645" s="2" t="s">
        <v>15075</v>
      </c>
      <c r="E645" s="2">
        <v>1528313.0</v>
      </c>
      <c r="F645" s="2">
        <v>633.0</v>
      </c>
      <c r="G645" s="2">
        <v>10502.0</v>
      </c>
      <c r="H645" s="2" t="s">
        <v>5906</v>
      </c>
      <c r="I645" s="2" t="s">
        <v>5906</v>
      </c>
      <c r="J645" s="2" t="s">
        <v>6199</v>
      </c>
      <c r="K645" s="2" t="s">
        <v>15076</v>
      </c>
      <c r="L645" s="10" t="s">
        <v>15077</v>
      </c>
    </row>
    <row r="646">
      <c r="A646" s="2" t="s">
        <v>5739</v>
      </c>
      <c r="B646" s="2" t="s">
        <v>15078</v>
      </c>
      <c r="C646" s="2">
        <v>3.98444118E8</v>
      </c>
      <c r="D646" s="2" t="s">
        <v>5739</v>
      </c>
      <c r="E646" s="2">
        <v>1.0423978E7</v>
      </c>
      <c r="F646" s="2">
        <v>2319.0</v>
      </c>
      <c r="G646" s="2">
        <v>774.0</v>
      </c>
      <c r="H646" s="2" t="s">
        <v>5906</v>
      </c>
      <c r="I646" s="2" t="s">
        <v>5905</v>
      </c>
      <c r="J646" s="2" t="s">
        <v>8838</v>
      </c>
      <c r="L646" s="10" t="s">
        <v>15079</v>
      </c>
    </row>
    <row r="647">
      <c r="A647" s="2" t="s">
        <v>5775</v>
      </c>
      <c r="B647" s="2" t="s">
        <v>15080</v>
      </c>
      <c r="C647" s="2">
        <v>2.6802797495E10</v>
      </c>
      <c r="D647" s="2" t="s">
        <v>5775</v>
      </c>
      <c r="E647" s="2">
        <v>894265.0</v>
      </c>
      <c r="F647" s="2">
        <v>384.0</v>
      </c>
      <c r="G647" s="2">
        <v>528.0</v>
      </c>
      <c r="H647" s="2" t="s">
        <v>5905</v>
      </c>
      <c r="I647" s="2" t="s">
        <v>5905</v>
      </c>
      <c r="J647" s="2" t="s">
        <v>5959</v>
      </c>
      <c r="K647" s="2" t="s">
        <v>15081</v>
      </c>
      <c r="L647" s="10" t="s">
        <v>15082</v>
      </c>
    </row>
    <row r="648">
      <c r="A648" s="2" t="s">
        <v>5691</v>
      </c>
      <c r="B648" s="2" t="s">
        <v>15083</v>
      </c>
      <c r="C648" s="2">
        <v>6.0800640795E10</v>
      </c>
      <c r="E648" s="2">
        <v>15216.0</v>
      </c>
      <c r="F648" s="2">
        <v>946.0</v>
      </c>
      <c r="G648" s="2">
        <v>3.0</v>
      </c>
      <c r="H648" s="2" t="s">
        <v>5905</v>
      </c>
      <c r="I648" s="2" t="s">
        <v>5905</v>
      </c>
      <c r="K648" s="2" t="s">
        <v>15084</v>
      </c>
    </row>
    <row r="649">
      <c r="A649" s="2" t="s">
        <v>5691</v>
      </c>
      <c r="B649" s="2" t="s">
        <v>15085</v>
      </c>
      <c r="C649" s="2">
        <v>2.12742998E8</v>
      </c>
      <c r="D649" s="2" t="s">
        <v>15086</v>
      </c>
      <c r="E649" s="2">
        <v>7.0647366E7</v>
      </c>
      <c r="F649" s="2">
        <v>1665.0</v>
      </c>
      <c r="G649" s="2">
        <v>2691.0</v>
      </c>
      <c r="H649" s="2" t="s">
        <v>5906</v>
      </c>
      <c r="I649" s="2" t="s">
        <v>5905</v>
      </c>
      <c r="J649" s="2" t="s">
        <v>6628</v>
      </c>
      <c r="K649" s="2" t="s">
        <v>15087</v>
      </c>
      <c r="L649" s="10" t="s">
        <v>15088</v>
      </c>
    </row>
    <row r="650">
      <c r="A650" s="2" t="s">
        <v>5691</v>
      </c>
      <c r="B650" s="2" t="s">
        <v>15089</v>
      </c>
      <c r="C650" s="2">
        <v>1.104895224E9</v>
      </c>
      <c r="D650" s="2" t="s">
        <v>15090</v>
      </c>
      <c r="E650" s="2">
        <v>221712.0</v>
      </c>
      <c r="F650" s="2">
        <v>431.0</v>
      </c>
      <c r="G650" s="2">
        <v>85.0</v>
      </c>
      <c r="H650" s="2" t="s">
        <v>5905</v>
      </c>
      <c r="I650" s="2" t="s">
        <v>5905</v>
      </c>
      <c r="J650" s="2" t="s">
        <v>5959</v>
      </c>
      <c r="K650" s="2" t="s">
        <v>15091</v>
      </c>
      <c r="L650" s="10" t="s">
        <v>15092</v>
      </c>
    </row>
    <row r="651">
      <c r="A651" s="2" t="s">
        <v>5687</v>
      </c>
      <c r="B651" s="2" t="s">
        <v>15093</v>
      </c>
      <c r="C651" s="2">
        <v>2.2746792E7</v>
      </c>
      <c r="D651" s="2" t="s">
        <v>15094</v>
      </c>
      <c r="E651" s="2">
        <v>121238.0</v>
      </c>
      <c r="F651" s="2">
        <v>2706.0</v>
      </c>
      <c r="G651" s="2">
        <v>2881.0</v>
      </c>
      <c r="H651" s="2" t="s">
        <v>5906</v>
      </c>
      <c r="I651" s="2" t="s">
        <v>5906</v>
      </c>
      <c r="J651" s="2" t="s">
        <v>8144</v>
      </c>
      <c r="K651" s="2" t="s">
        <v>15095</v>
      </c>
      <c r="L651" s="10" t="s">
        <v>15096</v>
      </c>
    </row>
    <row r="652">
      <c r="A652" s="2" t="s">
        <v>5687</v>
      </c>
      <c r="B652" s="2" t="s">
        <v>15097</v>
      </c>
      <c r="C652" s="2">
        <v>1.08714E7</v>
      </c>
      <c r="D652" s="2" t="s">
        <v>15098</v>
      </c>
      <c r="E652" s="2">
        <v>4064433.0</v>
      </c>
      <c r="F652" s="2">
        <v>352.0</v>
      </c>
      <c r="G652" s="2">
        <v>1273.0</v>
      </c>
      <c r="H652" s="2" t="s">
        <v>5906</v>
      </c>
      <c r="I652" s="2" t="s">
        <v>5905</v>
      </c>
      <c r="J652" s="2" t="s">
        <v>8604</v>
      </c>
      <c r="K652" s="2" t="s">
        <v>15099</v>
      </c>
      <c r="L652" s="10" t="s">
        <v>15100</v>
      </c>
    </row>
    <row r="653">
      <c r="A653" s="2" t="s">
        <v>5687</v>
      </c>
      <c r="B653" s="2" t="s">
        <v>15101</v>
      </c>
      <c r="C653" s="2">
        <v>5610350.0</v>
      </c>
      <c r="D653" s="2" t="s">
        <v>15102</v>
      </c>
      <c r="E653" s="2">
        <v>399523.0</v>
      </c>
      <c r="F653" s="2">
        <v>836.0</v>
      </c>
      <c r="G653" s="2">
        <v>19.0</v>
      </c>
      <c r="H653" s="2" t="s">
        <v>5906</v>
      </c>
      <c r="I653" s="2" t="s">
        <v>5905</v>
      </c>
      <c r="J653" s="2" t="s">
        <v>5993</v>
      </c>
      <c r="L653" s="10" t="s">
        <v>15103</v>
      </c>
    </row>
    <row r="654">
      <c r="A654" s="2" t="s">
        <v>5687</v>
      </c>
      <c r="B654" s="2" t="s">
        <v>15104</v>
      </c>
      <c r="C654" s="2">
        <v>4.8646277718E10</v>
      </c>
      <c r="D654" s="2" t="s">
        <v>15105</v>
      </c>
      <c r="E654" s="2">
        <v>3016397.0</v>
      </c>
      <c r="F654" s="2">
        <v>201.0</v>
      </c>
      <c r="G654" s="2">
        <v>45.0</v>
      </c>
      <c r="H654" s="2" t="s">
        <v>5905</v>
      </c>
      <c r="I654" s="2" t="s">
        <v>5905</v>
      </c>
      <c r="J654" s="2" t="s">
        <v>6111</v>
      </c>
      <c r="K654" s="2" t="s">
        <v>15106</v>
      </c>
      <c r="L654" s="10" t="s">
        <v>15107</v>
      </c>
    </row>
    <row r="655">
      <c r="A655" s="2" t="s">
        <v>5660</v>
      </c>
      <c r="B655" s="2" t="s">
        <v>15108</v>
      </c>
      <c r="C655" s="2">
        <v>3.67429125E8</v>
      </c>
      <c r="D655" s="2" t="s">
        <v>15109</v>
      </c>
      <c r="E655" s="2">
        <v>237392.0</v>
      </c>
      <c r="F655" s="2">
        <v>733.0</v>
      </c>
      <c r="G655" s="2">
        <v>588.0</v>
      </c>
      <c r="H655" s="2" t="s">
        <v>5906</v>
      </c>
      <c r="I655" s="2" t="s">
        <v>5905</v>
      </c>
      <c r="J655" s="2" t="s">
        <v>5959</v>
      </c>
      <c r="K655" s="2" t="s">
        <v>15110</v>
      </c>
      <c r="L655" s="10" t="s">
        <v>15111</v>
      </c>
    </row>
    <row r="656">
      <c r="A656" s="2" t="s">
        <v>5782</v>
      </c>
      <c r="B656" s="2" t="s">
        <v>15112</v>
      </c>
      <c r="C656" s="2">
        <v>5.3837386E7</v>
      </c>
      <c r="D656" s="2" t="s">
        <v>15113</v>
      </c>
      <c r="E656" s="2">
        <v>599079.0</v>
      </c>
      <c r="F656" s="2">
        <v>1105.0</v>
      </c>
      <c r="G656" s="2">
        <v>408.0</v>
      </c>
      <c r="H656" s="2" t="s">
        <v>5906</v>
      </c>
      <c r="I656" s="2" t="s">
        <v>5905</v>
      </c>
      <c r="J656" s="2" t="s">
        <v>5391</v>
      </c>
      <c r="K656" s="2" t="s">
        <v>15114</v>
      </c>
      <c r="L656" s="10" t="s">
        <v>15115</v>
      </c>
    </row>
    <row r="657">
      <c r="A657" s="2" t="s">
        <v>5782</v>
      </c>
      <c r="B657" s="2" t="s">
        <v>15116</v>
      </c>
      <c r="C657" s="2">
        <v>2.2380108321E10</v>
      </c>
      <c r="D657" s="2" t="s">
        <v>5782</v>
      </c>
      <c r="E657" s="2">
        <v>433234.0</v>
      </c>
      <c r="F657" s="2">
        <v>61.0</v>
      </c>
      <c r="G657" s="2">
        <v>414.0</v>
      </c>
      <c r="H657" s="2" t="s">
        <v>5905</v>
      </c>
      <c r="I657" s="2" t="s">
        <v>5905</v>
      </c>
      <c r="J657" s="2" t="s">
        <v>8604</v>
      </c>
      <c r="L657" s="10" t="s">
        <v>15117</v>
      </c>
    </row>
    <row r="658">
      <c r="A658" s="2" t="s">
        <v>5678</v>
      </c>
      <c r="B658" s="2" t="s">
        <v>15118</v>
      </c>
      <c r="C658" s="2">
        <v>2.7132185E7</v>
      </c>
      <c r="D658" s="2" t="s">
        <v>15119</v>
      </c>
      <c r="E658" s="2">
        <v>32362.0</v>
      </c>
      <c r="F658" s="2">
        <v>1325.0</v>
      </c>
      <c r="G658" s="2">
        <v>364.0</v>
      </c>
      <c r="H658" s="2" t="s">
        <v>5906</v>
      </c>
      <c r="I658" s="2" t="s">
        <v>5905</v>
      </c>
    </row>
    <row r="659">
      <c r="A659" s="2" t="s">
        <v>5678</v>
      </c>
      <c r="B659" s="2" t="s">
        <v>15120</v>
      </c>
      <c r="C659" s="2">
        <v>1.9099431E7</v>
      </c>
      <c r="D659" s="2" t="s">
        <v>5678</v>
      </c>
      <c r="E659" s="2">
        <v>697506.0</v>
      </c>
      <c r="F659" s="2">
        <v>1630.0</v>
      </c>
      <c r="G659" s="2">
        <v>1666.0</v>
      </c>
      <c r="H659" s="2" t="s">
        <v>5906</v>
      </c>
      <c r="I659" s="2" t="s">
        <v>5906</v>
      </c>
      <c r="K659" s="2" t="s">
        <v>15121</v>
      </c>
      <c r="L659" s="10" t="s">
        <v>15122</v>
      </c>
    </row>
    <row r="660">
      <c r="A660" s="2" t="s">
        <v>5678</v>
      </c>
      <c r="B660" s="2" t="s">
        <v>15123</v>
      </c>
      <c r="C660" s="2">
        <v>1.45421595E9</v>
      </c>
      <c r="D660" s="2" t="s">
        <v>5678</v>
      </c>
      <c r="E660" s="2">
        <v>482353.0</v>
      </c>
      <c r="F660" s="2">
        <v>644.0</v>
      </c>
      <c r="G660" s="2">
        <v>1222.0</v>
      </c>
      <c r="H660" s="2" t="s">
        <v>5906</v>
      </c>
      <c r="I660" s="2" t="s">
        <v>5905</v>
      </c>
      <c r="J660" s="2" t="s">
        <v>6414</v>
      </c>
      <c r="K660" s="2" t="s">
        <v>15124</v>
      </c>
      <c r="L660" s="10" t="s">
        <v>15125</v>
      </c>
    </row>
    <row r="661">
      <c r="A661" s="2" t="s">
        <v>5702</v>
      </c>
      <c r="B661" s="2" t="s">
        <v>15126</v>
      </c>
      <c r="C661" s="2">
        <v>1.886981E7</v>
      </c>
      <c r="D661" s="2" t="s">
        <v>15127</v>
      </c>
      <c r="E661" s="2">
        <v>4444534.0</v>
      </c>
      <c r="F661" s="2">
        <v>1416.0</v>
      </c>
      <c r="G661" s="2">
        <v>2856.0</v>
      </c>
      <c r="H661" s="2" t="s">
        <v>5906</v>
      </c>
      <c r="I661" s="2" t="s">
        <v>5905</v>
      </c>
      <c r="J661" s="2" t="s">
        <v>5391</v>
      </c>
      <c r="K661" s="2" t="s">
        <v>15128</v>
      </c>
      <c r="L661" s="10" t="s">
        <v>15129</v>
      </c>
    </row>
    <row r="662">
      <c r="A662" s="2" t="s">
        <v>5688</v>
      </c>
      <c r="B662" s="2" t="s">
        <v>4553</v>
      </c>
      <c r="C662" s="2">
        <v>2.68481E7</v>
      </c>
      <c r="D662" s="2" t="s">
        <v>15130</v>
      </c>
      <c r="E662" s="2">
        <v>1334092.0</v>
      </c>
      <c r="F662" s="2">
        <v>304.0</v>
      </c>
      <c r="G662" s="2">
        <v>4794.0</v>
      </c>
      <c r="H662" s="2" t="s">
        <v>5906</v>
      </c>
      <c r="I662" s="2" t="s">
        <v>5906</v>
      </c>
      <c r="K662" s="2" t="s">
        <v>15131</v>
      </c>
      <c r="L662" s="10" t="s">
        <v>15132</v>
      </c>
    </row>
    <row r="663">
      <c r="A663" s="2" t="s">
        <v>5688</v>
      </c>
      <c r="B663" s="2" t="s">
        <v>15133</v>
      </c>
      <c r="C663" s="2">
        <v>8140453.0</v>
      </c>
      <c r="D663" s="2" t="s">
        <v>15134</v>
      </c>
      <c r="E663" s="2">
        <v>2.5131055E7</v>
      </c>
      <c r="F663" s="2">
        <v>859.0</v>
      </c>
      <c r="G663" s="2">
        <v>559.0</v>
      </c>
      <c r="H663" s="2" t="s">
        <v>5906</v>
      </c>
      <c r="I663" s="2" t="s">
        <v>5905</v>
      </c>
      <c r="J663" s="2" t="s">
        <v>8838</v>
      </c>
      <c r="K663" s="2" t="s">
        <v>15135</v>
      </c>
    </row>
    <row r="664">
      <c r="A664" s="2" t="s">
        <v>5649</v>
      </c>
      <c r="B664" s="2" t="s">
        <v>15136</v>
      </c>
      <c r="C664" s="2">
        <v>5324.0</v>
      </c>
      <c r="D664" s="2" t="s">
        <v>15137</v>
      </c>
      <c r="E664" s="2">
        <v>26425.0</v>
      </c>
      <c r="F664" s="2">
        <v>521.0</v>
      </c>
      <c r="G664" s="2">
        <v>706.0</v>
      </c>
      <c r="H664" s="2" t="s">
        <v>5905</v>
      </c>
      <c r="I664" s="2" t="s">
        <v>5905</v>
      </c>
      <c r="J664" s="2" t="s">
        <v>5993</v>
      </c>
      <c r="K664" s="2" t="s">
        <v>15138</v>
      </c>
    </row>
    <row r="665">
      <c r="A665" s="2" t="s">
        <v>5649</v>
      </c>
      <c r="B665" s="2" t="s">
        <v>15139</v>
      </c>
      <c r="C665" s="2">
        <v>3.82179651E8</v>
      </c>
      <c r="D665" s="2" t="s">
        <v>15140</v>
      </c>
      <c r="E665" s="2">
        <v>13152.0</v>
      </c>
      <c r="F665" s="2">
        <v>1851.0</v>
      </c>
      <c r="G665" s="2">
        <v>84.0</v>
      </c>
      <c r="H665" s="2" t="s">
        <v>5905</v>
      </c>
      <c r="I665" s="2" t="s">
        <v>5905</v>
      </c>
      <c r="J665" s="2" t="s">
        <v>5993</v>
      </c>
    </row>
    <row r="666">
      <c r="A666" s="2" t="s">
        <v>5649</v>
      </c>
      <c r="B666" s="2" t="s">
        <v>15141</v>
      </c>
      <c r="C666" s="2">
        <v>1.1830955E7</v>
      </c>
      <c r="D666" s="2" t="s">
        <v>15142</v>
      </c>
      <c r="E666" s="2">
        <v>2.82199764E8</v>
      </c>
      <c r="F666" s="2">
        <v>0.0</v>
      </c>
      <c r="G666" s="2">
        <v>687.0</v>
      </c>
      <c r="H666" s="2" t="s">
        <v>5906</v>
      </c>
      <c r="I666" s="2" t="s">
        <v>5905</v>
      </c>
      <c r="J666" s="2" t="s">
        <v>6628</v>
      </c>
      <c r="K666" s="2" t="s">
        <v>15143</v>
      </c>
      <c r="L666" s="10" t="s">
        <v>15144</v>
      </c>
    </row>
    <row r="667">
      <c r="A667" s="2" t="s">
        <v>5649</v>
      </c>
      <c r="B667" s="2" t="s">
        <v>15145</v>
      </c>
      <c r="C667" s="2">
        <v>1.334117948E9</v>
      </c>
      <c r="D667" s="2" t="s">
        <v>15146</v>
      </c>
      <c r="E667" s="2">
        <v>870419.0</v>
      </c>
      <c r="F667" s="2">
        <v>118.0</v>
      </c>
      <c r="G667" s="2">
        <v>69.0</v>
      </c>
      <c r="H667" s="2" t="s">
        <v>5905</v>
      </c>
      <c r="I667" s="2" t="s">
        <v>5906</v>
      </c>
      <c r="J667" s="2" t="s">
        <v>6032</v>
      </c>
      <c r="K667" s="2" t="s">
        <v>15147</v>
      </c>
      <c r="L667" s="10" t="s">
        <v>15148</v>
      </c>
    </row>
    <row r="668">
      <c r="A668" s="2" t="s">
        <v>5774</v>
      </c>
      <c r="B668" s="2" t="s">
        <v>15149</v>
      </c>
      <c r="C668" s="2">
        <v>2.247108191E9</v>
      </c>
      <c r="D668" s="2" t="s">
        <v>15150</v>
      </c>
      <c r="E668" s="2">
        <v>383849.0</v>
      </c>
      <c r="F668" s="2">
        <v>741.0</v>
      </c>
      <c r="G668" s="2">
        <v>64.0</v>
      </c>
      <c r="H668" s="2" t="s">
        <v>5906</v>
      </c>
      <c r="I668" s="2" t="s">
        <v>5905</v>
      </c>
      <c r="J668" s="2" t="s">
        <v>8838</v>
      </c>
      <c r="K668" s="2" t="s">
        <v>15151</v>
      </c>
    </row>
    <row r="669">
      <c r="A669" s="2" t="s">
        <v>5774</v>
      </c>
      <c r="B669" s="2" t="s">
        <v>15152</v>
      </c>
      <c r="C669" s="2">
        <v>1.7394965E8</v>
      </c>
      <c r="D669" s="2" t="s">
        <v>15153</v>
      </c>
      <c r="E669" s="2">
        <v>2306622.0</v>
      </c>
      <c r="F669" s="2">
        <v>2063.0</v>
      </c>
      <c r="G669" s="2">
        <v>5609.0</v>
      </c>
      <c r="H669" s="2" t="s">
        <v>5906</v>
      </c>
      <c r="I669" s="2" t="s">
        <v>5905</v>
      </c>
      <c r="J669" s="2" t="s">
        <v>6414</v>
      </c>
      <c r="K669" s="2" t="s">
        <v>15154</v>
      </c>
      <c r="L669" s="10" t="s">
        <v>15155</v>
      </c>
    </row>
    <row r="670">
      <c r="A670" s="2" t="s">
        <v>5609</v>
      </c>
      <c r="B670" s="2" t="s">
        <v>15156</v>
      </c>
      <c r="C670" s="2">
        <v>1.81861901E8</v>
      </c>
      <c r="D670" s="2" t="s">
        <v>15157</v>
      </c>
      <c r="E670" s="2">
        <v>29276.0</v>
      </c>
      <c r="F670" s="2">
        <v>434.0</v>
      </c>
      <c r="G670" s="2">
        <v>254.0</v>
      </c>
      <c r="H670" s="2" t="s">
        <v>5905</v>
      </c>
      <c r="I670" s="2" t="s">
        <v>5905</v>
      </c>
      <c r="J670" s="2" t="s">
        <v>6414</v>
      </c>
      <c r="K670" s="2" t="s">
        <v>15158</v>
      </c>
      <c r="L670" s="10" t="s">
        <v>15159</v>
      </c>
    </row>
    <row r="671">
      <c r="A671" s="2" t="s">
        <v>5609</v>
      </c>
      <c r="B671" s="2" t="s">
        <v>15160</v>
      </c>
      <c r="C671" s="2">
        <v>7.976140272E9</v>
      </c>
      <c r="D671" s="2" t="s">
        <v>15161</v>
      </c>
      <c r="E671" s="2">
        <v>26355.0</v>
      </c>
      <c r="F671" s="2">
        <v>1919.0</v>
      </c>
      <c r="G671" s="2">
        <v>5.0</v>
      </c>
      <c r="H671" s="2" t="s">
        <v>5905</v>
      </c>
      <c r="I671" s="2" t="s">
        <v>5905</v>
      </c>
      <c r="J671" s="2" t="s">
        <v>5928</v>
      </c>
      <c r="K671" s="2" t="s">
        <v>15162</v>
      </c>
      <c r="L671" s="10" t="s">
        <v>15163</v>
      </c>
    </row>
    <row r="672">
      <c r="A672" s="2" t="s">
        <v>5780</v>
      </c>
      <c r="B672" s="2" t="s">
        <v>15164</v>
      </c>
      <c r="C672" s="2">
        <v>5.78587483E8</v>
      </c>
      <c r="D672" s="2" t="s">
        <v>15165</v>
      </c>
      <c r="E672" s="2">
        <v>39503.0</v>
      </c>
      <c r="F672" s="2">
        <v>386.0</v>
      </c>
      <c r="G672" s="2">
        <v>502.0</v>
      </c>
      <c r="H672" s="2" t="s">
        <v>5905</v>
      </c>
      <c r="I672" s="2" t="s">
        <v>5905</v>
      </c>
      <c r="J672" s="2" t="s">
        <v>5993</v>
      </c>
      <c r="K672" s="2" t="s">
        <v>15166</v>
      </c>
      <c r="L672" s="10" t="s">
        <v>15167</v>
      </c>
    </row>
    <row r="673">
      <c r="A673" s="2" t="s">
        <v>5780</v>
      </c>
      <c r="B673" s="2" t="s">
        <v>15168</v>
      </c>
      <c r="C673" s="2">
        <v>8873242.0</v>
      </c>
      <c r="D673" s="2" t="s">
        <v>15169</v>
      </c>
      <c r="E673" s="2">
        <v>1.6617573E7</v>
      </c>
      <c r="F673" s="2">
        <v>11.0</v>
      </c>
      <c r="G673" s="2">
        <v>4614.0</v>
      </c>
      <c r="H673" s="2" t="s">
        <v>5906</v>
      </c>
      <c r="I673" s="2" t="s">
        <v>5906</v>
      </c>
      <c r="J673" s="2" t="s">
        <v>5963</v>
      </c>
      <c r="K673" s="2" t="s">
        <v>15170</v>
      </c>
      <c r="L673" s="10" t="s">
        <v>15171</v>
      </c>
    </row>
    <row r="674">
      <c r="A674" s="2" t="s">
        <v>5740</v>
      </c>
      <c r="B674" s="2" t="s">
        <v>15172</v>
      </c>
      <c r="C674" s="2">
        <v>5754453.0</v>
      </c>
      <c r="D674" s="2" t="s">
        <v>15173</v>
      </c>
      <c r="E674" s="2">
        <v>7967918.0</v>
      </c>
      <c r="F674" s="2">
        <v>1643.0</v>
      </c>
      <c r="G674" s="2">
        <v>754.0</v>
      </c>
      <c r="H674" s="2" t="s">
        <v>5906</v>
      </c>
      <c r="I674" s="2" t="s">
        <v>5906</v>
      </c>
      <c r="J674" s="2" t="s">
        <v>8144</v>
      </c>
      <c r="K674" s="2" t="s">
        <v>15174</v>
      </c>
      <c r="L674" s="10" t="s">
        <v>15175</v>
      </c>
    </row>
    <row r="675">
      <c r="A675" s="2" t="s">
        <v>5740</v>
      </c>
      <c r="B675" s="2" t="s">
        <v>15176</v>
      </c>
      <c r="C675" s="2">
        <v>1.7437419491E10</v>
      </c>
      <c r="D675" s="2" t="s">
        <v>15177</v>
      </c>
      <c r="E675" s="2">
        <v>1276479.0</v>
      </c>
      <c r="F675" s="2">
        <v>134.0</v>
      </c>
      <c r="G675" s="2">
        <v>845.0</v>
      </c>
      <c r="H675" s="2" t="s">
        <v>5906</v>
      </c>
      <c r="I675" s="2" t="s">
        <v>5905</v>
      </c>
      <c r="J675" s="2" t="s">
        <v>5993</v>
      </c>
      <c r="K675" s="2" t="s">
        <v>15178</v>
      </c>
      <c r="L675" s="10" t="s">
        <v>15179</v>
      </c>
    </row>
    <row r="676">
      <c r="A676" s="2" t="s">
        <v>5740</v>
      </c>
      <c r="B676" s="2" t="s">
        <v>15180</v>
      </c>
      <c r="C676" s="2">
        <v>6.767693833E9</v>
      </c>
      <c r="D676" s="2" t="s">
        <v>15181</v>
      </c>
      <c r="E676" s="2">
        <v>24279.0</v>
      </c>
      <c r="F676" s="2">
        <v>466.0</v>
      </c>
      <c r="G676" s="2">
        <v>69.0</v>
      </c>
      <c r="H676" s="2" t="s">
        <v>5905</v>
      </c>
      <c r="I676" s="2" t="s">
        <v>5906</v>
      </c>
      <c r="J676" s="2" t="s">
        <v>7363</v>
      </c>
      <c r="K676" s="2" t="s">
        <v>15182</v>
      </c>
      <c r="L676" s="10" t="s">
        <v>15183</v>
      </c>
    </row>
    <row r="677">
      <c r="A677" s="2" t="s">
        <v>5740</v>
      </c>
      <c r="B677" s="2" t="s">
        <v>15184</v>
      </c>
      <c r="C677" s="2">
        <v>1.8900337E7</v>
      </c>
      <c r="D677" s="2" t="s">
        <v>15185</v>
      </c>
      <c r="E677" s="2">
        <v>5.9607346E7</v>
      </c>
      <c r="F677" s="2">
        <v>105.0</v>
      </c>
      <c r="G677" s="2">
        <v>3327.0</v>
      </c>
      <c r="H677" s="2" t="s">
        <v>5906</v>
      </c>
      <c r="I677" s="2" t="s">
        <v>5905</v>
      </c>
      <c r="J677" s="2" t="s">
        <v>6124</v>
      </c>
      <c r="K677" s="2" t="s">
        <v>15186</v>
      </c>
      <c r="L677" s="10" t="s">
        <v>15187</v>
      </c>
    </row>
    <row r="678">
      <c r="A678" s="2" t="s">
        <v>5740</v>
      </c>
      <c r="B678" s="2" t="s">
        <v>15188</v>
      </c>
      <c r="C678" s="2">
        <v>2.31990823E8</v>
      </c>
      <c r="E678" s="2">
        <v>15755.0</v>
      </c>
      <c r="F678" s="2">
        <v>4654.0</v>
      </c>
      <c r="G678" s="2">
        <v>144.0</v>
      </c>
      <c r="H678" s="2" t="s">
        <v>5905</v>
      </c>
      <c r="I678" s="2" t="s">
        <v>5905</v>
      </c>
      <c r="J678" s="2" t="s">
        <v>15189</v>
      </c>
      <c r="K678" s="2" t="s">
        <v>15190</v>
      </c>
      <c r="L678" s="10" t="s">
        <v>15191</v>
      </c>
    </row>
    <row r="679">
      <c r="A679" s="2" t="s">
        <v>5693</v>
      </c>
      <c r="B679" s="2" t="s">
        <v>15192</v>
      </c>
      <c r="C679" s="2">
        <v>1.7673863E7</v>
      </c>
      <c r="D679" s="2" t="s">
        <v>15193</v>
      </c>
      <c r="E679" s="2">
        <v>803631.0</v>
      </c>
      <c r="F679" s="2">
        <v>3635.0</v>
      </c>
      <c r="G679" s="2">
        <v>6018.0</v>
      </c>
      <c r="H679" s="2" t="s">
        <v>5905</v>
      </c>
      <c r="I679" s="2" t="s">
        <v>5905</v>
      </c>
      <c r="J679" s="2" t="s">
        <v>5993</v>
      </c>
      <c r="K679" s="2" t="s">
        <v>15194</v>
      </c>
      <c r="L679" s="10" t="s">
        <v>15195</v>
      </c>
    </row>
    <row r="680">
      <c r="A680" s="2" t="s">
        <v>5693</v>
      </c>
      <c r="B680" s="2" t="s">
        <v>15196</v>
      </c>
      <c r="C680" s="2">
        <v>3.1115504E7</v>
      </c>
      <c r="D680" s="2" t="s">
        <v>15197</v>
      </c>
      <c r="E680" s="2">
        <v>9395424.0</v>
      </c>
      <c r="F680" s="2">
        <v>918.0</v>
      </c>
      <c r="G680" s="2">
        <v>18.0</v>
      </c>
      <c r="H680" s="2" t="s">
        <v>5906</v>
      </c>
      <c r="I680" s="2" t="s">
        <v>5905</v>
      </c>
      <c r="J680" s="2" t="s">
        <v>13634</v>
      </c>
      <c r="K680" s="2" t="s">
        <v>15198</v>
      </c>
      <c r="L680" s="10" t="s">
        <v>15199</v>
      </c>
    </row>
    <row r="681">
      <c r="A681" s="2" t="s">
        <v>5693</v>
      </c>
      <c r="B681" s="2" t="s">
        <v>15200</v>
      </c>
      <c r="C681" s="2">
        <v>8124614.0</v>
      </c>
      <c r="D681" s="2" t="s">
        <v>15201</v>
      </c>
      <c r="E681" s="2">
        <v>4923810.0</v>
      </c>
      <c r="F681" s="2">
        <v>2029.0</v>
      </c>
      <c r="G681" s="2">
        <v>1012.0</v>
      </c>
      <c r="H681" s="2" t="s">
        <v>5906</v>
      </c>
      <c r="I681" s="2" t="s">
        <v>5905</v>
      </c>
      <c r="J681" s="2" t="s">
        <v>13634</v>
      </c>
      <c r="K681" s="2" t="s">
        <v>15202</v>
      </c>
      <c r="L681" s="10" t="s">
        <v>15203</v>
      </c>
    </row>
    <row r="682">
      <c r="A682" s="2" t="s">
        <v>5718</v>
      </c>
      <c r="B682" s="2" t="s">
        <v>15204</v>
      </c>
      <c r="C682" s="2">
        <v>1.11656306E9</v>
      </c>
      <c r="D682" s="2" t="s">
        <v>15205</v>
      </c>
      <c r="E682" s="2">
        <v>43498.0</v>
      </c>
      <c r="F682" s="2">
        <v>40.0</v>
      </c>
      <c r="G682" s="2">
        <v>14.0</v>
      </c>
      <c r="H682" s="2" t="s">
        <v>5905</v>
      </c>
      <c r="I682" s="2" t="s">
        <v>5905</v>
      </c>
      <c r="K682" s="2" t="s">
        <v>15206</v>
      </c>
    </row>
    <row r="683">
      <c r="A683" s="2" t="s">
        <v>5718</v>
      </c>
      <c r="B683" s="2" t="s">
        <v>15207</v>
      </c>
      <c r="C683" s="2">
        <v>5.3673873E7</v>
      </c>
      <c r="D683" s="2" t="s">
        <v>15208</v>
      </c>
      <c r="E683" s="2">
        <v>221340.0</v>
      </c>
      <c r="F683" s="2">
        <v>1215.0</v>
      </c>
      <c r="G683" s="2">
        <v>101.0</v>
      </c>
      <c r="H683" s="2" t="s">
        <v>5906</v>
      </c>
      <c r="I683" s="2" t="s">
        <v>5906</v>
      </c>
      <c r="J683" s="2" t="s">
        <v>8144</v>
      </c>
      <c r="K683" s="2" t="s">
        <v>15209</v>
      </c>
    </row>
    <row r="684">
      <c r="A684" s="2" t="s">
        <v>5718</v>
      </c>
      <c r="B684" s="2" t="s">
        <v>15210</v>
      </c>
      <c r="C684" s="2">
        <v>1928918.0</v>
      </c>
      <c r="D684" s="2" t="s">
        <v>15211</v>
      </c>
      <c r="E684" s="2">
        <v>78653.0</v>
      </c>
      <c r="F684" s="2">
        <v>2318.0</v>
      </c>
      <c r="G684" s="2">
        <v>843.0</v>
      </c>
      <c r="H684" s="2" t="s">
        <v>5906</v>
      </c>
      <c r="I684" s="2" t="s">
        <v>5905</v>
      </c>
      <c r="J684" s="2" t="s">
        <v>5391</v>
      </c>
      <c r="K684" s="2" t="s">
        <v>15212</v>
      </c>
      <c r="L684" s="10" t="s">
        <v>15213</v>
      </c>
    </row>
    <row r="685">
      <c r="A685" s="2" t="s">
        <v>5718</v>
      </c>
      <c r="B685" s="2" t="s">
        <v>15214</v>
      </c>
      <c r="C685" s="2">
        <v>1.46341089E9</v>
      </c>
      <c r="D685" s="2" t="s">
        <v>15210</v>
      </c>
      <c r="E685" s="2">
        <v>466846.0</v>
      </c>
      <c r="F685" s="2">
        <v>946.0</v>
      </c>
      <c r="G685" s="2">
        <v>895.0</v>
      </c>
      <c r="H685" s="2" t="s">
        <v>5906</v>
      </c>
      <c r="I685" s="2" t="s">
        <v>5906</v>
      </c>
      <c r="J685" s="2" t="s">
        <v>8144</v>
      </c>
      <c r="K685" s="2" t="s">
        <v>15215</v>
      </c>
      <c r="L685" s="10" t="s">
        <v>15216</v>
      </c>
    </row>
    <row r="686">
      <c r="A686" s="2" t="s">
        <v>5718</v>
      </c>
      <c r="B686" s="2" t="s">
        <v>15217</v>
      </c>
      <c r="C686" s="2">
        <v>1.6518877E7</v>
      </c>
      <c r="D686" s="2" t="s">
        <v>15218</v>
      </c>
      <c r="E686" s="2">
        <v>374558.0</v>
      </c>
      <c r="F686" s="2">
        <v>865.0</v>
      </c>
      <c r="G686" s="2">
        <v>1782.0</v>
      </c>
      <c r="H686" s="2" t="s">
        <v>5906</v>
      </c>
      <c r="I686" s="2" t="s">
        <v>5905</v>
      </c>
      <c r="J686" s="2" t="s">
        <v>6414</v>
      </c>
      <c r="K686" s="2" t="s">
        <v>15219</v>
      </c>
      <c r="L686" s="10" t="s">
        <v>15220</v>
      </c>
    </row>
    <row r="687">
      <c r="A687" s="2" t="s">
        <v>5718</v>
      </c>
      <c r="B687" s="2" t="s">
        <v>15221</v>
      </c>
      <c r="C687" s="2">
        <v>5188405.0</v>
      </c>
      <c r="D687" s="2" t="s">
        <v>15222</v>
      </c>
      <c r="E687" s="2">
        <v>10867.0</v>
      </c>
      <c r="F687" s="2">
        <v>4410.0</v>
      </c>
      <c r="G687" s="2">
        <v>208.0</v>
      </c>
      <c r="H687" s="2" t="s">
        <v>5906</v>
      </c>
      <c r="I687" s="2" t="s">
        <v>5906</v>
      </c>
      <c r="J687" s="2" t="s">
        <v>12958</v>
      </c>
      <c r="K687" s="2" t="s">
        <v>15223</v>
      </c>
    </row>
    <row r="688">
      <c r="A688" s="2" t="s">
        <v>5718</v>
      </c>
      <c r="B688" s="2" t="s">
        <v>15224</v>
      </c>
      <c r="C688" s="2">
        <v>1.1251732E7</v>
      </c>
      <c r="D688" s="2" t="s">
        <v>15225</v>
      </c>
      <c r="E688" s="2">
        <v>1.5700671E7</v>
      </c>
      <c r="F688" s="2">
        <v>1894.0</v>
      </c>
      <c r="G688" s="2">
        <v>1829.0</v>
      </c>
      <c r="H688" s="2" t="s">
        <v>5906</v>
      </c>
      <c r="I688" s="2" t="s">
        <v>5905</v>
      </c>
      <c r="J688" s="2" t="s">
        <v>6628</v>
      </c>
      <c r="K688" s="2" t="s">
        <v>15226</v>
      </c>
      <c r="L688" s="10" t="s">
        <v>15227</v>
      </c>
    </row>
    <row r="689">
      <c r="A689" s="2" t="s">
        <v>5718</v>
      </c>
      <c r="B689" s="2" t="s">
        <v>15228</v>
      </c>
      <c r="C689" s="2">
        <v>3.61238999E8</v>
      </c>
      <c r="D689" s="2" t="s">
        <v>15229</v>
      </c>
      <c r="E689" s="2">
        <v>1626082.0</v>
      </c>
      <c r="F689" s="2">
        <v>1595.0</v>
      </c>
      <c r="G689" s="2">
        <v>1159.0</v>
      </c>
      <c r="H689" s="2" t="s">
        <v>5906</v>
      </c>
      <c r="I689" s="2" t="s">
        <v>5905</v>
      </c>
      <c r="J689" s="2" t="s">
        <v>13634</v>
      </c>
      <c r="K689" s="2" t="s">
        <v>15230</v>
      </c>
      <c r="L689" s="10" t="s">
        <v>15231</v>
      </c>
    </row>
    <row r="690">
      <c r="A690" s="2" t="s">
        <v>5598</v>
      </c>
      <c r="B690" s="2" t="s">
        <v>15232</v>
      </c>
      <c r="C690" s="2">
        <v>4.9000922708E10</v>
      </c>
      <c r="D690" s="2" t="s">
        <v>15233</v>
      </c>
      <c r="E690" s="2">
        <v>124864.0</v>
      </c>
      <c r="F690" s="2">
        <v>1034.0</v>
      </c>
      <c r="G690" s="2">
        <v>491.0</v>
      </c>
      <c r="H690" s="2" t="s">
        <v>5906</v>
      </c>
      <c r="I690" s="2" t="s">
        <v>5906</v>
      </c>
      <c r="J690" s="2" t="s">
        <v>15234</v>
      </c>
      <c r="K690" s="2" t="s">
        <v>15235</v>
      </c>
      <c r="L690" s="10" t="s">
        <v>15236</v>
      </c>
    </row>
    <row r="691">
      <c r="A691" s="2" t="s">
        <v>5598</v>
      </c>
      <c r="B691" s="2" t="s">
        <v>7372</v>
      </c>
      <c r="C691" s="2">
        <v>2.61081791E8</v>
      </c>
      <c r="D691" s="2" t="s">
        <v>7373</v>
      </c>
      <c r="E691" s="2">
        <v>1.7632012E7</v>
      </c>
      <c r="F691" s="2">
        <v>214.0</v>
      </c>
      <c r="G691" s="2">
        <v>65.0</v>
      </c>
      <c r="H691" s="2" t="s">
        <v>5906</v>
      </c>
      <c r="I691" s="2" t="s">
        <v>5905</v>
      </c>
      <c r="J691" s="2" t="s">
        <v>6124</v>
      </c>
      <c r="K691" s="2" t="s">
        <v>7374</v>
      </c>
      <c r="L691" s="10" t="s">
        <v>7375</v>
      </c>
    </row>
    <row r="692">
      <c r="A692" s="2" t="s">
        <v>5598</v>
      </c>
      <c r="B692" s="2" t="s">
        <v>15237</v>
      </c>
      <c r="C692" s="2">
        <v>4.8121452098E10</v>
      </c>
      <c r="D692" s="2" t="s">
        <v>15238</v>
      </c>
      <c r="E692" s="2">
        <v>237558.0</v>
      </c>
      <c r="F692" s="2">
        <v>173.0</v>
      </c>
      <c r="G692" s="2">
        <v>1954.0</v>
      </c>
      <c r="H692" s="2" t="s">
        <v>5905</v>
      </c>
      <c r="I692" s="2" t="s">
        <v>5905</v>
      </c>
      <c r="J692" s="2" t="s">
        <v>10543</v>
      </c>
      <c r="K692" s="2" t="s">
        <v>15239</v>
      </c>
      <c r="L692" s="10" t="s">
        <v>15240</v>
      </c>
    </row>
    <row r="693">
      <c r="A693" s="2" t="s">
        <v>5598</v>
      </c>
      <c r="B693" s="2" t="s">
        <v>15241</v>
      </c>
      <c r="C693" s="2">
        <v>5.0483823528E10</v>
      </c>
      <c r="D693" s="2" t="s">
        <v>15242</v>
      </c>
      <c r="E693" s="2">
        <v>90734.0</v>
      </c>
      <c r="F693" s="2">
        <v>250.0</v>
      </c>
      <c r="G693" s="2">
        <v>1380.0</v>
      </c>
      <c r="H693" s="2" t="s">
        <v>5906</v>
      </c>
      <c r="I693" s="2" t="s">
        <v>5905</v>
      </c>
      <c r="J693" s="2" t="s">
        <v>5928</v>
      </c>
      <c r="K693" s="2" t="s">
        <v>15243</v>
      </c>
      <c r="L693" s="10" t="s">
        <v>15244</v>
      </c>
    </row>
    <row r="694">
      <c r="A694" s="2" t="s">
        <v>5598</v>
      </c>
      <c r="B694" s="2" t="s">
        <v>15245</v>
      </c>
      <c r="C694" s="2">
        <v>3.035944578E9</v>
      </c>
      <c r="D694" s="2" t="s">
        <v>15246</v>
      </c>
      <c r="E694" s="2">
        <v>1294544.0</v>
      </c>
      <c r="F694" s="2">
        <v>661.0</v>
      </c>
      <c r="G694" s="2">
        <v>1158.0</v>
      </c>
      <c r="H694" s="2" t="s">
        <v>5906</v>
      </c>
      <c r="I694" s="2" t="s">
        <v>5905</v>
      </c>
      <c r="J694" s="2" t="s">
        <v>15247</v>
      </c>
      <c r="K694" s="2" t="s">
        <v>15248</v>
      </c>
      <c r="L694" s="10" t="s">
        <v>15249</v>
      </c>
    </row>
    <row r="695">
      <c r="A695" s="2" t="s">
        <v>5598</v>
      </c>
      <c r="B695" s="2" t="s">
        <v>15250</v>
      </c>
      <c r="C695" s="2">
        <v>1.0887906E7</v>
      </c>
      <c r="D695" s="2" t="s">
        <v>15251</v>
      </c>
      <c r="E695" s="2">
        <v>38233.0</v>
      </c>
      <c r="F695" s="2">
        <v>5619.0</v>
      </c>
      <c r="G695" s="2">
        <v>938.0</v>
      </c>
      <c r="H695" s="2" t="s">
        <v>5906</v>
      </c>
      <c r="I695" s="2" t="s">
        <v>5905</v>
      </c>
      <c r="J695" s="2" t="s">
        <v>6414</v>
      </c>
      <c r="K695" s="2" t="s">
        <v>15252</v>
      </c>
      <c r="L695" s="10" t="s">
        <v>15253</v>
      </c>
    </row>
    <row r="696">
      <c r="A696" s="2" t="s">
        <v>5598</v>
      </c>
      <c r="B696" s="2" t="s">
        <v>15254</v>
      </c>
      <c r="C696" s="2">
        <v>6.5920806347E10</v>
      </c>
      <c r="D696" s="2" t="s">
        <v>15255</v>
      </c>
      <c r="E696" s="2">
        <v>119103.0</v>
      </c>
      <c r="F696" s="2">
        <v>155.0</v>
      </c>
      <c r="G696" s="2">
        <v>123.0</v>
      </c>
      <c r="H696" s="2" t="s">
        <v>5906</v>
      </c>
      <c r="I696" s="2" t="s">
        <v>5905</v>
      </c>
      <c r="J696" s="2" t="s">
        <v>7347</v>
      </c>
      <c r="K696" s="2" t="s">
        <v>15256</v>
      </c>
      <c r="L696" s="10" t="s">
        <v>15257</v>
      </c>
    </row>
    <row r="697">
      <c r="A697" s="2" t="s">
        <v>5598</v>
      </c>
      <c r="B697" s="2" t="s">
        <v>15258</v>
      </c>
      <c r="C697" s="2">
        <v>1.84296009E8</v>
      </c>
      <c r="D697" s="2" t="s">
        <v>15259</v>
      </c>
      <c r="E697" s="2">
        <v>125003.0</v>
      </c>
      <c r="F697" s="2">
        <v>80.0</v>
      </c>
      <c r="G697" s="2">
        <v>323.0</v>
      </c>
      <c r="H697" s="2" t="s">
        <v>5906</v>
      </c>
      <c r="I697" s="2" t="s">
        <v>5905</v>
      </c>
      <c r="J697" s="2" t="s">
        <v>13645</v>
      </c>
      <c r="K697" s="2" t="s">
        <v>15260</v>
      </c>
    </row>
    <row r="698">
      <c r="A698" s="2" t="s">
        <v>5598</v>
      </c>
      <c r="B698" s="2" t="s">
        <v>15261</v>
      </c>
      <c r="C698" s="2">
        <v>3.5057730627E10</v>
      </c>
      <c r="D698" s="2" t="s">
        <v>15262</v>
      </c>
      <c r="E698" s="2">
        <v>347142.0</v>
      </c>
      <c r="F698" s="2">
        <v>1721.0</v>
      </c>
      <c r="G698" s="2">
        <v>397.0</v>
      </c>
      <c r="H698" s="2" t="s">
        <v>5906</v>
      </c>
      <c r="I698" s="2" t="s">
        <v>5906</v>
      </c>
      <c r="J698" s="2" t="s">
        <v>5928</v>
      </c>
      <c r="K698" s="2" t="s">
        <v>15263</v>
      </c>
      <c r="L698" s="10" t="s">
        <v>15264</v>
      </c>
    </row>
    <row r="699">
      <c r="A699" s="2" t="s">
        <v>5598</v>
      </c>
      <c r="B699" s="2" t="s">
        <v>15265</v>
      </c>
      <c r="C699" s="2">
        <v>2.7045367E7</v>
      </c>
      <c r="D699" s="2" t="s">
        <v>15266</v>
      </c>
      <c r="E699" s="2">
        <v>1076604.0</v>
      </c>
      <c r="F699" s="2">
        <v>912.0</v>
      </c>
      <c r="G699" s="2">
        <v>806.0</v>
      </c>
      <c r="H699" s="2" t="s">
        <v>5905</v>
      </c>
      <c r="I699" s="2" t="s">
        <v>5905</v>
      </c>
      <c r="J699" s="2" t="s">
        <v>7620</v>
      </c>
      <c r="K699" s="2" t="s">
        <v>15267</v>
      </c>
      <c r="L699" s="10" t="s">
        <v>15268</v>
      </c>
    </row>
    <row r="700">
      <c r="A700" s="2" t="s">
        <v>5598</v>
      </c>
      <c r="B700" s="2" t="s">
        <v>15269</v>
      </c>
      <c r="C700" s="2">
        <v>1.485205822E9</v>
      </c>
      <c r="D700" s="2" t="s">
        <v>15270</v>
      </c>
      <c r="E700" s="2">
        <v>311018.0</v>
      </c>
      <c r="F700" s="2">
        <v>4327.0</v>
      </c>
      <c r="G700" s="2">
        <v>1434.0</v>
      </c>
      <c r="H700" s="2" t="s">
        <v>5905</v>
      </c>
      <c r="I700" s="2" t="s">
        <v>5906</v>
      </c>
      <c r="J700" s="2" t="s">
        <v>5993</v>
      </c>
      <c r="K700" s="2" t="s">
        <v>15271</v>
      </c>
      <c r="L700" s="10" t="s">
        <v>15272</v>
      </c>
    </row>
    <row r="701">
      <c r="A701" s="2" t="s">
        <v>5657</v>
      </c>
      <c r="B701" s="2" t="s">
        <v>15273</v>
      </c>
      <c r="C701" s="2">
        <v>4417475.0</v>
      </c>
      <c r="D701" s="2" t="s">
        <v>15274</v>
      </c>
      <c r="E701" s="2">
        <v>1253695.0</v>
      </c>
      <c r="F701" s="2">
        <v>1076.0</v>
      </c>
      <c r="G701" s="2">
        <v>1947.0</v>
      </c>
      <c r="H701" s="2" t="s">
        <v>5906</v>
      </c>
      <c r="I701" s="2" t="s">
        <v>5905</v>
      </c>
      <c r="J701" s="2" t="s">
        <v>5959</v>
      </c>
      <c r="K701" s="2" t="s">
        <v>15275</v>
      </c>
      <c r="L701" s="10" t="s">
        <v>15276</v>
      </c>
    </row>
    <row r="702">
      <c r="A702" s="2" t="s">
        <v>5657</v>
      </c>
      <c r="B702" s="2" t="s">
        <v>15277</v>
      </c>
      <c r="C702" s="2">
        <v>1.86901415E8</v>
      </c>
      <c r="D702" s="2" t="s">
        <v>15278</v>
      </c>
      <c r="E702" s="2">
        <v>3.299611E7</v>
      </c>
      <c r="F702" s="2">
        <v>246.0</v>
      </c>
      <c r="G702" s="2">
        <v>6404.0</v>
      </c>
      <c r="H702" s="2" t="s">
        <v>5906</v>
      </c>
      <c r="I702" s="2" t="s">
        <v>5906</v>
      </c>
      <c r="J702" s="2" t="s">
        <v>6124</v>
      </c>
      <c r="K702" s="2" t="s">
        <v>15279</v>
      </c>
      <c r="L702" s="10" t="s">
        <v>15280</v>
      </c>
    </row>
    <row r="703">
      <c r="A703" s="2" t="s">
        <v>5657</v>
      </c>
      <c r="B703" s="2" t="s">
        <v>15281</v>
      </c>
      <c r="C703" s="2">
        <v>5510916.0</v>
      </c>
      <c r="D703" s="2" t="s">
        <v>15282</v>
      </c>
      <c r="E703" s="2">
        <v>1.253387E7</v>
      </c>
      <c r="F703" s="2">
        <v>1114.0</v>
      </c>
      <c r="G703" s="2">
        <v>3691.0</v>
      </c>
      <c r="H703" s="2" t="s">
        <v>5906</v>
      </c>
      <c r="I703" s="2" t="s">
        <v>5905</v>
      </c>
      <c r="J703" s="2" t="s">
        <v>6414</v>
      </c>
      <c r="K703" s="2" t="s">
        <v>15283</v>
      </c>
      <c r="L703" s="10" t="s">
        <v>15284</v>
      </c>
    </row>
    <row r="704">
      <c r="A704" s="2" t="s">
        <v>5657</v>
      </c>
      <c r="B704" s="2" t="s">
        <v>15285</v>
      </c>
      <c r="C704" s="2">
        <v>3416684.0</v>
      </c>
      <c r="D704" s="2" t="s">
        <v>15286</v>
      </c>
      <c r="E704" s="2">
        <v>7.7968209E7</v>
      </c>
      <c r="F704" s="2">
        <v>218.0</v>
      </c>
      <c r="G704" s="2">
        <v>5165.0</v>
      </c>
      <c r="H704" s="2" t="s">
        <v>5906</v>
      </c>
      <c r="I704" s="2" t="s">
        <v>5906</v>
      </c>
      <c r="J704" s="2" t="s">
        <v>6166</v>
      </c>
      <c r="L704" s="10" t="s">
        <v>15287</v>
      </c>
    </row>
    <row r="705">
      <c r="A705" s="2" t="s">
        <v>5657</v>
      </c>
      <c r="B705" s="2" t="s">
        <v>15288</v>
      </c>
      <c r="C705" s="2">
        <v>1.299785575E9</v>
      </c>
      <c r="D705" s="2" t="s">
        <v>15289</v>
      </c>
      <c r="E705" s="2">
        <v>798505.0</v>
      </c>
      <c r="F705" s="2">
        <v>230.0</v>
      </c>
      <c r="G705" s="2">
        <v>241.0</v>
      </c>
      <c r="H705" s="2" t="s">
        <v>5906</v>
      </c>
      <c r="I705" s="2" t="s">
        <v>5905</v>
      </c>
      <c r="J705" s="2" t="s">
        <v>5928</v>
      </c>
      <c r="K705" s="2" t="s">
        <v>15290</v>
      </c>
      <c r="L705" s="10" t="s">
        <v>15291</v>
      </c>
    </row>
    <row r="706">
      <c r="A706" s="2" t="s">
        <v>5770</v>
      </c>
      <c r="B706" s="2" t="s">
        <v>15292</v>
      </c>
      <c r="C706" s="2">
        <v>1.665843838E9</v>
      </c>
      <c r="D706" s="2" t="s">
        <v>15293</v>
      </c>
      <c r="E706" s="2">
        <v>1.9574949E7</v>
      </c>
      <c r="F706" s="2">
        <v>11.0</v>
      </c>
      <c r="G706" s="2">
        <v>339.0</v>
      </c>
      <c r="H706" s="2" t="s">
        <v>5906</v>
      </c>
      <c r="I706" s="2" t="s">
        <v>5906</v>
      </c>
      <c r="J706" s="2" t="s">
        <v>5993</v>
      </c>
      <c r="K706" s="2" t="s">
        <v>15294</v>
      </c>
      <c r="L706" s="10" t="s">
        <v>15295</v>
      </c>
    </row>
    <row r="707">
      <c r="A707" s="2" t="s">
        <v>5770</v>
      </c>
      <c r="B707" s="2" t="s">
        <v>15296</v>
      </c>
      <c r="C707" s="2">
        <v>1004285.0</v>
      </c>
      <c r="D707" s="2" t="s">
        <v>15297</v>
      </c>
      <c r="E707" s="2">
        <v>58877.0</v>
      </c>
      <c r="F707" s="2">
        <v>733.0</v>
      </c>
      <c r="G707" s="2">
        <v>147.0</v>
      </c>
      <c r="H707" s="2" t="s">
        <v>5906</v>
      </c>
      <c r="I707" s="2" t="s">
        <v>5906</v>
      </c>
      <c r="J707" s="2" t="s">
        <v>5391</v>
      </c>
      <c r="K707" s="2" t="s">
        <v>15298</v>
      </c>
      <c r="L707" s="10" t="s">
        <v>15299</v>
      </c>
    </row>
    <row r="708">
      <c r="A708" s="2" t="s">
        <v>5779</v>
      </c>
      <c r="B708" s="2" t="s">
        <v>15300</v>
      </c>
      <c r="C708" s="2">
        <v>4.806998E7</v>
      </c>
      <c r="D708" s="2" t="s">
        <v>15301</v>
      </c>
      <c r="E708" s="2">
        <v>795563.0</v>
      </c>
      <c r="F708" s="2">
        <v>643.0</v>
      </c>
      <c r="G708" s="2">
        <v>179.0</v>
      </c>
      <c r="H708" s="2" t="s">
        <v>5906</v>
      </c>
      <c r="I708" s="2" t="s">
        <v>5905</v>
      </c>
      <c r="J708" s="2" t="s">
        <v>6032</v>
      </c>
      <c r="K708" s="2" t="s">
        <v>15302</v>
      </c>
      <c r="L708" s="10" t="s">
        <v>15303</v>
      </c>
    </row>
    <row r="709">
      <c r="A709" s="2" t="s">
        <v>5779</v>
      </c>
      <c r="B709" s="2" t="s">
        <v>15304</v>
      </c>
      <c r="C709" s="2">
        <v>4117942.0</v>
      </c>
      <c r="D709" s="2" t="s">
        <v>15305</v>
      </c>
      <c r="E709" s="2">
        <v>243350.0</v>
      </c>
      <c r="F709" s="2">
        <v>1986.0</v>
      </c>
      <c r="G709" s="2">
        <v>2.0</v>
      </c>
      <c r="H709" s="2" t="s">
        <v>5906</v>
      </c>
      <c r="I709" s="2" t="s">
        <v>5905</v>
      </c>
      <c r="J709" s="2" t="s">
        <v>5391</v>
      </c>
      <c r="K709" s="2" t="s">
        <v>15306</v>
      </c>
    </row>
    <row r="710">
      <c r="A710" s="2" t="s">
        <v>5779</v>
      </c>
      <c r="B710" s="2" t="s">
        <v>15307</v>
      </c>
      <c r="C710" s="2">
        <v>1.426879118E9</v>
      </c>
      <c r="D710" s="2" t="s">
        <v>15308</v>
      </c>
      <c r="E710" s="2">
        <v>478901.0</v>
      </c>
      <c r="F710" s="2">
        <v>1193.0</v>
      </c>
      <c r="G710" s="2">
        <v>78.0</v>
      </c>
      <c r="H710" s="2" t="s">
        <v>5906</v>
      </c>
      <c r="I710" s="2" t="s">
        <v>5905</v>
      </c>
      <c r="J710" s="2" t="s">
        <v>6592</v>
      </c>
    </row>
    <row r="711">
      <c r="A711" s="2" t="s">
        <v>5614</v>
      </c>
      <c r="B711" s="2" t="s">
        <v>15309</v>
      </c>
      <c r="C711" s="2">
        <v>2.30722352E8</v>
      </c>
      <c r="D711" s="10" t="s">
        <v>15310</v>
      </c>
      <c r="E711" s="2">
        <v>1683947.0</v>
      </c>
      <c r="F711" s="2">
        <v>2155.0</v>
      </c>
      <c r="G711" s="2">
        <v>1148.0</v>
      </c>
      <c r="H711" s="2" t="s">
        <v>5906</v>
      </c>
      <c r="I711" s="2" t="s">
        <v>5906</v>
      </c>
      <c r="J711" s="2" t="s">
        <v>5391</v>
      </c>
      <c r="L711" s="10" t="s">
        <v>15311</v>
      </c>
    </row>
    <row r="712">
      <c r="A712" s="2" t="s">
        <v>5614</v>
      </c>
      <c r="B712" s="2" t="s">
        <v>15312</v>
      </c>
      <c r="C712" s="2">
        <v>1.2616163065E10</v>
      </c>
      <c r="D712" s="2" t="s">
        <v>15313</v>
      </c>
      <c r="E712" s="2">
        <v>434866.0</v>
      </c>
      <c r="F712" s="2">
        <v>51.0</v>
      </c>
      <c r="G712" s="2">
        <v>23.0</v>
      </c>
      <c r="H712" s="2" t="s">
        <v>5905</v>
      </c>
      <c r="I712" s="2" t="s">
        <v>5905</v>
      </c>
      <c r="J712" s="2" t="s">
        <v>15314</v>
      </c>
      <c r="K712" s="2" t="s">
        <v>15315</v>
      </c>
      <c r="L712" s="10" t="s">
        <v>15316</v>
      </c>
    </row>
    <row r="713">
      <c r="A713" s="2" t="s">
        <v>5614</v>
      </c>
      <c r="B713" s="2" t="s">
        <v>15317</v>
      </c>
      <c r="C713" s="2">
        <v>6.855392104E9</v>
      </c>
      <c r="D713" s="2" t="s">
        <v>15318</v>
      </c>
      <c r="E713" s="2">
        <v>9603031.0</v>
      </c>
      <c r="F713" s="2">
        <v>87.0</v>
      </c>
      <c r="G713" s="2">
        <v>2477.0</v>
      </c>
      <c r="H713" s="2" t="s">
        <v>5906</v>
      </c>
      <c r="I713" s="2" t="s">
        <v>5906</v>
      </c>
      <c r="J713" s="2" t="s">
        <v>5993</v>
      </c>
      <c r="K713" s="2" t="s">
        <v>15319</v>
      </c>
      <c r="L713" s="10" t="s">
        <v>15320</v>
      </c>
    </row>
    <row r="714">
      <c r="A714" s="2" t="s">
        <v>5603</v>
      </c>
      <c r="B714" s="2" t="s">
        <v>15321</v>
      </c>
      <c r="C714" s="2">
        <v>3.4948704885E10</v>
      </c>
      <c r="D714" s="2" t="s">
        <v>15322</v>
      </c>
      <c r="E714" s="2">
        <v>82915.0</v>
      </c>
      <c r="F714" s="2">
        <v>1809.0</v>
      </c>
      <c r="G714" s="2">
        <v>1561.0</v>
      </c>
      <c r="H714" s="2" t="s">
        <v>5905</v>
      </c>
      <c r="I714" s="2" t="s">
        <v>5905</v>
      </c>
      <c r="K714" s="2" t="s">
        <v>15323</v>
      </c>
      <c r="L714" s="10" t="s">
        <v>15324</v>
      </c>
    </row>
    <row r="715">
      <c r="A715" s="2" t="s">
        <v>5603</v>
      </c>
      <c r="B715" s="2" t="s">
        <v>15325</v>
      </c>
      <c r="C715" s="2">
        <v>5.0473493E7</v>
      </c>
      <c r="D715" s="2" t="s">
        <v>15326</v>
      </c>
      <c r="E715" s="2">
        <v>1434089.0</v>
      </c>
      <c r="F715" s="2">
        <v>581.0</v>
      </c>
      <c r="G715" s="2">
        <v>992.0</v>
      </c>
      <c r="H715" s="2" t="s">
        <v>5906</v>
      </c>
      <c r="I715" s="2" t="s">
        <v>5905</v>
      </c>
      <c r="J715" s="2" t="s">
        <v>8838</v>
      </c>
      <c r="K715" s="2" t="s">
        <v>15327</v>
      </c>
      <c r="L715" s="10" t="s">
        <v>15328</v>
      </c>
    </row>
    <row r="716">
      <c r="A716" s="2" t="s">
        <v>5603</v>
      </c>
      <c r="B716" s="2" t="s">
        <v>15329</v>
      </c>
      <c r="C716" s="2">
        <v>4.271032262E9</v>
      </c>
      <c r="D716" s="2" t="s">
        <v>5603</v>
      </c>
      <c r="E716" s="2">
        <v>436193.0</v>
      </c>
      <c r="F716" s="2">
        <v>1842.0</v>
      </c>
      <c r="G716" s="2">
        <v>973.0</v>
      </c>
      <c r="H716" s="2" t="s">
        <v>5906</v>
      </c>
      <c r="I716" s="2" t="s">
        <v>5906</v>
      </c>
      <c r="J716" s="2" t="s">
        <v>5959</v>
      </c>
      <c r="K716" s="2" t="s">
        <v>15330</v>
      </c>
      <c r="L716" s="10" t="s">
        <v>15331</v>
      </c>
    </row>
  </sheetData>
  <hyperlinks>
    <hyperlink r:id="rId1" ref="L4"/>
    <hyperlink r:id="rId2" ref="L9"/>
    <hyperlink r:id="rId3" ref="L10"/>
    <hyperlink r:id="rId4" ref="L12"/>
    <hyperlink r:id="rId5" ref="L13"/>
    <hyperlink r:id="rId6" ref="L17"/>
    <hyperlink r:id="rId7" ref="L18"/>
    <hyperlink r:id="rId8" ref="L21"/>
    <hyperlink r:id="rId9" ref="L22"/>
    <hyperlink r:id="rId10" ref="L23"/>
    <hyperlink r:id="rId11" ref="L25"/>
    <hyperlink r:id="rId12" ref="L26"/>
    <hyperlink r:id="rId13" ref="L27"/>
    <hyperlink r:id="rId14" ref="L30"/>
    <hyperlink r:id="rId15" ref="L31"/>
    <hyperlink r:id="rId16" ref="L32"/>
    <hyperlink r:id="rId17" ref="L33"/>
    <hyperlink r:id="rId18" ref="L34"/>
    <hyperlink r:id="rId19" ref="L35"/>
    <hyperlink r:id="rId20" ref="L39"/>
    <hyperlink r:id="rId21" ref="L41"/>
    <hyperlink r:id="rId22" ref="L42"/>
    <hyperlink r:id="rId23" ref="L44"/>
    <hyperlink r:id="rId24" ref="L46"/>
    <hyperlink r:id="rId25" ref="L48"/>
    <hyperlink r:id="rId26" ref="L49"/>
    <hyperlink r:id="rId27" ref="L52"/>
    <hyperlink r:id="rId28" ref="L53"/>
    <hyperlink r:id="rId29" ref="L54"/>
    <hyperlink r:id="rId30" ref="L55"/>
    <hyperlink r:id="rId31" ref="L56"/>
    <hyperlink r:id="rId32" ref="L57"/>
    <hyperlink r:id="rId33" ref="L58"/>
    <hyperlink r:id="rId34" ref="L59"/>
    <hyperlink r:id="rId35" ref="L60"/>
    <hyperlink r:id="rId36" ref="L61"/>
    <hyperlink r:id="rId37" ref="L64"/>
    <hyperlink r:id="rId38" ref="L66"/>
    <hyperlink r:id="rId39" ref="L67"/>
    <hyperlink r:id="rId40" ref="L71"/>
    <hyperlink r:id="rId41" ref="L72"/>
    <hyperlink r:id="rId42" ref="L77"/>
    <hyperlink r:id="rId43" ref="L79"/>
    <hyperlink r:id="rId44" ref="L81"/>
    <hyperlink r:id="rId45" ref="L82"/>
    <hyperlink r:id="rId46" ref="L83"/>
    <hyperlink r:id="rId47" ref="L84"/>
    <hyperlink r:id="rId48" ref="L85"/>
    <hyperlink r:id="rId49" ref="L86"/>
    <hyperlink r:id="rId50" ref="L88"/>
    <hyperlink r:id="rId51" ref="L89"/>
    <hyperlink r:id="rId52" ref="L90"/>
    <hyperlink r:id="rId53" ref="L91"/>
    <hyperlink r:id="rId54" ref="L94"/>
    <hyperlink r:id="rId55" ref="L96"/>
    <hyperlink r:id="rId56" ref="L97"/>
    <hyperlink r:id="rId57" ref="L98"/>
    <hyperlink r:id="rId58" ref="L100"/>
    <hyperlink r:id="rId59" ref="L101"/>
    <hyperlink r:id="rId60" ref="L103"/>
    <hyperlink r:id="rId61" ref="L104"/>
    <hyperlink r:id="rId62" ref="L106"/>
    <hyperlink r:id="rId63" ref="L107"/>
    <hyperlink r:id="rId64" ref="L108"/>
    <hyperlink r:id="rId65" ref="L109"/>
    <hyperlink r:id="rId66" ref="L110"/>
    <hyperlink r:id="rId67" ref="L111"/>
    <hyperlink r:id="rId68" ref="L112"/>
    <hyperlink r:id="rId69" ref="L113"/>
    <hyperlink r:id="rId70" ref="L114"/>
    <hyperlink r:id="rId71" ref="L115"/>
    <hyperlink r:id="rId72" ref="L117"/>
    <hyperlink r:id="rId73" ref="L118"/>
    <hyperlink r:id="rId74" ref="L119"/>
    <hyperlink r:id="rId75" ref="L120"/>
    <hyperlink r:id="rId76" ref="L121"/>
    <hyperlink r:id="rId77" ref="L123"/>
    <hyperlink r:id="rId78" ref="L126"/>
    <hyperlink r:id="rId79" ref="L127"/>
    <hyperlink r:id="rId80" ref="L128"/>
    <hyperlink r:id="rId81" ref="L129"/>
    <hyperlink r:id="rId82" ref="L130"/>
    <hyperlink r:id="rId83" ref="L131"/>
    <hyperlink r:id="rId84" ref="L132"/>
    <hyperlink r:id="rId85" ref="L133"/>
    <hyperlink r:id="rId86" ref="B135"/>
    <hyperlink r:id="rId87" ref="L135"/>
    <hyperlink r:id="rId88" ref="L136"/>
    <hyperlink r:id="rId89" ref="L137"/>
    <hyperlink r:id="rId90" ref="L138"/>
    <hyperlink r:id="rId91" ref="L139"/>
    <hyperlink r:id="rId92" ref="L140"/>
    <hyperlink r:id="rId93" ref="L141"/>
    <hyperlink r:id="rId94" ref="L142"/>
    <hyperlink r:id="rId95" ref="L143"/>
    <hyperlink r:id="rId96" ref="L145"/>
    <hyperlink r:id="rId97" ref="L147"/>
    <hyperlink r:id="rId98" ref="L149"/>
    <hyperlink r:id="rId99" ref="L150"/>
    <hyperlink r:id="rId100" ref="L151"/>
    <hyperlink r:id="rId101" ref="L153"/>
    <hyperlink r:id="rId102" ref="L154"/>
    <hyperlink r:id="rId103" ref="L155"/>
    <hyperlink r:id="rId104" ref="L156"/>
    <hyperlink r:id="rId105" ref="L159"/>
    <hyperlink r:id="rId106" ref="L160"/>
    <hyperlink r:id="rId107" ref="L161"/>
    <hyperlink r:id="rId108" ref="L162"/>
    <hyperlink r:id="rId109" ref="L163"/>
    <hyperlink r:id="rId110" ref="L164"/>
    <hyperlink r:id="rId111" ref="L165"/>
    <hyperlink r:id="rId112" ref="L166"/>
    <hyperlink r:id="rId113" ref="L167"/>
    <hyperlink r:id="rId114" ref="L170"/>
    <hyperlink r:id="rId115" ref="L171"/>
    <hyperlink r:id="rId116" ref="L172"/>
    <hyperlink r:id="rId117" ref="L173"/>
    <hyperlink r:id="rId118" ref="L174"/>
    <hyperlink r:id="rId119" ref="L175"/>
    <hyperlink r:id="rId120" ref="L176"/>
    <hyperlink r:id="rId121" ref="L177"/>
    <hyperlink r:id="rId122" ref="L178"/>
    <hyperlink r:id="rId123" ref="L179"/>
    <hyperlink r:id="rId124" ref="L180"/>
    <hyperlink r:id="rId125" ref="L183"/>
    <hyperlink r:id="rId126" ref="L184"/>
    <hyperlink r:id="rId127" ref="L185"/>
    <hyperlink r:id="rId128" ref="L186"/>
    <hyperlink r:id="rId129" ref="L188"/>
    <hyperlink r:id="rId130" ref="L189"/>
    <hyperlink r:id="rId131" ref="L190"/>
    <hyperlink r:id="rId132" ref="L191"/>
    <hyperlink r:id="rId133" ref="L192"/>
    <hyperlink r:id="rId134" ref="L194"/>
    <hyperlink r:id="rId135" ref="L195"/>
    <hyperlink r:id="rId136" ref="L196"/>
    <hyperlink r:id="rId137" ref="L197"/>
    <hyperlink r:id="rId138" ref="L199"/>
    <hyperlink r:id="rId139" ref="L200"/>
    <hyperlink r:id="rId140" ref="L201"/>
    <hyperlink r:id="rId141" ref="L202"/>
    <hyperlink r:id="rId142" ref="L204"/>
    <hyperlink r:id="rId143" ref="L205"/>
    <hyperlink r:id="rId144" ref="L207"/>
    <hyperlink r:id="rId145" ref="L208"/>
    <hyperlink r:id="rId146" ref="L209"/>
    <hyperlink r:id="rId147" ref="L210"/>
    <hyperlink r:id="rId148" ref="L211"/>
    <hyperlink r:id="rId149" ref="L213"/>
    <hyperlink r:id="rId150" ref="L214"/>
    <hyperlink r:id="rId151" ref="L216"/>
    <hyperlink r:id="rId152" ref="L217"/>
    <hyperlink r:id="rId153" ref="L218"/>
    <hyperlink r:id="rId154" ref="L219"/>
    <hyperlink r:id="rId155" ref="L220"/>
    <hyperlink r:id="rId156" ref="L221"/>
    <hyperlink r:id="rId157" ref="L222"/>
    <hyperlink r:id="rId158" ref="L223"/>
    <hyperlink r:id="rId159" ref="L224"/>
    <hyperlink r:id="rId160" ref="L229"/>
    <hyperlink r:id="rId161" ref="L230"/>
    <hyperlink r:id="rId162" ref="L231"/>
    <hyperlink r:id="rId163" ref="L232"/>
    <hyperlink r:id="rId164" ref="L233"/>
    <hyperlink r:id="rId165" ref="L236"/>
    <hyperlink r:id="rId166" ref="L237"/>
    <hyperlink r:id="rId167" ref="L238"/>
    <hyperlink r:id="rId168" ref="L239"/>
    <hyperlink r:id="rId169" ref="L241"/>
    <hyperlink r:id="rId170" ref="L243"/>
    <hyperlink r:id="rId171" ref="L245"/>
    <hyperlink r:id="rId172" ref="L246"/>
    <hyperlink r:id="rId173" ref="L249"/>
    <hyperlink r:id="rId174" ref="L250"/>
    <hyperlink r:id="rId175" ref="L251"/>
    <hyperlink r:id="rId176" ref="L252"/>
    <hyperlink r:id="rId177" ref="L253"/>
    <hyperlink r:id="rId178" ref="L254"/>
    <hyperlink r:id="rId179" ref="L255"/>
    <hyperlink r:id="rId180" ref="L256"/>
    <hyperlink r:id="rId181" ref="L257"/>
    <hyperlink r:id="rId182" ref="L258"/>
    <hyperlink r:id="rId183" ref="L261"/>
    <hyperlink r:id="rId184" ref="L262"/>
    <hyperlink r:id="rId185" ref="L263"/>
    <hyperlink r:id="rId186" ref="L264"/>
    <hyperlink r:id="rId187" ref="L266"/>
    <hyperlink r:id="rId188" ref="L270"/>
    <hyperlink r:id="rId189" ref="L271"/>
    <hyperlink r:id="rId190" ref="L272"/>
    <hyperlink r:id="rId191" ref="L273"/>
    <hyperlink r:id="rId192" ref="L276"/>
    <hyperlink r:id="rId193" ref="L277"/>
    <hyperlink r:id="rId194" ref="L278"/>
    <hyperlink r:id="rId195" ref="L279"/>
    <hyperlink r:id="rId196" ref="L280"/>
    <hyperlink r:id="rId197" ref="L281"/>
    <hyperlink r:id="rId198" ref="L282"/>
    <hyperlink r:id="rId199" ref="L283"/>
    <hyperlink r:id="rId200" ref="L284"/>
    <hyperlink r:id="rId201" ref="L285"/>
    <hyperlink r:id="rId202" ref="L287"/>
    <hyperlink r:id="rId203" ref="L288"/>
    <hyperlink r:id="rId204" ref="L289"/>
    <hyperlink r:id="rId205" ref="L290"/>
    <hyperlink r:id="rId206" ref="L292"/>
    <hyperlink r:id="rId207" ref="L293"/>
    <hyperlink r:id="rId208" ref="L294"/>
    <hyperlink r:id="rId209" ref="L295"/>
    <hyperlink r:id="rId210" ref="L296"/>
    <hyperlink r:id="rId211" ref="L297"/>
    <hyperlink r:id="rId212" ref="L298"/>
    <hyperlink r:id="rId213" ref="L299"/>
    <hyperlink r:id="rId214" ref="L300"/>
    <hyperlink r:id="rId215" ref="L301"/>
    <hyperlink r:id="rId216" ref="L303"/>
    <hyperlink r:id="rId217" ref="L304"/>
    <hyperlink r:id="rId218" ref="L305"/>
    <hyperlink r:id="rId219" ref="L306"/>
    <hyperlink r:id="rId220" ref="L307"/>
    <hyperlink r:id="rId221" ref="L308"/>
    <hyperlink r:id="rId222" ref="L309"/>
    <hyperlink r:id="rId223" ref="L311"/>
    <hyperlink r:id="rId224" ref="L313"/>
    <hyperlink r:id="rId225" ref="L315"/>
    <hyperlink r:id="rId226" ref="L316"/>
    <hyperlink r:id="rId227" ref="L318"/>
    <hyperlink r:id="rId228" ref="L319"/>
    <hyperlink r:id="rId229" ref="L320"/>
    <hyperlink r:id="rId230" ref="L321"/>
    <hyperlink r:id="rId231" ref="L324"/>
    <hyperlink r:id="rId232" ref="L325"/>
    <hyperlink r:id="rId233" ref="B326"/>
    <hyperlink r:id="rId234" ref="L326"/>
    <hyperlink r:id="rId235" ref="L327"/>
    <hyperlink r:id="rId236" ref="L328"/>
    <hyperlink r:id="rId237" ref="L331"/>
    <hyperlink r:id="rId238" ref="L332"/>
    <hyperlink r:id="rId239" ref="L334"/>
    <hyperlink r:id="rId240" ref="L336"/>
    <hyperlink r:id="rId241" ref="L337"/>
    <hyperlink r:id="rId242" ref="L340"/>
    <hyperlink r:id="rId243" ref="L344"/>
    <hyperlink r:id="rId244" ref="L346"/>
    <hyperlink r:id="rId245" ref="L347"/>
    <hyperlink r:id="rId246" ref="L348"/>
    <hyperlink r:id="rId247" ref="L349"/>
    <hyperlink r:id="rId248" ref="L350"/>
    <hyperlink r:id="rId249" ref="L351"/>
    <hyperlink r:id="rId250" ref="L352"/>
    <hyperlink r:id="rId251" ref="L353"/>
    <hyperlink r:id="rId252" ref="L354"/>
    <hyperlink r:id="rId253" ref="L355"/>
    <hyperlink r:id="rId254" ref="L356"/>
    <hyperlink r:id="rId255" ref="L357"/>
    <hyperlink r:id="rId256" ref="L358"/>
    <hyperlink r:id="rId257" ref="L361"/>
    <hyperlink r:id="rId258" ref="L362"/>
    <hyperlink r:id="rId259" ref="L363"/>
    <hyperlink r:id="rId260" ref="L364"/>
    <hyperlink r:id="rId261" ref="L367"/>
    <hyperlink r:id="rId262" ref="L368"/>
    <hyperlink r:id="rId263" ref="B369"/>
    <hyperlink r:id="rId264" ref="L369"/>
    <hyperlink r:id="rId265" ref="L370"/>
    <hyperlink r:id="rId266" ref="L371"/>
    <hyperlink r:id="rId267" ref="L372"/>
    <hyperlink r:id="rId268" ref="L373"/>
    <hyperlink r:id="rId269" ref="L374"/>
    <hyperlink r:id="rId270" ref="L377"/>
    <hyperlink r:id="rId271" ref="L378"/>
    <hyperlink r:id="rId272" ref="L379"/>
    <hyperlink r:id="rId273" ref="L384"/>
    <hyperlink r:id="rId274" ref="L386"/>
    <hyperlink r:id="rId275" ref="L387"/>
    <hyperlink r:id="rId276" ref="L389"/>
    <hyperlink r:id="rId277" ref="L390"/>
    <hyperlink r:id="rId278" ref="L391"/>
    <hyperlink r:id="rId279" ref="L392"/>
    <hyperlink r:id="rId280" ref="L393"/>
    <hyperlink r:id="rId281" ref="L394"/>
    <hyperlink r:id="rId282" ref="L396"/>
    <hyperlink r:id="rId283" ref="L397"/>
    <hyperlink r:id="rId284" ref="L398"/>
    <hyperlink r:id="rId285" ref="L399"/>
    <hyperlink r:id="rId286" ref="L400"/>
    <hyperlink r:id="rId287" ref="L402"/>
    <hyperlink r:id="rId288" ref="L403"/>
    <hyperlink r:id="rId289" ref="L404"/>
    <hyperlink r:id="rId290" ref="L405"/>
    <hyperlink r:id="rId291" ref="L407"/>
    <hyperlink r:id="rId292" ref="L408"/>
    <hyperlink r:id="rId293" ref="L409"/>
    <hyperlink r:id="rId294" ref="L411"/>
    <hyperlink r:id="rId295" ref="L413"/>
    <hyperlink r:id="rId296" ref="L414"/>
    <hyperlink r:id="rId297" ref="L416"/>
    <hyperlink r:id="rId298" ref="L418"/>
    <hyperlink r:id="rId299" ref="L419"/>
    <hyperlink r:id="rId300" ref="L420"/>
    <hyperlink r:id="rId301" ref="L422"/>
    <hyperlink r:id="rId302" ref="L423"/>
    <hyperlink r:id="rId303" ref="L425"/>
    <hyperlink r:id="rId304" ref="L426"/>
    <hyperlink r:id="rId305" ref="L427"/>
    <hyperlink r:id="rId306" ref="L428"/>
    <hyperlink r:id="rId307" ref="L432"/>
    <hyperlink r:id="rId308" ref="L433"/>
    <hyperlink r:id="rId309" ref="L434"/>
    <hyperlink r:id="rId310" ref="L437"/>
    <hyperlink r:id="rId311" ref="L438"/>
    <hyperlink r:id="rId312" ref="L439"/>
    <hyperlink r:id="rId313" ref="L440"/>
    <hyperlink r:id="rId314" ref="L443"/>
    <hyperlink r:id="rId315" ref="L444"/>
    <hyperlink r:id="rId316" ref="L445"/>
    <hyperlink r:id="rId317" ref="L447"/>
    <hyperlink r:id="rId318" ref="L448"/>
    <hyperlink r:id="rId319" ref="L449"/>
    <hyperlink r:id="rId320" ref="L450"/>
    <hyperlink r:id="rId321" ref="L452"/>
    <hyperlink r:id="rId322" ref="L457"/>
    <hyperlink r:id="rId323" ref="L458"/>
    <hyperlink r:id="rId324" ref="L462"/>
    <hyperlink r:id="rId325" ref="L463"/>
    <hyperlink r:id="rId326" ref="L467"/>
    <hyperlink r:id="rId327" ref="L468"/>
    <hyperlink r:id="rId328" ref="L469"/>
    <hyperlink r:id="rId329" ref="L470"/>
    <hyperlink r:id="rId330" ref="L471"/>
    <hyperlink r:id="rId331" ref="L472"/>
    <hyperlink r:id="rId332" ref="L473"/>
    <hyperlink r:id="rId333" ref="L475"/>
    <hyperlink r:id="rId334" ref="L477"/>
    <hyperlink r:id="rId335" ref="B478"/>
    <hyperlink r:id="rId336" ref="L478"/>
    <hyperlink r:id="rId337" ref="L479"/>
    <hyperlink r:id="rId338" ref="L480"/>
    <hyperlink r:id="rId339" ref="L481"/>
    <hyperlink r:id="rId340" ref="L482"/>
    <hyperlink r:id="rId341" ref="L484"/>
    <hyperlink r:id="rId342" ref="L485"/>
    <hyperlink r:id="rId343" ref="L487"/>
    <hyperlink r:id="rId344" ref="L488"/>
    <hyperlink r:id="rId345" ref="L489"/>
    <hyperlink r:id="rId346" ref="L492"/>
    <hyperlink r:id="rId347" ref="L493"/>
    <hyperlink r:id="rId348" ref="L495"/>
    <hyperlink r:id="rId349" ref="L496"/>
    <hyperlink r:id="rId350" ref="L497"/>
    <hyperlink r:id="rId351" ref="L499"/>
    <hyperlink r:id="rId352" ref="L501"/>
    <hyperlink r:id="rId353" ref="L502"/>
    <hyperlink r:id="rId354" ref="L503"/>
    <hyperlink r:id="rId355" ref="L504"/>
    <hyperlink r:id="rId356" ref="L505"/>
    <hyperlink r:id="rId357" ref="L508"/>
    <hyperlink r:id="rId358" ref="L509"/>
    <hyperlink r:id="rId359" ref="L514"/>
    <hyperlink r:id="rId360" ref="L517"/>
    <hyperlink r:id="rId361" ref="L518"/>
    <hyperlink r:id="rId362" ref="L520"/>
    <hyperlink r:id="rId363" ref="L523"/>
    <hyperlink r:id="rId364" ref="L524"/>
    <hyperlink r:id="rId365" ref="L526"/>
    <hyperlink r:id="rId366" ref="L527"/>
    <hyperlink r:id="rId367" ref="L528"/>
    <hyperlink r:id="rId368" ref="L529"/>
    <hyperlink r:id="rId369" ref="L530"/>
    <hyperlink r:id="rId370" ref="L533"/>
    <hyperlink r:id="rId371" ref="L535"/>
    <hyperlink r:id="rId372" ref="L536"/>
    <hyperlink r:id="rId373" ref="L540"/>
    <hyperlink r:id="rId374" ref="L542"/>
    <hyperlink r:id="rId375" ref="L543"/>
    <hyperlink r:id="rId376" ref="L544"/>
    <hyperlink r:id="rId377" ref="L545"/>
    <hyperlink r:id="rId378" ref="L546"/>
    <hyperlink r:id="rId379" ref="L548"/>
    <hyperlink r:id="rId380" ref="L552"/>
    <hyperlink r:id="rId381" ref="L553"/>
    <hyperlink r:id="rId382" ref="L555"/>
    <hyperlink r:id="rId383" ref="L556"/>
    <hyperlink r:id="rId384" ref="L557"/>
    <hyperlink r:id="rId385" ref="L560"/>
    <hyperlink r:id="rId386" ref="L561"/>
    <hyperlink r:id="rId387" ref="L562"/>
    <hyperlink r:id="rId388" ref="L564"/>
    <hyperlink r:id="rId389" ref="L565"/>
    <hyperlink r:id="rId390" ref="L568"/>
    <hyperlink r:id="rId391" ref="L569"/>
    <hyperlink r:id="rId392" ref="L571"/>
    <hyperlink r:id="rId393" ref="L572"/>
    <hyperlink r:id="rId394" ref="L573"/>
    <hyperlink r:id="rId395" ref="L574"/>
    <hyperlink r:id="rId396" ref="L575"/>
    <hyperlink r:id="rId397" ref="L577"/>
    <hyperlink r:id="rId398" ref="L578"/>
    <hyperlink r:id="rId399" ref="L579"/>
    <hyperlink r:id="rId400" ref="L584"/>
    <hyperlink r:id="rId401" ref="L585"/>
    <hyperlink r:id="rId402" ref="L587"/>
    <hyperlink r:id="rId403" ref="L588"/>
    <hyperlink r:id="rId404" ref="L591"/>
    <hyperlink r:id="rId405" ref="L592"/>
    <hyperlink r:id="rId406" ref="L593"/>
    <hyperlink r:id="rId407" ref="L594"/>
    <hyperlink r:id="rId408" ref="L595"/>
    <hyperlink r:id="rId409" ref="L598"/>
    <hyperlink r:id="rId410" ref="L599"/>
    <hyperlink r:id="rId411" ref="L601"/>
    <hyperlink r:id="rId412" ref="L604"/>
    <hyperlink r:id="rId413" ref="L605"/>
    <hyperlink r:id="rId414" ref="L606"/>
    <hyperlink r:id="rId415" ref="L607"/>
    <hyperlink r:id="rId416" ref="B608"/>
    <hyperlink r:id="rId417" ref="L608"/>
    <hyperlink r:id="rId418" ref="L609"/>
    <hyperlink r:id="rId419" ref="L610"/>
    <hyperlink r:id="rId420" ref="L612"/>
    <hyperlink r:id="rId421" ref="L614"/>
    <hyperlink r:id="rId422" ref="L615"/>
    <hyperlink r:id="rId423" ref="L616"/>
    <hyperlink r:id="rId424" ref="L617"/>
    <hyperlink r:id="rId425" ref="L618"/>
    <hyperlink r:id="rId426" ref="L619"/>
    <hyperlink r:id="rId427" ref="L620"/>
    <hyperlink r:id="rId428" ref="L621"/>
    <hyperlink r:id="rId429" ref="L622"/>
    <hyperlink r:id="rId430" ref="L624"/>
    <hyperlink r:id="rId431" ref="L626"/>
    <hyperlink r:id="rId432" ref="L628"/>
    <hyperlink r:id="rId433" ref="L629"/>
    <hyperlink r:id="rId434" ref="L631"/>
    <hyperlink r:id="rId435" ref="L632"/>
    <hyperlink r:id="rId436" ref="L633"/>
    <hyperlink r:id="rId437" ref="L634"/>
    <hyperlink r:id="rId438" ref="L635"/>
    <hyperlink r:id="rId439" ref="L636"/>
    <hyperlink r:id="rId440" ref="L640"/>
    <hyperlink r:id="rId441" ref="L641"/>
    <hyperlink r:id="rId442" ref="L643"/>
    <hyperlink r:id="rId443" ref="L645"/>
    <hyperlink r:id="rId444" ref="L646"/>
    <hyperlink r:id="rId445" ref="L647"/>
    <hyperlink r:id="rId446" ref="L649"/>
    <hyperlink r:id="rId447" ref="L650"/>
    <hyperlink r:id="rId448" ref="L651"/>
    <hyperlink r:id="rId449" ref="L652"/>
    <hyperlink r:id="rId450" ref="L653"/>
    <hyperlink r:id="rId451" ref="L654"/>
    <hyperlink r:id="rId452" ref="L655"/>
    <hyperlink r:id="rId453" ref="L656"/>
    <hyperlink r:id="rId454" ref="L657"/>
    <hyperlink r:id="rId455" ref="L659"/>
    <hyperlink r:id="rId456" ref="L660"/>
    <hyperlink r:id="rId457" ref="L661"/>
    <hyperlink r:id="rId458" ref="L662"/>
    <hyperlink r:id="rId459" ref="L666"/>
    <hyperlink r:id="rId460" ref="L667"/>
    <hyperlink r:id="rId461" ref="L669"/>
    <hyperlink r:id="rId462" ref="L670"/>
    <hyperlink r:id="rId463" ref="L671"/>
    <hyperlink r:id="rId464" ref="L672"/>
    <hyperlink r:id="rId465" ref="L673"/>
    <hyperlink r:id="rId466" ref="L674"/>
    <hyperlink r:id="rId467" ref="L675"/>
    <hyperlink r:id="rId468" ref="L676"/>
    <hyperlink r:id="rId469" ref="L677"/>
    <hyperlink r:id="rId470" ref="L678"/>
    <hyperlink r:id="rId471" ref="L679"/>
    <hyperlink r:id="rId472" ref="L680"/>
    <hyperlink r:id="rId473" ref="L681"/>
    <hyperlink r:id="rId474" ref="L684"/>
    <hyperlink r:id="rId475" ref="L685"/>
    <hyperlink r:id="rId476" ref="L686"/>
    <hyperlink r:id="rId477" ref="L688"/>
    <hyperlink r:id="rId478" ref="L689"/>
    <hyperlink r:id="rId479" ref="L690"/>
    <hyperlink r:id="rId480" ref="L691"/>
    <hyperlink r:id="rId481" ref="L692"/>
    <hyperlink r:id="rId482" ref="L693"/>
    <hyperlink r:id="rId483" ref="L694"/>
    <hyperlink r:id="rId484" ref="L695"/>
    <hyperlink r:id="rId485" ref="L696"/>
    <hyperlink r:id="rId486" ref="L698"/>
    <hyperlink r:id="rId487" ref="L699"/>
    <hyperlink r:id="rId488" ref="L700"/>
    <hyperlink r:id="rId489" ref="L701"/>
    <hyperlink r:id="rId490" ref="L702"/>
    <hyperlink r:id="rId491" ref="L703"/>
    <hyperlink r:id="rId492" ref="L704"/>
    <hyperlink r:id="rId493" ref="L705"/>
    <hyperlink r:id="rId494" ref="L706"/>
    <hyperlink r:id="rId495" ref="L707"/>
    <hyperlink r:id="rId496" ref="L708"/>
    <hyperlink r:id="rId497" ref="D711"/>
    <hyperlink r:id="rId498" ref="L711"/>
    <hyperlink r:id="rId499" ref="L712"/>
    <hyperlink r:id="rId500" ref="L713"/>
    <hyperlink r:id="rId501" ref="L714"/>
    <hyperlink r:id="rId502" ref="L715"/>
    <hyperlink r:id="rId503" ref="L716"/>
  </hyperlinks>
  <drawing r:id="rId50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1337</v>
      </c>
      <c r="B2" s="10" t="s">
        <v>15332</v>
      </c>
      <c r="C2" s="2">
        <v>7.4089777161E10</v>
      </c>
      <c r="D2" s="2" t="s">
        <v>15333</v>
      </c>
      <c r="E2" s="2">
        <v>25657.0</v>
      </c>
      <c r="F2" s="2">
        <v>23.0</v>
      </c>
      <c r="G2" s="2">
        <v>44.0</v>
      </c>
      <c r="H2" s="2" t="s">
        <v>5905</v>
      </c>
      <c r="I2" s="2" t="s">
        <v>5905</v>
      </c>
      <c r="J2" s="2" t="s">
        <v>5959</v>
      </c>
      <c r="K2" s="2" t="s">
        <v>15334</v>
      </c>
      <c r="L2" s="10" t="s">
        <v>15335</v>
      </c>
    </row>
    <row r="3">
      <c r="A3" s="2" t="s">
        <v>1337</v>
      </c>
      <c r="B3" s="2" t="s">
        <v>15336</v>
      </c>
      <c r="C3" s="2">
        <v>5.431982884E9</v>
      </c>
      <c r="D3" s="2" t="s">
        <v>15337</v>
      </c>
      <c r="E3" s="2">
        <v>37523.0</v>
      </c>
      <c r="F3" s="2">
        <v>226.0</v>
      </c>
      <c r="G3" s="2">
        <v>1208.0</v>
      </c>
      <c r="H3" s="2" t="s">
        <v>5905</v>
      </c>
      <c r="I3" s="2" t="s">
        <v>5906</v>
      </c>
      <c r="K3" s="2" t="s">
        <v>15338</v>
      </c>
      <c r="L3" s="10" t="s">
        <v>15339</v>
      </c>
    </row>
    <row r="4">
      <c r="A4" s="2" t="s">
        <v>1337</v>
      </c>
      <c r="B4" s="10" t="s">
        <v>15340</v>
      </c>
      <c r="C4" s="2">
        <v>5.8712495227E10</v>
      </c>
      <c r="D4" s="2" t="s">
        <v>15341</v>
      </c>
      <c r="E4" s="2">
        <v>3312262.0</v>
      </c>
      <c r="F4" s="2">
        <v>29.0</v>
      </c>
      <c r="G4" s="2">
        <v>1735.0</v>
      </c>
      <c r="H4" s="2" t="s">
        <v>5906</v>
      </c>
      <c r="I4" s="2" t="s">
        <v>5905</v>
      </c>
      <c r="J4" s="2" t="s">
        <v>12284</v>
      </c>
      <c r="K4" s="2" t="s">
        <v>15342</v>
      </c>
      <c r="L4" s="10" t="s">
        <v>15343</v>
      </c>
    </row>
    <row r="5">
      <c r="A5" s="2" t="s">
        <v>4408</v>
      </c>
      <c r="B5" s="10" t="s">
        <v>15344</v>
      </c>
      <c r="C5" s="2">
        <v>4.95953914E8</v>
      </c>
      <c r="D5" s="2" t="s">
        <v>15345</v>
      </c>
      <c r="E5" s="2">
        <v>12468.0</v>
      </c>
      <c r="F5" s="2">
        <v>657.0</v>
      </c>
      <c r="G5" s="2">
        <v>1033.0</v>
      </c>
      <c r="H5" s="2" t="s">
        <v>5906</v>
      </c>
      <c r="I5" s="2" t="s">
        <v>5906</v>
      </c>
      <c r="J5" s="2" t="s">
        <v>12667</v>
      </c>
      <c r="K5" s="2" t="s">
        <v>15346</v>
      </c>
      <c r="L5" s="10" t="s">
        <v>15347</v>
      </c>
    </row>
    <row r="6">
      <c r="A6" s="2" t="s">
        <v>4408</v>
      </c>
      <c r="B6" s="2" t="s">
        <v>15348</v>
      </c>
      <c r="C6" s="2">
        <v>5.4111624895E10</v>
      </c>
      <c r="D6" s="2" t="s">
        <v>15349</v>
      </c>
      <c r="E6" s="2">
        <v>117363.0</v>
      </c>
      <c r="F6" s="2">
        <v>690.0</v>
      </c>
      <c r="G6" s="2">
        <v>266.0</v>
      </c>
      <c r="H6" s="2" t="s">
        <v>5906</v>
      </c>
      <c r="I6" s="2" t="s">
        <v>5906</v>
      </c>
      <c r="J6" s="2" t="s">
        <v>6002</v>
      </c>
      <c r="K6" s="2" t="s">
        <v>15350</v>
      </c>
      <c r="L6" s="10" t="s">
        <v>15351</v>
      </c>
    </row>
    <row r="7">
      <c r="A7" s="2" t="s">
        <v>4408</v>
      </c>
      <c r="B7" s="2" t="s">
        <v>15352</v>
      </c>
      <c r="C7" s="2">
        <v>1.421724813E9</v>
      </c>
      <c r="D7" s="2" t="s">
        <v>15353</v>
      </c>
      <c r="E7" s="2">
        <v>1.1407267E7</v>
      </c>
      <c r="F7" s="2">
        <v>61.0</v>
      </c>
      <c r="G7" s="2">
        <v>625.0</v>
      </c>
      <c r="H7" s="2" t="s">
        <v>5905</v>
      </c>
      <c r="I7" s="2" t="s">
        <v>5905</v>
      </c>
      <c r="J7" s="2" t="s">
        <v>5928</v>
      </c>
      <c r="K7" s="2" t="s">
        <v>15354</v>
      </c>
    </row>
    <row r="8">
      <c r="A8" s="2" t="s">
        <v>4408</v>
      </c>
      <c r="B8" s="2" t="s">
        <v>15355</v>
      </c>
      <c r="C8" s="2">
        <v>5.941505797E9</v>
      </c>
      <c r="D8" s="2" t="s">
        <v>15356</v>
      </c>
      <c r="E8" s="2">
        <v>1419626.0</v>
      </c>
      <c r="F8" s="2">
        <v>0.0</v>
      </c>
      <c r="G8" s="2">
        <v>1.0</v>
      </c>
      <c r="H8" s="2" t="s">
        <v>5906</v>
      </c>
      <c r="I8" s="2" t="s">
        <v>5905</v>
      </c>
      <c r="J8" s="2" t="s">
        <v>6628</v>
      </c>
    </row>
    <row r="9">
      <c r="A9" s="2" t="s">
        <v>4408</v>
      </c>
      <c r="B9" s="2" t="s">
        <v>15357</v>
      </c>
      <c r="C9" s="2">
        <v>1.395862138E9</v>
      </c>
      <c r="E9" s="2">
        <v>2.3349839E7</v>
      </c>
      <c r="F9" s="2">
        <v>167.0</v>
      </c>
      <c r="G9" s="2">
        <v>33.0</v>
      </c>
      <c r="H9" s="2" t="s">
        <v>5906</v>
      </c>
      <c r="I9" s="2" t="s">
        <v>5906</v>
      </c>
      <c r="J9" s="2" t="s">
        <v>6124</v>
      </c>
      <c r="K9" s="2" t="s">
        <v>15358</v>
      </c>
      <c r="L9" s="10" t="s">
        <v>15359</v>
      </c>
    </row>
    <row r="10">
      <c r="A10" s="2" t="s">
        <v>4374</v>
      </c>
      <c r="B10" s="2" t="s">
        <v>4374</v>
      </c>
      <c r="C10" s="2">
        <v>4.8982868156E10</v>
      </c>
      <c r="D10" s="2" t="s">
        <v>15360</v>
      </c>
      <c r="E10" s="2">
        <v>80536.0</v>
      </c>
      <c r="F10" s="2">
        <v>33.0</v>
      </c>
      <c r="G10" s="2">
        <v>1475.0</v>
      </c>
      <c r="H10" s="2" t="s">
        <v>5905</v>
      </c>
      <c r="I10" s="2" t="s">
        <v>5906</v>
      </c>
      <c r="J10" s="2" t="s">
        <v>5561</v>
      </c>
      <c r="K10" s="2" t="s">
        <v>15361</v>
      </c>
    </row>
    <row r="11">
      <c r="A11" s="2" t="s">
        <v>4374</v>
      </c>
      <c r="B11" s="2" t="s">
        <v>15362</v>
      </c>
      <c r="C11" s="2">
        <v>6.8760221252E10</v>
      </c>
      <c r="D11" s="2" t="s">
        <v>15363</v>
      </c>
      <c r="E11" s="2">
        <v>26714.0</v>
      </c>
      <c r="F11" s="2">
        <v>759.0</v>
      </c>
      <c r="G11" s="2">
        <v>279.0</v>
      </c>
      <c r="H11" s="2" t="s">
        <v>5905</v>
      </c>
      <c r="I11" s="2" t="s">
        <v>5905</v>
      </c>
      <c r="J11" s="2" t="s">
        <v>6171</v>
      </c>
      <c r="K11" s="2" t="s">
        <v>15364</v>
      </c>
    </row>
    <row r="12">
      <c r="A12" s="2" t="s">
        <v>4374</v>
      </c>
      <c r="B12" s="2" t="s">
        <v>15365</v>
      </c>
      <c r="C12" s="2">
        <v>3.26494363E8</v>
      </c>
      <c r="D12" s="2" t="s">
        <v>15366</v>
      </c>
      <c r="E12" s="2">
        <v>988592.0</v>
      </c>
      <c r="F12" s="2">
        <v>67.0</v>
      </c>
      <c r="G12" s="2">
        <v>25967.0</v>
      </c>
      <c r="H12" s="2" t="s">
        <v>5906</v>
      </c>
      <c r="I12" s="2" t="s">
        <v>5905</v>
      </c>
      <c r="J12" s="2" t="s">
        <v>5959</v>
      </c>
      <c r="K12" s="2" t="s">
        <v>15367</v>
      </c>
      <c r="L12" s="10" t="s">
        <v>15368</v>
      </c>
    </row>
    <row r="13">
      <c r="A13" s="2" t="s">
        <v>4374</v>
      </c>
      <c r="B13" s="2" t="s">
        <v>15369</v>
      </c>
      <c r="C13" s="2">
        <v>7.217103905E9</v>
      </c>
      <c r="D13" s="2" t="s">
        <v>15370</v>
      </c>
      <c r="E13" s="2">
        <v>858103.0</v>
      </c>
      <c r="F13" s="2">
        <v>948.0</v>
      </c>
      <c r="G13" s="2">
        <v>13274.0</v>
      </c>
      <c r="H13" s="2" t="s">
        <v>5905</v>
      </c>
      <c r="I13" s="2" t="s">
        <v>5905</v>
      </c>
      <c r="J13" s="2" t="s">
        <v>15371</v>
      </c>
      <c r="K13" s="2" t="s">
        <v>15372</v>
      </c>
      <c r="L13" s="10" t="s">
        <v>15373</v>
      </c>
    </row>
    <row r="14">
      <c r="A14" s="2" t="s">
        <v>4374</v>
      </c>
      <c r="B14" s="2" t="s">
        <v>15374</v>
      </c>
      <c r="C14" s="2">
        <v>6.09363263E8</v>
      </c>
      <c r="D14" s="2" t="s">
        <v>15375</v>
      </c>
      <c r="E14" s="2">
        <v>128032.0</v>
      </c>
      <c r="F14" s="2">
        <v>1682.0</v>
      </c>
      <c r="G14" s="2">
        <v>2723.0</v>
      </c>
      <c r="H14" s="2" t="s">
        <v>5906</v>
      </c>
      <c r="I14" s="2" t="s">
        <v>5906</v>
      </c>
      <c r="J14" s="2" t="s">
        <v>6027</v>
      </c>
      <c r="K14" s="2" t="s">
        <v>15376</v>
      </c>
      <c r="L14" s="10" t="s">
        <v>15377</v>
      </c>
    </row>
    <row r="15">
      <c r="A15" s="2" t="s">
        <v>4374</v>
      </c>
      <c r="B15" s="2" t="s">
        <v>15378</v>
      </c>
      <c r="C15" s="2">
        <v>5.3201690346E10</v>
      </c>
      <c r="D15" s="12" t="s">
        <v>15379</v>
      </c>
      <c r="E15" s="2">
        <v>38420.0</v>
      </c>
      <c r="F15" s="2">
        <v>44.0</v>
      </c>
      <c r="G15" s="2">
        <v>365.0</v>
      </c>
      <c r="H15" s="2" t="s">
        <v>5905</v>
      </c>
      <c r="I15" s="2" t="s">
        <v>5905</v>
      </c>
      <c r="J15" s="2" t="s">
        <v>7405</v>
      </c>
      <c r="K15" s="12" t="s">
        <v>15380</v>
      </c>
    </row>
    <row r="16">
      <c r="A16" s="2" t="s">
        <v>4374</v>
      </c>
      <c r="B16" s="2" t="s">
        <v>15381</v>
      </c>
      <c r="C16" s="2">
        <v>4.8036783282E10</v>
      </c>
      <c r="D16" s="2" t="s">
        <v>15382</v>
      </c>
      <c r="E16" s="2">
        <v>232606.0</v>
      </c>
      <c r="F16" s="2">
        <v>111.0</v>
      </c>
      <c r="G16" s="2">
        <v>856.0</v>
      </c>
      <c r="H16" s="2" t="s">
        <v>5905</v>
      </c>
      <c r="I16" s="2" t="s">
        <v>5905</v>
      </c>
      <c r="J16" s="2" t="s">
        <v>6171</v>
      </c>
      <c r="K16" s="2" t="s">
        <v>15383</v>
      </c>
      <c r="L16" s="10" t="s">
        <v>15384</v>
      </c>
    </row>
    <row r="17">
      <c r="A17" s="2" t="s">
        <v>4374</v>
      </c>
      <c r="B17" s="2" t="s">
        <v>15385</v>
      </c>
      <c r="C17" s="2">
        <v>2.60375673E8</v>
      </c>
      <c r="D17" s="2" t="s">
        <v>15382</v>
      </c>
      <c r="E17" s="2">
        <v>1.43776994E8</v>
      </c>
      <c r="F17" s="2">
        <v>103.0</v>
      </c>
      <c r="G17" s="2">
        <v>25183.0</v>
      </c>
      <c r="H17" s="2" t="s">
        <v>5906</v>
      </c>
      <c r="I17" s="2" t="s">
        <v>5906</v>
      </c>
      <c r="J17" s="2" t="s">
        <v>4397</v>
      </c>
      <c r="K17" s="2" t="s">
        <v>15386</v>
      </c>
      <c r="L17" s="10" t="s">
        <v>15387</v>
      </c>
    </row>
    <row r="18">
      <c r="A18" s="2" t="s">
        <v>4374</v>
      </c>
      <c r="B18" s="2" t="s">
        <v>15388</v>
      </c>
      <c r="C18" s="2">
        <v>5.536201199E9</v>
      </c>
      <c r="D18" s="2" t="s">
        <v>15389</v>
      </c>
      <c r="E18" s="2">
        <v>1.0760259E7</v>
      </c>
      <c r="F18" s="2">
        <v>50.0</v>
      </c>
      <c r="G18" s="2">
        <v>6381.0</v>
      </c>
      <c r="H18" s="2" t="s">
        <v>5906</v>
      </c>
      <c r="I18" s="2" t="s">
        <v>5906</v>
      </c>
      <c r="K18" s="2" t="s">
        <v>15390</v>
      </c>
      <c r="L18" s="10" t="s">
        <v>15391</v>
      </c>
    </row>
    <row r="19">
      <c r="A19" s="2" t="s">
        <v>4374</v>
      </c>
      <c r="B19" s="2" t="s">
        <v>15392</v>
      </c>
      <c r="C19" s="2">
        <v>2.261335047E9</v>
      </c>
      <c r="D19" s="2" t="s">
        <v>15393</v>
      </c>
      <c r="E19" s="2">
        <v>7110511.0</v>
      </c>
      <c r="F19" s="2">
        <v>54.0</v>
      </c>
      <c r="G19" s="2">
        <v>8626.0</v>
      </c>
      <c r="H19" s="2" t="s">
        <v>5906</v>
      </c>
      <c r="I19" s="2" t="s">
        <v>5906</v>
      </c>
      <c r="J19" s="2" t="s">
        <v>8479</v>
      </c>
      <c r="K19" s="2" t="s">
        <v>15394</v>
      </c>
      <c r="L19" s="10" t="s">
        <v>15395</v>
      </c>
    </row>
    <row r="20">
      <c r="A20" s="2" t="s">
        <v>4374</v>
      </c>
      <c r="B20" s="2" t="s">
        <v>15396</v>
      </c>
      <c r="C20" s="2">
        <v>3.470701725E9</v>
      </c>
      <c r="D20" s="2" t="s">
        <v>15397</v>
      </c>
      <c r="E20" s="2">
        <v>9628429.0</v>
      </c>
      <c r="F20" s="2">
        <v>80.0</v>
      </c>
      <c r="G20" s="2">
        <v>6189.0</v>
      </c>
      <c r="H20" s="2" t="s">
        <v>5906</v>
      </c>
      <c r="I20" s="2" t="s">
        <v>5906</v>
      </c>
      <c r="K20" s="2" t="s">
        <v>15398</v>
      </c>
      <c r="L20" s="10" t="s">
        <v>15399</v>
      </c>
    </row>
    <row r="21">
      <c r="A21" s="2" t="s">
        <v>4374</v>
      </c>
      <c r="B21" s="2" t="s">
        <v>15400</v>
      </c>
      <c r="C21" s="2">
        <v>2.378768841E9</v>
      </c>
      <c r="D21" s="2" t="s">
        <v>15401</v>
      </c>
      <c r="E21" s="2">
        <v>121991.0</v>
      </c>
      <c r="F21" s="2">
        <v>1291.0</v>
      </c>
      <c r="G21" s="2">
        <v>1112.0</v>
      </c>
      <c r="H21" s="2" t="s">
        <v>5905</v>
      </c>
      <c r="I21" s="2" t="s">
        <v>5906</v>
      </c>
      <c r="J21" s="2" t="s">
        <v>4996</v>
      </c>
      <c r="K21" s="2" t="s">
        <v>15402</v>
      </c>
      <c r="L21" s="10" t="s">
        <v>15403</v>
      </c>
    </row>
    <row r="22">
      <c r="A22" s="2" t="s">
        <v>4374</v>
      </c>
      <c r="B22" s="2" t="s">
        <v>15404</v>
      </c>
      <c r="C22" s="2">
        <v>1.218955299E9</v>
      </c>
      <c r="D22" s="2" t="s">
        <v>15405</v>
      </c>
      <c r="E22" s="2">
        <v>85162.0</v>
      </c>
      <c r="F22" s="2">
        <v>1092.0</v>
      </c>
      <c r="G22" s="2">
        <v>3817.0</v>
      </c>
      <c r="H22" s="2" t="s">
        <v>5905</v>
      </c>
      <c r="I22" s="2" t="s">
        <v>5905</v>
      </c>
      <c r="K22" s="2" t="s">
        <v>15406</v>
      </c>
      <c r="L22" s="10" t="s">
        <v>15407</v>
      </c>
    </row>
    <row r="23">
      <c r="A23" s="2" t="s">
        <v>4374</v>
      </c>
      <c r="B23" s="2" t="s">
        <v>15408</v>
      </c>
      <c r="C23" s="2">
        <v>1.123832954E9</v>
      </c>
      <c r="D23" s="2" t="s">
        <v>15409</v>
      </c>
      <c r="E23" s="2">
        <v>564942.0</v>
      </c>
      <c r="F23" s="2">
        <v>1574.0</v>
      </c>
      <c r="G23" s="2">
        <v>3311.0</v>
      </c>
      <c r="H23" s="2" t="s">
        <v>5906</v>
      </c>
      <c r="I23" s="2" t="s">
        <v>5906</v>
      </c>
      <c r="J23" s="2" t="s">
        <v>8911</v>
      </c>
      <c r="K23" s="2" t="s">
        <v>15410</v>
      </c>
      <c r="L23" s="10" t="s">
        <v>15411</v>
      </c>
    </row>
    <row r="24">
      <c r="A24" s="2" t="s">
        <v>4374</v>
      </c>
      <c r="B24" s="2" t="s">
        <v>15412</v>
      </c>
      <c r="C24" s="2">
        <v>3.72806934E8</v>
      </c>
      <c r="D24" s="2" t="s">
        <v>15413</v>
      </c>
      <c r="E24" s="2">
        <v>139021.0</v>
      </c>
      <c r="F24" s="2">
        <v>628.0</v>
      </c>
      <c r="G24" s="2">
        <v>452.0</v>
      </c>
      <c r="H24" s="2" t="s">
        <v>5906</v>
      </c>
      <c r="I24" s="2" t="s">
        <v>5906</v>
      </c>
      <c r="J24" s="2" t="s">
        <v>7296</v>
      </c>
      <c r="K24" s="2" t="s">
        <v>15414</v>
      </c>
      <c r="L24" s="10" t="s">
        <v>15415</v>
      </c>
    </row>
    <row r="25">
      <c r="A25" s="2" t="s">
        <v>4398</v>
      </c>
      <c r="B25" s="2" t="s">
        <v>4398</v>
      </c>
      <c r="C25" s="2">
        <v>3.616680457E9</v>
      </c>
      <c r="D25" s="2" t="s">
        <v>15416</v>
      </c>
      <c r="E25" s="2">
        <v>2513595.0</v>
      </c>
      <c r="F25" s="2">
        <v>2.0</v>
      </c>
      <c r="G25" s="2">
        <v>9090.0</v>
      </c>
      <c r="H25" s="2" t="s">
        <v>5906</v>
      </c>
      <c r="I25" s="2" t="s">
        <v>5905</v>
      </c>
      <c r="J25" s="2" t="s">
        <v>5959</v>
      </c>
      <c r="K25" s="2" t="s">
        <v>15417</v>
      </c>
      <c r="L25" s="10" t="s">
        <v>15418</v>
      </c>
    </row>
    <row r="26">
      <c r="A26" s="2" t="s">
        <v>4398</v>
      </c>
      <c r="B26" s="2" t="s">
        <v>15419</v>
      </c>
      <c r="C26" s="2">
        <v>2.73478993E8</v>
      </c>
      <c r="D26" s="2" t="s">
        <v>15420</v>
      </c>
      <c r="E26" s="2">
        <v>594022.0</v>
      </c>
      <c r="F26" s="2">
        <v>448.0</v>
      </c>
      <c r="G26" s="2">
        <v>12583.0</v>
      </c>
      <c r="H26" s="2" t="s">
        <v>5906</v>
      </c>
      <c r="I26" s="2" t="s">
        <v>5905</v>
      </c>
      <c r="J26" s="2" t="s">
        <v>4996</v>
      </c>
      <c r="K26" s="2" t="s">
        <v>15421</v>
      </c>
      <c r="L26" s="10" t="s">
        <v>15422</v>
      </c>
    </row>
    <row r="27">
      <c r="A27" s="2" t="s">
        <v>4398</v>
      </c>
      <c r="B27" s="2" t="s">
        <v>15423</v>
      </c>
      <c r="C27" s="2">
        <v>4.778573049E9</v>
      </c>
      <c r="D27" s="2" t="s">
        <v>15424</v>
      </c>
      <c r="E27" s="2">
        <v>41480.0</v>
      </c>
      <c r="F27" s="2">
        <v>404.0</v>
      </c>
      <c r="G27" s="2">
        <v>2376.0</v>
      </c>
      <c r="H27" s="2" t="s">
        <v>5906</v>
      </c>
      <c r="I27" s="2" t="s">
        <v>5906</v>
      </c>
      <c r="K27" s="2" t="s">
        <v>15425</v>
      </c>
      <c r="L27" s="10" t="s">
        <v>15426</v>
      </c>
    </row>
    <row r="28">
      <c r="A28" s="2" t="s">
        <v>4398</v>
      </c>
      <c r="B28" s="2" t="s">
        <v>15427</v>
      </c>
      <c r="C28" s="2">
        <v>1.46500402E9</v>
      </c>
      <c r="D28" s="2" t="s">
        <v>15428</v>
      </c>
      <c r="E28" s="2">
        <v>27062.0</v>
      </c>
      <c r="F28" s="2">
        <v>260.0</v>
      </c>
      <c r="G28" s="2">
        <v>3130.0</v>
      </c>
      <c r="H28" s="2" t="s">
        <v>5906</v>
      </c>
      <c r="I28" s="2" t="s">
        <v>5906</v>
      </c>
      <c r="J28" s="2" t="s">
        <v>5391</v>
      </c>
      <c r="L28" s="10" t="s">
        <v>15429</v>
      </c>
    </row>
    <row r="29">
      <c r="A29" s="2" t="s">
        <v>4398</v>
      </c>
      <c r="B29" s="2" t="s">
        <v>15430</v>
      </c>
      <c r="C29" s="2">
        <v>7.432491244E9</v>
      </c>
      <c r="D29" s="2" t="s">
        <v>15431</v>
      </c>
      <c r="E29" s="2">
        <v>444316.0</v>
      </c>
      <c r="F29" s="2">
        <v>67.0</v>
      </c>
      <c r="G29" s="2">
        <v>1427.0</v>
      </c>
      <c r="H29" s="2" t="s">
        <v>5906</v>
      </c>
      <c r="I29" s="2" t="s">
        <v>5906</v>
      </c>
      <c r="K29" s="2" t="s">
        <v>15432</v>
      </c>
      <c r="L29" s="10" t="s">
        <v>15433</v>
      </c>
    </row>
    <row r="30">
      <c r="A30" s="2" t="s">
        <v>4398</v>
      </c>
      <c r="B30" s="2" t="s">
        <v>15434</v>
      </c>
      <c r="C30" s="2">
        <v>1.27190459E9</v>
      </c>
      <c r="D30" s="2" t="s">
        <v>15435</v>
      </c>
      <c r="E30" s="2">
        <v>217877.0</v>
      </c>
      <c r="F30" s="2">
        <v>1302.0</v>
      </c>
      <c r="G30" s="2">
        <v>9073.0</v>
      </c>
      <c r="H30" s="2" t="s">
        <v>5906</v>
      </c>
      <c r="I30" s="2" t="s">
        <v>5905</v>
      </c>
      <c r="K30" s="2" t="s">
        <v>15436</v>
      </c>
      <c r="L30" s="10" t="s">
        <v>15437</v>
      </c>
    </row>
    <row r="31">
      <c r="A31" s="2" t="s">
        <v>4398</v>
      </c>
      <c r="B31" s="2" t="s">
        <v>15438</v>
      </c>
      <c r="C31" s="2">
        <v>1.702441946E9</v>
      </c>
      <c r="D31" s="2" t="s">
        <v>15439</v>
      </c>
      <c r="E31" s="2">
        <v>211516.0</v>
      </c>
      <c r="F31" s="2">
        <v>435.0</v>
      </c>
      <c r="G31" s="2">
        <v>8142.0</v>
      </c>
      <c r="H31" s="2" t="s">
        <v>5906</v>
      </c>
      <c r="I31" s="2" t="s">
        <v>5906</v>
      </c>
      <c r="J31" s="2" t="s">
        <v>4397</v>
      </c>
      <c r="K31" s="2" t="s">
        <v>15440</v>
      </c>
      <c r="L31" s="10" t="s">
        <v>15441</v>
      </c>
    </row>
    <row r="32">
      <c r="A32" s="2" t="s">
        <v>4398</v>
      </c>
      <c r="B32" s="2" t="s">
        <v>15442</v>
      </c>
      <c r="C32" s="2">
        <v>7.114018138E9</v>
      </c>
      <c r="D32" s="2" t="s">
        <v>15443</v>
      </c>
      <c r="E32" s="2">
        <v>534282.0</v>
      </c>
      <c r="F32" s="2">
        <v>260.0</v>
      </c>
      <c r="G32" s="2">
        <v>623.0</v>
      </c>
      <c r="H32" s="2" t="s">
        <v>5906</v>
      </c>
      <c r="I32" s="2" t="s">
        <v>5906</v>
      </c>
      <c r="J32" s="2" t="s">
        <v>4397</v>
      </c>
      <c r="K32" s="2" t="s">
        <v>15444</v>
      </c>
      <c r="L32" s="10" t="s">
        <v>15445</v>
      </c>
    </row>
    <row r="33">
      <c r="A33" s="2" t="s">
        <v>4398</v>
      </c>
      <c r="B33" s="2" t="s">
        <v>15446</v>
      </c>
      <c r="C33" s="2">
        <v>3.37702434E8</v>
      </c>
      <c r="D33" s="2" t="s">
        <v>15447</v>
      </c>
      <c r="E33" s="2">
        <v>32311.0</v>
      </c>
      <c r="F33" s="2">
        <v>233.0</v>
      </c>
      <c r="G33" s="2">
        <v>2803.0</v>
      </c>
      <c r="H33" s="2" t="s">
        <v>5906</v>
      </c>
      <c r="I33" s="2" t="s">
        <v>5906</v>
      </c>
      <c r="J33" s="2" t="s">
        <v>15448</v>
      </c>
      <c r="K33" s="2" t="s">
        <v>15449</v>
      </c>
      <c r="L33" s="10" t="s">
        <v>15450</v>
      </c>
    </row>
    <row r="34">
      <c r="A34" s="2" t="s">
        <v>4398</v>
      </c>
      <c r="B34" s="2" t="s">
        <v>15451</v>
      </c>
      <c r="C34" s="2">
        <v>1.033835572E9</v>
      </c>
      <c r="D34" s="2" t="s">
        <v>15452</v>
      </c>
      <c r="E34" s="2">
        <v>134636.0</v>
      </c>
      <c r="F34" s="2">
        <v>307.0</v>
      </c>
      <c r="G34" s="2">
        <v>3619.0</v>
      </c>
      <c r="H34" s="2" t="s">
        <v>5906</v>
      </c>
      <c r="I34" s="2" t="s">
        <v>5906</v>
      </c>
      <c r="J34" s="2" t="s">
        <v>15453</v>
      </c>
      <c r="K34" s="2" t="s">
        <v>15454</v>
      </c>
      <c r="L34" s="10" t="s">
        <v>15455</v>
      </c>
    </row>
    <row r="35">
      <c r="A35" s="2" t="s">
        <v>4398</v>
      </c>
      <c r="B35" s="2" t="s">
        <v>15456</v>
      </c>
      <c r="C35" s="2">
        <v>2.808832553E9</v>
      </c>
      <c r="D35" s="2" t="s">
        <v>15457</v>
      </c>
    </row>
    <row r="36">
      <c r="A36" s="2" t="s">
        <v>4398</v>
      </c>
      <c r="B36" s="2" t="s">
        <v>15458</v>
      </c>
      <c r="C36" s="2">
        <v>5280938.0</v>
      </c>
      <c r="D36" s="2" t="s">
        <v>15459</v>
      </c>
      <c r="E36" s="2">
        <v>173314.0</v>
      </c>
      <c r="F36" s="2">
        <v>4776.0</v>
      </c>
      <c r="G36" s="2">
        <v>8310.0</v>
      </c>
      <c r="H36" s="2" t="s">
        <v>5906</v>
      </c>
      <c r="I36" s="2" t="s">
        <v>5905</v>
      </c>
      <c r="J36" s="2" t="s">
        <v>6414</v>
      </c>
      <c r="K36" s="2" t="s">
        <v>15460</v>
      </c>
      <c r="L36" s="10" t="s">
        <v>15461</v>
      </c>
    </row>
    <row r="37">
      <c r="A37" s="2" t="s">
        <v>4398</v>
      </c>
      <c r="B37" s="2" t="s">
        <v>15462</v>
      </c>
      <c r="C37" s="2">
        <v>3.06787899E8</v>
      </c>
      <c r="D37" s="2" t="s">
        <v>15463</v>
      </c>
      <c r="E37" s="2">
        <v>1.6161489E7</v>
      </c>
      <c r="F37" s="2">
        <v>149.0</v>
      </c>
      <c r="G37" s="2">
        <v>1557.0</v>
      </c>
      <c r="H37" s="2" t="s">
        <v>5906</v>
      </c>
      <c r="I37" s="2" t="s">
        <v>5906</v>
      </c>
      <c r="K37" s="2" t="s">
        <v>15464</v>
      </c>
      <c r="L37" s="10" t="s">
        <v>15465</v>
      </c>
    </row>
    <row r="38">
      <c r="A38" s="2" t="s">
        <v>4398</v>
      </c>
      <c r="B38" s="2" t="s">
        <v>15466</v>
      </c>
      <c r="C38" s="2">
        <v>1.992978346E9</v>
      </c>
      <c r="D38" s="2" t="s">
        <v>15467</v>
      </c>
      <c r="E38" s="2">
        <v>5188643.0</v>
      </c>
      <c r="F38" s="2">
        <v>34.0</v>
      </c>
      <c r="G38" s="2">
        <v>8414.0</v>
      </c>
      <c r="H38" s="2" t="s">
        <v>5906</v>
      </c>
      <c r="I38" s="2" t="s">
        <v>5906</v>
      </c>
      <c r="K38" s="2" t="s">
        <v>15468</v>
      </c>
    </row>
    <row r="39">
      <c r="A39" s="2" t="s">
        <v>4398</v>
      </c>
      <c r="B39" s="2" t="s">
        <v>15469</v>
      </c>
      <c r="C39" s="2">
        <v>1.751052068E9</v>
      </c>
      <c r="D39" s="2" t="s">
        <v>15470</v>
      </c>
      <c r="E39" s="2">
        <v>18852.0</v>
      </c>
      <c r="F39" s="2">
        <v>217.0</v>
      </c>
      <c r="G39" s="2">
        <v>6514.0</v>
      </c>
      <c r="H39" s="2" t="s">
        <v>5906</v>
      </c>
      <c r="I39" s="2" t="s">
        <v>5906</v>
      </c>
      <c r="K39" s="2" t="s">
        <v>15471</v>
      </c>
      <c r="L39" s="10" t="s">
        <v>15472</v>
      </c>
    </row>
    <row r="40">
      <c r="A40" s="2" t="s">
        <v>4398</v>
      </c>
      <c r="B40" s="2" t="s">
        <v>15473</v>
      </c>
      <c r="C40" s="2">
        <v>2.42512672E8</v>
      </c>
      <c r="D40" s="2" t="s">
        <v>15474</v>
      </c>
      <c r="E40" s="2">
        <v>585665.0</v>
      </c>
      <c r="F40" s="2">
        <v>273.0</v>
      </c>
      <c r="G40" s="2">
        <v>6178.0</v>
      </c>
      <c r="H40" s="2" t="s">
        <v>5906</v>
      </c>
      <c r="I40" s="2" t="s">
        <v>5906</v>
      </c>
      <c r="J40" s="2" t="s">
        <v>15453</v>
      </c>
      <c r="K40" s="2" t="s">
        <v>15475</v>
      </c>
      <c r="L40" s="10" t="s">
        <v>15476</v>
      </c>
    </row>
    <row r="41">
      <c r="A41" s="2" t="s">
        <v>4398</v>
      </c>
      <c r="B41" s="2" t="s">
        <v>15477</v>
      </c>
      <c r="C41" s="2">
        <v>4.5350589E8</v>
      </c>
      <c r="D41" s="2" t="s">
        <v>15478</v>
      </c>
      <c r="E41" s="2">
        <v>25975.0</v>
      </c>
      <c r="F41" s="2">
        <v>57.0</v>
      </c>
      <c r="G41" s="2">
        <v>2340.0</v>
      </c>
      <c r="H41" s="2" t="s">
        <v>5906</v>
      </c>
      <c r="I41" s="2" t="s">
        <v>5906</v>
      </c>
      <c r="J41" s="2" t="s">
        <v>15453</v>
      </c>
      <c r="K41" s="2" t="s">
        <v>15479</v>
      </c>
      <c r="L41" s="10" t="s">
        <v>15480</v>
      </c>
    </row>
    <row r="42">
      <c r="A42" s="2" t="s">
        <v>4398</v>
      </c>
      <c r="B42" s="2" t="s">
        <v>15481</v>
      </c>
      <c r="C42" s="2">
        <v>2.93879594E8</v>
      </c>
      <c r="D42" s="2" t="s">
        <v>15482</v>
      </c>
      <c r="E42" s="2">
        <v>4813601.0</v>
      </c>
      <c r="F42" s="2">
        <v>577.0</v>
      </c>
      <c r="G42" s="2">
        <v>8324.0</v>
      </c>
      <c r="H42" s="2" t="s">
        <v>5906</v>
      </c>
      <c r="I42" s="2" t="s">
        <v>5906</v>
      </c>
      <c r="K42" s="2" t="s">
        <v>15483</v>
      </c>
      <c r="L42" s="10" t="s">
        <v>15484</v>
      </c>
    </row>
    <row r="43">
      <c r="A43" s="2" t="s">
        <v>4369</v>
      </c>
      <c r="B43" s="2" t="s">
        <v>15485</v>
      </c>
      <c r="C43" s="2">
        <v>5.3520453989E10</v>
      </c>
      <c r="D43" s="2" t="s">
        <v>15486</v>
      </c>
      <c r="E43" s="2">
        <v>84824.0</v>
      </c>
      <c r="F43" s="2">
        <v>222.0</v>
      </c>
      <c r="G43" s="2">
        <v>1037.0</v>
      </c>
      <c r="H43" s="2" t="s">
        <v>5906</v>
      </c>
      <c r="I43" s="2" t="s">
        <v>5905</v>
      </c>
      <c r="J43" s="2" t="s">
        <v>6559</v>
      </c>
      <c r="K43" s="2" t="s">
        <v>15487</v>
      </c>
      <c r="L43" s="10" t="s">
        <v>15488</v>
      </c>
    </row>
    <row r="44">
      <c r="A44" s="2" t="s">
        <v>4369</v>
      </c>
      <c r="B44" s="2" t="s">
        <v>15489</v>
      </c>
      <c r="C44" s="2">
        <v>1.087282665E9</v>
      </c>
      <c r="D44" s="2" t="s">
        <v>15490</v>
      </c>
      <c r="E44" s="2">
        <v>316373.0</v>
      </c>
      <c r="F44" s="2">
        <v>942.0</v>
      </c>
      <c r="G44" s="2">
        <v>3192.0</v>
      </c>
      <c r="H44" s="2" t="s">
        <v>5906</v>
      </c>
      <c r="I44" s="2" t="s">
        <v>5905</v>
      </c>
      <c r="J44" s="2" t="s">
        <v>6559</v>
      </c>
      <c r="K44" s="2" t="s">
        <v>15491</v>
      </c>
      <c r="L44" s="10" t="s">
        <v>15492</v>
      </c>
    </row>
    <row r="45">
      <c r="A45" s="2" t="s">
        <v>4369</v>
      </c>
      <c r="B45" s="2" t="s">
        <v>15493</v>
      </c>
      <c r="C45" s="2">
        <v>3.570708658E9</v>
      </c>
      <c r="D45" s="2" t="s">
        <v>15494</v>
      </c>
      <c r="E45" s="2">
        <v>189662.0</v>
      </c>
      <c r="F45" s="2">
        <v>897.0</v>
      </c>
      <c r="G45" s="2">
        <v>267.0</v>
      </c>
      <c r="H45" s="2" t="s">
        <v>5906</v>
      </c>
      <c r="I45" s="2" t="s">
        <v>5906</v>
      </c>
      <c r="J45" s="2" t="s">
        <v>6559</v>
      </c>
      <c r="K45" s="2" t="s">
        <v>15495</v>
      </c>
      <c r="L45" s="10" t="s">
        <v>15496</v>
      </c>
    </row>
    <row r="46">
      <c r="A46" s="2" t="s">
        <v>4369</v>
      </c>
      <c r="B46" s="10" t="s">
        <v>15497</v>
      </c>
      <c r="C46" s="2">
        <v>2.979589987E10</v>
      </c>
      <c r="D46" s="2" t="s">
        <v>15498</v>
      </c>
      <c r="E46" s="2">
        <v>23892.0</v>
      </c>
      <c r="F46" s="2">
        <v>141.0</v>
      </c>
      <c r="G46" s="2">
        <v>402.0</v>
      </c>
      <c r="H46" s="2" t="s">
        <v>5906</v>
      </c>
      <c r="I46" s="2" t="s">
        <v>5906</v>
      </c>
      <c r="J46" s="2" t="s">
        <v>5561</v>
      </c>
      <c r="K46" s="2" t="s">
        <v>15499</v>
      </c>
      <c r="L46" s="10" t="s">
        <v>15500</v>
      </c>
    </row>
    <row r="47">
      <c r="A47" s="2" t="s">
        <v>4369</v>
      </c>
      <c r="B47" s="2" t="s">
        <v>15501</v>
      </c>
      <c r="C47" s="2">
        <v>6.545266537E9</v>
      </c>
      <c r="D47" s="2" t="s">
        <v>15502</v>
      </c>
      <c r="E47" s="2">
        <v>82144.0</v>
      </c>
      <c r="F47" s="2">
        <v>2433.0</v>
      </c>
      <c r="G47" s="2">
        <v>1421.0</v>
      </c>
      <c r="H47" s="2" t="s">
        <v>5906</v>
      </c>
      <c r="I47" s="2" t="s">
        <v>5906</v>
      </c>
      <c r="J47" s="2" t="s">
        <v>5391</v>
      </c>
      <c r="K47" s="2" t="s">
        <v>15503</v>
      </c>
    </row>
    <row r="48">
      <c r="A48" s="2" t="s">
        <v>4369</v>
      </c>
      <c r="B48" s="2" t="s">
        <v>15504</v>
      </c>
      <c r="C48" s="2">
        <v>4.4665620335E10</v>
      </c>
      <c r="D48" s="2" t="s">
        <v>15505</v>
      </c>
      <c r="E48" s="2">
        <v>3911125.0</v>
      </c>
      <c r="F48" s="2">
        <v>53.0</v>
      </c>
      <c r="G48" s="2">
        <v>1069.0</v>
      </c>
      <c r="H48" s="2" t="s">
        <v>5906</v>
      </c>
      <c r="I48" s="2" t="s">
        <v>5905</v>
      </c>
      <c r="J48" s="2" t="s">
        <v>6699</v>
      </c>
      <c r="K48" s="2" t="s">
        <v>15506</v>
      </c>
      <c r="L48" s="10" t="s">
        <v>15507</v>
      </c>
    </row>
    <row r="49">
      <c r="A49" s="2" t="s">
        <v>4369</v>
      </c>
      <c r="B49" s="2" t="s">
        <v>15508</v>
      </c>
      <c r="C49" s="2">
        <v>1.38572736E9</v>
      </c>
      <c r="D49" s="2" t="s">
        <v>15509</v>
      </c>
      <c r="E49" s="2">
        <v>616958.0</v>
      </c>
      <c r="F49" s="2">
        <v>0.0</v>
      </c>
      <c r="G49" s="2">
        <v>1.0</v>
      </c>
      <c r="H49" s="2" t="s">
        <v>5906</v>
      </c>
      <c r="I49" s="2" t="s">
        <v>5905</v>
      </c>
      <c r="J49" s="2" t="s">
        <v>13634</v>
      </c>
    </row>
    <row r="50">
      <c r="A50" s="2" t="s">
        <v>4369</v>
      </c>
      <c r="B50" s="2" t="s">
        <v>15510</v>
      </c>
      <c r="C50" s="2">
        <v>2.35077265E8</v>
      </c>
      <c r="D50" s="2" t="s">
        <v>15511</v>
      </c>
      <c r="E50" s="2">
        <v>1552925.0</v>
      </c>
      <c r="F50" s="2">
        <v>2318.0</v>
      </c>
      <c r="G50" s="2">
        <v>696.0</v>
      </c>
      <c r="H50" s="2" t="s">
        <v>5906</v>
      </c>
      <c r="I50" s="2" t="s">
        <v>5905</v>
      </c>
      <c r="J50" s="2" t="s">
        <v>5959</v>
      </c>
      <c r="K50" s="2" t="s">
        <v>15512</v>
      </c>
    </row>
    <row r="51">
      <c r="A51" s="2" t="s">
        <v>4369</v>
      </c>
      <c r="B51" s="2" t="s">
        <v>15513</v>
      </c>
      <c r="C51" s="2">
        <v>2.0250040277E10</v>
      </c>
      <c r="D51" s="2" t="s">
        <v>15514</v>
      </c>
      <c r="E51" s="2">
        <v>5065817.0</v>
      </c>
      <c r="F51" s="2">
        <v>3082.0</v>
      </c>
      <c r="G51" s="2">
        <v>1157.0</v>
      </c>
      <c r="H51" s="2" t="s">
        <v>5906</v>
      </c>
      <c r="I51" s="2" t="s">
        <v>5905</v>
      </c>
      <c r="J51" s="2" t="s">
        <v>5492</v>
      </c>
      <c r="K51" s="2" t="s">
        <v>15515</v>
      </c>
      <c r="L51" s="10" t="s">
        <v>15516</v>
      </c>
    </row>
    <row r="52">
      <c r="A52" s="2" t="s">
        <v>4369</v>
      </c>
      <c r="B52" s="2" t="s">
        <v>15517</v>
      </c>
      <c r="C52" s="2">
        <v>3.653538429E9</v>
      </c>
      <c r="D52" s="2" t="s">
        <v>15518</v>
      </c>
      <c r="E52" s="2">
        <v>40756.0</v>
      </c>
      <c r="F52" s="2">
        <v>1359.0</v>
      </c>
      <c r="G52" s="2">
        <v>1700.0</v>
      </c>
      <c r="H52" s="2" t="s">
        <v>5906</v>
      </c>
      <c r="I52" s="2" t="s">
        <v>5906</v>
      </c>
      <c r="J52" s="2" t="s">
        <v>5391</v>
      </c>
      <c r="K52" s="2" t="s">
        <v>15519</v>
      </c>
      <c r="L52" s="10" t="s">
        <v>15520</v>
      </c>
    </row>
    <row r="53">
      <c r="A53" s="2" t="s">
        <v>4369</v>
      </c>
      <c r="B53" s="2" t="s">
        <v>15521</v>
      </c>
      <c r="C53" s="2">
        <v>7576895.0</v>
      </c>
      <c r="D53" s="2" t="s">
        <v>15522</v>
      </c>
      <c r="E53" s="2">
        <v>36945.0</v>
      </c>
      <c r="F53" s="2">
        <v>7018.0</v>
      </c>
      <c r="G53" s="2">
        <v>4049.0</v>
      </c>
      <c r="H53" s="2" t="s">
        <v>5905</v>
      </c>
      <c r="I53" s="2" t="s">
        <v>5905</v>
      </c>
      <c r="J53" s="2" t="s">
        <v>5492</v>
      </c>
      <c r="K53" s="2" t="s">
        <v>15523</v>
      </c>
    </row>
    <row r="54">
      <c r="A54" s="2" t="s">
        <v>4369</v>
      </c>
      <c r="B54" s="2" t="s">
        <v>15524</v>
      </c>
      <c r="C54" s="2">
        <v>6.0039795012E10</v>
      </c>
      <c r="D54" s="2" t="s">
        <v>15525</v>
      </c>
      <c r="E54" s="2">
        <v>40865.0</v>
      </c>
      <c r="F54" s="2">
        <v>548.0</v>
      </c>
      <c r="G54" s="2">
        <v>540.0</v>
      </c>
      <c r="H54" s="2" t="s">
        <v>5906</v>
      </c>
      <c r="I54" s="2" t="s">
        <v>5906</v>
      </c>
      <c r="J54" s="2" t="s">
        <v>15526</v>
      </c>
      <c r="K54" s="2" t="s">
        <v>15527</v>
      </c>
      <c r="L54" s="10" t="s">
        <v>15528</v>
      </c>
    </row>
    <row r="55">
      <c r="A55" s="2" t="s">
        <v>4369</v>
      </c>
      <c r="B55" s="2" t="s">
        <v>15529</v>
      </c>
      <c r="C55" s="2">
        <v>2.070465966E9</v>
      </c>
      <c r="D55" s="2" t="s">
        <v>15530</v>
      </c>
      <c r="E55" s="2">
        <v>47764.0</v>
      </c>
      <c r="F55" s="2">
        <v>443.0</v>
      </c>
      <c r="G55" s="2">
        <v>960.0</v>
      </c>
      <c r="H55" s="2" t="s">
        <v>5905</v>
      </c>
      <c r="I55" s="2" t="s">
        <v>5906</v>
      </c>
      <c r="J55" s="2" t="s">
        <v>5959</v>
      </c>
      <c r="K55" s="2" t="s">
        <v>15531</v>
      </c>
      <c r="L55" s="10" t="s">
        <v>15532</v>
      </c>
    </row>
    <row r="56">
      <c r="A56" s="2" t="s">
        <v>4369</v>
      </c>
      <c r="B56" s="2" t="s">
        <v>15533</v>
      </c>
      <c r="C56" s="2">
        <v>1.97879653E8</v>
      </c>
      <c r="D56" s="2" t="s">
        <v>15534</v>
      </c>
      <c r="E56" s="2">
        <v>120847.0</v>
      </c>
      <c r="F56" s="2">
        <v>2857.0</v>
      </c>
      <c r="G56" s="2">
        <v>1256.0</v>
      </c>
      <c r="H56" s="2" t="s">
        <v>5906</v>
      </c>
      <c r="I56" s="2" t="s">
        <v>5906</v>
      </c>
      <c r="J56" s="2" t="s">
        <v>5959</v>
      </c>
      <c r="K56" s="2" t="s">
        <v>15535</v>
      </c>
      <c r="L56" s="10" t="s">
        <v>15536</v>
      </c>
    </row>
    <row r="57">
      <c r="A57" s="2" t="s">
        <v>4413</v>
      </c>
      <c r="B57" s="2" t="s">
        <v>15537</v>
      </c>
      <c r="C57" s="2">
        <v>7013409.0</v>
      </c>
      <c r="D57" s="2" t="s">
        <v>15538</v>
      </c>
      <c r="E57" s="2">
        <v>1.286002E7</v>
      </c>
      <c r="F57" s="2">
        <v>7.0</v>
      </c>
      <c r="G57" s="2">
        <v>18018.0</v>
      </c>
      <c r="H57" s="2" t="s">
        <v>5906</v>
      </c>
      <c r="I57" s="2" t="s">
        <v>5906</v>
      </c>
      <c r="K57" s="2" t="s">
        <v>15539</v>
      </c>
      <c r="L57" s="10" t="s">
        <v>15540</v>
      </c>
    </row>
    <row r="58">
      <c r="A58" s="2" t="s">
        <v>4413</v>
      </c>
      <c r="B58" s="2" t="s">
        <v>15541</v>
      </c>
      <c r="C58" s="2">
        <v>4.633575E7</v>
      </c>
      <c r="D58" s="2" t="s">
        <v>15542</v>
      </c>
      <c r="E58" s="2">
        <v>2.4767015E7</v>
      </c>
      <c r="F58" s="2">
        <v>523.0</v>
      </c>
      <c r="G58" s="2">
        <v>58.0</v>
      </c>
      <c r="H58" s="2" t="s">
        <v>5906</v>
      </c>
      <c r="I58" s="2" t="s">
        <v>5906</v>
      </c>
      <c r="J58" s="2" t="s">
        <v>6124</v>
      </c>
      <c r="L58" s="10" t="s">
        <v>15543</v>
      </c>
    </row>
    <row r="59">
      <c r="A59" s="2" t="s">
        <v>4391</v>
      </c>
      <c r="B59" s="2" t="s">
        <v>15544</v>
      </c>
      <c r="C59" s="2">
        <v>5.2652662137E10</v>
      </c>
      <c r="D59" s="2" t="s">
        <v>15545</v>
      </c>
      <c r="E59" s="2">
        <v>248960.0</v>
      </c>
      <c r="F59" s="2">
        <v>15.0</v>
      </c>
      <c r="G59" s="2">
        <v>864.0</v>
      </c>
      <c r="H59" s="2" t="s">
        <v>5905</v>
      </c>
      <c r="I59" s="2" t="s">
        <v>5906</v>
      </c>
      <c r="J59" s="2" t="s">
        <v>15546</v>
      </c>
      <c r="K59" s="2" t="s">
        <v>15547</v>
      </c>
      <c r="L59" s="10" t="s">
        <v>15548</v>
      </c>
    </row>
    <row r="60">
      <c r="A60" s="2" t="s">
        <v>4391</v>
      </c>
      <c r="B60" s="2" t="s">
        <v>4391</v>
      </c>
      <c r="C60" s="2">
        <v>1.911087879E9</v>
      </c>
      <c r="D60" s="2" t="s">
        <v>15549</v>
      </c>
      <c r="E60" s="2">
        <v>157536.0</v>
      </c>
      <c r="F60" s="2">
        <v>231.0</v>
      </c>
      <c r="G60" s="2">
        <v>1512.0</v>
      </c>
      <c r="H60" s="2" t="s">
        <v>5905</v>
      </c>
      <c r="I60" s="2" t="s">
        <v>5906</v>
      </c>
      <c r="K60" s="2" t="s">
        <v>15550</v>
      </c>
    </row>
    <row r="61">
      <c r="A61" s="2" t="s">
        <v>4391</v>
      </c>
      <c r="B61" s="2" t="s">
        <v>15551</v>
      </c>
      <c r="C61" s="2">
        <v>4.9279151043E10</v>
      </c>
      <c r="D61" s="2" t="s">
        <v>15552</v>
      </c>
      <c r="E61" s="2">
        <v>77833.0</v>
      </c>
      <c r="F61" s="2">
        <v>106.0</v>
      </c>
      <c r="G61" s="2">
        <v>1488.0</v>
      </c>
      <c r="H61" s="2" t="s">
        <v>5905</v>
      </c>
      <c r="I61" s="2" t="s">
        <v>5905</v>
      </c>
      <c r="J61" s="2" t="s">
        <v>15553</v>
      </c>
      <c r="K61" s="2" t="s">
        <v>15554</v>
      </c>
      <c r="L61" s="10" t="s">
        <v>15555</v>
      </c>
    </row>
    <row r="62">
      <c r="A62" s="2" t="s">
        <v>4391</v>
      </c>
      <c r="B62" s="2" t="s">
        <v>15556</v>
      </c>
      <c r="C62" s="2">
        <v>4.6930009245E10</v>
      </c>
      <c r="D62" s="2" t="s">
        <v>15557</v>
      </c>
      <c r="E62" s="2">
        <v>12303.0</v>
      </c>
      <c r="F62" s="2">
        <v>4102.0</v>
      </c>
      <c r="G62" s="2">
        <v>123.0</v>
      </c>
      <c r="H62" s="2" t="s">
        <v>5906</v>
      </c>
      <c r="I62" s="2" t="s">
        <v>5906</v>
      </c>
      <c r="J62" s="2" t="s">
        <v>6002</v>
      </c>
      <c r="K62" s="2" t="s">
        <v>15558</v>
      </c>
      <c r="L62" s="10" t="s">
        <v>15559</v>
      </c>
    </row>
    <row r="63">
      <c r="A63" s="2" t="s">
        <v>4391</v>
      </c>
      <c r="B63" s="2" t="s">
        <v>15560</v>
      </c>
      <c r="C63" s="2">
        <v>5.2085025146E10</v>
      </c>
      <c r="D63" s="2" t="s">
        <v>15561</v>
      </c>
      <c r="E63" s="2">
        <v>373040.0</v>
      </c>
      <c r="F63" s="2">
        <v>57.0</v>
      </c>
      <c r="G63" s="2">
        <v>674.0</v>
      </c>
      <c r="H63" s="2" t="s">
        <v>5905</v>
      </c>
      <c r="I63" s="2" t="s">
        <v>5905</v>
      </c>
      <c r="J63" s="2" t="s">
        <v>5492</v>
      </c>
      <c r="K63" s="2" t="s">
        <v>15562</v>
      </c>
      <c r="L63" s="10" t="s">
        <v>15563</v>
      </c>
    </row>
    <row r="64">
      <c r="A64" s="2" t="s">
        <v>4391</v>
      </c>
      <c r="B64" s="2" t="s">
        <v>15564</v>
      </c>
      <c r="C64" s="2">
        <v>7.5423749532E10</v>
      </c>
      <c r="D64" s="2" t="s">
        <v>15565</v>
      </c>
      <c r="E64" s="2">
        <v>18148.0</v>
      </c>
      <c r="F64" s="2">
        <v>28.0</v>
      </c>
      <c r="G64" s="2">
        <v>33.0</v>
      </c>
      <c r="H64" s="2" t="s">
        <v>5905</v>
      </c>
      <c r="I64" s="2" t="s">
        <v>5905</v>
      </c>
      <c r="J64" s="2" t="s">
        <v>5485</v>
      </c>
      <c r="K64" s="2" t="s">
        <v>15566</v>
      </c>
    </row>
    <row r="65">
      <c r="A65" s="2" t="s">
        <v>4391</v>
      </c>
      <c r="B65" s="2" t="s">
        <v>15567</v>
      </c>
      <c r="C65" s="2">
        <v>7.6562911682E10</v>
      </c>
      <c r="D65" s="2" t="s">
        <v>15567</v>
      </c>
      <c r="E65" s="2">
        <v>10588.0</v>
      </c>
      <c r="F65" s="2">
        <v>0.0</v>
      </c>
      <c r="G65" s="2">
        <v>6.0</v>
      </c>
      <c r="H65" s="2" t="s">
        <v>5905</v>
      </c>
      <c r="I65" s="2" t="s">
        <v>5905</v>
      </c>
      <c r="J65" s="2" t="s">
        <v>5959</v>
      </c>
      <c r="K65" s="2" t="s">
        <v>15568</v>
      </c>
      <c r="L65" s="10" t="s">
        <v>15569</v>
      </c>
    </row>
    <row r="66">
      <c r="A66" s="2" t="s">
        <v>4391</v>
      </c>
      <c r="B66" s="10" t="s">
        <v>15570</v>
      </c>
      <c r="C66" s="2">
        <v>3.9643192594E10</v>
      </c>
      <c r="D66" s="2" t="s">
        <v>15571</v>
      </c>
      <c r="E66" s="2">
        <v>213865.0</v>
      </c>
      <c r="F66" s="2">
        <v>847.0</v>
      </c>
      <c r="G66" s="2">
        <v>835.0</v>
      </c>
      <c r="H66" s="2" t="s">
        <v>5906</v>
      </c>
      <c r="I66" s="2" t="s">
        <v>5905</v>
      </c>
      <c r="J66" s="2" t="s">
        <v>5959</v>
      </c>
      <c r="K66" s="2" t="s">
        <v>15572</v>
      </c>
      <c r="L66" s="10" t="s">
        <v>15573</v>
      </c>
    </row>
    <row r="67">
      <c r="A67" s="2" t="s">
        <v>4391</v>
      </c>
      <c r="B67" s="2" t="s">
        <v>15574</v>
      </c>
      <c r="C67" s="2">
        <v>5.7540409273E10</v>
      </c>
      <c r="D67" s="2" t="s">
        <v>15575</v>
      </c>
      <c r="E67" s="2">
        <v>102934.0</v>
      </c>
      <c r="F67" s="2">
        <v>102.0</v>
      </c>
      <c r="G67" s="2">
        <v>426.0</v>
      </c>
      <c r="H67" s="2" t="s">
        <v>5906</v>
      </c>
      <c r="I67" s="2" t="s">
        <v>5905</v>
      </c>
      <c r="J67" s="2" t="s">
        <v>9433</v>
      </c>
      <c r="K67" s="2" t="s">
        <v>15576</v>
      </c>
      <c r="L67" s="10" t="s">
        <v>15577</v>
      </c>
    </row>
    <row r="68">
      <c r="A68" s="2" t="s">
        <v>4391</v>
      </c>
      <c r="B68" s="2" t="s">
        <v>15578</v>
      </c>
      <c r="C68" s="2">
        <v>1.4445308167E10</v>
      </c>
      <c r="D68" s="2" t="s">
        <v>15579</v>
      </c>
      <c r="E68" s="2">
        <v>931573.0</v>
      </c>
      <c r="F68" s="2">
        <v>29.0</v>
      </c>
      <c r="G68" s="2">
        <v>574.0</v>
      </c>
      <c r="H68" s="2" t="s">
        <v>5906</v>
      </c>
      <c r="I68" s="2" t="s">
        <v>5905</v>
      </c>
      <c r="J68" s="2" t="s">
        <v>15546</v>
      </c>
      <c r="K68" s="2" t="s">
        <v>15580</v>
      </c>
      <c r="L68" s="10" t="s">
        <v>15581</v>
      </c>
    </row>
    <row r="69">
      <c r="A69" s="2" t="s">
        <v>4384</v>
      </c>
      <c r="B69" s="2" t="s">
        <v>15582</v>
      </c>
      <c r="C69" s="2">
        <v>6.40024201E8</v>
      </c>
      <c r="D69" s="2" t="s">
        <v>15583</v>
      </c>
      <c r="E69" s="2">
        <v>22011.0</v>
      </c>
      <c r="F69" s="2">
        <v>2700.0</v>
      </c>
      <c r="G69" s="2">
        <v>1777.0</v>
      </c>
      <c r="H69" s="2" t="s">
        <v>5905</v>
      </c>
      <c r="I69" s="2" t="s">
        <v>5905</v>
      </c>
      <c r="J69" s="2" t="s">
        <v>7809</v>
      </c>
      <c r="K69" s="2" t="s">
        <v>15584</v>
      </c>
      <c r="L69" s="10" t="s">
        <v>15585</v>
      </c>
    </row>
    <row r="70">
      <c r="A70" s="2" t="s">
        <v>4384</v>
      </c>
      <c r="B70" s="2" t="s">
        <v>15586</v>
      </c>
      <c r="C70" s="2">
        <v>5.604231341E9</v>
      </c>
      <c r="D70" s="2" t="s">
        <v>15587</v>
      </c>
      <c r="E70" s="2">
        <v>92558.0</v>
      </c>
      <c r="F70" s="2">
        <v>867.0</v>
      </c>
      <c r="G70" s="2">
        <v>2463.0</v>
      </c>
      <c r="H70" s="2" t="s">
        <v>5906</v>
      </c>
      <c r="I70" s="2" t="s">
        <v>5906</v>
      </c>
      <c r="K70" s="2" t="s">
        <v>15588</v>
      </c>
      <c r="L70" s="10" t="s">
        <v>15589</v>
      </c>
    </row>
    <row r="71">
      <c r="A71" s="2" t="s">
        <v>4384</v>
      </c>
      <c r="B71" s="2" t="s">
        <v>15590</v>
      </c>
      <c r="C71" s="2">
        <v>4.755119972E9</v>
      </c>
      <c r="D71" s="2" t="s">
        <v>15591</v>
      </c>
      <c r="E71" s="2">
        <v>32099.0</v>
      </c>
      <c r="F71" s="2">
        <v>1008.0</v>
      </c>
      <c r="G71" s="2">
        <v>187.0</v>
      </c>
      <c r="H71" s="2" t="s">
        <v>5905</v>
      </c>
      <c r="I71" s="2" t="s">
        <v>5905</v>
      </c>
      <c r="K71" s="2" t="s">
        <v>15592</v>
      </c>
      <c r="L71" s="10" t="s">
        <v>15593</v>
      </c>
    </row>
    <row r="72">
      <c r="A72" s="2" t="s">
        <v>4384</v>
      </c>
      <c r="B72" s="2" t="s">
        <v>15594</v>
      </c>
      <c r="C72" s="2">
        <v>7.643767253E9</v>
      </c>
      <c r="D72" s="2" t="s">
        <v>15595</v>
      </c>
      <c r="E72" s="2">
        <v>43772.0</v>
      </c>
      <c r="F72" s="2">
        <v>343.0</v>
      </c>
      <c r="G72" s="2">
        <v>317.0</v>
      </c>
      <c r="H72" s="2" t="s">
        <v>5905</v>
      </c>
      <c r="I72" s="2" t="s">
        <v>5905</v>
      </c>
      <c r="J72" s="2" t="s">
        <v>5959</v>
      </c>
      <c r="L72" s="10" t="s">
        <v>15596</v>
      </c>
    </row>
    <row r="73">
      <c r="A73" s="2" t="s">
        <v>4384</v>
      </c>
      <c r="B73" s="2" t="s">
        <v>15597</v>
      </c>
      <c r="C73" s="2">
        <v>5.315516929E9</v>
      </c>
      <c r="D73" s="2" t="s">
        <v>15598</v>
      </c>
      <c r="E73" s="2">
        <v>3166984.0</v>
      </c>
      <c r="F73" s="2">
        <v>471.0</v>
      </c>
      <c r="G73" s="2">
        <v>901.0</v>
      </c>
      <c r="H73" s="2" t="s">
        <v>5906</v>
      </c>
      <c r="I73" s="2" t="s">
        <v>5905</v>
      </c>
      <c r="J73" s="2" t="s">
        <v>5959</v>
      </c>
      <c r="K73" s="2" t="s">
        <v>15599</v>
      </c>
      <c r="L73" s="10" t="s">
        <v>15600</v>
      </c>
    </row>
    <row r="74">
      <c r="A74" s="2" t="s">
        <v>4384</v>
      </c>
      <c r="B74" s="2" t="s">
        <v>15601</v>
      </c>
      <c r="C74" s="2">
        <v>4.4916838017E10</v>
      </c>
      <c r="D74" s="2" t="s">
        <v>15602</v>
      </c>
      <c r="E74" s="2">
        <v>151729.0</v>
      </c>
      <c r="F74" s="2">
        <v>1062.0</v>
      </c>
      <c r="G74" s="2">
        <v>626.0</v>
      </c>
      <c r="H74" s="2" t="s">
        <v>5905</v>
      </c>
      <c r="I74" s="2" t="s">
        <v>5905</v>
      </c>
      <c r="J74" s="2" t="s">
        <v>5959</v>
      </c>
      <c r="K74" s="2" t="s">
        <v>15603</v>
      </c>
      <c r="L74" s="10" t="s">
        <v>15604</v>
      </c>
    </row>
    <row r="75">
      <c r="A75" s="2" t="s">
        <v>4384</v>
      </c>
      <c r="B75" s="2" t="s">
        <v>15605</v>
      </c>
      <c r="C75" s="2">
        <v>2.7292300515E10</v>
      </c>
      <c r="D75" s="2" t="s">
        <v>15606</v>
      </c>
      <c r="E75" s="2">
        <v>203068.0</v>
      </c>
      <c r="F75" s="2">
        <v>13.0</v>
      </c>
      <c r="G75" s="2">
        <v>3704.0</v>
      </c>
      <c r="H75" s="2" t="s">
        <v>5905</v>
      </c>
      <c r="I75" s="2" t="s">
        <v>5906</v>
      </c>
      <c r="J75" s="2" t="s">
        <v>7414</v>
      </c>
      <c r="K75" s="2" t="s">
        <v>15607</v>
      </c>
    </row>
    <row r="76">
      <c r="A76" s="2" t="s">
        <v>4384</v>
      </c>
      <c r="B76" s="2" t="s">
        <v>15608</v>
      </c>
      <c r="C76" s="2">
        <v>3.6819574341E10</v>
      </c>
      <c r="D76" s="2" t="s">
        <v>15609</v>
      </c>
      <c r="E76" s="2">
        <v>401263.0</v>
      </c>
      <c r="F76" s="2">
        <v>87.0</v>
      </c>
      <c r="G76" s="2">
        <v>3334.0</v>
      </c>
      <c r="H76" s="2" t="s">
        <v>5905</v>
      </c>
      <c r="I76" s="2" t="s">
        <v>5906</v>
      </c>
      <c r="J76" s="2" t="s">
        <v>7140</v>
      </c>
      <c r="K76" s="2" t="s">
        <v>15610</v>
      </c>
      <c r="L76" s="10" t="s">
        <v>15611</v>
      </c>
    </row>
    <row r="77">
      <c r="A77" s="2" t="s">
        <v>4384</v>
      </c>
      <c r="B77" s="2" t="s">
        <v>15612</v>
      </c>
      <c r="C77" s="2">
        <v>5.3172622658E10</v>
      </c>
      <c r="D77" s="2" t="s">
        <v>15613</v>
      </c>
      <c r="E77" s="2">
        <v>334182.0</v>
      </c>
      <c r="F77" s="2">
        <v>93.0</v>
      </c>
      <c r="G77" s="2">
        <v>640.0</v>
      </c>
      <c r="H77" s="2" t="s">
        <v>5905</v>
      </c>
      <c r="I77" s="2" t="s">
        <v>5905</v>
      </c>
      <c r="J77" s="2" t="s">
        <v>6171</v>
      </c>
      <c r="K77" s="2" t="s">
        <v>15614</v>
      </c>
      <c r="L77" s="10" t="s">
        <v>15615</v>
      </c>
    </row>
    <row r="78">
      <c r="A78" s="2" t="s">
        <v>4384</v>
      </c>
      <c r="B78" s="2" t="s">
        <v>15616</v>
      </c>
      <c r="C78" s="2">
        <v>4.4900468038E10</v>
      </c>
      <c r="D78" s="2" t="s">
        <v>15617</v>
      </c>
      <c r="E78" s="2">
        <v>211988.0</v>
      </c>
      <c r="F78" s="2">
        <v>284.0</v>
      </c>
      <c r="G78" s="2">
        <v>548.0</v>
      </c>
      <c r="H78" s="2" t="s">
        <v>5905</v>
      </c>
      <c r="I78" s="2" t="s">
        <v>5905</v>
      </c>
      <c r="J78" s="2" t="s">
        <v>7140</v>
      </c>
      <c r="K78" s="2" t="s">
        <v>15618</v>
      </c>
      <c r="L78" s="10" t="s">
        <v>15619</v>
      </c>
    </row>
    <row r="79">
      <c r="A79" s="2" t="s">
        <v>4384</v>
      </c>
      <c r="B79" s="2" t="s">
        <v>15620</v>
      </c>
      <c r="C79" s="2">
        <v>5.556429133E9</v>
      </c>
      <c r="D79" s="2" t="s">
        <v>15621</v>
      </c>
      <c r="E79" s="2">
        <v>644302.0</v>
      </c>
      <c r="F79" s="2">
        <v>36.0</v>
      </c>
      <c r="G79" s="2">
        <v>1018.0</v>
      </c>
      <c r="H79" s="2" t="s">
        <v>5905</v>
      </c>
      <c r="I79" s="2" t="s">
        <v>5905</v>
      </c>
      <c r="J79" s="2" t="s">
        <v>5492</v>
      </c>
      <c r="K79" s="2" t="s">
        <v>15622</v>
      </c>
      <c r="L79" s="10" t="s">
        <v>15623</v>
      </c>
    </row>
    <row r="80">
      <c r="A80" s="2" t="s">
        <v>4384</v>
      </c>
      <c r="B80" s="2" t="s">
        <v>15624</v>
      </c>
      <c r="C80" s="2">
        <v>2.485206073E9</v>
      </c>
      <c r="D80" s="2" t="s">
        <v>15625</v>
      </c>
      <c r="E80" s="2">
        <v>271295.0</v>
      </c>
      <c r="F80" s="2">
        <v>2051.0</v>
      </c>
      <c r="G80" s="2">
        <v>182.0</v>
      </c>
      <c r="H80" s="2" t="s">
        <v>5905</v>
      </c>
      <c r="I80" s="2" t="s">
        <v>5906</v>
      </c>
      <c r="J80" s="2" t="s">
        <v>7414</v>
      </c>
      <c r="K80" s="2" t="s">
        <v>15626</v>
      </c>
      <c r="L80" s="10" t="s">
        <v>15627</v>
      </c>
    </row>
    <row r="81">
      <c r="A81" s="2" t="s">
        <v>4384</v>
      </c>
      <c r="B81" s="2" t="s">
        <v>15628</v>
      </c>
      <c r="C81" s="2">
        <v>6.870732455E9</v>
      </c>
      <c r="D81" s="2" t="s">
        <v>15629</v>
      </c>
      <c r="E81" s="2">
        <v>186885.0</v>
      </c>
      <c r="F81" s="2">
        <v>697.0</v>
      </c>
      <c r="G81" s="2">
        <v>757.0</v>
      </c>
      <c r="H81" s="2" t="s">
        <v>5905</v>
      </c>
      <c r="I81" s="2" t="s">
        <v>5905</v>
      </c>
      <c r="J81" s="2" t="s">
        <v>7140</v>
      </c>
      <c r="K81" s="2" t="s">
        <v>15630</v>
      </c>
      <c r="L81" s="10" t="s">
        <v>15631</v>
      </c>
    </row>
    <row r="82">
      <c r="A82" s="2" t="s">
        <v>4414</v>
      </c>
      <c r="B82" s="2" t="s">
        <v>15632</v>
      </c>
      <c r="C82" s="2">
        <v>2.226168062E9</v>
      </c>
      <c r="D82" s="2" t="s">
        <v>15633</v>
      </c>
      <c r="E82" s="2">
        <v>73040.0</v>
      </c>
      <c r="F82" s="2">
        <v>58.0</v>
      </c>
      <c r="G82" s="2">
        <v>214.0</v>
      </c>
      <c r="H82" s="2" t="s">
        <v>5906</v>
      </c>
      <c r="I82" s="2" t="s">
        <v>5906</v>
      </c>
      <c r="K82" s="2" t="s">
        <v>15634</v>
      </c>
      <c r="L82" s="10" t="s">
        <v>15635</v>
      </c>
    </row>
    <row r="83">
      <c r="A83" s="2" t="s">
        <v>4414</v>
      </c>
      <c r="B83" s="2" t="s">
        <v>4414</v>
      </c>
      <c r="C83" s="2">
        <v>2.1608724E7</v>
      </c>
      <c r="D83" s="2" t="s">
        <v>15636</v>
      </c>
      <c r="E83" s="2">
        <v>811352.0</v>
      </c>
      <c r="F83" s="2">
        <v>767.0</v>
      </c>
      <c r="G83" s="2">
        <v>325.0</v>
      </c>
      <c r="H83" s="2" t="s">
        <v>5905</v>
      </c>
      <c r="I83" s="2" t="s">
        <v>5905</v>
      </c>
      <c r="J83" s="2" t="s">
        <v>15637</v>
      </c>
      <c r="K83" s="2" t="s">
        <v>15638</v>
      </c>
      <c r="L83" s="10" t="s">
        <v>15639</v>
      </c>
    </row>
    <row r="84">
      <c r="A84" s="2" t="s">
        <v>4414</v>
      </c>
      <c r="B84" s="2" t="s">
        <v>15640</v>
      </c>
      <c r="C84" s="2">
        <v>8.381492186E9</v>
      </c>
      <c r="D84" s="2" t="s">
        <v>15641</v>
      </c>
      <c r="E84" s="2">
        <v>49750.0</v>
      </c>
      <c r="F84" s="2">
        <v>2311.0</v>
      </c>
      <c r="G84" s="2">
        <v>2414.0</v>
      </c>
      <c r="H84" s="2" t="s">
        <v>5905</v>
      </c>
      <c r="I84" s="2" t="s">
        <v>5905</v>
      </c>
      <c r="K84" s="2" t="s">
        <v>15642</v>
      </c>
      <c r="L84" s="10" t="s">
        <v>15643</v>
      </c>
    </row>
    <row r="85">
      <c r="A85" s="2" t="s">
        <v>4414</v>
      </c>
      <c r="B85" s="2" t="s">
        <v>15644</v>
      </c>
      <c r="C85" s="2">
        <v>7.5546737947E10</v>
      </c>
      <c r="D85" s="2" t="s">
        <v>15645</v>
      </c>
      <c r="E85" s="2">
        <v>15168.0</v>
      </c>
      <c r="F85" s="2">
        <v>0.0</v>
      </c>
      <c r="G85" s="2">
        <v>41.0</v>
      </c>
      <c r="H85" s="2" t="s">
        <v>5905</v>
      </c>
      <c r="I85" s="2" t="s">
        <v>5905</v>
      </c>
      <c r="K85" s="2" t="s">
        <v>15646</v>
      </c>
    </row>
    <row r="86">
      <c r="A86" s="2" t="s">
        <v>4414</v>
      </c>
      <c r="B86" s="2" t="s">
        <v>15647</v>
      </c>
      <c r="C86" s="2">
        <v>7.3161891137E10</v>
      </c>
      <c r="D86" s="2" t="s">
        <v>15648</v>
      </c>
      <c r="E86" s="2">
        <v>94194.0</v>
      </c>
      <c r="F86" s="2">
        <v>3.0</v>
      </c>
      <c r="G86" s="2">
        <v>212.0</v>
      </c>
      <c r="H86" s="2" t="s">
        <v>5905</v>
      </c>
      <c r="I86" s="2" t="s">
        <v>5905</v>
      </c>
      <c r="J86" s="2" t="s">
        <v>6414</v>
      </c>
      <c r="K86" s="2" t="s">
        <v>15649</v>
      </c>
      <c r="L86" s="10" t="s">
        <v>15650</v>
      </c>
    </row>
    <row r="87">
      <c r="A87" s="2" t="s">
        <v>4414</v>
      </c>
      <c r="B87" s="2" t="s">
        <v>15651</v>
      </c>
      <c r="C87" s="2">
        <v>4.680326027E10</v>
      </c>
      <c r="D87" s="2" t="s">
        <v>15652</v>
      </c>
      <c r="E87" s="2">
        <v>523581.0</v>
      </c>
      <c r="F87" s="2">
        <v>1295.0</v>
      </c>
      <c r="G87" s="2">
        <v>4275.0</v>
      </c>
      <c r="H87" s="2" t="s">
        <v>5905</v>
      </c>
      <c r="I87" s="2" t="s">
        <v>5905</v>
      </c>
      <c r="J87" s="2" t="s">
        <v>5561</v>
      </c>
      <c r="K87" s="2" t="s">
        <v>15653</v>
      </c>
    </row>
    <row r="88">
      <c r="A88" s="2" t="s">
        <v>4414</v>
      </c>
      <c r="B88" s="2" t="s">
        <v>15654</v>
      </c>
      <c r="C88" s="2">
        <v>5.9661725825E10</v>
      </c>
      <c r="D88" s="2" t="s">
        <v>15655</v>
      </c>
      <c r="E88" s="2">
        <v>61447.0</v>
      </c>
      <c r="F88" s="2">
        <v>6488.0</v>
      </c>
      <c r="G88" s="2">
        <v>264.0</v>
      </c>
      <c r="H88" s="2" t="s">
        <v>5905</v>
      </c>
      <c r="I88" s="2" t="s">
        <v>5905</v>
      </c>
      <c r="J88" s="2" t="s">
        <v>5561</v>
      </c>
      <c r="K88" s="2" t="s">
        <v>15656</v>
      </c>
    </row>
    <row r="89">
      <c r="A89" s="2" t="s">
        <v>4414</v>
      </c>
      <c r="B89" s="2" t="s">
        <v>15657</v>
      </c>
      <c r="C89" s="2">
        <v>7.446781007E10</v>
      </c>
      <c r="D89" s="2" t="s">
        <v>15658</v>
      </c>
      <c r="E89" s="2">
        <v>66846.0</v>
      </c>
      <c r="F89" s="2">
        <v>14.0</v>
      </c>
      <c r="G89" s="2">
        <v>232.0</v>
      </c>
      <c r="H89" s="2" t="s">
        <v>5905</v>
      </c>
      <c r="I89" s="2" t="s">
        <v>5906</v>
      </c>
      <c r="J89" s="2" t="s">
        <v>6199</v>
      </c>
      <c r="K89" s="2" t="s">
        <v>15659</v>
      </c>
    </row>
    <row r="90">
      <c r="A90" s="2" t="s">
        <v>4414</v>
      </c>
      <c r="B90" s="2" t="s">
        <v>15660</v>
      </c>
      <c r="C90" s="2">
        <v>7.4363288313E10</v>
      </c>
      <c r="D90" s="2" t="s">
        <v>15661</v>
      </c>
      <c r="E90" s="2">
        <v>27268.0</v>
      </c>
      <c r="F90" s="2">
        <v>64.0</v>
      </c>
      <c r="G90" s="2">
        <v>426.0</v>
      </c>
      <c r="H90" s="2" t="s">
        <v>5905</v>
      </c>
      <c r="I90" s="2" t="s">
        <v>5905</v>
      </c>
      <c r="J90" s="2" t="s">
        <v>12414</v>
      </c>
      <c r="K90" s="2" t="s">
        <v>15662</v>
      </c>
      <c r="L90" s="10" t="s">
        <v>15663</v>
      </c>
    </row>
    <row r="91">
      <c r="A91" s="2" t="s">
        <v>4414</v>
      </c>
      <c r="B91" s="2" t="s">
        <v>15664</v>
      </c>
      <c r="C91" s="2">
        <v>4.989432495E10</v>
      </c>
      <c r="D91" s="2" t="s">
        <v>15665</v>
      </c>
      <c r="E91" s="2">
        <v>10093.0</v>
      </c>
      <c r="F91" s="2">
        <v>1258.0</v>
      </c>
      <c r="G91" s="2">
        <v>1447.0</v>
      </c>
      <c r="H91" s="2" t="s">
        <v>5905</v>
      </c>
      <c r="I91" s="2" t="s">
        <v>5905</v>
      </c>
      <c r="J91" s="2" t="s">
        <v>6882</v>
      </c>
      <c r="K91" s="2" t="s">
        <v>15666</v>
      </c>
    </row>
    <row r="92">
      <c r="A92" s="2" t="s">
        <v>4395</v>
      </c>
      <c r="B92" s="2" t="s">
        <v>15667</v>
      </c>
      <c r="C92" s="2">
        <v>3.2513276076E10</v>
      </c>
      <c r="D92" s="2" t="s">
        <v>15668</v>
      </c>
      <c r="E92" s="2">
        <v>48583.0</v>
      </c>
      <c r="F92" s="2">
        <v>45.0</v>
      </c>
      <c r="G92" s="2">
        <v>196.0</v>
      </c>
      <c r="H92" s="2" t="s">
        <v>5905</v>
      </c>
      <c r="I92" s="2" t="s">
        <v>5906</v>
      </c>
      <c r="K92" s="2" t="s">
        <v>15669</v>
      </c>
      <c r="L92" s="10" t="s">
        <v>15670</v>
      </c>
    </row>
    <row r="93">
      <c r="A93" s="2" t="s">
        <v>4395</v>
      </c>
      <c r="B93" s="2" t="s">
        <v>15671</v>
      </c>
      <c r="C93" s="2">
        <v>5.566660587E9</v>
      </c>
      <c r="D93" s="2" t="s">
        <v>15672</v>
      </c>
      <c r="E93" s="2">
        <v>64426.0</v>
      </c>
      <c r="F93" s="2">
        <v>9.0</v>
      </c>
      <c r="G93" s="2">
        <v>0.0</v>
      </c>
      <c r="H93" s="2" t="s">
        <v>5906</v>
      </c>
      <c r="I93" s="2" t="s">
        <v>5906</v>
      </c>
      <c r="J93" s="2" t="s">
        <v>5561</v>
      </c>
      <c r="K93" s="2" t="s">
        <v>15673</v>
      </c>
      <c r="L93" s="10" t="s">
        <v>15674</v>
      </c>
    </row>
    <row r="94">
      <c r="A94" s="2" t="s">
        <v>4395</v>
      </c>
      <c r="B94" s="2" t="s">
        <v>15675</v>
      </c>
      <c r="C94" s="2">
        <v>3.8820981481E10</v>
      </c>
      <c r="D94" s="2" t="s">
        <v>15676</v>
      </c>
      <c r="E94" s="2">
        <v>97114.0</v>
      </c>
      <c r="F94" s="2">
        <v>133.0</v>
      </c>
      <c r="G94" s="2">
        <v>579.0</v>
      </c>
      <c r="H94" s="2" t="s">
        <v>5905</v>
      </c>
      <c r="I94" s="2" t="s">
        <v>5906</v>
      </c>
      <c r="J94" s="2" t="s">
        <v>5959</v>
      </c>
      <c r="K94" s="2" t="s">
        <v>15677</v>
      </c>
      <c r="L94" s="10" t="s">
        <v>15678</v>
      </c>
    </row>
    <row r="95">
      <c r="A95" s="2" t="s">
        <v>4395</v>
      </c>
      <c r="B95" s="2" t="s">
        <v>15679</v>
      </c>
      <c r="C95" s="2">
        <v>2.70011115E8</v>
      </c>
      <c r="D95" s="2" t="s">
        <v>15680</v>
      </c>
      <c r="E95" s="2">
        <v>62250.0</v>
      </c>
      <c r="F95" s="2">
        <v>3975.0</v>
      </c>
      <c r="G95" s="2">
        <v>1021.0</v>
      </c>
      <c r="H95" s="2" t="s">
        <v>5906</v>
      </c>
      <c r="I95" s="2" t="s">
        <v>5905</v>
      </c>
      <c r="J95" s="2" t="s">
        <v>5391</v>
      </c>
      <c r="K95" s="2" t="s">
        <v>15681</v>
      </c>
      <c r="L95" s="10" t="s">
        <v>15682</v>
      </c>
    </row>
    <row r="96">
      <c r="A96" s="2" t="s">
        <v>4395</v>
      </c>
      <c r="B96" s="2" t="s">
        <v>15683</v>
      </c>
      <c r="C96" s="2">
        <v>4.7146522128E10</v>
      </c>
      <c r="D96" s="2" t="s">
        <v>15684</v>
      </c>
      <c r="E96" s="2">
        <v>70919.0</v>
      </c>
      <c r="F96" s="2">
        <v>108.0</v>
      </c>
      <c r="G96" s="2">
        <v>620.0</v>
      </c>
      <c r="H96" s="2" t="s">
        <v>5906</v>
      </c>
      <c r="I96" s="2" t="s">
        <v>5905</v>
      </c>
      <c r="J96" s="2" t="s">
        <v>5391</v>
      </c>
      <c r="K96" s="2" t="s">
        <v>15685</v>
      </c>
      <c r="L96" s="10" t="s">
        <v>15686</v>
      </c>
    </row>
    <row r="97">
      <c r="A97" s="2" t="s">
        <v>4395</v>
      </c>
      <c r="B97" s="2" t="s">
        <v>15687</v>
      </c>
      <c r="C97" s="2">
        <v>7.1787885027E10</v>
      </c>
      <c r="D97" s="2" t="s">
        <v>15688</v>
      </c>
      <c r="E97" s="2">
        <v>181790.0</v>
      </c>
      <c r="F97" s="2">
        <v>45.0</v>
      </c>
      <c r="G97" s="2">
        <v>204.0</v>
      </c>
      <c r="H97" s="2" t="s">
        <v>5906</v>
      </c>
      <c r="I97" s="2" t="s">
        <v>5905</v>
      </c>
      <c r="J97" s="2" t="s">
        <v>5959</v>
      </c>
      <c r="K97" s="2" t="s">
        <v>15689</v>
      </c>
      <c r="L97" s="10" t="s">
        <v>15690</v>
      </c>
    </row>
    <row r="98">
      <c r="A98" s="2" t="s">
        <v>4395</v>
      </c>
      <c r="B98" s="2" t="s">
        <v>15691</v>
      </c>
      <c r="C98" s="2">
        <v>4.4751899162E10</v>
      </c>
      <c r="D98" s="2" t="s">
        <v>15692</v>
      </c>
      <c r="E98" s="2">
        <v>44966.0</v>
      </c>
      <c r="F98" s="2">
        <v>26.0</v>
      </c>
      <c r="G98" s="2">
        <v>206.0</v>
      </c>
      <c r="H98" s="2" t="s">
        <v>5906</v>
      </c>
      <c r="I98" s="2" t="s">
        <v>5906</v>
      </c>
      <c r="J98" s="2" t="s">
        <v>5959</v>
      </c>
      <c r="K98" s="2" t="s">
        <v>15693</v>
      </c>
      <c r="L98" s="10" t="s">
        <v>15694</v>
      </c>
    </row>
    <row r="99">
      <c r="A99" s="2" t="s">
        <v>4395</v>
      </c>
      <c r="B99" s="2" t="s">
        <v>15695</v>
      </c>
      <c r="C99" s="2">
        <v>3.8813357124E10</v>
      </c>
      <c r="D99" s="2" t="s">
        <v>15696</v>
      </c>
      <c r="E99" s="2">
        <v>95188.0</v>
      </c>
      <c r="F99" s="2">
        <v>0.0</v>
      </c>
      <c r="G99" s="2">
        <v>1344.0</v>
      </c>
      <c r="H99" s="2" t="s">
        <v>5905</v>
      </c>
      <c r="I99" s="2" t="s">
        <v>5906</v>
      </c>
      <c r="J99" s="2" t="s">
        <v>5963</v>
      </c>
      <c r="K99" s="2" t="s">
        <v>15697</v>
      </c>
      <c r="L99" s="10" t="s">
        <v>15698</v>
      </c>
    </row>
    <row r="100">
      <c r="A100" s="2" t="s">
        <v>4395</v>
      </c>
      <c r="B100" s="2" t="s">
        <v>15699</v>
      </c>
      <c r="C100" s="2">
        <v>2.04685314E8</v>
      </c>
      <c r="D100" s="2" t="s">
        <v>15700</v>
      </c>
      <c r="E100" s="2">
        <v>11835.0</v>
      </c>
      <c r="F100" s="2">
        <v>3982.0</v>
      </c>
      <c r="G100" s="2">
        <v>563.0</v>
      </c>
      <c r="H100" s="2" t="s">
        <v>5906</v>
      </c>
      <c r="I100" s="2" t="s">
        <v>5905</v>
      </c>
      <c r="J100" s="2" t="s">
        <v>5391</v>
      </c>
      <c r="K100" s="2" t="s">
        <v>15701</v>
      </c>
      <c r="L100" s="10" t="s">
        <v>15702</v>
      </c>
    </row>
    <row r="101">
      <c r="A101" s="2" t="s">
        <v>515</v>
      </c>
      <c r="B101" s="2" t="s">
        <v>15703</v>
      </c>
      <c r="C101" s="2">
        <v>6.40806256E8</v>
      </c>
      <c r="D101" s="2" t="s">
        <v>15704</v>
      </c>
      <c r="E101" s="2">
        <v>3.5624095E7</v>
      </c>
      <c r="F101" s="2">
        <v>863.0</v>
      </c>
      <c r="G101" s="2">
        <v>3517.0</v>
      </c>
      <c r="H101" s="2" t="s">
        <v>5906</v>
      </c>
      <c r="I101" s="2" t="s">
        <v>5906</v>
      </c>
      <c r="K101" s="2" t="s">
        <v>15705</v>
      </c>
      <c r="L101" s="10" t="s">
        <v>15706</v>
      </c>
    </row>
    <row r="102">
      <c r="A102" s="2" t="s">
        <v>515</v>
      </c>
      <c r="B102" s="2" t="s">
        <v>6359</v>
      </c>
      <c r="C102" s="2">
        <v>4.07612085E8</v>
      </c>
      <c r="D102" s="2" t="s">
        <v>6360</v>
      </c>
      <c r="E102" s="2">
        <v>1.637824E7</v>
      </c>
      <c r="F102" s="2">
        <v>2030.0</v>
      </c>
      <c r="G102" s="2">
        <v>57951.0</v>
      </c>
      <c r="H102" s="2" t="s">
        <v>5906</v>
      </c>
      <c r="I102" s="2" t="s">
        <v>5906</v>
      </c>
      <c r="K102" s="2" t="s">
        <v>6361</v>
      </c>
      <c r="L102" s="10" t="s">
        <v>6362</v>
      </c>
    </row>
    <row r="103">
      <c r="A103" s="2" t="s">
        <v>515</v>
      </c>
      <c r="B103" s="2" t="s">
        <v>15707</v>
      </c>
      <c r="C103" s="2">
        <v>4.04461696E8</v>
      </c>
      <c r="D103" s="2" t="s">
        <v>15708</v>
      </c>
      <c r="E103" s="2">
        <v>5466257.0</v>
      </c>
      <c r="F103" s="2">
        <v>101.0</v>
      </c>
      <c r="G103" s="2">
        <v>2656.0</v>
      </c>
      <c r="H103" s="2" t="s">
        <v>5906</v>
      </c>
      <c r="I103" s="2" t="s">
        <v>5906</v>
      </c>
      <c r="J103" s="2" t="s">
        <v>10778</v>
      </c>
      <c r="K103" s="2" t="s">
        <v>15709</v>
      </c>
      <c r="L103" s="10" t="s">
        <v>15710</v>
      </c>
    </row>
    <row r="104">
      <c r="A104" s="2" t="s">
        <v>515</v>
      </c>
      <c r="B104" s="2" t="s">
        <v>515</v>
      </c>
      <c r="C104" s="2">
        <v>3.6188226411E10</v>
      </c>
      <c r="D104" s="2" t="s">
        <v>15711</v>
      </c>
      <c r="E104" s="2">
        <v>197786.0</v>
      </c>
      <c r="F104" s="2">
        <v>0.0</v>
      </c>
      <c r="G104" s="2">
        <v>3902.0</v>
      </c>
      <c r="H104" s="2" t="s">
        <v>5906</v>
      </c>
      <c r="I104" s="2" t="s">
        <v>5905</v>
      </c>
      <c r="K104" s="2" t="s">
        <v>15712</v>
      </c>
      <c r="L104" s="10" t="s">
        <v>15713</v>
      </c>
    </row>
    <row r="105">
      <c r="A105" s="2" t="s">
        <v>515</v>
      </c>
      <c r="B105" s="2" t="s">
        <v>15714</v>
      </c>
      <c r="C105" s="2">
        <v>1.742703447E9</v>
      </c>
      <c r="D105" s="2" t="s">
        <v>15715</v>
      </c>
      <c r="E105" s="2">
        <v>471777.0</v>
      </c>
      <c r="F105" s="2">
        <v>349.0</v>
      </c>
      <c r="G105" s="2">
        <v>60801.0</v>
      </c>
      <c r="H105" s="2" t="s">
        <v>5906</v>
      </c>
      <c r="I105" s="2" t="s">
        <v>5906</v>
      </c>
      <c r="J105" s="2" t="s">
        <v>5907</v>
      </c>
      <c r="K105" s="2" t="s">
        <v>15716</v>
      </c>
    </row>
    <row r="106">
      <c r="A106" s="2" t="s">
        <v>515</v>
      </c>
      <c r="B106" s="2" t="s">
        <v>15717</v>
      </c>
      <c r="C106" s="2">
        <v>2.05182335E8</v>
      </c>
      <c r="D106" s="2" t="s">
        <v>15718</v>
      </c>
      <c r="E106" s="2">
        <v>537136.0</v>
      </c>
      <c r="F106" s="2">
        <v>509.0</v>
      </c>
      <c r="G106" s="2">
        <v>5985.0</v>
      </c>
      <c r="H106" s="2" t="s">
        <v>5906</v>
      </c>
      <c r="I106" s="2" t="s">
        <v>5906</v>
      </c>
      <c r="J106" s="2" t="s">
        <v>15453</v>
      </c>
      <c r="K106" s="2" t="s">
        <v>15719</v>
      </c>
      <c r="L106" s="10" t="s">
        <v>15720</v>
      </c>
    </row>
    <row r="107">
      <c r="A107" s="2" t="s">
        <v>515</v>
      </c>
      <c r="B107" s="2" t="s">
        <v>15721</v>
      </c>
      <c r="C107" s="2">
        <v>1.482377191E9</v>
      </c>
      <c r="D107" s="2" t="s">
        <v>15722</v>
      </c>
      <c r="E107" s="2">
        <v>145336.0</v>
      </c>
      <c r="F107" s="2">
        <v>504.0</v>
      </c>
      <c r="G107" s="2">
        <v>5613.0</v>
      </c>
      <c r="H107" s="2" t="s">
        <v>5906</v>
      </c>
      <c r="I107" s="2" t="s">
        <v>5906</v>
      </c>
      <c r="K107" s="2" t="s">
        <v>15723</v>
      </c>
      <c r="L107" s="10" t="s">
        <v>15724</v>
      </c>
    </row>
    <row r="108">
      <c r="A108" s="2" t="s">
        <v>515</v>
      </c>
      <c r="B108" s="2" t="s">
        <v>15725</v>
      </c>
      <c r="C108" s="2">
        <v>1.87102427E8</v>
      </c>
      <c r="D108" s="2" t="s">
        <v>15726</v>
      </c>
      <c r="E108" s="2">
        <v>4.8739376E7</v>
      </c>
      <c r="F108" s="2">
        <v>334.0</v>
      </c>
      <c r="G108" s="2">
        <v>33623.0</v>
      </c>
      <c r="H108" s="2" t="s">
        <v>5906</v>
      </c>
      <c r="I108" s="2" t="s">
        <v>5905</v>
      </c>
      <c r="J108" s="2" t="s">
        <v>5959</v>
      </c>
      <c r="K108" s="2" t="s">
        <v>15727</v>
      </c>
      <c r="L108" s="10" t="s">
        <v>15728</v>
      </c>
    </row>
    <row r="109">
      <c r="A109" s="2" t="s">
        <v>515</v>
      </c>
      <c r="B109" s="2" t="s">
        <v>15729</v>
      </c>
      <c r="C109" s="2">
        <v>4.62367109E8</v>
      </c>
      <c r="D109" s="2" t="s">
        <v>15730</v>
      </c>
      <c r="E109" s="2">
        <v>1275846.0</v>
      </c>
      <c r="F109" s="2">
        <v>499.0</v>
      </c>
      <c r="G109" s="2">
        <v>6286.0</v>
      </c>
      <c r="H109" s="2" t="s">
        <v>5906</v>
      </c>
      <c r="I109" s="2" t="s">
        <v>5906</v>
      </c>
      <c r="J109" s="2" t="s">
        <v>15453</v>
      </c>
      <c r="K109" s="2" t="s">
        <v>15731</v>
      </c>
    </row>
    <row r="110">
      <c r="A110" s="2" t="s">
        <v>515</v>
      </c>
      <c r="B110" s="2" t="s">
        <v>15732</v>
      </c>
      <c r="C110" s="2">
        <v>4.91538518E8</v>
      </c>
      <c r="D110" s="2" t="s">
        <v>15733</v>
      </c>
      <c r="E110" s="2">
        <v>597345.0</v>
      </c>
      <c r="F110" s="2">
        <v>665.0</v>
      </c>
      <c r="G110" s="2">
        <v>7726.0</v>
      </c>
      <c r="H110" s="2" t="s">
        <v>5906</v>
      </c>
      <c r="I110" s="2" t="s">
        <v>5906</v>
      </c>
      <c r="K110" s="2" t="s">
        <v>15734</v>
      </c>
      <c r="L110" s="10" t="s">
        <v>15735</v>
      </c>
    </row>
    <row r="111">
      <c r="A111" s="2" t="s">
        <v>515</v>
      </c>
      <c r="B111" s="2" t="s">
        <v>15736</v>
      </c>
      <c r="C111" s="2">
        <v>2.3678829E7</v>
      </c>
      <c r="D111" s="2" t="s">
        <v>15737</v>
      </c>
      <c r="E111" s="2">
        <v>4.6223265E7</v>
      </c>
      <c r="F111" s="2">
        <v>554.0</v>
      </c>
      <c r="G111" s="2">
        <v>2653.0</v>
      </c>
      <c r="H111" s="2" t="s">
        <v>5906</v>
      </c>
      <c r="I111" s="2" t="s">
        <v>5906</v>
      </c>
      <c r="K111" s="2" t="s">
        <v>15738</v>
      </c>
      <c r="L111" s="10" t="s">
        <v>15739</v>
      </c>
    </row>
    <row r="112">
      <c r="A112" s="2" t="s">
        <v>515</v>
      </c>
      <c r="B112" s="2" t="s">
        <v>15740</v>
      </c>
      <c r="C112" s="2">
        <v>6.258796214E9</v>
      </c>
      <c r="D112" s="2" t="s">
        <v>15741</v>
      </c>
      <c r="E112" s="2">
        <v>56841.0</v>
      </c>
      <c r="F112" s="2">
        <v>4182.0</v>
      </c>
      <c r="G112" s="2">
        <v>2185.0</v>
      </c>
      <c r="H112" s="2" t="s">
        <v>5906</v>
      </c>
      <c r="I112" s="2" t="s">
        <v>5906</v>
      </c>
      <c r="J112" s="2" t="s">
        <v>15453</v>
      </c>
      <c r="K112" s="2" t="s">
        <v>15742</v>
      </c>
      <c r="L112" s="10" t="s">
        <v>15743</v>
      </c>
    </row>
    <row r="113">
      <c r="A113" s="2" t="s">
        <v>515</v>
      </c>
      <c r="B113" s="2" t="s">
        <v>15744</v>
      </c>
      <c r="C113" s="2">
        <v>4.85945812E8</v>
      </c>
      <c r="D113" s="2" t="s">
        <v>15745</v>
      </c>
      <c r="E113" s="2">
        <v>307412.0</v>
      </c>
      <c r="F113" s="2">
        <v>596.0</v>
      </c>
      <c r="G113" s="2">
        <v>6941.0</v>
      </c>
      <c r="H113" s="2" t="s">
        <v>5906</v>
      </c>
      <c r="I113" s="2" t="s">
        <v>5906</v>
      </c>
      <c r="J113" s="2" t="s">
        <v>8479</v>
      </c>
      <c r="K113" s="2" t="s">
        <v>15746</v>
      </c>
      <c r="L113" s="10" t="s">
        <v>15747</v>
      </c>
    </row>
    <row r="114">
      <c r="A114" s="2" t="s">
        <v>3777</v>
      </c>
      <c r="B114" s="2" t="s">
        <v>15748</v>
      </c>
      <c r="C114" s="2">
        <v>3.0822996481E10</v>
      </c>
      <c r="D114" s="2" t="s">
        <v>15749</v>
      </c>
      <c r="E114" s="2">
        <v>109658.0</v>
      </c>
      <c r="F114" s="2">
        <v>4.0</v>
      </c>
      <c r="G114" s="2">
        <v>56.0</v>
      </c>
      <c r="H114" s="2" t="s">
        <v>5905</v>
      </c>
      <c r="I114" s="2" t="s">
        <v>5905</v>
      </c>
      <c r="J114" s="2" t="s">
        <v>10778</v>
      </c>
      <c r="K114" s="2" t="s">
        <v>15750</v>
      </c>
      <c r="L114" s="10" t="s">
        <v>15751</v>
      </c>
    </row>
    <row r="115">
      <c r="A115" s="2" t="s">
        <v>3777</v>
      </c>
      <c r="B115" s="2" t="s">
        <v>15752</v>
      </c>
      <c r="C115" s="2">
        <v>5.3398198828E10</v>
      </c>
      <c r="D115" s="2" t="s">
        <v>15753</v>
      </c>
      <c r="E115" s="2">
        <v>249504.0</v>
      </c>
      <c r="F115" s="2">
        <v>1.0</v>
      </c>
      <c r="G115" s="2">
        <v>809.0</v>
      </c>
      <c r="H115" s="2" t="s">
        <v>5905</v>
      </c>
      <c r="I115" s="2" t="s">
        <v>5906</v>
      </c>
      <c r="J115" s="2" t="s">
        <v>8615</v>
      </c>
      <c r="K115" s="2" t="s">
        <v>15754</v>
      </c>
      <c r="L115" s="10" t="s">
        <v>15755</v>
      </c>
    </row>
    <row r="116">
      <c r="A116" s="2" t="s">
        <v>3777</v>
      </c>
      <c r="B116" s="2" t="s">
        <v>15756</v>
      </c>
      <c r="C116" s="2">
        <v>6.1694691822E10</v>
      </c>
      <c r="D116" s="2" t="s">
        <v>15757</v>
      </c>
      <c r="E116" s="2">
        <v>244145.0</v>
      </c>
      <c r="F116" s="2">
        <v>13.0</v>
      </c>
      <c r="G116" s="2">
        <v>432.0</v>
      </c>
      <c r="H116" s="2" t="s">
        <v>5906</v>
      </c>
      <c r="I116" s="2" t="s">
        <v>5906</v>
      </c>
      <c r="J116" s="2" t="s">
        <v>8615</v>
      </c>
      <c r="K116" s="2" t="s">
        <v>15758</v>
      </c>
      <c r="L116" s="10" t="s">
        <v>15759</v>
      </c>
    </row>
    <row r="117">
      <c r="A117" s="2" t="s">
        <v>3777</v>
      </c>
      <c r="B117" s="2" t="s">
        <v>15760</v>
      </c>
      <c r="C117" s="2">
        <v>3.015537629E9</v>
      </c>
      <c r="D117" s="2" t="s">
        <v>15761</v>
      </c>
      <c r="E117" s="2">
        <v>2138601.0</v>
      </c>
      <c r="F117" s="2">
        <v>1.0</v>
      </c>
      <c r="G117" s="2">
        <v>10555.0</v>
      </c>
      <c r="H117" s="2" t="s">
        <v>5905</v>
      </c>
      <c r="I117" s="2" t="s">
        <v>5906</v>
      </c>
      <c r="J117" s="2" t="s">
        <v>6882</v>
      </c>
      <c r="K117" s="2" t="s">
        <v>15762</v>
      </c>
    </row>
    <row r="118">
      <c r="A118" s="2" t="s">
        <v>3777</v>
      </c>
      <c r="B118" s="2" t="s">
        <v>3777</v>
      </c>
      <c r="C118" s="2">
        <v>1.192899491E9</v>
      </c>
      <c r="D118" s="2" t="s">
        <v>15763</v>
      </c>
      <c r="E118" s="2">
        <v>2.7123591E7</v>
      </c>
      <c r="F118" s="2">
        <v>51.0</v>
      </c>
      <c r="G118" s="2">
        <v>3857.0</v>
      </c>
      <c r="H118" s="2" t="s">
        <v>5906</v>
      </c>
      <c r="I118" s="2" t="s">
        <v>5906</v>
      </c>
      <c r="J118" s="2" t="s">
        <v>8615</v>
      </c>
      <c r="K118" s="2" t="s">
        <v>15764</v>
      </c>
      <c r="L118" s="10" t="s">
        <v>15765</v>
      </c>
    </row>
    <row r="119">
      <c r="A119" s="2" t="s">
        <v>3777</v>
      </c>
      <c r="B119" s="2" t="s">
        <v>15766</v>
      </c>
      <c r="C119" s="2">
        <v>6.866100591E9</v>
      </c>
      <c r="D119" s="2" t="s">
        <v>15763</v>
      </c>
      <c r="E119" s="2">
        <v>1131141.0</v>
      </c>
      <c r="F119" s="2">
        <v>18.0</v>
      </c>
      <c r="G119" s="2">
        <v>8626.0</v>
      </c>
      <c r="H119" s="2" t="s">
        <v>5905</v>
      </c>
      <c r="I119" s="2" t="s">
        <v>5905</v>
      </c>
      <c r="J119" s="2" t="s">
        <v>5928</v>
      </c>
      <c r="K119" s="2" t="s">
        <v>15767</v>
      </c>
    </row>
    <row r="120">
      <c r="A120" s="2" t="s">
        <v>3777</v>
      </c>
      <c r="B120" s="2" t="s">
        <v>15768</v>
      </c>
      <c r="C120" s="2">
        <v>1.7195275789E10</v>
      </c>
      <c r="D120" s="2" t="s">
        <v>15763</v>
      </c>
      <c r="E120" s="2">
        <v>1472154.0</v>
      </c>
      <c r="F120" s="2">
        <v>6.0</v>
      </c>
      <c r="G120" s="2">
        <v>3389.0</v>
      </c>
      <c r="H120" s="2" t="s">
        <v>5906</v>
      </c>
      <c r="I120" s="2" t="s">
        <v>5906</v>
      </c>
      <c r="J120" s="2" t="s">
        <v>8615</v>
      </c>
      <c r="K120" s="2" t="s">
        <v>15769</v>
      </c>
    </row>
    <row r="121">
      <c r="A121" s="2" t="s">
        <v>3777</v>
      </c>
      <c r="B121" s="2" t="s">
        <v>15770</v>
      </c>
      <c r="C121" s="2">
        <v>1.6109188844E10</v>
      </c>
      <c r="D121" s="2" t="s">
        <v>15771</v>
      </c>
      <c r="E121" s="2">
        <v>87427.0</v>
      </c>
      <c r="F121" s="2">
        <v>3.0</v>
      </c>
      <c r="G121" s="2">
        <v>976.0</v>
      </c>
      <c r="H121" s="2" t="s">
        <v>5906</v>
      </c>
      <c r="I121" s="2" t="s">
        <v>5906</v>
      </c>
      <c r="J121" s="2" t="s">
        <v>8615</v>
      </c>
      <c r="K121" s="2" t="s">
        <v>15772</v>
      </c>
    </row>
    <row r="122">
      <c r="A122" s="2" t="s">
        <v>3777</v>
      </c>
      <c r="B122" s="2" t="s">
        <v>15773</v>
      </c>
      <c r="C122" s="2">
        <v>1.9362757318E10</v>
      </c>
      <c r="D122" s="2" t="s">
        <v>15763</v>
      </c>
      <c r="E122" s="2">
        <v>1162761.0</v>
      </c>
      <c r="F122" s="2">
        <v>25.0</v>
      </c>
      <c r="G122" s="2">
        <v>3366.0</v>
      </c>
      <c r="H122" s="2" t="s">
        <v>5906</v>
      </c>
      <c r="I122" s="2" t="s">
        <v>5906</v>
      </c>
      <c r="J122" s="2" t="s">
        <v>8615</v>
      </c>
      <c r="K122" s="2" t="s">
        <v>15774</v>
      </c>
      <c r="L122" s="10" t="s">
        <v>15775</v>
      </c>
    </row>
    <row r="123">
      <c r="A123" s="2" t="s">
        <v>4393</v>
      </c>
      <c r="B123" s="2" t="s">
        <v>15776</v>
      </c>
      <c r="C123" s="2">
        <v>4.8694631403E10</v>
      </c>
      <c r="D123" s="2" t="s">
        <v>15777</v>
      </c>
      <c r="E123" s="2">
        <v>2324280.0</v>
      </c>
      <c r="F123" s="2">
        <v>0.0</v>
      </c>
      <c r="G123" s="2">
        <v>5122.0</v>
      </c>
      <c r="H123" s="2" t="s">
        <v>5906</v>
      </c>
      <c r="I123" s="2" t="s">
        <v>5905</v>
      </c>
      <c r="J123" s="2" t="s">
        <v>5959</v>
      </c>
      <c r="K123" s="2" t="s">
        <v>15778</v>
      </c>
      <c r="L123" s="10" t="s">
        <v>15779</v>
      </c>
    </row>
    <row r="124">
      <c r="A124" s="2" t="s">
        <v>4393</v>
      </c>
      <c r="B124" s="2" t="s">
        <v>15780</v>
      </c>
      <c r="C124" s="2">
        <v>5.5475845327E10</v>
      </c>
      <c r="D124" s="2" t="s">
        <v>15781</v>
      </c>
      <c r="E124" s="2">
        <v>1576411.0</v>
      </c>
      <c r="F124" s="2">
        <v>6.0</v>
      </c>
      <c r="G124" s="2">
        <v>973.0</v>
      </c>
      <c r="H124" s="2" t="s">
        <v>5906</v>
      </c>
      <c r="I124" s="2" t="s">
        <v>5905</v>
      </c>
      <c r="J124" s="2" t="s">
        <v>5928</v>
      </c>
      <c r="K124" s="2" t="s">
        <v>15782</v>
      </c>
      <c r="L124" s="10" t="s">
        <v>15783</v>
      </c>
    </row>
    <row r="125">
      <c r="A125" s="2" t="s">
        <v>4393</v>
      </c>
      <c r="B125" s="2" t="s">
        <v>15784</v>
      </c>
      <c r="C125" s="2">
        <v>6.843063713E9</v>
      </c>
      <c r="D125" s="2" t="s">
        <v>15785</v>
      </c>
      <c r="E125" s="2">
        <v>532012.0</v>
      </c>
      <c r="F125" s="2">
        <v>0.0</v>
      </c>
      <c r="G125" s="2">
        <v>1966.0</v>
      </c>
      <c r="H125" s="2" t="s">
        <v>5905</v>
      </c>
      <c r="I125" s="2" t="s">
        <v>5905</v>
      </c>
      <c r="J125" s="2" t="s">
        <v>5928</v>
      </c>
      <c r="K125" s="2" t="s">
        <v>15786</v>
      </c>
      <c r="L125" s="10" t="s">
        <v>15787</v>
      </c>
    </row>
    <row r="126">
      <c r="A126" s="2" t="s">
        <v>4393</v>
      </c>
      <c r="B126" s="2" t="s">
        <v>15788</v>
      </c>
      <c r="C126" s="2">
        <v>4.9783896358E10</v>
      </c>
      <c r="D126" s="2" t="s">
        <v>15789</v>
      </c>
      <c r="E126" s="2">
        <v>185030.0</v>
      </c>
      <c r="F126" s="2">
        <v>226.0</v>
      </c>
      <c r="G126" s="2">
        <v>1372.0</v>
      </c>
      <c r="H126" s="2" t="s">
        <v>5905</v>
      </c>
      <c r="I126" s="2" t="s">
        <v>5905</v>
      </c>
      <c r="J126" s="2" t="s">
        <v>12284</v>
      </c>
      <c r="K126" s="2" t="s">
        <v>15790</v>
      </c>
      <c r="L126" s="10" t="s">
        <v>15791</v>
      </c>
    </row>
    <row r="127">
      <c r="A127" s="2" t="s">
        <v>4393</v>
      </c>
      <c r="B127" s="2" t="s">
        <v>15792</v>
      </c>
      <c r="C127" s="2">
        <v>4.9167120034E10</v>
      </c>
      <c r="D127" s="2" t="s">
        <v>15793</v>
      </c>
      <c r="E127" s="2">
        <v>1348043.0</v>
      </c>
      <c r="F127" s="2">
        <v>84.0</v>
      </c>
      <c r="G127" s="2">
        <v>5232.0</v>
      </c>
      <c r="H127" s="2" t="s">
        <v>5905</v>
      </c>
      <c r="I127" s="2" t="s">
        <v>5905</v>
      </c>
      <c r="J127" s="2" t="s">
        <v>5959</v>
      </c>
      <c r="K127" s="2" t="s">
        <v>15794</v>
      </c>
      <c r="L127" s="10" t="s">
        <v>15795</v>
      </c>
    </row>
    <row r="128">
      <c r="A128" s="2" t="s">
        <v>4393</v>
      </c>
      <c r="B128" s="2" t="s">
        <v>4393</v>
      </c>
      <c r="C128" s="2">
        <v>5.444232374E9</v>
      </c>
      <c r="D128" s="2" t="s">
        <v>15796</v>
      </c>
      <c r="E128" s="2">
        <v>31749.0</v>
      </c>
      <c r="F128" s="2">
        <v>6.0</v>
      </c>
      <c r="G128" s="2">
        <v>58.0</v>
      </c>
      <c r="H128" s="2" t="s">
        <v>5905</v>
      </c>
      <c r="I128" s="2" t="s">
        <v>5905</v>
      </c>
      <c r="J128" s="2" t="s">
        <v>6393</v>
      </c>
      <c r="K128" s="2" t="s">
        <v>15797</v>
      </c>
    </row>
    <row r="129">
      <c r="A129" s="2" t="s">
        <v>4393</v>
      </c>
      <c r="B129" s="2" t="s">
        <v>15798</v>
      </c>
      <c r="C129" s="2">
        <v>4.5628529128E10</v>
      </c>
      <c r="D129" s="2" t="s">
        <v>15799</v>
      </c>
      <c r="E129" s="2">
        <v>37893.0</v>
      </c>
      <c r="F129" s="2">
        <v>0.0</v>
      </c>
      <c r="G129" s="2">
        <v>174.0</v>
      </c>
      <c r="H129" s="2" t="s">
        <v>5905</v>
      </c>
      <c r="I129" s="2" t="s">
        <v>5906</v>
      </c>
      <c r="J129" s="2" t="s">
        <v>7599</v>
      </c>
      <c r="K129" s="2" t="s">
        <v>15800</v>
      </c>
    </row>
    <row r="130">
      <c r="A130" s="2" t="s">
        <v>4393</v>
      </c>
      <c r="B130" s="2" t="s">
        <v>15801</v>
      </c>
      <c r="C130" s="2">
        <v>4.7488571369E10</v>
      </c>
      <c r="D130" s="2" t="s">
        <v>15802</v>
      </c>
      <c r="E130" s="2">
        <v>915702.0</v>
      </c>
      <c r="F130" s="2">
        <v>565.0</v>
      </c>
      <c r="G130" s="2">
        <v>2353.0</v>
      </c>
      <c r="H130" s="2" t="s">
        <v>5905</v>
      </c>
      <c r="I130" s="2" t="s">
        <v>5905</v>
      </c>
      <c r="J130" s="2" t="s">
        <v>12284</v>
      </c>
      <c r="K130" s="2" t="s">
        <v>15803</v>
      </c>
      <c r="L130" s="10" t="s">
        <v>15804</v>
      </c>
    </row>
    <row r="131">
      <c r="A131" s="2" t="s">
        <v>4393</v>
      </c>
      <c r="B131" s="2" t="s">
        <v>15805</v>
      </c>
      <c r="C131" s="2">
        <v>8.253187252E9</v>
      </c>
      <c r="D131" s="2" t="s">
        <v>15806</v>
      </c>
      <c r="E131" s="2">
        <v>25288.0</v>
      </c>
      <c r="F131" s="2">
        <v>10.0</v>
      </c>
      <c r="G131" s="2">
        <v>6003.0</v>
      </c>
      <c r="H131" s="2" t="s">
        <v>5905</v>
      </c>
      <c r="I131" s="2" t="s">
        <v>5906</v>
      </c>
      <c r="J131" s="2" t="s">
        <v>6002</v>
      </c>
      <c r="K131" s="2" t="s">
        <v>15807</v>
      </c>
      <c r="L131" s="10" t="s">
        <v>15808</v>
      </c>
    </row>
    <row r="132">
      <c r="A132" s="2" t="s">
        <v>4393</v>
      </c>
      <c r="B132" s="2" t="s">
        <v>15809</v>
      </c>
      <c r="C132" s="2">
        <v>3.37568581E8</v>
      </c>
      <c r="D132" s="2" t="s">
        <v>15810</v>
      </c>
      <c r="E132" s="2">
        <v>358438.0</v>
      </c>
      <c r="F132" s="2">
        <v>305.0</v>
      </c>
      <c r="G132" s="2">
        <v>5245.0</v>
      </c>
      <c r="H132" s="2" t="s">
        <v>5906</v>
      </c>
      <c r="I132" s="2" t="s">
        <v>5906</v>
      </c>
      <c r="J132" s="2" t="s">
        <v>7931</v>
      </c>
      <c r="K132" s="2" t="s">
        <v>15811</v>
      </c>
      <c r="L132" s="10" t="s">
        <v>15812</v>
      </c>
    </row>
    <row r="133">
      <c r="A133" s="2" t="s">
        <v>4393</v>
      </c>
      <c r="B133" s="2" t="s">
        <v>15813</v>
      </c>
      <c r="C133" s="2">
        <v>4.9591177882E10</v>
      </c>
      <c r="D133" s="2" t="s">
        <v>15814</v>
      </c>
      <c r="E133" s="2">
        <v>978522.0</v>
      </c>
      <c r="F133" s="2">
        <v>8.0</v>
      </c>
      <c r="G133" s="2">
        <v>2719.0</v>
      </c>
      <c r="H133" s="2" t="s">
        <v>5905</v>
      </c>
      <c r="I133" s="2" t="s">
        <v>5905</v>
      </c>
      <c r="J133" s="2" t="s">
        <v>7140</v>
      </c>
      <c r="K133" s="2" t="s">
        <v>15815</v>
      </c>
      <c r="L133" s="10" t="s">
        <v>15816</v>
      </c>
    </row>
    <row r="134">
      <c r="A134" s="2" t="s">
        <v>4393</v>
      </c>
      <c r="B134" s="2" t="s">
        <v>15817</v>
      </c>
      <c r="C134" s="2">
        <v>4.6228824157E10</v>
      </c>
      <c r="D134" s="2" t="s">
        <v>15818</v>
      </c>
      <c r="E134" s="2">
        <v>2511185.0</v>
      </c>
      <c r="F134" s="2">
        <v>31.0</v>
      </c>
      <c r="G134" s="2">
        <v>565.0</v>
      </c>
      <c r="H134" s="2" t="s">
        <v>5905</v>
      </c>
      <c r="I134" s="2" t="s">
        <v>5905</v>
      </c>
      <c r="J134" s="2" t="s">
        <v>5959</v>
      </c>
      <c r="K134" s="2" t="s">
        <v>15819</v>
      </c>
    </row>
    <row r="135">
      <c r="A135" s="2" t="s">
        <v>4393</v>
      </c>
      <c r="B135" s="2" t="s">
        <v>15820</v>
      </c>
      <c r="C135" s="2">
        <v>8.794492939E9</v>
      </c>
      <c r="D135" s="2" t="s">
        <v>15821</v>
      </c>
      <c r="E135" s="2">
        <v>3906641.0</v>
      </c>
      <c r="F135" s="2">
        <v>99.0</v>
      </c>
      <c r="G135" s="2">
        <v>5454.0</v>
      </c>
      <c r="H135" s="2" t="s">
        <v>5905</v>
      </c>
      <c r="I135" s="2" t="s">
        <v>5905</v>
      </c>
      <c r="J135" s="2" t="s">
        <v>5391</v>
      </c>
      <c r="K135" s="2" t="s">
        <v>15822</v>
      </c>
    </row>
    <row r="136">
      <c r="A136" s="2" t="s">
        <v>4393</v>
      </c>
      <c r="B136" s="2" t="s">
        <v>15823</v>
      </c>
      <c r="C136" s="2">
        <v>4.7476100859E10</v>
      </c>
      <c r="D136" s="2" t="s">
        <v>15824</v>
      </c>
      <c r="E136" s="2">
        <v>3423693.0</v>
      </c>
      <c r="F136" s="2">
        <v>0.0</v>
      </c>
      <c r="G136" s="2">
        <v>4540.0</v>
      </c>
      <c r="H136" s="2" t="s">
        <v>5905</v>
      </c>
      <c r="I136" s="2" t="s">
        <v>5905</v>
      </c>
      <c r="J136" s="2" t="s">
        <v>5959</v>
      </c>
      <c r="K136" s="2" t="s">
        <v>15825</v>
      </c>
      <c r="L136" s="10" t="s">
        <v>15826</v>
      </c>
    </row>
    <row r="137">
      <c r="A137" s="2" t="s">
        <v>4393</v>
      </c>
      <c r="B137" s="2" t="s">
        <v>15827</v>
      </c>
      <c r="C137" s="2">
        <v>5.3169591074E10</v>
      </c>
      <c r="D137" s="2" t="s">
        <v>15828</v>
      </c>
      <c r="E137" s="2">
        <v>847269.0</v>
      </c>
      <c r="F137" s="2">
        <v>1.0</v>
      </c>
      <c r="G137" s="2">
        <v>462.0</v>
      </c>
      <c r="H137" s="2" t="s">
        <v>5905</v>
      </c>
      <c r="I137" s="2" t="s">
        <v>5905</v>
      </c>
      <c r="J137" s="2" t="s">
        <v>5928</v>
      </c>
      <c r="K137" s="2" t="s">
        <v>15829</v>
      </c>
      <c r="L137" s="10" t="s">
        <v>15830</v>
      </c>
    </row>
    <row r="138">
      <c r="A138" s="2" t="s">
        <v>4393</v>
      </c>
      <c r="B138" s="2" t="s">
        <v>15831</v>
      </c>
      <c r="C138" s="2">
        <v>7.2292384787E10</v>
      </c>
      <c r="D138" s="2" t="s">
        <v>15832</v>
      </c>
      <c r="E138" s="2">
        <v>99300.0</v>
      </c>
      <c r="F138" s="2">
        <v>3.0</v>
      </c>
      <c r="G138" s="2">
        <v>448.0</v>
      </c>
      <c r="H138" s="2" t="s">
        <v>5905</v>
      </c>
      <c r="I138" s="2" t="s">
        <v>5905</v>
      </c>
      <c r="J138" s="2" t="s">
        <v>5485</v>
      </c>
      <c r="K138" s="2" t="s">
        <v>15833</v>
      </c>
      <c r="L138" s="10" t="s">
        <v>15834</v>
      </c>
    </row>
    <row r="139">
      <c r="A139" s="2" t="s">
        <v>4393</v>
      </c>
      <c r="B139" s="2" t="s">
        <v>15835</v>
      </c>
      <c r="C139" s="2">
        <v>8.523092105E9</v>
      </c>
      <c r="D139" s="2" t="s">
        <v>15836</v>
      </c>
      <c r="E139" s="2">
        <v>917843.0</v>
      </c>
      <c r="F139" s="2">
        <v>21.0</v>
      </c>
      <c r="G139" s="2">
        <v>2266.0</v>
      </c>
      <c r="H139" s="2" t="s">
        <v>5905</v>
      </c>
      <c r="I139" s="2" t="s">
        <v>5905</v>
      </c>
      <c r="J139" s="2" t="s">
        <v>5561</v>
      </c>
      <c r="K139" s="2" t="s">
        <v>15837</v>
      </c>
    </row>
    <row r="140">
      <c r="A140" s="2" t="s">
        <v>3714</v>
      </c>
      <c r="B140" s="2" t="s">
        <v>15838</v>
      </c>
      <c r="C140" s="2">
        <v>1.133595375E10</v>
      </c>
      <c r="D140" s="2" t="s">
        <v>15839</v>
      </c>
      <c r="E140" s="2">
        <v>28226.0</v>
      </c>
      <c r="F140" s="2">
        <v>384.0</v>
      </c>
      <c r="G140" s="2">
        <v>262.0</v>
      </c>
      <c r="H140" s="2" t="s">
        <v>5905</v>
      </c>
      <c r="I140" s="2" t="s">
        <v>5906</v>
      </c>
      <c r="J140" s="2" t="s">
        <v>10778</v>
      </c>
      <c r="K140" s="2" t="s">
        <v>15840</v>
      </c>
      <c r="L140" s="10" t="s">
        <v>15841</v>
      </c>
    </row>
    <row r="141">
      <c r="A141" s="2" t="s">
        <v>3714</v>
      </c>
      <c r="B141" s="2" t="s">
        <v>3714</v>
      </c>
      <c r="C141" s="2">
        <v>2.895199719E9</v>
      </c>
      <c r="D141" s="2" t="s">
        <v>15842</v>
      </c>
      <c r="E141" s="2">
        <v>1069139.0</v>
      </c>
      <c r="F141" s="2">
        <v>15.0</v>
      </c>
      <c r="G141" s="2">
        <v>5828.0</v>
      </c>
      <c r="H141" s="2" t="s">
        <v>5906</v>
      </c>
      <c r="I141" s="2" t="s">
        <v>5906</v>
      </c>
      <c r="J141" s="2" t="s">
        <v>5907</v>
      </c>
      <c r="K141" s="2" t="s">
        <v>15843</v>
      </c>
      <c r="L141" s="10" t="s">
        <v>15844</v>
      </c>
    </row>
    <row r="142">
      <c r="A142" s="2" t="s">
        <v>3714</v>
      </c>
      <c r="B142" s="2" t="s">
        <v>15845</v>
      </c>
      <c r="C142" s="2">
        <v>1.248913094E9</v>
      </c>
      <c r="D142" s="2" t="s">
        <v>15846</v>
      </c>
      <c r="E142" s="2">
        <v>47469.0</v>
      </c>
      <c r="F142" s="2">
        <v>39.0</v>
      </c>
      <c r="G142" s="2">
        <v>12763.0</v>
      </c>
      <c r="H142" s="2" t="s">
        <v>5905</v>
      </c>
      <c r="I142" s="2" t="s">
        <v>5905</v>
      </c>
      <c r="J142" s="2" t="s">
        <v>8615</v>
      </c>
    </row>
    <row r="143">
      <c r="A143" s="2" t="s">
        <v>3714</v>
      </c>
      <c r="B143" s="2" t="s">
        <v>15847</v>
      </c>
      <c r="C143" s="2">
        <v>8.408967898E9</v>
      </c>
      <c r="D143" s="2" t="s">
        <v>15848</v>
      </c>
      <c r="E143" s="2">
        <v>14042.0</v>
      </c>
      <c r="F143" s="2">
        <v>1014.0</v>
      </c>
      <c r="G143" s="2">
        <v>725.0</v>
      </c>
      <c r="H143" s="2" t="s">
        <v>5905</v>
      </c>
      <c r="I143" s="2" t="s">
        <v>5906</v>
      </c>
      <c r="J143" s="2" t="s">
        <v>8615</v>
      </c>
      <c r="K143" s="2" t="s">
        <v>15849</v>
      </c>
    </row>
    <row r="144">
      <c r="A144" s="2" t="s">
        <v>3714</v>
      </c>
      <c r="B144" s="2" t="s">
        <v>15850</v>
      </c>
      <c r="C144" s="2">
        <v>7.229089703E9</v>
      </c>
      <c r="D144" s="2" t="s">
        <v>15851</v>
      </c>
      <c r="E144" s="2">
        <v>707858.0</v>
      </c>
      <c r="F144" s="2">
        <v>101.0</v>
      </c>
      <c r="G144" s="2">
        <v>1861.0</v>
      </c>
      <c r="H144" s="2" t="s">
        <v>5906</v>
      </c>
      <c r="I144" s="2" t="s">
        <v>5905</v>
      </c>
      <c r="K144" s="2" t="s">
        <v>15852</v>
      </c>
    </row>
    <row r="145">
      <c r="A145" s="2" t="s">
        <v>3714</v>
      </c>
      <c r="B145" s="2" t="s">
        <v>15853</v>
      </c>
      <c r="C145" s="2">
        <v>3.559032398E9</v>
      </c>
      <c r="D145" s="2" t="s">
        <v>15854</v>
      </c>
      <c r="E145" s="2">
        <v>2177994.0</v>
      </c>
      <c r="F145" s="2">
        <v>91.0</v>
      </c>
      <c r="G145" s="2">
        <v>9927.0</v>
      </c>
      <c r="H145" s="2" t="s">
        <v>5906</v>
      </c>
      <c r="I145" s="2" t="s">
        <v>5906</v>
      </c>
      <c r="J145" s="2" t="s">
        <v>5928</v>
      </c>
      <c r="K145" s="2" t="s">
        <v>15855</v>
      </c>
    </row>
    <row r="146">
      <c r="A146" s="2" t="s">
        <v>3714</v>
      </c>
      <c r="B146" s="2" t="s">
        <v>15856</v>
      </c>
      <c r="C146" s="2">
        <v>6.269012523E9</v>
      </c>
      <c r="D146" s="2" t="s">
        <v>15857</v>
      </c>
      <c r="E146" s="2">
        <v>214135.0</v>
      </c>
      <c r="F146" s="2">
        <v>1063.0</v>
      </c>
      <c r="G146" s="2">
        <v>250.0</v>
      </c>
      <c r="H146" s="2" t="s">
        <v>5905</v>
      </c>
      <c r="I146" s="2" t="s">
        <v>5905</v>
      </c>
      <c r="J146" s="2" t="s">
        <v>8615</v>
      </c>
      <c r="K146" s="2" t="s">
        <v>15858</v>
      </c>
      <c r="L146" s="10" t="s">
        <v>15859</v>
      </c>
    </row>
    <row r="147">
      <c r="A147" s="2" t="s">
        <v>4387</v>
      </c>
      <c r="B147" s="2" t="s">
        <v>15860</v>
      </c>
      <c r="C147" s="2">
        <v>6.8757489041E10</v>
      </c>
      <c r="D147" s="2" t="s">
        <v>15861</v>
      </c>
      <c r="E147" s="2">
        <v>160524.0</v>
      </c>
      <c r="F147" s="2">
        <v>0.0</v>
      </c>
      <c r="G147" s="2">
        <v>118.0</v>
      </c>
      <c r="H147" s="2" t="s">
        <v>5905</v>
      </c>
      <c r="I147" s="2" t="s">
        <v>5905</v>
      </c>
      <c r="J147" s="2" t="s">
        <v>5993</v>
      </c>
      <c r="K147" s="2" t="s">
        <v>15862</v>
      </c>
      <c r="L147" s="10" t="s">
        <v>15863</v>
      </c>
    </row>
    <row r="148">
      <c r="A148" s="2" t="s">
        <v>4387</v>
      </c>
      <c r="B148" s="2" t="s">
        <v>4387</v>
      </c>
      <c r="C148" s="2">
        <v>4.05652962E8</v>
      </c>
      <c r="D148" s="10" t="s">
        <v>15864</v>
      </c>
      <c r="E148" s="2">
        <v>103588.0</v>
      </c>
      <c r="F148" s="2">
        <v>553.0</v>
      </c>
      <c r="G148" s="2">
        <v>1916.0</v>
      </c>
      <c r="H148" s="2" t="s">
        <v>5905</v>
      </c>
      <c r="I148" s="2" t="s">
        <v>5906</v>
      </c>
      <c r="J148" s="2" t="s">
        <v>5907</v>
      </c>
      <c r="K148" s="2" t="s">
        <v>15865</v>
      </c>
      <c r="L148" s="10" t="s">
        <v>15866</v>
      </c>
    </row>
    <row r="149">
      <c r="A149" s="2" t="s">
        <v>4387</v>
      </c>
      <c r="B149" s="2" t="s">
        <v>15867</v>
      </c>
      <c r="C149" s="2">
        <v>4.5646370888E10</v>
      </c>
      <c r="D149" s="2" t="s">
        <v>15868</v>
      </c>
      <c r="E149" s="2">
        <v>15375.0</v>
      </c>
      <c r="F149" s="2">
        <v>6737.0</v>
      </c>
      <c r="G149" s="2">
        <v>2018.0</v>
      </c>
      <c r="H149" s="2" t="s">
        <v>5905</v>
      </c>
      <c r="I149" s="2" t="s">
        <v>5905</v>
      </c>
      <c r="J149" s="2" t="s">
        <v>5959</v>
      </c>
      <c r="K149" s="2" t="s">
        <v>15869</v>
      </c>
      <c r="L149" s="10" t="s">
        <v>15870</v>
      </c>
    </row>
    <row r="150">
      <c r="A150" s="2" t="s">
        <v>4387</v>
      </c>
      <c r="B150" s="2" t="s">
        <v>15871</v>
      </c>
      <c r="C150" s="2">
        <v>5.3098254E7</v>
      </c>
      <c r="D150" s="2" t="s">
        <v>15872</v>
      </c>
      <c r="E150" s="2">
        <v>1431934.0</v>
      </c>
      <c r="F150" s="2">
        <v>1176.0</v>
      </c>
      <c r="G150" s="2">
        <v>6290.0</v>
      </c>
      <c r="H150" s="2" t="s">
        <v>5906</v>
      </c>
      <c r="I150" s="2" t="s">
        <v>5906</v>
      </c>
      <c r="K150" s="2" t="s">
        <v>15873</v>
      </c>
      <c r="L150" s="10" t="s">
        <v>15874</v>
      </c>
    </row>
    <row r="151">
      <c r="A151" s="2" t="s">
        <v>4387</v>
      </c>
      <c r="B151" s="2" t="s">
        <v>15875</v>
      </c>
      <c r="C151" s="2">
        <v>3.301864601E9</v>
      </c>
      <c r="D151" s="2" t="s">
        <v>15876</v>
      </c>
      <c r="E151" s="2">
        <v>610810.0</v>
      </c>
      <c r="F151" s="2">
        <v>686.0</v>
      </c>
      <c r="G151" s="2">
        <v>4462.0</v>
      </c>
      <c r="H151" s="2" t="s">
        <v>5905</v>
      </c>
      <c r="I151" s="2" t="s">
        <v>5906</v>
      </c>
      <c r="J151" s="2" t="s">
        <v>5959</v>
      </c>
    </row>
    <row r="152">
      <c r="A152" s="2" t="s">
        <v>4387</v>
      </c>
      <c r="B152" s="2" t="s">
        <v>15877</v>
      </c>
      <c r="C152" s="2">
        <v>1.94037798E8</v>
      </c>
      <c r="D152" s="2" t="s">
        <v>15878</v>
      </c>
      <c r="E152" s="2">
        <v>396149.0</v>
      </c>
      <c r="F152" s="2">
        <v>928.0</v>
      </c>
      <c r="G152" s="2">
        <v>2791.0</v>
      </c>
      <c r="H152" s="2" t="s">
        <v>5905</v>
      </c>
      <c r="I152" s="2" t="s">
        <v>5906</v>
      </c>
      <c r="J152" s="2" t="s">
        <v>5911</v>
      </c>
      <c r="K152" s="2" t="s">
        <v>15879</v>
      </c>
      <c r="L152" s="10" t="s">
        <v>15880</v>
      </c>
    </row>
    <row r="153">
      <c r="A153" s="2" t="s">
        <v>4387</v>
      </c>
      <c r="B153" s="2" t="s">
        <v>15881</v>
      </c>
      <c r="C153" s="2">
        <v>7.3929265914E10</v>
      </c>
      <c r="D153" s="2" t="s">
        <v>15882</v>
      </c>
      <c r="E153" s="2">
        <v>28091.0</v>
      </c>
      <c r="F153" s="2">
        <v>28.0</v>
      </c>
      <c r="G153" s="2">
        <v>86.0</v>
      </c>
      <c r="H153" s="2" t="s">
        <v>5905</v>
      </c>
      <c r="I153" s="2" t="s">
        <v>5905</v>
      </c>
      <c r="K153" s="2" t="s">
        <v>15883</v>
      </c>
    </row>
    <row r="154">
      <c r="A154" s="2" t="s">
        <v>4387</v>
      </c>
      <c r="B154" s="2" t="s">
        <v>15884</v>
      </c>
      <c r="C154" s="2">
        <v>6.026278379E9</v>
      </c>
      <c r="D154" s="2" t="s">
        <v>15885</v>
      </c>
      <c r="E154" s="2">
        <v>295151.0</v>
      </c>
      <c r="F154" s="2">
        <v>1546.0</v>
      </c>
      <c r="G154" s="2">
        <v>287.0</v>
      </c>
      <c r="H154" s="2" t="s">
        <v>5906</v>
      </c>
      <c r="I154" s="2" t="s">
        <v>5905</v>
      </c>
      <c r="J154" s="2" t="s">
        <v>6628</v>
      </c>
      <c r="K154" s="2" t="s">
        <v>15886</v>
      </c>
      <c r="L154" s="10" t="s">
        <v>15887</v>
      </c>
    </row>
    <row r="155">
      <c r="A155" s="2" t="s">
        <v>4387</v>
      </c>
      <c r="B155" s="2" t="s">
        <v>15888</v>
      </c>
      <c r="C155" s="2">
        <v>6.5113442529E10</v>
      </c>
      <c r="D155" s="2" t="s">
        <v>15889</v>
      </c>
      <c r="E155" s="2">
        <v>16470.0</v>
      </c>
      <c r="F155" s="2">
        <v>142.0</v>
      </c>
      <c r="G155" s="2">
        <v>86.0</v>
      </c>
      <c r="H155" s="2" t="s">
        <v>5905</v>
      </c>
      <c r="I155" s="2" t="s">
        <v>5906</v>
      </c>
      <c r="J155" s="2" t="s">
        <v>15890</v>
      </c>
    </row>
    <row r="156">
      <c r="A156" s="2" t="s">
        <v>14</v>
      </c>
      <c r="B156" s="2" t="s">
        <v>15891</v>
      </c>
      <c r="C156" s="2">
        <v>6.132135586E10</v>
      </c>
      <c r="D156" s="2" t="s">
        <v>15892</v>
      </c>
      <c r="E156" s="2">
        <v>154115.0</v>
      </c>
      <c r="F156" s="2">
        <v>3350.0</v>
      </c>
      <c r="G156" s="2">
        <v>779.0</v>
      </c>
      <c r="H156" s="2" t="s">
        <v>5905</v>
      </c>
      <c r="I156" s="2" t="s">
        <v>5905</v>
      </c>
      <c r="J156" s="2" t="s">
        <v>5561</v>
      </c>
      <c r="K156" s="2" t="s">
        <v>15893</v>
      </c>
      <c r="L156" s="10" t="s">
        <v>15894</v>
      </c>
    </row>
    <row r="157">
      <c r="A157" s="2" t="s">
        <v>14</v>
      </c>
      <c r="B157" s="2" t="s">
        <v>15895</v>
      </c>
      <c r="C157" s="2">
        <v>2.964025446E9</v>
      </c>
      <c r="D157" s="2" t="s">
        <v>15896</v>
      </c>
      <c r="E157" s="2">
        <v>1508531.0</v>
      </c>
      <c r="F157" s="2">
        <v>1563.0</v>
      </c>
      <c r="G157" s="2">
        <v>15295.0</v>
      </c>
      <c r="H157" s="2" t="s">
        <v>5906</v>
      </c>
      <c r="I157" s="2" t="s">
        <v>5905</v>
      </c>
      <c r="J157" s="2" t="s">
        <v>5561</v>
      </c>
      <c r="K157" s="2" t="s">
        <v>15897</v>
      </c>
      <c r="L157" s="10" t="s">
        <v>15898</v>
      </c>
    </row>
    <row r="158">
      <c r="A158" s="2" t="s">
        <v>14</v>
      </c>
      <c r="B158" s="2" t="s">
        <v>15899</v>
      </c>
      <c r="C158" s="2">
        <v>1.604415451E9</v>
      </c>
      <c r="D158" s="2" t="s">
        <v>15900</v>
      </c>
      <c r="E158" s="2">
        <v>468132.0</v>
      </c>
      <c r="F158" s="2">
        <v>413.0</v>
      </c>
      <c r="G158" s="2">
        <v>10363.0</v>
      </c>
      <c r="H158" s="2" t="s">
        <v>5905</v>
      </c>
      <c r="I158" s="2" t="s">
        <v>5905</v>
      </c>
      <c r="K158" s="2" t="s">
        <v>15901</v>
      </c>
    </row>
    <row r="159">
      <c r="A159" s="2" t="s">
        <v>14</v>
      </c>
      <c r="B159" s="2" t="s">
        <v>15902</v>
      </c>
      <c r="C159" s="2">
        <v>4.0912654284E10</v>
      </c>
      <c r="D159" s="2" t="s">
        <v>15903</v>
      </c>
      <c r="E159" s="2">
        <v>176700.0</v>
      </c>
      <c r="F159" s="2">
        <v>82.0</v>
      </c>
      <c r="G159" s="2">
        <v>645.0</v>
      </c>
      <c r="H159" s="2" t="s">
        <v>5905</v>
      </c>
      <c r="I159" s="2" t="s">
        <v>5905</v>
      </c>
      <c r="J159" s="2" t="s">
        <v>7155</v>
      </c>
      <c r="K159" s="2" t="s">
        <v>15904</v>
      </c>
    </row>
    <row r="160">
      <c r="A160" s="2" t="s">
        <v>14</v>
      </c>
      <c r="B160" s="2" t="s">
        <v>15905</v>
      </c>
      <c r="C160" s="2">
        <v>3.6214889E7</v>
      </c>
      <c r="D160" s="2" t="s">
        <v>15906</v>
      </c>
      <c r="E160" s="2">
        <v>1271720.0</v>
      </c>
      <c r="F160" s="2">
        <v>99.0</v>
      </c>
      <c r="G160" s="2">
        <v>11878.0</v>
      </c>
      <c r="H160" s="2" t="s">
        <v>5905</v>
      </c>
      <c r="I160" s="2" t="s">
        <v>5906</v>
      </c>
      <c r="K160" s="2" t="s">
        <v>15907</v>
      </c>
      <c r="L160" s="10" t="s">
        <v>15908</v>
      </c>
    </row>
    <row r="161">
      <c r="A161" s="2" t="s">
        <v>14</v>
      </c>
      <c r="B161" s="2" t="s">
        <v>15909</v>
      </c>
      <c r="C161" s="2">
        <v>4.5814908071E10</v>
      </c>
      <c r="D161" s="2" t="s">
        <v>14</v>
      </c>
      <c r="E161" s="2">
        <v>170239.0</v>
      </c>
      <c r="F161" s="2">
        <v>0.0</v>
      </c>
      <c r="G161" s="2">
        <v>1263.0</v>
      </c>
      <c r="H161" s="2" t="s">
        <v>5905</v>
      </c>
      <c r="I161" s="2" t="s">
        <v>5905</v>
      </c>
      <c r="J161" s="2" t="s">
        <v>7155</v>
      </c>
      <c r="K161" s="2" t="s">
        <v>15910</v>
      </c>
    </row>
    <row r="162">
      <c r="A162" s="2" t="s">
        <v>14</v>
      </c>
      <c r="B162" s="2" t="s">
        <v>15911</v>
      </c>
      <c r="C162" s="2">
        <v>4.7816787109E10</v>
      </c>
      <c r="D162" s="2" t="s">
        <v>15912</v>
      </c>
      <c r="E162" s="2">
        <v>12210.0</v>
      </c>
      <c r="F162" s="2">
        <v>75.0</v>
      </c>
      <c r="G162" s="2">
        <v>145.0</v>
      </c>
      <c r="H162" s="2" t="s">
        <v>5905</v>
      </c>
      <c r="I162" s="2" t="s">
        <v>5905</v>
      </c>
      <c r="J162" s="2" t="s">
        <v>7155</v>
      </c>
      <c r="K162" s="2" t="s">
        <v>15913</v>
      </c>
    </row>
    <row r="163">
      <c r="A163" s="2" t="s">
        <v>14</v>
      </c>
      <c r="B163" s="2" t="s">
        <v>15914</v>
      </c>
      <c r="C163" s="2">
        <v>6.7586780048E10</v>
      </c>
      <c r="D163" s="2" t="s">
        <v>15915</v>
      </c>
      <c r="E163" s="2">
        <v>22158.0</v>
      </c>
      <c r="F163" s="2">
        <v>1.0</v>
      </c>
      <c r="G163" s="2">
        <v>403.0</v>
      </c>
      <c r="H163" s="2" t="s">
        <v>5905</v>
      </c>
      <c r="I163" s="2" t="s">
        <v>5905</v>
      </c>
      <c r="J163" s="2" t="s">
        <v>7155</v>
      </c>
      <c r="K163" s="2" t="s">
        <v>15916</v>
      </c>
    </row>
    <row r="164">
      <c r="A164" s="2" t="s">
        <v>14</v>
      </c>
      <c r="B164" s="2" t="s">
        <v>15917</v>
      </c>
      <c r="C164" s="2">
        <v>6.7076667548E10</v>
      </c>
      <c r="D164" s="2" t="s">
        <v>15918</v>
      </c>
      <c r="E164" s="2">
        <v>63579.0</v>
      </c>
      <c r="F164" s="2">
        <v>356.0</v>
      </c>
      <c r="G164" s="2">
        <v>536.0</v>
      </c>
      <c r="H164" s="2" t="s">
        <v>5905</v>
      </c>
      <c r="I164" s="2" t="s">
        <v>5905</v>
      </c>
      <c r="J164" s="2" t="s">
        <v>5485</v>
      </c>
      <c r="K164" s="2" t="s">
        <v>15919</v>
      </c>
    </row>
    <row r="165">
      <c r="A165" s="2" t="s">
        <v>14</v>
      </c>
      <c r="B165" s="2" t="s">
        <v>15920</v>
      </c>
      <c r="C165" s="2">
        <v>2.10894009E8</v>
      </c>
      <c r="D165" s="2" t="s">
        <v>15921</v>
      </c>
      <c r="E165" s="2">
        <v>1312031.0</v>
      </c>
      <c r="F165" s="2">
        <v>4.0</v>
      </c>
      <c r="G165" s="2">
        <v>3373.0</v>
      </c>
      <c r="H165" s="2" t="s">
        <v>5905</v>
      </c>
      <c r="I165" s="2" t="s">
        <v>5906</v>
      </c>
      <c r="J165" s="2" t="s">
        <v>5561</v>
      </c>
      <c r="K165" s="2" t="s">
        <v>15922</v>
      </c>
    </row>
    <row r="166">
      <c r="A166" s="2" t="s">
        <v>14</v>
      </c>
      <c r="B166" s="2" t="s">
        <v>15923</v>
      </c>
      <c r="C166" s="2">
        <v>3.8775924409E10</v>
      </c>
      <c r="D166" s="2" t="s">
        <v>15924</v>
      </c>
      <c r="E166" s="2">
        <v>35361.0</v>
      </c>
      <c r="F166" s="2">
        <v>31.0</v>
      </c>
      <c r="G166" s="2">
        <v>183.0</v>
      </c>
      <c r="H166" s="2" t="s">
        <v>5905</v>
      </c>
      <c r="I166" s="2" t="s">
        <v>5905</v>
      </c>
      <c r="J166" s="2" t="s">
        <v>7155</v>
      </c>
      <c r="K166" s="2" t="s">
        <v>15925</v>
      </c>
    </row>
    <row r="167">
      <c r="A167" s="2" t="s">
        <v>14</v>
      </c>
      <c r="B167" s="2" t="s">
        <v>15926</v>
      </c>
      <c r="C167" s="2">
        <v>4.5585172E7</v>
      </c>
      <c r="D167" s="2" t="s">
        <v>15927</v>
      </c>
      <c r="E167" s="2">
        <v>129170.0</v>
      </c>
      <c r="F167" s="2">
        <v>2.0</v>
      </c>
      <c r="G167" s="2">
        <v>1150.0</v>
      </c>
      <c r="H167" s="2" t="s">
        <v>5905</v>
      </c>
      <c r="I167" s="2" t="s">
        <v>5905</v>
      </c>
      <c r="J167" s="2" t="s">
        <v>5561</v>
      </c>
      <c r="K167" s="2" t="s">
        <v>15928</v>
      </c>
      <c r="L167" s="10" t="s">
        <v>15929</v>
      </c>
    </row>
    <row r="168">
      <c r="A168" s="2" t="s">
        <v>4405</v>
      </c>
      <c r="B168" s="2" t="s">
        <v>15930</v>
      </c>
      <c r="C168" s="2">
        <v>2.7270124543E10</v>
      </c>
      <c r="D168" s="2" t="s">
        <v>15931</v>
      </c>
      <c r="E168" s="2">
        <v>122338.0</v>
      </c>
      <c r="F168" s="2">
        <v>844.0</v>
      </c>
      <c r="G168" s="2">
        <v>545.0</v>
      </c>
      <c r="H168" s="2" t="s">
        <v>5906</v>
      </c>
      <c r="I168" s="2" t="s">
        <v>5905</v>
      </c>
      <c r="J168" s="2" t="s">
        <v>4404</v>
      </c>
      <c r="K168" s="2" t="s">
        <v>15932</v>
      </c>
      <c r="L168" s="10" t="s">
        <v>15933</v>
      </c>
    </row>
    <row r="169">
      <c r="A169" s="2" t="s">
        <v>4405</v>
      </c>
      <c r="B169" s="2" t="s">
        <v>15934</v>
      </c>
      <c r="C169" s="2">
        <v>5.625670623E9</v>
      </c>
      <c r="D169" s="2" t="s">
        <v>15935</v>
      </c>
      <c r="E169" s="2">
        <v>132872.0</v>
      </c>
      <c r="F169" s="2">
        <v>193.0</v>
      </c>
      <c r="G169" s="2">
        <v>761.0</v>
      </c>
      <c r="H169" s="2" t="s">
        <v>5905</v>
      </c>
      <c r="I169" s="2" t="s">
        <v>5906</v>
      </c>
      <c r="J169" s="2" t="s">
        <v>5993</v>
      </c>
      <c r="K169" s="2" t="s">
        <v>15936</v>
      </c>
      <c r="L169" s="10" t="s">
        <v>15937</v>
      </c>
    </row>
    <row r="170">
      <c r="A170" s="2" t="s">
        <v>4405</v>
      </c>
      <c r="B170" s="2" t="s">
        <v>15938</v>
      </c>
      <c r="C170" s="2">
        <v>4.143052222E9</v>
      </c>
      <c r="D170" s="2" t="s">
        <v>15939</v>
      </c>
      <c r="E170" s="2">
        <v>835273.0</v>
      </c>
      <c r="F170" s="2">
        <v>3.0</v>
      </c>
      <c r="G170" s="2">
        <v>6874.0</v>
      </c>
      <c r="H170" s="2" t="s">
        <v>5905</v>
      </c>
      <c r="I170" s="2" t="s">
        <v>5906</v>
      </c>
      <c r="J170" s="2" t="s">
        <v>5993</v>
      </c>
      <c r="K170" s="2" t="s">
        <v>15940</v>
      </c>
    </row>
    <row r="171">
      <c r="A171" s="2" t="s">
        <v>4405</v>
      </c>
      <c r="B171" s="2" t="s">
        <v>15941</v>
      </c>
      <c r="C171" s="2">
        <v>6.94936015E8</v>
      </c>
      <c r="D171" s="2" t="s">
        <v>15942</v>
      </c>
      <c r="E171" s="2">
        <v>3058629.0</v>
      </c>
      <c r="F171" s="2">
        <v>1021.0</v>
      </c>
      <c r="G171" s="2">
        <v>3718.0</v>
      </c>
      <c r="H171" s="2" t="s">
        <v>5906</v>
      </c>
      <c r="I171" s="2" t="s">
        <v>5905</v>
      </c>
      <c r="J171" s="2" t="s">
        <v>5993</v>
      </c>
      <c r="K171" s="2" t="s">
        <v>15943</v>
      </c>
      <c r="L171" s="10" t="s">
        <v>15944</v>
      </c>
    </row>
    <row r="172">
      <c r="A172" s="2" t="s">
        <v>4405</v>
      </c>
      <c r="B172" s="2" t="s">
        <v>15945</v>
      </c>
      <c r="C172" s="2">
        <v>4.143281507E9</v>
      </c>
      <c r="D172" s="2" t="s">
        <v>15946</v>
      </c>
      <c r="E172" s="2">
        <v>1279891.0</v>
      </c>
      <c r="F172" s="2">
        <v>2345.0</v>
      </c>
      <c r="G172" s="2">
        <v>9128.0</v>
      </c>
      <c r="H172" s="2" t="s">
        <v>5905</v>
      </c>
      <c r="I172" s="2" t="s">
        <v>5906</v>
      </c>
      <c r="J172" s="2" t="s">
        <v>5993</v>
      </c>
      <c r="K172" s="2" t="s">
        <v>15947</v>
      </c>
      <c r="L172" s="10" t="s">
        <v>15948</v>
      </c>
    </row>
    <row r="173">
      <c r="A173" s="2" t="s">
        <v>4405</v>
      </c>
      <c r="B173" s="2" t="s">
        <v>15949</v>
      </c>
      <c r="C173" s="2">
        <v>1.230143836E10</v>
      </c>
      <c r="D173" s="2" t="s">
        <v>15950</v>
      </c>
      <c r="E173" s="2">
        <v>634733.0</v>
      </c>
      <c r="F173" s="2">
        <v>2195.0</v>
      </c>
      <c r="G173" s="2">
        <v>2319.0</v>
      </c>
      <c r="H173" s="2" t="s">
        <v>5906</v>
      </c>
      <c r="I173" s="2" t="s">
        <v>5905</v>
      </c>
      <c r="J173" s="2" t="s">
        <v>5993</v>
      </c>
      <c r="K173" s="2" t="s">
        <v>15951</v>
      </c>
    </row>
    <row r="174">
      <c r="A174" s="2" t="s">
        <v>4405</v>
      </c>
      <c r="B174" s="2" t="s">
        <v>15952</v>
      </c>
      <c r="C174" s="2">
        <v>5.1734094084E10</v>
      </c>
      <c r="D174" s="2" t="s">
        <v>15953</v>
      </c>
      <c r="E174" s="2">
        <v>71567.0</v>
      </c>
      <c r="F174" s="2">
        <v>3.0</v>
      </c>
      <c r="G174" s="2">
        <v>193.0</v>
      </c>
      <c r="H174" s="2" t="s">
        <v>5905</v>
      </c>
      <c r="I174" s="2" t="s">
        <v>5905</v>
      </c>
      <c r="J174" s="2" t="s">
        <v>5993</v>
      </c>
      <c r="K174" s="2" t="s">
        <v>15954</v>
      </c>
      <c r="L174" s="10" t="s">
        <v>15955</v>
      </c>
    </row>
    <row r="175">
      <c r="A175" s="2" t="s">
        <v>4405</v>
      </c>
      <c r="B175" s="2" t="s">
        <v>15956</v>
      </c>
      <c r="C175" s="2">
        <v>7.004783143E9</v>
      </c>
      <c r="D175" s="2" t="s">
        <v>15957</v>
      </c>
      <c r="E175" s="2">
        <v>1002391.0</v>
      </c>
      <c r="F175" s="2">
        <v>354.0</v>
      </c>
      <c r="G175" s="2">
        <v>1617.0</v>
      </c>
      <c r="H175" s="2" t="s">
        <v>5906</v>
      </c>
      <c r="I175" s="2" t="s">
        <v>5906</v>
      </c>
      <c r="J175" s="2" t="s">
        <v>5993</v>
      </c>
      <c r="K175" s="2" t="s">
        <v>15958</v>
      </c>
      <c r="L175" s="10" t="s">
        <v>15959</v>
      </c>
    </row>
    <row r="176">
      <c r="A176" s="2" t="s">
        <v>4405</v>
      </c>
      <c r="B176" s="2" t="s">
        <v>15960</v>
      </c>
      <c r="C176" s="2">
        <v>7.917761025E9</v>
      </c>
      <c r="D176" s="2" t="s">
        <v>15961</v>
      </c>
      <c r="E176" s="2">
        <v>366902.0</v>
      </c>
      <c r="F176" s="2">
        <v>662.0</v>
      </c>
      <c r="G176" s="2">
        <v>315.0</v>
      </c>
      <c r="H176" s="2" t="s">
        <v>5906</v>
      </c>
      <c r="I176" s="2" t="s">
        <v>5905</v>
      </c>
      <c r="J176" s="2" t="s">
        <v>5993</v>
      </c>
      <c r="K176" s="2" t="s">
        <v>15962</v>
      </c>
      <c r="L176" s="10" t="s">
        <v>15963</v>
      </c>
    </row>
    <row r="177">
      <c r="A177" s="2" t="s">
        <v>4405</v>
      </c>
      <c r="B177" s="2" t="s">
        <v>15964</v>
      </c>
      <c r="C177" s="2">
        <v>6.010516165E9</v>
      </c>
      <c r="D177" s="2" t="s">
        <v>15965</v>
      </c>
      <c r="E177" s="2">
        <v>827416.0</v>
      </c>
      <c r="F177" s="2">
        <v>502.0</v>
      </c>
      <c r="G177" s="2">
        <v>4728.0</v>
      </c>
      <c r="H177" s="2" t="s">
        <v>5905</v>
      </c>
      <c r="I177" s="2" t="s">
        <v>5906</v>
      </c>
      <c r="J177" s="2" t="s">
        <v>6887</v>
      </c>
      <c r="K177" s="2" t="s">
        <v>15966</v>
      </c>
      <c r="L177" s="10" t="s">
        <v>15967</v>
      </c>
    </row>
    <row r="178">
      <c r="A178" s="2" t="s">
        <v>4396</v>
      </c>
      <c r="B178" s="2" t="s">
        <v>15968</v>
      </c>
      <c r="C178" s="2">
        <v>5.1898175738E10</v>
      </c>
      <c r="D178" s="2" t="s">
        <v>15969</v>
      </c>
      <c r="E178" s="2">
        <v>337820.0</v>
      </c>
      <c r="F178" s="2">
        <v>30.0</v>
      </c>
      <c r="G178" s="2">
        <v>1939.0</v>
      </c>
      <c r="H178" s="2" t="s">
        <v>5905</v>
      </c>
      <c r="I178" s="2" t="s">
        <v>5906</v>
      </c>
      <c r="J178" s="2" t="s">
        <v>7059</v>
      </c>
      <c r="K178" s="2" t="s">
        <v>15970</v>
      </c>
      <c r="L178" s="10" t="s">
        <v>15971</v>
      </c>
    </row>
    <row r="179">
      <c r="A179" s="2" t="s">
        <v>4396</v>
      </c>
      <c r="B179" s="2" t="s">
        <v>7239</v>
      </c>
      <c r="C179" s="2">
        <v>1.80968715E8</v>
      </c>
      <c r="D179" s="2" t="s">
        <v>7240</v>
      </c>
      <c r="E179" s="2">
        <v>279782.0</v>
      </c>
      <c r="F179" s="2">
        <v>786.0</v>
      </c>
      <c r="G179" s="2">
        <v>4788.0</v>
      </c>
      <c r="H179" s="2" t="s">
        <v>5906</v>
      </c>
      <c r="I179" s="2" t="s">
        <v>5906</v>
      </c>
      <c r="J179" s="2" t="s">
        <v>6414</v>
      </c>
      <c r="K179" s="2" t="s">
        <v>7241</v>
      </c>
      <c r="L179" s="10" t="s">
        <v>7242</v>
      </c>
    </row>
    <row r="180">
      <c r="A180" s="2" t="s">
        <v>4396</v>
      </c>
      <c r="B180" s="2" t="s">
        <v>15972</v>
      </c>
      <c r="C180" s="2">
        <v>4.3990136012E10</v>
      </c>
      <c r="D180" s="2" t="s">
        <v>15973</v>
      </c>
      <c r="E180" s="2">
        <v>150030.0</v>
      </c>
      <c r="F180" s="2">
        <v>373.0</v>
      </c>
      <c r="G180" s="2">
        <v>759.0</v>
      </c>
      <c r="H180" s="2" t="s">
        <v>5906</v>
      </c>
      <c r="I180" s="2" t="s">
        <v>5905</v>
      </c>
      <c r="J180" s="2" t="s">
        <v>6073</v>
      </c>
      <c r="K180" s="2" t="s">
        <v>15974</v>
      </c>
      <c r="L180" s="10" t="s">
        <v>15975</v>
      </c>
    </row>
    <row r="181">
      <c r="A181" s="2" t="s">
        <v>4396</v>
      </c>
      <c r="B181" s="2" t="s">
        <v>15976</v>
      </c>
      <c r="C181" s="2">
        <v>4.8790426595E10</v>
      </c>
      <c r="D181" s="2" t="s">
        <v>15977</v>
      </c>
      <c r="E181" s="2">
        <v>287749.0</v>
      </c>
      <c r="F181" s="2">
        <v>367.0</v>
      </c>
      <c r="G181" s="2">
        <v>1015.0</v>
      </c>
      <c r="H181" s="2" t="s">
        <v>5906</v>
      </c>
      <c r="I181" s="2" t="s">
        <v>5905</v>
      </c>
      <c r="J181" s="2" t="s">
        <v>9775</v>
      </c>
      <c r="K181" s="2" t="s">
        <v>15978</v>
      </c>
    </row>
    <row r="182">
      <c r="A182" s="2" t="s">
        <v>4396</v>
      </c>
      <c r="B182" s="2" t="s">
        <v>4396</v>
      </c>
      <c r="C182" s="2">
        <v>2.14836365E9</v>
      </c>
      <c r="D182" s="2" t="s">
        <v>15979</v>
      </c>
      <c r="E182" s="2">
        <v>14128.0</v>
      </c>
      <c r="F182" s="2">
        <v>15.0</v>
      </c>
      <c r="G182" s="2">
        <v>215.0</v>
      </c>
      <c r="H182" s="2" t="s">
        <v>5905</v>
      </c>
      <c r="I182" s="2" t="s">
        <v>5905</v>
      </c>
      <c r="J182" s="2" t="s">
        <v>5391</v>
      </c>
      <c r="K182" s="2" t="s">
        <v>15980</v>
      </c>
    </row>
    <row r="183">
      <c r="A183" s="2" t="s">
        <v>4396</v>
      </c>
      <c r="B183" s="2" t="s">
        <v>15981</v>
      </c>
      <c r="C183" s="2">
        <v>6.674284386E9</v>
      </c>
      <c r="D183" s="2" t="s">
        <v>15979</v>
      </c>
      <c r="E183" s="2">
        <v>402885.0</v>
      </c>
      <c r="F183" s="2">
        <v>63.0</v>
      </c>
      <c r="G183" s="2">
        <v>386.0</v>
      </c>
      <c r="H183" s="2" t="s">
        <v>5905</v>
      </c>
      <c r="I183" s="2" t="s">
        <v>5906</v>
      </c>
      <c r="J183" s="2" t="s">
        <v>6073</v>
      </c>
      <c r="K183" s="2" t="s">
        <v>15982</v>
      </c>
    </row>
    <row r="184">
      <c r="A184" s="2" t="s">
        <v>4396</v>
      </c>
      <c r="B184" s="2" t="s">
        <v>15983</v>
      </c>
      <c r="C184" s="2">
        <v>4.0667618682E10</v>
      </c>
      <c r="D184" s="2" t="s">
        <v>15984</v>
      </c>
      <c r="E184" s="2">
        <v>16312.0</v>
      </c>
      <c r="F184" s="2">
        <v>20.0</v>
      </c>
      <c r="G184" s="2">
        <v>1285.0</v>
      </c>
      <c r="H184" s="2" t="s">
        <v>5905</v>
      </c>
      <c r="I184" s="2" t="s">
        <v>5905</v>
      </c>
      <c r="J184" s="2" t="s">
        <v>11376</v>
      </c>
      <c r="K184" s="2" t="s">
        <v>15985</v>
      </c>
      <c r="L184" s="10" t="s">
        <v>15986</v>
      </c>
    </row>
    <row r="185">
      <c r="A185" s="2" t="s">
        <v>4396</v>
      </c>
      <c r="B185" s="2" t="s">
        <v>15987</v>
      </c>
      <c r="C185" s="2">
        <v>2.568435561E9</v>
      </c>
      <c r="D185" s="10" t="s">
        <v>15988</v>
      </c>
      <c r="E185" s="2">
        <v>571949.0</v>
      </c>
      <c r="F185" s="2">
        <v>39.0</v>
      </c>
      <c r="G185" s="2">
        <v>1493.0</v>
      </c>
      <c r="H185" s="2" t="s">
        <v>5906</v>
      </c>
      <c r="I185" s="2" t="s">
        <v>5906</v>
      </c>
      <c r="K185" s="2" t="s">
        <v>15989</v>
      </c>
      <c r="L185" s="10" t="s">
        <v>15990</v>
      </c>
    </row>
    <row r="186">
      <c r="A186" s="2" t="s">
        <v>4396</v>
      </c>
      <c r="B186" s="2" t="s">
        <v>15991</v>
      </c>
      <c r="C186" s="2">
        <v>395120.0</v>
      </c>
      <c r="D186" s="2" t="s">
        <v>15992</v>
      </c>
      <c r="E186" s="2">
        <v>1485612.0</v>
      </c>
      <c r="F186" s="2">
        <v>3.0</v>
      </c>
      <c r="G186" s="2">
        <v>1459.0</v>
      </c>
      <c r="H186" s="2" t="s">
        <v>5905</v>
      </c>
      <c r="I186" s="2" t="s">
        <v>5906</v>
      </c>
      <c r="J186" s="2" t="s">
        <v>5968</v>
      </c>
      <c r="K186" s="2" t="s">
        <v>15993</v>
      </c>
    </row>
    <row r="187">
      <c r="A187" s="2" t="s">
        <v>4396</v>
      </c>
      <c r="B187" s="2" t="s">
        <v>15994</v>
      </c>
      <c r="C187" s="2">
        <v>3.1873993268E10</v>
      </c>
      <c r="D187" s="2" t="s">
        <v>15995</v>
      </c>
      <c r="E187" s="2">
        <v>260749.0</v>
      </c>
      <c r="F187" s="2">
        <v>20.0</v>
      </c>
      <c r="G187" s="2">
        <v>4013.0</v>
      </c>
      <c r="H187" s="2" t="s">
        <v>5905</v>
      </c>
      <c r="I187" s="2" t="s">
        <v>5905</v>
      </c>
      <c r="J187" s="2" t="s">
        <v>5391</v>
      </c>
      <c r="K187" s="2" t="s">
        <v>15996</v>
      </c>
    </row>
    <row r="188">
      <c r="A188" s="2" t="s">
        <v>4396</v>
      </c>
      <c r="B188" s="2" t="s">
        <v>15997</v>
      </c>
      <c r="C188" s="2">
        <v>4.5120932421E10</v>
      </c>
      <c r="D188" s="2" t="s">
        <v>15998</v>
      </c>
      <c r="E188" s="2">
        <v>790100.0</v>
      </c>
      <c r="F188" s="2">
        <v>19.0</v>
      </c>
      <c r="G188" s="2">
        <v>2241.0</v>
      </c>
      <c r="H188" s="2" t="s">
        <v>5905</v>
      </c>
      <c r="I188" s="2" t="s">
        <v>5905</v>
      </c>
      <c r="J188" s="2" t="s">
        <v>5561</v>
      </c>
      <c r="K188" s="2" t="s">
        <v>15999</v>
      </c>
    </row>
    <row r="189">
      <c r="A189" s="2" t="s">
        <v>4396</v>
      </c>
      <c r="B189" s="2" t="s">
        <v>16000</v>
      </c>
      <c r="C189" s="2">
        <v>2.09570569E8</v>
      </c>
      <c r="D189" s="2" t="s">
        <v>16001</v>
      </c>
      <c r="E189" s="2">
        <v>131597.0</v>
      </c>
      <c r="F189" s="2">
        <v>467.0</v>
      </c>
      <c r="G189" s="2">
        <v>3079.0</v>
      </c>
      <c r="H189" s="2" t="s">
        <v>5906</v>
      </c>
      <c r="I189" s="2" t="s">
        <v>5905</v>
      </c>
      <c r="J189" s="2" t="s">
        <v>16002</v>
      </c>
      <c r="K189" s="2" t="s">
        <v>16003</v>
      </c>
      <c r="L189" s="10" t="s">
        <v>16004</v>
      </c>
    </row>
    <row r="190">
      <c r="A190" s="2" t="s">
        <v>4396</v>
      </c>
      <c r="B190" s="2" t="s">
        <v>16005</v>
      </c>
      <c r="C190" s="2">
        <v>7.292157332E9</v>
      </c>
      <c r="D190" s="2" t="s">
        <v>16006</v>
      </c>
      <c r="E190" s="2">
        <v>274596.0</v>
      </c>
      <c r="F190" s="2">
        <v>296.0</v>
      </c>
      <c r="G190" s="2">
        <v>2766.0</v>
      </c>
      <c r="H190" s="2" t="s">
        <v>5906</v>
      </c>
      <c r="I190" s="2" t="s">
        <v>5906</v>
      </c>
      <c r="J190" s="2" t="s">
        <v>5968</v>
      </c>
      <c r="K190" s="2" t="s">
        <v>16007</v>
      </c>
      <c r="L190" s="10" t="s">
        <v>16008</v>
      </c>
    </row>
    <row r="191">
      <c r="A191" s="2" t="s">
        <v>4396</v>
      </c>
      <c r="B191" s="2" t="s">
        <v>16009</v>
      </c>
      <c r="C191" s="2">
        <v>5.034927307E10</v>
      </c>
      <c r="D191" s="2" t="s">
        <v>16010</v>
      </c>
      <c r="E191" s="2">
        <v>119354.0</v>
      </c>
      <c r="F191" s="2">
        <v>61.0</v>
      </c>
      <c r="G191" s="2">
        <v>1049.0</v>
      </c>
      <c r="H191" s="2" t="s">
        <v>5905</v>
      </c>
      <c r="I191" s="2" t="s">
        <v>5905</v>
      </c>
      <c r="J191" s="2" t="s">
        <v>5968</v>
      </c>
      <c r="K191" s="2" t="s">
        <v>16011</v>
      </c>
      <c r="L191" s="10" t="s">
        <v>16012</v>
      </c>
    </row>
    <row r="192">
      <c r="A192" s="2" t="s">
        <v>4396</v>
      </c>
      <c r="B192" s="2" t="s">
        <v>16013</v>
      </c>
      <c r="C192" s="2">
        <v>3.1785466389E10</v>
      </c>
      <c r="D192" s="2" t="s">
        <v>16014</v>
      </c>
      <c r="E192" s="2">
        <v>230879.0</v>
      </c>
      <c r="F192" s="2">
        <v>593.0</v>
      </c>
      <c r="G192" s="2">
        <v>1586.0</v>
      </c>
      <c r="H192" s="2" t="s">
        <v>5906</v>
      </c>
      <c r="I192" s="2" t="s">
        <v>5905</v>
      </c>
      <c r="J192" s="2" t="s">
        <v>5959</v>
      </c>
      <c r="K192" s="2" t="s">
        <v>16015</v>
      </c>
      <c r="L192" s="10" t="s">
        <v>16016</v>
      </c>
    </row>
    <row r="193">
      <c r="A193" s="2" t="s">
        <v>4396</v>
      </c>
      <c r="B193" s="2" t="s">
        <v>16017</v>
      </c>
      <c r="C193" s="2">
        <v>4.5048773022E10</v>
      </c>
      <c r="D193" s="2" t="s">
        <v>16018</v>
      </c>
      <c r="E193" s="2">
        <v>1507015.0</v>
      </c>
      <c r="F193" s="2">
        <v>352.0</v>
      </c>
      <c r="G193" s="2">
        <v>3540.0</v>
      </c>
      <c r="H193" s="2" t="s">
        <v>5906</v>
      </c>
      <c r="I193" s="2" t="s">
        <v>5905</v>
      </c>
      <c r="J193" s="2" t="s">
        <v>5391</v>
      </c>
      <c r="K193" s="2" t="s">
        <v>16019</v>
      </c>
      <c r="L193" s="10" t="s">
        <v>16020</v>
      </c>
    </row>
    <row r="194">
      <c r="A194" s="2" t="s">
        <v>4389</v>
      </c>
      <c r="B194" s="2" t="s">
        <v>16021</v>
      </c>
      <c r="C194" s="2">
        <v>6.5238742197E10</v>
      </c>
      <c r="D194" s="2" t="s">
        <v>16022</v>
      </c>
      <c r="E194" s="2">
        <v>37087.0</v>
      </c>
      <c r="F194" s="2">
        <v>0.0</v>
      </c>
      <c r="G194" s="2">
        <v>430.0</v>
      </c>
      <c r="H194" s="2" t="s">
        <v>5905</v>
      </c>
      <c r="I194" s="2" t="s">
        <v>5905</v>
      </c>
      <c r="J194" s="2" t="s">
        <v>5928</v>
      </c>
      <c r="K194" s="2" t="s">
        <v>16023</v>
      </c>
    </row>
    <row r="195">
      <c r="A195" s="2" t="s">
        <v>4389</v>
      </c>
      <c r="B195" s="2" t="s">
        <v>16024</v>
      </c>
      <c r="C195" s="2">
        <v>6.824515879E10</v>
      </c>
      <c r="D195" s="2" t="s">
        <v>16025</v>
      </c>
      <c r="E195" s="2">
        <v>38588.0</v>
      </c>
      <c r="F195" s="2">
        <v>90.0</v>
      </c>
      <c r="G195" s="2">
        <v>1312.0</v>
      </c>
      <c r="H195" s="2" t="s">
        <v>5905</v>
      </c>
      <c r="I195" s="2" t="s">
        <v>5905</v>
      </c>
      <c r="J195" s="2" t="s">
        <v>5561</v>
      </c>
      <c r="K195" s="2" t="s">
        <v>16026</v>
      </c>
      <c r="L195" s="10" t="s">
        <v>16027</v>
      </c>
    </row>
    <row r="196">
      <c r="A196" s="2" t="s">
        <v>4389</v>
      </c>
      <c r="B196" s="2" t="s">
        <v>16028</v>
      </c>
      <c r="C196" s="2">
        <v>7.5976573657E10</v>
      </c>
      <c r="D196" s="2" t="s">
        <v>16029</v>
      </c>
      <c r="E196" s="2">
        <v>111283.0</v>
      </c>
      <c r="F196" s="2">
        <v>34.0</v>
      </c>
      <c r="G196" s="2">
        <v>26.0</v>
      </c>
      <c r="H196" s="2" t="s">
        <v>5906</v>
      </c>
      <c r="I196" s="2" t="s">
        <v>5906</v>
      </c>
      <c r="J196" s="2" t="s">
        <v>6124</v>
      </c>
      <c r="K196" s="2" t="s">
        <v>16030</v>
      </c>
    </row>
    <row r="197">
      <c r="A197" s="2" t="s">
        <v>4389</v>
      </c>
      <c r="B197" s="2" t="s">
        <v>16031</v>
      </c>
      <c r="C197" s="2">
        <v>7.5502165026E10</v>
      </c>
      <c r="D197" s="2" t="s">
        <v>16032</v>
      </c>
      <c r="E197" s="2">
        <v>32581.0</v>
      </c>
      <c r="F197" s="2">
        <v>34.0</v>
      </c>
      <c r="G197" s="2">
        <v>110.0</v>
      </c>
      <c r="H197" s="2" t="s">
        <v>5905</v>
      </c>
      <c r="I197" s="2" t="s">
        <v>5905</v>
      </c>
      <c r="J197" s="2" t="s">
        <v>6414</v>
      </c>
      <c r="K197" s="2" t="s">
        <v>16033</v>
      </c>
    </row>
    <row r="198">
      <c r="A198" s="2" t="s">
        <v>4389</v>
      </c>
      <c r="B198" s="2" t="s">
        <v>16034</v>
      </c>
      <c r="C198" s="2">
        <v>8.734241569E9</v>
      </c>
      <c r="D198" s="2" t="s">
        <v>16035</v>
      </c>
      <c r="E198" s="2">
        <v>50598.0</v>
      </c>
      <c r="F198" s="2">
        <v>18.0</v>
      </c>
      <c r="G198" s="2">
        <v>18695.0</v>
      </c>
      <c r="H198" s="2" t="s">
        <v>5905</v>
      </c>
      <c r="I198" s="2" t="s">
        <v>5905</v>
      </c>
      <c r="J198" s="2" t="s">
        <v>5959</v>
      </c>
      <c r="K198" s="2" t="s">
        <v>16036</v>
      </c>
      <c r="L198" s="10" t="s">
        <v>16037</v>
      </c>
    </row>
    <row r="199">
      <c r="A199" s="2" t="s">
        <v>4389</v>
      </c>
      <c r="B199" s="2" t="s">
        <v>16038</v>
      </c>
      <c r="C199" s="2">
        <v>6.176897914E10</v>
      </c>
      <c r="D199" s="2" t="s">
        <v>16039</v>
      </c>
      <c r="E199" s="2">
        <v>40210.0</v>
      </c>
      <c r="F199" s="2">
        <v>349.0</v>
      </c>
      <c r="G199" s="2">
        <v>637.0</v>
      </c>
      <c r="H199" s="2" t="s">
        <v>5905</v>
      </c>
      <c r="I199" s="2" t="s">
        <v>5905</v>
      </c>
      <c r="J199" s="2" t="s">
        <v>5561</v>
      </c>
      <c r="K199" s="2" t="s">
        <v>16040</v>
      </c>
    </row>
    <row r="200">
      <c r="A200" s="2" t="s">
        <v>4389</v>
      </c>
      <c r="B200" s="2" t="s">
        <v>16041</v>
      </c>
      <c r="C200" s="2">
        <v>6.8137565016E10</v>
      </c>
      <c r="D200" s="2" t="s">
        <v>4389</v>
      </c>
      <c r="E200" s="2">
        <v>13214.0</v>
      </c>
      <c r="F200" s="2">
        <v>102.0</v>
      </c>
      <c r="G200" s="2">
        <v>142.0</v>
      </c>
      <c r="H200" s="2" t="s">
        <v>5905</v>
      </c>
      <c r="I200" s="2" t="s">
        <v>5906</v>
      </c>
      <c r="J200" s="2" t="s">
        <v>6124</v>
      </c>
      <c r="K200" s="2" t="s">
        <v>16042</v>
      </c>
      <c r="L200" s="10" t="s">
        <v>16043</v>
      </c>
    </row>
    <row r="201">
      <c r="A201" s="2" t="s">
        <v>4389</v>
      </c>
      <c r="B201" s="2" t="s">
        <v>16044</v>
      </c>
      <c r="C201" s="2">
        <v>5.368232268E9</v>
      </c>
      <c r="D201" s="2" t="s">
        <v>16045</v>
      </c>
      <c r="E201" s="2">
        <v>249655.0</v>
      </c>
      <c r="F201" s="2">
        <v>167.0</v>
      </c>
      <c r="G201" s="2">
        <v>858.0</v>
      </c>
      <c r="H201" s="2" t="s">
        <v>5906</v>
      </c>
      <c r="I201" s="2" t="s">
        <v>5905</v>
      </c>
      <c r="J201" s="2" t="s">
        <v>5391</v>
      </c>
      <c r="K201" s="2" t="s">
        <v>16046</v>
      </c>
      <c r="L201" s="10" t="s">
        <v>16047</v>
      </c>
    </row>
    <row r="202">
      <c r="A202" s="2" t="s">
        <v>4389</v>
      </c>
      <c r="B202" s="2" t="s">
        <v>16048</v>
      </c>
      <c r="C202" s="2">
        <v>5.855847556E9</v>
      </c>
      <c r="D202" s="2" t="s">
        <v>16049</v>
      </c>
      <c r="E202" s="2">
        <v>783588.0</v>
      </c>
      <c r="F202" s="2">
        <v>20.0</v>
      </c>
      <c r="G202" s="2">
        <v>40051.0</v>
      </c>
      <c r="H202" s="2" t="s">
        <v>5905</v>
      </c>
      <c r="I202" s="2" t="s">
        <v>5905</v>
      </c>
      <c r="J202" s="2" t="s">
        <v>5911</v>
      </c>
      <c r="K202" s="2" t="s">
        <v>16050</v>
      </c>
    </row>
    <row r="203">
      <c r="A203" s="2" t="s">
        <v>4389</v>
      </c>
      <c r="B203" s="2" t="s">
        <v>16051</v>
      </c>
      <c r="C203" s="2">
        <v>1.44965831E9</v>
      </c>
      <c r="D203" s="2" t="s">
        <v>16052</v>
      </c>
      <c r="E203" s="2">
        <v>118683.0</v>
      </c>
      <c r="F203" s="2">
        <v>15.0</v>
      </c>
      <c r="G203" s="2">
        <v>13654.0</v>
      </c>
      <c r="H203" s="2" t="s">
        <v>5905</v>
      </c>
      <c r="I203" s="2" t="s">
        <v>5905</v>
      </c>
      <c r="J203" s="2" t="s">
        <v>5907</v>
      </c>
      <c r="K203" s="2" t="s">
        <v>16053</v>
      </c>
    </row>
    <row r="204">
      <c r="A204" s="2" t="s">
        <v>4382</v>
      </c>
      <c r="B204" s="2" t="s">
        <v>16054</v>
      </c>
      <c r="C204" s="2">
        <v>4.8156644862E10</v>
      </c>
      <c r="D204" s="2" t="s">
        <v>16055</v>
      </c>
      <c r="E204" s="2">
        <v>131574.0</v>
      </c>
      <c r="F204" s="2">
        <v>6.0</v>
      </c>
      <c r="G204" s="2">
        <v>308.0</v>
      </c>
      <c r="H204" s="2" t="s">
        <v>5905</v>
      </c>
      <c r="I204" s="2" t="s">
        <v>5906</v>
      </c>
      <c r="J204" s="2" t="s">
        <v>7140</v>
      </c>
      <c r="K204" s="2" t="s">
        <v>16056</v>
      </c>
      <c r="L204" s="10" t="s">
        <v>16057</v>
      </c>
    </row>
    <row r="205">
      <c r="A205" s="2" t="s">
        <v>4382</v>
      </c>
      <c r="B205" s="2" t="s">
        <v>16058</v>
      </c>
      <c r="C205" s="2">
        <v>4.5206963E7</v>
      </c>
      <c r="D205" s="2" t="s">
        <v>16059</v>
      </c>
      <c r="E205" s="2">
        <v>65520.0</v>
      </c>
      <c r="F205" s="2">
        <v>1329.0</v>
      </c>
      <c r="G205" s="2">
        <v>4953.0</v>
      </c>
      <c r="H205" s="2" t="s">
        <v>5905</v>
      </c>
      <c r="I205" s="2" t="s">
        <v>5905</v>
      </c>
      <c r="J205" s="2" t="s">
        <v>11316</v>
      </c>
      <c r="K205" s="12" t="s">
        <v>16060</v>
      </c>
      <c r="L205" s="10" t="s">
        <v>16061</v>
      </c>
    </row>
    <row r="206">
      <c r="A206" s="2" t="s">
        <v>4382</v>
      </c>
      <c r="B206" s="2" t="s">
        <v>16062</v>
      </c>
      <c r="C206" s="2">
        <v>1.365241111E9</v>
      </c>
      <c r="D206" s="2" t="s">
        <v>16063</v>
      </c>
      <c r="E206" s="2">
        <v>957829.0</v>
      </c>
      <c r="F206" s="2">
        <v>769.0</v>
      </c>
      <c r="G206" s="2">
        <v>2635.0</v>
      </c>
      <c r="H206" s="2" t="s">
        <v>5906</v>
      </c>
      <c r="I206" s="2" t="s">
        <v>5905</v>
      </c>
      <c r="J206" s="2" t="s">
        <v>5959</v>
      </c>
      <c r="K206" s="2" t="s">
        <v>16064</v>
      </c>
      <c r="L206" s="10" t="s">
        <v>16065</v>
      </c>
    </row>
    <row r="207">
      <c r="A207" s="2" t="s">
        <v>4382</v>
      </c>
      <c r="B207" s="2" t="s">
        <v>16066</v>
      </c>
      <c r="C207" s="2">
        <v>1.250472458E9</v>
      </c>
      <c r="D207" s="2" t="s">
        <v>16067</v>
      </c>
      <c r="E207" s="2">
        <v>78616.0</v>
      </c>
      <c r="F207" s="2">
        <v>3327.0</v>
      </c>
      <c r="G207" s="2">
        <v>2991.0</v>
      </c>
      <c r="H207" s="2" t="s">
        <v>5906</v>
      </c>
      <c r="I207" s="2" t="s">
        <v>5906</v>
      </c>
      <c r="J207" s="2" t="s">
        <v>14778</v>
      </c>
      <c r="K207" s="12" t="s">
        <v>16068</v>
      </c>
    </row>
    <row r="208">
      <c r="A208" s="2" t="s">
        <v>4382</v>
      </c>
      <c r="B208" s="2" t="s">
        <v>4382</v>
      </c>
      <c r="C208" s="2">
        <v>5.9130473044E10</v>
      </c>
      <c r="D208" s="2" t="s">
        <v>5008</v>
      </c>
      <c r="E208" s="2">
        <v>171104.0</v>
      </c>
      <c r="F208" s="2">
        <v>224.0</v>
      </c>
      <c r="G208" s="2">
        <v>3910.0</v>
      </c>
      <c r="H208" s="2" t="s">
        <v>5905</v>
      </c>
      <c r="I208" s="2" t="s">
        <v>5906</v>
      </c>
      <c r="J208" s="2" t="s">
        <v>7414</v>
      </c>
      <c r="K208" s="2" t="s">
        <v>16069</v>
      </c>
      <c r="L208" s="10" t="s">
        <v>16070</v>
      </c>
    </row>
    <row r="209">
      <c r="A209" s="2" t="s">
        <v>4382</v>
      </c>
      <c r="B209" s="2" t="s">
        <v>16071</v>
      </c>
      <c r="C209" s="2">
        <v>2.37776748E8</v>
      </c>
      <c r="D209" s="2" t="s">
        <v>16072</v>
      </c>
      <c r="E209" s="2">
        <v>6613564.0</v>
      </c>
      <c r="F209" s="2">
        <v>1936.0</v>
      </c>
      <c r="G209" s="2">
        <v>3423.0</v>
      </c>
      <c r="H209" s="2" t="s">
        <v>5906</v>
      </c>
      <c r="I209" s="2" t="s">
        <v>5906</v>
      </c>
      <c r="J209" s="2" t="s">
        <v>7140</v>
      </c>
      <c r="K209" s="2" t="s">
        <v>16073</v>
      </c>
      <c r="L209" s="10" t="s">
        <v>16074</v>
      </c>
    </row>
    <row r="210">
      <c r="A210" s="2" t="s">
        <v>4382</v>
      </c>
      <c r="B210" s="2" t="s">
        <v>16075</v>
      </c>
      <c r="C210" s="2">
        <v>6.119726915E9</v>
      </c>
      <c r="D210" s="2" t="s">
        <v>5008</v>
      </c>
      <c r="E210" s="2">
        <v>1393564.0</v>
      </c>
      <c r="F210" s="2">
        <v>13.0</v>
      </c>
      <c r="G210" s="2">
        <v>4186.0</v>
      </c>
      <c r="H210" s="2" t="s">
        <v>5905</v>
      </c>
      <c r="I210" s="2" t="s">
        <v>5905</v>
      </c>
      <c r="J210" s="2" t="s">
        <v>5492</v>
      </c>
      <c r="K210" s="2" t="s">
        <v>16076</v>
      </c>
    </row>
    <row r="211">
      <c r="A211" s="2" t="s">
        <v>4382</v>
      </c>
      <c r="B211" s="2" t="s">
        <v>16077</v>
      </c>
      <c r="C211" s="2">
        <v>1.9836546E8</v>
      </c>
      <c r="D211" s="2" t="s">
        <v>16078</v>
      </c>
      <c r="E211" s="2">
        <v>167929.0</v>
      </c>
      <c r="F211" s="2">
        <v>108.0</v>
      </c>
      <c r="G211" s="2">
        <v>1492.0</v>
      </c>
      <c r="H211" s="2" t="s">
        <v>5905</v>
      </c>
      <c r="I211" s="2" t="s">
        <v>5906</v>
      </c>
      <c r="K211" s="2" t="s">
        <v>16079</v>
      </c>
      <c r="L211" s="10" t="s">
        <v>16080</v>
      </c>
    </row>
    <row r="212">
      <c r="A212" s="2" t="s">
        <v>4382</v>
      </c>
      <c r="B212" s="2" t="s">
        <v>16081</v>
      </c>
      <c r="C212" s="2">
        <v>5.717640585E9</v>
      </c>
      <c r="D212" s="2" t="s">
        <v>16082</v>
      </c>
      <c r="E212" s="2">
        <v>76175.0</v>
      </c>
      <c r="F212" s="2">
        <v>3425.0</v>
      </c>
      <c r="G212" s="2">
        <v>756.0</v>
      </c>
      <c r="H212" s="2" t="s">
        <v>5906</v>
      </c>
      <c r="I212" s="2" t="s">
        <v>5905</v>
      </c>
      <c r="J212" s="2" t="s">
        <v>14778</v>
      </c>
      <c r="K212" s="2" t="s">
        <v>16083</v>
      </c>
      <c r="L212" s="10" t="s">
        <v>16084</v>
      </c>
    </row>
    <row r="213">
      <c r="A213" s="2" t="s">
        <v>4382</v>
      </c>
      <c r="B213" s="2" t="s">
        <v>16085</v>
      </c>
      <c r="C213" s="2">
        <v>2.21900359E8</v>
      </c>
      <c r="D213" s="2" t="s">
        <v>16086</v>
      </c>
      <c r="E213" s="2">
        <v>22359.0</v>
      </c>
      <c r="F213" s="2">
        <v>156.0</v>
      </c>
      <c r="G213" s="2">
        <v>359.0</v>
      </c>
      <c r="H213" s="2" t="s">
        <v>5905</v>
      </c>
      <c r="I213" s="2" t="s">
        <v>5906</v>
      </c>
      <c r="J213" s="2" t="s">
        <v>14778</v>
      </c>
      <c r="K213" s="2" t="s">
        <v>16087</v>
      </c>
    </row>
    <row r="214">
      <c r="A214" s="2" t="s">
        <v>4382</v>
      </c>
      <c r="B214" s="2" t="s">
        <v>16088</v>
      </c>
      <c r="C214" s="2">
        <v>2.6209532E8</v>
      </c>
      <c r="D214" s="2" t="s">
        <v>16089</v>
      </c>
      <c r="E214" s="2">
        <v>158326.0</v>
      </c>
      <c r="F214" s="2">
        <v>168.0</v>
      </c>
      <c r="G214" s="2">
        <v>1294.0</v>
      </c>
      <c r="H214" s="2" t="s">
        <v>5905</v>
      </c>
      <c r="I214" s="2" t="s">
        <v>5906</v>
      </c>
      <c r="J214" s="2" t="s">
        <v>5391</v>
      </c>
      <c r="K214" s="2" t="s">
        <v>16090</v>
      </c>
      <c r="L214" s="10" t="s">
        <v>16091</v>
      </c>
    </row>
    <row r="215">
      <c r="A215" s="2" t="s">
        <v>4382</v>
      </c>
      <c r="B215" s="2" t="s">
        <v>16092</v>
      </c>
      <c r="C215" s="2">
        <v>2.2887465E8</v>
      </c>
      <c r="D215" s="2" t="s">
        <v>16093</v>
      </c>
      <c r="E215" s="2">
        <v>490867.0</v>
      </c>
      <c r="F215" s="2">
        <v>1458.0</v>
      </c>
      <c r="G215" s="2">
        <v>2311.0</v>
      </c>
      <c r="H215" s="2" t="s">
        <v>5906</v>
      </c>
      <c r="I215" s="2" t="s">
        <v>5905</v>
      </c>
      <c r="J215" s="2" t="s">
        <v>7414</v>
      </c>
      <c r="K215" s="2" t="s">
        <v>16094</v>
      </c>
    </row>
    <row r="216">
      <c r="A216" s="2" t="s">
        <v>4382</v>
      </c>
      <c r="B216" s="2" t="s">
        <v>16095</v>
      </c>
      <c r="C216" s="2">
        <v>4.6030506E7</v>
      </c>
      <c r="D216" s="2" t="s">
        <v>16096</v>
      </c>
      <c r="E216" s="2">
        <v>33482.0</v>
      </c>
      <c r="F216" s="2">
        <v>2685.0</v>
      </c>
      <c r="G216" s="2">
        <v>1484.0</v>
      </c>
      <c r="H216" s="2" t="s">
        <v>5906</v>
      </c>
      <c r="I216" s="2" t="s">
        <v>5905</v>
      </c>
      <c r="J216" s="2" t="s">
        <v>14778</v>
      </c>
      <c r="K216" s="2" t="s">
        <v>16097</v>
      </c>
    </row>
    <row r="217">
      <c r="A217" s="2" t="s">
        <v>3608</v>
      </c>
      <c r="B217" s="2" t="s">
        <v>16098</v>
      </c>
      <c r="C217" s="2">
        <v>1.79888295E8</v>
      </c>
      <c r="D217" s="2" t="s">
        <v>16099</v>
      </c>
      <c r="E217" s="2">
        <v>8443980.0</v>
      </c>
      <c r="F217" s="2">
        <v>294.0</v>
      </c>
      <c r="G217" s="2">
        <v>2542.0</v>
      </c>
      <c r="H217" s="2" t="s">
        <v>5906</v>
      </c>
      <c r="I217" s="2" t="s">
        <v>5906</v>
      </c>
      <c r="J217" s="2" t="s">
        <v>5959</v>
      </c>
      <c r="K217" s="2" t="s">
        <v>16100</v>
      </c>
      <c r="L217" s="10" t="s">
        <v>16101</v>
      </c>
    </row>
    <row r="218">
      <c r="A218" s="2" t="s">
        <v>3608</v>
      </c>
      <c r="B218" s="2" t="s">
        <v>16102</v>
      </c>
      <c r="C218" s="2">
        <v>2.255896031E9</v>
      </c>
      <c r="D218" s="2" t="s">
        <v>16103</v>
      </c>
      <c r="E218" s="2">
        <v>3970442.0</v>
      </c>
      <c r="F218" s="2">
        <v>205.0</v>
      </c>
      <c r="G218" s="2">
        <v>29458.0</v>
      </c>
      <c r="H218" s="2" t="s">
        <v>5905</v>
      </c>
      <c r="I218" s="2" t="s">
        <v>5905</v>
      </c>
      <c r="J218" s="2" t="s">
        <v>8518</v>
      </c>
      <c r="K218" s="2" t="s">
        <v>16104</v>
      </c>
    </row>
    <row r="219">
      <c r="A219" s="2" t="s">
        <v>3608</v>
      </c>
      <c r="B219" s="2" t="s">
        <v>16105</v>
      </c>
      <c r="C219" s="2">
        <v>5.801391764E9</v>
      </c>
      <c r="D219" s="2" t="s">
        <v>16106</v>
      </c>
      <c r="E219" s="2">
        <v>2760393.0</v>
      </c>
      <c r="F219" s="2">
        <v>1021.0</v>
      </c>
      <c r="G219" s="2">
        <v>18738.0</v>
      </c>
      <c r="H219" s="2" t="s">
        <v>5906</v>
      </c>
      <c r="I219" s="2" t="s">
        <v>5906</v>
      </c>
      <c r="J219" s="2" t="s">
        <v>13706</v>
      </c>
      <c r="K219" s="2" t="s">
        <v>16107</v>
      </c>
      <c r="L219" s="10" t="s">
        <v>16108</v>
      </c>
    </row>
    <row r="220">
      <c r="A220" s="2" t="s">
        <v>3608</v>
      </c>
      <c r="B220" s="2" t="s">
        <v>16109</v>
      </c>
      <c r="C220" s="2">
        <v>7.190455775E9</v>
      </c>
      <c r="D220" s="2" t="s">
        <v>16099</v>
      </c>
      <c r="E220" s="2">
        <v>508381.0</v>
      </c>
      <c r="F220" s="2">
        <v>295.0</v>
      </c>
      <c r="G220" s="2">
        <v>635.0</v>
      </c>
      <c r="H220" s="2" t="s">
        <v>5905</v>
      </c>
      <c r="I220" s="2" t="s">
        <v>5905</v>
      </c>
      <c r="J220" s="2" t="s">
        <v>5993</v>
      </c>
      <c r="K220" s="2" t="s">
        <v>16110</v>
      </c>
    </row>
    <row r="221">
      <c r="A221" s="2" t="s">
        <v>3608</v>
      </c>
      <c r="B221" s="2" t="s">
        <v>16111</v>
      </c>
      <c r="C221" s="2">
        <v>3.876121688E9</v>
      </c>
      <c r="D221" s="2" t="s">
        <v>16099</v>
      </c>
      <c r="E221" s="2">
        <v>1.022478E7</v>
      </c>
      <c r="F221" s="2">
        <v>5151.0</v>
      </c>
      <c r="G221" s="2">
        <v>3483.0</v>
      </c>
      <c r="H221" s="2" t="s">
        <v>5905</v>
      </c>
      <c r="I221" s="2" t="s">
        <v>5905</v>
      </c>
      <c r="J221" s="2" t="s">
        <v>5561</v>
      </c>
      <c r="K221" s="2" t="s">
        <v>16112</v>
      </c>
      <c r="L221" s="10" t="s">
        <v>16113</v>
      </c>
    </row>
    <row r="222">
      <c r="A222" s="2" t="s">
        <v>3608</v>
      </c>
      <c r="B222" s="2" t="s">
        <v>16114</v>
      </c>
      <c r="C222" s="2">
        <v>9.216241892E9</v>
      </c>
      <c r="D222" s="2" t="s">
        <v>16099</v>
      </c>
      <c r="E222" s="2">
        <v>4226242.0</v>
      </c>
      <c r="F222" s="2">
        <v>25.0</v>
      </c>
      <c r="G222" s="2">
        <v>1015.0</v>
      </c>
      <c r="H222" s="2" t="s">
        <v>5905</v>
      </c>
      <c r="I222" s="2" t="s">
        <v>5905</v>
      </c>
      <c r="J222" s="2" t="s">
        <v>6882</v>
      </c>
      <c r="K222" s="2" t="s">
        <v>16115</v>
      </c>
    </row>
    <row r="223">
      <c r="A223" s="2" t="s">
        <v>3608</v>
      </c>
      <c r="B223" s="2" t="s">
        <v>16116</v>
      </c>
      <c r="C223" s="2">
        <v>5.03031398E8</v>
      </c>
      <c r="D223" s="2" t="s">
        <v>16103</v>
      </c>
      <c r="E223" s="2">
        <v>1.2432682E7</v>
      </c>
      <c r="F223" s="2">
        <v>218.0</v>
      </c>
      <c r="G223" s="2">
        <v>11129.0</v>
      </c>
      <c r="H223" s="2" t="s">
        <v>5906</v>
      </c>
      <c r="I223" s="2" t="s">
        <v>5906</v>
      </c>
      <c r="J223" s="2" t="s">
        <v>5480</v>
      </c>
      <c r="K223" s="2" t="s">
        <v>16117</v>
      </c>
      <c r="L223" s="10" t="s">
        <v>16118</v>
      </c>
    </row>
    <row r="224">
      <c r="A224" s="2" t="s">
        <v>3608</v>
      </c>
      <c r="B224" s="2" t="s">
        <v>3608</v>
      </c>
      <c r="C224" s="2">
        <v>3.00712527E8</v>
      </c>
      <c r="D224" s="10" t="s">
        <v>16119</v>
      </c>
      <c r="E224" s="2">
        <v>6339147.0</v>
      </c>
      <c r="F224" s="2">
        <v>15.0</v>
      </c>
      <c r="G224" s="2">
        <v>22816.0</v>
      </c>
      <c r="H224" s="2" t="s">
        <v>5905</v>
      </c>
      <c r="I224" s="2" t="s">
        <v>5906</v>
      </c>
      <c r="J224" s="2" t="s">
        <v>5480</v>
      </c>
      <c r="K224" s="2" t="s">
        <v>16120</v>
      </c>
      <c r="L224" s="10" t="s">
        <v>16121</v>
      </c>
    </row>
    <row r="225">
      <c r="A225" s="2" t="s">
        <v>3608</v>
      </c>
      <c r="B225" s="2" t="s">
        <v>16122</v>
      </c>
      <c r="C225" s="2">
        <v>1.560870912E9</v>
      </c>
      <c r="D225" s="2" t="s">
        <v>16123</v>
      </c>
      <c r="E225" s="2">
        <v>3584700.0</v>
      </c>
      <c r="F225" s="2">
        <v>346.0</v>
      </c>
      <c r="G225" s="2">
        <v>34563.0</v>
      </c>
      <c r="H225" s="2" t="s">
        <v>5905</v>
      </c>
      <c r="I225" s="2" t="s">
        <v>5906</v>
      </c>
      <c r="J225" s="2" t="s">
        <v>5959</v>
      </c>
      <c r="K225" s="2" t="s">
        <v>16124</v>
      </c>
      <c r="L225" s="10" t="s">
        <v>16125</v>
      </c>
    </row>
    <row r="226">
      <c r="A226" s="2" t="s">
        <v>3608</v>
      </c>
      <c r="B226" s="2" t="s">
        <v>16126</v>
      </c>
      <c r="C226" s="2">
        <v>3.6739944568E10</v>
      </c>
      <c r="D226" s="2" t="s">
        <v>16127</v>
      </c>
      <c r="E226" s="2">
        <v>19914.0</v>
      </c>
      <c r="F226" s="2">
        <v>1850.0</v>
      </c>
      <c r="G226" s="2">
        <v>1740.0</v>
      </c>
      <c r="H226" s="2" t="s">
        <v>5905</v>
      </c>
      <c r="I226" s="2" t="s">
        <v>5906</v>
      </c>
      <c r="J226" s="2" t="s">
        <v>5492</v>
      </c>
      <c r="K226" s="2" t="s">
        <v>16128</v>
      </c>
    </row>
    <row r="227">
      <c r="A227" s="2" t="s">
        <v>3608</v>
      </c>
      <c r="B227" s="2" t="s">
        <v>16129</v>
      </c>
      <c r="C227" s="2">
        <v>1.0155778385E10</v>
      </c>
      <c r="D227" s="2" t="s">
        <v>16130</v>
      </c>
      <c r="E227" s="2">
        <v>1488908.0</v>
      </c>
      <c r="F227" s="2">
        <v>20.0</v>
      </c>
      <c r="G227" s="2">
        <v>11216.0</v>
      </c>
      <c r="H227" s="2" t="s">
        <v>5905</v>
      </c>
      <c r="I227" s="2" t="s">
        <v>5905</v>
      </c>
      <c r="J227" s="2" t="s">
        <v>5959</v>
      </c>
      <c r="K227" s="2" t="s">
        <v>16131</v>
      </c>
      <c r="L227" s="10" t="s">
        <v>16132</v>
      </c>
    </row>
    <row r="228">
      <c r="A228" s="2" t="s">
        <v>3608</v>
      </c>
      <c r="B228" s="2" t="s">
        <v>16133</v>
      </c>
      <c r="C228" s="2">
        <v>2.374691999E9</v>
      </c>
      <c r="D228" s="2" t="s">
        <v>16134</v>
      </c>
      <c r="E228" s="2">
        <v>2.3787659E7</v>
      </c>
      <c r="F228" s="2">
        <v>1185.0</v>
      </c>
      <c r="G228" s="2">
        <v>9369.0</v>
      </c>
      <c r="H228" s="2" t="s">
        <v>5906</v>
      </c>
      <c r="I228" s="2" t="s">
        <v>5906</v>
      </c>
      <c r="J228" s="2" t="s">
        <v>5489</v>
      </c>
      <c r="K228" s="2" t="s">
        <v>16135</v>
      </c>
    </row>
    <row r="229">
      <c r="A229" s="2" t="s">
        <v>3608</v>
      </c>
      <c r="B229" s="2" t="s">
        <v>16136</v>
      </c>
      <c r="C229" s="2">
        <v>2.353852968E9</v>
      </c>
      <c r="D229" s="2" t="s">
        <v>3608</v>
      </c>
      <c r="E229" s="2">
        <v>758139.0</v>
      </c>
      <c r="F229" s="2">
        <v>87.0</v>
      </c>
      <c r="G229" s="2">
        <v>312.0</v>
      </c>
      <c r="H229" s="2" t="s">
        <v>5905</v>
      </c>
      <c r="I229" s="2" t="s">
        <v>5905</v>
      </c>
      <c r="J229" s="2" t="s">
        <v>5561</v>
      </c>
      <c r="K229" s="2" t="s">
        <v>16137</v>
      </c>
      <c r="L229" s="10" t="s">
        <v>16138</v>
      </c>
    </row>
    <row r="230">
      <c r="A230" s="2" t="s">
        <v>3608</v>
      </c>
      <c r="B230" s="2" t="s">
        <v>16139</v>
      </c>
      <c r="C230" s="2">
        <v>6.175715373E9</v>
      </c>
      <c r="D230" s="2" t="s">
        <v>16140</v>
      </c>
      <c r="E230" s="2">
        <v>4552428.0</v>
      </c>
      <c r="F230" s="2">
        <v>177.0</v>
      </c>
      <c r="G230" s="2">
        <v>10319.0</v>
      </c>
      <c r="H230" s="2" t="s">
        <v>5906</v>
      </c>
      <c r="I230" s="2" t="s">
        <v>5906</v>
      </c>
      <c r="J230" s="2" t="s">
        <v>5959</v>
      </c>
      <c r="K230" s="2" t="s">
        <v>16141</v>
      </c>
    </row>
    <row r="231">
      <c r="A231" s="2" t="s">
        <v>3785</v>
      </c>
      <c r="B231" s="2" t="s">
        <v>16142</v>
      </c>
      <c r="C231" s="2">
        <v>6.5664371412E10</v>
      </c>
      <c r="D231" s="2" t="s">
        <v>16143</v>
      </c>
      <c r="E231" s="2">
        <v>297234.0</v>
      </c>
      <c r="F231" s="2">
        <v>10.0</v>
      </c>
      <c r="G231" s="2">
        <v>287.0</v>
      </c>
      <c r="H231" s="2" t="s">
        <v>5906</v>
      </c>
      <c r="I231" s="2" t="s">
        <v>5906</v>
      </c>
      <c r="J231" s="2" t="s">
        <v>6111</v>
      </c>
      <c r="K231" s="2" t="s">
        <v>16144</v>
      </c>
      <c r="L231" s="10" t="s">
        <v>16145</v>
      </c>
    </row>
    <row r="232">
      <c r="A232" s="2" t="s">
        <v>3785</v>
      </c>
      <c r="B232" s="10" t="s">
        <v>16146</v>
      </c>
      <c r="C232" s="2">
        <v>7.4799820825E10</v>
      </c>
      <c r="D232" s="2" t="s">
        <v>16147</v>
      </c>
      <c r="E232" s="2">
        <v>17012.0</v>
      </c>
      <c r="F232" s="2">
        <v>5.0</v>
      </c>
      <c r="G232" s="2">
        <v>119.0</v>
      </c>
      <c r="H232" s="2" t="s">
        <v>5905</v>
      </c>
      <c r="I232" s="2" t="s">
        <v>5905</v>
      </c>
      <c r="J232" s="2" t="s">
        <v>5492</v>
      </c>
      <c r="K232" s="2" t="s">
        <v>16148</v>
      </c>
      <c r="L232" s="10" t="s">
        <v>16149</v>
      </c>
    </row>
    <row r="233">
      <c r="A233" s="2" t="s">
        <v>3785</v>
      </c>
      <c r="B233" s="10" t="s">
        <v>16150</v>
      </c>
      <c r="C233" s="2">
        <v>5.27035747E8</v>
      </c>
      <c r="D233" s="2" t="s">
        <v>16151</v>
      </c>
      <c r="E233" s="2">
        <v>352107.0</v>
      </c>
      <c r="F233" s="2">
        <v>19.0</v>
      </c>
      <c r="G233" s="2">
        <v>1091.0</v>
      </c>
      <c r="H233" s="2" t="s">
        <v>5905</v>
      </c>
      <c r="I233" s="2" t="s">
        <v>5905</v>
      </c>
      <c r="J233" s="2" t="s">
        <v>5561</v>
      </c>
      <c r="K233" s="2" t="s">
        <v>16152</v>
      </c>
    </row>
    <row r="234">
      <c r="A234" s="2" t="s">
        <v>3785</v>
      </c>
      <c r="B234" s="2" t="s">
        <v>3785</v>
      </c>
      <c r="C234" s="2">
        <v>2.086180257E9</v>
      </c>
      <c r="D234" s="2" t="s">
        <v>16153</v>
      </c>
      <c r="E234" s="2">
        <v>1.2763322E7</v>
      </c>
      <c r="F234" s="2">
        <v>9.0</v>
      </c>
      <c r="G234" s="2">
        <v>1173.0</v>
      </c>
      <c r="H234" s="2" t="s">
        <v>5906</v>
      </c>
      <c r="I234" s="2" t="s">
        <v>5906</v>
      </c>
      <c r="J234" s="2" t="s">
        <v>8615</v>
      </c>
      <c r="K234" s="2" t="s">
        <v>16154</v>
      </c>
      <c r="L234" s="10" t="s">
        <v>16155</v>
      </c>
    </row>
    <row r="235">
      <c r="A235" s="2" t="s">
        <v>3785</v>
      </c>
      <c r="B235" s="2" t="s">
        <v>16156</v>
      </c>
      <c r="C235" s="2">
        <v>4.6000297617E10</v>
      </c>
      <c r="D235" s="2" t="s">
        <v>16157</v>
      </c>
      <c r="E235" s="2">
        <v>112411.0</v>
      </c>
      <c r="F235" s="2">
        <v>10.0</v>
      </c>
      <c r="G235" s="2">
        <v>159.0</v>
      </c>
      <c r="H235" s="2" t="s">
        <v>5905</v>
      </c>
      <c r="I235" s="2" t="s">
        <v>5905</v>
      </c>
      <c r="J235" s="2" t="s">
        <v>5959</v>
      </c>
      <c r="K235" s="2" t="s">
        <v>16158</v>
      </c>
      <c r="L235" s="10" t="s">
        <v>16159</v>
      </c>
    </row>
    <row r="236">
      <c r="A236" s="2" t="s">
        <v>3785</v>
      </c>
      <c r="B236" s="2" t="s">
        <v>16160</v>
      </c>
      <c r="C236" s="2">
        <v>7.5168125066E10</v>
      </c>
      <c r="D236" s="2" t="s">
        <v>16161</v>
      </c>
      <c r="E236" s="2">
        <v>40959.0</v>
      </c>
      <c r="F236" s="2">
        <v>1.0</v>
      </c>
      <c r="G236" s="2">
        <v>7.0</v>
      </c>
      <c r="H236" s="2" t="s">
        <v>5905</v>
      </c>
      <c r="I236" s="2" t="s">
        <v>5905</v>
      </c>
      <c r="J236" s="2" t="s">
        <v>5485</v>
      </c>
      <c r="K236" s="2" t="s">
        <v>16162</v>
      </c>
      <c r="L236" s="10" t="s">
        <v>16163</v>
      </c>
    </row>
    <row r="237">
      <c r="A237" s="2" t="s">
        <v>4383</v>
      </c>
      <c r="B237" s="2" t="s">
        <v>16164</v>
      </c>
      <c r="C237" s="2">
        <v>2.1266900266E10</v>
      </c>
      <c r="D237" s="2" t="s">
        <v>16165</v>
      </c>
      <c r="E237" s="2">
        <v>817454.0</v>
      </c>
      <c r="F237" s="2">
        <v>33.0</v>
      </c>
      <c r="G237" s="2">
        <v>1441.0</v>
      </c>
      <c r="H237" s="2" t="s">
        <v>5905</v>
      </c>
      <c r="I237" s="2" t="s">
        <v>5905</v>
      </c>
      <c r="J237" s="2" t="s">
        <v>8911</v>
      </c>
      <c r="K237" s="2" t="s">
        <v>16166</v>
      </c>
      <c r="L237" s="10" t="s">
        <v>16167</v>
      </c>
    </row>
    <row r="238">
      <c r="A238" s="2" t="s">
        <v>4383</v>
      </c>
      <c r="B238" s="2" t="s">
        <v>16168</v>
      </c>
      <c r="C238" s="2">
        <v>2.6678465742E10</v>
      </c>
      <c r="D238" s="2" t="s">
        <v>16169</v>
      </c>
      <c r="E238" s="2">
        <v>294695.0</v>
      </c>
      <c r="F238" s="2">
        <v>380.0</v>
      </c>
      <c r="G238" s="2">
        <v>780.0</v>
      </c>
      <c r="H238" s="2" t="s">
        <v>5906</v>
      </c>
      <c r="I238" s="2" t="s">
        <v>5905</v>
      </c>
      <c r="J238" s="2" t="s">
        <v>16170</v>
      </c>
      <c r="K238" s="2" t="s">
        <v>16171</v>
      </c>
      <c r="L238" s="10" t="s">
        <v>16172</v>
      </c>
    </row>
    <row r="239">
      <c r="A239" s="2" t="s">
        <v>4383</v>
      </c>
      <c r="B239" s="2" t="s">
        <v>4383</v>
      </c>
      <c r="C239" s="2">
        <v>3.595110646E9</v>
      </c>
      <c r="D239" s="2" t="s">
        <v>16173</v>
      </c>
      <c r="E239" s="2">
        <v>292249.0</v>
      </c>
      <c r="F239" s="2">
        <v>100.0</v>
      </c>
      <c r="G239" s="2">
        <v>983.0</v>
      </c>
      <c r="H239" s="2" t="s">
        <v>5905</v>
      </c>
      <c r="I239" s="2" t="s">
        <v>5905</v>
      </c>
      <c r="J239" s="2" t="s">
        <v>16170</v>
      </c>
      <c r="K239" s="2" t="s">
        <v>16174</v>
      </c>
    </row>
    <row r="240">
      <c r="A240" s="2" t="s">
        <v>4376</v>
      </c>
      <c r="B240" s="2" t="s">
        <v>16175</v>
      </c>
      <c r="C240" s="2">
        <v>7.3116559043E10</v>
      </c>
      <c r="D240" s="2" t="s">
        <v>16176</v>
      </c>
      <c r="E240" s="2">
        <v>18092.0</v>
      </c>
      <c r="F240" s="2">
        <v>256.0</v>
      </c>
      <c r="G240" s="2">
        <v>226.0</v>
      </c>
      <c r="H240" s="2" t="s">
        <v>5905</v>
      </c>
      <c r="I240" s="2" t="s">
        <v>5905</v>
      </c>
      <c r="J240" s="2" t="s">
        <v>5391</v>
      </c>
      <c r="K240" s="2" t="s">
        <v>16177</v>
      </c>
    </row>
    <row r="241">
      <c r="A241" s="2" t="s">
        <v>4376</v>
      </c>
      <c r="B241" s="2" t="s">
        <v>16178</v>
      </c>
      <c r="C241" s="2">
        <v>2.34329156E8</v>
      </c>
      <c r="D241" s="2" t="s">
        <v>16179</v>
      </c>
      <c r="E241" s="2">
        <v>290819.0</v>
      </c>
      <c r="F241" s="2">
        <v>441.0</v>
      </c>
      <c r="G241" s="2">
        <v>800.0</v>
      </c>
      <c r="H241" s="2" t="s">
        <v>5906</v>
      </c>
      <c r="I241" s="2" t="s">
        <v>5905</v>
      </c>
      <c r="J241" s="2" t="s">
        <v>5492</v>
      </c>
      <c r="K241" s="2" t="s">
        <v>16180</v>
      </c>
      <c r="L241" s="10" t="s">
        <v>16181</v>
      </c>
    </row>
    <row r="242">
      <c r="A242" s="2" t="s">
        <v>4376</v>
      </c>
      <c r="B242" s="2" t="s">
        <v>16182</v>
      </c>
      <c r="C242" s="2">
        <v>5.4388213117E10</v>
      </c>
      <c r="D242" s="2" t="s">
        <v>16183</v>
      </c>
      <c r="E242" s="2">
        <v>146481.0</v>
      </c>
      <c r="F242" s="2">
        <v>30.0</v>
      </c>
      <c r="G242" s="2">
        <v>2193.0</v>
      </c>
      <c r="H242" s="2" t="s">
        <v>5905</v>
      </c>
      <c r="I242" s="2" t="s">
        <v>5905</v>
      </c>
      <c r="J242" s="2" t="s">
        <v>5492</v>
      </c>
      <c r="K242" s="2" t="s">
        <v>16184</v>
      </c>
      <c r="L242" s="10" t="s">
        <v>16185</v>
      </c>
    </row>
    <row r="243">
      <c r="A243" s="2" t="s">
        <v>4376</v>
      </c>
      <c r="B243" s="2" t="s">
        <v>16186</v>
      </c>
      <c r="C243" s="2">
        <v>4.432421831E10</v>
      </c>
      <c r="D243" s="2" t="s">
        <v>16187</v>
      </c>
      <c r="E243" s="2">
        <v>254723.0</v>
      </c>
      <c r="F243" s="2">
        <v>2.0</v>
      </c>
      <c r="G243" s="2">
        <v>4364.0</v>
      </c>
      <c r="H243" s="2" t="s">
        <v>5905</v>
      </c>
      <c r="I243" s="2" t="s">
        <v>5906</v>
      </c>
      <c r="J243" s="2" t="s">
        <v>5561</v>
      </c>
      <c r="K243" s="2" t="s">
        <v>16188</v>
      </c>
      <c r="L243" s="10" t="s">
        <v>16189</v>
      </c>
    </row>
    <row r="244">
      <c r="A244" s="2" t="s">
        <v>4376</v>
      </c>
      <c r="B244" s="2" t="s">
        <v>4376</v>
      </c>
      <c r="C244" s="2">
        <v>5.723887227E9</v>
      </c>
      <c r="D244" s="10" t="s">
        <v>16190</v>
      </c>
      <c r="E244" s="2">
        <v>663300.0</v>
      </c>
      <c r="F244" s="2">
        <v>282.0</v>
      </c>
      <c r="G244" s="2">
        <v>413.0</v>
      </c>
      <c r="H244" s="2" t="s">
        <v>5906</v>
      </c>
      <c r="I244" s="2" t="s">
        <v>5905</v>
      </c>
      <c r="J244" s="2" t="s">
        <v>5963</v>
      </c>
      <c r="K244" s="2" t="s">
        <v>16191</v>
      </c>
      <c r="L244" s="10" t="s">
        <v>16192</v>
      </c>
    </row>
    <row r="245">
      <c r="A245" s="2" t="s">
        <v>4376</v>
      </c>
      <c r="B245" s="2" t="s">
        <v>16193</v>
      </c>
      <c r="C245" s="2">
        <v>1.8419425175E10</v>
      </c>
      <c r="D245" s="2" t="s">
        <v>16194</v>
      </c>
      <c r="E245" s="2">
        <v>25042.0</v>
      </c>
      <c r="F245" s="2">
        <v>1.0</v>
      </c>
      <c r="G245" s="2">
        <v>9.0</v>
      </c>
      <c r="H245" s="2" t="s">
        <v>5905</v>
      </c>
      <c r="I245" s="2" t="s">
        <v>5906</v>
      </c>
      <c r="J245" s="2" t="s">
        <v>5959</v>
      </c>
      <c r="K245" s="2" t="s">
        <v>16195</v>
      </c>
    </row>
    <row r="246">
      <c r="A246" s="2" t="s">
        <v>4376</v>
      </c>
      <c r="B246" s="2" t="s">
        <v>16196</v>
      </c>
      <c r="C246" s="2">
        <v>5.6805915181E10</v>
      </c>
      <c r="D246" s="2" t="s">
        <v>16197</v>
      </c>
      <c r="E246" s="2">
        <v>30770.0</v>
      </c>
      <c r="F246" s="2">
        <v>1636.0</v>
      </c>
      <c r="G246" s="2">
        <v>570.0</v>
      </c>
      <c r="H246" s="2" t="s">
        <v>5905</v>
      </c>
      <c r="I246" s="2" t="s">
        <v>5905</v>
      </c>
      <c r="J246" s="2" t="s">
        <v>9237</v>
      </c>
      <c r="K246" s="2" t="s">
        <v>16198</v>
      </c>
      <c r="L246" s="10" t="s">
        <v>16199</v>
      </c>
    </row>
    <row r="247">
      <c r="A247" s="2" t="s">
        <v>4376</v>
      </c>
      <c r="B247" s="2" t="s">
        <v>16200</v>
      </c>
      <c r="C247" s="2">
        <v>9.95574627E8</v>
      </c>
      <c r="D247" s="2" t="s">
        <v>16201</v>
      </c>
      <c r="E247" s="2">
        <v>990297.0</v>
      </c>
      <c r="F247" s="2">
        <v>2700.0</v>
      </c>
      <c r="G247" s="2">
        <v>7173.0</v>
      </c>
      <c r="H247" s="2" t="s">
        <v>5906</v>
      </c>
      <c r="I247" s="2" t="s">
        <v>5906</v>
      </c>
      <c r="J247" s="2" t="s">
        <v>6166</v>
      </c>
      <c r="K247" s="2" t="s">
        <v>16202</v>
      </c>
      <c r="L247" s="10" t="s">
        <v>16203</v>
      </c>
    </row>
    <row r="248">
      <c r="A248" s="2" t="s">
        <v>4376</v>
      </c>
      <c r="B248" s="2" t="s">
        <v>16204</v>
      </c>
      <c r="C248" s="2">
        <v>4.116954982E9</v>
      </c>
      <c r="D248" s="2" t="s">
        <v>16205</v>
      </c>
      <c r="E248" s="2">
        <v>1305139.0</v>
      </c>
      <c r="F248" s="2">
        <v>174.0</v>
      </c>
      <c r="G248" s="2">
        <v>786.0</v>
      </c>
      <c r="H248" s="2" t="s">
        <v>5906</v>
      </c>
      <c r="I248" s="2" t="s">
        <v>5905</v>
      </c>
      <c r="J248" s="2" t="s">
        <v>7059</v>
      </c>
      <c r="K248" s="2" t="s">
        <v>16206</v>
      </c>
      <c r="L248" s="10" t="s">
        <v>16207</v>
      </c>
    </row>
    <row r="249">
      <c r="A249" s="2" t="s">
        <v>4376</v>
      </c>
      <c r="B249" s="2" t="s">
        <v>16208</v>
      </c>
      <c r="C249" s="2">
        <v>5.6803552696E10</v>
      </c>
      <c r="D249" s="2" t="s">
        <v>16209</v>
      </c>
      <c r="E249" s="2">
        <v>219305.0</v>
      </c>
      <c r="F249" s="2">
        <v>997.0</v>
      </c>
      <c r="G249" s="2">
        <v>973.0</v>
      </c>
      <c r="H249" s="2" t="s">
        <v>5906</v>
      </c>
      <c r="I249" s="2" t="s">
        <v>5905</v>
      </c>
      <c r="J249" s="2" t="s">
        <v>9237</v>
      </c>
      <c r="K249" s="2" t="s">
        <v>16210</v>
      </c>
      <c r="L249" s="10" t="s">
        <v>16211</v>
      </c>
    </row>
    <row r="250">
      <c r="A250" s="2" t="s">
        <v>4376</v>
      </c>
      <c r="B250" s="2" t="s">
        <v>16212</v>
      </c>
      <c r="C250" s="2">
        <v>7.2839526488E10</v>
      </c>
      <c r="D250" s="2" t="s">
        <v>16213</v>
      </c>
      <c r="E250" s="2">
        <v>95304.0</v>
      </c>
      <c r="F250" s="2">
        <v>1022.0</v>
      </c>
      <c r="G250" s="2">
        <v>374.0</v>
      </c>
      <c r="H250" s="2" t="s">
        <v>5905</v>
      </c>
      <c r="I250" s="2" t="s">
        <v>5906</v>
      </c>
      <c r="J250" s="2" t="s">
        <v>5959</v>
      </c>
      <c r="K250" s="2" t="s">
        <v>16214</v>
      </c>
      <c r="L250" s="10" t="s">
        <v>16215</v>
      </c>
    </row>
    <row r="251">
      <c r="A251" s="2" t="s">
        <v>4376</v>
      </c>
      <c r="B251" s="2" t="s">
        <v>9609</v>
      </c>
      <c r="C251" s="2">
        <v>2.22356238E8</v>
      </c>
      <c r="D251" s="2" t="s">
        <v>9610</v>
      </c>
      <c r="E251" s="2">
        <v>4744072.0</v>
      </c>
      <c r="F251" s="2">
        <v>699.0</v>
      </c>
      <c r="G251" s="2">
        <v>35682.0</v>
      </c>
      <c r="H251" s="2" t="s">
        <v>5906</v>
      </c>
      <c r="I251" s="2" t="s">
        <v>5905</v>
      </c>
      <c r="J251" s="2" t="s">
        <v>5561</v>
      </c>
      <c r="K251" s="2" t="s">
        <v>9611</v>
      </c>
      <c r="L251" s="10" t="s">
        <v>9612</v>
      </c>
    </row>
    <row r="252">
      <c r="A252" s="2" t="s">
        <v>4376</v>
      </c>
      <c r="B252" s="2" t="s">
        <v>16216</v>
      </c>
      <c r="C252" s="2">
        <v>8.578744795E9</v>
      </c>
      <c r="D252" s="2" t="s">
        <v>16217</v>
      </c>
      <c r="E252" s="2">
        <v>34726.0</v>
      </c>
      <c r="F252" s="2">
        <v>91.0</v>
      </c>
      <c r="G252" s="2">
        <v>1109.0</v>
      </c>
      <c r="H252" s="2" t="s">
        <v>5905</v>
      </c>
      <c r="I252" s="2" t="s">
        <v>5905</v>
      </c>
      <c r="J252" s="2" t="s">
        <v>5492</v>
      </c>
      <c r="K252" s="2" t="s">
        <v>16218</v>
      </c>
    </row>
    <row r="253">
      <c r="A253" s="2" t="s">
        <v>4376</v>
      </c>
      <c r="B253" s="2" t="s">
        <v>16219</v>
      </c>
      <c r="C253" s="2">
        <v>2.22788665E8</v>
      </c>
      <c r="D253" s="2" t="s">
        <v>16176</v>
      </c>
      <c r="E253" s="2">
        <v>972787.0</v>
      </c>
      <c r="F253" s="2">
        <v>0.0</v>
      </c>
      <c r="G253" s="2">
        <v>14868.0</v>
      </c>
      <c r="H253" s="2" t="s">
        <v>5905</v>
      </c>
      <c r="I253" s="2" t="s">
        <v>5906</v>
      </c>
      <c r="K253" s="2" t="s">
        <v>16220</v>
      </c>
      <c r="L253" s="10" t="s">
        <v>16221</v>
      </c>
    </row>
    <row r="254">
      <c r="A254" s="2" t="s">
        <v>4376</v>
      </c>
      <c r="B254" s="2" t="s">
        <v>16222</v>
      </c>
      <c r="C254" s="2">
        <v>3.2167410466E10</v>
      </c>
      <c r="D254" s="2" t="s">
        <v>16223</v>
      </c>
      <c r="E254" s="2">
        <v>10110.0</v>
      </c>
      <c r="F254" s="2">
        <v>12.0</v>
      </c>
      <c r="G254" s="2">
        <v>212.0</v>
      </c>
      <c r="H254" s="2" t="s">
        <v>5905</v>
      </c>
      <c r="I254" s="2" t="s">
        <v>5905</v>
      </c>
      <c r="J254" s="2" t="s">
        <v>5492</v>
      </c>
      <c r="K254" s="2" t="s">
        <v>16224</v>
      </c>
    </row>
    <row r="255">
      <c r="A255" s="2" t="s">
        <v>4376</v>
      </c>
      <c r="B255" s="2" t="s">
        <v>16225</v>
      </c>
      <c r="C255" s="2">
        <v>2.165154089E9</v>
      </c>
      <c r="D255" s="2" t="s">
        <v>16226</v>
      </c>
      <c r="E255" s="2">
        <v>154965.0</v>
      </c>
      <c r="F255" s="2">
        <v>1111.0</v>
      </c>
      <c r="G255" s="2">
        <v>2779.0</v>
      </c>
      <c r="H255" s="2" t="s">
        <v>5905</v>
      </c>
      <c r="I255" s="2" t="s">
        <v>5906</v>
      </c>
      <c r="J255" s="2" t="s">
        <v>6166</v>
      </c>
      <c r="K255" s="2" t="s">
        <v>16227</v>
      </c>
      <c r="L255" s="10" t="s">
        <v>16228</v>
      </c>
    </row>
    <row r="256">
      <c r="A256" s="2" t="s">
        <v>4403</v>
      </c>
      <c r="B256" s="2" t="s">
        <v>16229</v>
      </c>
      <c r="C256" s="2">
        <v>2.164355771E9</v>
      </c>
      <c r="D256" s="2" t="s">
        <v>16230</v>
      </c>
      <c r="E256" s="2">
        <v>384119.0</v>
      </c>
      <c r="F256" s="2">
        <v>66.0</v>
      </c>
      <c r="G256" s="2">
        <v>183.0</v>
      </c>
      <c r="H256" s="2" t="s">
        <v>5905</v>
      </c>
      <c r="I256" s="2" t="s">
        <v>5905</v>
      </c>
      <c r="K256" s="2" t="s">
        <v>16231</v>
      </c>
    </row>
    <row r="257">
      <c r="A257" s="2" t="s">
        <v>4403</v>
      </c>
      <c r="B257" s="2" t="s">
        <v>16232</v>
      </c>
      <c r="C257" s="2">
        <v>1.993121032E9</v>
      </c>
      <c r="D257" s="2" t="s">
        <v>16233</v>
      </c>
      <c r="E257" s="2">
        <v>511965.0</v>
      </c>
      <c r="F257" s="2">
        <v>417.0</v>
      </c>
      <c r="G257" s="2">
        <v>6851.0</v>
      </c>
      <c r="H257" s="2" t="s">
        <v>5906</v>
      </c>
      <c r="I257" s="2" t="s">
        <v>5905</v>
      </c>
      <c r="J257" s="2" t="s">
        <v>4404</v>
      </c>
      <c r="K257" s="2" t="s">
        <v>16234</v>
      </c>
      <c r="L257" s="10" t="s">
        <v>16235</v>
      </c>
    </row>
    <row r="258">
      <c r="A258" s="2" t="s">
        <v>4403</v>
      </c>
      <c r="B258" s="2" t="s">
        <v>16236</v>
      </c>
      <c r="C258" s="2">
        <v>1.716300341E9</v>
      </c>
      <c r="D258" s="2" t="s">
        <v>16237</v>
      </c>
      <c r="E258" s="2">
        <v>1021625.0</v>
      </c>
      <c r="F258" s="2">
        <v>99.0</v>
      </c>
      <c r="G258" s="2">
        <v>3322.0</v>
      </c>
      <c r="H258" s="2" t="s">
        <v>5906</v>
      </c>
      <c r="I258" s="2" t="s">
        <v>5905</v>
      </c>
      <c r="J258" s="2" t="s">
        <v>16238</v>
      </c>
      <c r="K258" s="2" t="s">
        <v>16239</v>
      </c>
    </row>
    <row r="259">
      <c r="A259" s="2" t="s">
        <v>4403</v>
      </c>
      <c r="B259" s="2" t="s">
        <v>16240</v>
      </c>
      <c r="C259" s="2">
        <v>2.9150913919E10</v>
      </c>
      <c r="E259" s="2">
        <v>109388.0</v>
      </c>
      <c r="F259" s="2">
        <v>1470.0</v>
      </c>
      <c r="G259" s="2">
        <v>5062.0</v>
      </c>
      <c r="H259" s="2" t="s">
        <v>5905</v>
      </c>
      <c r="I259" s="2" t="s">
        <v>5905</v>
      </c>
      <c r="J259" s="2" t="s">
        <v>5561</v>
      </c>
    </row>
    <row r="260">
      <c r="A260" s="2" t="s">
        <v>4403</v>
      </c>
      <c r="B260" s="2" t="s">
        <v>16241</v>
      </c>
      <c r="C260" s="2">
        <v>6.199639942E9</v>
      </c>
      <c r="D260" s="2" t="s">
        <v>16242</v>
      </c>
      <c r="E260" s="2">
        <v>50756.0</v>
      </c>
      <c r="F260" s="2">
        <v>1693.0</v>
      </c>
      <c r="G260" s="2">
        <v>1473.0</v>
      </c>
      <c r="H260" s="2" t="s">
        <v>5905</v>
      </c>
      <c r="I260" s="2" t="s">
        <v>5906</v>
      </c>
      <c r="J260" s="2" t="s">
        <v>4404</v>
      </c>
      <c r="K260" s="2" t="s">
        <v>16243</v>
      </c>
    </row>
    <row r="261">
      <c r="A261" s="2" t="s">
        <v>2168</v>
      </c>
      <c r="B261" s="2" t="s">
        <v>16244</v>
      </c>
      <c r="C261" s="2">
        <v>4.4113857702E10</v>
      </c>
      <c r="D261" s="2" t="s">
        <v>16245</v>
      </c>
      <c r="E261" s="2">
        <v>963515.0</v>
      </c>
      <c r="F261" s="2">
        <v>28.0</v>
      </c>
      <c r="G261" s="2">
        <v>1809.0</v>
      </c>
      <c r="H261" s="2" t="s">
        <v>5906</v>
      </c>
      <c r="I261" s="2" t="s">
        <v>5906</v>
      </c>
      <c r="J261" s="2" t="s">
        <v>5551</v>
      </c>
      <c r="K261" s="2" t="s">
        <v>16246</v>
      </c>
      <c r="L261" s="10" t="s">
        <v>16247</v>
      </c>
    </row>
    <row r="262">
      <c r="A262" s="2" t="s">
        <v>2168</v>
      </c>
      <c r="B262" s="2" t="s">
        <v>16248</v>
      </c>
      <c r="C262" s="2">
        <v>2.8199701923E10</v>
      </c>
      <c r="D262" s="2" t="s">
        <v>16249</v>
      </c>
      <c r="E262" s="2">
        <v>731835.0</v>
      </c>
      <c r="F262" s="2">
        <v>675.0</v>
      </c>
      <c r="G262" s="2">
        <v>276.0</v>
      </c>
      <c r="H262" s="2" t="s">
        <v>5905</v>
      </c>
      <c r="I262" s="2" t="s">
        <v>5905</v>
      </c>
      <c r="J262" s="2" t="s">
        <v>16250</v>
      </c>
      <c r="K262" s="2" t="s">
        <v>16251</v>
      </c>
      <c r="L262" s="10" t="s">
        <v>16252</v>
      </c>
    </row>
    <row r="263">
      <c r="A263" s="2" t="s">
        <v>2168</v>
      </c>
      <c r="B263" s="2" t="s">
        <v>16253</v>
      </c>
      <c r="C263" s="2">
        <v>1.998464602E9</v>
      </c>
      <c r="D263" s="2" t="s">
        <v>16254</v>
      </c>
      <c r="E263" s="2">
        <v>129970.0</v>
      </c>
      <c r="F263" s="2">
        <v>182.0</v>
      </c>
      <c r="G263" s="2">
        <v>1014.0</v>
      </c>
      <c r="H263" s="2" t="s">
        <v>5906</v>
      </c>
      <c r="I263" s="2" t="s">
        <v>5905</v>
      </c>
      <c r="J263" s="2" t="s">
        <v>5968</v>
      </c>
      <c r="K263" s="2" t="s">
        <v>16255</v>
      </c>
      <c r="L263" s="10" t="s">
        <v>16256</v>
      </c>
    </row>
    <row r="264">
      <c r="A264" s="2" t="s">
        <v>2168</v>
      </c>
      <c r="B264" s="2" t="s">
        <v>16257</v>
      </c>
      <c r="C264" s="2">
        <v>5.0250966502E10</v>
      </c>
      <c r="D264" s="2" t="s">
        <v>16258</v>
      </c>
      <c r="E264" s="2">
        <v>378882.0</v>
      </c>
      <c r="F264" s="2">
        <v>19.0</v>
      </c>
      <c r="G264" s="2">
        <v>353.0</v>
      </c>
      <c r="H264" s="2" t="s">
        <v>5906</v>
      </c>
      <c r="I264" s="2" t="s">
        <v>5905</v>
      </c>
      <c r="J264" s="2" t="s">
        <v>16250</v>
      </c>
      <c r="K264" s="2" t="s">
        <v>16259</v>
      </c>
      <c r="L264" s="10" t="s">
        <v>16260</v>
      </c>
    </row>
    <row r="265">
      <c r="A265" s="2" t="s">
        <v>2168</v>
      </c>
      <c r="B265" s="2" t="s">
        <v>16261</v>
      </c>
      <c r="C265" s="2">
        <v>5.9658241345E10</v>
      </c>
      <c r="D265" s="2" t="s">
        <v>16262</v>
      </c>
      <c r="E265" s="2">
        <v>442918.0</v>
      </c>
      <c r="F265" s="2">
        <v>462.0</v>
      </c>
      <c r="G265" s="2">
        <v>2507.0</v>
      </c>
      <c r="H265" s="2" t="s">
        <v>5906</v>
      </c>
      <c r="I265" s="2" t="s">
        <v>5906</v>
      </c>
      <c r="J265" s="2" t="s">
        <v>5391</v>
      </c>
      <c r="K265" s="2" t="s">
        <v>16263</v>
      </c>
    </row>
    <row r="266">
      <c r="A266" s="2" t="s">
        <v>2168</v>
      </c>
      <c r="B266" s="2" t="s">
        <v>16264</v>
      </c>
      <c r="C266" s="2">
        <v>7.287156937E10</v>
      </c>
      <c r="D266" s="2" t="s">
        <v>16265</v>
      </c>
      <c r="E266" s="2">
        <v>329387.0</v>
      </c>
      <c r="F266" s="2">
        <v>0.0</v>
      </c>
      <c r="G266" s="2">
        <v>408.0</v>
      </c>
      <c r="H266" s="2" t="s">
        <v>5905</v>
      </c>
      <c r="I266" s="2" t="s">
        <v>5905</v>
      </c>
      <c r="J266" s="2" t="s">
        <v>5561</v>
      </c>
      <c r="K266" s="2" t="s">
        <v>16266</v>
      </c>
      <c r="L266" s="10" t="s">
        <v>16267</v>
      </c>
    </row>
    <row r="267">
      <c r="A267" s="2" t="s">
        <v>2168</v>
      </c>
      <c r="B267" s="2" t="s">
        <v>16268</v>
      </c>
      <c r="C267" s="2">
        <v>3.098615443E9</v>
      </c>
      <c r="D267" s="2" t="s">
        <v>16269</v>
      </c>
      <c r="E267" s="2">
        <v>508586.0</v>
      </c>
      <c r="F267" s="2">
        <v>3461.0</v>
      </c>
      <c r="G267" s="2">
        <v>1371.0</v>
      </c>
      <c r="H267" s="2" t="s">
        <v>5906</v>
      </c>
      <c r="I267" s="2" t="s">
        <v>5905</v>
      </c>
      <c r="J267" s="2" t="s">
        <v>16270</v>
      </c>
      <c r="K267" s="2" t="s">
        <v>16271</v>
      </c>
      <c r="L267" s="10" t="s">
        <v>16272</v>
      </c>
    </row>
    <row r="268">
      <c r="A268" s="2" t="s">
        <v>2168</v>
      </c>
      <c r="B268" s="2" t="s">
        <v>16273</v>
      </c>
      <c r="C268" s="2">
        <v>5.682429727E9</v>
      </c>
      <c r="D268" s="2" t="s">
        <v>16274</v>
      </c>
      <c r="E268" s="2">
        <v>2565023.0</v>
      </c>
      <c r="F268" s="2">
        <v>645.0</v>
      </c>
      <c r="G268" s="2">
        <v>2884.0</v>
      </c>
      <c r="H268" s="2" t="s">
        <v>5906</v>
      </c>
      <c r="I268" s="2" t="s">
        <v>5906</v>
      </c>
      <c r="J268" s="2" t="s">
        <v>6393</v>
      </c>
      <c r="K268" s="2" t="s">
        <v>16275</v>
      </c>
      <c r="L268" s="10" t="s">
        <v>16276</v>
      </c>
    </row>
    <row r="269">
      <c r="A269" s="2" t="s">
        <v>2168</v>
      </c>
      <c r="B269" s="2" t="s">
        <v>16277</v>
      </c>
      <c r="C269" s="2">
        <v>7.1341180272E10</v>
      </c>
      <c r="D269" s="2" t="s">
        <v>16278</v>
      </c>
      <c r="E269" s="2">
        <v>244869.0</v>
      </c>
      <c r="F269" s="2">
        <v>0.0</v>
      </c>
      <c r="G269" s="2">
        <v>593.0</v>
      </c>
      <c r="H269" s="2" t="s">
        <v>5905</v>
      </c>
      <c r="I269" s="2" t="s">
        <v>5905</v>
      </c>
      <c r="J269" s="2" t="s">
        <v>16250</v>
      </c>
      <c r="K269" s="2" t="s">
        <v>16279</v>
      </c>
      <c r="L269" s="10" t="s">
        <v>16280</v>
      </c>
    </row>
    <row r="270">
      <c r="A270" s="2" t="s">
        <v>2168</v>
      </c>
      <c r="B270" s="2" t="s">
        <v>2168</v>
      </c>
      <c r="C270" s="2">
        <v>1.9256889E7</v>
      </c>
      <c r="D270" s="2" t="s">
        <v>16281</v>
      </c>
      <c r="E270" s="2">
        <v>75026.0</v>
      </c>
      <c r="F270" s="2">
        <v>343.0</v>
      </c>
      <c r="G270" s="2">
        <v>660.0</v>
      </c>
      <c r="H270" s="2" t="s">
        <v>5905</v>
      </c>
      <c r="I270" s="2" t="s">
        <v>5906</v>
      </c>
      <c r="K270" s="2" t="s">
        <v>16282</v>
      </c>
      <c r="L270" s="10" t="s">
        <v>16283</v>
      </c>
    </row>
    <row r="271">
      <c r="A271" s="2" t="s">
        <v>2168</v>
      </c>
      <c r="B271" s="2" t="s">
        <v>16284</v>
      </c>
      <c r="C271" s="2">
        <v>3.9443599519E10</v>
      </c>
      <c r="D271" s="2" t="s">
        <v>16285</v>
      </c>
      <c r="E271" s="2">
        <v>234611.0</v>
      </c>
      <c r="F271" s="2">
        <v>5.0</v>
      </c>
      <c r="G271" s="2">
        <v>586.0</v>
      </c>
      <c r="H271" s="2" t="s">
        <v>5905</v>
      </c>
      <c r="I271" s="2" t="s">
        <v>5906</v>
      </c>
      <c r="J271" s="2" t="s">
        <v>5551</v>
      </c>
      <c r="K271" s="2" t="s">
        <v>16286</v>
      </c>
      <c r="L271" s="10" t="s">
        <v>16287</v>
      </c>
    </row>
    <row r="272">
      <c r="A272" s="2" t="s">
        <v>2168</v>
      </c>
      <c r="B272" s="2" t="s">
        <v>16288</v>
      </c>
      <c r="C272" s="2">
        <v>6.7182965157E10</v>
      </c>
      <c r="D272" s="2" t="s">
        <v>16289</v>
      </c>
      <c r="E272" s="2">
        <v>136580.0</v>
      </c>
      <c r="F272" s="2">
        <v>0.0</v>
      </c>
      <c r="G272" s="2">
        <v>481.0</v>
      </c>
      <c r="H272" s="2" t="s">
        <v>5905</v>
      </c>
      <c r="I272" s="2" t="s">
        <v>5905</v>
      </c>
      <c r="J272" s="2" t="s">
        <v>5492</v>
      </c>
      <c r="K272" s="2" t="s">
        <v>16290</v>
      </c>
    </row>
    <row r="273">
      <c r="A273" s="2" t="s">
        <v>2168</v>
      </c>
      <c r="B273" s="2" t="s">
        <v>16291</v>
      </c>
      <c r="C273" s="2">
        <v>1.3560719589E10</v>
      </c>
      <c r="D273" s="2" t="s">
        <v>16292</v>
      </c>
      <c r="E273" s="2">
        <v>389658.0</v>
      </c>
      <c r="F273" s="2">
        <v>295.0</v>
      </c>
      <c r="G273" s="2">
        <v>5292.0</v>
      </c>
      <c r="H273" s="2" t="s">
        <v>5906</v>
      </c>
      <c r="I273" s="2" t="s">
        <v>5905</v>
      </c>
      <c r="J273" s="2" t="s">
        <v>5561</v>
      </c>
      <c r="K273" s="2" t="s">
        <v>16293</v>
      </c>
      <c r="L273" s="10" t="s">
        <v>16294</v>
      </c>
    </row>
    <row r="274">
      <c r="A274" s="2" t="s">
        <v>2168</v>
      </c>
      <c r="B274" s="2" t="s">
        <v>16295</v>
      </c>
      <c r="C274" s="2">
        <v>2.966424385E10</v>
      </c>
      <c r="D274" s="2" t="s">
        <v>16296</v>
      </c>
      <c r="E274" s="2">
        <v>136724.0</v>
      </c>
      <c r="F274" s="2">
        <v>1976.0</v>
      </c>
      <c r="G274" s="2">
        <v>1028.0</v>
      </c>
      <c r="H274" s="2" t="s">
        <v>5906</v>
      </c>
      <c r="I274" s="2" t="s">
        <v>5905</v>
      </c>
      <c r="J274" s="2" t="s">
        <v>16297</v>
      </c>
      <c r="K274" s="2" t="s">
        <v>16298</v>
      </c>
      <c r="L274" s="10" t="s">
        <v>16299</v>
      </c>
    </row>
    <row r="275">
      <c r="A275" s="2" t="s">
        <v>2168</v>
      </c>
      <c r="B275" s="2" t="s">
        <v>16300</v>
      </c>
      <c r="C275" s="2">
        <v>7.0747980876E10</v>
      </c>
      <c r="E275" s="2">
        <v>395633.0</v>
      </c>
      <c r="F275" s="2">
        <v>0.0</v>
      </c>
      <c r="G275" s="2">
        <v>169.0</v>
      </c>
      <c r="H275" s="2" t="s">
        <v>5905</v>
      </c>
      <c r="I275" s="2" t="s">
        <v>5905</v>
      </c>
      <c r="J275" s="2" t="s">
        <v>5561</v>
      </c>
      <c r="K275" s="2" t="s">
        <v>16301</v>
      </c>
      <c r="L275" s="10" t="s">
        <v>16302</v>
      </c>
    </row>
    <row r="276">
      <c r="A276" s="2" t="s">
        <v>2168</v>
      </c>
      <c r="B276" s="2" t="s">
        <v>16303</v>
      </c>
      <c r="C276" s="2">
        <v>4.9156539792E10</v>
      </c>
      <c r="D276" s="2" t="s">
        <v>16304</v>
      </c>
      <c r="E276" s="2">
        <v>71369.0</v>
      </c>
      <c r="F276" s="2">
        <v>46.0</v>
      </c>
      <c r="G276" s="2">
        <v>1085.0</v>
      </c>
      <c r="H276" s="2" t="s">
        <v>5906</v>
      </c>
      <c r="I276" s="2" t="s">
        <v>5906</v>
      </c>
      <c r="J276" s="2" t="s">
        <v>16250</v>
      </c>
      <c r="K276" s="2" t="s">
        <v>16305</v>
      </c>
    </row>
    <row r="277">
      <c r="A277" s="2" t="s">
        <v>2168</v>
      </c>
      <c r="B277" s="2" t="s">
        <v>16306</v>
      </c>
      <c r="C277" s="2">
        <v>7.5615416474E10</v>
      </c>
      <c r="D277" s="2" t="s">
        <v>16307</v>
      </c>
      <c r="E277" s="2">
        <v>289079.0</v>
      </c>
      <c r="F277" s="2">
        <v>0.0</v>
      </c>
      <c r="G277" s="2">
        <v>156.0</v>
      </c>
      <c r="H277" s="2" t="s">
        <v>5905</v>
      </c>
      <c r="I277" s="2" t="s">
        <v>5905</v>
      </c>
      <c r="J277" s="2" t="s">
        <v>5561</v>
      </c>
      <c r="K277" s="2" t="s">
        <v>16308</v>
      </c>
    </row>
    <row r="278">
      <c r="A278" s="2" t="s">
        <v>2168</v>
      </c>
      <c r="B278" s="2" t="s">
        <v>16309</v>
      </c>
      <c r="C278" s="2">
        <v>8.095056748E9</v>
      </c>
      <c r="D278" s="2" t="s">
        <v>16310</v>
      </c>
      <c r="E278" s="2">
        <v>1064445.0</v>
      </c>
      <c r="F278" s="2">
        <v>295.0</v>
      </c>
      <c r="G278" s="2">
        <v>1094.0</v>
      </c>
      <c r="H278" s="2" t="s">
        <v>5906</v>
      </c>
      <c r="I278" s="2" t="s">
        <v>5906</v>
      </c>
      <c r="J278" s="2" t="s">
        <v>16297</v>
      </c>
      <c r="K278" s="2" t="s">
        <v>16311</v>
      </c>
      <c r="L278" s="10" t="s">
        <v>16312</v>
      </c>
    </row>
    <row r="279">
      <c r="A279" s="2" t="s">
        <v>2168</v>
      </c>
      <c r="B279" s="2" t="s">
        <v>16313</v>
      </c>
      <c r="C279" s="2">
        <v>1.989308879E9</v>
      </c>
      <c r="D279" s="2" t="s">
        <v>16314</v>
      </c>
      <c r="E279" s="2">
        <v>110678.0</v>
      </c>
      <c r="F279" s="2">
        <v>3636.0</v>
      </c>
      <c r="G279" s="2">
        <v>13926.0</v>
      </c>
      <c r="H279" s="2" t="s">
        <v>5906</v>
      </c>
      <c r="I279" s="2" t="s">
        <v>5906</v>
      </c>
      <c r="J279" s="2" t="s">
        <v>5561</v>
      </c>
      <c r="K279" s="2" t="s">
        <v>16315</v>
      </c>
      <c r="L279" s="10" t="s">
        <v>16316</v>
      </c>
    </row>
    <row r="280">
      <c r="A280" s="2" t="s">
        <v>939</v>
      </c>
      <c r="B280" s="2" t="s">
        <v>16317</v>
      </c>
      <c r="C280" s="2">
        <v>6.0126964699E10</v>
      </c>
      <c r="D280" s="2" t="s">
        <v>16318</v>
      </c>
      <c r="E280" s="2">
        <v>23276.0</v>
      </c>
      <c r="F280" s="2">
        <v>109.0</v>
      </c>
      <c r="G280" s="2">
        <v>7.0</v>
      </c>
      <c r="H280" s="2" t="s">
        <v>5905</v>
      </c>
      <c r="I280" s="2" t="s">
        <v>5906</v>
      </c>
      <c r="J280" s="2" t="s">
        <v>16319</v>
      </c>
      <c r="K280" s="2" t="s">
        <v>16320</v>
      </c>
    </row>
    <row r="281">
      <c r="A281" s="2" t="s">
        <v>939</v>
      </c>
      <c r="B281" s="2" t="s">
        <v>16321</v>
      </c>
      <c r="C281" s="2">
        <v>1.4308532E7</v>
      </c>
      <c r="D281" s="2" t="s">
        <v>16322</v>
      </c>
      <c r="E281" s="2">
        <v>121272.0</v>
      </c>
      <c r="F281" s="2">
        <v>1777.0</v>
      </c>
      <c r="G281" s="2">
        <v>2826.0</v>
      </c>
      <c r="H281" s="2" t="s">
        <v>5906</v>
      </c>
      <c r="I281" s="2" t="s">
        <v>5906</v>
      </c>
      <c r="J281" s="2" t="s">
        <v>5959</v>
      </c>
      <c r="K281" s="2" t="s">
        <v>16323</v>
      </c>
    </row>
    <row r="282">
      <c r="A282" s="2" t="s">
        <v>939</v>
      </c>
      <c r="B282" s="2" t="s">
        <v>939</v>
      </c>
      <c r="C282" s="2">
        <v>3.19172182E9</v>
      </c>
      <c r="D282" s="2" t="s">
        <v>16324</v>
      </c>
      <c r="E282" s="2">
        <v>576163.0</v>
      </c>
      <c r="F282" s="2">
        <v>5.0</v>
      </c>
      <c r="G282" s="2">
        <v>5244.0</v>
      </c>
      <c r="H282" s="2" t="s">
        <v>5905</v>
      </c>
      <c r="I282" s="2" t="s">
        <v>5906</v>
      </c>
      <c r="J282" s="2" t="s">
        <v>5561</v>
      </c>
      <c r="K282" s="2" t="s">
        <v>16325</v>
      </c>
      <c r="L282" s="10" t="s">
        <v>16326</v>
      </c>
    </row>
    <row r="283">
      <c r="A283" s="2" t="s">
        <v>939</v>
      </c>
      <c r="B283" s="2" t="s">
        <v>16327</v>
      </c>
      <c r="C283" s="2">
        <v>4.151163385E9</v>
      </c>
      <c r="D283" s="2" t="s">
        <v>16328</v>
      </c>
      <c r="E283" s="2">
        <v>2108576.0</v>
      </c>
      <c r="F283" s="2">
        <v>2814.0</v>
      </c>
      <c r="G283" s="2">
        <v>18258.0</v>
      </c>
      <c r="H283" s="2" t="s">
        <v>5906</v>
      </c>
      <c r="I283" s="2" t="s">
        <v>5906</v>
      </c>
      <c r="J283" s="2" t="s">
        <v>16329</v>
      </c>
      <c r="K283" s="2" t="s">
        <v>16330</v>
      </c>
      <c r="L283" s="10" t="s">
        <v>16331</v>
      </c>
    </row>
    <row r="284">
      <c r="A284" s="2" t="s">
        <v>939</v>
      </c>
      <c r="B284" s="2" t="s">
        <v>16332</v>
      </c>
      <c r="C284" s="2">
        <v>2.209564209E9</v>
      </c>
      <c r="D284" s="2" t="s">
        <v>16333</v>
      </c>
      <c r="E284" s="2">
        <v>1412692.0</v>
      </c>
      <c r="F284" s="2">
        <v>902.0</v>
      </c>
      <c r="G284" s="2">
        <v>2810.0</v>
      </c>
      <c r="H284" s="2" t="s">
        <v>5906</v>
      </c>
      <c r="I284" s="2" t="s">
        <v>5905</v>
      </c>
      <c r="J284" s="2" t="s">
        <v>12715</v>
      </c>
      <c r="K284" s="2" t="s">
        <v>16334</v>
      </c>
      <c r="L284" s="10" t="s">
        <v>16335</v>
      </c>
    </row>
    <row r="285">
      <c r="A285" s="2" t="s">
        <v>939</v>
      </c>
      <c r="B285" s="2" t="s">
        <v>16336</v>
      </c>
      <c r="C285" s="2">
        <v>3.3647687E7</v>
      </c>
      <c r="D285" s="2" t="s">
        <v>16337</v>
      </c>
      <c r="E285" s="2">
        <v>2.683993E7</v>
      </c>
      <c r="F285" s="2">
        <v>7472.0</v>
      </c>
      <c r="G285" s="2">
        <v>13413.0</v>
      </c>
      <c r="H285" s="2" t="s">
        <v>5906</v>
      </c>
      <c r="I285" s="2" t="s">
        <v>5906</v>
      </c>
      <c r="K285" s="2" t="s">
        <v>16338</v>
      </c>
      <c r="L285" s="10" t="s">
        <v>16339</v>
      </c>
    </row>
    <row r="286">
      <c r="A286" s="2" t="s">
        <v>939</v>
      </c>
      <c r="B286" s="2" t="s">
        <v>16340</v>
      </c>
      <c r="C286" s="2">
        <v>1.609997478E9</v>
      </c>
      <c r="D286" s="2" t="s">
        <v>16341</v>
      </c>
      <c r="E286" s="2">
        <v>5420946.0</v>
      </c>
      <c r="F286" s="2">
        <v>900.0</v>
      </c>
      <c r="G286" s="2">
        <v>531.0</v>
      </c>
      <c r="H286" s="2" t="s">
        <v>5906</v>
      </c>
      <c r="I286" s="2" t="s">
        <v>5906</v>
      </c>
      <c r="J286" s="2" t="s">
        <v>14425</v>
      </c>
      <c r="K286" s="2" t="s">
        <v>16342</v>
      </c>
      <c r="L286" s="10" t="s">
        <v>16343</v>
      </c>
    </row>
    <row r="287">
      <c r="A287" s="2" t="s">
        <v>939</v>
      </c>
      <c r="B287" s="2" t="s">
        <v>16344</v>
      </c>
      <c r="C287" s="2">
        <v>6.229303546E9</v>
      </c>
      <c r="D287" s="2" t="s">
        <v>16345</v>
      </c>
      <c r="E287" s="2">
        <v>757178.0</v>
      </c>
      <c r="F287" s="2">
        <v>1115.0</v>
      </c>
      <c r="G287" s="2">
        <v>9434.0</v>
      </c>
      <c r="H287" s="2" t="s">
        <v>5906</v>
      </c>
      <c r="I287" s="2" t="s">
        <v>5906</v>
      </c>
      <c r="K287" s="2" t="s">
        <v>16346</v>
      </c>
      <c r="L287" s="10" t="s">
        <v>16347</v>
      </c>
    </row>
    <row r="288">
      <c r="A288" s="2" t="s">
        <v>939</v>
      </c>
      <c r="B288" s="2" t="s">
        <v>16348</v>
      </c>
      <c r="C288" s="2">
        <v>2.32024162E8</v>
      </c>
      <c r="D288" s="2" t="s">
        <v>16349</v>
      </c>
      <c r="E288" s="2">
        <v>6.5354065E7</v>
      </c>
      <c r="F288" s="2">
        <v>175.0</v>
      </c>
      <c r="G288" s="2">
        <v>18362.0</v>
      </c>
      <c r="H288" s="2" t="s">
        <v>5906</v>
      </c>
      <c r="I288" s="2" t="s">
        <v>5906</v>
      </c>
      <c r="K288" s="2" t="s">
        <v>16350</v>
      </c>
      <c r="L288" s="10" t="s">
        <v>16351</v>
      </c>
    </row>
    <row r="289">
      <c r="A289" s="2" t="s">
        <v>939</v>
      </c>
      <c r="B289" s="2" t="s">
        <v>16352</v>
      </c>
      <c r="C289" s="2">
        <v>4.8613004463E10</v>
      </c>
      <c r="D289" s="2" t="s">
        <v>16353</v>
      </c>
      <c r="E289" s="2">
        <v>15831.0</v>
      </c>
      <c r="F289" s="2">
        <v>280.0</v>
      </c>
      <c r="G289" s="2">
        <v>156.0</v>
      </c>
      <c r="H289" s="2" t="s">
        <v>5905</v>
      </c>
      <c r="I289" s="2" t="s">
        <v>5905</v>
      </c>
      <c r="J289" s="2" t="s">
        <v>6027</v>
      </c>
      <c r="K289" s="2" t="s">
        <v>16354</v>
      </c>
    </row>
    <row r="290">
      <c r="A290" s="2" t="s">
        <v>2042</v>
      </c>
      <c r="B290" s="2" t="s">
        <v>16355</v>
      </c>
      <c r="C290" s="2">
        <v>7.575104732E9</v>
      </c>
      <c r="D290" s="2" t="s">
        <v>16356</v>
      </c>
      <c r="E290" s="2">
        <v>387111.0</v>
      </c>
      <c r="F290" s="2">
        <v>121.0</v>
      </c>
      <c r="G290" s="2">
        <v>2258.0</v>
      </c>
      <c r="H290" s="2" t="s">
        <v>5906</v>
      </c>
      <c r="I290" s="2" t="s">
        <v>5905</v>
      </c>
      <c r="J290" s="2" t="s">
        <v>6111</v>
      </c>
      <c r="K290" s="2" t="s">
        <v>16357</v>
      </c>
      <c r="L290" s="10" t="s">
        <v>16358</v>
      </c>
    </row>
    <row r="291">
      <c r="A291" s="2" t="s">
        <v>2042</v>
      </c>
      <c r="B291" s="2" t="s">
        <v>16359</v>
      </c>
      <c r="C291" s="2">
        <v>1.078043169E9</v>
      </c>
      <c r="D291" s="2" t="s">
        <v>16360</v>
      </c>
      <c r="E291" s="2">
        <v>234025.0</v>
      </c>
      <c r="F291" s="2">
        <v>77.0</v>
      </c>
      <c r="G291" s="2">
        <v>2420.0</v>
      </c>
      <c r="H291" s="2" t="s">
        <v>5906</v>
      </c>
      <c r="I291" s="2" t="s">
        <v>5905</v>
      </c>
      <c r="J291" s="2" t="s">
        <v>13634</v>
      </c>
      <c r="K291" s="2" t="s">
        <v>16361</v>
      </c>
    </row>
    <row r="292">
      <c r="A292" s="2" t="s">
        <v>2042</v>
      </c>
      <c r="B292" s="2" t="s">
        <v>16362</v>
      </c>
      <c r="C292" s="2">
        <v>5218507.0</v>
      </c>
      <c r="D292" s="2" t="s">
        <v>16363</v>
      </c>
      <c r="E292" s="2">
        <v>27851.0</v>
      </c>
      <c r="F292" s="2">
        <v>780.0</v>
      </c>
      <c r="G292" s="2">
        <v>366.0</v>
      </c>
      <c r="H292" s="2" t="s">
        <v>5906</v>
      </c>
      <c r="I292" s="2" t="s">
        <v>5906</v>
      </c>
      <c r="J292" s="2" t="s">
        <v>5391</v>
      </c>
      <c r="K292" s="2" t="s">
        <v>16364</v>
      </c>
    </row>
    <row r="293">
      <c r="A293" s="2" t="s">
        <v>2042</v>
      </c>
      <c r="B293" s="2" t="s">
        <v>16365</v>
      </c>
      <c r="C293" s="2">
        <v>5.3174929744E10</v>
      </c>
      <c r="D293" s="2" t="s">
        <v>16366</v>
      </c>
      <c r="E293" s="2">
        <v>533482.0</v>
      </c>
      <c r="F293" s="2">
        <v>4.0</v>
      </c>
      <c r="G293" s="2">
        <v>872.0</v>
      </c>
      <c r="H293" s="2" t="s">
        <v>5905</v>
      </c>
      <c r="I293" s="2" t="s">
        <v>5905</v>
      </c>
      <c r="J293" s="2" t="s">
        <v>5928</v>
      </c>
      <c r="K293" s="2" t="s">
        <v>16367</v>
      </c>
    </row>
    <row r="294">
      <c r="A294" s="2" t="s">
        <v>4411</v>
      </c>
      <c r="B294" s="2" t="s">
        <v>16368</v>
      </c>
      <c r="C294" s="2">
        <v>4.6756783E7</v>
      </c>
      <c r="D294" s="2" t="s">
        <v>16369</v>
      </c>
      <c r="E294" s="2">
        <v>1659324.0</v>
      </c>
      <c r="F294" s="2">
        <v>1255.0</v>
      </c>
      <c r="G294" s="2">
        <v>17263.0</v>
      </c>
      <c r="H294" s="2" t="s">
        <v>5906</v>
      </c>
      <c r="I294" s="2" t="s">
        <v>5905</v>
      </c>
      <c r="J294" s="2" t="s">
        <v>5959</v>
      </c>
      <c r="K294" s="2" t="s">
        <v>16370</v>
      </c>
      <c r="L294" s="10" t="s">
        <v>16371</v>
      </c>
    </row>
    <row r="295">
      <c r="A295" s="2" t="s">
        <v>4411</v>
      </c>
      <c r="B295" s="2" t="s">
        <v>14908</v>
      </c>
      <c r="C295" s="2">
        <v>3.40735596E8</v>
      </c>
      <c r="D295" s="2" t="s">
        <v>14909</v>
      </c>
      <c r="E295" s="2">
        <v>4078958.0</v>
      </c>
      <c r="F295" s="2">
        <v>9.0</v>
      </c>
      <c r="G295" s="2">
        <v>1450.0</v>
      </c>
      <c r="H295" s="2" t="s">
        <v>5905</v>
      </c>
      <c r="I295" s="2" t="s">
        <v>5906</v>
      </c>
      <c r="J295" s="2" t="s">
        <v>8838</v>
      </c>
      <c r="K295" s="2" t="s">
        <v>14910</v>
      </c>
    </row>
    <row r="296">
      <c r="A296" s="2" t="s">
        <v>4411</v>
      </c>
      <c r="B296" s="2" t="s">
        <v>16372</v>
      </c>
      <c r="C296" s="2">
        <v>5.61685128E8</v>
      </c>
      <c r="D296" s="2" t="s">
        <v>16373</v>
      </c>
      <c r="E296" s="2">
        <v>12999.0</v>
      </c>
      <c r="F296" s="2">
        <v>4866.0</v>
      </c>
      <c r="G296" s="2">
        <v>1055.0</v>
      </c>
      <c r="H296" s="2" t="s">
        <v>5906</v>
      </c>
      <c r="I296" s="2" t="s">
        <v>5905</v>
      </c>
      <c r="J296" s="2" t="s">
        <v>5993</v>
      </c>
      <c r="K296" s="2" t="s">
        <v>16374</v>
      </c>
    </row>
    <row r="297">
      <c r="A297" s="2" t="s">
        <v>4411</v>
      </c>
      <c r="B297" s="2" t="s">
        <v>16375</v>
      </c>
      <c r="C297" s="2">
        <v>6.1848638306E10</v>
      </c>
      <c r="D297" s="2" t="s">
        <v>16376</v>
      </c>
      <c r="E297" s="2">
        <v>21730.0</v>
      </c>
      <c r="F297" s="2">
        <v>11.0</v>
      </c>
      <c r="G297" s="2">
        <v>263.0</v>
      </c>
      <c r="H297" s="2" t="s">
        <v>5905</v>
      </c>
      <c r="I297" s="2" t="s">
        <v>5906</v>
      </c>
      <c r="J297" s="2" t="s">
        <v>5963</v>
      </c>
      <c r="K297" s="2" t="s">
        <v>16377</v>
      </c>
      <c r="L297" s="10" t="s">
        <v>16378</v>
      </c>
    </row>
    <row r="298">
      <c r="A298" s="2" t="s">
        <v>4411</v>
      </c>
      <c r="B298" s="2" t="s">
        <v>4411</v>
      </c>
      <c r="C298" s="2">
        <v>2.865438545E9</v>
      </c>
      <c r="D298" s="2" t="s">
        <v>16379</v>
      </c>
      <c r="E298" s="2">
        <v>124738.0</v>
      </c>
      <c r="F298" s="2">
        <v>4.0</v>
      </c>
      <c r="G298" s="2">
        <v>75.0</v>
      </c>
      <c r="H298" s="2" t="s">
        <v>5905</v>
      </c>
      <c r="I298" s="2" t="s">
        <v>5905</v>
      </c>
      <c r="J298" s="2" t="s">
        <v>5911</v>
      </c>
      <c r="K298" s="2" t="s">
        <v>16380</v>
      </c>
    </row>
    <row r="299">
      <c r="A299" s="2" t="s">
        <v>4411</v>
      </c>
      <c r="B299" s="2" t="s">
        <v>16381</v>
      </c>
      <c r="C299" s="2">
        <v>2.7994136E7</v>
      </c>
      <c r="D299" s="2" t="s">
        <v>16382</v>
      </c>
      <c r="E299" s="2">
        <v>849344.0</v>
      </c>
      <c r="F299" s="2">
        <v>1329.0</v>
      </c>
      <c r="G299" s="2">
        <v>4519.0</v>
      </c>
      <c r="H299" s="2" t="s">
        <v>5906</v>
      </c>
      <c r="I299" s="2" t="s">
        <v>5906</v>
      </c>
      <c r="K299" s="2" t="s">
        <v>16383</v>
      </c>
      <c r="L299" s="10" t="s">
        <v>16384</v>
      </c>
    </row>
    <row r="300">
      <c r="A300" s="2" t="s">
        <v>4411</v>
      </c>
      <c r="B300" s="2" t="s">
        <v>16385</v>
      </c>
      <c r="C300" s="2">
        <v>3.9742212725E10</v>
      </c>
      <c r="D300" s="2" t="s">
        <v>16386</v>
      </c>
      <c r="E300" s="2">
        <v>30849.0</v>
      </c>
      <c r="F300" s="2">
        <v>6518.0</v>
      </c>
      <c r="G300" s="2">
        <v>1775.0</v>
      </c>
      <c r="H300" s="2" t="s">
        <v>5906</v>
      </c>
      <c r="I300" s="2" t="s">
        <v>5906</v>
      </c>
      <c r="J300" s="2" t="s">
        <v>5480</v>
      </c>
      <c r="K300" s="2" t="s">
        <v>16387</v>
      </c>
      <c r="L300" s="10" t="s">
        <v>16388</v>
      </c>
    </row>
    <row r="301">
      <c r="A301" s="2" t="s">
        <v>34</v>
      </c>
      <c r="B301" s="2" t="s">
        <v>16389</v>
      </c>
      <c r="C301" s="2">
        <v>3.259335889E9</v>
      </c>
      <c r="D301" s="2" t="s">
        <v>16390</v>
      </c>
      <c r="E301" s="2">
        <v>17244.0</v>
      </c>
      <c r="F301" s="2">
        <v>258.0</v>
      </c>
      <c r="G301" s="2">
        <v>1269.0</v>
      </c>
      <c r="H301" s="2" t="s">
        <v>5905</v>
      </c>
      <c r="I301" s="2" t="s">
        <v>5906</v>
      </c>
      <c r="K301" s="2" t="s">
        <v>16391</v>
      </c>
      <c r="L301" s="10" t="s">
        <v>16392</v>
      </c>
    </row>
    <row r="302">
      <c r="A302" s="2" t="s">
        <v>34</v>
      </c>
      <c r="B302" s="2" t="s">
        <v>16393</v>
      </c>
      <c r="C302" s="2">
        <v>2.51918861E8</v>
      </c>
      <c r="D302" s="2" t="s">
        <v>16394</v>
      </c>
      <c r="E302" s="2">
        <v>229371.0</v>
      </c>
      <c r="F302" s="2">
        <v>758.0</v>
      </c>
      <c r="G302" s="2">
        <v>2760.0</v>
      </c>
      <c r="H302" s="2" t="s">
        <v>5906</v>
      </c>
      <c r="I302" s="2" t="s">
        <v>5906</v>
      </c>
      <c r="J302" s="2" t="s">
        <v>7155</v>
      </c>
      <c r="K302" s="2" t="s">
        <v>16395</v>
      </c>
      <c r="L302" s="10" t="s">
        <v>16396</v>
      </c>
    </row>
    <row r="303">
      <c r="A303" s="2" t="s">
        <v>34</v>
      </c>
      <c r="B303" s="2" t="s">
        <v>16397</v>
      </c>
      <c r="C303" s="2">
        <v>5.2231750057E10</v>
      </c>
      <c r="D303" s="2" t="s">
        <v>16398</v>
      </c>
      <c r="E303" s="2">
        <v>37588.0</v>
      </c>
      <c r="F303" s="2">
        <v>61.0</v>
      </c>
      <c r="G303" s="2">
        <v>354.0</v>
      </c>
      <c r="H303" s="2" t="s">
        <v>5905</v>
      </c>
      <c r="I303" s="2" t="s">
        <v>5906</v>
      </c>
      <c r="J303" s="2" t="s">
        <v>16399</v>
      </c>
      <c r="K303" s="2" t="s">
        <v>16400</v>
      </c>
      <c r="L303" s="10" t="s">
        <v>16401</v>
      </c>
    </row>
    <row r="304">
      <c r="A304" s="2" t="s">
        <v>34</v>
      </c>
      <c r="B304" s="2" t="s">
        <v>16402</v>
      </c>
      <c r="C304" s="2">
        <v>1.0150375477E10</v>
      </c>
      <c r="D304" s="2" t="s">
        <v>16403</v>
      </c>
      <c r="E304" s="2">
        <v>848936.0</v>
      </c>
      <c r="F304" s="2">
        <v>239.0</v>
      </c>
      <c r="G304" s="2">
        <v>518.0</v>
      </c>
      <c r="H304" s="2" t="s">
        <v>5905</v>
      </c>
      <c r="I304" s="2" t="s">
        <v>5906</v>
      </c>
      <c r="J304" s="2" t="s">
        <v>12774</v>
      </c>
      <c r="K304" s="2" t="s">
        <v>16404</v>
      </c>
      <c r="L304" s="10" t="s">
        <v>16405</v>
      </c>
    </row>
    <row r="305">
      <c r="A305" s="2" t="s">
        <v>34</v>
      </c>
      <c r="B305" s="2" t="s">
        <v>16406</v>
      </c>
      <c r="C305" s="2">
        <v>1.238161614E9</v>
      </c>
      <c r="D305" s="2" t="s">
        <v>16407</v>
      </c>
      <c r="E305" s="2">
        <v>2006299.0</v>
      </c>
      <c r="F305" s="2">
        <v>862.0</v>
      </c>
      <c r="G305" s="2">
        <v>3665.0</v>
      </c>
      <c r="H305" s="2" t="s">
        <v>5906</v>
      </c>
      <c r="I305" s="2" t="s">
        <v>5905</v>
      </c>
      <c r="J305" s="2" t="s">
        <v>7140</v>
      </c>
      <c r="K305" s="2" t="s">
        <v>16408</v>
      </c>
      <c r="L305" s="10" t="s">
        <v>16409</v>
      </c>
    </row>
    <row r="306">
      <c r="A306" s="2" t="s">
        <v>34</v>
      </c>
      <c r="B306" s="2" t="s">
        <v>16410</v>
      </c>
      <c r="C306" s="2">
        <v>5.04314788E8</v>
      </c>
      <c r="D306" s="2" t="s">
        <v>16411</v>
      </c>
      <c r="E306" s="2">
        <v>11127.0</v>
      </c>
      <c r="F306" s="2">
        <v>1058.0</v>
      </c>
      <c r="G306" s="2">
        <v>1476.0</v>
      </c>
      <c r="H306" s="2" t="s">
        <v>5905</v>
      </c>
      <c r="I306" s="2" t="s">
        <v>5906</v>
      </c>
      <c r="J306" s="2" t="s">
        <v>5561</v>
      </c>
      <c r="K306" s="2" t="s">
        <v>16412</v>
      </c>
      <c r="L306" s="10" t="s">
        <v>16413</v>
      </c>
    </row>
    <row r="307">
      <c r="A307" s="2" t="s">
        <v>34</v>
      </c>
      <c r="B307" s="2" t="s">
        <v>16414</v>
      </c>
      <c r="C307" s="2">
        <v>6.0561224341E10</v>
      </c>
      <c r="D307" s="2" t="s">
        <v>16415</v>
      </c>
      <c r="E307" s="2">
        <v>224197.0</v>
      </c>
      <c r="F307" s="2">
        <v>185.0</v>
      </c>
      <c r="G307" s="2">
        <v>16.0</v>
      </c>
      <c r="H307" s="2" t="s">
        <v>5905</v>
      </c>
      <c r="I307" s="2" t="s">
        <v>5906</v>
      </c>
      <c r="J307" s="2" t="s">
        <v>8843</v>
      </c>
      <c r="K307" s="2" t="s">
        <v>16416</v>
      </c>
      <c r="L307" s="10" t="s">
        <v>16417</v>
      </c>
    </row>
    <row r="308">
      <c r="A308" s="2" t="s">
        <v>34</v>
      </c>
      <c r="B308" s="2" t="s">
        <v>16418</v>
      </c>
      <c r="C308" s="2">
        <v>4.7336036199E10</v>
      </c>
      <c r="D308" s="2" t="s">
        <v>16419</v>
      </c>
      <c r="E308" s="2">
        <v>32710.0</v>
      </c>
      <c r="F308" s="2">
        <v>7500.0</v>
      </c>
      <c r="G308" s="2">
        <v>668.0</v>
      </c>
      <c r="H308" s="2" t="s">
        <v>5906</v>
      </c>
      <c r="I308" s="2" t="s">
        <v>5905</v>
      </c>
      <c r="J308" s="2" t="s">
        <v>16420</v>
      </c>
      <c r="K308" s="2" t="s">
        <v>16421</v>
      </c>
      <c r="L308" s="10" t="s">
        <v>16422</v>
      </c>
    </row>
    <row r="309">
      <c r="A309" s="2" t="s">
        <v>4388</v>
      </c>
      <c r="B309" s="2" t="s">
        <v>16423</v>
      </c>
      <c r="C309" s="2">
        <v>5.2727767961E10</v>
      </c>
      <c r="D309" s="2" t="s">
        <v>16424</v>
      </c>
      <c r="E309" s="2">
        <v>261413.0</v>
      </c>
      <c r="F309" s="2">
        <v>380.0</v>
      </c>
      <c r="G309" s="2">
        <v>1041.0</v>
      </c>
      <c r="H309" s="2" t="s">
        <v>5905</v>
      </c>
      <c r="I309" s="2" t="s">
        <v>5905</v>
      </c>
      <c r="J309" s="2" t="s">
        <v>6124</v>
      </c>
      <c r="K309" s="2" t="s">
        <v>16425</v>
      </c>
      <c r="L309" s="10" t="s">
        <v>16426</v>
      </c>
    </row>
    <row r="310">
      <c r="A310" s="2" t="s">
        <v>4388</v>
      </c>
      <c r="B310" s="2" t="s">
        <v>16427</v>
      </c>
      <c r="C310" s="2">
        <v>5.1191866224E10</v>
      </c>
      <c r="D310" s="2" t="s">
        <v>16428</v>
      </c>
      <c r="E310" s="2">
        <v>240974.0</v>
      </c>
      <c r="F310" s="2">
        <v>172.0</v>
      </c>
      <c r="G310" s="2">
        <v>2077.0</v>
      </c>
      <c r="H310" s="2" t="s">
        <v>5906</v>
      </c>
      <c r="I310" s="2" t="s">
        <v>5905</v>
      </c>
      <c r="J310" s="2" t="s">
        <v>5480</v>
      </c>
      <c r="K310" s="2" t="s">
        <v>16429</v>
      </c>
    </row>
    <row r="311">
      <c r="A311" s="2" t="s">
        <v>4388</v>
      </c>
      <c r="B311" s="2" t="s">
        <v>4388</v>
      </c>
      <c r="C311" s="2">
        <v>1.459940668E9</v>
      </c>
      <c r="D311" s="2" t="s">
        <v>16430</v>
      </c>
      <c r="E311" s="2">
        <v>1.2883781E7</v>
      </c>
      <c r="F311" s="2">
        <v>1585.0</v>
      </c>
      <c r="G311" s="2">
        <v>54293.0</v>
      </c>
      <c r="H311" s="2" t="s">
        <v>5906</v>
      </c>
      <c r="I311" s="2" t="s">
        <v>5905</v>
      </c>
      <c r="J311" s="2" t="s">
        <v>5911</v>
      </c>
      <c r="K311" s="2" t="s">
        <v>16431</v>
      </c>
      <c r="L311" s="10" t="s">
        <v>16432</v>
      </c>
    </row>
    <row r="312">
      <c r="A312" s="2" t="s">
        <v>4388</v>
      </c>
      <c r="B312" s="2" t="s">
        <v>16433</v>
      </c>
      <c r="C312" s="2">
        <v>1.837781209E9</v>
      </c>
      <c r="D312" s="2" t="s">
        <v>16434</v>
      </c>
      <c r="E312" s="2">
        <v>1307448.0</v>
      </c>
      <c r="F312" s="2">
        <v>3581.0</v>
      </c>
      <c r="G312" s="2">
        <v>4582.0</v>
      </c>
      <c r="H312" s="2" t="s">
        <v>5906</v>
      </c>
      <c r="I312" s="2" t="s">
        <v>5906</v>
      </c>
      <c r="J312" s="2" t="s">
        <v>6002</v>
      </c>
      <c r="K312" s="2" t="s">
        <v>16435</v>
      </c>
      <c r="L312" s="10" t="s">
        <v>16436</v>
      </c>
    </row>
    <row r="313">
      <c r="A313" s="2" t="s">
        <v>4388</v>
      </c>
      <c r="B313" s="2" t="s">
        <v>16437</v>
      </c>
      <c r="C313" s="2">
        <v>4.832432845E9</v>
      </c>
      <c r="D313" s="2" t="s">
        <v>16438</v>
      </c>
      <c r="E313" s="2">
        <v>1586099.0</v>
      </c>
      <c r="F313" s="2">
        <v>4175.0</v>
      </c>
      <c r="G313" s="2">
        <v>28334.0</v>
      </c>
      <c r="H313" s="2" t="s">
        <v>5906</v>
      </c>
      <c r="I313" s="2" t="s">
        <v>5905</v>
      </c>
      <c r="J313" s="2" t="s">
        <v>5907</v>
      </c>
      <c r="K313" s="2" t="s">
        <v>16439</v>
      </c>
      <c r="L313" s="10" t="s">
        <v>16440</v>
      </c>
    </row>
    <row r="314">
      <c r="A314" s="2" t="s">
        <v>4388</v>
      </c>
      <c r="B314" s="2" t="s">
        <v>16441</v>
      </c>
      <c r="C314" s="2">
        <v>1.815784913E9</v>
      </c>
      <c r="D314" s="2" t="s">
        <v>16442</v>
      </c>
      <c r="E314" s="2">
        <v>1765452.0</v>
      </c>
      <c r="F314" s="2">
        <v>2807.0</v>
      </c>
      <c r="G314" s="2">
        <v>20816.0</v>
      </c>
      <c r="H314" s="2" t="s">
        <v>5906</v>
      </c>
      <c r="I314" s="2" t="s">
        <v>5905</v>
      </c>
      <c r="J314" s="2" t="s">
        <v>5911</v>
      </c>
      <c r="K314" s="2" t="s">
        <v>16443</v>
      </c>
      <c r="L314" s="10" t="s">
        <v>16444</v>
      </c>
    </row>
    <row r="315">
      <c r="A315" s="2" t="s">
        <v>4388</v>
      </c>
      <c r="B315" s="2" t="s">
        <v>16445</v>
      </c>
      <c r="C315" s="2">
        <v>1.1689411002E10</v>
      </c>
      <c r="D315" s="2" t="s">
        <v>16446</v>
      </c>
      <c r="E315" s="2">
        <v>1060419.0</v>
      </c>
      <c r="F315" s="2">
        <v>2738.0</v>
      </c>
      <c r="G315" s="2">
        <v>8314.0</v>
      </c>
      <c r="H315" s="2" t="s">
        <v>5905</v>
      </c>
      <c r="I315" s="2" t="s">
        <v>5906</v>
      </c>
      <c r="J315" s="2" t="s">
        <v>5480</v>
      </c>
      <c r="K315" s="2" t="s">
        <v>16447</v>
      </c>
      <c r="L315" s="10" t="s">
        <v>16448</v>
      </c>
    </row>
    <row r="316">
      <c r="A316" s="2" t="s">
        <v>4388</v>
      </c>
      <c r="B316" s="2" t="s">
        <v>16449</v>
      </c>
      <c r="C316" s="2">
        <v>1.68965095E9</v>
      </c>
      <c r="D316" s="2" t="s">
        <v>16450</v>
      </c>
      <c r="E316" s="2">
        <v>1.4627493E7</v>
      </c>
      <c r="F316" s="2">
        <v>820.0</v>
      </c>
      <c r="G316" s="2">
        <v>364.0</v>
      </c>
      <c r="H316" s="2" t="s">
        <v>5906</v>
      </c>
      <c r="I316" s="2" t="s">
        <v>5905</v>
      </c>
      <c r="J316" s="2" t="s">
        <v>8144</v>
      </c>
      <c r="K316" s="2" t="s">
        <v>16451</v>
      </c>
      <c r="L316" s="10" t="s">
        <v>16452</v>
      </c>
    </row>
    <row r="317">
      <c r="A317" s="2" t="s">
        <v>4388</v>
      </c>
      <c r="B317" s="2" t="s">
        <v>16453</v>
      </c>
      <c r="C317" s="2">
        <v>5.80251433E9</v>
      </c>
      <c r="D317" s="2" t="s">
        <v>16454</v>
      </c>
      <c r="E317" s="2">
        <v>45304.0</v>
      </c>
      <c r="F317" s="2">
        <v>893.0</v>
      </c>
      <c r="G317" s="2">
        <v>95.0</v>
      </c>
      <c r="H317" s="2" t="s">
        <v>5905</v>
      </c>
      <c r="I317" s="2" t="s">
        <v>5905</v>
      </c>
      <c r="J317" s="2" t="s">
        <v>8604</v>
      </c>
      <c r="K317" s="2" t="s">
        <v>16455</v>
      </c>
    </row>
    <row r="318">
      <c r="A318" s="2" t="s">
        <v>4388</v>
      </c>
      <c r="B318" s="2" t="s">
        <v>16456</v>
      </c>
      <c r="C318" s="2">
        <v>8.462597069E9</v>
      </c>
      <c r="D318" s="2" t="s">
        <v>16457</v>
      </c>
      <c r="E318" s="2">
        <v>11657.0</v>
      </c>
      <c r="F318" s="2">
        <v>205.0</v>
      </c>
      <c r="G318" s="2">
        <v>445.0</v>
      </c>
      <c r="H318" s="2" t="s">
        <v>5905</v>
      </c>
      <c r="I318" s="2" t="s">
        <v>5905</v>
      </c>
    </row>
    <row r="319">
      <c r="A319" s="2" t="s">
        <v>4388</v>
      </c>
      <c r="B319" s="2" t="s">
        <v>16458</v>
      </c>
      <c r="C319" s="2">
        <v>2.24147396E9</v>
      </c>
      <c r="D319" s="2" t="s">
        <v>16459</v>
      </c>
      <c r="E319" s="2">
        <v>5194607.0</v>
      </c>
      <c r="F319" s="2">
        <v>368.0</v>
      </c>
      <c r="G319" s="2">
        <v>14950.0</v>
      </c>
      <c r="H319" s="2" t="s">
        <v>5905</v>
      </c>
      <c r="I319" s="2" t="s">
        <v>5905</v>
      </c>
      <c r="J319" s="2" t="s">
        <v>7613</v>
      </c>
      <c r="K319" s="2" t="s">
        <v>16460</v>
      </c>
    </row>
    <row r="320">
      <c r="A320" s="2" t="s">
        <v>4388</v>
      </c>
      <c r="B320" s="2" t="s">
        <v>16461</v>
      </c>
      <c r="C320" s="2">
        <v>4.551039004E9</v>
      </c>
      <c r="D320" s="2" t="s">
        <v>16462</v>
      </c>
      <c r="E320" s="2">
        <v>634307.0</v>
      </c>
      <c r="F320" s="2">
        <v>995.0</v>
      </c>
      <c r="G320" s="2">
        <v>32665.0</v>
      </c>
      <c r="H320" s="2" t="s">
        <v>5905</v>
      </c>
      <c r="I320" s="2" t="s">
        <v>5906</v>
      </c>
      <c r="J320" s="2" t="s">
        <v>5911</v>
      </c>
      <c r="K320" s="2" t="s">
        <v>16463</v>
      </c>
      <c r="L320" s="10" t="s">
        <v>16464</v>
      </c>
    </row>
    <row r="321">
      <c r="A321" s="2" t="s">
        <v>4388</v>
      </c>
      <c r="B321" s="2" t="s">
        <v>16465</v>
      </c>
      <c r="C321" s="2">
        <v>2.0724379E7</v>
      </c>
      <c r="D321" s="2" t="s">
        <v>16466</v>
      </c>
      <c r="E321" s="2">
        <v>4097193.0</v>
      </c>
      <c r="F321" s="2">
        <v>289.0</v>
      </c>
      <c r="G321" s="2">
        <v>14809.0</v>
      </c>
      <c r="H321" s="2" t="s">
        <v>5906</v>
      </c>
      <c r="I321" s="2" t="s">
        <v>5906</v>
      </c>
      <c r="K321" s="2" t="s">
        <v>16467</v>
      </c>
      <c r="L321" s="10" t="s">
        <v>16468</v>
      </c>
    </row>
    <row r="322">
      <c r="A322" s="2" t="s">
        <v>4388</v>
      </c>
      <c r="B322" s="2" t="s">
        <v>16469</v>
      </c>
      <c r="C322" s="2">
        <v>5.9181341978E10</v>
      </c>
      <c r="D322" s="2" t="s">
        <v>16470</v>
      </c>
      <c r="E322" s="2">
        <v>31810.0</v>
      </c>
      <c r="F322" s="2">
        <v>4.0</v>
      </c>
      <c r="G322" s="2">
        <v>328.0</v>
      </c>
      <c r="H322" s="2" t="s">
        <v>5906</v>
      </c>
      <c r="I322" s="2" t="s">
        <v>5905</v>
      </c>
      <c r="J322" s="2" t="s">
        <v>5959</v>
      </c>
      <c r="K322" s="2" t="s">
        <v>16471</v>
      </c>
      <c r="L322" s="10" t="s">
        <v>16472</v>
      </c>
    </row>
    <row r="323">
      <c r="A323" s="2" t="s">
        <v>2777</v>
      </c>
      <c r="B323" s="2" t="s">
        <v>16473</v>
      </c>
      <c r="C323" s="2">
        <v>4.2794919076E10</v>
      </c>
      <c r="D323" s="2" t="s">
        <v>16474</v>
      </c>
      <c r="E323" s="2">
        <v>1574435.0</v>
      </c>
      <c r="F323" s="2">
        <v>9.0</v>
      </c>
      <c r="G323" s="2">
        <v>6347.0</v>
      </c>
      <c r="H323" s="2" t="s">
        <v>5905</v>
      </c>
      <c r="I323" s="2" t="s">
        <v>5906</v>
      </c>
      <c r="J323" s="2" t="s">
        <v>13706</v>
      </c>
      <c r="K323" s="2" t="s">
        <v>16475</v>
      </c>
      <c r="L323" s="10" t="s">
        <v>16476</v>
      </c>
    </row>
    <row r="324">
      <c r="A324" s="2" t="s">
        <v>2777</v>
      </c>
      <c r="B324" s="2" t="s">
        <v>16477</v>
      </c>
      <c r="C324" s="2">
        <v>6.855978165E9</v>
      </c>
      <c r="D324" s="2" t="s">
        <v>16478</v>
      </c>
      <c r="E324" s="2">
        <v>140093.0</v>
      </c>
      <c r="F324" s="2">
        <v>763.0</v>
      </c>
      <c r="G324" s="2">
        <v>29.0</v>
      </c>
      <c r="H324" s="2" t="s">
        <v>5905</v>
      </c>
      <c r="I324" s="2" t="s">
        <v>5905</v>
      </c>
      <c r="K324" s="2" t="s">
        <v>16479</v>
      </c>
      <c r="L324" s="10" t="s">
        <v>16480</v>
      </c>
    </row>
    <row r="325">
      <c r="A325" s="2" t="s">
        <v>2777</v>
      </c>
      <c r="B325" s="2" t="s">
        <v>16481</v>
      </c>
      <c r="C325" s="2">
        <v>1.716953468E9</v>
      </c>
      <c r="D325" s="2" t="s">
        <v>16482</v>
      </c>
      <c r="E325" s="2">
        <v>677769.0</v>
      </c>
      <c r="F325" s="2">
        <v>788.0</v>
      </c>
      <c r="G325" s="2">
        <v>2272.0</v>
      </c>
      <c r="H325" s="2" t="s">
        <v>5905</v>
      </c>
      <c r="I325" s="2" t="s">
        <v>5905</v>
      </c>
      <c r="K325" s="2" t="s">
        <v>16483</v>
      </c>
      <c r="L325" s="10" t="s">
        <v>16484</v>
      </c>
    </row>
    <row r="326">
      <c r="A326" s="2" t="s">
        <v>2777</v>
      </c>
      <c r="B326" s="2" t="s">
        <v>16485</v>
      </c>
      <c r="C326" s="2">
        <v>1.0175092967E10</v>
      </c>
      <c r="D326" s="2" t="s">
        <v>16486</v>
      </c>
      <c r="E326" s="2">
        <v>3996281.0</v>
      </c>
      <c r="F326" s="2">
        <v>262.0</v>
      </c>
      <c r="G326" s="2">
        <v>1875.0</v>
      </c>
      <c r="H326" s="2" t="s">
        <v>5906</v>
      </c>
      <c r="I326" s="2" t="s">
        <v>5905</v>
      </c>
      <c r="J326" s="2" t="s">
        <v>5928</v>
      </c>
      <c r="K326" s="2" t="s">
        <v>16487</v>
      </c>
      <c r="L326" s="10" t="s">
        <v>16488</v>
      </c>
    </row>
    <row r="327">
      <c r="A327" s="2" t="s">
        <v>2777</v>
      </c>
      <c r="B327" s="2" t="s">
        <v>16489</v>
      </c>
      <c r="C327" s="2">
        <v>4.10915861E8</v>
      </c>
      <c r="D327" s="2" t="s">
        <v>16490</v>
      </c>
      <c r="E327" s="2">
        <v>1579098.0</v>
      </c>
      <c r="F327" s="2">
        <v>51.0</v>
      </c>
      <c r="G327" s="2">
        <v>5627.0</v>
      </c>
      <c r="H327" s="2" t="s">
        <v>5905</v>
      </c>
      <c r="I327" s="2" t="s">
        <v>5906</v>
      </c>
      <c r="J327" s="2" t="s">
        <v>12774</v>
      </c>
      <c r="K327" s="2" t="s">
        <v>16491</v>
      </c>
    </row>
    <row r="328">
      <c r="A328" s="2" t="s">
        <v>2777</v>
      </c>
      <c r="B328" s="2" t="s">
        <v>16492</v>
      </c>
      <c r="C328" s="2">
        <v>4.761842033E9</v>
      </c>
      <c r="D328" s="2" t="s">
        <v>16493</v>
      </c>
      <c r="E328" s="2">
        <v>2672582.0</v>
      </c>
      <c r="F328" s="2">
        <v>214.0</v>
      </c>
      <c r="G328" s="2">
        <v>6578.0</v>
      </c>
      <c r="H328" s="2" t="s">
        <v>5905</v>
      </c>
      <c r="I328" s="2" t="s">
        <v>5906</v>
      </c>
      <c r="J328" s="2" t="s">
        <v>16494</v>
      </c>
      <c r="K328" s="2" t="s">
        <v>16495</v>
      </c>
    </row>
    <row r="329">
      <c r="A329" s="2" t="s">
        <v>2777</v>
      </c>
      <c r="B329" s="2" t="s">
        <v>16496</v>
      </c>
      <c r="C329" s="2">
        <v>5.4164871695E10</v>
      </c>
      <c r="D329" s="2" t="s">
        <v>16497</v>
      </c>
      <c r="E329" s="2">
        <v>1588859.0</v>
      </c>
      <c r="F329" s="2">
        <v>51.0</v>
      </c>
      <c r="G329" s="2">
        <v>1661.0</v>
      </c>
      <c r="H329" s="2" t="s">
        <v>5906</v>
      </c>
      <c r="I329" s="2" t="s">
        <v>5905</v>
      </c>
      <c r="J329" s="2" t="s">
        <v>12774</v>
      </c>
      <c r="K329" s="2" t="s">
        <v>16498</v>
      </c>
      <c r="L329" s="10" t="s">
        <v>16499</v>
      </c>
    </row>
    <row r="330">
      <c r="A330" s="2" t="s">
        <v>2777</v>
      </c>
      <c r="B330" s="2" t="s">
        <v>16500</v>
      </c>
      <c r="C330" s="2">
        <v>1.621146785E9</v>
      </c>
      <c r="D330" s="2" t="s">
        <v>16501</v>
      </c>
      <c r="E330" s="2">
        <v>5268235.0</v>
      </c>
      <c r="F330" s="2">
        <v>1048.0</v>
      </c>
      <c r="G330" s="2">
        <v>1067.0</v>
      </c>
      <c r="H330" s="2" t="s">
        <v>5906</v>
      </c>
      <c r="I330" s="2" t="s">
        <v>5905</v>
      </c>
      <c r="J330" s="2" t="s">
        <v>5492</v>
      </c>
      <c r="K330" s="2" t="s">
        <v>16502</v>
      </c>
      <c r="L330" s="10" t="s">
        <v>16503</v>
      </c>
    </row>
    <row r="331">
      <c r="A331" s="2" t="s">
        <v>2777</v>
      </c>
      <c r="B331" s="2" t="s">
        <v>16504</v>
      </c>
      <c r="C331" s="2">
        <v>1.86331189E8</v>
      </c>
      <c r="D331" s="2" t="s">
        <v>16505</v>
      </c>
      <c r="E331" s="2">
        <v>1046680.0</v>
      </c>
      <c r="F331" s="2">
        <v>1655.0</v>
      </c>
      <c r="G331" s="2">
        <v>2226.0</v>
      </c>
      <c r="H331" s="2" t="s">
        <v>5906</v>
      </c>
      <c r="I331" s="2" t="s">
        <v>5906</v>
      </c>
      <c r="J331" s="2" t="s">
        <v>6699</v>
      </c>
      <c r="K331" s="2" t="s">
        <v>16506</v>
      </c>
      <c r="L331" s="10" t="s">
        <v>16507</v>
      </c>
    </row>
    <row r="332">
      <c r="A332" s="2" t="s">
        <v>2777</v>
      </c>
      <c r="B332" s="2" t="s">
        <v>16508</v>
      </c>
      <c r="C332" s="2">
        <v>1.936337922E9</v>
      </c>
      <c r="D332" s="2" t="s">
        <v>16509</v>
      </c>
      <c r="E332" s="2">
        <v>1011453.0</v>
      </c>
      <c r="F332" s="2">
        <v>764.0</v>
      </c>
      <c r="G332" s="2">
        <v>3781.0</v>
      </c>
      <c r="H332" s="2" t="s">
        <v>5906</v>
      </c>
      <c r="I332" s="2" t="s">
        <v>5905</v>
      </c>
      <c r="J332" s="2" t="s">
        <v>5928</v>
      </c>
      <c r="K332" s="2" t="s">
        <v>16510</v>
      </c>
      <c r="L332" s="10" t="s">
        <v>16511</v>
      </c>
    </row>
    <row r="333">
      <c r="A333" s="2" t="s">
        <v>2777</v>
      </c>
      <c r="B333" s="2" t="s">
        <v>16512</v>
      </c>
      <c r="C333" s="2">
        <v>5.394351405E9</v>
      </c>
      <c r="D333" s="2" t="s">
        <v>16513</v>
      </c>
      <c r="E333" s="2">
        <v>1227943.0</v>
      </c>
      <c r="F333" s="2">
        <v>286.0</v>
      </c>
      <c r="G333" s="2">
        <v>3442.0</v>
      </c>
      <c r="H333" s="2" t="s">
        <v>5906</v>
      </c>
      <c r="I333" s="2" t="s">
        <v>5906</v>
      </c>
      <c r="J333" s="2" t="s">
        <v>5911</v>
      </c>
      <c r="K333" s="2" t="s">
        <v>16514</v>
      </c>
      <c r="L333" s="10" t="s">
        <v>16515</v>
      </c>
    </row>
    <row r="334">
      <c r="A334" s="2" t="s">
        <v>2777</v>
      </c>
      <c r="B334" s="10" t="s">
        <v>16516</v>
      </c>
      <c r="C334" s="2">
        <v>6.0240505392E10</v>
      </c>
      <c r="D334" s="2" t="s">
        <v>16517</v>
      </c>
      <c r="E334" s="2">
        <v>454298.0</v>
      </c>
      <c r="F334" s="2">
        <v>1.0</v>
      </c>
      <c r="G334" s="2">
        <v>546.0</v>
      </c>
      <c r="H334" s="2" t="s">
        <v>5905</v>
      </c>
      <c r="I334" s="2" t="s">
        <v>5905</v>
      </c>
      <c r="K334" s="2" t="s">
        <v>16518</v>
      </c>
    </row>
    <row r="335">
      <c r="A335" s="2" t="s">
        <v>2777</v>
      </c>
      <c r="B335" s="2" t="s">
        <v>16519</v>
      </c>
      <c r="C335" s="2">
        <v>5.4639937737E10</v>
      </c>
      <c r="D335" s="2" t="s">
        <v>16520</v>
      </c>
      <c r="E335" s="2">
        <v>1811728.0</v>
      </c>
      <c r="F335" s="2">
        <v>276.0</v>
      </c>
      <c r="G335" s="2">
        <v>434.0</v>
      </c>
      <c r="H335" s="2" t="s">
        <v>5906</v>
      </c>
      <c r="I335" s="2" t="s">
        <v>5905</v>
      </c>
      <c r="J335" s="2" t="s">
        <v>16494</v>
      </c>
      <c r="K335" s="2" t="s">
        <v>16521</v>
      </c>
      <c r="L335" s="10" t="s">
        <v>16522</v>
      </c>
    </row>
    <row r="336">
      <c r="A336" s="2" t="s">
        <v>2777</v>
      </c>
      <c r="B336" s="2" t="s">
        <v>16523</v>
      </c>
      <c r="C336" s="2">
        <v>5.7178177242E10</v>
      </c>
      <c r="D336" s="2" t="s">
        <v>16524</v>
      </c>
      <c r="E336" s="2">
        <v>52030.0</v>
      </c>
      <c r="F336" s="2">
        <v>1114.0</v>
      </c>
      <c r="G336" s="2">
        <v>712.0</v>
      </c>
      <c r="H336" s="2" t="s">
        <v>5905</v>
      </c>
      <c r="I336" s="2" t="s">
        <v>5905</v>
      </c>
      <c r="J336" s="2" t="s">
        <v>16525</v>
      </c>
      <c r="K336" s="2" t="s">
        <v>16526</v>
      </c>
    </row>
    <row r="337">
      <c r="A337" s="2" t="s">
        <v>2777</v>
      </c>
      <c r="B337" s="2" t="s">
        <v>16527</v>
      </c>
      <c r="C337" s="2">
        <v>7679624.0</v>
      </c>
      <c r="D337" s="2" t="s">
        <v>16528</v>
      </c>
      <c r="E337" s="2">
        <v>2172565.0</v>
      </c>
      <c r="F337" s="2">
        <v>3649.0</v>
      </c>
      <c r="G337" s="2">
        <v>5608.0</v>
      </c>
      <c r="H337" s="2" t="s">
        <v>5906</v>
      </c>
      <c r="I337" s="2" t="s">
        <v>5905</v>
      </c>
      <c r="J337" s="2" t="s">
        <v>5492</v>
      </c>
      <c r="K337" s="2" t="s">
        <v>16529</v>
      </c>
      <c r="L337" s="10" t="s">
        <v>16530</v>
      </c>
    </row>
    <row r="338">
      <c r="A338" s="2" t="s">
        <v>2777</v>
      </c>
      <c r="B338" s="2" t="s">
        <v>16531</v>
      </c>
      <c r="C338" s="2">
        <v>6.949346192E10</v>
      </c>
      <c r="D338" s="2" t="s">
        <v>16532</v>
      </c>
      <c r="E338" s="2">
        <v>66998.0</v>
      </c>
      <c r="F338" s="2">
        <v>1.0</v>
      </c>
      <c r="G338" s="2">
        <v>9.0</v>
      </c>
      <c r="H338" s="2" t="s">
        <v>5905</v>
      </c>
      <c r="I338" s="2" t="s">
        <v>5905</v>
      </c>
      <c r="J338" s="2" t="s">
        <v>5959</v>
      </c>
      <c r="K338" s="2" t="s">
        <v>16533</v>
      </c>
      <c r="L338" s="10" t="s">
        <v>16534</v>
      </c>
    </row>
    <row r="339">
      <c r="A339" s="2" t="s">
        <v>2777</v>
      </c>
      <c r="B339" s="2" t="s">
        <v>16535</v>
      </c>
      <c r="C339" s="2">
        <v>6.85400021E9</v>
      </c>
      <c r="D339" s="2" t="s">
        <v>16536</v>
      </c>
      <c r="E339" s="2">
        <v>2071663.0</v>
      </c>
      <c r="F339" s="2">
        <v>687.0</v>
      </c>
      <c r="G339" s="2">
        <v>785.0</v>
      </c>
      <c r="H339" s="2" t="s">
        <v>5906</v>
      </c>
      <c r="I339" s="2" t="s">
        <v>5905</v>
      </c>
      <c r="J339" s="2" t="s">
        <v>5492</v>
      </c>
      <c r="K339" s="2" t="s">
        <v>16537</v>
      </c>
      <c r="L339" s="10" t="s">
        <v>16538</v>
      </c>
    </row>
    <row r="340">
      <c r="A340" s="2" t="s">
        <v>2777</v>
      </c>
      <c r="B340" s="2" t="s">
        <v>16539</v>
      </c>
      <c r="C340" s="2">
        <v>2.2658273E7</v>
      </c>
      <c r="D340" s="2" t="s">
        <v>16540</v>
      </c>
      <c r="E340" s="2">
        <v>522867.0</v>
      </c>
      <c r="F340" s="2">
        <v>1265.0</v>
      </c>
      <c r="G340" s="2">
        <v>6105.0</v>
      </c>
      <c r="H340" s="2" t="s">
        <v>5906</v>
      </c>
      <c r="I340" s="2" t="s">
        <v>5905</v>
      </c>
      <c r="J340" s="2" t="s">
        <v>6856</v>
      </c>
      <c r="K340" s="2" t="s">
        <v>16541</v>
      </c>
      <c r="L340" s="10" t="s">
        <v>16542</v>
      </c>
    </row>
    <row r="341">
      <c r="A341" s="2" t="s">
        <v>2777</v>
      </c>
      <c r="B341" s="2" t="s">
        <v>16543</v>
      </c>
      <c r="C341" s="2">
        <v>1.318032646E9</v>
      </c>
      <c r="D341" s="2" t="s">
        <v>16544</v>
      </c>
      <c r="E341" s="2">
        <v>1516500.0</v>
      </c>
      <c r="F341" s="2">
        <v>369.0</v>
      </c>
      <c r="G341" s="2">
        <v>7421.0</v>
      </c>
      <c r="H341" s="2" t="s">
        <v>5906</v>
      </c>
      <c r="I341" s="2" t="s">
        <v>5906</v>
      </c>
      <c r="J341" s="2" t="s">
        <v>5561</v>
      </c>
      <c r="K341" s="2" t="s">
        <v>16545</v>
      </c>
      <c r="L341" s="10" t="s">
        <v>16546</v>
      </c>
    </row>
    <row r="342">
      <c r="A342" s="2" t="s">
        <v>4400</v>
      </c>
      <c r="B342" s="2" t="s">
        <v>16547</v>
      </c>
      <c r="C342" s="2">
        <v>5.36176622E8</v>
      </c>
      <c r="D342" s="2" t="s">
        <v>16548</v>
      </c>
      <c r="E342" s="2">
        <v>3293712.0</v>
      </c>
      <c r="F342" s="2">
        <v>434.0</v>
      </c>
      <c r="G342" s="2">
        <v>984.0</v>
      </c>
      <c r="H342" s="2" t="s">
        <v>5906</v>
      </c>
      <c r="I342" s="2" t="s">
        <v>5906</v>
      </c>
      <c r="K342" s="2" t="s">
        <v>16549</v>
      </c>
      <c r="L342" s="10" t="s">
        <v>16550</v>
      </c>
    </row>
    <row r="343">
      <c r="A343" s="2" t="s">
        <v>4400</v>
      </c>
      <c r="B343" s="2" t="s">
        <v>16551</v>
      </c>
      <c r="C343" s="2">
        <v>4.93050678E8</v>
      </c>
      <c r="D343" s="2" t="s">
        <v>16552</v>
      </c>
      <c r="E343" s="2">
        <v>205753.0</v>
      </c>
      <c r="F343" s="2">
        <v>41.0</v>
      </c>
      <c r="G343" s="2">
        <v>2890.0</v>
      </c>
      <c r="H343" s="2" t="s">
        <v>5905</v>
      </c>
      <c r="I343" s="2" t="s">
        <v>5906</v>
      </c>
      <c r="J343" s="2" t="s">
        <v>4397</v>
      </c>
      <c r="K343" s="2" t="s">
        <v>16553</v>
      </c>
    </row>
    <row r="344">
      <c r="A344" s="2" t="s">
        <v>4400</v>
      </c>
      <c r="B344" s="2" t="s">
        <v>16554</v>
      </c>
      <c r="C344" s="2">
        <v>1.2750731767E10</v>
      </c>
      <c r="D344" s="2" t="s">
        <v>16555</v>
      </c>
      <c r="E344" s="2">
        <v>11638.0</v>
      </c>
      <c r="F344" s="2">
        <v>496.0</v>
      </c>
      <c r="G344" s="2">
        <v>359.0</v>
      </c>
      <c r="H344" s="2" t="s">
        <v>5905</v>
      </c>
      <c r="I344" s="2" t="s">
        <v>5906</v>
      </c>
      <c r="J344" s="2" t="s">
        <v>6166</v>
      </c>
      <c r="K344" s="2" t="s">
        <v>16556</v>
      </c>
      <c r="L344" s="10" t="s">
        <v>16557</v>
      </c>
    </row>
    <row r="345">
      <c r="A345" s="2" t="s">
        <v>4400</v>
      </c>
      <c r="B345" s="2" t="s">
        <v>16558</v>
      </c>
      <c r="C345" s="2">
        <v>2.26109374E8</v>
      </c>
      <c r="D345" s="2" t="s">
        <v>16558</v>
      </c>
      <c r="E345" s="2">
        <v>31009.0</v>
      </c>
      <c r="F345" s="2">
        <v>1526.0</v>
      </c>
      <c r="G345" s="2">
        <v>3615.0</v>
      </c>
      <c r="H345" s="2" t="s">
        <v>5905</v>
      </c>
      <c r="I345" s="2" t="s">
        <v>5906</v>
      </c>
      <c r="J345" s="2" t="s">
        <v>16559</v>
      </c>
      <c r="K345" s="2" t="s">
        <v>16560</v>
      </c>
      <c r="L345" s="10" t="s">
        <v>16561</v>
      </c>
    </row>
    <row r="346">
      <c r="A346" s="2" t="s">
        <v>4400</v>
      </c>
      <c r="B346" s="2" t="s">
        <v>16562</v>
      </c>
      <c r="C346" s="2">
        <v>2.86654768E8</v>
      </c>
      <c r="D346" s="2" t="s">
        <v>16563</v>
      </c>
      <c r="E346" s="2">
        <v>6088695.0</v>
      </c>
      <c r="F346" s="2">
        <v>569.0</v>
      </c>
      <c r="G346" s="2">
        <v>2013.0</v>
      </c>
      <c r="H346" s="2" t="s">
        <v>5906</v>
      </c>
      <c r="I346" s="2" t="s">
        <v>5906</v>
      </c>
      <c r="J346" s="2" t="s">
        <v>6002</v>
      </c>
      <c r="K346" s="2" t="s">
        <v>16564</v>
      </c>
      <c r="L346" s="10" t="s">
        <v>16565</v>
      </c>
    </row>
    <row r="347">
      <c r="A347" s="2" t="s">
        <v>4400</v>
      </c>
      <c r="B347" s="2" t="s">
        <v>4400</v>
      </c>
      <c r="C347" s="2">
        <v>2.152615065E9</v>
      </c>
      <c r="D347" s="2" t="s">
        <v>16566</v>
      </c>
      <c r="E347" s="2">
        <v>41903.0</v>
      </c>
      <c r="F347" s="2">
        <v>191.0</v>
      </c>
      <c r="G347" s="2">
        <v>1469.0</v>
      </c>
      <c r="H347" s="2" t="s">
        <v>5905</v>
      </c>
      <c r="I347" s="2" t="s">
        <v>5905</v>
      </c>
      <c r="K347" s="2" t="s">
        <v>16567</v>
      </c>
    </row>
    <row r="348">
      <c r="A348" s="2" t="s">
        <v>4400</v>
      </c>
      <c r="B348" s="2" t="s">
        <v>16568</v>
      </c>
      <c r="C348" s="2">
        <v>5.6489391593E10</v>
      </c>
      <c r="D348" s="2" t="s">
        <v>16569</v>
      </c>
      <c r="E348" s="2">
        <v>155994.0</v>
      </c>
      <c r="F348" s="2">
        <v>52.0</v>
      </c>
      <c r="G348" s="2">
        <v>4140.0</v>
      </c>
      <c r="H348" s="2" t="s">
        <v>5905</v>
      </c>
      <c r="I348" s="2" t="s">
        <v>5906</v>
      </c>
      <c r="J348" s="2" t="s">
        <v>5480</v>
      </c>
      <c r="K348" s="2" t="s">
        <v>16570</v>
      </c>
      <c r="L348" s="10" t="s">
        <v>16571</v>
      </c>
    </row>
    <row r="349">
      <c r="A349" s="2" t="s">
        <v>4400</v>
      </c>
      <c r="B349" s="2" t="s">
        <v>16572</v>
      </c>
      <c r="C349" s="2">
        <v>8.75750569E9</v>
      </c>
      <c r="D349" s="2" t="s">
        <v>16552</v>
      </c>
      <c r="E349" s="2">
        <v>51506.0</v>
      </c>
      <c r="F349" s="2">
        <v>4657.0</v>
      </c>
      <c r="G349" s="2">
        <v>1242.0</v>
      </c>
      <c r="H349" s="2" t="s">
        <v>5905</v>
      </c>
      <c r="I349" s="2" t="s">
        <v>5906</v>
      </c>
      <c r="J349" s="2" t="s">
        <v>12774</v>
      </c>
      <c r="K349" s="2" t="s">
        <v>16573</v>
      </c>
      <c r="L349" s="10" t="s">
        <v>16574</v>
      </c>
    </row>
    <row r="350">
      <c r="A350" s="2" t="s">
        <v>4400</v>
      </c>
      <c r="B350" s="2" t="s">
        <v>16575</v>
      </c>
      <c r="C350" s="2">
        <v>1.4214839788E10</v>
      </c>
      <c r="D350" s="2" t="s">
        <v>16576</v>
      </c>
      <c r="E350" s="2">
        <v>26625.0</v>
      </c>
      <c r="F350" s="2">
        <v>282.0</v>
      </c>
      <c r="G350" s="2">
        <v>7803.0</v>
      </c>
      <c r="H350" s="2" t="s">
        <v>5905</v>
      </c>
      <c r="I350" s="2" t="s">
        <v>5905</v>
      </c>
      <c r="J350" s="2" t="s">
        <v>5959</v>
      </c>
      <c r="K350" s="2" t="s">
        <v>16577</v>
      </c>
    </row>
    <row r="351">
      <c r="A351" s="2" t="s">
        <v>4400</v>
      </c>
      <c r="B351" s="2" t="s">
        <v>16578</v>
      </c>
      <c r="C351" s="2">
        <v>3.551195012E9</v>
      </c>
      <c r="D351" s="2" t="s">
        <v>16579</v>
      </c>
      <c r="E351" s="2">
        <v>1582408.0</v>
      </c>
      <c r="F351" s="2">
        <v>150.0</v>
      </c>
      <c r="G351" s="2">
        <v>12932.0</v>
      </c>
      <c r="H351" s="2" t="s">
        <v>5905</v>
      </c>
      <c r="I351" s="2" t="s">
        <v>5906</v>
      </c>
      <c r="J351" s="2" t="s">
        <v>8479</v>
      </c>
      <c r="K351" s="2" t="s">
        <v>16580</v>
      </c>
      <c r="L351" s="10" t="s">
        <v>16581</v>
      </c>
    </row>
    <row r="352">
      <c r="A352" s="2" t="s">
        <v>4400</v>
      </c>
      <c r="B352" s="2" t="s">
        <v>16582</v>
      </c>
      <c r="C352" s="2">
        <v>6.58544681E8</v>
      </c>
      <c r="D352" s="2" t="s">
        <v>16579</v>
      </c>
      <c r="E352" s="2">
        <v>2252858.0</v>
      </c>
      <c r="F352" s="2">
        <v>372.0</v>
      </c>
      <c r="G352" s="2">
        <v>19551.0</v>
      </c>
      <c r="H352" s="2" t="s">
        <v>5905</v>
      </c>
      <c r="I352" s="2" t="s">
        <v>5906</v>
      </c>
      <c r="K352" s="2" t="s">
        <v>16583</v>
      </c>
      <c r="L352" s="10" t="s">
        <v>16584</v>
      </c>
    </row>
    <row r="353">
      <c r="A353" s="2" t="s">
        <v>4385</v>
      </c>
      <c r="B353" s="2" t="s">
        <v>16585</v>
      </c>
      <c r="C353" s="2">
        <v>5.8599028888E10</v>
      </c>
      <c r="D353" s="2" t="s">
        <v>16586</v>
      </c>
      <c r="E353" s="2">
        <v>1605677.0</v>
      </c>
      <c r="F353" s="2">
        <v>100.0</v>
      </c>
      <c r="G353" s="2">
        <v>1399.0</v>
      </c>
      <c r="H353" s="2" t="s">
        <v>5906</v>
      </c>
      <c r="I353" s="2" t="s">
        <v>5905</v>
      </c>
      <c r="J353" s="2" t="s">
        <v>16587</v>
      </c>
      <c r="K353" s="2" t="s">
        <v>16588</v>
      </c>
      <c r="L353" s="10" t="s">
        <v>16589</v>
      </c>
    </row>
    <row r="354">
      <c r="A354" s="2" t="s">
        <v>4385</v>
      </c>
      <c r="B354" s="2" t="s">
        <v>16590</v>
      </c>
      <c r="C354" s="2">
        <v>2.2811711627E10</v>
      </c>
      <c r="D354" s="2" t="s">
        <v>16591</v>
      </c>
      <c r="E354" s="2">
        <v>377690.0</v>
      </c>
      <c r="F354" s="2">
        <v>509.0</v>
      </c>
      <c r="G354" s="2">
        <v>4911.0</v>
      </c>
      <c r="H354" s="2" t="s">
        <v>5905</v>
      </c>
      <c r="I354" s="2" t="s">
        <v>5905</v>
      </c>
      <c r="J354" s="2" t="s">
        <v>6124</v>
      </c>
      <c r="K354" s="2" t="s">
        <v>16592</v>
      </c>
    </row>
    <row r="355">
      <c r="A355" s="2" t="s">
        <v>4385</v>
      </c>
      <c r="B355" s="2" t="s">
        <v>16593</v>
      </c>
      <c r="C355" s="2">
        <v>5.0654318806E10</v>
      </c>
      <c r="D355" s="2" t="s">
        <v>16594</v>
      </c>
      <c r="E355" s="2">
        <v>675491.0</v>
      </c>
      <c r="F355" s="2">
        <v>44.0</v>
      </c>
      <c r="G355" s="2">
        <v>955.0</v>
      </c>
      <c r="H355" s="2" t="s">
        <v>5905</v>
      </c>
      <c r="I355" s="2" t="s">
        <v>5905</v>
      </c>
      <c r="J355" s="2" t="s">
        <v>5928</v>
      </c>
      <c r="K355" s="2" t="s">
        <v>16595</v>
      </c>
      <c r="L355" s="10" t="s">
        <v>16596</v>
      </c>
    </row>
    <row r="356">
      <c r="A356" s="2" t="s">
        <v>4385</v>
      </c>
      <c r="B356" s="2" t="s">
        <v>16597</v>
      </c>
      <c r="C356" s="2">
        <v>5.3665400797E10</v>
      </c>
      <c r="D356" s="2" t="s">
        <v>16598</v>
      </c>
      <c r="E356" s="2">
        <v>502783.0</v>
      </c>
      <c r="F356" s="2">
        <v>41.0</v>
      </c>
      <c r="G356" s="2">
        <v>1001.0</v>
      </c>
      <c r="H356" s="2" t="s">
        <v>5905</v>
      </c>
      <c r="I356" s="2" t="s">
        <v>5905</v>
      </c>
      <c r="J356" s="2" t="s">
        <v>5993</v>
      </c>
      <c r="K356" s="2" t="s">
        <v>16599</v>
      </c>
      <c r="L356" s="10" t="s">
        <v>16596</v>
      </c>
    </row>
    <row r="357">
      <c r="A357" s="2" t="s">
        <v>4385</v>
      </c>
      <c r="B357" s="2" t="s">
        <v>16600</v>
      </c>
      <c r="C357" s="2">
        <v>5.3623230257E10</v>
      </c>
      <c r="D357" s="2" t="s">
        <v>16601</v>
      </c>
      <c r="E357" s="2">
        <v>354609.0</v>
      </c>
      <c r="F357" s="2">
        <v>7.0</v>
      </c>
      <c r="G357" s="2">
        <v>1148.0</v>
      </c>
      <c r="H357" s="2" t="s">
        <v>5905</v>
      </c>
      <c r="I357" s="2" t="s">
        <v>5905</v>
      </c>
      <c r="J357" s="2" t="s">
        <v>5993</v>
      </c>
      <c r="K357" s="2" t="s">
        <v>16602</v>
      </c>
    </row>
    <row r="358">
      <c r="A358" s="2" t="s">
        <v>4385</v>
      </c>
      <c r="B358" s="2" t="s">
        <v>16603</v>
      </c>
      <c r="C358" s="2">
        <v>8.930687286E9</v>
      </c>
      <c r="D358" s="2" t="s">
        <v>16604</v>
      </c>
      <c r="E358" s="2">
        <v>155191.0</v>
      </c>
      <c r="F358" s="2">
        <v>2593.0</v>
      </c>
      <c r="G358" s="2">
        <v>85.0</v>
      </c>
      <c r="H358" s="2" t="s">
        <v>5905</v>
      </c>
      <c r="I358" s="2" t="s">
        <v>5905</v>
      </c>
      <c r="J358" s="2" t="s">
        <v>5993</v>
      </c>
      <c r="K358" s="2" t="s">
        <v>16605</v>
      </c>
      <c r="L358" s="10" t="s">
        <v>16606</v>
      </c>
    </row>
    <row r="359">
      <c r="A359" s="2" t="s">
        <v>4385</v>
      </c>
      <c r="B359" s="2" t="s">
        <v>16607</v>
      </c>
      <c r="C359" s="2">
        <v>5.3981446E7</v>
      </c>
      <c r="D359" s="2" t="s">
        <v>16608</v>
      </c>
      <c r="E359" s="2">
        <v>74391.0</v>
      </c>
      <c r="F359" s="2">
        <v>963.0</v>
      </c>
      <c r="G359" s="2">
        <v>257.0</v>
      </c>
      <c r="H359" s="2" t="s">
        <v>5906</v>
      </c>
      <c r="I359" s="2" t="s">
        <v>5905</v>
      </c>
      <c r="J359" s="2" t="s">
        <v>5993</v>
      </c>
      <c r="K359" s="2" t="s">
        <v>16609</v>
      </c>
      <c r="L359" s="10" t="s">
        <v>16610</v>
      </c>
    </row>
    <row r="360">
      <c r="A360" s="2" t="s">
        <v>4385</v>
      </c>
      <c r="B360" s="2" t="s">
        <v>16611</v>
      </c>
      <c r="C360" s="2">
        <v>6.7606730102E10</v>
      </c>
      <c r="D360" s="2" t="s">
        <v>16612</v>
      </c>
      <c r="E360" s="2">
        <v>20830.0</v>
      </c>
      <c r="F360" s="2">
        <v>0.0</v>
      </c>
      <c r="G360" s="2">
        <v>122.0</v>
      </c>
      <c r="H360" s="2" t="s">
        <v>5905</v>
      </c>
      <c r="I360" s="2" t="s">
        <v>5905</v>
      </c>
      <c r="J360" s="2" t="s">
        <v>5928</v>
      </c>
      <c r="K360" s="2" t="s">
        <v>16613</v>
      </c>
    </row>
    <row r="361">
      <c r="A361" s="2" t="s">
        <v>4385</v>
      </c>
      <c r="B361" s="2" t="s">
        <v>4385</v>
      </c>
      <c r="C361" s="2">
        <v>5.886350594E9</v>
      </c>
      <c r="D361" s="2" t="s">
        <v>16614</v>
      </c>
      <c r="E361" s="2">
        <v>210980.0</v>
      </c>
      <c r="F361" s="2">
        <v>1.0</v>
      </c>
      <c r="G361" s="2">
        <v>940.0</v>
      </c>
      <c r="H361" s="2" t="s">
        <v>5905</v>
      </c>
      <c r="I361" s="2" t="s">
        <v>5905</v>
      </c>
      <c r="K361" s="2" t="s">
        <v>16615</v>
      </c>
      <c r="L361" s="10" t="s">
        <v>16616</v>
      </c>
    </row>
    <row r="362">
      <c r="A362" s="2" t="s">
        <v>4385</v>
      </c>
      <c r="B362" s="2" t="s">
        <v>16617</v>
      </c>
      <c r="C362" s="2">
        <v>6.005363676E9</v>
      </c>
      <c r="D362" s="2" t="s">
        <v>16618</v>
      </c>
      <c r="E362" s="2">
        <v>281554.0</v>
      </c>
      <c r="F362" s="2">
        <v>3066.0</v>
      </c>
      <c r="G362" s="2">
        <v>1048.0</v>
      </c>
      <c r="H362" s="2" t="s">
        <v>5905</v>
      </c>
      <c r="I362" s="2" t="s">
        <v>5905</v>
      </c>
      <c r="J362" s="2" t="s">
        <v>6002</v>
      </c>
      <c r="K362" s="2" t="s">
        <v>16619</v>
      </c>
      <c r="L362" s="10" t="s">
        <v>16620</v>
      </c>
    </row>
    <row r="363">
      <c r="A363" s="2" t="s">
        <v>4385</v>
      </c>
      <c r="B363" s="2" t="s">
        <v>16621</v>
      </c>
      <c r="C363" s="2">
        <v>1.4684699E7</v>
      </c>
      <c r="D363" s="2" t="s">
        <v>16622</v>
      </c>
      <c r="E363" s="2">
        <v>54088.0</v>
      </c>
      <c r="F363" s="2">
        <v>1955.0</v>
      </c>
      <c r="G363" s="2">
        <v>1569.0</v>
      </c>
      <c r="H363" s="2" t="s">
        <v>5906</v>
      </c>
      <c r="I363" s="2" t="s">
        <v>5905</v>
      </c>
      <c r="J363" s="2" t="s">
        <v>5993</v>
      </c>
      <c r="K363" s="2" t="s">
        <v>16623</v>
      </c>
      <c r="L363" s="10" t="s">
        <v>16624</v>
      </c>
    </row>
    <row r="364">
      <c r="A364" s="2" t="s">
        <v>4385</v>
      </c>
      <c r="B364" s="2" t="s">
        <v>16625</v>
      </c>
      <c r="C364" s="2">
        <v>3.006281612E9</v>
      </c>
      <c r="D364" s="2" t="s">
        <v>16626</v>
      </c>
      <c r="E364" s="2">
        <v>542054.0</v>
      </c>
      <c r="F364" s="2">
        <v>886.0</v>
      </c>
      <c r="G364" s="2">
        <v>242.0</v>
      </c>
      <c r="H364" s="2" t="s">
        <v>5906</v>
      </c>
      <c r="I364" s="2" t="s">
        <v>5905</v>
      </c>
      <c r="J364" s="2" t="s">
        <v>6414</v>
      </c>
      <c r="K364" s="2" t="s">
        <v>16627</v>
      </c>
      <c r="L364" s="10" t="s">
        <v>16628</v>
      </c>
    </row>
    <row r="365">
      <c r="A365" s="2" t="s">
        <v>4385</v>
      </c>
      <c r="B365" s="2" t="s">
        <v>16629</v>
      </c>
      <c r="C365" s="2">
        <v>5.3092396383E10</v>
      </c>
      <c r="D365" s="2" t="s">
        <v>16630</v>
      </c>
      <c r="E365" s="2">
        <v>80253.0</v>
      </c>
      <c r="F365" s="2">
        <v>942.0</v>
      </c>
      <c r="G365" s="2">
        <v>716.0</v>
      </c>
      <c r="H365" s="2" t="s">
        <v>5905</v>
      </c>
      <c r="I365" s="2" t="s">
        <v>5905</v>
      </c>
      <c r="J365" s="2" t="s">
        <v>16631</v>
      </c>
      <c r="K365" s="2" t="s">
        <v>16632</v>
      </c>
      <c r="L365" s="10" t="s">
        <v>16633</v>
      </c>
    </row>
    <row r="366">
      <c r="A366" s="2" t="s">
        <v>4385</v>
      </c>
      <c r="B366" s="2" t="s">
        <v>16634</v>
      </c>
      <c r="C366" s="2">
        <v>1.3202625222E10</v>
      </c>
      <c r="D366" s="2" t="s">
        <v>16635</v>
      </c>
      <c r="E366" s="2">
        <v>757248.0</v>
      </c>
      <c r="F366" s="2">
        <v>1906.0</v>
      </c>
      <c r="G366" s="2">
        <v>478.0</v>
      </c>
      <c r="H366" s="2" t="s">
        <v>5906</v>
      </c>
      <c r="I366" s="2" t="s">
        <v>5905</v>
      </c>
      <c r="J366" s="2" t="s">
        <v>5993</v>
      </c>
      <c r="K366" s="2" t="s">
        <v>16636</v>
      </c>
      <c r="L366" s="10" t="s">
        <v>16637</v>
      </c>
    </row>
    <row r="367">
      <c r="A367" s="2" t="s">
        <v>4380</v>
      </c>
      <c r="B367" s="2" t="s">
        <v>16638</v>
      </c>
      <c r="C367" s="2">
        <v>6.20688599E9</v>
      </c>
      <c r="D367" s="2" t="s">
        <v>16639</v>
      </c>
      <c r="E367" s="2">
        <v>11379.0</v>
      </c>
      <c r="F367" s="2">
        <v>869.0</v>
      </c>
      <c r="G367" s="2">
        <v>1016.0</v>
      </c>
      <c r="H367" s="2" t="s">
        <v>5905</v>
      </c>
      <c r="I367" s="2" t="s">
        <v>5906</v>
      </c>
      <c r="J367" s="2" t="s">
        <v>7414</v>
      </c>
      <c r="K367" s="2" t="s">
        <v>16640</v>
      </c>
      <c r="L367" s="10" t="s">
        <v>16641</v>
      </c>
    </row>
    <row r="368">
      <c r="A368" s="2" t="s">
        <v>4380</v>
      </c>
      <c r="B368" s="2" t="s">
        <v>16642</v>
      </c>
      <c r="C368" s="2">
        <v>4.78077528E8</v>
      </c>
      <c r="D368" s="2" t="s">
        <v>16643</v>
      </c>
      <c r="E368" s="2">
        <v>255346.0</v>
      </c>
      <c r="F368" s="2">
        <v>1047.0</v>
      </c>
      <c r="G368" s="2">
        <v>2435.0</v>
      </c>
      <c r="H368" s="2" t="s">
        <v>5906</v>
      </c>
      <c r="I368" s="2" t="s">
        <v>5906</v>
      </c>
      <c r="J368" s="2" t="s">
        <v>7140</v>
      </c>
      <c r="K368" s="2" t="s">
        <v>16644</v>
      </c>
      <c r="L368" s="10" t="s">
        <v>16645</v>
      </c>
    </row>
    <row r="369">
      <c r="A369" s="2" t="s">
        <v>4380</v>
      </c>
      <c r="B369" s="2" t="s">
        <v>16646</v>
      </c>
      <c r="C369" s="2">
        <v>3.11250112E8</v>
      </c>
      <c r="D369" s="2" t="s">
        <v>16647</v>
      </c>
      <c r="E369" s="2">
        <v>86228.0</v>
      </c>
      <c r="F369" s="2">
        <v>304.0</v>
      </c>
      <c r="G369" s="2">
        <v>2059.0</v>
      </c>
      <c r="H369" s="2" t="s">
        <v>5906</v>
      </c>
      <c r="I369" s="2" t="s">
        <v>5906</v>
      </c>
      <c r="J369" s="2" t="s">
        <v>5391</v>
      </c>
      <c r="K369" s="2" t="s">
        <v>16648</v>
      </c>
      <c r="L369" s="10" t="s">
        <v>16649</v>
      </c>
    </row>
    <row r="370">
      <c r="A370" s="2" t="s">
        <v>4380</v>
      </c>
      <c r="B370" s="2" t="s">
        <v>16650</v>
      </c>
      <c r="C370" s="2">
        <v>2.547361187E9</v>
      </c>
      <c r="D370" s="2" t="s">
        <v>16651</v>
      </c>
      <c r="E370" s="2">
        <v>18357.0</v>
      </c>
      <c r="F370" s="2">
        <v>526.0</v>
      </c>
      <c r="G370" s="2">
        <v>487.0</v>
      </c>
      <c r="H370" s="2" t="s">
        <v>5906</v>
      </c>
      <c r="I370" s="2" t="s">
        <v>5906</v>
      </c>
      <c r="K370" s="2" t="s">
        <v>16652</v>
      </c>
      <c r="L370" s="10" t="s">
        <v>16653</v>
      </c>
    </row>
    <row r="371">
      <c r="A371" s="2" t="s">
        <v>4380</v>
      </c>
      <c r="B371" s="2" t="s">
        <v>4380</v>
      </c>
      <c r="C371" s="2">
        <v>2.254438496E9</v>
      </c>
      <c r="D371" s="2" t="s">
        <v>16654</v>
      </c>
      <c r="E371" s="2">
        <v>224009.0</v>
      </c>
      <c r="F371" s="2">
        <v>544.0</v>
      </c>
      <c r="G371" s="2">
        <v>3120.0</v>
      </c>
      <c r="H371" s="2" t="s">
        <v>5906</v>
      </c>
      <c r="I371" s="2" t="s">
        <v>5906</v>
      </c>
      <c r="K371" s="2" t="s">
        <v>16655</v>
      </c>
      <c r="L371" s="10" t="s">
        <v>16656</v>
      </c>
    </row>
    <row r="372">
      <c r="A372" s="2" t="s">
        <v>4380</v>
      </c>
      <c r="B372" s="2" t="s">
        <v>16657</v>
      </c>
      <c r="C372" s="2">
        <v>2.9362625089E10</v>
      </c>
      <c r="D372" s="2" t="s">
        <v>16658</v>
      </c>
      <c r="E372" s="2">
        <v>386613.0</v>
      </c>
      <c r="F372" s="2">
        <v>316.0</v>
      </c>
      <c r="G372" s="2">
        <v>829.0</v>
      </c>
      <c r="H372" s="2" t="s">
        <v>5905</v>
      </c>
      <c r="I372" s="2" t="s">
        <v>5905</v>
      </c>
      <c r="J372" s="2" t="s">
        <v>15000</v>
      </c>
      <c r="K372" s="2" t="s">
        <v>16659</v>
      </c>
      <c r="L372" s="10" t="s">
        <v>16660</v>
      </c>
    </row>
    <row r="373">
      <c r="A373" s="2" t="s">
        <v>4380</v>
      </c>
      <c r="B373" s="2" t="s">
        <v>16661</v>
      </c>
      <c r="C373" s="2">
        <v>3.9285986458E10</v>
      </c>
      <c r="D373" s="2" t="s">
        <v>16662</v>
      </c>
      <c r="E373" s="2">
        <v>300389.0</v>
      </c>
      <c r="F373" s="2">
        <v>586.0</v>
      </c>
      <c r="G373" s="2">
        <v>853.0</v>
      </c>
      <c r="H373" s="2" t="s">
        <v>5906</v>
      </c>
      <c r="I373" s="2" t="s">
        <v>5905</v>
      </c>
      <c r="J373" s="2" t="s">
        <v>5959</v>
      </c>
      <c r="K373" s="2" t="s">
        <v>16663</v>
      </c>
      <c r="L373" s="10" t="s">
        <v>16664</v>
      </c>
    </row>
    <row r="374">
      <c r="A374" s="2" t="s">
        <v>4380</v>
      </c>
      <c r="B374" s="2" t="s">
        <v>16665</v>
      </c>
      <c r="C374" s="2">
        <v>5.814573595E9</v>
      </c>
      <c r="D374" s="2" t="s">
        <v>16666</v>
      </c>
      <c r="E374" s="2">
        <v>136889.0</v>
      </c>
      <c r="F374" s="2">
        <v>1931.0</v>
      </c>
      <c r="G374" s="2">
        <v>1102.0</v>
      </c>
      <c r="H374" s="2" t="s">
        <v>5905</v>
      </c>
      <c r="I374" s="2" t="s">
        <v>5905</v>
      </c>
      <c r="J374" s="2" t="s">
        <v>5391</v>
      </c>
      <c r="K374" s="2" t="s">
        <v>16667</v>
      </c>
      <c r="L374" s="10" t="s">
        <v>16668</v>
      </c>
    </row>
    <row r="375">
      <c r="A375" s="2" t="s">
        <v>4380</v>
      </c>
      <c r="B375" s="2" t="s">
        <v>16669</v>
      </c>
      <c r="C375" s="2">
        <v>6.6413442218E10</v>
      </c>
      <c r="D375" s="12" t="s">
        <v>16670</v>
      </c>
      <c r="E375" s="2">
        <v>75591.0</v>
      </c>
      <c r="F375" s="2">
        <v>29.0</v>
      </c>
      <c r="G375" s="2">
        <v>214.0</v>
      </c>
      <c r="H375" s="2" t="s">
        <v>5905</v>
      </c>
      <c r="I375" s="2" t="s">
        <v>5906</v>
      </c>
      <c r="J375" s="2" t="s">
        <v>7140</v>
      </c>
      <c r="K375" s="12" t="s">
        <v>16671</v>
      </c>
    </row>
    <row r="376">
      <c r="A376" s="2" t="s">
        <v>4380</v>
      </c>
      <c r="B376" s="2" t="s">
        <v>16672</v>
      </c>
      <c r="C376" s="2">
        <v>3.225730085E9</v>
      </c>
      <c r="D376" s="2" t="s">
        <v>16673</v>
      </c>
      <c r="E376" s="2">
        <v>26139.0</v>
      </c>
      <c r="F376" s="2">
        <v>1480.0</v>
      </c>
      <c r="G376" s="2">
        <v>4745.0</v>
      </c>
      <c r="H376" s="2" t="s">
        <v>5905</v>
      </c>
      <c r="I376" s="2" t="s">
        <v>5906</v>
      </c>
      <c r="K376" s="2" t="s">
        <v>16674</v>
      </c>
      <c r="L376" s="10" t="s">
        <v>16675</v>
      </c>
    </row>
    <row r="377">
      <c r="A377" s="2" t="s">
        <v>4380</v>
      </c>
      <c r="B377" s="2" t="s">
        <v>16676</v>
      </c>
      <c r="C377" s="2">
        <v>1.302110511E9</v>
      </c>
      <c r="D377" s="2" t="s">
        <v>16677</v>
      </c>
      <c r="E377" s="2">
        <v>163022.0</v>
      </c>
      <c r="F377" s="2">
        <v>1124.0</v>
      </c>
      <c r="G377" s="2">
        <v>1256.0</v>
      </c>
      <c r="H377" s="2" t="s">
        <v>5906</v>
      </c>
      <c r="I377" s="2" t="s">
        <v>5905</v>
      </c>
      <c r="J377" s="2" t="s">
        <v>7140</v>
      </c>
      <c r="K377" s="2" t="s">
        <v>16678</v>
      </c>
      <c r="L377" s="10" t="s">
        <v>16679</v>
      </c>
    </row>
    <row r="378">
      <c r="A378" s="2" t="s">
        <v>4380</v>
      </c>
      <c r="B378" s="2" t="s">
        <v>16680</v>
      </c>
      <c r="C378" s="2">
        <v>2.370264014E9</v>
      </c>
      <c r="D378" s="2" t="s">
        <v>16681</v>
      </c>
      <c r="E378" s="2">
        <v>1339517.0</v>
      </c>
      <c r="F378" s="2">
        <v>95.0</v>
      </c>
      <c r="G378" s="2">
        <v>579.0</v>
      </c>
      <c r="H378" s="2" t="s">
        <v>5906</v>
      </c>
      <c r="I378" s="2" t="s">
        <v>5905</v>
      </c>
      <c r="J378" s="2" t="s">
        <v>5492</v>
      </c>
      <c r="K378" s="2" t="s">
        <v>16682</v>
      </c>
    </row>
    <row r="379">
      <c r="A379" s="2" t="s">
        <v>4380</v>
      </c>
      <c r="B379" s="2" t="s">
        <v>16683</v>
      </c>
      <c r="C379" s="2">
        <v>3.505806472E9</v>
      </c>
      <c r="D379" s="2" t="s">
        <v>16684</v>
      </c>
      <c r="E379" s="2">
        <v>263725.0</v>
      </c>
      <c r="F379" s="2">
        <v>69.0</v>
      </c>
      <c r="G379" s="2">
        <v>1595.0</v>
      </c>
      <c r="H379" s="2" t="s">
        <v>5905</v>
      </c>
      <c r="I379" s="2" t="s">
        <v>5906</v>
      </c>
      <c r="J379" s="2" t="s">
        <v>7140</v>
      </c>
      <c r="K379" s="2" t="s">
        <v>16685</v>
      </c>
      <c r="L379" s="10" t="s">
        <v>16686</v>
      </c>
    </row>
    <row r="380">
      <c r="A380" s="2" t="s">
        <v>4401</v>
      </c>
      <c r="B380" s="2" t="s">
        <v>16687</v>
      </c>
      <c r="C380" s="2">
        <v>1.601919285E9</v>
      </c>
      <c r="D380" s="2" t="s">
        <v>16688</v>
      </c>
      <c r="E380" s="2">
        <v>887826.0</v>
      </c>
      <c r="F380" s="2">
        <v>667.0</v>
      </c>
      <c r="G380" s="2">
        <v>3925.0</v>
      </c>
      <c r="H380" s="2" t="s">
        <v>5906</v>
      </c>
      <c r="I380" s="2" t="s">
        <v>5906</v>
      </c>
      <c r="K380" s="2" t="s">
        <v>16689</v>
      </c>
      <c r="L380" s="10" t="s">
        <v>16690</v>
      </c>
    </row>
    <row r="381">
      <c r="A381" s="2" t="s">
        <v>4401</v>
      </c>
      <c r="B381" s="2" t="s">
        <v>16691</v>
      </c>
      <c r="C381" s="2">
        <v>5.9188848326E10</v>
      </c>
      <c r="D381" s="2" t="s">
        <v>16692</v>
      </c>
      <c r="E381" s="2">
        <v>67911.0</v>
      </c>
      <c r="F381" s="2">
        <v>38.0</v>
      </c>
      <c r="G381" s="2">
        <v>211.0</v>
      </c>
      <c r="H381" s="2" t="s">
        <v>5905</v>
      </c>
      <c r="I381" s="2" t="s">
        <v>5905</v>
      </c>
      <c r="J381" s="2" t="s">
        <v>6111</v>
      </c>
      <c r="K381" s="2" t="s">
        <v>16693</v>
      </c>
      <c r="L381" s="10" t="s">
        <v>16694</v>
      </c>
    </row>
    <row r="382">
      <c r="A382" s="2" t="s">
        <v>4401</v>
      </c>
      <c r="B382" s="2" t="s">
        <v>16695</v>
      </c>
      <c r="C382" s="2">
        <v>2.5983413917E10</v>
      </c>
      <c r="D382" s="2" t="s">
        <v>16696</v>
      </c>
      <c r="E382" s="2">
        <v>92278.0</v>
      </c>
      <c r="F382" s="2">
        <v>857.0</v>
      </c>
      <c r="G382" s="2">
        <v>2566.0</v>
      </c>
      <c r="H382" s="2" t="s">
        <v>5906</v>
      </c>
      <c r="I382" s="2" t="s">
        <v>5905</v>
      </c>
      <c r="J382" s="2" t="s">
        <v>6745</v>
      </c>
      <c r="K382" s="2" t="s">
        <v>16697</v>
      </c>
      <c r="L382" s="10" t="s">
        <v>16698</v>
      </c>
    </row>
    <row r="383">
      <c r="A383" s="2" t="s">
        <v>4401</v>
      </c>
      <c r="B383" s="2" t="s">
        <v>16699</v>
      </c>
      <c r="C383" s="2">
        <v>1.3058133265E10</v>
      </c>
      <c r="D383" s="2" t="s">
        <v>16700</v>
      </c>
      <c r="E383" s="2">
        <v>231069.0</v>
      </c>
      <c r="F383" s="2">
        <v>301.0</v>
      </c>
      <c r="G383" s="2">
        <v>643.0</v>
      </c>
      <c r="H383" s="2" t="s">
        <v>5906</v>
      </c>
      <c r="I383" s="2" t="s">
        <v>5906</v>
      </c>
      <c r="J383" s="2" t="s">
        <v>5480</v>
      </c>
      <c r="K383" s="2" t="s">
        <v>16701</v>
      </c>
    </row>
    <row r="384">
      <c r="A384" s="2" t="s">
        <v>4401</v>
      </c>
      <c r="B384" s="2" t="s">
        <v>16702</v>
      </c>
      <c r="C384" s="2">
        <v>1.341450602E9</v>
      </c>
      <c r="D384" s="12" t="s">
        <v>16703</v>
      </c>
      <c r="E384" s="2">
        <v>297605.0</v>
      </c>
      <c r="F384" s="2">
        <v>87.0</v>
      </c>
      <c r="G384" s="2">
        <v>2024.0</v>
      </c>
      <c r="H384" s="2" t="s">
        <v>5905</v>
      </c>
      <c r="I384" s="2" t="s">
        <v>5905</v>
      </c>
      <c r="J384" s="2" t="s">
        <v>5993</v>
      </c>
      <c r="K384" s="12" t="s">
        <v>16704</v>
      </c>
      <c r="L384" s="10" t="s">
        <v>16705</v>
      </c>
    </row>
    <row r="385">
      <c r="A385" s="2" t="s">
        <v>4401</v>
      </c>
      <c r="B385" s="2" t="s">
        <v>16706</v>
      </c>
      <c r="C385" s="2">
        <v>4.470576596E10</v>
      </c>
      <c r="D385" s="2" t="s">
        <v>16707</v>
      </c>
      <c r="E385" s="2">
        <v>12041.0</v>
      </c>
      <c r="F385" s="2">
        <v>2.0</v>
      </c>
      <c r="G385" s="2">
        <v>237.0</v>
      </c>
      <c r="H385" s="2" t="s">
        <v>5905</v>
      </c>
      <c r="I385" s="2" t="s">
        <v>5906</v>
      </c>
      <c r="J385" s="2" t="s">
        <v>5959</v>
      </c>
      <c r="K385" s="2" t="s">
        <v>16708</v>
      </c>
      <c r="L385" s="10" t="s">
        <v>16709</v>
      </c>
    </row>
    <row r="386">
      <c r="A386" s="2" t="s">
        <v>4401</v>
      </c>
      <c r="B386" s="2" t="s">
        <v>16710</v>
      </c>
      <c r="C386" s="2">
        <v>4.84700223E8</v>
      </c>
      <c r="D386" s="2" t="s">
        <v>16711</v>
      </c>
      <c r="E386" s="2">
        <v>57886.0</v>
      </c>
      <c r="F386" s="2">
        <v>3.0</v>
      </c>
      <c r="G386" s="2">
        <v>1743.0</v>
      </c>
      <c r="H386" s="2" t="s">
        <v>5906</v>
      </c>
      <c r="I386" s="2" t="s">
        <v>5906</v>
      </c>
      <c r="J386" s="2" t="s">
        <v>5963</v>
      </c>
      <c r="K386" s="2" t="s">
        <v>16712</v>
      </c>
      <c r="L386" s="10" t="s">
        <v>16713</v>
      </c>
    </row>
    <row r="387">
      <c r="A387" s="2" t="s">
        <v>4401</v>
      </c>
      <c r="B387" s="2" t="s">
        <v>16714</v>
      </c>
      <c r="C387" s="2">
        <v>3.2719329497E10</v>
      </c>
      <c r="E387" s="2">
        <v>344870.0</v>
      </c>
      <c r="F387" s="2">
        <v>2.0</v>
      </c>
      <c r="G387" s="2">
        <v>572.0</v>
      </c>
      <c r="H387" s="2" t="s">
        <v>5905</v>
      </c>
      <c r="I387" s="2" t="s">
        <v>5905</v>
      </c>
      <c r="J387" s="2" t="s">
        <v>5561</v>
      </c>
      <c r="K387" s="2" t="s">
        <v>16715</v>
      </c>
      <c r="L387" s="10" t="s">
        <v>16716</v>
      </c>
    </row>
    <row r="388">
      <c r="A388" s="2" t="s">
        <v>4401</v>
      </c>
      <c r="B388" s="2" t="s">
        <v>16717</v>
      </c>
      <c r="C388" s="2">
        <v>2.41598015E8</v>
      </c>
      <c r="D388" s="2" t="s">
        <v>16718</v>
      </c>
      <c r="E388" s="2">
        <v>33514.0</v>
      </c>
      <c r="F388" s="2">
        <v>3324.0</v>
      </c>
      <c r="G388" s="2">
        <v>6584.0</v>
      </c>
      <c r="H388" s="2" t="s">
        <v>5906</v>
      </c>
      <c r="I388" s="2" t="s">
        <v>5906</v>
      </c>
      <c r="J388" s="2" t="s">
        <v>10219</v>
      </c>
      <c r="K388" s="2" t="s">
        <v>16719</v>
      </c>
      <c r="L388" s="10" t="s">
        <v>16720</v>
      </c>
    </row>
    <row r="389">
      <c r="A389" s="2" t="s">
        <v>4401</v>
      </c>
      <c r="B389" s="2" t="s">
        <v>16721</v>
      </c>
      <c r="C389" s="2">
        <v>5.856631471E9</v>
      </c>
      <c r="D389" s="2" t="s">
        <v>16722</v>
      </c>
      <c r="E389" s="2">
        <v>541278.0</v>
      </c>
      <c r="F389" s="2">
        <v>205.0</v>
      </c>
      <c r="G389" s="2">
        <v>2154.0</v>
      </c>
      <c r="H389" s="2" t="s">
        <v>5905</v>
      </c>
      <c r="I389" s="2" t="s">
        <v>5905</v>
      </c>
      <c r="J389" s="2" t="s">
        <v>10219</v>
      </c>
      <c r="K389" s="2" t="s">
        <v>16723</v>
      </c>
    </row>
    <row r="390">
      <c r="A390" s="2" t="s">
        <v>4401</v>
      </c>
      <c r="B390" s="2" t="s">
        <v>16724</v>
      </c>
      <c r="C390" s="2">
        <v>2.5285323109E10</v>
      </c>
      <c r="D390" s="2" t="s">
        <v>16725</v>
      </c>
      <c r="E390" s="2">
        <v>105680.0</v>
      </c>
      <c r="F390" s="2">
        <v>140.0</v>
      </c>
      <c r="G390" s="2">
        <v>1474.0</v>
      </c>
      <c r="H390" s="2" t="s">
        <v>5905</v>
      </c>
      <c r="I390" s="2" t="s">
        <v>5906</v>
      </c>
      <c r="J390" s="2" t="s">
        <v>5968</v>
      </c>
      <c r="K390" s="2" t="s">
        <v>16726</v>
      </c>
      <c r="L390" s="10" t="s">
        <v>16727</v>
      </c>
    </row>
    <row r="391">
      <c r="A391" s="2" t="s">
        <v>4401</v>
      </c>
      <c r="B391" s="2" t="s">
        <v>16728</v>
      </c>
      <c r="C391" s="2">
        <v>6.6015128957E10</v>
      </c>
      <c r="D391" s="2" t="s">
        <v>16729</v>
      </c>
      <c r="E391" s="2">
        <v>28008.0</v>
      </c>
      <c r="F391" s="2">
        <v>0.0</v>
      </c>
      <c r="G391" s="2">
        <v>1924.0</v>
      </c>
      <c r="H391" s="2" t="s">
        <v>5905</v>
      </c>
      <c r="I391" s="2" t="s">
        <v>5905</v>
      </c>
      <c r="J391" s="2" t="s">
        <v>5561</v>
      </c>
      <c r="K391" s="2" t="s">
        <v>16730</v>
      </c>
      <c r="L391" s="10" t="s">
        <v>16731</v>
      </c>
    </row>
    <row r="392">
      <c r="A392" s="2" t="s">
        <v>4401</v>
      </c>
      <c r="B392" s="2" t="s">
        <v>16732</v>
      </c>
      <c r="C392" s="2">
        <v>7.4914354485E10</v>
      </c>
      <c r="D392" s="2" t="s">
        <v>16707</v>
      </c>
      <c r="E392" s="2">
        <v>14831.0</v>
      </c>
      <c r="F392" s="2">
        <v>0.0</v>
      </c>
      <c r="G392" s="2">
        <v>36.0</v>
      </c>
      <c r="H392" s="2" t="s">
        <v>5905</v>
      </c>
      <c r="I392" s="2" t="s">
        <v>5905</v>
      </c>
      <c r="J392" s="2" t="s">
        <v>5928</v>
      </c>
      <c r="K392" s="2" t="s">
        <v>16733</v>
      </c>
    </row>
    <row r="393">
      <c r="A393" s="2" t="s">
        <v>4401</v>
      </c>
      <c r="B393" s="2" t="s">
        <v>16734</v>
      </c>
      <c r="C393" s="2">
        <v>6.5634575657E10</v>
      </c>
      <c r="D393" s="2" t="s">
        <v>16729</v>
      </c>
      <c r="E393" s="2">
        <v>47340.0</v>
      </c>
      <c r="F393" s="2">
        <v>0.0</v>
      </c>
      <c r="G393" s="2">
        <v>1211.0</v>
      </c>
      <c r="H393" s="2" t="s">
        <v>5905</v>
      </c>
      <c r="I393" s="2" t="s">
        <v>5905</v>
      </c>
      <c r="J393" s="2" t="s">
        <v>5561</v>
      </c>
      <c r="K393" s="2" t="s">
        <v>16735</v>
      </c>
      <c r="L393" s="10" t="s">
        <v>16736</v>
      </c>
    </row>
    <row r="394">
      <c r="A394" s="2" t="s">
        <v>4401</v>
      </c>
      <c r="B394" s="2" t="s">
        <v>16737</v>
      </c>
      <c r="C394" s="2">
        <v>6.2929780625E10</v>
      </c>
      <c r="D394" s="2" t="s">
        <v>16729</v>
      </c>
      <c r="E394" s="2">
        <v>123287.0</v>
      </c>
      <c r="F394" s="2">
        <v>0.0</v>
      </c>
      <c r="G394" s="2">
        <v>36.0</v>
      </c>
      <c r="H394" s="2" t="s">
        <v>5905</v>
      </c>
      <c r="I394" s="2" t="s">
        <v>5905</v>
      </c>
      <c r="J394" s="2" t="s">
        <v>5561</v>
      </c>
      <c r="K394" s="2" t="s">
        <v>16738</v>
      </c>
      <c r="L394" s="10" t="s">
        <v>16739</v>
      </c>
    </row>
    <row r="395">
      <c r="A395" s="2" t="s">
        <v>4401</v>
      </c>
      <c r="B395" s="2" t="s">
        <v>16740</v>
      </c>
      <c r="C395" s="2">
        <v>1.531090105E9</v>
      </c>
      <c r="D395" s="2" t="s">
        <v>16729</v>
      </c>
      <c r="E395" s="2">
        <v>796775.0</v>
      </c>
      <c r="F395" s="2">
        <v>92.0</v>
      </c>
      <c r="G395" s="2">
        <v>3136.0</v>
      </c>
      <c r="H395" s="2" t="s">
        <v>5905</v>
      </c>
      <c r="I395" s="2" t="s">
        <v>5906</v>
      </c>
      <c r="K395" s="2" t="s">
        <v>16741</v>
      </c>
    </row>
    <row r="396">
      <c r="A396" s="2" t="s">
        <v>618</v>
      </c>
      <c r="B396" s="2" t="s">
        <v>16742</v>
      </c>
      <c r="C396" s="2">
        <v>7.8434791E9</v>
      </c>
      <c r="D396" s="2" t="s">
        <v>16743</v>
      </c>
      <c r="E396" s="2">
        <v>34725.0</v>
      </c>
      <c r="F396" s="2">
        <v>3756.0</v>
      </c>
      <c r="G396" s="2">
        <v>1084.0</v>
      </c>
      <c r="H396" s="2" t="s">
        <v>5905</v>
      </c>
      <c r="I396" s="2" t="s">
        <v>5906</v>
      </c>
      <c r="J396" s="2" t="s">
        <v>5911</v>
      </c>
      <c r="K396" s="2" t="s">
        <v>16744</v>
      </c>
      <c r="L396" s="10" t="s">
        <v>16745</v>
      </c>
    </row>
    <row r="397">
      <c r="A397" s="2" t="s">
        <v>618</v>
      </c>
      <c r="B397" s="2" t="s">
        <v>618</v>
      </c>
      <c r="C397" s="2">
        <v>1.741451943E9</v>
      </c>
      <c r="D397" s="10" t="s">
        <v>16746</v>
      </c>
      <c r="E397" s="2">
        <v>11997.0</v>
      </c>
      <c r="F397" s="2">
        <v>820.0</v>
      </c>
      <c r="G397" s="2">
        <v>394.0</v>
      </c>
      <c r="H397" s="2" t="s">
        <v>5905</v>
      </c>
      <c r="I397" s="2" t="s">
        <v>5906</v>
      </c>
      <c r="K397" s="2" t="s">
        <v>16747</v>
      </c>
      <c r="L397" s="10" t="s">
        <v>16748</v>
      </c>
    </row>
    <row r="398">
      <c r="A398" s="2" t="s">
        <v>618</v>
      </c>
      <c r="B398" s="2" t="s">
        <v>16749</v>
      </c>
      <c r="C398" s="2">
        <v>4.6380028879E10</v>
      </c>
      <c r="D398" s="2" t="s">
        <v>16750</v>
      </c>
      <c r="E398" s="2">
        <v>50001.0</v>
      </c>
      <c r="F398" s="2">
        <v>0.0</v>
      </c>
      <c r="G398" s="2">
        <v>75.0</v>
      </c>
      <c r="H398" s="2" t="s">
        <v>5905</v>
      </c>
      <c r="I398" s="2" t="s">
        <v>5906</v>
      </c>
      <c r="J398" s="2" t="s">
        <v>5518</v>
      </c>
      <c r="K398" s="2" t="s">
        <v>16751</v>
      </c>
      <c r="L398" s="10" t="s">
        <v>16752</v>
      </c>
    </row>
    <row r="399">
      <c r="A399" s="2" t="s">
        <v>618</v>
      </c>
      <c r="B399" s="10" t="s">
        <v>16753</v>
      </c>
      <c r="C399" s="2">
        <v>3.2485964366E10</v>
      </c>
      <c r="D399" s="2" t="s">
        <v>16754</v>
      </c>
      <c r="E399" s="2">
        <v>51251.0</v>
      </c>
      <c r="F399" s="2">
        <v>2427.0</v>
      </c>
      <c r="G399" s="2">
        <v>1800.0</v>
      </c>
      <c r="H399" s="2" t="s">
        <v>5905</v>
      </c>
      <c r="I399" s="2" t="s">
        <v>5906</v>
      </c>
      <c r="J399" s="2" t="s">
        <v>5907</v>
      </c>
      <c r="K399" s="2" t="s">
        <v>16755</v>
      </c>
      <c r="L399" s="10" t="s">
        <v>16756</v>
      </c>
    </row>
    <row r="400">
      <c r="A400" s="2" t="s">
        <v>618</v>
      </c>
      <c r="B400" s="2" t="s">
        <v>16757</v>
      </c>
      <c r="C400" s="2">
        <v>3.246570316E9</v>
      </c>
      <c r="D400" s="2" t="s">
        <v>16758</v>
      </c>
      <c r="E400" s="2">
        <v>307898.0</v>
      </c>
      <c r="F400" s="2">
        <v>7.0</v>
      </c>
      <c r="G400" s="2">
        <v>1045.0</v>
      </c>
      <c r="H400" s="2" t="s">
        <v>5905</v>
      </c>
      <c r="I400" s="2" t="s">
        <v>5906</v>
      </c>
      <c r="J400" s="2" t="s">
        <v>5907</v>
      </c>
      <c r="K400" s="2" t="s">
        <v>16759</v>
      </c>
      <c r="L400" s="10" t="s">
        <v>16760</v>
      </c>
    </row>
    <row r="401">
      <c r="A401" s="2" t="s">
        <v>618</v>
      </c>
      <c r="B401" s="2" t="s">
        <v>16761</v>
      </c>
      <c r="C401" s="2">
        <v>5.7178762526E10</v>
      </c>
      <c r="D401" s="2" t="s">
        <v>16762</v>
      </c>
      <c r="E401" s="2">
        <v>208154.0</v>
      </c>
      <c r="F401" s="2">
        <v>170.0</v>
      </c>
      <c r="G401" s="2">
        <v>3565.0</v>
      </c>
      <c r="H401" s="2" t="s">
        <v>5905</v>
      </c>
      <c r="I401" s="2" t="s">
        <v>5905</v>
      </c>
      <c r="J401" s="2" t="s">
        <v>5959</v>
      </c>
      <c r="K401" s="2" t="s">
        <v>16763</v>
      </c>
    </row>
    <row r="402">
      <c r="A402" s="2" t="s">
        <v>618</v>
      </c>
      <c r="B402" s="2" t="s">
        <v>16764</v>
      </c>
      <c r="C402" s="2">
        <v>6.0726118487E10</v>
      </c>
      <c r="D402" s="2" t="s">
        <v>16765</v>
      </c>
      <c r="E402" s="2">
        <v>286249.0</v>
      </c>
      <c r="F402" s="2">
        <v>106.0</v>
      </c>
      <c r="G402" s="2">
        <v>1563.0</v>
      </c>
      <c r="H402" s="2" t="s">
        <v>5905</v>
      </c>
      <c r="I402" s="2" t="s">
        <v>5905</v>
      </c>
      <c r="J402" s="2" t="s">
        <v>5911</v>
      </c>
      <c r="K402" s="2" t="s">
        <v>16766</v>
      </c>
    </row>
    <row r="403">
      <c r="A403" s="2" t="s">
        <v>4406</v>
      </c>
      <c r="B403" s="2" t="s">
        <v>16767</v>
      </c>
      <c r="C403" s="2">
        <v>3.44623343E8</v>
      </c>
      <c r="D403" s="2" t="s">
        <v>16768</v>
      </c>
      <c r="E403" s="2">
        <v>117194.0</v>
      </c>
      <c r="F403" s="2">
        <v>226.0</v>
      </c>
      <c r="G403" s="2">
        <v>4008.0</v>
      </c>
      <c r="H403" s="2" t="s">
        <v>5905</v>
      </c>
      <c r="I403" s="2" t="s">
        <v>5906</v>
      </c>
      <c r="K403" s="2" t="s">
        <v>16769</v>
      </c>
      <c r="L403" s="10" t="s">
        <v>16770</v>
      </c>
    </row>
    <row r="404">
      <c r="A404" s="2" t="s">
        <v>4406</v>
      </c>
      <c r="B404" s="2" t="s">
        <v>16771</v>
      </c>
      <c r="C404" s="2">
        <v>4.4290015E7</v>
      </c>
      <c r="D404" s="2" t="s">
        <v>16772</v>
      </c>
      <c r="E404" s="2">
        <v>337502.0</v>
      </c>
      <c r="F404" s="2">
        <v>2645.0</v>
      </c>
      <c r="G404" s="2">
        <v>15119.0</v>
      </c>
      <c r="H404" s="2" t="s">
        <v>5905</v>
      </c>
      <c r="I404" s="2" t="s">
        <v>5906</v>
      </c>
      <c r="J404" s="2" t="s">
        <v>16773</v>
      </c>
      <c r="K404" s="2" t="s">
        <v>16774</v>
      </c>
      <c r="L404" s="10" t="s">
        <v>16775</v>
      </c>
    </row>
    <row r="405">
      <c r="A405" s="2" t="s">
        <v>4406</v>
      </c>
      <c r="B405" s="2" t="s">
        <v>16776</v>
      </c>
      <c r="C405" s="2">
        <v>4.349691784E9</v>
      </c>
      <c r="D405" s="2" t="s">
        <v>16777</v>
      </c>
      <c r="E405" s="2">
        <v>2919689.0</v>
      </c>
      <c r="F405" s="2">
        <v>1296.0</v>
      </c>
      <c r="G405" s="2">
        <v>990.0</v>
      </c>
      <c r="H405" s="2" t="s">
        <v>5906</v>
      </c>
      <c r="I405" s="2" t="s">
        <v>5905</v>
      </c>
      <c r="J405" s="2" t="s">
        <v>5993</v>
      </c>
      <c r="K405" s="2" t="s">
        <v>16778</v>
      </c>
      <c r="L405" s="10" t="s">
        <v>16779</v>
      </c>
    </row>
    <row r="406">
      <c r="A406" s="2" t="s">
        <v>4406</v>
      </c>
      <c r="B406" s="2" t="s">
        <v>16780</v>
      </c>
      <c r="C406" s="2">
        <v>4698006.0</v>
      </c>
      <c r="E406" s="2">
        <v>207920.0</v>
      </c>
      <c r="F406" s="2">
        <v>904.0</v>
      </c>
      <c r="G406" s="2">
        <v>8680.0</v>
      </c>
      <c r="H406" s="2" t="s">
        <v>5905</v>
      </c>
      <c r="I406" s="2" t="s">
        <v>5905</v>
      </c>
      <c r="J406" s="2" t="s">
        <v>7620</v>
      </c>
    </row>
    <row r="407">
      <c r="A407" s="2" t="s">
        <v>4406</v>
      </c>
      <c r="B407" s="2" t="s">
        <v>16781</v>
      </c>
      <c r="C407" s="2">
        <v>1.0262245982E10</v>
      </c>
      <c r="D407" s="2" t="s">
        <v>16782</v>
      </c>
      <c r="E407" s="2">
        <v>26753.0</v>
      </c>
      <c r="F407" s="2">
        <v>1397.0</v>
      </c>
      <c r="G407" s="2">
        <v>467.0</v>
      </c>
      <c r="H407" s="2" t="s">
        <v>5905</v>
      </c>
      <c r="I407" s="2" t="s">
        <v>5905</v>
      </c>
      <c r="K407" s="2" t="s">
        <v>16783</v>
      </c>
    </row>
    <row r="408">
      <c r="A408" s="2" t="s">
        <v>4406</v>
      </c>
      <c r="B408" s="2" t="s">
        <v>16784</v>
      </c>
      <c r="C408" s="2">
        <v>4.90757708E8</v>
      </c>
      <c r="D408" s="2" t="s">
        <v>16785</v>
      </c>
      <c r="E408" s="2">
        <v>1.6332234E7</v>
      </c>
      <c r="F408" s="2">
        <v>758.0</v>
      </c>
      <c r="G408" s="2">
        <v>8245.0</v>
      </c>
      <c r="H408" s="2" t="s">
        <v>5906</v>
      </c>
      <c r="I408" s="2" t="s">
        <v>5905</v>
      </c>
      <c r="J408" s="2" t="s">
        <v>10630</v>
      </c>
      <c r="K408" s="2" t="s">
        <v>16786</v>
      </c>
    </row>
    <row r="409">
      <c r="A409" s="2" t="s">
        <v>4406</v>
      </c>
      <c r="B409" s="2" t="s">
        <v>16787</v>
      </c>
      <c r="C409" s="2">
        <v>1.0429274E7</v>
      </c>
      <c r="D409" s="2" t="s">
        <v>16788</v>
      </c>
      <c r="E409" s="2">
        <v>622676.0</v>
      </c>
      <c r="F409" s="2">
        <v>667.0</v>
      </c>
      <c r="G409" s="2">
        <v>5985.0</v>
      </c>
      <c r="H409" s="2" t="s">
        <v>5905</v>
      </c>
      <c r="I409" s="2" t="s">
        <v>5906</v>
      </c>
      <c r="J409" s="2" t="s">
        <v>16238</v>
      </c>
      <c r="K409" s="2" t="s">
        <v>16789</v>
      </c>
      <c r="L409" s="10" t="s">
        <v>16790</v>
      </c>
    </row>
    <row r="410">
      <c r="A410" s="2" t="s">
        <v>4406</v>
      </c>
      <c r="B410" s="2" t="s">
        <v>16791</v>
      </c>
      <c r="C410" s="2">
        <v>2.9498462E7</v>
      </c>
      <c r="D410" s="2" t="s">
        <v>16792</v>
      </c>
      <c r="E410" s="2">
        <v>95672.0</v>
      </c>
      <c r="F410" s="2">
        <v>7469.0</v>
      </c>
      <c r="G410" s="2">
        <v>23801.0</v>
      </c>
      <c r="H410" s="2" t="s">
        <v>5905</v>
      </c>
      <c r="I410" s="2" t="s">
        <v>5905</v>
      </c>
      <c r="J410" s="2" t="s">
        <v>5968</v>
      </c>
      <c r="L410" s="10" t="s">
        <v>16793</v>
      </c>
    </row>
    <row r="411">
      <c r="A411" s="2" t="s">
        <v>4406</v>
      </c>
      <c r="B411" s="2" t="s">
        <v>16794</v>
      </c>
      <c r="C411" s="2">
        <v>1.305186621E9</v>
      </c>
      <c r="D411" s="2" t="s">
        <v>16795</v>
      </c>
      <c r="E411" s="2">
        <v>4863864.0</v>
      </c>
      <c r="F411" s="2">
        <v>1009.0</v>
      </c>
      <c r="G411" s="2">
        <v>8754.0</v>
      </c>
      <c r="H411" s="2" t="s">
        <v>5905</v>
      </c>
      <c r="I411" s="2" t="s">
        <v>5905</v>
      </c>
      <c r="J411" s="2" t="s">
        <v>5928</v>
      </c>
      <c r="K411" s="2" t="s">
        <v>16796</v>
      </c>
      <c r="L411" s="10" t="s">
        <v>16797</v>
      </c>
    </row>
    <row r="412">
      <c r="A412" s="2" t="s">
        <v>4368</v>
      </c>
      <c r="B412" s="2" t="s">
        <v>16798</v>
      </c>
      <c r="C412" s="2">
        <v>2.9825461E7</v>
      </c>
      <c r="D412" s="2" t="s">
        <v>16799</v>
      </c>
      <c r="E412" s="2">
        <v>84478.0</v>
      </c>
      <c r="F412" s="2">
        <v>3038.0</v>
      </c>
      <c r="G412" s="2">
        <v>6004.0</v>
      </c>
      <c r="H412" s="2" t="s">
        <v>5905</v>
      </c>
      <c r="I412" s="2" t="s">
        <v>5906</v>
      </c>
      <c r="J412" s="2" t="s">
        <v>12715</v>
      </c>
      <c r="K412" s="2" t="s">
        <v>16800</v>
      </c>
      <c r="L412" s="10" t="s">
        <v>16801</v>
      </c>
    </row>
    <row r="413">
      <c r="A413" s="2" t="s">
        <v>4368</v>
      </c>
      <c r="B413" s="2" t="s">
        <v>16802</v>
      </c>
      <c r="C413" s="2">
        <v>3.7251163393E10</v>
      </c>
      <c r="D413" s="2" t="s">
        <v>4368</v>
      </c>
      <c r="E413" s="2">
        <v>42364.0</v>
      </c>
      <c r="F413" s="2">
        <v>44.0</v>
      </c>
      <c r="G413" s="2">
        <v>643.0</v>
      </c>
      <c r="H413" s="2" t="s">
        <v>5905</v>
      </c>
      <c r="I413" s="2" t="s">
        <v>5906</v>
      </c>
      <c r="J413" s="2" t="s">
        <v>16803</v>
      </c>
      <c r="K413" s="2" t="s">
        <v>16804</v>
      </c>
      <c r="L413" s="10" t="s">
        <v>16805</v>
      </c>
    </row>
    <row r="414">
      <c r="A414" s="2" t="s">
        <v>4368</v>
      </c>
      <c r="B414" s="2" t="s">
        <v>16806</v>
      </c>
      <c r="C414" s="2">
        <v>5.3234174149E10</v>
      </c>
      <c r="D414" s="2" t="s">
        <v>16807</v>
      </c>
      <c r="E414" s="2">
        <v>16193.0</v>
      </c>
      <c r="F414" s="2">
        <v>44.0</v>
      </c>
      <c r="G414" s="2">
        <v>385.0</v>
      </c>
      <c r="H414" s="2" t="s">
        <v>5905</v>
      </c>
      <c r="I414" s="2" t="s">
        <v>5905</v>
      </c>
      <c r="J414" s="2" t="s">
        <v>5492</v>
      </c>
      <c r="K414" s="2" t="s">
        <v>16808</v>
      </c>
      <c r="L414" s="10" t="s">
        <v>16809</v>
      </c>
    </row>
    <row r="415">
      <c r="A415" s="2" t="s">
        <v>4368</v>
      </c>
      <c r="B415" s="2" t="s">
        <v>16810</v>
      </c>
      <c r="C415" s="2">
        <v>7.573763904E9</v>
      </c>
      <c r="D415" s="2" t="s">
        <v>16811</v>
      </c>
      <c r="E415" s="2">
        <v>11507.0</v>
      </c>
      <c r="F415" s="2">
        <v>0.0</v>
      </c>
      <c r="G415" s="2">
        <v>68.0</v>
      </c>
      <c r="H415" s="2" t="s">
        <v>5905</v>
      </c>
      <c r="I415" s="2" t="s">
        <v>5906</v>
      </c>
      <c r="J415" s="2" t="s">
        <v>5391</v>
      </c>
      <c r="K415" s="2" t="s">
        <v>16812</v>
      </c>
    </row>
    <row r="416">
      <c r="A416" s="2" t="s">
        <v>4368</v>
      </c>
      <c r="B416" s="2" t="s">
        <v>16813</v>
      </c>
      <c r="C416" s="2">
        <v>2.504541145E9</v>
      </c>
      <c r="D416" s="2" t="s">
        <v>16814</v>
      </c>
      <c r="E416" s="2">
        <v>11998.0</v>
      </c>
      <c r="F416" s="2">
        <v>232.0</v>
      </c>
      <c r="G416" s="2">
        <v>1895.0</v>
      </c>
      <c r="H416" s="2" t="s">
        <v>5905</v>
      </c>
      <c r="I416" s="2" t="s">
        <v>5906</v>
      </c>
      <c r="J416" s="2" t="s">
        <v>6559</v>
      </c>
      <c r="K416" s="2" t="s">
        <v>16815</v>
      </c>
      <c r="L416" s="10" t="s">
        <v>16816</v>
      </c>
    </row>
    <row r="417">
      <c r="A417" s="2" t="s">
        <v>4368</v>
      </c>
      <c r="B417" s="2" t="s">
        <v>16817</v>
      </c>
      <c r="C417" s="2">
        <v>1.97471257E9</v>
      </c>
      <c r="D417" s="2" t="s">
        <v>16818</v>
      </c>
      <c r="E417" s="2">
        <v>845243.0</v>
      </c>
      <c r="F417" s="2">
        <v>10.0</v>
      </c>
      <c r="G417" s="2">
        <v>2491.0</v>
      </c>
      <c r="H417" s="2" t="s">
        <v>5905</v>
      </c>
      <c r="I417" s="2" t="s">
        <v>5905</v>
      </c>
      <c r="J417" s="2" t="s">
        <v>16494</v>
      </c>
      <c r="K417" s="2" t="s">
        <v>16819</v>
      </c>
      <c r="L417" s="10" t="s">
        <v>16820</v>
      </c>
    </row>
    <row r="418">
      <c r="A418" s="2" t="s">
        <v>4368</v>
      </c>
      <c r="B418" s="2" t="s">
        <v>16821</v>
      </c>
      <c r="C418" s="2">
        <v>6.1618257916E10</v>
      </c>
      <c r="D418" s="2" t="s">
        <v>16822</v>
      </c>
      <c r="E418" s="2">
        <v>1861541.0</v>
      </c>
      <c r="F418" s="2">
        <v>0.0</v>
      </c>
      <c r="G418" s="2">
        <v>475.0</v>
      </c>
      <c r="H418" s="2" t="s">
        <v>5906</v>
      </c>
      <c r="I418" s="2" t="s">
        <v>5905</v>
      </c>
      <c r="J418" s="2" t="s">
        <v>5928</v>
      </c>
      <c r="K418" s="2" t="s">
        <v>16823</v>
      </c>
    </row>
    <row r="419">
      <c r="A419" s="2" t="s">
        <v>4368</v>
      </c>
      <c r="B419" s="2" t="s">
        <v>16824</v>
      </c>
      <c r="C419" s="2">
        <v>6.13415084E10</v>
      </c>
      <c r="D419" s="2" t="s">
        <v>16825</v>
      </c>
      <c r="E419" s="2">
        <v>19632.0</v>
      </c>
      <c r="F419" s="2">
        <v>25.0</v>
      </c>
      <c r="G419" s="2">
        <v>41.0</v>
      </c>
      <c r="H419" s="2" t="s">
        <v>5905</v>
      </c>
      <c r="I419" s="2" t="s">
        <v>5905</v>
      </c>
      <c r="J419" s="2" t="s">
        <v>5928</v>
      </c>
      <c r="K419" s="2" t="s">
        <v>16826</v>
      </c>
      <c r="L419" s="10" t="s">
        <v>16827</v>
      </c>
    </row>
    <row r="420">
      <c r="A420" s="2" t="s">
        <v>4368</v>
      </c>
      <c r="B420" s="2" t="s">
        <v>16828</v>
      </c>
      <c r="C420" s="2">
        <v>4.5399694339E10</v>
      </c>
      <c r="D420" s="2" t="s">
        <v>4368</v>
      </c>
      <c r="E420" s="2">
        <v>70144.0</v>
      </c>
      <c r="F420" s="2">
        <v>88.0</v>
      </c>
      <c r="G420" s="2">
        <v>222.0</v>
      </c>
      <c r="H420" s="2" t="s">
        <v>5906</v>
      </c>
      <c r="I420" s="2" t="s">
        <v>5906</v>
      </c>
      <c r="J420" s="2" t="s">
        <v>16829</v>
      </c>
      <c r="K420" s="2" t="s">
        <v>16830</v>
      </c>
      <c r="L420" s="10" t="s">
        <v>16831</v>
      </c>
    </row>
    <row r="421">
      <c r="A421" s="2" t="s">
        <v>4368</v>
      </c>
      <c r="B421" s="2" t="s">
        <v>16832</v>
      </c>
      <c r="C421" s="2">
        <v>1.526093386E9</v>
      </c>
      <c r="D421" s="2" t="s">
        <v>16833</v>
      </c>
      <c r="E421" s="2">
        <v>81261.0</v>
      </c>
      <c r="F421" s="2">
        <v>3.0</v>
      </c>
      <c r="G421" s="2">
        <v>732.0</v>
      </c>
      <c r="H421" s="2" t="s">
        <v>5905</v>
      </c>
      <c r="I421" s="2" t="s">
        <v>5905</v>
      </c>
      <c r="J421" s="2" t="s">
        <v>16834</v>
      </c>
      <c r="K421" s="2" t="s">
        <v>16835</v>
      </c>
      <c r="L421" s="10" t="s">
        <v>16836</v>
      </c>
    </row>
    <row r="422">
      <c r="A422" s="2" t="s">
        <v>4368</v>
      </c>
      <c r="B422" s="2" t="s">
        <v>16837</v>
      </c>
      <c r="C422" s="2">
        <v>5.3193206521E10</v>
      </c>
      <c r="D422" s="2" t="s">
        <v>16838</v>
      </c>
      <c r="E422" s="2">
        <v>13496.0</v>
      </c>
      <c r="F422" s="2">
        <v>1.0</v>
      </c>
      <c r="G422" s="2">
        <v>35.0</v>
      </c>
      <c r="H422" s="2" t="s">
        <v>5905</v>
      </c>
      <c r="I422" s="2" t="s">
        <v>5906</v>
      </c>
      <c r="J422" s="2" t="s">
        <v>7414</v>
      </c>
      <c r="K422" s="2" t="s">
        <v>16839</v>
      </c>
    </row>
    <row r="423">
      <c r="A423" s="2" t="s">
        <v>4378</v>
      </c>
      <c r="B423" s="2" t="s">
        <v>16840</v>
      </c>
      <c r="C423" s="2">
        <v>5.952779616E9</v>
      </c>
      <c r="D423" s="2" t="s">
        <v>16841</v>
      </c>
      <c r="E423" s="2">
        <v>741680.0</v>
      </c>
      <c r="F423" s="2">
        <v>4081.0</v>
      </c>
      <c r="G423" s="2">
        <v>5353.0</v>
      </c>
      <c r="H423" s="2" t="s">
        <v>5905</v>
      </c>
      <c r="I423" s="2" t="s">
        <v>5905</v>
      </c>
      <c r="J423" s="2" t="s">
        <v>5959</v>
      </c>
      <c r="K423" s="2" t="s">
        <v>16842</v>
      </c>
      <c r="L423" s="10" t="s">
        <v>16843</v>
      </c>
    </row>
    <row r="424">
      <c r="A424" s="2" t="s">
        <v>4378</v>
      </c>
      <c r="B424" s="2" t="s">
        <v>16844</v>
      </c>
      <c r="C424" s="2">
        <v>2.2394497E7</v>
      </c>
      <c r="D424" s="2" t="s">
        <v>16845</v>
      </c>
      <c r="E424" s="2">
        <v>546091.0</v>
      </c>
      <c r="F424" s="2">
        <v>441.0</v>
      </c>
      <c r="G424" s="2">
        <v>2955.0</v>
      </c>
      <c r="H424" s="2" t="s">
        <v>5905</v>
      </c>
      <c r="I424" s="2" t="s">
        <v>5905</v>
      </c>
      <c r="J424" s="2" t="s">
        <v>5993</v>
      </c>
      <c r="K424" s="2" t="s">
        <v>16846</v>
      </c>
    </row>
    <row r="425">
      <c r="A425" s="2" t="s">
        <v>4378</v>
      </c>
      <c r="B425" s="2" t="s">
        <v>16847</v>
      </c>
      <c r="C425" s="2">
        <v>4.646713398E9</v>
      </c>
      <c r="D425" s="2" t="s">
        <v>16848</v>
      </c>
      <c r="E425" s="2">
        <v>1368777.0</v>
      </c>
      <c r="F425" s="2">
        <v>253.0</v>
      </c>
      <c r="G425" s="2">
        <v>6737.0</v>
      </c>
      <c r="H425" s="2" t="s">
        <v>5905</v>
      </c>
      <c r="I425" s="2" t="s">
        <v>5905</v>
      </c>
      <c r="J425" s="2" t="s">
        <v>6393</v>
      </c>
      <c r="K425" s="2" t="s">
        <v>16849</v>
      </c>
      <c r="L425" s="10" t="s">
        <v>16850</v>
      </c>
    </row>
    <row r="426">
      <c r="A426" s="2" t="s">
        <v>4378</v>
      </c>
      <c r="B426" s="2" t="s">
        <v>16851</v>
      </c>
      <c r="C426" s="2">
        <v>2.4434875899E10</v>
      </c>
      <c r="D426" s="2" t="s">
        <v>16852</v>
      </c>
      <c r="E426" s="2">
        <v>98409.0</v>
      </c>
      <c r="F426" s="2">
        <v>70.0</v>
      </c>
      <c r="G426" s="2">
        <v>1607.0</v>
      </c>
      <c r="H426" s="2" t="s">
        <v>5905</v>
      </c>
      <c r="I426" s="2" t="s">
        <v>5905</v>
      </c>
      <c r="J426" s="2" t="s">
        <v>5959</v>
      </c>
      <c r="K426" s="2" t="s">
        <v>16853</v>
      </c>
      <c r="L426" s="10" t="s">
        <v>16854</v>
      </c>
    </row>
    <row r="427">
      <c r="A427" s="2" t="s">
        <v>4378</v>
      </c>
      <c r="B427" s="2" t="s">
        <v>16855</v>
      </c>
      <c r="C427" s="2">
        <v>6.62533346E9</v>
      </c>
      <c r="D427" s="2" t="s">
        <v>16856</v>
      </c>
      <c r="E427" s="2">
        <v>461082.0</v>
      </c>
      <c r="F427" s="2">
        <v>255.0</v>
      </c>
      <c r="G427" s="2">
        <v>1056.0</v>
      </c>
      <c r="H427" s="2" t="s">
        <v>5905</v>
      </c>
      <c r="I427" s="2" t="s">
        <v>5906</v>
      </c>
      <c r="J427" s="2" t="s">
        <v>5959</v>
      </c>
      <c r="K427" s="2" t="s">
        <v>16857</v>
      </c>
    </row>
    <row r="428">
      <c r="A428" s="2" t="s">
        <v>4378</v>
      </c>
      <c r="B428" s="2" t="s">
        <v>16858</v>
      </c>
      <c r="C428" s="2">
        <v>2.038106247E9</v>
      </c>
      <c r="D428" s="2" t="s">
        <v>16858</v>
      </c>
      <c r="E428" s="2">
        <v>1346367.0</v>
      </c>
      <c r="F428" s="2">
        <v>432.0</v>
      </c>
      <c r="G428" s="2">
        <v>19029.0</v>
      </c>
      <c r="H428" s="2" t="s">
        <v>5905</v>
      </c>
      <c r="I428" s="2" t="s">
        <v>5906</v>
      </c>
      <c r="J428" s="2" t="s">
        <v>5492</v>
      </c>
      <c r="K428" s="2" t="s">
        <v>16859</v>
      </c>
    </row>
    <row r="429">
      <c r="A429" s="2" t="s">
        <v>4378</v>
      </c>
      <c r="B429" s="2" t="s">
        <v>16860</v>
      </c>
      <c r="C429" s="2">
        <v>1.137551484E9</v>
      </c>
      <c r="D429" s="2" t="s">
        <v>16861</v>
      </c>
      <c r="E429" s="2">
        <v>13947.0</v>
      </c>
      <c r="F429" s="2">
        <v>4216.0</v>
      </c>
      <c r="G429" s="2">
        <v>11845.0</v>
      </c>
      <c r="H429" s="2" t="s">
        <v>5905</v>
      </c>
      <c r="I429" s="2" t="s">
        <v>5906</v>
      </c>
      <c r="K429" s="2" t="s">
        <v>16862</v>
      </c>
    </row>
    <row r="430">
      <c r="A430" s="2" t="s">
        <v>4378</v>
      </c>
      <c r="B430" s="2" t="s">
        <v>16863</v>
      </c>
      <c r="C430" s="2">
        <v>1.3142092785E10</v>
      </c>
      <c r="D430" s="2" t="s">
        <v>16864</v>
      </c>
      <c r="E430" s="2">
        <v>22287.0</v>
      </c>
      <c r="F430" s="2">
        <v>1.0</v>
      </c>
      <c r="G430" s="2">
        <v>3902.0</v>
      </c>
      <c r="H430" s="2" t="s">
        <v>5905</v>
      </c>
      <c r="I430" s="2" t="s">
        <v>5905</v>
      </c>
      <c r="J430" s="2" t="s">
        <v>6166</v>
      </c>
      <c r="K430" s="2" t="s">
        <v>16865</v>
      </c>
    </row>
    <row r="431">
      <c r="A431" s="2" t="s">
        <v>4378</v>
      </c>
      <c r="B431" s="2" t="s">
        <v>16866</v>
      </c>
      <c r="C431" s="2">
        <v>2.046219524E9</v>
      </c>
      <c r="D431" s="2" t="s">
        <v>16867</v>
      </c>
      <c r="E431" s="2">
        <v>590786.0</v>
      </c>
      <c r="F431" s="2">
        <v>108.0</v>
      </c>
      <c r="G431" s="2">
        <v>2785.0</v>
      </c>
      <c r="H431" s="2" t="s">
        <v>5905</v>
      </c>
      <c r="I431" s="2" t="s">
        <v>5906</v>
      </c>
      <c r="J431" s="2" t="s">
        <v>6166</v>
      </c>
      <c r="K431" s="12" t="s">
        <v>16868</v>
      </c>
      <c r="L431" s="10" t="s">
        <v>16869</v>
      </c>
    </row>
    <row r="432">
      <c r="A432" s="2" t="s">
        <v>4378</v>
      </c>
      <c r="B432" s="2" t="s">
        <v>16870</v>
      </c>
      <c r="C432" s="2">
        <v>3.4030620925E10</v>
      </c>
      <c r="D432" s="2" t="s">
        <v>16871</v>
      </c>
      <c r="E432" s="2">
        <v>20923.0</v>
      </c>
      <c r="F432" s="2">
        <v>125.0</v>
      </c>
      <c r="G432" s="2">
        <v>1414.0</v>
      </c>
      <c r="H432" s="2" t="s">
        <v>5906</v>
      </c>
      <c r="I432" s="2" t="s">
        <v>5905</v>
      </c>
      <c r="J432" s="2" t="s">
        <v>5959</v>
      </c>
      <c r="K432" s="2" t="s">
        <v>16872</v>
      </c>
    </row>
    <row r="433">
      <c r="A433" s="2" t="s">
        <v>4399</v>
      </c>
      <c r="B433" s="2" t="s">
        <v>16873</v>
      </c>
      <c r="C433" s="2">
        <v>7.122423301E9</v>
      </c>
      <c r="D433" s="2" t="s">
        <v>16874</v>
      </c>
      <c r="E433" s="2">
        <v>371344.0</v>
      </c>
      <c r="F433" s="2">
        <v>761.0</v>
      </c>
      <c r="G433" s="2">
        <v>7678.0</v>
      </c>
      <c r="H433" s="2" t="s">
        <v>5906</v>
      </c>
      <c r="I433" s="2" t="s">
        <v>5906</v>
      </c>
      <c r="J433" s="2" t="s">
        <v>4397</v>
      </c>
      <c r="K433" s="2" t="s">
        <v>16875</v>
      </c>
      <c r="L433" s="10" t="s">
        <v>16876</v>
      </c>
    </row>
    <row r="434">
      <c r="A434" s="2" t="s">
        <v>4399</v>
      </c>
      <c r="B434" s="2" t="s">
        <v>16877</v>
      </c>
      <c r="C434" s="2">
        <v>1.4228976176E10</v>
      </c>
      <c r="D434" s="2" t="s">
        <v>16878</v>
      </c>
      <c r="E434" s="2">
        <v>26254.0</v>
      </c>
      <c r="F434" s="2">
        <v>3.0</v>
      </c>
      <c r="G434" s="2">
        <v>693.0</v>
      </c>
      <c r="H434" s="2" t="s">
        <v>5905</v>
      </c>
      <c r="I434" s="2" t="s">
        <v>5906</v>
      </c>
      <c r="J434" s="2" t="s">
        <v>4397</v>
      </c>
      <c r="K434" s="2" t="s">
        <v>16879</v>
      </c>
      <c r="L434" s="10" t="s">
        <v>16880</v>
      </c>
    </row>
    <row r="435">
      <c r="A435" s="2" t="s">
        <v>4399</v>
      </c>
      <c r="B435" s="2" t="s">
        <v>16881</v>
      </c>
      <c r="C435" s="2">
        <v>2.67719023E8</v>
      </c>
      <c r="D435" s="2" t="s">
        <v>16882</v>
      </c>
      <c r="E435" s="2">
        <v>985314.0</v>
      </c>
      <c r="F435" s="2">
        <v>528.0</v>
      </c>
      <c r="G435" s="2">
        <v>12386.0</v>
      </c>
      <c r="H435" s="2" t="s">
        <v>5906</v>
      </c>
      <c r="I435" s="2" t="s">
        <v>5906</v>
      </c>
      <c r="J435" s="2" t="s">
        <v>5959</v>
      </c>
      <c r="K435" s="2" t="s">
        <v>16883</v>
      </c>
      <c r="L435" s="10" t="s">
        <v>16884</v>
      </c>
    </row>
    <row r="436">
      <c r="A436" s="2" t="s">
        <v>4399</v>
      </c>
      <c r="B436" s="2" t="s">
        <v>16885</v>
      </c>
      <c r="C436" s="2">
        <v>2.6180343728E10</v>
      </c>
      <c r="D436" s="12" t="s">
        <v>16886</v>
      </c>
      <c r="E436" s="2">
        <v>12365.0</v>
      </c>
      <c r="F436" s="2">
        <v>3973.0</v>
      </c>
      <c r="G436" s="2">
        <v>2288.0</v>
      </c>
      <c r="H436" s="2" t="s">
        <v>5905</v>
      </c>
      <c r="I436" s="2" t="s">
        <v>5906</v>
      </c>
      <c r="J436" s="2" t="s">
        <v>5963</v>
      </c>
      <c r="K436" s="12" t="s">
        <v>16887</v>
      </c>
    </row>
    <row r="437">
      <c r="A437" s="2" t="s">
        <v>4399</v>
      </c>
      <c r="B437" s="2" t="s">
        <v>16888</v>
      </c>
      <c r="C437" s="2">
        <v>6.21689062E8</v>
      </c>
      <c r="D437" s="2" t="s">
        <v>16889</v>
      </c>
      <c r="E437" s="2">
        <v>1086636.0</v>
      </c>
      <c r="F437" s="2">
        <v>3351.0</v>
      </c>
      <c r="G437" s="2">
        <v>7374.0</v>
      </c>
      <c r="H437" s="2" t="s">
        <v>5905</v>
      </c>
      <c r="I437" s="2" t="s">
        <v>5905</v>
      </c>
      <c r="J437" s="2" t="s">
        <v>4397</v>
      </c>
      <c r="K437" s="2" t="s">
        <v>16890</v>
      </c>
      <c r="L437" s="10" t="s">
        <v>16891</v>
      </c>
    </row>
    <row r="438">
      <c r="A438" s="2" t="s">
        <v>4399</v>
      </c>
      <c r="B438" s="2" t="s">
        <v>16892</v>
      </c>
      <c r="C438" s="2">
        <v>1.680570162E9</v>
      </c>
      <c r="D438" s="2" t="s">
        <v>16893</v>
      </c>
      <c r="E438" s="2">
        <v>126232.0</v>
      </c>
      <c r="F438" s="2">
        <v>276.0</v>
      </c>
      <c r="G438" s="2">
        <v>4490.0</v>
      </c>
      <c r="H438" s="2" t="s">
        <v>5906</v>
      </c>
      <c r="I438" s="2" t="s">
        <v>5906</v>
      </c>
      <c r="J438" s="2" t="s">
        <v>6393</v>
      </c>
      <c r="K438" s="2" t="s">
        <v>16894</v>
      </c>
    </row>
    <row r="439">
      <c r="A439" s="2" t="s">
        <v>4399</v>
      </c>
      <c r="B439" s="2" t="s">
        <v>16895</v>
      </c>
      <c r="C439" s="2">
        <v>1.974423608E9</v>
      </c>
      <c r="D439" s="2" t="s">
        <v>16896</v>
      </c>
      <c r="E439" s="2">
        <v>3935457.0</v>
      </c>
      <c r="F439" s="2">
        <v>434.0</v>
      </c>
      <c r="G439" s="2">
        <v>21729.0</v>
      </c>
      <c r="H439" s="2" t="s">
        <v>5906</v>
      </c>
      <c r="I439" s="2" t="s">
        <v>5906</v>
      </c>
      <c r="K439" s="2" t="s">
        <v>16897</v>
      </c>
      <c r="L439" s="10" t="s">
        <v>16898</v>
      </c>
    </row>
    <row r="440">
      <c r="A440" s="2" t="s">
        <v>4399</v>
      </c>
      <c r="B440" s="2" t="s">
        <v>16899</v>
      </c>
      <c r="C440" s="2">
        <v>3.32063926E8</v>
      </c>
      <c r="D440" s="2" t="s">
        <v>16900</v>
      </c>
      <c r="E440" s="2">
        <v>652607.0</v>
      </c>
      <c r="F440" s="2">
        <v>934.0</v>
      </c>
      <c r="G440" s="2">
        <v>2662.0</v>
      </c>
      <c r="H440" s="2" t="s">
        <v>5906</v>
      </c>
      <c r="I440" s="2" t="s">
        <v>5905</v>
      </c>
      <c r="J440" s="2" t="s">
        <v>10543</v>
      </c>
      <c r="K440" s="2" t="s">
        <v>16901</v>
      </c>
      <c r="L440" s="10" t="s">
        <v>16902</v>
      </c>
    </row>
    <row r="441">
      <c r="A441" s="2" t="s">
        <v>4399</v>
      </c>
      <c r="B441" s="2" t="s">
        <v>16903</v>
      </c>
      <c r="C441" s="2">
        <v>4.369687613E9</v>
      </c>
      <c r="D441" s="2" t="s">
        <v>16904</v>
      </c>
      <c r="E441" s="2">
        <v>363576.0</v>
      </c>
      <c r="F441" s="2">
        <v>156.0</v>
      </c>
      <c r="G441" s="2">
        <v>482.0</v>
      </c>
      <c r="H441" s="2" t="s">
        <v>5906</v>
      </c>
      <c r="I441" s="2" t="s">
        <v>5905</v>
      </c>
      <c r="J441" s="2" t="s">
        <v>9470</v>
      </c>
      <c r="K441" s="2" t="s">
        <v>16905</v>
      </c>
      <c r="L441" s="10" t="s">
        <v>16906</v>
      </c>
    </row>
    <row r="442">
      <c r="A442" s="2" t="s">
        <v>4399</v>
      </c>
      <c r="B442" s="2" t="s">
        <v>16907</v>
      </c>
      <c r="C442" s="2">
        <v>2.3600084E7</v>
      </c>
      <c r="D442" s="2" t="s">
        <v>16908</v>
      </c>
      <c r="E442" s="2">
        <v>714238.0</v>
      </c>
      <c r="F442" s="2">
        <v>410.0</v>
      </c>
      <c r="G442" s="2">
        <v>1913.0</v>
      </c>
      <c r="H442" s="2" t="s">
        <v>5906</v>
      </c>
      <c r="I442" s="2" t="s">
        <v>5906</v>
      </c>
      <c r="J442" s="2" t="s">
        <v>9470</v>
      </c>
      <c r="K442" s="2" t="s">
        <v>16909</v>
      </c>
      <c r="L442" s="10" t="s">
        <v>16910</v>
      </c>
    </row>
    <row r="443">
      <c r="A443" s="2" t="s">
        <v>4399</v>
      </c>
      <c r="B443" s="2" t="s">
        <v>16911</v>
      </c>
      <c r="C443" s="2">
        <v>2.346946227E9</v>
      </c>
      <c r="D443" s="2" t="s">
        <v>16912</v>
      </c>
      <c r="E443" s="2">
        <v>447509.0</v>
      </c>
      <c r="F443" s="2">
        <v>104.0</v>
      </c>
      <c r="G443" s="2">
        <v>263.0</v>
      </c>
      <c r="H443" s="2" t="s">
        <v>5906</v>
      </c>
      <c r="I443" s="2" t="s">
        <v>5906</v>
      </c>
      <c r="J443" s="2" t="s">
        <v>8144</v>
      </c>
      <c r="K443" s="2" t="s">
        <v>16913</v>
      </c>
    </row>
    <row r="444">
      <c r="A444" s="2" t="s">
        <v>4409</v>
      </c>
      <c r="B444" s="2" t="s">
        <v>16914</v>
      </c>
      <c r="C444" s="2">
        <v>4.7198687063E10</v>
      </c>
      <c r="D444" s="2" t="s">
        <v>16915</v>
      </c>
      <c r="E444" s="2">
        <v>2060365.0</v>
      </c>
      <c r="F444" s="2">
        <v>80.0</v>
      </c>
      <c r="G444" s="2">
        <v>991.0</v>
      </c>
      <c r="H444" s="2" t="s">
        <v>5906</v>
      </c>
      <c r="I444" s="2" t="s">
        <v>5906</v>
      </c>
      <c r="J444" s="2" t="s">
        <v>5391</v>
      </c>
      <c r="K444" s="2" t="s">
        <v>16916</v>
      </c>
      <c r="L444" s="10" t="s">
        <v>16917</v>
      </c>
    </row>
    <row r="445">
      <c r="A445" s="2" t="s">
        <v>4409</v>
      </c>
      <c r="B445" s="2" t="s">
        <v>16918</v>
      </c>
      <c r="C445" s="2">
        <v>6.1656409734E10</v>
      </c>
      <c r="D445" s="2" t="s">
        <v>16919</v>
      </c>
      <c r="E445" s="2">
        <v>11085.0</v>
      </c>
      <c r="F445" s="2">
        <v>84.0</v>
      </c>
      <c r="G445" s="2">
        <v>68.0</v>
      </c>
      <c r="H445" s="2" t="s">
        <v>5905</v>
      </c>
      <c r="I445" s="2" t="s">
        <v>5905</v>
      </c>
      <c r="J445" s="2" t="s">
        <v>12667</v>
      </c>
      <c r="K445" s="2" t="s">
        <v>16920</v>
      </c>
      <c r="L445" s="10" t="s">
        <v>16921</v>
      </c>
    </row>
    <row r="446">
      <c r="A446" s="2" t="s">
        <v>4409</v>
      </c>
      <c r="B446" s="2" t="s">
        <v>16922</v>
      </c>
      <c r="C446" s="2">
        <v>6.2972854288E10</v>
      </c>
      <c r="D446" s="2" t="s">
        <v>16923</v>
      </c>
      <c r="E446" s="2">
        <v>17409.0</v>
      </c>
      <c r="F446" s="2">
        <v>13.0</v>
      </c>
      <c r="G446" s="2">
        <v>355.0</v>
      </c>
      <c r="H446" s="2" t="s">
        <v>5905</v>
      </c>
      <c r="I446" s="2" t="s">
        <v>5905</v>
      </c>
      <c r="J446" s="2" t="s">
        <v>5928</v>
      </c>
      <c r="K446" s="2" t="s">
        <v>16924</v>
      </c>
    </row>
    <row r="447">
      <c r="A447" s="2" t="s">
        <v>4370</v>
      </c>
      <c r="B447" s="2" t="s">
        <v>16925</v>
      </c>
      <c r="C447" s="2">
        <v>5.475663847E9</v>
      </c>
      <c r="D447" s="2" t="s">
        <v>16926</v>
      </c>
      <c r="E447" s="2">
        <v>54771.0</v>
      </c>
      <c r="F447" s="2">
        <v>7476.0</v>
      </c>
      <c r="G447" s="2">
        <v>1112.0</v>
      </c>
      <c r="H447" s="2" t="s">
        <v>5906</v>
      </c>
      <c r="I447" s="2" t="s">
        <v>5905</v>
      </c>
      <c r="J447" s="2" t="s">
        <v>6393</v>
      </c>
      <c r="K447" s="2" t="s">
        <v>16927</v>
      </c>
      <c r="L447" s="10" t="s">
        <v>16928</v>
      </c>
    </row>
    <row r="448">
      <c r="A448" s="2" t="s">
        <v>4367</v>
      </c>
      <c r="B448" s="2" t="s">
        <v>16929</v>
      </c>
      <c r="C448" s="2">
        <v>4.871250396E9</v>
      </c>
      <c r="D448" s="2" t="s">
        <v>16930</v>
      </c>
      <c r="E448" s="2">
        <v>4958269.0</v>
      </c>
      <c r="F448" s="2">
        <v>414.0</v>
      </c>
      <c r="G448" s="2">
        <v>406.0</v>
      </c>
      <c r="H448" s="2" t="s">
        <v>5906</v>
      </c>
      <c r="I448" s="2" t="s">
        <v>5905</v>
      </c>
      <c r="J448" s="2" t="s">
        <v>5928</v>
      </c>
      <c r="K448" s="2" t="s">
        <v>16931</v>
      </c>
      <c r="L448" s="10" t="s">
        <v>16932</v>
      </c>
    </row>
    <row r="449">
      <c r="A449" s="2" t="s">
        <v>4367</v>
      </c>
      <c r="B449" s="2" t="s">
        <v>16933</v>
      </c>
      <c r="C449" s="2">
        <v>2.113357247E9</v>
      </c>
      <c r="D449" s="2" t="s">
        <v>16934</v>
      </c>
      <c r="E449" s="2">
        <v>1240968.0</v>
      </c>
      <c r="F449" s="2">
        <v>121.0</v>
      </c>
      <c r="G449" s="2">
        <v>2356.0</v>
      </c>
      <c r="H449" s="2" t="s">
        <v>5905</v>
      </c>
      <c r="I449" s="2" t="s">
        <v>5905</v>
      </c>
      <c r="J449" s="2" t="s">
        <v>6856</v>
      </c>
      <c r="K449" s="2" t="s">
        <v>16935</v>
      </c>
      <c r="L449" s="10" t="s">
        <v>16936</v>
      </c>
    </row>
    <row r="450">
      <c r="A450" s="2" t="s">
        <v>4367</v>
      </c>
      <c r="B450" s="2" t="s">
        <v>16937</v>
      </c>
      <c r="C450" s="2">
        <v>4.74833115E8</v>
      </c>
      <c r="D450" s="2" t="s">
        <v>16938</v>
      </c>
      <c r="E450" s="2">
        <v>723874.0</v>
      </c>
      <c r="F450" s="2">
        <v>423.0</v>
      </c>
      <c r="G450" s="2">
        <v>821.0</v>
      </c>
      <c r="H450" s="2" t="s">
        <v>5906</v>
      </c>
      <c r="I450" s="2" t="s">
        <v>5905</v>
      </c>
      <c r="J450" s="2" t="s">
        <v>5959</v>
      </c>
      <c r="K450" s="2" t="s">
        <v>16939</v>
      </c>
      <c r="L450" s="10" t="s">
        <v>16940</v>
      </c>
    </row>
    <row r="451">
      <c r="A451" s="2" t="s">
        <v>4367</v>
      </c>
      <c r="B451" s="2" t="s">
        <v>16941</v>
      </c>
      <c r="C451" s="2">
        <v>1.777992775E9</v>
      </c>
      <c r="D451" s="2" t="s">
        <v>16942</v>
      </c>
      <c r="E451" s="2">
        <v>231596.0</v>
      </c>
      <c r="F451" s="2">
        <v>5.0</v>
      </c>
      <c r="G451" s="2">
        <v>7023.0</v>
      </c>
      <c r="H451" s="2" t="s">
        <v>5906</v>
      </c>
      <c r="I451" s="2" t="s">
        <v>5905</v>
      </c>
      <c r="J451" s="2" t="s">
        <v>5391</v>
      </c>
      <c r="K451" s="2" t="s">
        <v>16943</v>
      </c>
    </row>
    <row r="452">
      <c r="A452" s="2" t="s">
        <v>4367</v>
      </c>
      <c r="B452" s="2" t="s">
        <v>16944</v>
      </c>
      <c r="C452" s="2">
        <v>3.2690685488E10</v>
      </c>
      <c r="D452" s="2" t="s">
        <v>16945</v>
      </c>
      <c r="E452" s="2">
        <v>348692.0</v>
      </c>
      <c r="F452" s="2">
        <v>643.0</v>
      </c>
      <c r="G452" s="2">
        <v>144.0</v>
      </c>
      <c r="H452" s="2" t="s">
        <v>5905</v>
      </c>
      <c r="I452" s="2" t="s">
        <v>5905</v>
      </c>
      <c r="J452" s="2" t="s">
        <v>5928</v>
      </c>
      <c r="K452" s="2" t="s">
        <v>16946</v>
      </c>
    </row>
    <row r="453">
      <c r="A453" s="2" t="s">
        <v>4367</v>
      </c>
      <c r="B453" s="2" t="s">
        <v>4367</v>
      </c>
      <c r="C453" s="2">
        <v>7.7466452E8</v>
      </c>
      <c r="D453" s="2" t="s">
        <v>16947</v>
      </c>
      <c r="E453" s="2">
        <v>1180227.0</v>
      </c>
      <c r="F453" s="2">
        <v>4866.0</v>
      </c>
      <c r="G453" s="2">
        <v>4142.0</v>
      </c>
      <c r="H453" s="2" t="s">
        <v>5905</v>
      </c>
      <c r="I453" s="2" t="s">
        <v>5905</v>
      </c>
      <c r="J453" s="2" t="s">
        <v>12774</v>
      </c>
      <c r="K453" s="2" t="s">
        <v>16948</v>
      </c>
      <c r="L453" s="10" t="s">
        <v>16949</v>
      </c>
    </row>
    <row r="454">
      <c r="A454" s="2" t="s">
        <v>4367</v>
      </c>
      <c r="B454" s="2" t="s">
        <v>16950</v>
      </c>
      <c r="C454" s="2">
        <v>3.264191356E10</v>
      </c>
      <c r="D454" s="2" t="s">
        <v>16951</v>
      </c>
      <c r="E454" s="2">
        <v>1291222.0</v>
      </c>
      <c r="F454" s="2">
        <v>728.0</v>
      </c>
      <c r="G454" s="2">
        <v>729.0</v>
      </c>
      <c r="H454" s="2" t="s">
        <v>5906</v>
      </c>
      <c r="I454" s="2" t="s">
        <v>5905</v>
      </c>
      <c r="J454" s="2" t="s">
        <v>5928</v>
      </c>
      <c r="K454" s="2" t="s">
        <v>16952</v>
      </c>
      <c r="L454" s="10" t="s">
        <v>16953</v>
      </c>
    </row>
    <row r="455">
      <c r="A455" s="2" t="s">
        <v>4367</v>
      </c>
      <c r="B455" s="2" t="s">
        <v>16954</v>
      </c>
      <c r="C455" s="2">
        <v>2.126093196E9</v>
      </c>
      <c r="D455" s="2" t="s">
        <v>16954</v>
      </c>
      <c r="E455" s="2">
        <v>176496.0</v>
      </c>
      <c r="F455" s="2">
        <v>723.0</v>
      </c>
      <c r="G455" s="2">
        <v>2916.0</v>
      </c>
      <c r="H455" s="2" t="s">
        <v>5906</v>
      </c>
      <c r="I455" s="2" t="s">
        <v>5906</v>
      </c>
      <c r="J455" s="2" t="s">
        <v>6559</v>
      </c>
      <c r="K455" s="2" t="s">
        <v>16955</v>
      </c>
      <c r="L455" s="10" t="s">
        <v>16956</v>
      </c>
    </row>
    <row r="456">
      <c r="A456" s="2" t="s">
        <v>4367</v>
      </c>
      <c r="B456" s="2" t="s">
        <v>16957</v>
      </c>
      <c r="C456" s="2">
        <v>8.081844177E9</v>
      </c>
      <c r="D456" s="2" t="s">
        <v>16958</v>
      </c>
      <c r="E456" s="2">
        <v>58977.0</v>
      </c>
      <c r="F456" s="2">
        <v>1263.0</v>
      </c>
      <c r="G456" s="2">
        <v>1170.0</v>
      </c>
      <c r="H456" s="2" t="s">
        <v>5905</v>
      </c>
      <c r="I456" s="2" t="s">
        <v>5905</v>
      </c>
      <c r="K456" s="2" t="s">
        <v>16959</v>
      </c>
      <c r="L456" s="10" t="s">
        <v>16960</v>
      </c>
    </row>
    <row r="457">
      <c r="A457" s="2" t="s">
        <v>4367</v>
      </c>
      <c r="B457" s="2" t="s">
        <v>16961</v>
      </c>
      <c r="C457" s="2">
        <v>5.450817905E9</v>
      </c>
      <c r="D457" s="2" t="s">
        <v>16962</v>
      </c>
      <c r="E457" s="2">
        <v>311855.0</v>
      </c>
      <c r="F457" s="2">
        <v>5054.0</v>
      </c>
      <c r="G457" s="2">
        <v>10416.0</v>
      </c>
      <c r="H457" s="2" t="s">
        <v>5905</v>
      </c>
      <c r="I457" s="2" t="s">
        <v>5906</v>
      </c>
      <c r="J457" s="2" t="s">
        <v>6745</v>
      </c>
      <c r="K457" s="2" t="s">
        <v>16963</v>
      </c>
      <c r="L457" s="10" t="s">
        <v>16964</v>
      </c>
    </row>
    <row r="458">
      <c r="A458" s="2" t="s">
        <v>4367</v>
      </c>
      <c r="B458" s="2" t="s">
        <v>16965</v>
      </c>
      <c r="C458" s="2">
        <v>3.2168342346E10</v>
      </c>
      <c r="D458" s="2" t="s">
        <v>16966</v>
      </c>
      <c r="E458" s="2">
        <v>772265.0</v>
      </c>
      <c r="F458" s="2">
        <v>4380.0</v>
      </c>
      <c r="G458" s="2">
        <v>7523.0</v>
      </c>
      <c r="H458" s="2" t="s">
        <v>5905</v>
      </c>
      <c r="I458" s="2" t="s">
        <v>5905</v>
      </c>
      <c r="J458" s="2" t="s">
        <v>5492</v>
      </c>
      <c r="K458" s="2" t="s">
        <v>16967</v>
      </c>
      <c r="L458" s="10" t="s">
        <v>16968</v>
      </c>
    </row>
    <row r="459">
      <c r="A459" s="2" t="s">
        <v>4367</v>
      </c>
      <c r="B459" s="2" t="s">
        <v>16969</v>
      </c>
      <c r="C459" s="2">
        <v>2.4874948892E10</v>
      </c>
      <c r="D459" s="2" t="s">
        <v>16970</v>
      </c>
      <c r="E459" s="2">
        <v>888701.0</v>
      </c>
      <c r="F459" s="2">
        <v>25.0</v>
      </c>
      <c r="G459" s="2">
        <v>4175.0</v>
      </c>
      <c r="H459" s="2" t="s">
        <v>5905</v>
      </c>
      <c r="I459" s="2" t="s">
        <v>5905</v>
      </c>
      <c r="J459" s="2" t="s">
        <v>6699</v>
      </c>
      <c r="K459" s="2" t="s">
        <v>16971</v>
      </c>
    </row>
    <row r="460">
      <c r="A460" s="2" t="s">
        <v>4367</v>
      </c>
      <c r="B460" s="2" t="s">
        <v>16972</v>
      </c>
      <c r="C460" s="2">
        <v>8.182937124E9</v>
      </c>
      <c r="D460" s="2" t="s">
        <v>16973</v>
      </c>
      <c r="E460" s="2">
        <v>1101298.0</v>
      </c>
      <c r="F460" s="2">
        <v>4.0</v>
      </c>
      <c r="G460" s="2">
        <v>7456.0</v>
      </c>
      <c r="H460" s="2" t="s">
        <v>5905</v>
      </c>
      <c r="I460" s="2" t="s">
        <v>5906</v>
      </c>
      <c r="J460" s="2" t="s">
        <v>16974</v>
      </c>
      <c r="K460" s="2" t="s">
        <v>16975</v>
      </c>
      <c r="L460" s="10" t="s">
        <v>16976</v>
      </c>
    </row>
    <row r="461">
      <c r="A461" s="2" t="s">
        <v>4379</v>
      </c>
      <c r="B461" s="2" t="s">
        <v>16977</v>
      </c>
      <c r="C461" s="2">
        <v>2.9926323934E10</v>
      </c>
      <c r="D461" s="2" t="s">
        <v>16978</v>
      </c>
      <c r="E461" s="2">
        <v>31264.0</v>
      </c>
      <c r="F461" s="2">
        <v>651.0</v>
      </c>
      <c r="G461" s="2">
        <v>1868.0</v>
      </c>
      <c r="H461" s="2" t="s">
        <v>5905</v>
      </c>
      <c r="I461" s="2" t="s">
        <v>5906</v>
      </c>
      <c r="J461" s="2" t="s">
        <v>7321</v>
      </c>
      <c r="K461" s="2" t="s">
        <v>16979</v>
      </c>
      <c r="L461" s="10" t="s">
        <v>16980</v>
      </c>
    </row>
    <row r="462">
      <c r="A462" s="2" t="s">
        <v>4379</v>
      </c>
      <c r="B462" s="2" t="s">
        <v>16981</v>
      </c>
      <c r="C462" s="2">
        <v>3.2827660627E10</v>
      </c>
      <c r="D462" s="2" t="s">
        <v>16982</v>
      </c>
      <c r="E462" s="2">
        <v>1155616.0</v>
      </c>
      <c r="F462" s="2">
        <v>64.0</v>
      </c>
      <c r="G462" s="2">
        <v>908.0</v>
      </c>
      <c r="H462" s="2" t="s">
        <v>5905</v>
      </c>
      <c r="I462" s="2" t="s">
        <v>5905</v>
      </c>
      <c r="J462" s="2" t="s">
        <v>12969</v>
      </c>
      <c r="K462" s="2" t="s">
        <v>16983</v>
      </c>
    </row>
    <row r="463">
      <c r="A463" s="2" t="s">
        <v>4379</v>
      </c>
      <c r="B463" s="2" t="s">
        <v>16984</v>
      </c>
      <c r="C463" s="2">
        <v>4.1719390804E10</v>
      </c>
      <c r="D463" s="2" t="s">
        <v>16985</v>
      </c>
      <c r="E463" s="2">
        <v>176243.0</v>
      </c>
      <c r="F463" s="2">
        <v>550.0</v>
      </c>
      <c r="G463" s="2">
        <v>3566.0</v>
      </c>
      <c r="H463" s="2" t="s">
        <v>5906</v>
      </c>
      <c r="I463" s="2" t="s">
        <v>5906</v>
      </c>
      <c r="J463" s="2" t="s">
        <v>5959</v>
      </c>
      <c r="K463" s="2" t="s">
        <v>16986</v>
      </c>
      <c r="L463" s="10" t="s">
        <v>16987</v>
      </c>
    </row>
    <row r="464">
      <c r="A464" s="2" t="s">
        <v>4379</v>
      </c>
      <c r="B464" s="2" t="s">
        <v>16988</v>
      </c>
      <c r="C464" s="2">
        <v>5.661504761E9</v>
      </c>
      <c r="D464" s="2" t="s">
        <v>16989</v>
      </c>
      <c r="E464" s="2">
        <v>529652.0</v>
      </c>
      <c r="F464" s="2">
        <v>569.0</v>
      </c>
      <c r="G464" s="2">
        <v>3667.0</v>
      </c>
      <c r="H464" s="2" t="s">
        <v>5905</v>
      </c>
      <c r="I464" s="2" t="s">
        <v>5906</v>
      </c>
      <c r="K464" s="2" t="s">
        <v>16990</v>
      </c>
      <c r="L464" s="10" t="s">
        <v>16991</v>
      </c>
    </row>
    <row r="465">
      <c r="A465" s="2" t="s">
        <v>4379</v>
      </c>
      <c r="B465" s="2" t="s">
        <v>16992</v>
      </c>
      <c r="C465" s="2">
        <v>4.4583618669E10</v>
      </c>
      <c r="D465" s="2" t="s">
        <v>16993</v>
      </c>
      <c r="E465" s="2">
        <v>1235969.0</v>
      </c>
      <c r="F465" s="2">
        <v>439.0</v>
      </c>
      <c r="G465" s="2">
        <v>612.0</v>
      </c>
      <c r="H465" s="2" t="s">
        <v>5905</v>
      </c>
      <c r="I465" s="2" t="s">
        <v>5905</v>
      </c>
      <c r="J465" s="2" t="s">
        <v>14090</v>
      </c>
      <c r="K465" s="2" t="s">
        <v>16994</v>
      </c>
    </row>
    <row r="466">
      <c r="A466" s="2" t="s">
        <v>4379</v>
      </c>
      <c r="B466" s="2" t="s">
        <v>4379</v>
      </c>
      <c r="C466" s="2">
        <v>3.067756242E9</v>
      </c>
      <c r="D466" s="2" t="s">
        <v>16995</v>
      </c>
      <c r="E466" s="2">
        <v>263204.0</v>
      </c>
      <c r="F466" s="2">
        <v>0.0</v>
      </c>
      <c r="G466" s="2">
        <v>1294.0</v>
      </c>
      <c r="H466" s="2" t="s">
        <v>5905</v>
      </c>
      <c r="I466" s="2" t="s">
        <v>5906</v>
      </c>
      <c r="J466" s="2" t="s">
        <v>6166</v>
      </c>
    </row>
    <row r="467">
      <c r="A467" s="2" t="s">
        <v>4379</v>
      </c>
      <c r="B467" s="2" t="s">
        <v>16996</v>
      </c>
      <c r="C467" s="2">
        <v>6.73637915E8</v>
      </c>
      <c r="D467" s="2" t="s">
        <v>16997</v>
      </c>
      <c r="E467" s="2">
        <v>112898.0</v>
      </c>
      <c r="F467" s="2">
        <v>577.0</v>
      </c>
      <c r="G467" s="2">
        <v>5745.0</v>
      </c>
      <c r="H467" s="2" t="s">
        <v>5905</v>
      </c>
      <c r="I467" s="2" t="s">
        <v>5906</v>
      </c>
      <c r="J467" s="2" t="s">
        <v>6166</v>
      </c>
      <c r="K467" s="2" t="s">
        <v>16998</v>
      </c>
      <c r="L467" s="10" t="s">
        <v>16999</v>
      </c>
    </row>
    <row r="468">
      <c r="A468" s="2" t="s">
        <v>4379</v>
      </c>
      <c r="B468" s="2" t="s">
        <v>17000</v>
      </c>
      <c r="C468" s="2">
        <v>1.96208904E8</v>
      </c>
      <c r="D468" s="2" t="s">
        <v>17001</v>
      </c>
      <c r="E468" s="2">
        <v>1.1066028E7</v>
      </c>
      <c r="F468" s="2">
        <v>2136.0</v>
      </c>
      <c r="G468" s="2">
        <v>3720.0</v>
      </c>
      <c r="H468" s="2" t="s">
        <v>5906</v>
      </c>
      <c r="I468" s="2" t="s">
        <v>5906</v>
      </c>
      <c r="J468" s="2" t="s">
        <v>5993</v>
      </c>
      <c r="L468" s="10" t="s">
        <v>17002</v>
      </c>
    </row>
    <row r="469">
      <c r="A469" s="2" t="s">
        <v>4379</v>
      </c>
      <c r="B469" s="2" t="s">
        <v>17003</v>
      </c>
      <c r="C469" s="2">
        <v>5.808907256E10</v>
      </c>
      <c r="D469" s="2" t="s">
        <v>17004</v>
      </c>
      <c r="E469" s="2">
        <v>100705.0</v>
      </c>
      <c r="F469" s="2">
        <v>794.0</v>
      </c>
      <c r="G469" s="2">
        <v>1970.0</v>
      </c>
      <c r="H469" s="2" t="s">
        <v>5906</v>
      </c>
      <c r="I469" s="2" t="s">
        <v>5905</v>
      </c>
      <c r="J469" s="2" t="s">
        <v>6171</v>
      </c>
      <c r="K469" s="2" t="s">
        <v>17005</v>
      </c>
      <c r="L469" s="10" t="s">
        <v>17006</v>
      </c>
    </row>
    <row r="470">
      <c r="A470" s="2" t="s">
        <v>4379</v>
      </c>
      <c r="B470" s="2" t="s">
        <v>17007</v>
      </c>
      <c r="C470" s="2">
        <v>4.4970558873E10</v>
      </c>
      <c r="D470" s="2" t="s">
        <v>16982</v>
      </c>
      <c r="E470" s="2">
        <v>78133.0</v>
      </c>
      <c r="F470" s="2">
        <v>113.0</v>
      </c>
      <c r="G470" s="2">
        <v>161.0</v>
      </c>
      <c r="H470" s="2" t="s">
        <v>5905</v>
      </c>
      <c r="I470" s="2" t="s">
        <v>5905</v>
      </c>
      <c r="J470" s="2" t="s">
        <v>17008</v>
      </c>
      <c r="K470" s="2" t="s">
        <v>17009</v>
      </c>
    </row>
    <row r="471">
      <c r="A471" s="2" t="s">
        <v>4379</v>
      </c>
      <c r="B471" s="2" t="s">
        <v>17010</v>
      </c>
      <c r="C471" s="2">
        <v>5.0135329008E10</v>
      </c>
      <c r="D471" s="2" t="s">
        <v>17011</v>
      </c>
      <c r="E471" s="2">
        <v>1212659.0</v>
      </c>
      <c r="F471" s="2">
        <v>155.0</v>
      </c>
      <c r="G471" s="2">
        <v>848.0</v>
      </c>
      <c r="H471" s="2" t="s">
        <v>5905</v>
      </c>
      <c r="I471" s="2" t="s">
        <v>5905</v>
      </c>
      <c r="J471" s="2" t="s">
        <v>14090</v>
      </c>
      <c r="K471" s="2" t="s">
        <v>17012</v>
      </c>
      <c r="L471" s="10" t="s">
        <v>17013</v>
      </c>
    </row>
    <row r="472">
      <c r="A472" s="2" t="s">
        <v>4379</v>
      </c>
      <c r="B472" s="2" t="s">
        <v>17014</v>
      </c>
      <c r="C472" s="2">
        <v>5.01657911E8</v>
      </c>
      <c r="D472" s="2" t="s">
        <v>17015</v>
      </c>
      <c r="E472" s="2">
        <v>1702699.0</v>
      </c>
      <c r="F472" s="2">
        <v>741.0</v>
      </c>
      <c r="G472" s="2">
        <v>1079.0</v>
      </c>
      <c r="H472" s="2" t="s">
        <v>5906</v>
      </c>
      <c r="I472" s="2" t="s">
        <v>5906</v>
      </c>
      <c r="J472" s="2" t="s">
        <v>5518</v>
      </c>
      <c r="K472" s="2" t="s">
        <v>17016</v>
      </c>
      <c r="L472" s="10" t="s">
        <v>17017</v>
      </c>
    </row>
    <row r="473">
      <c r="A473" s="2" t="s">
        <v>4379</v>
      </c>
      <c r="B473" s="2" t="s">
        <v>17018</v>
      </c>
      <c r="C473" s="2">
        <v>1.0402867762E10</v>
      </c>
      <c r="D473" s="2" t="s">
        <v>17019</v>
      </c>
      <c r="E473" s="2">
        <v>2342509.0</v>
      </c>
      <c r="F473" s="2">
        <v>7497.0</v>
      </c>
      <c r="G473" s="2">
        <v>6114.0</v>
      </c>
      <c r="H473" s="2" t="s">
        <v>5906</v>
      </c>
      <c r="I473" s="2" t="s">
        <v>5906</v>
      </c>
      <c r="J473" s="2" t="s">
        <v>17020</v>
      </c>
      <c r="K473" s="2" t="s">
        <v>17021</v>
      </c>
      <c r="L473" s="10" t="s">
        <v>17022</v>
      </c>
    </row>
    <row r="474">
      <c r="A474" s="2" t="s">
        <v>4372</v>
      </c>
      <c r="B474" s="2" t="s">
        <v>4372</v>
      </c>
      <c r="C474" s="2">
        <v>1.510284329E9</v>
      </c>
      <c r="D474" s="2" t="s">
        <v>4372</v>
      </c>
      <c r="E474" s="2">
        <v>4930307.0</v>
      </c>
      <c r="F474" s="2">
        <v>18.0</v>
      </c>
      <c r="G474" s="2">
        <v>142.0</v>
      </c>
      <c r="H474" s="2" t="s">
        <v>5905</v>
      </c>
      <c r="I474" s="2" t="s">
        <v>5905</v>
      </c>
      <c r="J474" s="2" t="s">
        <v>5561</v>
      </c>
      <c r="K474" s="2" t="s">
        <v>17023</v>
      </c>
      <c r="L474" s="10" t="s">
        <v>17024</v>
      </c>
    </row>
    <row r="475">
      <c r="A475" s="2" t="s">
        <v>4372</v>
      </c>
      <c r="B475" s="2" t="s">
        <v>17025</v>
      </c>
      <c r="C475" s="2">
        <v>2.37126326E8</v>
      </c>
      <c r="D475" s="2" t="s">
        <v>17026</v>
      </c>
      <c r="E475" s="2">
        <v>202265.0</v>
      </c>
      <c r="F475" s="2">
        <v>2354.0</v>
      </c>
      <c r="G475" s="2">
        <v>3183.0</v>
      </c>
      <c r="H475" s="2" t="s">
        <v>5906</v>
      </c>
      <c r="I475" s="2" t="s">
        <v>5906</v>
      </c>
      <c r="J475" s="2" t="s">
        <v>5959</v>
      </c>
      <c r="K475" s="2" t="s">
        <v>17027</v>
      </c>
      <c r="L475" s="10" t="s">
        <v>17028</v>
      </c>
    </row>
    <row r="476">
      <c r="A476" s="2" t="s">
        <v>4372</v>
      </c>
      <c r="B476" s="10" t="s">
        <v>17029</v>
      </c>
      <c r="C476" s="2">
        <v>1.42205512E9</v>
      </c>
      <c r="D476" s="2" t="s">
        <v>17030</v>
      </c>
      <c r="E476" s="2">
        <v>125913.0</v>
      </c>
      <c r="F476" s="2">
        <v>1212.0</v>
      </c>
      <c r="G476" s="2">
        <v>2935.0</v>
      </c>
      <c r="H476" s="2" t="s">
        <v>5906</v>
      </c>
      <c r="I476" s="2" t="s">
        <v>5905</v>
      </c>
      <c r="J476" s="2" t="s">
        <v>8911</v>
      </c>
      <c r="K476" s="2" t="s">
        <v>17031</v>
      </c>
      <c r="L476" s="10" t="s">
        <v>17032</v>
      </c>
    </row>
    <row r="477">
      <c r="A477" s="2" t="s">
        <v>4372</v>
      </c>
      <c r="B477" s="2" t="s">
        <v>17033</v>
      </c>
      <c r="C477" s="2">
        <v>2.41064692E8</v>
      </c>
      <c r="D477" s="2" t="s">
        <v>17034</v>
      </c>
      <c r="E477" s="2">
        <v>61558.0</v>
      </c>
      <c r="F477" s="2">
        <v>1594.0</v>
      </c>
      <c r="G477" s="2">
        <v>48.0</v>
      </c>
      <c r="H477" s="2" t="s">
        <v>5905</v>
      </c>
      <c r="I477" s="2" t="s">
        <v>5906</v>
      </c>
      <c r="J477" s="2" t="s">
        <v>5561</v>
      </c>
      <c r="K477" s="2" t="s">
        <v>17035</v>
      </c>
      <c r="L477" s="10" t="s">
        <v>17036</v>
      </c>
    </row>
    <row r="478">
      <c r="A478" s="2" t="s">
        <v>4372</v>
      </c>
      <c r="B478" s="2" t="s">
        <v>17037</v>
      </c>
      <c r="C478" s="2">
        <v>5.7091904401E10</v>
      </c>
      <c r="D478" s="2" t="s">
        <v>17038</v>
      </c>
      <c r="E478" s="2">
        <v>126330.0</v>
      </c>
      <c r="F478" s="2">
        <v>88.0</v>
      </c>
      <c r="G478" s="2">
        <v>123.0</v>
      </c>
      <c r="H478" s="2" t="s">
        <v>5905</v>
      </c>
      <c r="I478" s="2" t="s">
        <v>5905</v>
      </c>
      <c r="J478" s="2" t="s">
        <v>9793</v>
      </c>
      <c r="K478" s="2" t="s">
        <v>17039</v>
      </c>
      <c r="L478" s="10" t="s">
        <v>17040</v>
      </c>
    </row>
    <row r="479">
      <c r="A479" s="2" t="s">
        <v>4415</v>
      </c>
      <c r="B479" s="2" t="s">
        <v>17041</v>
      </c>
      <c r="C479" s="2">
        <v>6.813482395E10</v>
      </c>
      <c r="D479" s="2" t="s">
        <v>17042</v>
      </c>
      <c r="E479" s="2">
        <v>376313.0</v>
      </c>
      <c r="F479" s="2">
        <v>36.0</v>
      </c>
      <c r="G479" s="2">
        <v>553.0</v>
      </c>
      <c r="H479" s="2" t="s">
        <v>5905</v>
      </c>
      <c r="I479" s="2" t="s">
        <v>5905</v>
      </c>
      <c r="J479" s="2" t="s">
        <v>4412</v>
      </c>
      <c r="K479" s="2" t="s">
        <v>17043</v>
      </c>
      <c r="L479" s="10" t="s">
        <v>17044</v>
      </c>
    </row>
    <row r="480">
      <c r="A480" s="2" t="s">
        <v>4415</v>
      </c>
      <c r="B480" s="2" t="s">
        <v>17045</v>
      </c>
      <c r="C480" s="2">
        <v>6.2942598826E10</v>
      </c>
      <c r="E480" s="2">
        <v>634331.0</v>
      </c>
      <c r="F480" s="2">
        <v>25.0</v>
      </c>
      <c r="G480" s="2">
        <v>549.0</v>
      </c>
      <c r="H480" s="2" t="s">
        <v>5905</v>
      </c>
      <c r="I480" s="2" t="s">
        <v>5905</v>
      </c>
      <c r="J480" s="2" t="s">
        <v>5993</v>
      </c>
      <c r="K480" s="2" t="s">
        <v>17046</v>
      </c>
    </row>
    <row r="481">
      <c r="A481" s="2" t="s">
        <v>4415</v>
      </c>
      <c r="B481" s="2" t="s">
        <v>17047</v>
      </c>
      <c r="C481" s="2">
        <v>2.00819671E8</v>
      </c>
      <c r="D481" s="2" t="s">
        <v>17048</v>
      </c>
      <c r="E481" s="2">
        <v>109641.0</v>
      </c>
      <c r="F481" s="2">
        <v>2079.0</v>
      </c>
      <c r="G481" s="2">
        <v>2328.0</v>
      </c>
      <c r="H481" s="2" t="s">
        <v>5906</v>
      </c>
      <c r="I481" s="2" t="s">
        <v>5905</v>
      </c>
      <c r="J481" s="2" t="s">
        <v>5959</v>
      </c>
      <c r="K481" s="2" t="s">
        <v>17049</v>
      </c>
      <c r="L481" s="10" t="s">
        <v>17050</v>
      </c>
    </row>
    <row r="482">
      <c r="A482" s="2" t="s">
        <v>4415</v>
      </c>
      <c r="B482" s="2" t="s">
        <v>17051</v>
      </c>
      <c r="C482" s="2">
        <v>1.82435794E9</v>
      </c>
      <c r="D482" s="2" t="s">
        <v>17052</v>
      </c>
      <c r="E482" s="2">
        <v>274990.0</v>
      </c>
      <c r="F482" s="2">
        <v>1312.0</v>
      </c>
      <c r="G482" s="2">
        <v>5051.0</v>
      </c>
      <c r="H482" s="2" t="s">
        <v>5906</v>
      </c>
      <c r="I482" s="2" t="s">
        <v>5906</v>
      </c>
      <c r="K482" s="2" t="s">
        <v>17053</v>
      </c>
      <c r="L482" s="10" t="s">
        <v>17054</v>
      </c>
    </row>
    <row r="483">
      <c r="A483" s="2" t="s">
        <v>4415</v>
      </c>
      <c r="B483" s="2" t="s">
        <v>17055</v>
      </c>
      <c r="C483" s="2">
        <v>2.8102815496E10</v>
      </c>
      <c r="D483" s="2" t="s">
        <v>17056</v>
      </c>
      <c r="E483" s="2">
        <v>499864.0</v>
      </c>
      <c r="F483" s="2">
        <v>1.0</v>
      </c>
      <c r="G483" s="2">
        <v>962.0</v>
      </c>
      <c r="H483" s="2" t="s">
        <v>5906</v>
      </c>
      <c r="I483" s="2" t="s">
        <v>5905</v>
      </c>
      <c r="J483" s="2" t="s">
        <v>17057</v>
      </c>
      <c r="K483" s="2" t="s">
        <v>17058</v>
      </c>
      <c r="L483" s="10" t="s">
        <v>17059</v>
      </c>
    </row>
    <row r="484">
      <c r="A484" s="2" t="s">
        <v>4415</v>
      </c>
      <c r="B484" s="2" t="s">
        <v>4415</v>
      </c>
      <c r="C484" s="2">
        <v>1.560555159E9</v>
      </c>
      <c r="D484" s="2" t="s">
        <v>17060</v>
      </c>
      <c r="E484" s="2">
        <v>318461.0</v>
      </c>
      <c r="F484" s="2">
        <v>147.0</v>
      </c>
      <c r="G484" s="2">
        <v>1186.0</v>
      </c>
      <c r="H484" s="2" t="s">
        <v>5905</v>
      </c>
      <c r="I484" s="2" t="s">
        <v>5905</v>
      </c>
      <c r="K484" s="2" t="s">
        <v>17061</v>
      </c>
    </row>
    <row r="485">
      <c r="A485" s="2" t="s">
        <v>4415</v>
      </c>
      <c r="B485" s="2" t="s">
        <v>17062</v>
      </c>
      <c r="C485" s="2">
        <v>3.4087753551E10</v>
      </c>
      <c r="D485" s="2" t="s">
        <v>17063</v>
      </c>
      <c r="E485" s="2">
        <v>2045160.0</v>
      </c>
      <c r="F485" s="2">
        <v>734.0</v>
      </c>
      <c r="G485" s="2">
        <v>676.0</v>
      </c>
      <c r="H485" s="2" t="s">
        <v>5906</v>
      </c>
      <c r="I485" s="2" t="s">
        <v>5905</v>
      </c>
      <c r="J485" s="2" t="s">
        <v>7620</v>
      </c>
      <c r="K485" s="2" t="s">
        <v>17064</v>
      </c>
    </row>
    <row r="486">
      <c r="A486" s="2" t="s">
        <v>4415</v>
      </c>
      <c r="B486" s="2" t="s">
        <v>17065</v>
      </c>
      <c r="C486" s="2">
        <v>2.101875546E9</v>
      </c>
      <c r="D486" s="2" t="s">
        <v>17066</v>
      </c>
      <c r="E486" s="2">
        <v>45439.0</v>
      </c>
      <c r="F486" s="2">
        <v>1507.0</v>
      </c>
      <c r="G486" s="2">
        <v>246.0</v>
      </c>
      <c r="H486" s="2" t="s">
        <v>5905</v>
      </c>
      <c r="I486" s="2" t="s">
        <v>5905</v>
      </c>
      <c r="J486" s="2" t="s">
        <v>5968</v>
      </c>
      <c r="K486" s="2" t="s">
        <v>17067</v>
      </c>
      <c r="L486" s="10" t="s">
        <v>17068</v>
      </c>
    </row>
    <row r="487">
      <c r="A487" s="2" t="s">
        <v>4415</v>
      </c>
      <c r="B487" s="2" t="s">
        <v>17069</v>
      </c>
      <c r="C487" s="2">
        <v>3.6410888064E10</v>
      </c>
      <c r="D487" s="2" t="s">
        <v>17070</v>
      </c>
      <c r="E487" s="2">
        <v>195948.0</v>
      </c>
      <c r="F487" s="2">
        <v>12.0</v>
      </c>
      <c r="G487" s="2">
        <v>715.0</v>
      </c>
      <c r="H487" s="2" t="s">
        <v>5905</v>
      </c>
      <c r="I487" s="2" t="s">
        <v>5905</v>
      </c>
      <c r="J487" s="2" t="s">
        <v>7620</v>
      </c>
      <c r="K487" s="2" t="s">
        <v>17071</v>
      </c>
      <c r="L487" s="10" t="s">
        <v>17072</v>
      </c>
    </row>
    <row r="488">
      <c r="A488" s="2" t="s">
        <v>4415</v>
      </c>
      <c r="B488" s="2" t="s">
        <v>17073</v>
      </c>
      <c r="C488" s="2">
        <v>5.0466954772E10</v>
      </c>
      <c r="D488" s="2" t="s">
        <v>17060</v>
      </c>
      <c r="E488" s="2">
        <v>80796.0</v>
      </c>
      <c r="F488" s="2">
        <v>6844.0</v>
      </c>
      <c r="G488" s="2">
        <v>391.0</v>
      </c>
      <c r="H488" s="2" t="s">
        <v>5905</v>
      </c>
      <c r="I488" s="2" t="s">
        <v>5905</v>
      </c>
      <c r="J488" s="2" t="s">
        <v>5492</v>
      </c>
      <c r="K488" s="2" t="s">
        <v>17074</v>
      </c>
    </row>
    <row r="489">
      <c r="A489" s="2" t="s">
        <v>4415</v>
      </c>
      <c r="B489" s="2" t="s">
        <v>17075</v>
      </c>
      <c r="C489" s="2">
        <v>4.1521098084E10</v>
      </c>
      <c r="D489" s="2" t="s">
        <v>17076</v>
      </c>
      <c r="E489" s="2">
        <v>153516.0</v>
      </c>
      <c r="F489" s="2">
        <v>14.0</v>
      </c>
      <c r="G489" s="2">
        <v>1170.0</v>
      </c>
      <c r="H489" s="2" t="s">
        <v>5905</v>
      </c>
      <c r="I489" s="2" t="s">
        <v>5906</v>
      </c>
      <c r="J489" s="2" t="s">
        <v>6171</v>
      </c>
      <c r="K489" s="2" t="s">
        <v>17077</v>
      </c>
    </row>
    <row r="490">
      <c r="A490" s="2" t="s">
        <v>4415</v>
      </c>
      <c r="B490" s="2" t="s">
        <v>17078</v>
      </c>
      <c r="C490" s="2">
        <v>6.1877365235E10</v>
      </c>
      <c r="D490" s="2" t="s">
        <v>17079</v>
      </c>
      <c r="E490" s="2">
        <v>1546543.0</v>
      </c>
      <c r="F490" s="2">
        <v>91.0</v>
      </c>
      <c r="G490" s="2">
        <v>1054.0</v>
      </c>
      <c r="H490" s="2" t="s">
        <v>5905</v>
      </c>
      <c r="I490" s="2" t="s">
        <v>5905</v>
      </c>
      <c r="J490" s="2" t="s">
        <v>5561</v>
      </c>
      <c r="K490" s="2" t="s">
        <v>17080</v>
      </c>
      <c r="L490" s="10" t="s">
        <v>17081</v>
      </c>
    </row>
    <row r="491">
      <c r="A491" s="2" t="s">
        <v>4415</v>
      </c>
      <c r="B491" s="2" t="s">
        <v>17082</v>
      </c>
      <c r="C491" s="2">
        <v>1.902066647E9</v>
      </c>
      <c r="D491" s="2" t="s">
        <v>17083</v>
      </c>
      <c r="E491" s="2">
        <v>95323.0</v>
      </c>
      <c r="F491" s="2">
        <v>125.0</v>
      </c>
      <c r="G491" s="2">
        <v>1153.0</v>
      </c>
      <c r="H491" s="2" t="s">
        <v>5906</v>
      </c>
      <c r="I491" s="2" t="s">
        <v>5906</v>
      </c>
      <c r="J491" s="2" t="s">
        <v>17084</v>
      </c>
      <c r="K491" s="2" t="s">
        <v>17085</v>
      </c>
      <c r="L491" s="10" t="s">
        <v>17086</v>
      </c>
    </row>
    <row r="492">
      <c r="A492" s="2" t="s">
        <v>4415</v>
      </c>
      <c r="B492" s="2" t="s">
        <v>17087</v>
      </c>
      <c r="C492" s="2">
        <v>4.38789758E8</v>
      </c>
      <c r="D492" s="2" t="s">
        <v>17088</v>
      </c>
      <c r="E492" s="2">
        <v>3826127.0</v>
      </c>
      <c r="F492" s="2">
        <v>57.0</v>
      </c>
      <c r="G492" s="2">
        <v>2518.0</v>
      </c>
      <c r="H492" s="2" t="s">
        <v>5906</v>
      </c>
      <c r="I492" s="2" t="s">
        <v>5906</v>
      </c>
      <c r="K492" s="2" t="s">
        <v>17089</v>
      </c>
      <c r="L492" s="10" t="s">
        <v>17090</v>
      </c>
    </row>
    <row r="493">
      <c r="A493" s="2" t="s">
        <v>1</v>
      </c>
      <c r="B493" s="2" t="s">
        <v>17091</v>
      </c>
      <c r="C493" s="2">
        <v>2.1382869193E10</v>
      </c>
      <c r="D493" s="2" t="s">
        <v>17092</v>
      </c>
      <c r="E493" s="2">
        <v>454006.0</v>
      </c>
      <c r="F493" s="2">
        <v>430.0</v>
      </c>
      <c r="G493" s="2">
        <v>1082.0</v>
      </c>
      <c r="H493" s="2" t="s">
        <v>5905</v>
      </c>
      <c r="I493" s="2" t="s">
        <v>5905</v>
      </c>
      <c r="J493" s="2" t="s">
        <v>17093</v>
      </c>
      <c r="K493" s="2" t="s">
        <v>17094</v>
      </c>
    </row>
    <row r="494">
      <c r="A494" s="2" t="s">
        <v>1</v>
      </c>
      <c r="B494" s="2" t="s">
        <v>17095</v>
      </c>
      <c r="C494" s="2">
        <v>5.500550125E9</v>
      </c>
      <c r="D494" s="2" t="s">
        <v>17096</v>
      </c>
      <c r="E494" s="2">
        <v>6383496.0</v>
      </c>
      <c r="F494" s="2">
        <v>10.0</v>
      </c>
      <c r="G494" s="2">
        <v>3909.0</v>
      </c>
      <c r="H494" s="2" t="s">
        <v>5906</v>
      </c>
      <c r="I494" s="2" t="s">
        <v>5906</v>
      </c>
      <c r="K494" s="2" t="s">
        <v>17097</v>
      </c>
    </row>
    <row r="495">
      <c r="A495" s="2" t="s">
        <v>1</v>
      </c>
      <c r="B495" s="2" t="s">
        <v>17098</v>
      </c>
      <c r="C495" s="2">
        <v>2.1239870713E10</v>
      </c>
      <c r="D495" s="2" t="s">
        <v>17099</v>
      </c>
      <c r="E495" s="2">
        <v>2232041.0</v>
      </c>
      <c r="F495" s="2">
        <v>11.0</v>
      </c>
      <c r="G495" s="2">
        <v>1851.0</v>
      </c>
      <c r="H495" s="2" t="s">
        <v>5906</v>
      </c>
      <c r="I495" s="2" t="s">
        <v>5905</v>
      </c>
      <c r="J495" s="2" t="s">
        <v>9793</v>
      </c>
      <c r="K495" s="2" t="s">
        <v>17100</v>
      </c>
      <c r="L495" s="10" t="s">
        <v>17101</v>
      </c>
    </row>
    <row r="496">
      <c r="A496" s="2" t="s">
        <v>1</v>
      </c>
      <c r="B496" s="2" t="s">
        <v>17102</v>
      </c>
      <c r="C496" s="2">
        <v>7.280966794E9</v>
      </c>
      <c r="D496" s="2" t="s">
        <v>17103</v>
      </c>
      <c r="E496" s="2">
        <v>2289416.0</v>
      </c>
      <c r="F496" s="2">
        <v>401.0</v>
      </c>
      <c r="G496" s="2">
        <v>1500.0</v>
      </c>
      <c r="H496" s="2" t="s">
        <v>5906</v>
      </c>
      <c r="I496" s="2" t="s">
        <v>5905</v>
      </c>
      <c r="J496" s="2" t="s">
        <v>9793</v>
      </c>
      <c r="K496" s="2" t="s">
        <v>17104</v>
      </c>
      <c r="L496" s="10" t="s">
        <v>17105</v>
      </c>
    </row>
    <row r="497">
      <c r="A497" s="2" t="s">
        <v>1</v>
      </c>
      <c r="B497" s="2" t="s">
        <v>17106</v>
      </c>
      <c r="C497" s="2">
        <v>1.569845995E9</v>
      </c>
      <c r="D497" s="2" t="s">
        <v>17107</v>
      </c>
      <c r="E497" s="2">
        <v>836748.0</v>
      </c>
      <c r="F497" s="2">
        <v>7.0</v>
      </c>
      <c r="G497" s="2">
        <v>4079.0</v>
      </c>
      <c r="H497" s="2" t="s">
        <v>5905</v>
      </c>
      <c r="I497" s="2" t="s">
        <v>5905</v>
      </c>
      <c r="J497" s="2" t="s">
        <v>5391</v>
      </c>
      <c r="K497" s="2" t="s">
        <v>17108</v>
      </c>
      <c r="L497" s="10" t="s">
        <v>17109</v>
      </c>
    </row>
    <row r="498">
      <c r="A498" s="2" t="s">
        <v>1</v>
      </c>
      <c r="B498" s="2" t="s">
        <v>1</v>
      </c>
      <c r="C498" s="2">
        <v>6.51514513E8</v>
      </c>
      <c r="D498" s="2" t="s">
        <v>17110</v>
      </c>
      <c r="E498" s="2">
        <v>924388.0</v>
      </c>
      <c r="F498" s="2">
        <v>1.0</v>
      </c>
      <c r="G498" s="2">
        <v>332.0</v>
      </c>
      <c r="H498" s="2" t="s">
        <v>5905</v>
      </c>
      <c r="I498" s="2" t="s">
        <v>5905</v>
      </c>
      <c r="J498" s="2" t="s">
        <v>5911</v>
      </c>
      <c r="K498" s="2" t="s">
        <v>17111</v>
      </c>
    </row>
    <row r="499">
      <c r="A499" s="2" t="s">
        <v>1</v>
      </c>
      <c r="B499" s="2" t="s">
        <v>17112</v>
      </c>
      <c r="C499" s="2">
        <v>7.0749913124E10</v>
      </c>
      <c r="D499" s="2" t="s">
        <v>17113</v>
      </c>
      <c r="E499" s="2">
        <v>33755.0</v>
      </c>
      <c r="F499" s="2">
        <v>31.0</v>
      </c>
      <c r="G499" s="2">
        <v>9.0</v>
      </c>
      <c r="H499" s="2" t="s">
        <v>5905</v>
      </c>
      <c r="I499" s="2" t="s">
        <v>5906</v>
      </c>
      <c r="J499" s="2" t="s">
        <v>5928</v>
      </c>
    </row>
    <row r="500">
      <c r="A500" s="2" t="s">
        <v>1</v>
      </c>
      <c r="B500" s="2" t="s">
        <v>17114</v>
      </c>
      <c r="C500" s="2">
        <v>6.22743293E8</v>
      </c>
      <c r="D500" s="2" t="s">
        <v>17115</v>
      </c>
      <c r="E500" s="2">
        <v>1296689.0</v>
      </c>
      <c r="F500" s="2">
        <v>499.0</v>
      </c>
      <c r="G500" s="2">
        <v>408.0</v>
      </c>
      <c r="H500" s="2" t="s">
        <v>5906</v>
      </c>
      <c r="I500" s="2" t="s">
        <v>5905</v>
      </c>
      <c r="J500" s="2" t="s">
        <v>17093</v>
      </c>
      <c r="K500" s="2" t="s">
        <v>17116</v>
      </c>
      <c r="L500" s="10" t="s">
        <v>17117</v>
      </c>
    </row>
    <row r="501">
      <c r="A501" s="2" t="s">
        <v>1</v>
      </c>
      <c r="B501" s="2" t="s">
        <v>17118</v>
      </c>
      <c r="C501" s="2">
        <v>2.216527261E9</v>
      </c>
      <c r="D501" s="2" t="s">
        <v>17119</v>
      </c>
      <c r="E501" s="2">
        <v>14941.0</v>
      </c>
      <c r="F501" s="2">
        <v>3083.0</v>
      </c>
      <c r="G501" s="2">
        <v>1056.0</v>
      </c>
      <c r="H501" s="2" t="s">
        <v>5905</v>
      </c>
      <c r="I501" s="2" t="s">
        <v>5905</v>
      </c>
      <c r="J501" s="2" t="s">
        <v>11543</v>
      </c>
      <c r="K501" s="2" t="s">
        <v>17120</v>
      </c>
    </row>
    <row r="502">
      <c r="A502" s="2" t="s">
        <v>1</v>
      </c>
      <c r="B502" s="2" t="s">
        <v>17121</v>
      </c>
      <c r="C502" s="2">
        <v>5.005846824E10</v>
      </c>
      <c r="D502" s="2" t="s">
        <v>17122</v>
      </c>
      <c r="E502" s="2">
        <v>283331.0</v>
      </c>
      <c r="F502" s="2">
        <v>34.0</v>
      </c>
      <c r="G502" s="2">
        <v>1595.0</v>
      </c>
      <c r="H502" s="2" t="s">
        <v>5905</v>
      </c>
      <c r="I502" s="2" t="s">
        <v>5905</v>
      </c>
      <c r="J502" s="2" t="s">
        <v>9793</v>
      </c>
      <c r="K502" s="2" t="s">
        <v>17123</v>
      </c>
    </row>
    <row r="503">
      <c r="A503" s="2" t="s">
        <v>1</v>
      </c>
      <c r="B503" s="2" t="s">
        <v>17124</v>
      </c>
      <c r="C503" s="2">
        <v>3.89878838E8</v>
      </c>
      <c r="D503" s="2" t="s">
        <v>17125</v>
      </c>
      <c r="E503" s="2">
        <v>285095.0</v>
      </c>
      <c r="F503" s="2">
        <v>410.0</v>
      </c>
      <c r="G503" s="2">
        <v>615.0</v>
      </c>
      <c r="H503" s="2" t="s">
        <v>5906</v>
      </c>
      <c r="I503" s="2" t="s">
        <v>5905</v>
      </c>
      <c r="J503" s="2" t="s">
        <v>6414</v>
      </c>
      <c r="K503" s="2" t="s">
        <v>17126</v>
      </c>
      <c r="L503" s="10" t="s">
        <v>17127</v>
      </c>
    </row>
    <row r="504">
      <c r="A504" s="2" t="s">
        <v>1</v>
      </c>
      <c r="B504" s="10" t="s">
        <v>17128</v>
      </c>
      <c r="C504" s="2">
        <v>3.832114196E10</v>
      </c>
      <c r="D504" s="2" t="s">
        <v>17129</v>
      </c>
      <c r="E504" s="2">
        <v>226028.0</v>
      </c>
      <c r="F504" s="2">
        <v>412.0</v>
      </c>
      <c r="G504" s="2">
        <v>894.0</v>
      </c>
      <c r="H504" s="2" t="s">
        <v>5906</v>
      </c>
      <c r="I504" s="2" t="s">
        <v>5905</v>
      </c>
      <c r="J504" s="2" t="s">
        <v>9775</v>
      </c>
      <c r="K504" s="2" t="s">
        <v>17130</v>
      </c>
      <c r="L504" s="10" t="s">
        <v>17131</v>
      </c>
    </row>
    <row r="505">
      <c r="A505" s="2" t="s">
        <v>1</v>
      </c>
      <c r="B505" s="2" t="s">
        <v>17132</v>
      </c>
      <c r="C505" s="2">
        <v>6.67246322E9</v>
      </c>
      <c r="D505" s="2" t="s">
        <v>17133</v>
      </c>
      <c r="E505" s="2">
        <v>514679.0</v>
      </c>
      <c r="F505" s="2">
        <v>599.0</v>
      </c>
      <c r="G505" s="2">
        <v>646.0</v>
      </c>
      <c r="H505" s="2" t="s">
        <v>5906</v>
      </c>
      <c r="I505" s="2" t="s">
        <v>5905</v>
      </c>
      <c r="J505" s="2" t="s">
        <v>9793</v>
      </c>
      <c r="K505" s="2" t="s">
        <v>17134</v>
      </c>
      <c r="L505" s="10" t="s">
        <v>17135</v>
      </c>
    </row>
    <row r="506">
      <c r="A506" s="2" t="s">
        <v>1</v>
      </c>
      <c r="B506" s="2" t="s">
        <v>17136</v>
      </c>
      <c r="C506" s="2">
        <v>3.7027919947E10</v>
      </c>
      <c r="D506" s="2" t="s">
        <v>17137</v>
      </c>
      <c r="E506" s="2">
        <v>817648.0</v>
      </c>
      <c r="F506" s="2">
        <v>678.0</v>
      </c>
      <c r="G506" s="2">
        <v>1209.0</v>
      </c>
      <c r="H506" s="2" t="s">
        <v>5906</v>
      </c>
      <c r="I506" s="2" t="s">
        <v>5905</v>
      </c>
      <c r="J506" s="2" t="s">
        <v>9793</v>
      </c>
      <c r="K506" s="2" t="s">
        <v>17138</v>
      </c>
      <c r="L506" s="10" t="s">
        <v>17139</v>
      </c>
    </row>
    <row r="507">
      <c r="A507" s="2" t="s">
        <v>1</v>
      </c>
      <c r="B507" s="2" t="s">
        <v>17140</v>
      </c>
      <c r="C507" s="2">
        <v>5.8274537672E10</v>
      </c>
      <c r="D507" s="2" t="s">
        <v>17141</v>
      </c>
      <c r="E507" s="2">
        <v>137163.0</v>
      </c>
      <c r="F507" s="2">
        <v>27.0</v>
      </c>
      <c r="G507" s="2">
        <v>119.0</v>
      </c>
      <c r="H507" s="2" t="s">
        <v>5905</v>
      </c>
      <c r="I507" s="2" t="s">
        <v>5905</v>
      </c>
      <c r="J507" s="2" t="s">
        <v>7155</v>
      </c>
      <c r="K507" s="2" t="s">
        <v>17142</v>
      </c>
      <c r="L507" s="10" t="s">
        <v>17143</v>
      </c>
    </row>
    <row r="508">
      <c r="A508" s="2" t="s">
        <v>35</v>
      </c>
      <c r="B508" s="2" t="s">
        <v>17144</v>
      </c>
      <c r="C508" s="2">
        <v>4878364.0</v>
      </c>
      <c r="D508" s="2" t="s">
        <v>17145</v>
      </c>
      <c r="E508" s="2">
        <v>3618578.0</v>
      </c>
      <c r="F508" s="2">
        <v>162.0</v>
      </c>
      <c r="G508" s="2">
        <v>5926.0</v>
      </c>
      <c r="H508" s="2" t="s">
        <v>5906</v>
      </c>
      <c r="I508" s="2" t="s">
        <v>5906</v>
      </c>
      <c r="J508" s="2" t="s">
        <v>5963</v>
      </c>
      <c r="K508" s="2" t="s">
        <v>17146</v>
      </c>
      <c r="L508" s="10" t="s">
        <v>17147</v>
      </c>
    </row>
    <row r="509">
      <c r="A509" s="2" t="s">
        <v>35</v>
      </c>
      <c r="B509" s="2" t="s">
        <v>17148</v>
      </c>
      <c r="C509" s="2">
        <v>5.8676522641E10</v>
      </c>
      <c r="D509" s="2" t="s">
        <v>17149</v>
      </c>
      <c r="E509" s="2">
        <v>382179.0</v>
      </c>
      <c r="F509" s="2">
        <v>1.0</v>
      </c>
      <c r="G509" s="2">
        <v>550.0</v>
      </c>
      <c r="H509" s="2" t="s">
        <v>5905</v>
      </c>
      <c r="I509" s="2" t="s">
        <v>5906</v>
      </c>
      <c r="J509" s="2" t="s">
        <v>7140</v>
      </c>
      <c r="K509" s="2" t="s">
        <v>17150</v>
      </c>
      <c r="L509" s="10" t="s">
        <v>17151</v>
      </c>
    </row>
    <row r="510">
      <c r="A510" s="2" t="s">
        <v>35</v>
      </c>
      <c r="B510" s="2" t="s">
        <v>17152</v>
      </c>
      <c r="C510" s="2">
        <v>2.125198118E10</v>
      </c>
      <c r="D510" s="2" t="s">
        <v>17153</v>
      </c>
      <c r="E510" s="2">
        <v>256863.0</v>
      </c>
      <c r="F510" s="2">
        <v>2605.0</v>
      </c>
      <c r="G510" s="2">
        <v>162.0</v>
      </c>
      <c r="H510" s="2" t="s">
        <v>5906</v>
      </c>
      <c r="I510" s="2" t="s">
        <v>5905</v>
      </c>
      <c r="J510" s="2" t="s">
        <v>17093</v>
      </c>
      <c r="K510" s="2" t="s">
        <v>17154</v>
      </c>
      <c r="L510" s="10" t="s">
        <v>17155</v>
      </c>
    </row>
    <row r="511">
      <c r="A511" s="2" t="s">
        <v>35</v>
      </c>
      <c r="B511" s="2" t="s">
        <v>35</v>
      </c>
      <c r="C511" s="2">
        <v>1.460331947E9</v>
      </c>
      <c r="D511" s="2" t="s">
        <v>17156</v>
      </c>
      <c r="E511" s="2">
        <v>2203576.0</v>
      </c>
      <c r="F511" s="2">
        <v>6.0</v>
      </c>
      <c r="G511" s="2">
        <v>1183.0</v>
      </c>
      <c r="H511" s="2" t="s">
        <v>5906</v>
      </c>
      <c r="I511" s="2" t="s">
        <v>5906</v>
      </c>
      <c r="K511" s="2" t="s">
        <v>17157</v>
      </c>
      <c r="L511" s="10" t="s">
        <v>17158</v>
      </c>
    </row>
    <row r="512">
      <c r="A512" s="2" t="s">
        <v>35</v>
      </c>
      <c r="B512" s="2" t="s">
        <v>17159</v>
      </c>
      <c r="C512" s="2">
        <v>4.5559561432E10</v>
      </c>
      <c r="D512" s="2" t="s">
        <v>17160</v>
      </c>
      <c r="E512" s="2">
        <v>434934.0</v>
      </c>
      <c r="F512" s="2">
        <v>670.0</v>
      </c>
      <c r="G512" s="2">
        <v>1050.0</v>
      </c>
      <c r="H512" s="2" t="s">
        <v>5906</v>
      </c>
      <c r="I512" s="2" t="s">
        <v>5905</v>
      </c>
      <c r="J512" s="2" t="s">
        <v>9793</v>
      </c>
      <c r="K512" s="2" t="s">
        <v>17161</v>
      </c>
      <c r="L512" s="10" t="s">
        <v>17162</v>
      </c>
    </row>
  </sheetData>
  <hyperlinks>
    <hyperlink r:id="rId1" ref="B2"/>
    <hyperlink r:id="rId2" ref="L2"/>
    <hyperlink r:id="rId3" ref="L3"/>
    <hyperlink r:id="rId4" ref="B4"/>
    <hyperlink r:id="rId5" ref="L4"/>
    <hyperlink r:id="rId6" ref="B5"/>
    <hyperlink r:id="rId7" ref="L5"/>
    <hyperlink r:id="rId8" ref="L6"/>
    <hyperlink r:id="rId9" ref="L9"/>
    <hyperlink r:id="rId10" ref="L12"/>
    <hyperlink r:id="rId11" ref="L13"/>
    <hyperlink r:id="rId12" ref="L14"/>
    <hyperlink r:id="rId13" ref="L16"/>
    <hyperlink r:id="rId14" ref="L17"/>
    <hyperlink r:id="rId15" ref="L18"/>
    <hyperlink r:id="rId16" ref="L19"/>
    <hyperlink r:id="rId17" ref="L20"/>
    <hyperlink r:id="rId18" ref="L21"/>
    <hyperlink r:id="rId19" ref="L22"/>
    <hyperlink r:id="rId20" ref="L23"/>
    <hyperlink r:id="rId21" ref="L24"/>
    <hyperlink r:id="rId22" ref="L25"/>
    <hyperlink r:id="rId23" ref="L26"/>
    <hyperlink r:id="rId24" ref="L27"/>
    <hyperlink r:id="rId25" ref="L28"/>
    <hyperlink r:id="rId26" ref="L29"/>
    <hyperlink r:id="rId27" ref="L30"/>
    <hyperlink r:id="rId28" ref="L31"/>
    <hyperlink r:id="rId29" ref="L32"/>
    <hyperlink r:id="rId30" ref="L33"/>
    <hyperlink r:id="rId31" ref="L34"/>
    <hyperlink r:id="rId32" ref="L36"/>
    <hyperlink r:id="rId33" ref="L37"/>
    <hyperlink r:id="rId34" ref="L39"/>
    <hyperlink r:id="rId35" ref="L40"/>
    <hyperlink r:id="rId36" ref="L41"/>
    <hyperlink r:id="rId37" ref="L42"/>
    <hyperlink r:id="rId38" ref="L43"/>
    <hyperlink r:id="rId39" ref="L44"/>
    <hyperlink r:id="rId40" ref="L45"/>
    <hyperlink r:id="rId41" ref="B46"/>
    <hyperlink r:id="rId42" ref="L46"/>
    <hyperlink r:id="rId43" ref="L48"/>
    <hyperlink r:id="rId44" ref="L51"/>
    <hyperlink r:id="rId45" ref="L52"/>
    <hyperlink r:id="rId46" ref="L54"/>
    <hyperlink r:id="rId47" ref="L55"/>
    <hyperlink r:id="rId48" ref="L56"/>
    <hyperlink r:id="rId49" ref="L57"/>
    <hyperlink r:id="rId50" ref="L58"/>
    <hyperlink r:id="rId51" ref="L59"/>
    <hyperlink r:id="rId52" ref="L61"/>
    <hyperlink r:id="rId53" ref="L62"/>
    <hyperlink r:id="rId54" ref="L63"/>
    <hyperlink r:id="rId55" ref="L65"/>
    <hyperlink r:id="rId56" ref="B66"/>
    <hyperlink r:id="rId57" ref="L66"/>
    <hyperlink r:id="rId58" ref="L67"/>
    <hyperlink r:id="rId59" ref="L68"/>
    <hyperlink r:id="rId60" ref="L69"/>
    <hyperlink r:id="rId61" ref="L70"/>
    <hyperlink r:id="rId62" ref="L71"/>
    <hyperlink r:id="rId63" ref="L72"/>
    <hyperlink r:id="rId64" ref="L73"/>
    <hyperlink r:id="rId65" ref="L74"/>
    <hyperlink r:id="rId66" ref="L76"/>
    <hyperlink r:id="rId67" ref="L77"/>
    <hyperlink r:id="rId68" ref="L78"/>
    <hyperlink r:id="rId69" ref="L79"/>
    <hyperlink r:id="rId70" ref="L80"/>
    <hyperlink r:id="rId71" ref="L81"/>
    <hyperlink r:id="rId72" ref="L82"/>
    <hyperlink r:id="rId73" ref="L83"/>
    <hyperlink r:id="rId74" ref="L84"/>
    <hyperlink r:id="rId75" ref="L86"/>
    <hyperlink r:id="rId76" ref="L90"/>
    <hyperlink r:id="rId77" ref="L92"/>
    <hyperlink r:id="rId78" ref="L93"/>
    <hyperlink r:id="rId79" ref="L94"/>
    <hyperlink r:id="rId80" ref="L95"/>
    <hyperlink r:id="rId81" ref="L96"/>
    <hyperlink r:id="rId82" ref="L97"/>
    <hyperlink r:id="rId83" ref="L98"/>
    <hyperlink r:id="rId84" ref="L99"/>
    <hyperlink r:id="rId85" ref="L100"/>
    <hyperlink r:id="rId86" ref="L101"/>
    <hyperlink r:id="rId87" ref="L102"/>
    <hyperlink r:id="rId88" ref="L103"/>
    <hyperlink r:id="rId89" ref="L104"/>
    <hyperlink r:id="rId90" ref="L106"/>
    <hyperlink r:id="rId91" ref="L107"/>
    <hyperlink r:id="rId92" ref="L108"/>
    <hyperlink r:id="rId93" ref="L110"/>
    <hyperlink r:id="rId94" ref="L111"/>
    <hyperlink r:id="rId95" ref="L112"/>
    <hyperlink r:id="rId96" ref="L113"/>
    <hyperlink r:id="rId97" ref="L114"/>
    <hyperlink r:id="rId98" ref="L115"/>
    <hyperlink r:id="rId99" ref="L116"/>
    <hyperlink r:id="rId100" ref="L118"/>
    <hyperlink r:id="rId101" ref="L122"/>
    <hyperlink r:id="rId102" ref="L123"/>
    <hyperlink r:id="rId103" ref="L124"/>
    <hyperlink r:id="rId104" ref="L125"/>
    <hyperlink r:id="rId105" ref="L126"/>
    <hyperlink r:id="rId106" ref="L127"/>
    <hyperlink r:id="rId107" ref="L130"/>
    <hyperlink r:id="rId108" ref="L131"/>
    <hyperlink r:id="rId109" ref="L132"/>
    <hyperlink r:id="rId110" ref="L133"/>
    <hyperlink r:id="rId111" ref="L136"/>
    <hyperlink r:id="rId112" ref="L137"/>
    <hyperlink r:id="rId113" ref="L138"/>
    <hyperlink r:id="rId114" ref="L140"/>
    <hyperlink r:id="rId115" ref="L141"/>
    <hyperlink r:id="rId116" ref="L146"/>
    <hyperlink r:id="rId117" ref="L147"/>
    <hyperlink r:id="rId118" ref="D148"/>
    <hyperlink r:id="rId119" ref="L148"/>
    <hyperlink r:id="rId120" ref="L149"/>
    <hyperlink r:id="rId121" ref="L150"/>
    <hyperlink r:id="rId122" ref="L152"/>
    <hyperlink r:id="rId123" ref="L154"/>
    <hyperlink r:id="rId124" ref="L156"/>
    <hyperlink r:id="rId125" ref="L157"/>
    <hyperlink r:id="rId126" ref="L160"/>
    <hyperlink r:id="rId127" ref="L167"/>
    <hyperlink r:id="rId128" ref="L168"/>
    <hyperlink r:id="rId129" ref="L169"/>
    <hyperlink r:id="rId130" ref="L171"/>
    <hyperlink r:id="rId131" ref="L172"/>
    <hyperlink r:id="rId132" ref="L174"/>
    <hyperlink r:id="rId133" ref="L175"/>
    <hyperlink r:id="rId134" ref="L176"/>
    <hyperlink r:id="rId135" ref="L177"/>
    <hyperlink r:id="rId136" ref="L178"/>
    <hyperlink r:id="rId137" ref="L179"/>
    <hyperlink r:id="rId138" ref="L180"/>
    <hyperlink r:id="rId139" ref="L184"/>
    <hyperlink r:id="rId140" ref="D185"/>
    <hyperlink r:id="rId141" ref="L185"/>
    <hyperlink r:id="rId142" ref="L189"/>
    <hyperlink r:id="rId143" ref="L190"/>
    <hyperlink r:id="rId144" ref="L191"/>
    <hyperlink r:id="rId145" ref="L192"/>
    <hyperlink r:id="rId146" ref="L193"/>
    <hyperlink r:id="rId147" ref="L195"/>
    <hyperlink r:id="rId148" ref="L198"/>
    <hyperlink r:id="rId149" ref="L200"/>
    <hyperlink r:id="rId150" ref="L201"/>
    <hyperlink r:id="rId151" ref="L204"/>
    <hyperlink r:id="rId152" ref="L205"/>
    <hyperlink r:id="rId153" ref="L206"/>
    <hyperlink r:id="rId154" ref="L208"/>
    <hyperlink r:id="rId155" ref="L209"/>
    <hyperlink r:id="rId156" ref="L211"/>
    <hyperlink r:id="rId157" ref="L212"/>
    <hyperlink r:id="rId158" ref="L214"/>
    <hyperlink r:id="rId159" ref="L217"/>
    <hyperlink r:id="rId160" ref="L219"/>
    <hyperlink r:id="rId161" ref="L221"/>
    <hyperlink r:id="rId162" ref="L223"/>
    <hyperlink r:id="rId163" ref="D224"/>
    <hyperlink r:id="rId164" ref="L224"/>
    <hyperlink r:id="rId165" ref="L225"/>
    <hyperlink r:id="rId166" ref="L227"/>
    <hyperlink r:id="rId167" ref="L229"/>
    <hyperlink r:id="rId168" ref="L231"/>
    <hyperlink r:id="rId169" ref="B232"/>
    <hyperlink r:id="rId170" ref="L232"/>
    <hyperlink r:id="rId171" ref="B233"/>
    <hyperlink r:id="rId172" ref="L234"/>
    <hyperlink r:id="rId173" ref="L235"/>
    <hyperlink r:id="rId174" ref="L236"/>
    <hyperlink r:id="rId175" ref="L237"/>
    <hyperlink r:id="rId176" ref="L238"/>
    <hyperlink r:id="rId177" ref="L241"/>
    <hyperlink r:id="rId178" ref="L242"/>
    <hyperlink r:id="rId179" ref="L243"/>
    <hyperlink r:id="rId180" ref="D244"/>
    <hyperlink r:id="rId181" ref="L244"/>
    <hyperlink r:id="rId182" ref="L246"/>
    <hyperlink r:id="rId183" ref="L247"/>
    <hyperlink r:id="rId184" ref="L248"/>
    <hyperlink r:id="rId185" ref="L249"/>
    <hyperlink r:id="rId186" ref="L250"/>
    <hyperlink r:id="rId187" ref="L251"/>
    <hyperlink r:id="rId188" ref="L253"/>
    <hyperlink r:id="rId189" ref="L255"/>
    <hyperlink r:id="rId190" ref="L257"/>
    <hyperlink r:id="rId191" ref="L261"/>
    <hyperlink r:id="rId192" ref="L262"/>
    <hyperlink r:id="rId193" ref="L263"/>
    <hyperlink r:id="rId194" ref="L264"/>
    <hyperlink r:id="rId195" ref="L266"/>
    <hyperlink r:id="rId196" ref="L267"/>
    <hyperlink r:id="rId197" ref="L268"/>
    <hyperlink r:id="rId198" ref="L269"/>
    <hyperlink r:id="rId199" ref="L270"/>
    <hyperlink r:id="rId200" ref="L271"/>
    <hyperlink r:id="rId201" ref="L273"/>
    <hyperlink r:id="rId202" ref="L274"/>
    <hyperlink r:id="rId203" ref="L275"/>
    <hyperlink r:id="rId204" ref="L278"/>
    <hyperlink r:id="rId205" ref="L279"/>
    <hyperlink r:id="rId206" ref="L282"/>
    <hyperlink r:id="rId207" ref="L283"/>
    <hyperlink r:id="rId208" ref="L284"/>
    <hyperlink r:id="rId209" ref="L285"/>
    <hyperlink r:id="rId210" ref="L286"/>
    <hyperlink r:id="rId211" ref="L287"/>
    <hyperlink r:id="rId212" ref="L288"/>
    <hyperlink r:id="rId213" ref="L290"/>
    <hyperlink r:id="rId214" ref="L294"/>
    <hyperlink r:id="rId215" ref="L297"/>
    <hyperlink r:id="rId216" ref="L299"/>
    <hyperlink r:id="rId217" ref="L300"/>
    <hyperlink r:id="rId218" ref="L301"/>
    <hyperlink r:id="rId219" ref="L302"/>
    <hyperlink r:id="rId220" ref="L303"/>
    <hyperlink r:id="rId221" ref="L304"/>
    <hyperlink r:id="rId222" ref="L305"/>
    <hyperlink r:id="rId223" ref="L306"/>
    <hyperlink r:id="rId224" ref="L307"/>
    <hyperlink r:id="rId225" ref="L308"/>
    <hyperlink r:id="rId226" ref="L309"/>
    <hyperlink r:id="rId227" ref="L311"/>
    <hyperlink r:id="rId228" ref="L312"/>
    <hyperlink r:id="rId229" ref="L313"/>
    <hyperlink r:id="rId230" ref="L314"/>
    <hyperlink r:id="rId231" ref="L315"/>
    <hyperlink r:id="rId232" ref="L316"/>
    <hyperlink r:id="rId233" ref="L320"/>
    <hyperlink r:id="rId234" ref="L321"/>
    <hyperlink r:id="rId235" ref="L322"/>
    <hyperlink r:id="rId236" ref="L323"/>
    <hyperlink r:id="rId237" ref="L324"/>
    <hyperlink r:id="rId238" ref="L325"/>
    <hyperlink r:id="rId239" ref="L326"/>
    <hyperlink r:id="rId240" ref="L329"/>
    <hyperlink r:id="rId241" ref="L330"/>
    <hyperlink r:id="rId242" ref="L331"/>
    <hyperlink r:id="rId243" ref="L332"/>
    <hyperlink r:id="rId244" ref="L333"/>
    <hyperlink r:id="rId245" ref="B334"/>
    <hyperlink r:id="rId246" ref="L335"/>
    <hyperlink r:id="rId247" ref="L337"/>
    <hyperlink r:id="rId248" ref="L338"/>
    <hyperlink r:id="rId249" ref="L339"/>
    <hyperlink r:id="rId250" ref="L340"/>
    <hyperlink r:id="rId251" ref="L341"/>
    <hyperlink r:id="rId252" ref="L342"/>
    <hyperlink r:id="rId253" ref="L344"/>
    <hyperlink r:id="rId254" ref="L345"/>
    <hyperlink r:id="rId255" ref="L346"/>
    <hyperlink r:id="rId256" ref="L348"/>
    <hyperlink r:id="rId257" ref="L349"/>
    <hyperlink r:id="rId258" ref="L351"/>
    <hyperlink r:id="rId259" ref="L352"/>
    <hyperlink r:id="rId260" ref="L353"/>
    <hyperlink r:id="rId261" ref="L355"/>
    <hyperlink r:id="rId262" ref="L356"/>
    <hyperlink r:id="rId263" ref="L358"/>
    <hyperlink r:id="rId264" ref="L359"/>
    <hyperlink r:id="rId265" ref="L361"/>
    <hyperlink r:id="rId266" ref="L362"/>
    <hyperlink r:id="rId267" ref="L363"/>
    <hyperlink r:id="rId268" ref="L364"/>
    <hyperlink r:id="rId269" ref="L365"/>
    <hyperlink r:id="rId270" ref="L366"/>
    <hyperlink r:id="rId271" ref="L367"/>
    <hyperlink r:id="rId272" ref="L368"/>
    <hyperlink r:id="rId273" ref="L369"/>
    <hyperlink r:id="rId274" ref="L370"/>
    <hyperlink r:id="rId275" ref="L371"/>
    <hyperlink r:id="rId276" ref="L372"/>
    <hyperlink r:id="rId277" ref="L373"/>
    <hyperlink r:id="rId278" ref="L374"/>
    <hyperlink r:id="rId279" ref="L376"/>
    <hyperlink r:id="rId280" ref="L377"/>
    <hyperlink r:id="rId281" ref="L379"/>
    <hyperlink r:id="rId282" ref="L380"/>
    <hyperlink r:id="rId283" ref="L381"/>
    <hyperlink r:id="rId284" ref="L382"/>
    <hyperlink r:id="rId285" ref="L384"/>
    <hyperlink r:id="rId286" ref="L385"/>
    <hyperlink r:id="rId287" ref="L386"/>
    <hyperlink r:id="rId288" ref="L387"/>
    <hyperlink r:id="rId289" ref="L388"/>
    <hyperlink r:id="rId290" ref="L390"/>
    <hyperlink r:id="rId291" ref="L391"/>
    <hyperlink r:id="rId292" ref="L393"/>
    <hyperlink r:id="rId293" ref="L394"/>
    <hyperlink r:id="rId294" ref="L396"/>
    <hyperlink r:id="rId295" ref="D397"/>
    <hyperlink r:id="rId296" ref="L397"/>
    <hyperlink r:id="rId297" ref="L398"/>
    <hyperlink r:id="rId298" ref="B399"/>
    <hyperlink r:id="rId299" ref="L399"/>
    <hyperlink r:id="rId300" ref="L400"/>
    <hyperlink r:id="rId301" ref="L403"/>
    <hyperlink r:id="rId302" ref="L404"/>
    <hyperlink r:id="rId303" ref="L405"/>
    <hyperlink r:id="rId304" ref="L409"/>
    <hyperlink r:id="rId305" ref="L410"/>
    <hyperlink r:id="rId306" ref="L411"/>
    <hyperlink r:id="rId307" ref="L412"/>
    <hyperlink r:id="rId308" ref="L413"/>
    <hyperlink r:id="rId309" ref="L414"/>
    <hyperlink r:id="rId310" ref="L416"/>
    <hyperlink r:id="rId311" ref="L417"/>
    <hyperlink r:id="rId312" ref="L419"/>
    <hyperlink r:id="rId313" ref="L420"/>
    <hyperlink r:id="rId314" ref="L421"/>
    <hyperlink r:id="rId315" ref="L423"/>
    <hyperlink r:id="rId316" ref="L425"/>
    <hyperlink r:id="rId317" ref="L426"/>
    <hyperlink r:id="rId318" ref="L431"/>
    <hyperlink r:id="rId319" ref="L433"/>
    <hyperlink r:id="rId320" ref="L434"/>
    <hyperlink r:id="rId321" ref="L435"/>
    <hyperlink r:id="rId322" ref="L437"/>
    <hyperlink r:id="rId323" ref="L439"/>
    <hyperlink r:id="rId324" ref="L440"/>
    <hyperlink r:id="rId325" ref="L441"/>
    <hyperlink r:id="rId326" ref="L442"/>
    <hyperlink r:id="rId327" ref="L444"/>
    <hyperlink r:id="rId328" ref="L445"/>
    <hyperlink r:id="rId329" ref="L447"/>
    <hyperlink r:id="rId330" ref="L448"/>
    <hyperlink r:id="rId331" ref="L449"/>
    <hyperlink r:id="rId332" ref="L450"/>
    <hyperlink r:id="rId333" ref="L453"/>
    <hyperlink r:id="rId334" ref="L454"/>
    <hyperlink r:id="rId335" ref="L455"/>
    <hyperlink r:id="rId336" ref="L456"/>
    <hyperlink r:id="rId337" ref="L457"/>
    <hyperlink r:id="rId338" ref="L458"/>
    <hyperlink r:id="rId339" ref="L460"/>
    <hyperlink r:id="rId340" ref="L461"/>
    <hyperlink r:id="rId341" ref="L463"/>
    <hyperlink r:id="rId342" ref="L464"/>
    <hyperlink r:id="rId343" ref="L467"/>
    <hyperlink r:id="rId344" ref="L468"/>
    <hyperlink r:id="rId345" ref="L469"/>
    <hyperlink r:id="rId346" ref="L471"/>
    <hyperlink r:id="rId347" ref="L472"/>
    <hyperlink r:id="rId348" ref="L473"/>
    <hyperlink r:id="rId349" ref="L474"/>
    <hyperlink r:id="rId350" ref="L475"/>
    <hyperlink r:id="rId351" ref="B476"/>
    <hyperlink r:id="rId352" ref="L476"/>
    <hyperlink r:id="rId353" ref="L477"/>
    <hyperlink r:id="rId354" ref="L478"/>
    <hyperlink r:id="rId355" ref="L479"/>
    <hyperlink r:id="rId356" ref="L481"/>
    <hyperlink r:id="rId357" ref="L482"/>
    <hyperlink r:id="rId358" ref="L483"/>
    <hyperlink r:id="rId359" ref="L486"/>
    <hyperlink r:id="rId360" ref="L487"/>
    <hyperlink r:id="rId361" ref="L490"/>
    <hyperlink r:id="rId362" ref="L491"/>
    <hyperlink r:id="rId363" ref="L492"/>
    <hyperlink r:id="rId364" ref="L495"/>
    <hyperlink r:id="rId365" ref="L496"/>
    <hyperlink r:id="rId366" ref="L497"/>
    <hyperlink r:id="rId367" ref="L500"/>
    <hyperlink r:id="rId368" ref="L503"/>
    <hyperlink r:id="rId369" ref="B504"/>
    <hyperlink r:id="rId370" ref="L504"/>
    <hyperlink r:id="rId371" ref="L505"/>
    <hyperlink r:id="rId372" ref="L506"/>
    <hyperlink r:id="rId373" ref="L507"/>
    <hyperlink r:id="rId374" ref="L508"/>
    <hyperlink r:id="rId375" ref="L509"/>
    <hyperlink r:id="rId376" ref="L510"/>
    <hyperlink r:id="rId377" ref="L511"/>
    <hyperlink r:id="rId378" ref="L512"/>
  </hyperlinks>
  <drawing r:id="rId37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4511</v>
      </c>
      <c r="B2" s="2" t="s">
        <v>17163</v>
      </c>
      <c r="C2" s="2">
        <v>1.88075234E10</v>
      </c>
      <c r="D2" s="12" t="s">
        <v>17164</v>
      </c>
      <c r="E2" s="2">
        <v>976525.0</v>
      </c>
      <c r="F2" s="2">
        <v>371.0</v>
      </c>
      <c r="G2" s="2">
        <v>440.0</v>
      </c>
      <c r="H2" s="2" t="s">
        <v>5905</v>
      </c>
      <c r="I2" s="2" t="s">
        <v>5906</v>
      </c>
      <c r="J2" s="2" t="s">
        <v>9016</v>
      </c>
      <c r="K2" s="12" t="s">
        <v>17165</v>
      </c>
      <c r="L2" s="10" t="s">
        <v>17166</v>
      </c>
    </row>
    <row r="3">
      <c r="A3" s="2" t="s">
        <v>4511</v>
      </c>
      <c r="B3" s="2" t="s">
        <v>17167</v>
      </c>
      <c r="C3" s="2">
        <v>8.432598951E9</v>
      </c>
      <c r="D3" s="2" t="s">
        <v>17168</v>
      </c>
      <c r="E3" s="2">
        <v>17751.0</v>
      </c>
      <c r="F3" s="2">
        <v>2161.0</v>
      </c>
      <c r="G3" s="2">
        <v>724.0</v>
      </c>
      <c r="H3" s="2" t="s">
        <v>5906</v>
      </c>
      <c r="I3" s="2" t="s">
        <v>5906</v>
      </c>
      <c r="J3" s="2" t="s">
        <v>4404</v>
      </c>
      <c r="K3" s="2" t="s">
        <v>17169</v>
      </c>
      <c r="L3" s="10" t="s">
        <v>17170</v>
      </c>
    </row>
    <row r="4">
      <c r="A4" s="2" t="s">
        <v>4511</v>
      </c>
      <c r="B4" s="2" t="s">
        <v>17171</v>
      </c>
      <c r="C4" s="2">
        <v>1.828124235E9</v>
      </c>
      <c r="D4" s="2" t="s">
        <v>17172</v>
      </c>
      <c r="E4" s="2">
        <v>16502.0</v>
      </c>
      <c r="F4" s="2">
        <v>196.0</v>
      </c>
      <c r="G4" s="2">
        <v>847.0</v>
      </c>
      <c r="H4" s="2" t="s">
        <v>5905</v>
      </c>
      <c r="I4" s="2" t="s">
        <v>5906</v>
      </c>
      <c r="J4" s="2" t="s">
        <v>5561</v>
      </c>
      <c r="K4" s="2" t="s">
        <v>17173</v>
      </c>
      <c r="L4" s="10" t="s">
        <v>17174</v>
      </c>
    </row>
    <row r="5">
      <c r="A5" s="2" t="s">
        <v>4511</v>
      </c>
      <c r="B5" s="2" t="s">
        <v>17175</v>
      </c>
      <c r="C5" s="2">
        <v>6.8037252489E10</v>
      </c>
      <c r="D5" s="2" t="s">
        <v>17176</v>
      </c>
      <c r="E5" s="2">
        <v>57544.0</v>
      </c>
      <c r="F5" s="2">
        <v>24.0</v>
      </c>
      <c r="G5" s="2">
        <v>101.0</v>
      </c>
      <c r="H5" s="2" t="s">
        <v>5906</v>
      </c>
      <c r="I5" s="2" t="s">
        <v>5905</v>
      </c>
      <c r="J5" s="2" t="s">
        <v>17177</v>
      </c>
      <c r="K5" s="2" t="s">
        <v>17178</v>
      </c>
      <c r="L5" s="10" t="s">
        <v>17179</v>
      </c>
    </row>
    <row r="6">
      <c r="A6" s="2" t="s">
        <v>4511</v>
      </c>
      <c r="B6" s="2" t="s">
        <v>17180</v>
      </c>
      <c r="C6" s="2">
        <v>6.9857231347E10</v>
      </c>
      <c r="D6" s="2" t="s">
        <v>17181</v>
      </c>
      <c r="E6" s="2">
        <v>10360.0</v>
      </c>
      <c r="F6" s="2">
        <v>357.0</v>
      </c>
      <c r="G6" s="2">
        <v>297.0</v>
      </c>
      <c r="H6" s="2" t="s">
        <v>5906</v>
      </c>
      <c r="I6" s="2" t="s">
        <v>5905</v>
      </c>
      <c r="J6" s="2" t="s">
        <v>5993</v>
      </c>
      <c r="K6" s="2" t="s">
        <v>17182</v>
      </c>
      <c r="L6" s="10" t="s">
        <v>17183</v>
      </c>
    </row>
    <row r="7">
      <c r="A7" s="2" t="s">
        <v>4511</v>
      </c>
      <c r="B7" s="2" t="s">
        <v>17184</v>
      </c>
      <c r="C7" s="2">
        <v>8289398.0</v>
      </c>
      <c r="D7" s="2" t="s">
        <v>17185</v>
      </c>
      <c r="E7" s="2">
        <v>53728.0</v>
      </c>
      <c r="F7" s="2">
        <v>1130.0</v>
      </c>
      <c r="G7" s="2">
        <v>317.0</v>
      </c>
      <c r="H7" s="2" t="s">
        <v>5905</v>
      </c>
      <c r="I7" s="2" t="s">
        <v>5905</v>
      </c>
      <c r="J7" s="2" t="s">
        <v>4404</v>
      </c>
      <c r="K7" s="2" t="s">
        <v>17186</v>
      </c>
      <c r="L7" s="10" t="s">
        <v>17187</v>
      </c>
    </row>
    <row r="8">
      <c r="A8" s="2" t="s">
        <v>4511</v>
      </c>
      <c r="B8" s="2" t="s">
        <v>17188</v>
      </c>
      <c r="C8" s="2">
        <v>6.3458711456E10</v>
      </c>
      <c r="D8" s="2" t="s">
        <v>17189</v>
      </c>
      <c r="E8" s="2">
        <v>183216.0</v>
      </c>
      <c r="F8" s="2">
        <v>625.0</v>
      </c>
      <c r="G8" s="2">
        <v>51.0</v>
      </c>
      <c r="H8" s="2" t="s">
        <v>5906</v>
      </c>
      <c r="I8" s="2" t="s">
        <v>5905</v>
      </c>
      <c r="J8" s="2" t="s">
        <v>5993</v>
      </c>
      <c r="K8" s="2" t="s">
        <v>17190</v>
      </c>
    </row>
    <row r="9">
      <c r="A9" s="2" t="s">
        <v>4466</v>
      </c>
      <c r="B9" s="2" t="s">
        <v>17191</v>
      </c>
      <c r="C9" s="2">
        <v>4.270420626E9</v>
      </c>
      <c r="D9" s="2" t="s">
        <v>17192</v>
      </c>
      <c r="E9" s="2">
        <v>1199742.0</v>
      </c>
      <c r="F9" s="2">
        <v>1639.0</v>
      </c>
      <c r="G9" s="2">
        <v>5621.0</v>
      </c>
      <c r="H9" s="2" t="s">
        <v>5906</v>
      </c>
      <c r="I9" s="2" t="s">
        <v>5906</v>
      </c>
      <c r="J9" s="2" t="s">
        <v>11389</v>
      </c>
      <c r="K9" s="2" t="s">
        <v>17193</v>
      </c>
      <c r="L9" s="10" t="s">
        <v>17194</v>
      </c>
    </row>
    <row r="10">
      <c r="A10" s="2" t="s">
        <v>4466</v>
      </c>
      <c r="B10" s="2" t="s">
        <v>17195</v>
      </c>
      <c r="C10" s="2">
        <v>9.132514639E9</v>
      </c>
      <c r="D10" s="2" t="s">
        <v>17196</v>
      </c>
      <c r="E10" s="2">
        <v>82684.0</v>
      </c>
      <c r="F10" s="2">
        <v>21.0</v>
      </c>
      <c r="G10" s="2">
        <v>1312.0</v>
      </c>
      <c r="H10" s="2" t="s">
        <v>5905</v>
      </c>
      <c r="I10" s="2" t="s">
        <v>5906</v>
      </c>
      <c r="J10" s="2" t="s">
        <v>4996</v>
      </c>
      <c r="K10" s="2" t="s">
        <v>17197</v>
      </c>
    </row>
    <row r="11">
      <c r="A11" s="2" t="s">
        <v>4466</v>
      </c>
      <c r="B11" s="2" t="s">
        <v>17198</v>
      </c>
      <c r="C11" s="2">
        <v>4.5215171599E10</v>
      </c>
      <c r="D11" s="2" t="s">
        <v>17199</v>
      </c>
      <c r="E11" s="2">
        <v>10187.0</v>
      </c>
      <c r="F11" s="2">
        <v>1765.0</v>
      </c>
      <c r="G11" s="2">
        <v>294.0</v>
      </c>
      <c r="H11" s="2" t="s">
        <v>5905</v>
      </c>
      <c r="I11" s="2" t="s">
        <v>5905</v>
      </c>
      <c r="J11" s="2" t="s">
        <v>5963</v>
      </c>
      <c r="K11" s="12" t="s">
        <v>17200</v>
      </c>
    </row>
    <row r="12">
      <c r="A12" s="2" t="s">
        <v>4466</v>
      </c>
      <c r="B12" s="2" t="s">
        <v>17201</v>
      </c>
      <c r="C12" s="2">
        <v>4.4020039337E10</v>
      </c>
      <c r="D12" s="2" t="s">
        <v>17202</v>
      </c>
      <c r="E12" s="2">
        <v>25526.0</v>
      </c>
      <c r="F12" s="2">
        <v>70.0</v>
      </c>
      <c r="G12" s="2">
        <v>1119.0</v>
      </c>
      <c r="H12" s="2" t="s">
        <v>5905</v>
      </c>
      <c r="I12" s="2" t="s">
        <v>5905</v>
      </c>
      <c r="J12" s="2" t="s">
        <v>6002</v>
      </c>
      <c r="K12" s="2" t="s">
        <v>17203</v>
      </c>
      <c r="L12" s="10" t="s">
        <v>17204</v>
      </c>
    </row>
    <row r="13">
      <c r="A13" s="2" t="s">
        <v>4466</v>
      </c>
      <c r="B13" s="2" t="s">
        <v>17205</v>
      </c>
      <c r="C13" s="2">
        <v>1.5441643782E10</v>
      </c>
      <c r="D13" s="2" t="s">
        <v>17206</v>
      </c>
      <c r="E13" s="2">
        <v>88303.0</v>
      </c>
      <c r="F13" s="2">
        <v>3122.0</v>
      </c>
      <c r="G13" s="2">
        <v>1476.0</v>
      </c>
      <c r="H13" s="2" t="s">
        <v>5906</v>
      </c>
      <c r="I13" s="2" t="s">
        <v>5906</v>
      </c>
      <c r="J13" s="2" t="s">
        <v>7931</v>
      </c>
      <c r="K13" s="2" t="s">
        <v>17207</v>
      </c>
      <c r="L13" s="10" t="s">
        <v>17208</v>
      </c>
    </row>
    <row r="14">
      <c r="A14" s="2" t="s">
        <v>4466</v>
      </c>
      <c r="B14" s="2" t="s">
        <v>17209</v>
      </c>
      <c r="C14" s="2">
        <v>1.5737165431E10</v>
      </c>
      <c r="D14" s="2" t="s">
        <v>17210</v>
      </c>
      <c r="E14" s="2">
        <v>103806.0</v>
      </c>
      <c r="F14" s="2">
        <v>5.0</v>
      </c>
      <c r="G14" s="2">
        <v>192.0</v>
      </c>
      <c r="H14" s="2" t="s">
        <v>5905</v>
      </c>
      <c r="I14" s="2" t="s">
        <v>5905</v>
      </c>
      <c r="J14" s="2" t="s">
        <v>5963</v>
      </c>
      <c r="K14" s="2" t="s">
        <v>17211</v>
      </c>
      <c r="L14" s="10" t="s">
        <v>17212</v>
      </c>
    </row>
    <row r="15">
      <c r="A15" s="2" t="s">
        <v>4466</v>
      </c>
      <c r="B15" s="2" t="s">
        <v>17213</v>
      </c>
      <c r="C15" s="2">
        <v>1.2568756181E10</v>
      </c>
      <c r="D15" s="2" t="s">
        <v>17214</v>
      </c>
      <c r="E15" s="2">
        <v>152076.0</v>
      </c>
      <c r="F15" s="2">
        <v>2.0</v>
      </c>
      <c r="G15" s="2">
        <v>5093.0</v>
      </c>
      <c r="H15" s="2" t="s">
        <v>5905</v>
      </c>
      <c r="I15" s="2" t="s">
        <v>5905</v>
      </c>
      <c r="J15" s="2" t="s">
        <v>7931</v>
      </c>
      <c r="K15" s="2" t="s">
        <v>17215</v>
      </c>
      <c r="L15" s="10" t="s">
        <v>17216</v>
      </c>
    </row>
    <row r="16">
      <c r="A16" s="2" t="s">
        <v>4466</v>
      </c>
      <c r="B16" s="2" t="s">
        <v>17217</v>
      </c>
      <c r="C16" s="2">
        <v>5.4926348642E10</v>
      </c>
      <c r="D16" s="2" t="s">
        <v>17218</v>
      </c>
      <c r="E16" s="2">
        <v>32291.0</v>
      </c>
      <c r="F16" s="2">
        <v>1.0</v>
      </c>
      <c r="G16" s="2">
        <v>348.0</v>
      </c>
      <c r="H16" s="2" t="s">
        <v>5905</v>
      </c>
      <c r="I16" s="2" t="s">
        <v>5905</v>
      </c>
      <c r="J16" s="2" t="s">
        <v>6002</v>
      </c>
      <c r="K16" s="2" t="s">
        <v>17219</v>
      </c>
      <c r="L16" s="10" t="s">
        <v>17220</v>
      </c>
    </row>
    <row r="17">
      <c r="A17" s="2" t="s">
        <v>4466</v>
      </c>
      <c r="B17" s="2" t="s">
        <v>17221</v>
      </c>
      <c r="C17" s="2">
        <v>5.0239579137E10</v>
      </c>
      <c r="D17" s="2" t="s">
        <v>17222</v>
      </c>
      <c r="E17" s="2">
        <v>103280.0</v>
      </c>
      <c r="F17" s="2">
        <v>841.0</v>
      </c>
      <c r="G17" s="2">
        <v>1316.0</v>
      </c>
      <c r="H17" s="2" t="s">
        <v>5905</v>
      </c>
      <c r="I17" s="2" t="s">
        <v>5905</v>
      </c>
      <c r="J17" s="2" t="s">
        <v>11675</v>
      </c>
      <c r="K17" s="2" t="s">
        <v>17223</v>
      </c>
    </row>
    <row r="18">
      <c r="A18" s="2" t="s">
        <v>4466</v>
      </c>
      <c r="B18" s="2" t="s">
        <v>17224</v>
      </c>
      <c r="C18" s="2">
        <v>3.7019221816E10</v>
      </c>
      <c r="D18" s="12" t="s">
        <v>17225</v>
      </c>
      <c r="E18" s="2">
        <v>327654.0</v>
      </c>
      <c r="F18" s="2">
        <v>72.0</v>
      </c>
      <c r="G18" s="2">
        <v>673.0</v>
      </c>
      <c r="H18" s="2" t="s">
        <v>5905</v>
      </c>
      <c r="I18" s="2" t="s">
        <v>5905</v>
      </c>
      <c r="J18" s="2" t="s">
        <v>11675</v>
      </c>
      <c r="K18" s="2" t="s">
        <v>17226</v>
      </c>
      <c r="L18" s="10" t="s">
        <v>17227</v>
      </c>
    </row>
    <row r="19">
      <c r="A19" s="2" t="s">
        <v>4542</v>
      </c>
      <c r="B19" s="2" t="s">
        <v>4542</v>
      </c>
      <c r="C19" s="2">
        <v>3.294899129E9</v>
      </c>
      <c r="D19" s="2" t="s">
        <v>17228</v>
      </c>
      <c r="E19" s="2">
        <v>1510449.0</v>
      </c>
      <c r="F19" s="2">
        <v>179.0</v>
      </c>
      <c r="G19" s="2">
        <v>3649.0</v>
      </c>
      <c r="H19" s="2" t="s">
        <v>5905</v>
      </c>
      <c r="I19" s="2" t="s">
        <v>5905</v>
      </c>
      <c r="J19" s="2" t="s">
        <v>7620</v>
      </c>
      <c r="K19" s="2" t="s">
        <v>17229</v>
      </c>
    </row>
    <row r="20">
      <c r="A20" s="2" t="s">
        <v>4542</v>
      </c>
      <c r="B20" s="2" t="s">
        <v>17230</v>
      </c>
      <c r="C20" s="2">
        <v>1.636034725E9</v>
      </c>
      <c r="D20" s="2" t="s">
        <v>17231</v>
      </c>
      <c r="E20" s="2">
        <v>120491.0</v>
      </c>
      <c r="F20" s="2">
        <v>864.0</v>
      </c>
      <c r="G20" s="2">
        <v>298.0</v>
      </c>
      <c r="H20" s="2" t="s">
        <v>5905</v>
      </c>
      <c r="I20" s="2" t="s">
        <v>5905</v>
      </c>
      <c r="J20" s="2" t="s">
        <v>8604</v>
      </c>
      <c r="K20" s="2" t="s">
        <v>17232</v>
      </c>
      <c r="L20" s="10" t="s">
        <v>17233</v>
      </c>
    </row>
    <row r="21">
      <c r="A21" s="2" t="s">
        <v>4542</v>
      </c>
      <c r="B21" s="2" t="s">
        <v>17234</v>
      </c>
      <c r="C21" s="2">
        <v>5.866844812E10</v>
      </c>
      <c r="D21" s="2" t="s">
        <v>17235</v>
      </c>
      <c r="E21" s="2">
        <v>140053.0</v>
      </c>
      <c r="F21" s="2">
        <v>37.0</v>
      </c>
      <c r="G21" s="2">
        <v>575.0</v>
      </c>
      <c r="H21" s="2" t="s">
        <v>5905</v>
      </c>
      <c r="I21" s="2" t="s">
        <v>5905</v>
      </c>
      <c r="J21" s="2" t="s">
        <v>5963</v>
      </c>
      <c r="K21" s="2" t="s">
        <v>17236</v>
      </c>
    </row>
    <row r="22">
      <c r="A22" s="2" t="s">
        <v>4542</v>
      </c>
      <c r="B22" s="2" t="s">
        <v>17237</v>
      </c>
      <c r="C22" s="2">
        <v>5.2646317512E10</v>
      </c>
      <c r="D22" s="2" t="s">
        <v>4542</v>
      </c>
      <c r="E22" s="2">
        <v>50217.0</v>
      </c>
      <c r="F22" s="2">
        <v>45.0</v>
      </c>
      <c r="G22" s="2">
        <v>297.0</v>
      </c>
      <c r="H22" s="2" t="s">
        <v>5905</v>
      </c>
      <c r="I22" s="2" t="s">
        <v>5905</v>
      </c>
      <c r="J22" s="2" t="s">
        <v>5928</v>
      </c>
      <c r="K22" s="2" t="s">
        <v>17238</v>
      </c>
      <c r="L22" s="10" t="s">
        <v>17239</v>
      </c>
    </row>
    <row r="23">
      <c r="A23" s="2" t="s">
        <v>4542</v>
      </c>
      <c r="B23" s="2" t="s">
        <v>17240</v>
      </c>
      <c r="C23" s="2">
        <v>5.494054773E10</v>
      </c>
      <c r="D23" s="2" t="s">
        <v>17241</v>
      </c>
      <c r="E23" s="2">
        <v>20913.0</v>
      </c>
      <c r="F23" s="2">
        <v>2847.0</v>
      </c>
      <c r="G23" s="2">
        <v>116.0</v>
      </c>
      <c r="H23" s="2" t="s">
        <v>5905</v>
      </c>
      <c r="I23" s="2" t="s">
        <v>5905</v>
      </c>
      <c r="J23" s="2" t="s">
        <v>17242</v>
      </c>
      <c r="K23" s="2" t="s">
        <v>17243</v>
      </c>
      <c r="L23" s="10" t="s">
        <v>17244</v>
      </c>
    </row>
    <row r="24">
      <c r="A24" s="2" t="s">
        <v>4717</v>
      </c>
      <c r="B24" s="2" t="s">
        <v>17245</v>
      </c>
      <c r="C24" s="2">
        <v>6.187504421E10</v>
      </c>
      <c r="D24" s="2" t="s">
        <v>17246</v>
      </c>
      <c r="E24" s="2">
        <v>175360.0</v>
      </c>
      <c r="F24" s="2">
        <v>22.0</v>
      </c>
      <c r="G24" s="2">
        <v>223.0</v>
      </c>
      <c r="H24" s="2" t="s">
        <v>5905</v>
      </c>
      <c r="I24" s="2" t="s">
        <v>5905</v>
      </c>
      <c r="J24" s="2" t="s">
        <v>5928</v>
      </c>
      <c r="K24" s="2" t="s">
        <v>17247</v>
      </c>
      <c r="L24" s="10" t="s">
        <v>17248</v>
      </c>
    </row>
    <row r="25">
      <c r="A25" s="2" t="s">
        <v>4717</v>
      </c>
      <c r="B25" s="2" t="s">
        <v>17249</v>
      </c>
      <c r="C25" s="2">
        <v>7.09900277E8</v>
      </c>
      <c r="D25" s="2" t="s">
        <v>17250</v>
      </c>
      <c r="E25" s="2">
        <v>381800.0</v>
      </c>
      <c r="F25" s="2">
        <v>794.0</v>
      </c>
      <c r="G25" s="2">
        <v>1323.0</v>
      </c>
      <c r="H25" s="2" t="s">
        <v>5906</v>
      </c>
      <c r="I25" s="2" t="s">
        <v>5906</v>
      </c>
      <c r="K25" s="2" t="s">
        <v>17251</v>
      </c>
      <c r="L25" s="10" t="s">
        <v>17252</v>
      </c>
    </row>
    <row r="26">
      <c r="A26" s="2" t="s">
        <v>4717</v>
      </c>
      <c r="B26" s="2" t="s">
        <v>17253</v>
      </c>
      <c r="C26" s="2">
        <v>6.1928502219E10</v>
      </c>
      <c r="D26" s="2" t="s">
        <v>17254</v>
      </c>
      <c r="E26" s="2">
        <v>88129.0</v>
      </c>
      <c r="F26" s="2">
        <v>0.0</v>
      </c>
      <c r="G26" s="2">
        <v>85.0</v>
      </c>
      <c r="H26" s="2" t="s">
        <v>5905</v>
      </c>
      <c r="I26" s="2" t="s">
        <v>5905</v>
      </c>
      <c r="J26" s="2" t="s">
        <v>5968</v>
      </c>
      <c r="K26" s="2" t="s">
        <v>17255</v>
      </c>
    </row>
    <row r="27">
      <c r="A27" s="2" t="s">
        <v>4631</v>
      </c>
      <c r="B27" s="2" t="s">
        <v>17256</v>
      </c>
      <c r="C27" s="2">
        <v>3.489017599E9</v>
      </c>
      <c r="D27" s="2" t="s">
        <v>17257</v>
      </c>
      <c r="E27" s="2">
        <v>208249.0</v>
      </c>
      <c r="F27" s="2">
        <v>40.0</v>
      </c>
      <c r="G27" s="2">
        <v>1493.0</v>
      </c>
      <c r="H27" s="2" t="s">
        <v>5905</v>
      </c>
      <c r="I27" s="2" t="s">
        <v>5906</v>
      </c>
      <c r="J27" s="2" t="s">
        <v>5391</v>
      </c>
      <c r="K27" s="2" t="s">
        <v>17258</v>
      </c>
      <c r="L27" s="10" t="s">
        <v>17259</v>
      </c>
    </row>
    <row r="28">
      <c r="A28" s="2" t="s">
        <v>4631</v>
      </c>
      <c r="B28" s="2" t="s">
        <v>17260</v>
      </c>
      <c r="C28" s="2">
        <v>7.1532212485E10</v>
      </c>
      <c r="D28" s="2" t="s">
        <v>17261</v>
      </c>
      <c r="E28" s="2">
        <v>79925.0</v>
      </c>
      <c r="F28" s="2">
        <v>36.0</v>
      </c>
      <c r="G28" s="2">
        <v>255.0</v>
      </c>
      <c r="H28" s="2" t="s">
        <v>5905</v>
      </c>
      <c r="I28" s="2" t="s">
        <v>5905</v>
      </c>
      <c r="J28" s="2" t="s">
        <v>4404</v>
      </c>
      <c r="K28" s="2" t="s">
        <v>17262</v>
      </c>
      <c r="L28" s="10" t="s">
        <v>17263</v>
      </c>
    </row>
    <row r="29">
      <c r="A29" s="2" t="s">
        <v>4631</v>
      </c>
      <c r="B29" s="2" t="s">
        <v>17264</v>
      </c>
      <c r="C29" s="2">
        <v>2.1761625656E10</v>
      </c>
      <c r="D29" s="2" t="s">
        <v>17265</v>
      </c>
      <c r="E29" s="2">
        <v>11914.0</v>
      </c>
      <c r="F29" s="2">
        <v>94.0</v>
      </c>
      <c r="G29" s="2">
        <v>425.0</v>
      </c>
      <c r="H29" s="2" t="s">
        <v>5905</v>
      </c>
      <c r="I29" s="2" t="s">
        <v>5906</v>
      </c>
      <c r="J29" s="2" t="s">
        <v>17266</v>
      </c>
      <c r="K29" s="2" t="s">
        <v>17267</v>
      </c>
      <c r="L29" s="10" t="s">
        <v>17268</v>
      </c>
    </row>
    <row r="30">
      <c r="A30" s="2" t="s">
        <v>4631</v>
      </c>
      <c r="B30" s="2" t="s">
        <v>17269</v>
      </c>
      <c r="C30" s="2">
        <v>6.7600185965E10</v>
      </c>
      <c r="D30" s="2" t="s">
        <v>17270</v>
      </c>
      <c r="E30" s="2">
        <v>29243.0</v>
      </c>
      <c r="F30" s="2">
        <v>0.0</v>
      </c>
      <c r="G30" s="2">
        <v>758.0</v>
      </c>
      <c r="H30" s="2" t="s">
        <v>5905</v>
      </c>
      <c r="I30" s="2" t="s">
        <v>5905</v>
      </c>
      <c r="J30" s="2" t="s">
        <v>17271</v>
      </c>
      <c r="K30" s="2" t="s">
        <v>17272</v>
      </c>
      <c r="L30" s="10" t="s">
        <v>17273</v>
      </c>
    </row>
    <row r="31">
      <c r="A31" s="2" t="s">
        <v>4631</v>
      </c>
      <c r="B31" s="2" t="s">
        <v>17274</v>
      </c>
      <c r="C31" s="2">
        <v>4.6175776206E10</v>
      </c>
      <c r="D31" s="2" t="s">
        <v>17275</v>
      </c>
      <c r="E31" s="2">
        <v>95524.0</v>
      </c>
      <c r="F31" s="2">
        <v>3683.0</v>
      </c>
      <c r="G31" s="2">
        <v>1690.0</v>
      </c>
      <c r="H31" s="2" t="s">
        <v>5906</v>
      </c>
      <c r="I31" s="2" t="s">
        <v>5905</v>
      </c>
      <c r="J31" s="2" t="s">
        <v>6414</v>
      </c>
      <c r="K31" s="2" t="s">
        <v>17276</v>
      </c>
      <c r="L31" s="10" t="s">
        <v>17277</v>
      </c>
    </row>
    <row r="32">
      <c r="A32" s="2" t="s">
        <v>4631</v>
      </c>
      <c r="B32" s="2" t="s">
        <v>17278</v>
      </c>
      <c r="C32" s="2">
        <v>3.045838531E9</v>
      </c>
      <c r="D32" s="2" t="s">
        <v>17279</v>
      </c>
      <c r="E32" s="2">
        <v>14608.0</v>
      </c>
      <c r="F32" s="2">
        <v>480.0</v>
      </c>
      <c r="G32" s="2">
        <v>837.0</v>
      </c>
      <c r="H32" s="2" t="s">
        <v>5905</v>
      </c>
      <c r="I32" s="2" t="s">
        <v>5906</v>
      </c>
      <c r="J32" s="2" t="s">
        <v>14181</v>
      </c>
      <c r="K32" s="2" t="s">
        <v>17280</v>
      </c>
      <c r="L32" s="10" t="s">
        <v>17281</v>
      </c>
    </row>
    <row r="33">
      <c r="A33" s="2" t="s">
        <v>4631</v>
      </c>
      <c r="B33" s="2" t="s">
        <v>17282</v>
      </c>
      <c r="C33" s="2">
        <v>7.336210243E9</v>
      </c>
      <c r="D33" s="2" t="s">
        <v>17283</v>
      </c>
      <c r="E33" s="2">
        <v>12739.0</v>
      </c>
      <c r="F33" s="2">
        <v>526.0</v>
      </c>
      <c r="G33" s="2">
        <v>639.0</v>
      </c>
      <c r="H33" s="2" t="s">
        <v>5905</v>
      </c>
      <c r="I33" s="2" t="s">
        <v>5906</v>
      </c>
      <c r="J33" s="2" t="s">
        <v>5561</v>
      </c>
      <c r="K33" s="10" t="s">
        <v>17284</v>
      </c>
      <c r="L33" s="10" t="s">
        <v>17285</v>
      </c>
    </row>
    <row r="34">
      <c r="A34" s="2" t="s">
        <v>4631</v>
      </c>
      <c r="B34" s="2" t="s">
        <v>17286</v>
      </c>
      <c r="C34" s="2">
        <v>2.59930487E8</v>
      </c>
      <c r="D34" s="2" t="s">
        <v>17287</v>
      </c>
      <c r="E34" s="2">
        <v>46638.0</v>
      </c>
      <c r="F34" s="2">
        <v>821.0</v>
      </c>
      <c r="G34" s="2">
        <v>3434.0</v>
      </c>
      <c r="H34" s="2" t="s">
        <v>5906</v>
      </c>
      <c r="I34" s="2" t="s">
        <v>5905</v>
      </c>
      <c r="J34" s="2" t="s">
        <v>6745</v>
      </c>
      <c r="K34" s="2" t="s">
        <v>17288</v>
      </c>
      <c r="L34" s="10" t="s">
        <v>17289</v>
      </c>
    </row>
    <row r="35">
      <c r="A35" s="2" t="s">
        <v>4631</v>
      </c>
      <c r="B35" s="2" t="s">
        <v>17290</v>
      </c>
      <c r="C35" s="2">
        <v>2.074484635E9</v>
      </c>
      <c r="D35" s="2" t="s">
        <v>17291</v>
      </c>
      <c r="E35" s="2">
        <v>201098.0</v>
      </c>
      <c r="F35" s="2">
        <v>7504.0</v>
      </c>
      <c r="G35" s="2">
        <v>4985.0</v>
      </c>
      <c r="H35" s="2" t="s">
        <v>5906</v>
      </c>
      <c r="I35" s="2" t="s">
        <v>5905</v>
      </c>
      <c r="J35" s="2" t="s">
        <v>6745</v>
      </c>
      <c r="K35" s="2" t="s">
        <v>17292</v>
      </c>
      <c r="L35" s="10" t="s">
        <v>17293</v>
      </c>
    </row>
    <row r="36">
      <c r="A36" s="2" t="s">
        <v>4631</v>
      </c>
      <c r="B36" s="2" t="s">
        <v>17294</v>
      </c>
      <c r="C36" s="2">
        <v>1.641094655E9</v>
      </c>
      <c r="D36" s="2" t="s">
        <v>17295</v>
      </c>
      <c r="E36" s="2">
        <v>289492.0</v>
      </c>
      <c r="F36" s="2">
        <v>699.0</v>
      </c>
      <c r="G36" s="2">
        <v>2638.0</v>
      </c>
      <c r="H36" s="2" t="s">
        <v>5906</v>
      </c>
      <c r="I36" s="2" t="s">
        <v>5906</v>
      </c>
      <c r="J36" s="2" t="s">
        <v>17296</v>
      </c>
      <c r="K36" s="2" t="s">
        <v>17297</v>
      </c>
      <c r="L36" s="10" t="s">
        <v>17298</v>
      </c>
    </row>
    <row r="37">
      <c r="A37" s="2" t="s">
        <v>4631</v>
      </c>
      <c r="B37" s="2" t="s">
        <v>17299</v>
      </c>
      <c r="C37" s="2">
        <v>3.6342867632E10</v>
      </c>
      <c r="D37" s="2" t="s">
        <v>17300</v>
      </c>
      <c r="E37" s="2">
        <v>37026.0</v>
      </c>
      <c r="F37" s="2">
        <v>1.0</v>
      </c>
      <c r="G37" s="2">
        <v>2840.0</v>
      </c>
      <c r="H37" s="2" t="s">
        <v>5906</v>
      </c>
      <c r="I37" s="2" t="s">
        <v>5905</v>
      </c>
      <c r="J37" s="2" t="s">
        <v>6745</v>
      </c>
      <c r="K37" s="2" t="s">
        <v>17301</v>
      </c>
      <c r="L37" s="10" t="s">
        <v>17302</v>
      </c>
    </row>
    <row r="38">
      <c r="A38" s="2" t="s">
        <v>4631</v>
      </c>
      <c r="B38" s="2" t="s">
        <v>17303</v>
      </c>
      <c r="C38" s="2">
        <v>3.020579592E9</v>
      </c>
      <c r="D38" s="2" t="s">
        <v>17304</v>
      </c>
      <c r="E38" s="2">
        <v>299497.0</v>
      </c>
      <c r="F38" s="2">
        <v>886.0</v>
      </c>
      <c r="G38" s="2">
        <v>2862.0</v>
      </c>
      <c r="H38" s="2" t="s">
        <v>5905</v>
      </c>
      <c r="I38" s="2" t="s">
        <v>5905</v>
      </c>
      <c r="J38" s="2" t="s">
        <v>17271</v>
      </c>
      <c r="K38" s="2" t="s">
        <v>17305</v>
      </c>
      <c r="L38" s="10" t="s">
        <v>17306</v>
      </c>
    </row>
    <row r="39">
      <c r="A39" s="2" t="s">
        <v>4631</v>
      </c>
      <c r="B39" s="2" t="s">
        <v>17307</v>
      </c>
      <c r="C39" s="2">
        <v>6.10992427E8</v>
      </c>
      <c r="D39" s="2" t="s">
        <v>17308</v>
      </c>
      <c r="E39" s="2">
        <v>23760.0</v>
      </c>
      <c r="F39" s="2">
        <v>3348.0</v>
      </c>
      <c r="G39" s="2">
        <v>4193.0</v>
      </c>
      <c r="H39" s="2" t="s">
        <v>5905</v>
      </c>
      <c r="I39" s="2" t="s">
        <v>5906</v>
      </c>
      <c r="J39" s="2" t="s">
        <v>6745</v>
      </c>
      <c r="K39" s="2" t="s">
        <v>17309</v>
      </c>
      <c r="L39" s="10" t="s">
        <v>17310</v>
      </c>
    </row>
    <row r="40">
      <c r="A40" s="2" t="s">
        <v>4631</v>
      </c>
      <c r="B40" s="2" t="s">
        <v>17311</v>
      </c>
      <c r="C40" s="2">
        <v>3.01584487E9</v>
      </c>
      <c r="D40" s="2" t="s">
        <v>17312</v>
      </c>
      <c r="E40" s="2">
        <v>24064.0</v>
      </c>
      <c r="F40" s="2">
        <v>494.0</v>
      </c>
      <c r="G40" s="2">
        <v>6040.0</v>
      </c>
      <c r="H40" s="2" t="s">
        <v>5905</v>
      </c>
      <c r="I40" s="2" t="s">
        <v>5906</v>
      </c>
      <c r="J40" s="2" t="s">
        <v>6745</v>
      </c>
      <c r="K40" s="2" t="s">
        <v>17313</v>
      </c>
      <c r="L40" s="10" t="s">
        <v>17314</v>
      </c>
    </row>
    <row r="41">
      <c r="A41" s="2" t="s">
        <v>4510</v>
      </c>
      <c r="B41" s="2" t="s">
        <v>4510</v>
      </c>
      <c r="C41" s="2">
        <v>8.481144997E9</v>
      </c>
      <c r="D41" s="2" t="s">
        <v>17315</v>
      </c>
      <c r="E41" s="2">
        <v>83223.0</v>
      </c>
      <c r="F41" s="2">
        <v>87.0</v>
      </c>
      <c r="G41" s="2">
        <v>148.0</v>
      </c>
      <c r="H41" s="2" t="s">
        <v>5905</v>
      </c>
      <c r="I41" s="2" t="s">
        <v>5905</v>
      </c>
      <c r="J41" s="2" t="s">
        <v>16773</v>
      </c>
      <c r="K41" s="2" t="s">
        <v>17316</v>
      </c>
    </row>
    <row r="42">
      <c r="A42" s="2" t="s">
        <v>4510</v>
      </c>
      <c r="B42" s="2" t="s">
        <v>17317</v>
      </c>
      <c r="C42" s="2">
        <v>6.2290715037E10</v>
      </c>
      <c r="D42" s="12" t="s">
        <v>17318</v>
      </c>
      <c r="E42" s="2">
        <v>241274.0</v>
      </c>
      <c r="F42" s="2">
        <v>72.0</v>
      </c>
      <c r="G42" s="2">
        <v>560.0</v>
      </c>
      <c r="H42" s="2" t="s">
        <v>5905</v>
      </c>
      <c r="I42" s="2" t="s">
        <v>5905</v>
      </c>
      <c r="J42" s="2" t="s">
        <v>5480</v>
      </c>
      <c r="K42" s="12" t="s">
        <v>17319</v>
      </c>
      <c r="L42" s="10" t="s">
        <v>17320</v>
      </c>
    </row>
    <row r="43">
      <c r="A43" s="2" t="s">
        <v>4510</v>
      </c>
      <c r="B43" s="2" t="s">
        <v>17321</v>
      </c>
      <c r="C43" s="2">
        <v>7.2349403731E10</v>
      </c>
      <c r="D43" s="2" t="s">
        <v>17322</v>
      </c>
      <c r="E43" s="2">
        <v>117700.0</v>
      </c>
      <c r="F43" s="2">
        <v>0.0</v>
      </c>
      <c r="G43" s="2">
        <v>145.0</v>
      </c>
      <c r="H43" s="2" t="s">
        <v>5905</v>
      </c>
      <c r="I43" s="2" t="s">
        <v>5905</v>
      </c>
      <c r="J43" s="2" t="s">
        <v>17323</v>
      </c>
      <c r="K43" s="2" t="s">
        <v>17324</v>
      </c>
    </row>
    <row r="44">
      <c r="A44" s="2" t="s">
        <v>4510</v>
      </c>
      <c r="B44" s="2" t="s">
        <v>17325</v>
      </c>
      <c r="C44" s="2">
        <v>6.3203570341E10</v>
      </c>
      <c r="D44" s="2" t="s">
        <v>4510</v>
      </c>
      <c r="E44" s="2">
        <v>24201.0</v>
      </c>
      <c r="F44" s="2">
        <v>0.0</v>
      </c>
      <c r="G44" s="2">
        <v>148.0</v>
      </c>
      <c r="H44" s="2" t="s">
        <v>5905</v>
      </c>
      <c r="I44" s="2" t="s">
        <v>5905</v>
      </c>
      <c r="J44" s="2" t="s">
        <v>5959</v>
      </c>
      <c r="L44" s="10" t="s">
        <v>17326</v>
      </c>
    </row>
    <row r="45">
      <c r="A45" s="2" t="s">
        <v>4510</v>
      </c>
      <c r="B45" s="2" t="s">
        <v>17327</v>
      </c>
      <c r="C45" s="2">
        <v>6.2982107086E10</v>
      </c>
      <c r="D45" s="2" t="s">
        <v>17327</v>
      </c>
      <c r="E45" s="2">
        <v>28760.0</v>
      </c>
      <c r="F45" s="2">
        <v>58.0</v>
      </c>
      <c r="G45" s="2">
        <v>205.0</v>
      </c>
      <c r="H45" s="2" t="s">
        <v>5905</v>
      </c>
      <c r="I45" s="2" t="s">
        <v>5905</v>
      </c>
      <c r="J45" s="2" t="s">
        <v>5928</v>
      </c>
      <c r="K45" s="2" t="s">
        <v>17328</v>
      </c>
    </row>
    <row r="46">
      <c r="A46" s="2" t="s">
        <v>4510</v>
      </c>
      <c r="B46" s="2" t="s">
        <v>17329</v>
      </c>
      <c r="C46" s="2">
        <v>6.5210299226E10</v>
      </c>
      <c r="D46" s="2" t="s">
        <v>17330</v>
      </c>
      <c r="E46" s="2">
        <v>54698.0</v>
      </c>
      <c r="F46" s="2">
        <v>0.0</v>
      </c>
      <c r="G46" s="2">
        <v>81.0</v>
      </c>
      <c r="H46" s="2" t="s">
        <v>5905</v>
      </c>
      <c r="I46" s="2" t="s">
        <v>5905</v>
      </c>
      <c r="J46" s="2" t="s">
        <v>5928</v>
      </c>
      <c r="K46" s="2" t="s">
        <v>17331</v>
      </c>
    </row>
    <row r="47">
      <c r="A47" s="2" t="s">
        <v>4510</v>
      </c>
      <c r="B47" s="2" t="s">
        <v>17332</v>
      </c>
      <c r="C47" s="2">
        <v>1.443968141E9</v>
      </c>
      <c r="D47" s="2" t="s">
        <v>17333</v>
      </c>
      <c r="E47" s="2">
        <v>5711120.0</v>
      </c>
      <c r="F47" s="2">
        <v>43.0</v>
      </c>
      <c r="G47" s="2">
        <v>3605.0</v>
      </c>
      <c r="H47" s="2" t="s">
        <v>5906</v>
      </c>
      <c r="I47" s="2" t="s">
        <v>5906</v>
      </c>
      <c r="K47" s="2" t="s">
        <v>17334</v>
      </c>
      <c r="L47" s="10" t="s">
        <v>17335</v>
      </c>
    </row>
    <row r="48">
      <c r="A48" s="2" t="s">
        <v>4510</v>
      </c>
      <c r="B48" s="2" t="s">
        <v>17336</v>
      </c>
      <c r="C48" s="2">
        <v>7.2021766287E10</v>
      </c>
      <c r="D48" s="2" t="s">
        <v>17337</v>
      </c>
      <c r="E48" s="2">
        <v>341404.0</v>
      </c>
      <c r="F48" s="2">
        <v>55.0</v>
      </c>
      <c r="G48" s="2">
        <v>105.0</v>
      </c>
      <c r="H48" s="2" t="s">
        <v>5905</v>
      </c>
      <c r="I48" s="2" t="s">
        <v>5905</v>
      </c>
      <c r="J48" s="2" t="s">
        <v>5561</v>
      </c>
      <c r="K48" s="2" t="s">
        <v>17338</v>
      </c>
    </row>
    <row r="49">
      <c r="A49" s="2" t="s">
        <v>4510</v>
      </c>
      <c r="B49" s="2" t="s">
        <v>17339</v>
      </c>
      <c r="C49" s="2">
        <v>6.3998590425E10</v>
      </c>
      <c r="D49" s="2" t="s">
        <v>17340</v>
      </c>
      <c r="E49" s="2">
        <v>2021529.0</v>
      </c>
      <c r="F49" s="2">
        <v>105.0</v>
      </c>
      <c r="G49" s="2">
        <v>777.0</v>
      </c>
      <c r="H49" s="2" t="s">
        <v>5905</v>
      </c>
      <c r="I49" s="2" t="s">
        <v>5906</v>
      </c>
      <c r="J49" s="2" t="s">
        <v>6882</v>
      </c>
      <c r="K49" s="2" t="s">
        <v>17341</v>
      </c>
      <c r="L49" s="10" t="s">
        <v>17342</v>
      </c>
    </row>
    <row r="50">
      <c r="A50" s="2" t="s">
        <v>4510</v>
      </c>
      <c r="B50" s="2" t="s">
        <v>17343</v>
      </c>
      <c r="C50" s="2">
        <v>1.5422797E9</v>
      </c>
      <c r="D50" s="2" t="s">
        <v>17344</v>
      </c>
      <c r="E50" s="2">
        <v>3145282.0</v>
      </c>
      <c r="F50" s="2">
        <v>48.0</v>
      </c>
      <c r="G50" s="2">
        <v>17.0</v>
      </c>
      <c r="H50" s="2" t="s">
        <v>5906</v>
      </c>
      <c r="I50" s="2" t="s">
        <v>5906</v>
      </c>
      <c r="J50" s="2" t="s">
        <v>5928</v>
      </c>
      <c r="L50" s="10" t="s">
        <v>17345</v>
      </c>
    </row>
    <row r="51">
      <c r="A51" s="2" t="s">
        <v>4510</v>
      </c>
      <c r="B51" s="2" t="s">
        <v>17346</v>
      </c>
      <c r="C51" s="2">
        <v>6.9807572954E10</v>
      </c>
      <c r="D51" s="2" t="s">
        <v>17347</v>
      </c>
      <c r="E51" s="2">
        <v>934351.0</v>
      </c>
      <c r="F51" s="2">
        <v>0.0</v>
      </c>
      <c r="G51" s="2">
        <v>1095.0</v>
      </c>
      <c r="H51" s="2" t="s">
        <v>5905</v>
      </c>
      <c r="I51" s="2" t="s">
        <v>5905</v>
      </c>
      <c r="J51" s="2" t="s">
        <v>5959</v>
      </c>
      <c r="K51" s="2" t="s">
        <v>17348</v>
      </c>
    </row>
    <row r="52">
      <c r="A52" s="2" t="s">
        <v>4510</v>
      </c>
      <c r="B52" s="2" t="s">
        <v>17349</v>
      </c>
      <c r="C52" s="2">
        <v>2.321191491E9</v>
      </c>
      <c r="D52" s="2" t="s">
        <v>17350</v>
      </c>
      <c r="E52" s="2">
        <v>2064517.0</v>
      </c>
      <c r="F52" s="2">
        <v>166.0</v>
      </c>
      <c r="G52" s="2">
        <v>5527.0</v>
      </c>
      <c r="H52" s="2" t="s">
        <v>5906</v>
      </c>
      <c r="I52" s="2" t="s">
        <v>5906</v>
      </c>
      <c r="J52" s="2" t="s">
        <v>7604</v>
      </c>
      <c r="K52" s="2" t="s">
        <v>17351</v>
      </c>
      <c r="L52" s="10" t="s">
        <v>17352</v>
      </c>
    </row>
    <row r="53">
      <c r="A53" s="2" t="s">
        <v>4730</v>
      </c>
      <c r="B53" s="2" t="s">
        <v>17353</v>
      </c>
      <c r="C53" s="2">
        <v>2.1634762688E10</v>
      </c>
      <c r="D53" s="12" t="s">
        <v>17354</v>
      </c>
      <c r="E53" s="2">
        <v>619575.0</v>
      </c>
      <c r="F53" s="2">
        <v>70.0</v>
      </c>
      <c r="G53" s="2">
        <v>73.0</v>
      </c>
      <c r="H53" s="2" t="s">
        <v>5905</v>
      </c>
      <c r="I53" s="2" t="s">
        <v>5905</v>
      </c>
      <c r="J53" s="2" t="s">
        <v>17323</v>
      </c>
      <c r="K53" s="12" t="s">
        <v>17355</v>
      </c>
    </row>
    <row r="54">
      <c r="A54" s="2" t="s">
        <v>4730</v>
      </c>
      <c r="B54" s="2" t="s">
        <v>17356</v>
      </c>
      <c r="C54" s="2">
        <v>4.4663484378E10</v>
      </c>
      <c r="D54" s="2" t="s">
        <v>17357</v>
      </c>
      <c r="E54" s="2">
        <v>10314.0</v>
      </c>
      <c r="F54" s="2">
        <v>91.0</v>
      </c>
      <c r="G54" s="2">
        <v>1.0</v>
      </c>
      <c r="H54" s="2" t="s">
        <v>5905</v>
      </c>
      <c r="I54" s="2" t="s">
        <v>5905</v>
      </c>
      <c r="K54" s="2" t="s">
        <v>17358</v>
      </c>
      <c r="L54" s="10" t="s">
        <v>17359</v>
      </c>
    </row>
    <row r="55">
      <c r="A55" s="2" t="s">
        <v>4730</v>
      </c>
      <c r="B55" s="2" t="s">
        <v>17360</v>
      </c>
      <c r="C55" s="2">
        <v>2.696276637E9</v>
      </c>
      <c r="D55" s="2" t="s">
        <v>17361</v>
      </c>
      <c r="E55" s="2">
        <v>10667.0</v>
      </c>
      <c r="F55" s="2">
        <v>12.0</v>
      </c>
      <c r="G55" s="2">
        <v>128.0</v>
      </c>
      <c r="H55" s="2" t="s">
        <v>5905</v>
      </c>
      <c r="I55" s="2" t="s">
        <v>5906</v>
      </c>
      <c r="J55" s="2" t="s">
        <v>6111</v>
      </c>
      <c r="K55" s="2" t="s">
        <v>17362</v>
      </c>
      <c r="L55" s="10" t="s">
        <v>17363</v>
      </c>
    </row>
    <row r="56">
      <c r="A56" s="2" t="s">
        <v>3776</v>
      </c>
      <c r="B56" s="2" t="s">
        <v>17364</v>
      </c>
      <c r="C56" s="2">
        <v>7.538023119E9</v>
      </c>
      <c r="D56" s="2" t="s">
        <v>17365</v>
      </c>
      <c r="E56" s="2">
        <v>50159.0</v>
      </c>
      <c r="F56" s="2">
        <v>1.0</v>
      </c>
      <c r="G56" s="2">
        <v>1896.0</v>
      </c>
      <c r="H56" s="2" t="s">
        <v>5905</v>
      </c>
      <c r="I56" s="2" t="s">
        <v>5905</v>
      </c>
      <c r="J56" s="2" t="s">
        <v>6171</v>
      </c>
      <c r="K56" s="2" t="s">
        <v>17366</v>
      </c>
    </row>
    <row r="57">
      <c r="A57" s="2" t="s">
        <v>3776</v>
      </c>
      <c r="B57" s="2" t="s">
        <v>17367</v>
      </c>
      <c r="C57" s="2">
        <v>8.10954521E8</v>
      </c>
      <c r="D57" s="2" t="s">
        <v>17365</v>
      </c>
      <c r="E57" s="2">
        <v>23145.0</v>
      </c>
      <c r="F57" s="2">
        <v>103.0</v>
      </c>
      <c r="G57" s="2">
        <v>316.0</v>
      </c>
      <c r="H57" s="2" t="s">
        <v>5905</v>
      </c>
      <c r="I57" s="2" t="s">
        <v>5905</v>
      </c>
      <c r="J57" s="2" t="s">
        <v>5911</v>
      </c>
      <c r="K57" s="2" t="s">
        <v>17368</v>
      </c>
    </row>
    <row r="58">
      <c r="A58" s="2" t="s">
        <v>3776</v>
      </c>
      <c r="B58" s="10" t="s">
        <v>17369</v>
      </c>
      <c r="C58" s="2">
        <v>7.442479394E9</v>
      </c>
      <c r="D58" s="2" t="s">
        <v>17365</v>
      </c>
      <c r="E58" s="2">
        <v>78742.0</v>
      </c>
      <c r="F58" s="2">
        <v>47.0</v>
      </c>
      <c r="G58" s="2">
        <v>1677.0</v>
      </c>
      <c r="H58" s="2" t="s">
        <v>5905</v>
      </c>
      <c r="I58" s="2" t="s">
        <v>5905</v>
      </c>
      <c r="J58" s="2" t="s">
        <v>5959</v>
      </c>
      <c r="K58" s="2" t="s">
        <v>17370</v>
      </c>
    </row>
    <row r="59">
      <c r="A59" s="2" t="s">
        <v>3776</v>
      </c>
      <c r="B59" s="2" t="s">
        <v>17371</v>
      </c>
      <c r="C59" s="2">
        <v>7.541977648E9</v>
      </c>
      <c r="D59" s="2" t="s">
        <v>17365</v>
      </c>
      <c r="E59" s="2">
        <v>80059.0</v>
      </c>
      <c r="F59" s="2">
        <v>19.0</v>
      </c>
      <c r="G59" s="2">
        <v>1611.0</v>
      </c>
      <c r="H59" s="2" t="s">
        <v>5905</v>
      </c>
      <c r="I59" s="2" t="s">
        <v>5906</v>
      </c>
      <c r="J59" s="2" t="s">
        <v>5907</v>
      </c>
      <c r="K59" s="2" t="s">
        <v>17372</v>
      </c>
      <c r="L59" s="10" t="s">
        <v>17373</v>
      </c>
    </row>
    <row r="60">
      <c r="A60" s="2" t="s">
        <v>3776</v>
      </c>
      <c r="B60" s="10" t="s">
        <v>17374</v>
      </c>
      <c r="C60" s="2">
        <v>1.088425648E10</v>
      </c>
      <c r="D60" s="12" t="s">
        <v>17375</v>
      </c>
      <c r="E60" s="2">
        <v>14197.0</v>
      </c>
      <c r="F60" s="2">
        <v>33.0</v>
      </c>
      <c r="G60" s="2">
        <v>2637.0</v>
      </c>
      <c r="H60" s="2" t="s">
        <v>5905</v>
      </c>
      <c r="I60" s="2" t="s">
        <v>5906</v>
      </c>
      <c r="J60" s="2" t="s">
        <v>5561</v>
      </c>
      <c r="K60" s="12" t="s">
        <v>17376</v>
      </c>
      <c r="L60" s="10" t="s">
        <v>17377</v>
      </c>
    </row>
    <row r="61">
      <c r="A61" s="2" t="s">
        <v>3776</v>
      </c>
      <c r="B61" s="2" t="s">
        <v>17378</v>
      </c>
      <c r="C61" s="2">
        <v>8.672154996E9</v>
      </c>
      <c r="D61" s="2" t="s">
        <v>17365</v>
      </c>
      <c r="E61" s="2">
        <v>2068345.0</v>
      </c>
      <c r="F61" s="2">
        <v>20.0</v>
      </c>
      <c r="G61" s="2">
        <v>1368.0</v>
      </c>
      <c r="H61" s="2" t="s">
        <v>5906</v>
      </c>
      <c r="I61" s="2" t="s">
        <v>5906</v>
      </c>
      <c r="J61" s="2" t="s">
        <v>8615</v>
      </c>
      <c r="K61" s="2" t="s">
        <v>17379</v>
      </c>
      <c r="L61" s="10" t="s">
        <v>17380</v>
      </c>
    </row>
    <row r="62">
      <c r="A62" s="2" t="s">
        <v>1338</v>
      </c>
      <c r="B62" s="2" t="s">
        <v>17381</v>
      </c>
      <c r="C62" s="2">
        <v>6.1871471872E10</v>
      </c>
      <c r="D62" s="2" t="s">
        <v>17382</v>
      </c>
      <c r="E62" s="2">
        <v>80173.0</v>
      </c>
      <c r="F62" s="2">
        <v>69.0</v>
      </c>
      <c r="G62" s="2">
        <v>137.0</v>
      </c>
      <c r="H62" s="2" t="s">
        <v>5905</v>
      </c>
      <c r="I62" s="2" t="s">
        <v>5905</v>
      </c>
      <c r="J62" s="2" t="s">
        <v>5911</v>
      </c>
      <c r="K62" s="2" t="s">
        <v>17383</v>
      </c>
      <c r="L62" s="10" t="s">
        <v>17384</v>
      </c>
    </row>
    <row r="63">
      <c r="A63" s="2" t="s">
        <v>1338</v>
      </c>
      <c r="B63" s="2" t="s">
        <v>17385</v>
      </c>
      <c r="C63" s="2">
        <v>6.678037511E10</v>
      </c>
      <c r="D63" s="2" t="s">
        <v>17386</v>
      </c>
      <c r="E63" s="2">
        <v>32128.0</v>
      </c>
      <c r="F63" s="2">
        <v>0.0</v>
      </c>
      <c r="G63" s="2">
        <v>470.0</v>
      </c>
      <c r="H63" s="2" t="s">
        <v>5905</v>
      </c>
      <c r="I63" s="2" t="s">
        <v>5905</v>
      </c>
      <c r="J63" s="2" t="s">
        <v>5928</v>
      </c>
      <c r="K63" s="2" t="s">
        <v>17387</v>
      </c>
      <c r="L63" s="10" t="s">
        <v>17388</v>
      </c>
    </row>
    <row r="64">
      <c r="A64" s="2" t="s">
        <v>1338</v>
      </c>
      <c r="B64" s="10" t="s">
        <v>17389</v>
      </c>
      <c r="C64" s="2">
        <v>6.4748165559E10</v>
      </c>
      <c r="D64" s="2" t="s">
        <v>17390</v>
      </c>
      <c r="E64" s="2">
        <v>186669.0</v>
      </c>
      <c r="F64" s="2">
        <v>27.0</v>
      </c>
      <c r="G64" s="2">
        <v>968.0</v>
      </c>
      <c r="H64" s="2" t="s">
        <v>5905</v>
      </c>
      <c r="I64" s="2" t="s">
        <v>5905</v>
      </c>
      <c r="J64" s="2" t="s">
        <v>5911</v>
      </c>
      <c r="K64" s="2" t="s">
        <v>17391</v>
      </c>
    </row>
    <row r="65">
      <c r="A65" s="2" t="s">
        <v>1338</v>
      </c>
      <c r="B65" s="2" t="s">
        <v>17392</v>
      </c>
      <c r="C65" s="2">
        <v>7.2455580065E10</v>
      </c>
      <c r="D65" s="2" t="s">
        <v>17393</v>
      </c>
      <c r="E65" s="2">
        <v>34267.0</v>
      </c>
      <c r="F65" s="2">
        <v>37.0</v>
      </c>
      <c r="G65" s="2">
        <v>48.0</v>
      </c>
      <c r="H65" s="2" t="s">
        <v>5905</v>
      </c>
      <c r="I65" s="2" t="s">
        <v>5905</v>
      </c>
      <c r="J65" s="2" t="s">
        <v>5911</v>
      </c>
      <c r="K65" s="2" t="s">
        <v>17394</v>
      </c>
      <c r="L65" s="10" t="s">
        <v>17395</v>
      </c>
    </row>
    <row r="66">
      <c r="A66" s="2" t="s">
        <v>1338</v>
      </c>
      <c r="B66" s="2" t="s">
        <v>17396</v>
      </c>
      <c r="C66" s="2">
        <v>6.6294766434E10</v>
      </c>
      <c r="D66" s="2" t="s">
        <v>17397</v>
      </c>
      <c r="E66" s="2">
        <v>338719.0</v>
      </c>
      <c r="F66" s="2">
        <v>30.0</v>
      </c>
      <c r="G66" s="2">
        <v>1015.0</v>
      </c>
      <c r="H66" s="2" t="s">
        <v>5906</v>
      </c>
      <c r="I66" s="2" t="s">
        <v>5906</v>
      </c>
      <c r="J66" s="2" t="s">
        <v>5480</v>
      </c>
      <c r="K66" s="2" t="s">
        <v>17398</v>
      </c>
      <c r="L66" s="10" t="s">
        <v>17399</v>
      </c>
    </row>
    <row r="67">
      <c r="A67" s="2" t="s">
        <v>1338</v>
      </c>
      <c r="B67" s="2" t="s">
        <v>17400</v>
      </c>
      <c r="C67" s="2">
        <v>2.1290893279E10</v>
      </c>
      <c r="D67" s="2" t="s">
        <v>17401</v>
      </c>
      <c r="E67" s="2">
        <v>126360.0</v>
      </c>
      <c r="F67" s="2">
        <v>930.0</v>
      </c>
      <c r="G67" s="2">
        <v>1060.0</v>
      </c>
      <c r="H67" s="2" t="s">
        <v>5906</v>
      </c>
      <c r="I67" s="2" t="s">
        <v>5905</v>
      </c>
      <c r="J67" s="2" t="s">
        <v>5968</v>
      </c>
      <c r="K67" s="2" t="s">
        <v>17402</v>
      </c>
      <c r="L67" s="10" t="s">
        <v>17403</v>
      </c>
    </row>
    <row r="68">
      <c r="A68" s="2" t="s">
        <v>1338</v>
      </c>
      <c r="B68" s="10" t="s">
        <v>17404</v>
      </c>
      <c r="C68" s="2">
        <v>6.3879170807E10</v>
      </c>
      <c r="D68" s="2" t="s">
        <v>17405</v>
      </c>
      <c r="E68" s="2">
        <v>1056398.0</v>
      </c>
      <c r="F68" s="2">
        <v>100.0</v>
      </c>
      <c r="G68" s="2">
        <v>2681.0</v>
      </c>
      <c r="H68" s="2" t="s">
        <v>5906</v>
      </c>
      <c r="I68" s="2" t="s">
        <v>5905</v>
      </c>
      <c r="J68" s="2" t="s">
        <v>12284</v>
      </c>
      <c r="K68" s="2" t="s">
        <v>17406</v>
      </c>
      <c r="L68" s="10" t="s">
        <v>17407</v>
      </c>
    </row>
    <row r="69">
      <c r="A69" s="2" t="s">
        <v>1338</v>
      </c>
      <c r="B69" s="2" t="s">
        <v>17408</v>
      </c>
      <c r="C69" s="2">
        <v>6.5204470823E10</v>
      </c>
      <c r="D69" s="2" t="s">
        <v>17409</v>
      </c>
      <c r="E69" s="2">
        <v>104099.0</v>
      </c>
      <c r="F69" s="2">
        <v>230.0</v>
      </c>
      <c r="G69" s="2">
        <v>433.0</v>
      </c>
      <c r="H69" s="2" t="s">
        <v>5905</v>
      </c>
      <c r="I69" s="2" t="s">
        <v>5905</v>
      </c>
      <c r="J69" s="2" t="s">
        <v>5561</v>
      </c>
      <c r="K69" s="2" t="s">
        <v>17410</v>
      </c>
      <c r="L69" s="10" t="s">
        <v>17411</v>
      </c>
    </row>
    <row r="70">
      <c r="A70" s="2" t="s">
        <v>1338</v>
      </c>
      <c r="B70" s="2" t="s">
        <v>17412</v>
      </c>
      <c r="C70" s="2">
        <v>6.5599859804E10</v>
      </c>
      <c r="D70" s="2" t="s">
        <v>17413</v>
      </c>
      <c r="E70" s="2">
        <v>18078.0</v>
      </c>
      <c r="F70" s="2">
        <v>83.0</v>
      </c>
      <c r="G70" s="2">
        <v>243.0</v>
      </c>
      <c r="H70" s="2" t="s">
        <v>5905</v>
      </c>
      <c r="I70" s="2" t="s">
        <v>5905</v>
      </c>
      <c r="J70" s="2" t="s">
        <v>5968</v>
      </c>
      <c r="K70" s="2" t="s">
        <v>17414</v>
      </c>
    </row>
    <row r="71">
      <c r="A71" s="2" t="s">
        <v>1338</v>
      </c>
      <c r="B71" s="2" t="s">
        <v>17415</v>
      </c>
      <c r="C71" s="2">
        <v>5.7666094056E10</v>
      </c>
      <c r="D71" s="2" t="s">
        <v>17416</v>
      </c>
      <c r="E71" s="2">
        <v>2312800.0</v>
      </c>
      <c r="F71" s="2">
        <v>158.0</v>
      </c>
      <c r="G71" s="2">
        <v>1927.0</v>
      </c>
      <c r="H71" s="2" t="s">
        <v>5906</v>
      </c>
      <c r="I71" s="2" t="s">
        <v>5905</v>
      </c>
      <c r="J71" s="2" t="s">
        <v>5911</v>
      </c>
      <c r="K71" s="2" t="s">
        <v>17417</v>
      </c>
      <c r="L71" s="10" t="s">
        <v>17418</v>
      </c>
    </row>
    <row r="72">
      <c r="A72" s="2" t="s">
        <v>1338</v>
      </c>
      <c r="B72" s="2" t="s">
        <v>17419</v>
      </c>
      <c r="C72" s="2">
        <v>6.6966525567E10</v>
      </c>
      <c r="D72" s="2" t="s">
        <v>17420</v>
      </c>
      <c r="E72" s="2">
        <v>476870.0</v>
      </c>
      <c r="F72" s="2">
        <v>28.0</v>
      </c>
      <c r="G72" s="2">
        <v>847.0</v>
      </c>
      <c r="H72" s="2" t="s">
        <v>5905</v>
      </c>
      <c r="I72" s="2" t="s">
        <v>5905</v>
      </c>
      <c r="J72" s="2" t="s">
        <v>5561</v>
      </c>
      <c r="K72" s="2" t="s">
        <v>17421</v>
      </c>
      <c r="L72" s="10" t="s">
        <v>17422</v>
      </c>
    </row>
    <row r="73">
      <c r="A73" s="2" t="s">
        <v>1338</v>
      </c>
      <c r="B73" s="10" t="s">
        <v>17423</v>
      </c>
      <c r="C73" s="2">
        <v>5.7463265457E10</v>
      </c>
      <c r="D73" s="2" t="s">
        <v>17424</v>
      </c>
      <c r="E73" s="2">
        <v>410229.0</v>
      </c>
      <c r="F73" s="2">
        <v>222.0</v>
      </c>
      <c r="G73" s="2">
        <v>634.0</v>
      </c>
      <c r="H73" s="2" t="s">
        <v>5905</v>
      </c>
      <c r="I73" s="2" t="s">
        <v>5905</v>
      </c>
      <c r="J73" s="2" t="s">
        <v>5968</v>
      </c>
      <c r="K73" s="2" t="s">
        <v>17425</v>
      </c>
    </row>
    <row r="74">
      <c r="A74" s="2" t="s">
        <v>1338</v>
      </c>
      <c r="B74" s="2" t="s">
        <v>17426</v>
      </c>
      <c r="C74" s="2">
        <v>6.1447067171E10</v>
      </c>
      <c r="D74" s="2" t="s">
        <v>17405</v>
      </c>
      <c r="E74" s="2">
        <v>117056.0</v>
      </c>
      <c r="F74" s="2">
        <v>104.0</v>
      </c>
      <c r="G74" s="2">
        <v>940.0</v>
      </c>
      <c r="H74" s="2" t="s">
        <v>5906</v>
      </c>
      <c r="I74" s="2" t="s">
        <v>5905</v>
      </c>
      <c r="J74" s="2" t="s">
        <v>5480</v>
      </c>
      <c r="K74" s="2" t="s">
        <v>17427</v>
      </c>
      <c r="L74" s="10" t="s">
        <v>17428</v>
      </c>
    </row>
    <row r="75">
      <c r="A75" s="2" t="s">
        <v>1338</v>
      </c>
      <c r="B75" s="10" t="s">
        <v>17429</v>
      </c>
      <c r="C75" s="2">
        <v>5.8134309921E10</v>
      </c>
      <c r="D75" s="2" t="s">
        <v>17424</v>
      </c>
      <c r="E75" s="2">
        <v>648145.0</v>
      </c>
      <c r="F75" s="2">
        <v>21.0</v>
      </c>
      <c r="G75" s="2">
        <v>2579.0</v>
      </c>
      <c r="H75" s="2" t="s">
        <v>5906</v>
      </c>
      <c r="I75" s="2" t="s">
        <v>5905</v>
      </c>
      <c r="J75" s="2" t="s">
        <v>5561</v>
      </c>
      <c r="K75" s="2" t="s">
        <v>17430</v>
      </c>
      <c r="L75" s="10" t="s">
        <v>17431</v>
      </c>
    </row>
    <row r="76">
      <c r="A76" s="2" t="s">
        <v>1338</v>
      </c>
      <c r="B76" s="2" t="s">
        <v>17432</v>
      </c>
      <c r="C76" s="2">
        <v>5.8686955965E10</v>
      </c>
      <c r="D76" s="2" t="s">
        <v>17433</v>
      </c>
      <c r="E76" s="2">
        <v>1630637.0</v>
      </c>
      <c r="F76" s="2">
        <v>0.0</v>
      </c>
      <c r="G76" s="2">
        <v>903.0</v>
      </c>
      <c r="H76" s="2" t="s">
        <v>5906</v>
      </c>
      <c r="I76" s="2" t="s">
        <v>5906</v>
      </c>
      <c r="J76" s="2" t="s">
        <v>5968</v>
      </c>
      <c r="K76" s="2" t="s">
        <v>17434</v>
      </c>
      <c r="L76" s="10" t="s">
        <v>17435</v>
      </c>
    </row>
    <row r="77">
      <c r="A77" s="2" t="s">
        <v>4650</v>
      </c>
      <c r="B77" s="2" t="s">
        <v>17436</v>
      </c>
      <c r="C77" s="2">
        <v>2.176039294E10</v>
      </c>
      <c r="D77" s="2" t="s">
        <v>17437</v>
      </c>
      <c r="E77" s="2">
        <v>36628.0</v>
      </c>
      <c r="F77" s="2">
        <v>237.0</v>
      </c>
      <c r="G77" s="2">
        <v>363.0</v>
      </c>
      <c r="H77" s="2" t="s">
        <v>5905</v>
      </c>
      <c r="I77" s="2" t="s">
        <v>5906</v>
      </c>
      <c r="J77" s="2" t="s">
        <v>4404</v>
      </c>
      <c r="K77" s="2" t="s">
        <v>17438</v>
      </c>
      <c r="L77" s="10" t="s">
        <v>17439</v>
      </c>
    </row>
    <row r="78">
      <c r="A78" s="2" t="s">
        <v>4578</v>
      </c>
      <c r="B78" s="2" t="s">
        <v>4578</v>
      </c>
      <c r="C78" s="2">
        <v>5.965610611E9</v>
      </c>
      <c r="D78" s="2" t="s">
        <v>4578</v>
      </c>
      <c r="E78" s="2">
        <v>235322.0</v>
      </c>
      <c r="F78" s="2">
        <v>4.0</v>
      </c>
      <c r="G78" s="2">
        <v>245.0</v>
      </c>
      <c r="H78" s="2" t="s">
        <v>5905</v>
      </c>
      <c r="I78" s="2" t="s">
        <v>5905</v>
      </c>
      <c r="J78" s="2" t="s">
        <v>5928</v>
      </c>
      <c r="K78" s="2" t="s">
        <v>17440</v>
      </c>
      <c r="L78" s="10" t="s">
        <v>17441</v>
      </c>
    </row>
    <row r="79">
      <c r="A79" s="2" t="s">
        <v>4578</v>
      </c>
      <c r="B79" s="2" t="s">
        <v>17442</v>
      </c>
      <c r="C79" s="2">
        <v>3.439202952E10</v>
      </c>
      <c r="D79" s="2" t="s">
        <v>17443</v>
      </c>
      <c r="E79" s="2">
        <v>369063.0</v>
      </c>
      <c r="F79" s="2">
        <v>364.0</v>
      </c>
      <c r="G79" s="2">
        <v>585.0</v>
      </c>
      <c r="H79" s="2" t="s">
        <v>5905</v>
      </c>
      <c r="I79" s="2" t="s">
        <v>5905</v>
      </c>
      <c r="J79" s="2" t="s">
        <v>5928</v>
      </c>
      <c r="K79" s="2" t="s">
        <v>17444</v>
      </c>
      <c r="L79" s="10" t="s">
        <v>17445</v>
      </c>
    </row>
    <row r="80">
      <c r="A80" s="2" t="s">
        <v>4578</v>
      </c>
      <c r="B80" s="2" t="s">
        <v>17446</v>
      </c>
      <c r="C80" s="2">
        <v>4.6514005828E10</v>
      </c>
      <c r="D80" s="2" t="s">
        <v>17447</v>
      </c>
      <c r="E80" s="2">
        <v>58152.0</v>
      </c>
      <c r="F80" s="2">
        <v>144.0</v>
      </c>
      <c r="G80" s="2">
        <v>333.0</v>
      </c>
      <c r="H80" s="2" t="s">
        <v>5905</v>
      </c>
      <c r="I80" s="2" t="s">
        <v>5905</v>
      </c>
      <c r="J80" s="2" t="s">
        <v>5928</v>
      </c>
      <c r="K80" s="2" t="s">
        <v>17448</v>
      </c>
      <c r="L80" s="10" t="s">
        <v>17449</v>
      </c>
    </row>
    <row r="81">
      <c r="A81" s="2" t="s">
        <v>4578</v>
      </c>
      <c r="B81" s="2" t="s">
        <v>17450</v>
      </c>
      <c r="C81" s="2">
        <v>4.605520501E9</v>
      </c>
      <c r="D81" s="2" t="s">
        <v>17451</v>
      </c>
      <c r="E81" s="2">
        <v>586789.0</v>
      </c>
      <c r="F81" s="2">
        <v>961.0</v>
      </c>
      <c r="G81" s="2">
        <v>722.0</v>
      </c>
      <c r="H81" s="2" t="s">
        <v>5906</v>
      </c>
      <c r="I81" s="2" t="s">
        <v>5905</v>
      </c>
      <c r="J81" s="2" t="s">
        <v>5928</v>
      </c>
      <c r="K81" s="2" t="s">
        <v>17452</v>
      </c>
      <c r="L81" s="10" t="s">
        <v>17453</v>
      </c>
    </row>
    <row r="82">
      <c r="A82" s="2" t="s">
        <v>4578</v>
      </c>
      <c r="B82" s="2" t="s">
        <v>17454</v>
      </c>
      <c r="C82" s="2">
        <v>5.0781965795E10</v>
      </c>
      <c r="D82" s="2" t="s">
        <v>17455</v>
      </c>
      <c r="E82" s="2">
        <v>328937.0</v>
      </c>
      <c r="F82" s="2">
        <v>96.0</v>
      </c>
      <c r="G82" s="2">
        <v>316.0</v>
      </c>
      <c r="H82" s="2" t="s">
        <v>5906</v>
      </c>
      <c r="I82" s="2" t="s">
        <v>5905</v>
      </c>
      <c r="J82" s="2" t="s">
        <v>5928</v>
      </c>
      <c r="K82" s="2" t="s">
        <v>17456</v>
      </c>
      <c r="L82" s="10" t="s">
        <v>17457</v>
      </c>
    </row>
    <row r="83">
      <c r="A83" s="2" t="s">
        <v>4578</v>
      </c>
      <c r="B83" s="2" t="s">
        <v>17458</v>
      </c>
      <c r="C83" s="2">
        <v>7.3140156556E10</v>
      </c>
      <c r="E83" s="2">
        <v>261119.0</v>
      </c>
      <c r="F83" s="2">
        <v>11.0</v>
      </c>
      <c r="G83" s="2">
        <v>16.0</v>
      </c>
      <c r="H83" s="2" t="s">
        <v>5905</v>
      </c>
      <c r="I83" s="2" t="s">
        <v>5905</v>
      </c>
      <c r="K83" s="2" t="s">
        <v>17459</v>
      </c>
    </row>
    <row r="84">
      <c r="A84" s="2" t="s">
        <v>4578</v>
      </c>
      <c r="B84" s="2" t="s">
        <v>17460</v>
      </c>
      <c r="C84" s="2">
        <v>6.3164472928E10</v>
      </c>
      <c r="D84" s="2" t="s">
        <v>17461</v>
      </c>
      <c r="E84" s="2">
        <v>95105.0</v>
      </c>
      <c r="F84" s="2">
        <v>166.0</v>
      </c>
      <c r="G84" s="2">
        <v>2027.0</v>
      </c>
      <c r="H84" s="2" t="s">
        <v>5905</v>
      </c>
      <c r="I84" s="2" t="s">
        <v>5905</v>
      </c>
      <c r="J84" s="2" t="s">
        <v>5928</v>
      </c>
      <c r="K84" s="2" t="s">
        <v>17462</v>
      </c>
      <c r="L84" s="10" t="s">
        <v>17463</v>
      </c>
    </row>
    <row r="85">
      <c r="A85" s="2" t="s">
        <v>4578</v>
      </c>
      <c r="B85" s="2" t="s">
        <v>17464</v>
      </c>
      <c r="C85" s="2">
        <v>5.2496161981E10</v>
      </c>
      <c r="D85" s="2" t="s">
        <v>17465</v>
      </c>
      <c r="E85" s="2">
        <v>759135.0</v>
      </c>
      <c r="F85" s="2">
        <v>353.0</v>
      </c>
      <c r="G85" s="2">
        <v>354.0</v>
      </c>
      <c r="H85" s="2" t="s">
        <v>5906</v>
      </c>
      <c r="I85" s="2" t="s">
        <v>5906</v>
      </c>
      <c r="J85" s="2" t="s">
        <v>6414</v>
      </c>
      <c r="K85" s="2" t="s">
        <v>17466</v>
      </c>
      <c r="L85" s="10" t="s">
        <v>17467</v>
      </c>
    </row>
    <row r="86">
      <c r="A86" s="2" t="s">
        <v>4578</v>
      </c>
      <c r="B86" s="2" t="s">
        <v>17468</v>
      </c>
      <c r="C86" s="2">
        <v>3.9609230671E10</v>
      </c>
      <c r="D86" s="2" t="s">
        <v>17469</v>
      </c>
      <c r="E86" s="2">
        <v>563545.0</v>
      </c>
      <c r="F86" s="2">
        <v>582.0</v>
      </c>
      <c r="G86" s="2">
        <v>1098.0</v>
      </c>
      <c r="H86" s="2" t="s">
        <v>5905</v>
      </c>
      <c r="I86" s="2" t="s">
        <v>5905</v>
      </c>
      <c r="J86" s="2" t="s">
        <v>5928</v>
      </c>
      <c r="K86" s="2" t="s">
        <v>17470</v>
      </c>
      <c r="L86" s="10" t="s">
        <v>17471</v>
      </c>
    </row>
    <row r="87">
      <c r="A87" s="2" t="s">
        <v>4578</v>
      </c>
      <c r="B87" s="2" t="s">
        <v>17472</v>
      </c>
      <c r="C87" s="2">
        <v>7.1457851459E10</v>
      </c>
      <c r="E87" s="2">
        <v>102395.0</v>
      </c>
      <c r="F87" s="2">
        <v>10.0</v>
      </c>
      <c r="G87" s="2">
        <v>220.0</v>
      </c>
      <c r="H87" s="2" t="s">
        <v>5905</v>
      </c>
      <c r="I87" s="2" t="s">
        <v>5905</v>
      </c>
      <c r="J87" s="2" t="s">
        <v>5993</v>
      </c>
      <c r="K87" s="2" t="s">
        <v>17473</v>
      </c>
      <c r="L87" s="10" t="s">
        <v>17474</v>
      </c>
    </row>
    <row r="88">
      <c r="A88" s="2" t="s">
        <v>4578</v>
      </c>
      <c r="B88" s="2" t="s">
        <v>17475</v>
      </c>
      <c r="C88" s="2">
        <v>6.2288535822E10</v>
      </c>
      <c r="D88" s="2" t="s">
        <v>17476</v>
      </c>
      <c r="E88" s="2">
        <v>79933.0</v>
      </c>
      <c r="F88" s="2">
        <v>70.0</v>
      </c>
      <c r="G88" s="2">
        <v>303.0</v>
      </c>
      <c r="H88" s="2" t="s">
        <v>5905</v>
      </c>
      <c r="I88" s="2" t="s">
        <v>5905</v>
      </c>
      <c r="J88" s="2" t="s">
        <v>5959</v>
      </c>
      <c r="K88" s="2" t="s">
        <v>17477</v>
      </c>
      <c r="L88" s="10" t="s">
        <v>17478</v>
      </c>
    </row>
    <row r="89">
      <c r="A89" s="2" t="s">
        <v>4578</v>
      </c>
      <c r="B89" s="2" t="s">
        <v>17479</v>
      </c>
      <c r="C89" s="2">
        <v>7.3388402766E10</v>
      </c>
      <c r="D89" s="2" t="s">
        <v>17480</v>
      </c>
      <c r="E89" s="2">
        <v>178036.0</v>
      </c>
      <c r="F89" s="2">
        <v>47.0</v>
      </c>
      <c r="G89" s="2">
        <v>34.0</v>
      </c>
      <c r="H89" s="2" t="s">
        <v>5905</v>
      </c>
      <c r="I89" s="2" t="s">
        <v>5905</v>
      </c>
      <c r="J89" s="2" t="s">
        <v>5492</v>
      </c>
      <c r="K89" s="2" t="s">
        <v>17481</v>
      </c>
      <c r="L89" s="10" t="s">
        <v>17482</v>
      </c>
    </row>
    <row r="90">
      <c r="A90" s="2" t="s">
        <v>4578</v>
      </c>
      <c r="B90" s="2" t="s">
        <v>17483</v>
      </c>
      <c r="C90" s="2">
        <v>5.4502609481E10</v>
      </c>
      <c r="D90" s="2" t="s">
        <v>5684</v>
      </c>
      <c r="E90" s="2">
        <v>436796.0</v>
      </c>
      <c r="F90" s="2">
        <v>63.0</v>
      </c>
      <c r="G90" s="2">
        <v>221.0</v>
      </c>
      <c r="H90" s="2" t="s">
        <v>5905</v>
      </c>
      <c r="I90" s="2" t="s">
        <v>5905</v>
      </c>
      <c r="J90" s="2" t="s">
        <v>5928</v>
      </c>
      <c r="K90" s="2" t="s">
        <v>17484</v>
      </c>
      <c r="L90" s="10" t="s">
        <v>17485</v>
      </c>
    </row>
    <row r="91">
      <c r="A91" s="2" t="s">
        <v>4578</v>
      </c>
      <c r="B91" s="2" t="s">
        <v>17486</v>
      </c>
      <c r="C91" s="2">
        <v>6.1759283545E10</v>
      </c>
      <c r="D91" s="2" t="s">
        <v>17487</v>
      </c>
      <c r="E91" s="2">
        <v>365766.0</v>
      </c>
      <c r="F91" s="2">
        <v>30.0</v>
      </c>
      <c r="G91" s="2">
        <v>389.0</v>
      </c>
      <c r="H91" s="2" t="s">
        <v>5906</v>
      </c>
      <c r="I91" s="2" t="s">
        <v>5905</v>
      </c>
      <c r="J91" s="2" t="s">
        <v>5928</v>
      </c>
      <c r="K91" s="2" t="s">
        <v>17488</v>
      </c>
      <c r="L91" s="10" t="s">
        <v>17489</v>
      </c>
    </row>
    <row r="92">
      <c r="A92" s="2" t="s">
        <v>4578</v>
      </c>
      <c r="B92" s="2" t="s">
        <v>17490</v>
      </c>
      <c r="C92" s="2">
        <v>6.722049923E9</v>
      </c>
      <c r="D92" s="2" t="s">
        <v>17491</v>
      </c>
      <c r="E92" s="2">
        <v>555740.0</v>
      </c>
      <c r="F92" s="2">
        <v>293.0</v>
      </c>
      <c r="G92" s="2">
        <v>467.0</v>
      </c>
      <c r="H92" s="2" t="s">
        <v>5905</v>
      </c>
      <c r="I92" s="2" t="s">
        <v>5905</v>
      </c>
      <c r="J92" s="2" t="s">
        <v>5928</v>
      </c>
      <c r="K92" s="2" t="s">
        <v>17492</v>
      </c>
      <c r="L92" s="10" t="s">
        <v>17493</v>
      </c>
    </row>
    <row r="93">
      <c r="A93" s="2" t="s">
        <v>4578</v>
      </c>
      <c r="B93" s="2" t="s">
        <v>17494</v>
      </c>
      <c r="C93" s="2">
        <v>3.953607967E9</v>
      </c>
      <c r="D93" s="2" t="s">
        <v>17495</v>
      </c>
      <c r="E93" s="2">
        <v>136454.0</v>
      </c>
      <c r="F93" s="2">
        <v>325.0</v>
      </c>
      <c r="G93" s="2">
        <v>64.0</v>
      </c>
      <c r="H93" s="2" t="s">
        <v>5906</v>
      </c>
      <c r="I93" s="2" t="s">
        <v>5905</v>
      </c>
      <c r="J93" s="2" t="s">
        <v>5993</v>
      </c>
      <c r="K93" s="2" t="s">
        <v>17496</v>
      </c>
      <c r="L93" s="10" t="s">
        <v>17497</v>
      </c>
    </row>
    <row r="94">
      <c r="A94" s="2" t="s">
        <v>4578</v>
      </c>
      <c r="B94" s="2" t="s">
        <v>17498</v>
      </c>
      <c r="C94" s="2">
        <v>4.4963251146E10</v>
      </c>
      <c r="D94" s="2" t="s">
        <v>17499</v>
      </c>
      <c r="E94" s="2">
        <v>443392.0</v>
      </c>
      <c r="F94" s="2">
        <v>185.0</v>
      </c>
      <c r="G94" s="2">
        <v>631.0</v>
      </c>
      <c r="H94" s="2" t="s">
        <v>5905</v>
      </c>
      <c r="I94" s="2" t="s">
        <v>5905</v>
      </c>
      <c r="J94" s="2" t="s">
        <v>5928</v>
      </c>
      <c r="K94" s="2" t="s">
        <v>17500</v>
      </c>
      <c r="L94" s="10" t="s">
        <v>17501</v>
      </c>
    </row>
    <row r="95">
      <c r="A95" s="2" t="s">
        <v>4578</v>
      </c>
      <c r="B95" s="2" t="s">
        <v>17502</v>
      </c>
      <c r="C95" s="2">
        <v>6.707597119E10</v>
      </c>
      <c r="D95" s="2" t="s">
        <v>17503</v>
      </c>
      <c r="E95" s="2">
        <v>531803.0</v>
      </c>
      <c r="F95" s="2">
        <v>305.0</v>
      </c>
      <c r="G95" s="2">
        <v>492.0</v>
      </c>
      <c r="H95" s="2" t="s">
        <v>5905</v>
      </c>
      <c r="I95" s="2" t="s">
        <v>5906</v>
      </c>
      <c r="J95" s="2" t="s">
        <v>15314</v>
      </c>
      <c r="K95" s="2" t="s">
        <v>17504</v>
      </c>
      <c r="L95" s="10" t="s">
        <v>17505</v>
      </c>
    </row>
    <row r="96">
      <c r="A96" s="2" t="s">
        <v>4710</v>
      </c>
      <c r="B96" s="2" t="s">
        <v>17506</v>
      </c>
      <c r="C96" s="2">
        <v>5.539600638E9</v>
      </c>
      <c r="D96" s="2" t="s">
        <v>17507</v>
      </c>
      <c r="E96" s="2">
        <v>10209.0</v>
      </c>
      <c r="F96" s="2">
        <v>1410.0</v>
      </c>
      <c r="G96" s="2">
        <v>717.0</v>
      </c>
      <c r="H96" s="2" t="s">
        <v>5905</v>
      </c>
      <c r="I96" s="2" t="s">
        <v>5906</v>
      </c>
      <c r="J96" s="2" t="s">
        <v>5391</v>
      </c>
    </row>
    <row r="97">
      <c r="A97" s="2" t="s">
        <v>4538</v>
      </c>
      <c r="B97" s="2" t="s">
        <v>17508</v>
      </c>
      <c r="C97" s="2">
        <v>3.922544389E9</v>
      </c>
      <c r="D97" s="2" t="s">
        <v>17509</v>
      </c>
      <c r="E97" s="2">
        <v>20734.0</v>
      </c>
      <c r="F97" s="2">
        <v>5675.0</v>
      </c>
      <c r="G97" s="2">
        <v>1573.0</v>
      </c>
      <c r="H97" s="2" t="s">
        <v>5905</v>
      </c>
      <c r="I97" s="2" t="s">
        <v>5906</v>
      </c>
      <c r="J97" s="2" t="s">
        <v>8719</v>
      </c>
      <c r="K97" s="2" t="s">
        <v>17510</v>
      </c>
    </row>
    <row r="98">
      <c r="A98" s="2" t="s">
        <v>4538</v>
      </c>
      <c r="B98" s="2" t="s">
        <v>4538</v>
      </c>
      <c r="C98" s="2">
        <v>4.34940826E10</v>
      </c>
      <c r="D98" s="2" t="s">
        <v>17511</v>
      </c>
      <c r="E98" s="2">
        <v>1658342.0</v>
      </c>
      <c r="F98" s="2">
        <v>165.0</v>
      </c>
      <c r="G98" s="2">
        <v>841.0</v>
      </c>
      <c r="H98" s="2" t="s">
        <v>5906</v>
      </c>
      <c r="I98" s="2" t="s">
        <v>5905</v>
      </c>
      <c r="J98" s="2" t="s">
        <v>5911</v>
      </c>
      <c r="K98" s="2" t="s">
        <v>17512</v>
      </c>
    </row>
    <row r="99">
      <c r="A99" s="2" t="s">
        <v>4538</v>
      </c>
      <c r="B99" s="2" t="s">
        <v>17513</v>
      </c>
      <c r="C99" s="2">
        <v>4.218266601E9</v>
      </c>
      <c r="D99" s="2" t="s">
        <v>17514</v>
      </c>
      <c r="E99" s="2">
        <v>1025853.0</v>
      </c>
      <c r="F99" s="2">
        <v>536.0</v>
      </c>
      <c r="G99" s="2">
        <v>1469.0</v>
      </c>
      <c r="H99" s="2" t="s">
        <v>5905</v>
      </c>
      <c r="I99" s="2" t="s">
        <v>5905</v>
      </c>
      <c r="J99" s="2" t="s">
        <v>5928</v>
      </c>
      <c r="K99" s="2" t="s">
        <v>17515</v>
      </c>
    </row>
    <row r="100">
      <c r="A100" s="2" t="s">
        <v>4538</v>
      </c>
      <c r="B100" s="2" t="s">
        <v>17516</v>
      </c>
      <c r="C100" s="2">
        <v>1.568025749E9</v>
      </c>
      <c r="D100" s="2" t="s">
        <v>17517</v>
      </c>
      <c r="E100" s="2">
        <v>43344.0</v>
      </c>
      <c r="F100" s="2">
        <v>422.0</v>
      </c>
      <c r="G100" s="2">
        <v>1407.0</v>
      </c>
      <c r="H100" s="2" t="s">
        <v>5905</v>
      </c>
      <c r="I100" s="2" t="s">
        <v>5906</v>
      </c>
      <c r="J100" s="2" t="s">
        <v>5968</v>
      </c>
      <c r="K100" s="2" t="s">
        <v>17518</v>
      </c>
      <c r="L100" s="10" t="s">
        <v>17519</v>
      </c>
    </row>
    <row r="101">
      <c r="A101" s="2" t="s">
        <v>4538</v>
      </c>
      <c r="B101" s="2" t="s">
        <v>17520</v>
      </c>
      <c r="C101" s="2">
        <v>5638201.0</v>
      </c>
      <c r="D101" s="2" t="s">
        <v>17521</v>
      </c>
      <c r="E101" s="2">
        <v>115983.0</v>
      </c>
      <c r="F101" s="2">
        <v>5631.0</v>
      </c>
      <c r="G101" s="2">
        <v>1035.0</v>
      </c>
      <c r="H101" s="2" t="s">
        <v>5906</v>
      </c>
      <c r="I101" s="2" t="s">
        <v>5906</v>
      </c>
      <c r="J101" s="2" t="s">
        <v>5492</v>
      </c>
      <c r="K101" s="2" t="s">
        <v>17522</v>
      </c>
      <c r="L101" s="10" t="s">
        <v>17523</v>
      </c>
    </row>
    <row r="102">
      <c r="A102" s="2" t="s">
        <v>4538</v>
      </c>
      <c r="B102" s="2" t="s">
        <v>17524</v>
      </c>
      <c r="C102" s="2">
        <v>1.341520362E9</v>
      </c>
      <c r="D102" s="2" t="s">
        <v>17525</v>
      </c>
      <c r="E102" s="2">
        <v>122861.0</v>
      </c>
      <c r="F102" s="2">
        <v>848.0</v>
      </c>
      <c r="G102" s="2">
        <v>4387.0</v>
      </c>
      <c r="H102" s="2" t="s">
        <v>5905</v>
      </c>
      <c r="I102" s="2" t="s">
        <v>5906</v>
      </c>
      <c r="J102" s="2" t="s">
        <v>16329</v>
      </c>
      <c r="K102" s="2" t="s">
        <v>17526</v>
      </c>
      <c r="L102" s="10" t="s">
        <v>17527</v>
      </c>
    </row>
    <row r="103">
      <c r="A103" s="2" t="s">
        <v>4538</v>
      </c>
      <c r="B103" s="2" t="s">
        <v>17528</v>
      </c>
      <c r="C103" s="2">
        <v>9806077.0</v>
      </c>
      <c r="D103" s="2" t="s">
        <v>17529</v>
      </c>
      <c r="E103" s="2">
        <v>21628.0</v>
      </c>
      <c r="F103" s="2">
        <v>668.0</v>
      </c>
      <c r="G103" s="2">
        <v>3597.0</v>
      </c>
      <c r="H103" s="2" t="s">
        <v>5905</v>
      </c>
      <c r="I103" s="2" t="s">
        <v>5905</v>
      </c>
      <c r="J103" s="2" t="s">
        <v>5492</v>
      </c>
      <c r="K103" s="2" t="s">
        <v>17530</v>
      </c>
      <c r="L103" s="10" t="s">
        <v>17531</v>
      </c>
    </row>
    <row r="104">
      <c r="A104" s="2" t="s">
        <v>4538</v>
      </c>
      <c r="B104" s="2" t="s">
        <v>17532</v>
      </c>
      <c r="C104" s="2">
        <v>5.9470635203E10</v>
      </c>
      <c r="D104" s="2" t="s">
        <v>17533</v>
      </c>
      <c r="E104" s="2">
        <v>276789.0</v>
      </c>
      <c r="F104" s="2">
        <v>545.0</v>
      </c>
      <c r="G104" s="2">
        <v>389.0</v>
      </c>
      <c r="H104" s="2" t="s">
        <v>5906</v>
      </c>
      <c r="I104" s="2" t="s">
        <v>5905</v>
      </c>
      <c r="J104" s="2" t="s">
        <v>5959</v>
      </c>
      <c r="K104" s="2" t="s">
        <v>17534</v>
      </c>
      <c r="L104" s="10" t="s">
        <v>17535</v>
      </c>
    </row>
    <row r="105">
      <c r="A105" s="2" t="s">
        <v>4538</v>
      </c>
      <c r="B105" s="2" t="s">
        <v>17536</v>
      </c>
      <c r="C105" s="2">
        <v>2.5904637E7</v>
      </c>
      <c r="D105" s="2" t="s">
        <v>17537</v>
      </c>
      <c r="E105" s="2">
        <v>84856.0</v>
      </c>
      <c r="F105" s="2">
        <v>705.0</v>
      </c>
      <c r="G105" s="2">
        <v>832.0</v>
      </c>
      <c r="H105" s="2" t="s">
        <v>5906</v>
      </c>
      <c r="I105" s="2" t="s">
        <v>5905</v>
      </c>
      <c r="J105" s="2" t="s">
        <v>7620</v>
      </c>
      <c r="K105" s="2" t="s">
        <v>17538</v>
      </c>
      <c r="L105" s="10" t="s">
        <v>17539</v>
      </c>
    </row>
    <row r="106">
      <c r="A106" s="2" t="s">
        <v>4538</v>
      </c>
      <c r="B106" s="2" t="s">
        <v>17540</v>
      </c>
      <c r="C106" s="2">
        <v>1708848.0</v>
      </c>
      <c r="D106" s="2" t="s">
        <v>17541</v>
      </c>
      <c r="E106" s="2">
        <v>23937.0</v>
      </c>
      <c r="F106" s="2">
        <v>1443.0</v>
      </c>
      <c r="G106" s="2">
        <v>1556.0</v>
      </c>
      <c r="H106" s="2" t="s">
        <v>5906</v>
      </c>
      <c r="I106" s="2" t="s">
        <v>5905</v>
      </c>
      <c r="J106" s="2" t="s">
        <v>5492</v>
      </c>
      <c r="K106" s="2" t="s">
        <v>17542</v>
      </c>
      <c r="L106" s="10" t="s">
        <v>17543</v>
      </c>
    </row>
    <row r="107">
      <c r="A107" s="2" t="s">
        <v>4538</v>
      </c>
      <c r="B107" s="2" t="s">
        <v>17544</v>
      </c>
      <c r="C107" s="2">
        <v>2.47342214E8</v>
      </c>
      <c r="D107" s="2" t="s">
        <v>17545</v>
      </c>
      <c r="E107" s="2">
        <v>50395.0</v>
      </c>
      <c r="F107" s="2">
        <v>985.0</v>
      </c>
      <c r="G107" s="2">
        <v>1145.0</v>
      </c>
      <c r="H107" s="2" t="s">
        <v>5906</v>
      </c>
      <c r="I107" s="2" t="s">
        <v>5905</v>
      </c>
      <c r="J107" s="2" t="s">
        <v>5959</v>
      </c>
      <c r="K107" s="2" t="s">
        <v>17546</v>
      </c>
      <c r="L107" s="10" t="s">
        <v>17547</v>
      </c>
    </row>
    <row r="108">
      <c r="A108" s="2" t="s">
        <v>4538</v>
      </c>
      <c r="B108" s="2" t="s">
        <v>17548</v>
      </c>
      <c r="C108" s="2">
        <v>4.166921469E9</v>
      </c>
      <c r="D108" s="2" t="s">
        <v>17549</v>
      </c>
      <c r="E108" s="2">
        <v>61526.0</v>
      </c>
      <c r="F108" s="2">
        <v>1971.0</v>
      </c>
      <c r="G108" s="2">
        <v>1052.0</v>
      </c>
      <c r="H108" s="2" t="s">
        <v>5905</v>
      </c>
      <c r="I108" s="2" t="s">
        <v>5905</v>
      </c>
      <c r="J108" s="2" t="s">
        <v>5959</v>
      </c>
      <c r="K108" s="2" t="s">
        <v>17550</v>
      </c>
      <c r="L108" s="10" t="s">
        <v>17551</v>
      </c>
    </row>
    <row r="109">
      <c r="A109" s="2" t="s">
        <v>4538</v>
      </c>
      <c r="B109" s="2" t="s">
        <v>17552</v>
      </c>
      <c r="C109" s="2">
        <v>1.954282282E9</v>
      </c>
      <c r="D109" s="2" t="s">
        <v>17553</v>
      </c>
      <c r="E109" s="2">
        <v>23193.0</v>
      </c>
      <c r="F109" s="2">
        <v>229.0</v>
      </c>
      <c r="G109" s="2">
        <v>1708.0</v>
      </c>
      <c r="H109" s="2" t="s">
        <v>5906</v>
      </c>
      <c r="I109" s="2" t="s">
        <v>5905</v>
      </c>
      <c r="J109" s="2" t="s">
        <v>5959</v>
      </c>
      <c r="K109" s="2" t="s">
        <v>17554</v>
      </c>
      <c r="L109" s="10" t="s">
        <v>17555</v>
      </c>
    </row>
    <row r="110">
      <c r="A110" s="2" t="s">
        <v>4538</v>
      </c>
      <c r="B110" s="2" t="s">
        <v>17556</v>
      </c>
      <c r="C110" s="2">
        <v>2.286186151E9</v>
      </c>
      <c r="D110" s="2" t="s">
        <v>17557</v>
      </c>
      <c r="E110" s="2">
        <v>15748.0</v>
      </c>
      <c r="F110" s="2">
        <v>646.0</v>
      </c>
      <c r="G110" s="2">
        <v>343.0</v>
      </c>
      <c r="H110" s="2" t="s">
        <v>5905</v>
      </c>
      <c r="I110" s="2" t="s">
        <v>5905</v>
      </c>
      <c r="J110" s="2" t="s">
        <v>5959</v>
      </c>
      <c r="K110" s="2" t="s">
        <v>17558</v>
      </c>
      <c r="L110" s="10" t="s">
        <v>17559</v>
      </c>
    </row>
    <row r="111">
      <c r="A111" s="2" t="s">
        <v>4435</v>
      </c>
      <c r="B111" s="2" t="s">
        <v>17560</v>
      </c>
      <c r="C111" s="2">
        <v>6.1286650315E10</v>
      </c>
      <c r="D111" s="2" t="s">
        <v>17561</v>
      </c>
      <c r="E111" s="2">
        <v>43728.0</v>
      </c>
      <c r="F111" s="2">
        <v>19.0</v>
      </c>
      <c r="G111" s="2">
        <v>547.0</v>
      </c>
      <c r="H111" s="2" t="s">
        <v>5905</v>
      </c>
      <c r="I111" s="2" t="s">
        <v>5905</v>
      </c>
      <c r="J111" s="2" t="s">
        <v>5485</v>
      </c>
      <c r="K111" s="2" t="s">
        <v>17562</v>
      </c>
      <c r="L111" s="10" t="s">
        <v>17563</v>
      </c>
    </row>
    <row r="112">
      <c r="A112" s="2" t="s">
        <v>4435</v>
      </c>
      <c r="B112" s="2" t="s">
        <v>17564</v>
      </c>
      <c r="C112" s="2">
        <v>3.1818719355E10</v>
      </c>
      <c r="D112" s="2" t="s">
        <v>17565</v>
      </c>
      <c r="E112" s="2">
        <v>33649.0</v>
      </c>
      <c r="F112" s="2">
        <v>1.0</v>
      </c>
      <c r="G112" s="2">
        <v>2044.0</v>
      </c>
      <c r="H112" s="2" t="s">
        <v>5905</v>
      </c>
      <c r="I112" s="2" t="s">
        <v>5905</v>
      </c>
      <c r="J112" s="2" t="s">
        <v>9470</v>
      </c>
      <c r="K112" s="2" t="s">
        <v>17566</v>
      </c>
      <c r="L112" s="10" t="s">
        <v>17567</v>
      </c>
    </row>
    <row r="113">
      <c r="A113" s="2" t="s">
        <v>4435</v>
      </c>
      <c r="B113" s="2" t="s">
        <v>17568</v>
      </c>
      <c r="C113" s="2">
        <v>2.2209445325E10</v>
      </c>
      <c r="D113" s="2" t="s">
        <v>17569</v>
      </c>
      <c r="E113" s="2">
        <v>53327.0</v>
      </c>
      <c r="F113" s="2">
        <v>389.0</v>
      </c>
      <c r="G113" s="2">
        <v>5860.0</v>
      </c>
      <c r="H113" s="2" t="s">
        <v>5905</v>
      </c>
      <c r="I113" s="2" t="s">
        <v>5905</v>
      </c>
      <c r="J113" s="2" t="s">
        <v>4397</v>
      </c>
      <c r="K113" s="2" t="s">
        <v>17570</v>
      </c>
      <c r="L113" s="10" t="s">
        <v>17571</v>
      </c>
    </row>
    <row r="114">
      <c r="A114" s="2" t="s">
        <v>4435</v>
      </c>
      <c r="B114" s="2" t="s">
        <v>17572</v>
      </c>
      <c r="C114" s="2">
        <v>5.0698101776E10</v>
      </c>
      <c r="D114" s="2" t="s">
        <v>17573</v>
      </c>
      <c r="E114" s="2">
        <v>28345.0</v>
      </c>
      <c r="F114" s="2">
        <v>7.0</v>
      </c>
      <c r="G114" s="2">
        <v>599.0</v>
      </c>
      <c r="H114" s="2" t="s">
        <v>5905</v>
      </c>
      <c r="I114" s="2" t="s">
        <v>5905</v>
      </c>
      <c r="J114" s="2" t="s">
        <v>6002</v>
      </c>
      <c r="K114" s="2" t="s">
        <v>17574</v>
      </c>
    </row>
    <row r="115">
      <c r="A115" s="2" t="s">
        <v>4435</v>
      </c>
      <c r="B115" s="2" t="s">
        <v>17575</v>
      </c>
      <c r="C115" s="2">
        <v>4.5508969477E10</v>
      </c>
      <c r="D115" s="2" t="s">
        <v>17576</v>
      </c>
      <c r="E115" s="2">
        <v>156658.0</v>
      </c>
      <c r="F115" s="2">
        <v>988.0</v>
      </c>
      <c r="G115" s="2">
        <v>1418.0</v>
      </c>
      <c r="H115" s="2" t="s">
        <v>5905</v>
      </c>
      <c r="I115" s="2" t="s">
        <v>5905</v>
      </c>
      <c r="J115" s="2" t="s">
        <v>5928</v>
      </c>
      <c r="K115" s="2" t="s">
        <v>17577</v>
      </c>
      <c r="L115" s="10" t="s">
        <v>17578</v>
      </c>
    </row>
    <row r="116">
      <c r="A116" s="2" t="s">
        <v>4435</v>
      </c>
      <c r="B116" s="2" t="s">
        <v>17579</v>
      </c>
      <c r="C116" s="2">
        <v>1.9020412172E10</v>
      </c>
      <c r="D116" s="2" t="s">
        <v>17580</v>
      </c>
      <c r="E116" s="2">
        <v>12259.0</v>
      </c>
      <c r="F116" s="2">
        <v>294.0</v>
      </c>
      <c r="G116" s="2">
        <v>130.0</v>
      </c>
      <c r="H116" s="2" t="s">
        <v>5905</v>
      </c>
      <c r="I116" s="2" t="s">
        <v>5905</v>
      </c>
      <c r="J116" s="2" t="s">
        <v>9470</v>
      </c>
      <c r="K116" s="2" t="s">
        <v>17581</v>
      </c>
      <c r="L116" s="10" t="s">
        <v>17582</v>
      </c>
    </row>
    <row r="117">
      <c r="A117" s="2" t="s">
        <v>4435</v>
      </c>
      <c r="B117" s="2" t="s">
        <v>17583</v>
      </c>
      <c r="C117" s="2">
        <v>1.546692149E9</v>
      </c>
      <c r="D117" s="2" t="s">
        <v>17584</v>
      </c>
      <c r="E117" s="2">
        <v>15036.0</v>
      </c>
      <c r="F117" s="2">
        <v>144.0</v>
      </c>
      <c r="G117" s="2">
        <v>842.0</v>
      </c>
      <c r="H117" s="2" t="s">
        <v>5906</v>
      </c>
      <c r="I117" s="2" t="s">
        <v>5906</v>
      </c>
      <c r="J117" s="2" t="s">
        <v>4397</v>
      </c>
      <c r="K117" s="2" t="s">
        <v>17585</v>
      </c>
      <c r="L117" s="10" t="s">
        <v>17586</v>
      </c>
    </row>
    <row r="118">
      <c r="A118" s="2" t="s">
        <v>4435</v>
      </c>
      <c r="B118" s="2" t="s">
        <v>17587</v>
      </c>
      <c r="C118" s="2">
        <v>6.1765551636E10</v>
      </c>
      <c r="D118" s="2" t="s">
        <v>17588</v>
      </c>
      <c r="E118" s="2">
        <v>16703.0</v>
      </c>
      <c r="F118" s="2">
        <v>56.0</v>
      </c>
      <c r="G118" s="2">
        <v>388.0</v>
      </c>
      <c r="H118" s="2" t="s">
        <v>5905</v>
      </c>
      <c r="I118" s="2" t="s">
        <v>5905</v>
      </c>
      <c r="J118" s="2" t="s">
        <v>4397</v>
      </c>
      <c r="K118" s="2" t="s">
        <v>17589</v>
      </c>
      <c r="L118" s="10" t="s">
        <v>17590</v>
      </c>
    </row>
    <row r="119">
      <c r="A119" s="2" t="s">
        <v>4441</v>
      </c>
      <c r="B119" s="2" t="s">
        <v>4441</v>
      </c>
      <c r="C119" s="2">
        <v>1501252.0</v>
      </c>
      <c r="D119" s="2" t="s">
        <v>17591</v>
      </c>
      <c r="E119" s="2">
        <v>64907.0</v>
      </c>
      <c r="F119" s="2">
        <v>459.0</v>
      </c>
      <c r="G119" s="2">
        <v>1657.0</v>
      </c>
      <c r="H119" s="2" t="s">
        <v>5905</v>
      </c>
      <c r="I119" s="2" t="s">
        <v>5906</v>
      </c>
      <c r="J119" s="2" t="s">
        <v>8044</v>
      </c>
      <c r="K119" s="2" t="s">
        <v>17592</v>
      </c>
    </row>
    <row r="120">
      <c r="A120" s="2" t="s">
        <v>4441</v>
      </c>
      <c r="B120" s="2" t="s">
        <v>17593</v>
      </c>
      <c r="C120" s="2">
        <v>2.76070121E8</v>
      </c>
      <c r="D120" s="2" t="s">
        <v>17594</v>
      </c>
      <c r="E120" s="2">
        <v>111565.0</v>
      </c>
      <c r="F120" s="2">
        <v>3080.0</v>
      </c>
      <c r="G120" s="2">
        <v>1506.0</v>
      </c>
      <c r="H120" s="2" t="s">
        <v>5905</v>
      </c>
      <c r="I120" s="2" t="s">
        <v>5905</v>
      </c>
      <c r="J120" s="2" t="s">
        <v>5391</v>
      </c>
      <c r="K120" s="2" t="s">
        <v>17595</v>
      </c>
      <c r="L120" s="10" t="s">
        <v>17596</v>
      </c>
    </row>
    <row r="121">
      <c r="A121" s="2" t="s">
        <v>4441</v>
      </c>
      <c r="B121" s="2" t="s">
        <v>17597</v>
      </c>
      <c r="C121" s="2">
        <v>5.266459783E10</v>
      </c>
      <c r="D121" s="2" t="s">
        <v>17598</v>
      </c>
      <c r="E121" s="2">
        <v>147404.0</v>
      </c>
      <c r="F121" s="2">
        <v>28.0</v>
      </c>
      <c r="G121" s="2">
        <v>175.0</v>
      </c>
      <c r="H121" s="2" t="s">
        <v>5905</v>
      </c>
      <c r="I121" s="2" t="s">
        <v>5905</v>
      </c>
      <c r="J121" s="2" t="s">
        <v>5928</v>
      </c>
      <c r="K121" s="2" t="s">
        <v>17599</v>
      </c>
      <c r="L121" s="10" t="s">
        <v>17600</v>
      </c>
    </row>
    <row r="122">
      <c r="A122" s="2" t="s">
        <v>4441</v>
      </c>
      <c r="B122" s="2" t="s">
        <v>17601</v>
      </c>
      <c r="C122" s="2">
        <v>1.2673863443E10</v>
      </c>
      <c r="D122" s="2" t="s">
        <v>17602</v>
      </c>
      <c r="E122" s="2">
        <v>398009.0</v>
      </c>
      <c r="F122" s="2">
        <v>420.0</v>
      </c>
      <c r="G122" s="2">
        <v>1143.0</v>
      </c>
      <c r="H122" s="2" t="s">
        <v>5906</v>
      </c>
      <c r="I122" s="2" t="s">
        <v>5905</v>
      </c>
      <c r="J122" s="2" t="s">
        <v>5928</v>
      </c>
      <c r="K122" s="2" t="s">
        <v>17603</v>
      </c>
      <c r="L122" s="10" t="s">
        <v>17604</v>
      </c>
    </row>
    <row r="123">
      <c r="A123" s="2" t="s">
        <v>4441</v>
      </c>
      <c r="B123" s="2" t="s">
        <v>17605</v>
      </c>
      <c r="C123" s="2">
        <v>5.83627344E8</v>
      </c>
      <c r="D123" s="2" t="s">
        <v>17606</v>
      </c>
      <c r="E123" s="2">
        <v>686589.0</v>
      </c>
      <c r="F123" s="2">
        <v>1133.0</v>
      </c>
      <c r="G123" s="2">
        <v>2874.0</v>
      </c>
      <c r="H123" s="2" t="s">
        <v>5906</v>
      </c>
      <c r="I123" s="2" t="s">
        <v>5905</v>
      </c>
      <c r="J123" s="2" t="s">
        <v>6856</v>
      </c>
      <c r="K123" s="2" t="s">
        <v>17607</v>
      </c>
      <c r="L123" s="10" t="s">
        <v>17608</v>
      </c>
    </row>
    <row r="124">
      <c r="A124" s="2" t="s">
        <v>4441</v>
      </c>
      <c r="B124" s="2" t="s">
        <v>17609</v>
      </c>
      <c r="C124" s="2">
        <v>4.3841472753E10</v>
      </c>
      <c r="D124" s="2" t="s">
        <v>17610</v>
      </c>
      <c r="E124" s="2">
        <v>57676.0</v>
      </c>
      <c r="F124" s="2">
        <v>518.0</v>
      </c>
      <c r="G124" s="2">
        <v>661.0</v>
      </c>
      <c r="H124" s="2" t="s">
        <v>5905</v>
      </c>
      <c r="I124" s="2" t="s">
        <v>5906</v>
      </c>
      <c r="J124" s="2" t="s">
        <v>6002</v>
      </c>
      <c r="K124" s="2" t="s">
        <v>17611</v>
      </c>
      <c r="L124" s="10" t="s">
        <v>17612</v>
      </c>
    </row>
    <row r="125">
      <c r="A125" s="2" t="s">
        <v>4441</v>
      </c>
      <c r="B125" s="2" t="s">
        <v>17613</v>
      </c>
      <c r="C125" s="2">
        <v>5.3236555289E10</v>
      </c>
      <c r="D125" s="2" t="s">
        <v>17614</v>
      </c>
      <c r="E125" s="2">
        <v>12784.0</v>
      </c>
      <c r="F125" s="2">
        <v>1300.0</v>
      </c>
      <c r="G125" s="2">
        <v>355.0</v>
      </c>
      <c r="H125" s="2" t="s">
        <v>5905</v>
      </c>
      <c r="I125" s="2" t="s">
        <v>5905</v>
      </c>
      <c r="J125" s="2" t="s">
        <v>16494</v>
      </c>
      <c r="K125" s="2" t="s">
        <v>17615</v>
      </c>
    </row>
    <row r="126">
      <c r="A126" s="2" t="s">
        <v>4441</v>
      </c>
      <c r="B126" s="2" t="s">
        <v>17616</v>
      </c>
      <c r="C126" s="2">
        <v>4.542754799E9</v>
      </c>
      <c r="D126" s="2" t="s">
        <v>17617</v>
      </c>
      <c r="E126" s="2">
        <v>1605052.0</v>
      </c>
      <c r="F126" s="2">
        <v>697.0</v>
      </c>
      <c r="G126" s="2">
        <v>808.0</v>
      </c>
      <c r="H126" s="2" t="s">
        <v>5905</v>
      </c>
      <c r="I126" s="2" t="s">
        <v>5905</v>
      </c>
      <c r="J126" s="2" t="s">
        <v>5993</v>
      </c>
      <c r="K126" s="2" t="s">
        <v>17618</v>
      </c>
      <c r="L126" s="10" t="s">
        <v>17619</v>
      </c>
    </row>
    <row r="127">
      <c r="A127" s="2" t="s">
        <v>4441</v>
      </c>
      <c r="B127" s="2" t="s">
        <v>17620</v>
      </c>
      <c r="C127" s="2">
        <v>1.83141961E8</v>
      </c>
      <c r="D127" s="2" t="s">
        <v>17621</v>
      </c>
      <c r="E127" s="2">
        <v>1521833.0</v>
      </c>
      <c r="F127" s="2">
        <v>634.0</v>
      </c>
      <c r="G127" s="2">
        <v>7067.0</v>
      </c>
      <c r="H127" s="2" t="s">
        <v>5906</v>
      </c>
      <c r="I127" s="2" t="s">
        <v>5905</v>
      </c>
      <c r="J127" s="2" t="s">
        <v>5959</v>
      </c>
      <c r="K127" s="2" t="s">
        <v>17622</v>
      </c>
      <c r="L127" s="10" t="s">
        <v>17623</v>
      </c>
    </row>
    <row r="128">
      <c r="A128" s="2" t="s">
        <v>4441</v>
      </c>
      <c r="B128" s="2" t="s">
        <v>17624</v>
      </c>
      <c r="C128" s="2">
        <v>1.335144692E9</v>
      </c>
      <c r="D128" s="2" t="s">
        <v>17625</v>
      </c>
      <c r="E128" s="2">
        <v>450158.0</v>
      </c>
      <c r="F128" s="2">
        <v>281.0</v>
      </c>
      <c r="G128" s="2">
        <v>712.0</v>
      </c>
      <c r="H128" s="2" t="s">
        <v>5906</v>
      </c>
      <c r="I128" s="2" t="s">
        <v>5905</v>
      </c>
      <c r="J128" s="2" t="s">
        <v>5959</v>
      </c>
      <c r="K128" s="2" t="s">
        <v>17626</v>
      </c>
      <c r="L128" s="10" t="s">
        <v>17627</v>
      </c>
    </row>
    <row r="129">
      <c r="A129" s="2" t="s">
        <v>4441</v>
      </c>
      <c r="B129" s="2" t="s">
        <v>17628</v>
      </c>
      <c r="C129" s="2">
        <v>5.8373560061E10</v>
      </c>
      <c r="D129" s="2" t="s">
        <v>17629</v>
      </c>
      <c r="E129" s="2">
        <v>27088.0</v>
      </c>
      <c r="F129" s="2">
        <v>1162.0</v>
      </c>
      <c r="G129" s="2">
        <v>247.0</v>
      </c>
      <c r="H129" s="2" t="s">
        <v>5905</v>
      </c>
      <c r="I129" s="2" t="s">
        <v>5906</v>
      </c>
      <c r="J129" s="2" t="s">
        <v>17630</v>
      </c>
      <c r="K129" s="2" t="s">
        <v>17631</v>
      </c>
      <c r="L129" s="10" t="s">
        <v>17632</v>
      </c>
    </row>
    <row r="130">
      <c r="A130" s="2" t="s">
        <v>4547</v>
      </c>
      <c r="B130" s="2" t="s">
        <v>4547</v>
      </c>
      <c r="C130" s="2">
        <v>2.10613925E9</v>
      </c>
      <c r="D130" s="2" t="s">
        <v>17633</v>
      </c>
      <c r="E130" s="2">
        <v>441743.0</v>
      </c>
      <c r="F130" s="2">
        <v>36.0</v>
      </c>
      <c r="G130" s="2">
        <v>2599.0</v>
      </c>
      <c r="H130" s="2" t="s">
        <v>5906</v>
      </c>
      <c r="I130" s="2" t="s">
        <v>5905</v>
      </c>
      <c r="J130" s="2" t="s">
        <v>7431</v>
      </c>
      <c r="K130" s="2" t="s">
        <v>17634</v>
      </c>
      <c r="L130" s="10" t="s">
        <v>17635</v>
      </c>
    </row>
    <row r="131">
      <c r="A131" s="2" t="s">
        <v>4547</v>
      </c>
      <c r="B131" s="2" t="s">
        <v>17636</v>
      </c>
      <c r="C131" s="2">
        <v>3.00603645E8</v>
      </c>
      <c r="D131" s="2" t="s">
        <v>17637</v>
      </c>
      <c r="E131" s="2">
        <v>154530.0</v>
      </c>
      <c r="F131" s="2">
        <v>785.0</v>
      </c>
      <c r="G131" s="2">
        <v>298.0</v>
      </c>
      <c r="H131" s="2" t="s">
        <v>5906</v>
      </c>
      <c r="I131" s="2" t="s">
        <v>5905</v>
      </c>
      <c r="J131" s="2" t="s">
        <v>4404</v>
      </c>
      <c r="K131" s="2" t="s">
        <v>17638</v>
      </c>
      <c r="L131" s="10" t="s">
        <v>17639</v>
      </c>
    </row>
    <row r="132">
      <c r="A132" s="2" t="s">
        <v>4547</v>
      </c>
      <c r="B132" s="2" t="s">
        <v>17640</v>
      </c>
      <c r="C132" s="2">
        <v>1.008082569E9</v>
      </c>
      <c r="D132" s="2" t="s">
        <v>17641</v>
      </c>
      <c r="E132" s="2">
        <v>1701222.0</v>
      </c>
      <c r="F132" s="2">
        <v>5053.0</v>
      </c>
      <c r="G132" s="2">
        <v>20676.0</v>
      </c>
      <c r="H132" s="2" t="s">
        <v>5906</v>
      </c>
      <c r="I132" s="2" t="s">
        <v>5906</v>
      </c>
      <c r="J132" s="2" t="s">
        <v>7140</v>
      </c>
      <c r="K132" s="2" t="s">
        <v>17642</v>
      </c>
      <c r="L132" s="10" t="s">
        <v>17643</v>
      </c>
    </row>
    <row r="133">
      <c r="A133" s="2" t="s">
        <v>4547</v>
      </c>
      <c r="B133" s="2" t="s">
        <v>17644</v>
      </c>
      <c r="C133" s="2">
        <v>8.463515168E9</v>
      </c>
      <c r="D133" s="2" t="s">
        <v>17645</v>
      </c>
      <c r="E133" s="2">
        <v>537623.0</v>
      </c>
      <c r="F133" s="2">
        <v>651.0</v>
      </c>
      <c r="G133" s="2">
        <v>9132.0</v>
      </c>
      <c r="H133" s="2" t="s">
        <v>5905</v>
      </c>
      <c r="I133" s="2" t="s">
        <v>5906</v>
      </c>
      <c r="J133" s="2" t="s">
        <v>5561</v>
      </c>
      <c r="K133" s="2" t="s">
        <v>17646</v>
      </c>
      <c r="L133" s="10" t="s">
        <v>17647</v>
      </c>
    </row>
    <row r="134">
      <c r="A134" s="2" t="s">
        <v>4547</v>
      </c>
      <c r="B134" s="2" t="s">
        <v>17648</v>
      </c>
      <c r="C134" s="2">
        <v>5.6240027953E10</v>
      </c>
      <c r="D134" s="2" t="s">
        <v>17649</v>
      </c>
      <c r="E134" s="2">
        <v>251759.0</v>
      </c>
      <c r="F134" s="2">
        <v>4.0</v>
      </c>
      <c r="G134" s="2">
        <v>34.0</v>
      </c>
      <c r="H134" s="2" t="s">
        <v>5905</v>
      </c>
      <c r="I134" s="2" t="s">
        <v>5905</v>
      </c>
      <c r="J134" s="2" t="s">
        <v>5928</v>
      </c>
      <c r="K134" s="2" t="s">
        <v>17650</v>
      </c>
      <c r="L134" s="10" t="s">
        <v>17651</v>
      </c>
    </row>
    <row r="135">
      <c r="A135" s="2" t="s">
        <v>4547</v>
      </c>
      <c r="B135" s="2" t="s">
        <v>17652</v>
      </c>
      <c r="C135" s="2">
        <v>1.341015196E9</v>
      </c>
      <c r="D135" s="2" t="s">
        <v>17653</v>
      </c>
      <c r="E135" s="2">
        <v>30674.0</v>
      </c>
      <c r="F135" s="2">
        <v>865.0</v>
      </c>
      <c r="G135" s="2">
        <v>1135.0</v>
      </c>
      <c r="H135" s="2" t="s">
        <v>5906</v>
      </c>
      <c r="I135" s="2" t="s">
        <v>5905</v>
      </c>
      <c r="J135" s="2" t="s">
        <v>5959</v>
      </c>
      <c r="K135" s="2" t="s">
        <v>17654</v>
      </c>
      <c r="L135" s="10" t="s">
        <v>17655</v>
      </c>
    </row>
    <row r="136">
      <c r="A136" s="2" t="s">
        <v>4547</v>
      </c>
      <c r="B136" s="2" t="s">
        <v>17656</v>
      </c>
      <c r="C136" s="2">
        <v>6.5899508852E10</v>
      </c>
      <c r="D136" s="2" t="s">
        <v>17657</v>
      </c>
      <c r="E136" s="2">
        <v>11527.0</v>
      </c>
      <c r="F136" s="2">
        <v>0.0</v>
      </c>
      <c r="G136" s="2">
        <v>10.0</v>
      </c>
      <c r="H136" s="2" t="s">
        <v>5905</v>
      </c>
      <c r="I136" s="2" t="s">
        <v>5906</v>
      </c>
      <c r="J136" s="2" t="s">
        <v>17658</v>
      </c>
      <c r="K136" s="2" t="s">
        <v>17659</v>
      </c>
      <c r="L136" s="10" t="s">
        <v>17660</v>
      </c>
    </row>
    <row r="137">
      <c r="A137" s="2" t="s">
        <v>4452</v>
      </c>
      <c r="B137" s="10" t="s">
        <v>17661</v>
      </c>
      <c r="C137" s="2">
        <v>4.8326632092E10</v>
      </c>
      <c r="E137" s="2">
        <v>15079.0</v>
      </c>
      <c r="F137" s="2">
        <v>233.0</v>
      </c>
      <c r="G137" s="2">
        <v>114.0</v>
      </c>
      <c r="H137" s="2" t="s">
        <v>5905</v>
      </c>
      <c r="I137" s="2" t="s">
        <v>5906</v>
      </c>
      <c r="J137" s="2" t="s">
        <v>6002</v>
      </c>
    </row>
    <row r="138">
      <c r="A138" s="2" t="s">
        <v>4452</v>
      </c>
      <c r="B138" s="2" t="s">
        <v>17662</v>
      </c>
      <c r="C138" s="2">
        <v>1.575716701E9</v>
      </c>
      <c r="D138" s="2" t="s">
        <v>17663</v>
      </c>
      <c r="E138" s="2">
        <v>149705.0</v>
      </c>
      <c r="F138" s="2">
        <v>4700.0</v>
      </c>
      <c r="G138" s="2">
        <v>4951.0</v>
      </c>
      <c r="H138" s="2" t="s">
        <v>5906</v>
      </c>
      <c r="I138" s="2" t="s">
        <v>5906</v>
      </c>
      <c r="J138" s="2" t="s">
        <v>6393</v>
      </c>
      <c r="K138" s="2" t="s">
        <v>17664</v>
      </c>
      <c r="L138" s="10" t="s">
        <v>17665</v>
      </c>
    </row>
    <row r="139">
      <c r="A139" s="2" t="s">
        <v>4452</v>
      </c>
      <c r="B139" s="2" t="s">
        <v>17666</v>
      </c>
      <c r="C139" s="2">
        <v>4.813984551E9</v>
      </c>
      <c r="D139" s="2" t="s">
        <v>17667</v>
      </c>
      <c r="E139" s="2">
        <v>65927.0</v>
      </c>
      <c r="F139" s="2">
        <v>4381.0</v>
      </c>
      <c r="G139" s="2">
        <v>404.0</v>
      </c>
      <c r="H139" s="2" t="s">
        <v>5905</v>
      </c>
      <c r="I139" s="2" t="s">
        <v>5906</v>
      </c>
      <c r="J139" s="2" t="s">
        <v>5959</v>
      </c>
      <c r="K139" s="2" t="s">
        <v>17668</v>
      </c>
      <c r="L139" s="10" t="s">
        <v>17669</v>
      </c>
    </row>
    <row r="140">
      <c r="A140" s="2" t="s">
        <v>4452</v>
      </c>
      <c r="B140" s="2" t="s">
        <v>17670</v>
      </c>
      <c r="C140" s="2">
        <v>3.9706371684E10</v>
      </c>
      <c r="D140" s="2" t="s">
        <v>17671</v>
      </c>
      <c r="E140" s="2">
        <v>280411.0</v>
      </c>
      <c r="F140" s="2">
        <v>319.0</v>
      </c>
      <c r="G140" s="2">
        <v>1068.0</v>
      </c>
      <c r="H140" s="2" t="s">
        <v>5905</v>
      </c>
      <c r="I140" s="2" t="s">
        <v>5905</v>
      </c>
      <c r="J140" s="2" t="s">
        <v>6027</v>
      </c>
      <c r="K140" s="2" t="s">
        <v>17672</v>
      </c>
    </row>
    <row r="141">
      <c r="A141" s="2" t="s">
        <v>4452</v>
      </c>
      <c r="B141" s="2" t="s">
        <v>17673</v>
      </c>
      <c r="C141" s="2">
        <v>3.31713368E8</v>
      </c>
      <c r="D141" s="2" t="s">
        <v>17674</v>
      </c>
      <c r="E141" s="2">
        <v>11619.0</v>
      </c>
      <c r="F141" s="2">
        <v>55.0</v>
      </c>
      <c r="G141" s="2">
        <v>1343.0</v>
      </c>
      <c r="H141" s="2" t="s">
        <v>5905</v>
      </c>
      <c r="I141" s="2" t="s">
        <v>5905</v>
      </c>
      <c r="J141" s="2" t="s">
        <v>6027</v>
      </c>
      <c r="K141" s="2" t="s">
        <v>17675</v>
      </c>
      <c r="L141" s="10" t="s">
        <v>17676</v>
      </c>
    </row>
    <row r="142">
      <c r="A142" s="2" t="s">
        <v>4452</v>
      </c>
      <c r="B142" s="2" t="s">
        <v>17677</v>
      </c>
      <c r="C142" s="2">
        <v>1.9361119809E10</v>
      </c>
      <c r="D142" s="2" t="s">
        <v>17678</v>
      </c>
      <c r="E142" s="2">
        <v>60417.0</v>
      </c>
      <c r="F142" s="2">
        <v>5.0</v>
      </c>
      <c r="G142" s="2">
        <v>1363.0</v>
      </c>
      <c r="H142" s="2" t="s">
        <v>5905</v>
      </c>
      <c r="I142" s="2" t="s">
        <v>5906</v>
      </c>
      <c r="J142" s="2" t="s">
        <v>6027</v>
      </c>
      <c r="L142" s="10" t="s">
        <v>17679</v>
      </c>
    </row>
    <row r="143">
      <c r="A143" s="2" t="s">
        <v>4452</v>
      </c>
      <c r="B143" s="2" t="s">
        <v>17680</v>
      </c>
      <c r="C143" s="2">
        <v>4.3654917034E10</v>
      </c>
      <c r="D143" s="2" t="s">
        <v>17681</v>
      </c>
      <c r="E143" s="2">
        <v>69934.0</v>
      </c>
      <c r="F143" s="2">
        <v>5145.0</v>
      </c>
      <c r="G143" s="2">
        <v>1837.0</v>
      </c>
      <c r="H143" s="2" t="s">
        <v>5905</v>
      </c>
      <c r="I143" s="2" t="s">
        <v>5906</v>
      </c>
      <c r="J143" s="2" t="s">
        <v>17682</v>
      </c>
      <c r="K143" s="2" t="s">
        <v>17683</v>
      </c>
      <c r="L143" s="10" t="s">
        <v>17684</v>
      </c>
    </row>
    <row r="144">
      <c r="A144" s="2" t="s">
        <v>4452</v>
      </c>
      <c r="B144" s="2" t="s">
        <v>17685</v>
      </c>
      <c r="C144" s="2">
        <v>1.5724926815E10</v>
      </c>
      <c r="D144" s="2" t="s">
        <v>17686</v>
      </c>
      <c r="E144" s="2">
        <v>64487.0</v>
      </c>
      <c r="F144" s="2">
        <v>162.0</v>
      </c>
      <c r="G144" s="2">
        <v>572.0</v>
      </c>
      <c r="H144" s="2" t="s">
        <v>5905</v>
      </c>
      <c r="I144" s="2" t="s">
        <v>5906</v>
      </c>
      <c r="J144" s="2" t="s">
        <v>6027</v>
      </c>
      <c r="K144" s="2" t="s">
        <v>17687</v>
      </c>
      <c r="L144" s="10" t="s">
        <v>17688</v>
      </c>
    </row>
    <row r="145">
      <c r="A145" s="2" t="s">
        <v>4452</v>
      </c>
      <c r="B145" s="2" t="s">
        <v>17689</v>
      </c>
      <c r="C145" s="2">
        <v>2.812259682E9</v>
      </c>
      <c r="D145" s="2" t="s">
        <v>17690</v>
      </c>
      <c r="E145" s="2">
        <v>18101.0</v>
      </c>
      <c r="F145" s="2">
        <v>207.0</v>
      </c>
      <c r="G145" s="2">
        <v>797.0</v>
      </c>
      <c r="H145" s="2" t="s">
        <v>5905</v>
      </c>
      <c r="I145" s="2" t="s">
        <v>5906</v>
      </c>
      <c r="J145" s="2" t="s">
        <v>5963</v>
      </c>
      <c r="K145" s="2" t="s">
        <v>17691</v>
      </c>
      <c r="L145" s="10" t="s">
        <v>17692</v>
      </c>
    </row>
    <row r="146">
      <c r="A146" s="2" t="s">
        <v>4452</v>
      </c>
      <c r="B146" s="2" t="s">
        <v>17693</v>
      </c>
      <c r="C146" s="2">
        <v>5.429105777E9</v>
      </c>
      <c r="D146" s="2" t="s">
        <v>17694</v>
      </c>
      <c r="E146" s="2">
        <v>184250.0</v>
      </c>
      <c r="F146" s="2">
        <v>251.0</v>
      </c>
      <c r="G146" s="2">
        <v>3278.0</v>
      </c>
      <c r="H146" s="2" t="s">
        <v>5905</v>
      </c>
      <c r="I146" s="2" t="s">
        <v>5906</v>
      </c>
      <c r="K146" s="2" t="s">
        <v>17695</v>
      </c>
      <c r="L146" s="10" t="s">
        <v>17696</v>
      </c>
    </row>
    <row r="147">
      <c r="A147" s="2" t="s">
        <v>4452</v>
      </c>
      <c r="B147" s="2" t="s">
        <v>17697</v>
      </c>
      <c r="C147" s="2">
        <v>3.47821108E9</v>
      </c>
      <c r="D147" s="2" t="s">
        <v>17698</v>
      </c>
      <c r="E147" s="2">
        <v>166675.0</v>
      </c>
      <c r="F147" s="2">
        <v>2426.0</v>
      </c>
      <c r="G147" s="2">
        <v>746.0</v>
      </c>
      <c r="H147" s="2" t="s">
        <v>5906</v>
      </c>
      <c r="I147" s="2" t="s">
        <v>5905</v>
      </c>
      <c r="J147" s="2" t="s">
        <v>17682</v>
      </c>
      <c r="K147" s="2" t="s">
        <v>17699</v>
      </c>
      <c r="L147" s="10" t="s">
        <v>17700</v>
      </c>
    </row>
    <row r="148">
      <c r="A148" s="2" t="s">
        <v>4452</v>
      </c>
      <c r="B148" s="2" t="s">
        <v>17701</v>
      </c>
      <c r="C148" s="2">
        <v>3.9654053775E10</v>
      </c>
      <c r="D148" s="2" t="s">
        <v>17702</v>
      </c>
      <c r="E148" s="2">
        <v>288963.0</v>
      </c>
      <c r="F148" s="2">
        <v>1554.0</v>
      </c>
      <c r="G148" s="2">
        <v>1206.0</v>
      </c>
      <c r="H148" s="2" t="s">
        <v>5905</v>
      </c>
      <c r="I148" s="2" t="s">
        <v>5906</v>
      </c>
      <c r="J148" s="2" t="s">
        <v>6027</v>
      </c>
      <c r="K148" s="2" t="s">
        <v>17703</v>
      </c>
      <c r="L148" s="10" t="s">
        <v>17704</v>
      </c>
    </row>
    <row r="149">
      <c r="A149" s="2" t="s">
        <v>4471</v>
      </c>
      <c r="B149" s="2" t="s">
        <v>4471</v>
      </c>
      <c r="C149" s="2">
        <v>4.5759069116E10</v>
      </c>
      <c r="D149" s="2" t="s">
        <v>17705</v>
      </c>
      <c r="E149" s="2">
        <v>26809.0</v>
      </c>
      <c r="F149" s="2">
        <v>775.0</v>
      </c>
      <c r="G149" s="2">
        <v>154.0</v>
      </c>
      <c r="H149" s="2" t="s">
        <v>5906</v>
      </c>
      <c r="I149" s="2" t="s">
        <v>5905</v>
      </c>
      <c r="J149" s="2" t="s">
        <v>17706</v>
      </c>
      <c r="K149" s="2" t="s">
        <v>17707</v>
      </c>
    </row>
    <row r="150">
      <c r="A150" s="2" t="s">
        <v>4471</v>
      </c>
      <c r="B150" s="2" t="s">
        <v>17708</v>
      </c>
      <c r="C150" s="2">
        <v>3129347.0</v>
      </c>
      <c r="D150" s="2" t="s">
        <v>17709</v>
      </c>
      <c r="E150" s="2">
        <v>9699567.0</v>
      </c>
      <c r="F150" s="2">
        <v>1527.0</v>
      </c>
      <c r="G150" s="2">
        <v>1770.0</v>
      </c>
      <c r="H150" s="2" t="s">
        <v>5906</v>
      </c>
      <c r="I150" s="2" t="s">
        <v>5905</v>
      </c>
      <c r="J150" s="2" t="s">
        <v>8838</v>
      </c>
      <c r="K150" s="10" t="s">
        <v>17710</v>
      </c>
      <c r="L150" s="10" t="s">
        <v>17711</v>
      </c>
    </row>
    <row r="151">
      <c r="A151" s="2" t="s">
        <v>4471</v>
      </c>
      <c r="B151" s="2" t="s">
        <v>17712</v>
      </c>
      <c r="C151" s="2">
        <v>1.81033817E8</v>
      </c>
      <c r="D151" s="2" t="s">
        <v>17713</v>
      </c>
      <c r="E151" s="2">
        <v>1221484.0</v>
      </c>
      <c r="F151" s="2">
        <v>1247.0</v>
      </c>
      <c r="G151" s="2">
        <v>1202.0</v>
      </c>
      <c r="H151" s="2" t="s">
        <v>5906</v>
      </c>
      <c r="I151" s="2" t="s">
        <v>5905</v>
      </c>
      <c r="J151" s="2" t="s">
        <v>5993</v>
      </c>
      <c r="K151" s="2" t="s">
        <v>17714</v>
      </c>
      <c r="L151" s="10" t="s">
        <v>17715</v>
      </c>
    </row>
    <row r="152">
      <c r="A152" s="2" t="s">
        <v>4471</v>
      </c>
      <c r="B152" s="2" t="s">
        <v>17716</v>
      </c>
      <c r="C152" s="2">
        <v>5.0426448342E10</v>
      </c>
      <c r="D152" s="2" t="s">
        <v>17717</v>
      </c>
      <c r="E152" s="2">
        <v>141828.0</v>
      </c>
      <c r="F152" s="2">
        <v>816.0</v>
      </c>
      <c r="G152" s="2">
        <v>576.0</v>
      </c>
      <c r="H152" s="2" t="s">
        <v>5905</v>
      </c>
      <c r="I152" s="2" t="s">
        <v>5906</v>
      </c>
      <c r="J152" s="2" t="s">
        <v>17706</v>
      </c>
      <c r="K152" s="2" t="s">
        <v>17718</v>
      </c>
    </row>
    <row r="153">
      <c r="A153" s="2" t="s">
        <v>4471</v>
      </c>
      <c r="B153" s="2" t="s">
        <v>17719</v>
      </c>
      <c r="C153" s="2">
        <v>2.04430369E9</v>
      </c>
      <c r="D153" s="2" t="s">
        <v>17720</v>
      </c>
      <c r="E153" s="2">
        <v>343851.0</v>
      </c>
      <c r="F153" s="2">
        <v>251.0</v>
      </c>
      <c r="G153" s="2">
        <v>332.0</v>
      </c>
      <c r="H153" s="2" t="s">
        <v>5905</v>
      </c>
      <c r="I153" s="2" t="s">
        <v>5905</v>
      </c>
      <c r="J153" s="2" t="s">
        <v>5993</v>
      </c>
      <c r="K153" s="2" t="s">
        <v>17721</v>
      </c>
    </row>
    <row r="154">
      <c r="A154" s="2" t="s">
        <v>4471</v>
      </c>
      <c r="B154" s="2" t="s">
        <v>17722</v>
      </c>
      <c r="C154" s="2">
        <v>1.679610464E9</v>
      </c>
      <c r="D154" s="2" t="s">
        <v>17723</v>
      </c>
      <c r="E154" s="2">
        <v>13454.0</v>
      </c>
      <c r="F154" s="2">
        <v>460.0</v>
      </c>
      <c r="G154" s="2">
        <v>1580.0</v>
      </c>
      <c r="H154" s="2" t="s">
        <v>5905</v>
      </c>
      <c r="I154" s="2" t="s">
        <v>5906</v>
      </c>
      <c r="K154" s="2" t="s">
        <v>17724</v>
      </c>
    </row>
    <row r="155">
      <c r="A155" s="2" t="s">
        <v>4471</v>
      </c>
      <c r="B155" s="2" t="s">
        <v>17725</v>
      </c>
      <c r="C155" s="2">
        <v>6.039838328E9</v>
      </c>
      <c r="D155" s="2" t="s">
        <v>17726</v>
      </c>
      <c r="E155" s="2">
        <v>338202.0</v>
      </c>
      <c r="F155" s="2">
        <v>236.0</v>
      </c>
      <c r="G155" s="2">
        <v>242.0</v>
      </c>
      <c r="H155" s="2" t="s">
        <v>5905</v>
      </c>
      <c r="I155" s="2" t="s">
        <v>5905</v>
      </c>
      <c r="J155" s="2" t="s">
        <v>4404</v>
      </c>
      <c r="K155" s="2" t="s">
        <v>17727</v>
      </c>
      <c r="L155" s="10" t="s">
        <v>17728</v>
      </c>
    </row>
    <row r="156">
      <c r="A156" s="2" t="s">
        <v>4665</v>
      </c>
      <c r="B156" s="2" t="s">
        <v>17729</v>
      </c>
      <c r="C156" s="2">
        <v>3.297098959E9</v>
      </c>
      <c r="D156" s="2" t="s">
        <v>17730</v>
      </c>
      <c r="E156" s="2">
        <v>21209.0</v>
      </c>
      <c r="F156" s="2">
        <v>572.0</v>
      </c>
      <c r="G156" s="2">
        <v>127.0</v>
      </c>
      <c r="H156" s="2" t="s">
        <v>5905</v>
      </c>
      <c r="I156" s="2" t="s">
        <v>5906</v>
      </c>
      <c r="J156" s="2" t="s">
        <v>5993</v>
      </c>
      <c r="K156" s="12" t="s">
        <v>17731</v>
      </c>
    </row>
    <row r="157">
      <c r="A157" s="2" t="s">
        <v>4665</v>
      </c>
      <c r="B157" s="2" t="s">
        <v>17732</v>
      </c>
      <c r="C157" s="2">
        <v>4.5632473501E10</v>
      </c>
      <c r="D157" s="2" t="s">
        <v>17733</v>
      </c>
      <c r="E157" s="2">
        <v>74363.0</v>
      </c>
      <c r="F157" s="2">
        <v>88.0</v>
      </c>
      <c r="G157" s="2">
        <v>474.0</v>
      </c>
      <c r="H157" s="2" t="s">
        <v>5905</v>
      </c>
      <c r="I157" s="2" t="s">
        <v>5905</v>
      </c>
      <c r="J157" s="2" t="s">
        <v>5993</v>
      </c>
      <c r="K157" s="2" t="s">
        <v>17734</v>
      </c>
      <c r="L157" s="10" t="s">
        <v>17735</v>
      </c>
    </row>
    <row r="158">
      <c r="A158" s="2" t="s">
        <v>4665</v>
      </c>
      <c r="B158" s="2" t="s">
        <v>17736</v>
      </c>
      <c r="C158" s="2">
        <v>4.4555496E7</v>
      </c>
      <c r="D158" s="2" t="s">
        <v>17737</v>
      </c>
      <c r="E158" s="2">
        <v>18824.0</v>
      </c>
      <c r="F158" s="2">
        <v>55.0</v>
      </c>
      <c r="G158" s="2">
        <v>995.0</v>
      </c>
      <c r="H158" s="2" t="s">
        <v>5905</v>
      </c>
      <c r="I158" s="2" t="s">
        <v>5906</v>
      </c>
      <c r="J158" s="2" t="s">
        <v>5963</v>
      </c>
      <c r="K158" s="2" t="s">
        <v>17738</v>
      </c>
      <c r="L158" s="10" t="s">
        <v>17739</v>
      </c>
    </row>
    <row r="159">
      <c r="A159" s="2" t="s">
        <v>4665</v>
      </c>
      <c r="B159" s="2" t="s">
        <v>17740</v>
      </c>
      <c r="C159" s="2">
        <v>7.6689424746E10</v>
      </c>
      <c r="D159" s="2" t="s">
        <v>17741</v>
      </c>
      <c r="E159" s="2">
        <v>18077.0</v>
      </c>
      <c r="F159" s="2">
        <v>2.0</v>
      </c>
      <c r="G159" s="2">
        <v>16.0</v>
      </c>
      <c r="H159" s="2" t="s">
        <v>5905</v>
      </c>
      <c r="I159" s="2" t="s">
        <v>5905</v>
      </c>
      <c r="J159" s="2" t="s">
        <v>13634</v>
      </c>
      <c r="K159" s="2" t="s">
        <v>17742</v>
      </c>
    </row>
    <row r="160">
      <c r="A160" s="2" t="s">
        <v>4665</v>
      </c>
      <c r="B160" s="2" t="s">
        <v>17743</v>
      </c>
      <c r="C160" s="2">
        <v>9.392122706E9</v>
      </c>
      <c r="D160" s="2" t="s">
        <v>17744</v>
      </c>
      <c r="E160" s="2">
        <v>19491.0</v>
      </c>
      <c r="F160" s="2">
        <v>31.0</v>
      </c>
      <c r="G160" s="2">
        <v>408.0</v>
      </c>
      <c r="H160" s="2" t="s">
        <v>5905</v>
      </c>
      <c r="I160" s="2" t="s">
        <v>5906</v>
      </c>
      <c r="J160" s="2" t="s">
        <v>7414</v>
      </c>
      <c r="K160" s="2" t="s">
        <v>17745</v>
      </c>
      <c r="L160" s="10" t="s">
        <v>17746</v>
      </c>
    </row>
    <row r="161">
      <c r="A161" s="2" t="s">
        <v>4665</v>
      </c>
      <c r="B161" s="2" t="s">
        <v>17747</v>
      </c>
      <c r="C161" s="2">
        <v>6.4685487748E10</v>
      </c>
      <c r="D161" s="2" t="s">
        <v>17748</v>
      </c>
      <c r="E161" s="2">
        <v>48701.0</v>
      </c>
      <c r="F161" s="2">
        <v>1.0</v>
      </c>
      <c r="G161" s="2">
        <v>88.0</v>
      </c>
      <c r="H161" s="2" t="s">
        <v>5906</v>
      </c>
      <c r="I161" s="2" t="s">
        <v>5905</v>
      </c>
      <c r="J161" s="2" t="s">
        <v>7809</v>
      </c>
      <c r="K161" s="2" t="s">
        <v>17749</v>
      </c>
      <c r="L161" s="10" t="s">
        <v>17750</v>
      </c>
    </row>
    <row r="162">
      <c r="A162" s="2" t="s">
        <v>4665</v>
      </c>
      <c r="B162" s="2" t="s">
        <v>17751</v>
      </c>
      <c r="C162" s="2">
        <v>5.5468475455E10</v>
      </c>
      <c r="D162" s="2" t="s">
        <v>17752</v>
      </c>
      <c r="E162" s="2">
        <v>29193.0</v>
      </c>
      <c r="F162" s="2">
        <v>42.0</v>
      </c>
      <c r="G162" s="2">
        <v>84.0</v>
      </c>
      <c r="H162" s="2" t="s">
        <v>5906</v>
      </c>
      <c r="I162" s="2" t="s">
        <v>5906</v>
      </c>
      <c r="J162" s="2" t="s">
        <v>17753</v>
      </c>
      <c r="K162" s="2" t="s">
        <v>17754</v>
      </c>
      <c r="L162" s="10" t="s">
        <v>17755</v>
      </c>
    </row>
    <row r="163">
      <c r="A163" s="2" t="s">
        <v>4665</v>
      </c>
      <c r="B163" s="2" t="s">
        <v>17756</v>
      </c>
      <c r="C163" s="2">
        <v>4.3648945049E10</v>
      </c>
      <c r="D163" s="2" t="s">
        <v>17757</v>
      </c>
      <c r="E163" s="2">
        <v>40226.0</v>
      </c>
      <c r="F163" s="2">
        <v>15.0</v>
      </c>
      <c r="G163" s="2">
        <v>623.0</v>
      </c>
      <c r="H163" s="2" t="s">
        <v>5905</v>
      </c>
      <c r="I163" s="2" t="s">
        <v>5905</v>
      </c>
      <c r="J163" s="2" t="s">
        <v>7809</v>
      </c>
      <c r="K163" s="2" t="s">
        <v>17758</v>
      </c>
      <c r="L163" s="10" t="s">
        <v>17759</v>
      </c>
    </row>
    <row r="164">
      <c r="A164" s="2" t="s">
        <v>4433</v>
      </c>
      <c r="B164" s="2" t="s">
        <v>17760</v>
      </c>
      <c r="C164" s="2">
        <v>6.5873417939E10</v>
      </c>
      <c r="D164" s="2" t="s">
        <v>17761</v>
      </c>
      <c r="E164" s="2">
        <v>39200.0</v>
      </c>
      <c r="F164" s="2">
        <v>76.0</v>
      </c>
      <c r="G164" s="2">
        <v>2182.0</v>
      </c>
      <c r="H164" s="2" t="s">
        <v>5905</v>
      </c>
      <c r="I164" s="2" t="s">
        <v>5905</v>
      </c>
      <c r="J164" s="2" t="s">
        <v>5920</v>
      </c>
      <c r="K164" s="2" t="s">
        <v>17762</v>
      </c>
      <c r="L164" s="10" t="s">
        <v>17763</v>
      </c>
    </row>
    <row r="165">
      <c r="A165" s="2" t="s">
        <v>4433</v>
      </c>
      <c r="B165" s="2" t="s">
        <v>4433</v>
      </c>
      <c r="C165" s="2">
        <v>1.689202696E9</v>
      </c>
      <c r="D165" s="2" t="s">
        <v>4433</v>
      </c>
      <c r="E165" s="2">
        <v>57175.0</v>
      </c>
      <c r="F165" s="2">
        <v>261.0</v>
      </c>
      <c r="G165" s="2">
        <v>577.0</v>
      </c>
      <c r="H165" s="2" t="s">
        <v>5905</v>
      </c>
      <c r="I165" s="2" t="s">
        <v>5905</v>
      </c>
      <c r="J165" s="2" t="s">
        <v>4397</v>
      </c>
      <c r="K165" s="2" t="s">
        <v>17764</v>
      </c>
    </row>
    <row r="166">
      <c r="A166" s="2" t="s">
        <v>4433</v>
      </c>
      <c r="B166" s="2" t="s">
        <v>17765</v>
      </c>
      <c r="C166" s="2">
        <v>8.949244345E9</v>
      </c>
      <c r="D166" s="2" t="s">
        <v>17766</v>
      </c>
      <c r="E166" s="2">
        <v>374269.0</v>
      </c>
      <c r="F166" s="2">
        <v>399.0</v>
      </c>
      <c r="G166" s="2">
        <v>6476.0</v>
      </c>
      <c r="H166" s="2" t="s">
        <v>5906</v>
      </c>
      <c r="I166" s="2" t="s">
        <v>5906</v>
      </c>
      <c r="J166" s="2" t="s">
        <v>5911</v>
      </c>
      <c r="K166" s="2" t="s">
        <v>17767</v>
      </c>
      <c r="L166" s="10" t="s">
        <v>17768</v>
      </c>
    </row>
    <row r="167">
      <c r="A167" s="2" t="s">
        <v>4433</v>
      </c>
      <c r="B167" s="2" t="s">
        <v>17769</v>
      </c>
      <c r="C167" s="2">
        <v>7.2248904966E10</v>
      </c>
      <c r="D167" s="2" t="s">
        <v>17770</v>
      </c>
      <c r="E167" s="2">
        <v>95574.0</v>
      </c>
      <c r="F167" s="2">
        <v>1.0</v>
      </c>
      <c r="G167" s="2">
        <v>195.0</v>
      </c>
      <c r="H167" s="2" t="s">
        <v>5905</v>
      </c>
      <c r="I167" s="2" t="s">
        <v>5905</v>
      </c>
      <c r="J167" s="2" t="s">
        <v>5959</v>
      </c>
      <c r="K167" s="2" t="s">
        <v>17771</v>
      </c>
      <c r="L167" s="10" t="s">
        <v>17772</v>
      </c>
    </row>
    <row r="168">
      <c r="A168" s="2" t="s">
        <v>4433</v>
      </c>
      <c r="B168" s="2" t="s">
        <v>17773</v>
      </c>
      <c r="C168" s="2">
        <v>2.1793714E7</v>
      </c>
      <c r="D168" s="2" t="s">
        <v>17774</v>
      </c>
      <c r="E168" s="2">
        <v>11903.0</v>
      </c>
      <c r="F168" s="2">
        <v>2597.0</v>
      </c>
      <c r="G168" s="2">
        <v>144.0</v>
      </c>
      <c r="H168" s="2" t="s">
        <v>5905</v>
      </c>
      <c r="I168" s="2" t="s">
        <v>5905</v>
      </c>
      <c r="J168" s="2" t="s">
        <v>6393</v>
      </c>
      <c r="K168" s="2" t="s">
        <v>17775</v>
      </c>
    </row>
    <row r="169">
      <c r="A169" s="2" t="s">
        <v>4433</v>
      </c>
      <c r="B169" s="2" t="s">
        <v>17776</v>
      </c>
      <c r="C169" s="2">
        <v>3.32247662E8</v>
      </c>
      <c r="D169" s="2" t="s">
        <v>17777</v>
      </c>
      <c r="E169" s="2">
        <v>812095.0</v>
      </c>
      <c r="F169" s="2">
        <v>3743.0</v>
      </c>
      <c r="G169" s="2">
        <v>23258.0</v>
      </c>
      <c r="H169" s="2" t="s">
        <v>5905</v>
      </c>
      <c r="I169" s="2" t="s">
        <v>5906</v>
      </c>
      <c r="J169" s="2" t="s">
        <v>4996</v>
      </c>
      <c r="K169" s="2" t="s">
        <v>17778</v>
      </c>
      <c r="L169" s="10" t="s">
        <v>17779</v>
      </c>
    </row>
    <row r="170">
      <c r="A170" s="2" t="s">
        <v>4433</v>
      </c>
      <c r="B170" s="2" t="s">
        <v>17780</v>
      </c>
      <c r="C170" s="2">
        <v>3.3299757873E10</v>
      </c>
      <c r="D170" s="2" t="s">
        <v>17781</v>
      </c>
      <c r="E170" s="2">
        <v>136914.0</v>
      </c>
      <c r="F170" s="2">
        <v>2048.0</v>
      </c>
      <c r="G170" s="2">
        <v>7051.0</v>
      </c>
      <c r="H170" s="2" t="s">
        <v>5905</v>
      </c>
      <c r="I170" s="2" t="s">
        <v>5906</v>
      </c>
      <c r="J170" s="2" t="s">
        <v>5391</v>
      </c>
      <c r="K170" s="2" t="s">
        <v>17782</v>
      </c>
      <c r="L170" s="10" t="s">
        <v>17783</v>
      </c>
    </row>
    <row r="171">
      <c r="A171" s="2" t="s">
        <v>4433</v>
      </c>
      <c r="B171" s="2" t="s">
        <v>17784</v>
      </c>
      <c r="C171" s="2">
        <v>4.8626384376E10</v>
      </c>
      <c r="D171" s="2" t="s">
        <v>17785</v>
      </c>
      <c r="E171" s="2">
        <v>251966.0</v>
      </c>
      <c r="F171" s="2">
        <v>32.0</v>
      </c>
      <c r="G171" s="2">
        <v>28.0</v>
      </c>
      <c r="H171" s="2" t="s">
        <v>5906</v>
      </c>
      <c r="I171" s="2" t="s">
        <v>5905</v>
      </c>
      <c r="J171" s="2" t="s">
        <v>4397</v>
      </c>
      <c r="K171" s="2" t="s">
        <v>17786</v>
      </c>
    </row>
    <row r="172">
      <c r="A172" s="2" t="s">
        <v>4433</v>
      </c>
      <c r="B172" s="2" t="s">
        <v>17787</v>
      </c>
      <c r="C172" s="2">
        <v>5.9143622882E10</v>
      </c>
      <c r="D172" s="2" t="s">
        <v>17788</v>
      </c>
      <c r="E172" s="2">
        <v>171861.0</v>
      </c>
      <c r="F172" s="2">
        <v>45.0</v>
      </c>
      <c r="G172" s="2">
        <v>3963.0</v>
      </c>
      <c r="H172" s="2" t="s">
        <v>5905</v>
      </c>
      <c r="I172" s="2" t="s">
        <v>5905</v>
      </c>
      <c r="J172" s="2" t="s">
        <v>4397</v>
      </c>
      <c r="K172" s="2" t="s">
        <v>17789</v>
      </c>
      <c r="L172" s="10" t="s">
        <v>17790</v>
      </c>
    </row>
    <row r="173">
      <c r="A173" s="2" t="s">
        <v>4433</v>
      </c>
      <c r="B173" s="2" t="s">
        <v>17791</v>
      </c>
      <c r="C173" s="2">
        <v>1.045969581E9</v>
      </c>
      <c r="D173" s="2" t="s">
        <v>17792</v>
      </c>
      <c r="E173" s="2">
        <v>37591.0</v>
      </c>
      <c r="F173" s="2">
        <v>243.0</v>
      </c>
      <c r="G173" s="2">
        <v>2391.0</v>
      </c>
      <c r="H173" s="2" t="s">
        <v>5906</v>
      </c>
      <c r="I173" s="2" t="s">
        <v>5906</v>
      </c>
      <c r="K173" s="2" t="s">
        <v>17793</v>
      </c>
      <c r="L173" s="10" t="s">
        <v>17794</v>
      </c>
    </row>
    <row r="174">
      <c r="A174" s="2" t="s">
        <v>4433</v>
      </c>
      <c r="B174" s="2" t="s">
        <v>17795</v>
      </c>
      <c r="C174" s="2">
        <v>4.782942661E9</v>
      </c>
      <c r="D174" s="2" t="s">
        <v>17796</v>
      </c>
      <c r="E174" s="2">
        <v>19374.0</v>
      </c>
      <c r="F174" s="2">
        <v>318.0</v>
      </c>
      <c r="G174" s="2">
        <v>1903.0</v>
      </c>
      <c r="H174" s="2" t="s">
        <v>5905</v>
      </c>
      <c r="I174" s="2" t="s">
        <v>5906</v>
      </c>
      <c r="K174" s="2" t="s">
        <v>17797</v>
      </c>
      <c r="L174" s="10" t="s">
        <v>17798</v>
      </c>
    </row>
    <row r="175">
      <c r="A175" s="2" t="s">
        <v>4433</v>
      </c>
      <c r="B175" s="2" t="s">
        <v>17799</v>
      </c>
      <c r="C175" s="2">
        <v>1.930007353E10</v>
      </c>
      <c r="D175" s="2" t="s">
        <v>17800</v>
      </c>
      <c r="E175" s="2">
        <v>12228.0</v>
      </c>
      <c r="F175" s="2">
        <v>684.0</v>
      </c>
      <c r="G175" s="2">
        <v>156.0</v>
      </c>
      <c r="H175" s="2" t="s">
        <v>5905</v>
      </c>
      <c r="I175" s="2" t="s">
        <v>5906</v>
      </c>
      <c r="J175" s="2" t="s">
        <v>8479</v>
      </c>
      <c r="K175" s="2" t="s">
        <v>17801</v>
      </c>
      <c r="L175" s="10" t="s">
        <v>17802</v>
      </c>
    </row>
    <row r="176">
      <c r="A176" s="2" t="s">
        <v>4433</v>
      </c>
      <c r="B176" s="2" t="s">
        <v>17803</v>
      </c>
      <c r="C176" s="2">
        <v>3.536276934E9</v>
      </c>
      <c r="D176" s="2" t="s">
        <v>17804</v>
      </c>
      <c r="E176" s="2">
        <v>299337.0</v>
      </c>
      <c r="F176" s="2">
        <v>0.0</v>
      </c>
      <c r="G176" s="2">
        <v>6378.0</v>
      </c>
      <c r="H176" s="2" t="s">
        <v>5906</v>
      </c>
      <c r="I176" s="2" t="s">
        <v>5906</v>
      </c>
      <c r="J176" s="2" t="s">
        <v>8479</v>
      </c>
      <c r="K176" s="2" t="s">
        <v>17805</v>
      </c>
      <c r="L176" s="10" t="s">
        <v>17806</v>
      </c>
    </row>
    <row r="177">
      <c r="A177" s="2" t="s">
        <v>4433</v>
      </c>
      <c r="B177" s="2" t="s">
        <v>17807</v>
      </c>
      <c r="C177" s="2">
        <v>2.0513801918E10</v>
      </c>
      <c r="D177" s="2" t="s">
        <v>17808</v>
      </c>
      <c r="E177" s="2">
        <v>520643.0</v>
      </c>
      <c r="F177" s="2">
        <v>664.0</v>
      </c>
      <c r="G177" s="2">
        <v>29571.0</v>
      </c>
      <c r="H177" s="2" t="s">
        <v>5906</v>
      </c>
      <c r="I177" s="2" t="s">
        <v>5906</v>
      </c>
      <c r="J177" s="2" t="s">
        <v>5551</v>
      </c>
      <c r="K177" s="2" t="s">
        <v>17809</v>
      </c>
      <c r="L177" s="10" t="s">
        <v>17810</v>
      </c>
    </row>
    <row r="178">
      <c r="A178" s="2" t="s">
        <v>4433</v>
      </c>
      <c r="B178" s="2" t="s">
        <v>17811</v>
      </c>
      <c r="C178" s="2">
        <v>9.64997529E8</v>
      </c>
      <c r="D178" s="2" t="s">
        <v>17812</v>
      </c>
      <c r="E178" s="2">
        <v>229768.0</v>
      </c>
      <c r="F178" s="2">
        <v>567.0</v>
      </c>
      <c r="G178" s="2">
        <v>5511.0</v>
      </c>
      <c r="H178" s="2" t="s">
        <v>5906</v>
      </c>
      <c r="I178" s="2" t="s">
        <v>5906</v>
      </c>
      <c r="K178" s="2" t="s">
        <v>17813</v>
      </c>
      <c r="L178" s="10" t="s">
        <v>17814</v>
      </c>
    </row>
    <row r="179">
      <c r="A179" s="2" t="s">
        <v>4433</v>
      </c>
      <c r="B179" s="2" t="s">
        <v>17815</v>
      </c>
      <c r="C179" s="2">
        <v>3.14423099E8</v>
      </c>
      <c r="D179" s="2" t="s">
        <v>17816</v>
      </c>
      <c r="E179" s="2">
        <v>753794.0</v>
      </c>
      <c r="F179" s="2">
        <v>914.0</v>
      </c>
      <c r="G179" s="2">
        <v>4649.0</v>
      </c>
      <c r="H179" s="2" t="s">
        <v>5906</v>
      </c>
      <c r="I179" s="2" t="s">
        <v>5906</v>
      </c>
      <c r="K179" s="2" t="s">
        <v>17817</v>
      </c>
      <c r="L179" s="10" t="s">
        <v>17818</v>
      </c>
    </row>
    <row r="180">
      <c r="A180" s="2" t="s">
        <v>4530</v>
      </c>
      <c r="B180" s="2" t="s">
        <v>17819</v>
      </c>
      <c r="C180" s="2">
        <v>5.4064540847E10</v>
      </c>
      <c r="D180" s="2" t="s">
        <v>17820</v>
      </c>
      <c r="E180" s="2">
        <v>136712.0</v>
      </c>
      <c r="F180" s="2">
        <v>4.0</v>
      </c>
      <c r="G180" s="2">
        <v>2112.0</v>
      </c>
      <c r="H180" s="2" t="s">
        <v>5905</v>
      </c>
      <c r="I180" s="2" t="s">
        <v>5906</v>
      </c>
      <c r="J180" s="2" t="s">
        <v>17821</v>
      </c>
      <c r="K180" s="2" t="s">
        <v>17822</v>
      </c>
      <c r="L180" s="10" t="s">
        <v>17823</v>
      </c>
    </row>
    <row r="181">
      <c r="A181" s="2" t="s">
        <v>4530</v>
      </c>
      <c r="B181" s="2" t="s">
        <v>17824</v>
      </c>
      <c r="C181" s="2">
        <v>7.461161571E10</v>
      </c>
      <c r="D181" s="2" t="s">
        <v>17825</v>
      </c>
      <c r="E181" s="2">
        <v>129630.0</v>
      </c>
      <c r="F181" s="2">
        <v>14.0</v>
      </c>
      <c r="G181" s="2">
        <v>505.0</v>
      </c>
      <c r="H181" s="2" t="s">
        <v>5905</v>
      </c>
      <c r="I181" s="2" t="s">
        <v>5906</v>
      </c>
      <c r="J181" s="2" t="s">
        <v>6882</v>
      </c>
      <c r="K181" s="2" t="s">
        <v>17826</v>
      </c>
      <c r="L181" s="10" t="s">
        <v>17827</v>
      </c>
    </row>
    <row r="182">
      <c r="A182" s="2" t="s">
        <v>4530</v>
      </c>
      <c r="B182" s="2" t="s">
        <v>17828</v>
      </c>
      <c r="C182" s="2">
        <v>3.42167595E8</v>
      </c>
      <c r="D182" s="2" t="s">
        <v>17829</v>
      </c>
      <c r="E182" s="2">
        <v>511909.0</v>
      </c>
      <c r="F182" s="2">
        <v>336.0</v>
      </c>
      <c r="G182" s="2">
        <v>42.0</v>
      </c>
      <c r="H182" s="2" t="s">
        <v>5906</v>
      </c>
      <c r="I182" s="2" t="s">
        <v>5905</v>
      </c>
      <c r="K182" s="2" t="s">
        <v>17830</v>
      </c>
      <c r="L182" s="10" t="s">
        <v>17831</v>
      </c>
    </row>
    <row r="183">
      <c r="A183" s="2" t="s">
        <v>4530</v>
      </c>
      <c r="B183" s="2" t="s">
        <v>4530</v>
      </c>
      <c r="C183" s="2">
        <v>2.263678195E9</v>
      </c>
      <c r="D183" s="2" t="s">
        <v>17832</v>
      </c>
      <c r="E183" s="2">
        <v>21880.0</v>
      </c>
      <c r="F183" s="2">
        <v>139.0</v>
      </c>
      <c r="G183" s="2">
        <v>918.0</v>
      </c>
      <c r="H183" s="2" t="s">
        <v>5905</v>
      </c>
      <c r="I183" s="2" t="s">
        <v>5905</v>
      </c>
      <c r="J183" s="2" t="s">
        <v>7431</v>
      </c>
      <c r="K183" s="2" t="s">
        <v>17833</v>
      </c>
      <c r="L183" s="10" t="s">
        <v>17834</v>
      </c>
    </row>
    <row r="184">
      <c r="A184" s="2" t="s">
        <v>4530</v>
      </c>
      <c r="B184" s="2" t="s">
        <v>17835</v>
      </c>
      <c r="C184" s="2">
        <v>5.3703405E7</v>
      </c>
      <c r="D184" s="2" t="s">
        <v>17836</v>
      </c>
      <c r="E184" s="2">
        <v>51503.0</v>
      </c>
      <c r="F184" s="2">
        <v>423.0</v>
      </c>
      <c r="G184" s="2">
        <v>2320.0</v>
      </c>
      <c r="H184" s="2" t="s">
        <v>5905</v>
      </c>
      <c r="I184" s="2" t="s">
        <v>5906</v>
      </c>
      <c r="K184" s="2" t="s">
        <v>17837</v>
      </c>
      <c r="L184" s="10" t="s">
        <v>17838</v>
      </c>
    </row>
    <row r="185">
      <c r="A185" s="2" t="s">
        <v>4530</v>
      </c>
      <c r="B185" s="2" t="s">
        <v>17839</v>
      </c>
      <c r="C185" s="2">
        <v>3.8085728665E10</v>
      </c>
      <c r="D185" s="2" t="s">
        <v>17840</v>
      </c>
      <c r="E185" s="2">
        <v>223269.0</v>
      </c>
      <c r="F185" s="2">
        <v>651.0</v>
      </c>
      <c r="G185" s="2">
        <v>530.0</v>
      </c>
      <c r="H185" s="2" t="s">
        <v>5905</v>
      </c>
      <c r="I185" s="2" t="s">
        <v>5905</v>
      </c>
      <c r="J185" s="2" t="s">
        <v>5492</v>
      </c>
      <c r="K185" s="2" t="s">
        <v>17841</v>
      </c>
      <c r="L185" s="10" t="s">
        <v>17842</v>
      </c>
    </row>
    <row r="186">
      <c r="A186" s="2" t="s">
        <v>4530</v>
      </c>
      <c r="B186" s="2" t="s">
        <v>17843</v>
      </c>
      <c r="C186" s="2">
        <v>2.9626034E7</v>
      </c>
      <c r="D186" s="2" t="s">
        <v>17844</v>
      </c>
      <c r="E186" s="2">
        <v>105571.0</v>
      </c>
      <c r="F186" s="2">
        <v>1213.0</v>
      </c>
      <c r="G186" s="2">
        <v>2688.0</v>
      </c>
      <c r="H186" s="2" t="s">
        <v>5906</v>
      </c>
      <c r="I186" s="2" t="s">
        <v>5905</v>
      </c>
      <c r="J186" s="2" t="s">
        <v>7431</v>
      </c>
      <c r="K186" s="2" t="s">
        <v>17845</v>
      </c>
      <c r="L186" s="10" t="s">
        <v>17846</v>
      </c>
    </row>
    <row r="187">
      <c r="A187" s="2" t="s">
        <v>4530</v>
      </c>
      <c r="B187" s="2" t="s">
        <v>17847</v>
      </c>
      <c r="C187" s="2">
        <v>5.8543993289E10</v>
      </c>
      <c r="D187" s="2" t="s">
        <v>17848</v>
      </c>
      <c r="E187" s="2">
        <v>69821.0</v>
      </c>
      <c r="F187" s="2">
        <v>6.0</v>
      </c>
      <c r="G187" s="2">
        <v>189.0</v>
      </c>
      <c r="H187" s="2" t="s">
        <v>5905</v>
      </c>
      <c r="I187" s="2" t="s">
        <v>5906</v>
      </c>
      <c r="J187" s="2" t="s">
        <v>17849</v>
      </c>
      <c r="K187" s="2" t="s">
        <v>17850</v>
      </c>
      <c r="L187" s="10" t="s">
        <v>17851</v>
      </c>
    </row>
    <row r="188">
      <c r="A188" s="2" t="s">
        <v>4530</v>
      </c>
      <c r="B188" s="2" t="s">
        <v>17852</v>
      </c>
      <c r="C188" s="2">
        <v>7.3320934002E10</v>
      </c>
      <c r="D188" s="2" t="s">
        <v>17853</v>
      </c>
      <c r="E188" s="2">
        <v>18013.0</v>
      </c>
      <c r="F188" s="2">
        <v>80.0</v>
      </c>
      <c r="G188" s="2">
        <v>62.0</v>
      </c>
      <c r="H188" s="2" t="s">
        <v>5905</v>
      </c>
      <c r="I188" s="2" t="s">
        <v>5906</v>
      </c>
      <c r="J188" s="2" t="s">
        <v>6027</v>
      </c>
      <c r="K188" s="2" t="s">
        <v>17854</v>
      </c>
      <c r="L188" s="10" t="s">
        <v>17855</v>
      </c>
    </row>
    <row r="189">
      <c r="A189" s="2" t="s">
        <v>4530</v>
      </c>
      <c r="B189" s="2" t="s">
        <v>17856</v>
      </c>
      <c r="C189" s="2">
        <v>6.3484013552E10</v>
      </c>
      <c r="D189" s="2" t="s">
        <v>17857</v>
      </c>
      <c r="E189" s="2">
        <v>33077.0</v>
      </c>
      <c r="F189" s="2">
        <v>50.0</v>
      </c>
      <c r="G189" s="2">
        <v>264.0</v>
      </c>
      <c r="H189" s="2" t="s">
        <v>5905</v>
      </c>
      <c r="I189" s="2" t="s">
        <v>5906</v>
      </c>
      <c r="J189" s="2" t="s">
        <v>6027</v>
      </c>
      <c r="K189" s="2" t="s">
        <v>17858</v>
      </c>
      <c r="L189" s="10" t="s">
        <v>17859</v>
      </c>
    </row>
    <row r="190">
      <c r="A190" s="2" t="s">
        <v>4530</v>
      </c>
      <c r="B190" s="2" t="s">
        <v>17860</v>
      </c>
      <c r="C190" s="2">
        <v>6.0756767903E10</v>
      </c>
      <c r="D190" s="2" t="s">
        <v>17861</v>
      </c>
      <c r="E190" s="2">
        <v>34880.0</v>
      </c>
      <c r="F190" s="2">
        <v>25.0</v>
      </c>
      <c r="G190" s="2">
        <v>215.0</v>
      </c>
      <c r="H190" s="2" t="s">
        <v>5905</v>
      </c>
      <c r="I190" s="2" t="s">
        <v>5906</v>
      </c>
      <c r="J190" s="2" t="s">
        <v>17057</v>
      </c>
      <c r="K190" s="2" t="s">
        <v>17862</v>
      </c>
      <c r="L190" s="10" t="s">
        <v>17863</v>
      </c>
    </row>
    <row r="191">
      <c r="A191" s="2" t="s">
        <v>4530</v>
      </c>
      <c r="B191" s="2" t="s">
        <v>17864</v>
      </c>
      <c r="C191" s="2">
        <v>4.570621003E9</v>
      </c>
      <c r="E191" s="2">
        <v>982347.0</v>
      </c>
      <c r="F191" s="2">
        <v>3073.0</v>
      </c>
      <c r="G191" s="2">
        <v>0.0</v>
      </c>
      <c r="H191" s="2" t="s">
        <v>5905</v>
      </c>
      <c r="I191" s="2" t="s">
        <v>5906</v>
      </c>
      <c r="J191" s="2" t="s">
        <v>5963</v>
      </c>
      <c r="K191" s="2" t="s">
        <v>17865</v>
      </c>
    </row>
    <row r="192">
      <c r="A192" s="2" t="s">
        <v>4530</v>
      </c>
      <c r="B192" s="2" t="s">
        <v>17866</v>
      </c>
      <c r="C192" s="2">
        <v>5.2423315248E10</v>
      </c>
      <c r="D192" s="2" t="s">
        <v>17867</v>
      </c>
      <c r="E192" s="2">
        <v>40478.0</v>
      </c>
      <c r="F192" s="2">
        <v>1.0</v>
      </c>
      <c r="G192" s="2">
        <v>1161.0</v>
      </c>
      <c r="H192" s="2" t="s">
        <v>5906</v>
      </c>
      <c r="I192" s="2" t="s">
        <v>5906</v>
      </c>
      <c r="J192" s="2" t="s">
        <v>17868</v>
      </c>
      <c r="K192" s="2" t="s">
        <v>17869</v>
      </c>
      <c r="L192" s="10" t="s">
        <v>17870</v>
      </c>
    </row>
    <row r="193">
      <c r="A193" s="2" t="s">
        <v>4530</v>
      </c>
      <c r="B193" s="10" t="s">
        <v>17871</v>
      </c>
      <c r="C193" s="2">
        <v>2.8180741667E10</v>
      </c>
      <c r="D193" s="2" t="s">
        <v>17872</v>
      </c>
      <c r="E193" s="2">
        <v>17960.0</v>
      </c>
      <c r="F193" s="2">
        <v>6.0</v>
      </c>
      <c r="G193" s="2">
        <v>164.0</v>
      </c>
      <c r="H193" s="2" t="s">
        <v>5905</v>
      </c>
      <c r="I193" s="2" t="s">
        <v>5905</v>
      </c>
      <c r="J193" s="2" t="s">
        <v>6027</v>
      </c>
      <c r="K193" s="2" t="s">
        <v>17873</v>
      </c>
      <c r="L193" s="10" t="s">
        <v>17874</v>
      </c>
    </row>
    <row r="194">
      <c r="A194" s="2" t="s">
        <v>4603</v>
      </c>
      <c r="B194" s="2" t="s">
        <v>17875</v>
      </c>
      <c r="C194" s="2">
        <v>6.771630673E9</v>
      </c>
      <c r="D194" s="2" t="s">
        <v>17876</v>
      </c>
      <c r="E194" s="2">
        <v>222575.0</v>
      </c>
      <c r="F194" s="2">
        <v>96.0</v>
      </c>
      <c r="G194" s="2">
        <v>7344.0</v>
      </c>
      <c r="H194" s="2" t="s">
        <v>5905</v>
      </c>
      <c r="I194" s="2" t="s">
        <v>5906</v>
      </c>
      <c r="J194" s="2" t="s">
        <v>6393</v>
      </c>
      <c r="K194" s="2" t="s">
        <v>17877</v>
      </c>
    </row>
    <row r="195">
      <c r="A195" s="2" t="s">
        <v>4603</v>
      </c>
      <c r="B195" s="2" t="s">
        <v>17878</v>
      </c>
      <c r="C195" s="2">
        <v>7.338959869E9</v>
      </c>
      <c r="D195" s="2" t="s">
        <v>17876</v>
      </c>
      <c r="E195" s="2">
        <v>1039949.0</v>
      </c>
      <c r="F195" s="2">
        <v>6.0</v>
      </c>
      <c r="G195" s="2">
        <v>3615.0</v>
      </c>
      <c r="H195" s="2" t="s">
        <v>5905</v>
      </c>
      <c r="I195" s="2" t="s">
        <v>5905</v>
      </c>
      <c r="J195" s="2" t="s">
        <v>5928</v>
      </c>
      <c r="K195" s="2" t="s">
        <v>17879</v>
      </c>
    </row>
    <row r="196">
      <c r="A196" s="2" t="s">
        <v>4603</v>
      </c>
      <c r="B196" s="2" t="s">
        <v>17880</v>
      </c>
      <c r="C196" s="2">
        <v>6.6772573501E10</v>
      </c>
      <c r="D196" s="2" t="s">
        <v>17881</v>
      </c>
      <c r="E196" s="2">
        <v>23753.0</v>
      </c>
      <c r="F196" s="2">
        <v>95.0</v>
      </c>
      <c r="G196" s="2">
        <v>198.0</v>
      </c>
      <c r="H196" s="2" t="s">
        <v>5905</v>
      </c>
      <c r="I196" s="2" t="s">
        <v>5905</v>
      </c>
      <c r="J196" s="2" t="s">
        <v>5959</v>
      </c>
      <c r="K196" s="2" t="s">
        <v>17882</v>
      </c>
      <c r="L196" s="10" t="s">
        <v>17883</v>
      </c>
    </row>
    <row r="197">
      <c r="A197" s="2" t="s">
        <v>4603</v>
      </c>
      <c r="B197" s="2" t="s">
        <v>17884</v>
      </c>
      <c r="C197" s="2">
        <v>3.706867651E10</v>
      </c>
      <c r="D197" s="12" t="s">
        <v>17885</v>
      </c>
      <c r="E197" s="2">
        <v>646589.0</v>
      </c>
      <c r="F197" s="2">
        <v>4.0</v>
      </c>
      <c r="G197" s="2">
        <v>817.0</v>
      </c>
      <c r="H197" s="2" t="s">
        <v>5905</v>
      </c>
      <c r="I197" s="2" t="s">
        <v>5906</v>
      </c>
      <c r="J197" s="2" t="s">
        <v>7140</v>
      </c>
      <c r="K197" s="12" t="s">
        <v>17886</v>
      </c>
    </row>
    <row r="198">
      <c r="A198" s="2" t="s">
        <v>4603</v>
      </c>
      <c r="B198" s="2" t="s">
        <v>17887</v>
      </c>
      <c r="C198" s="2">
        <v>5.568872895E9</v>
      </c>
      <c r="D198" s="2" t="s">
        <v>17888</v>
      </c>
      <c r="E198" s="2">
        <v>39963.0</v>
      </c>
      <c r="F198" s="2">
        <v>642.0</v>
      </c>
      <c r="G198" s="2">
        <v>272.0</v>
      </c>
      <c r="H198" s="2" t="s">
        <v>5905</v>
      </c>
      <c r="I198" s="2" t="s">
        <v>5906</v>
      </c>
      <c r="J198" s="2" t="s">
        <v>7140</v>
      </c>
      <c r="K198" s="2" t="s">
        <v>17889</v>
      </c>
      <c r="L198" s="10" t="s">
        <v>17890</v>
      </c>
    </row>
    <row r="199">
      <c r="A199" s="2" t="s">
        <v>17891</v>
      </c>
      <c r="B199" s="2" t="s">
        <v>17892</v>
      </c>
      <c r="C199" s="2">
        <v>4.6276842507E10</v>
      </c>
      <c r="D199" s="12" t="s">
        <v>17893</v>
      </c>
      <c r="E199" s="2">
        <v>84179.0</v>
      </c>
      <c r="F199" s="2">
        <v>0.0</v>
      </c>
      <c r="G199" s="2">
        <v>276.0</v>
      </c>
      <c r="H199" s="2" t="s">
        <v>5905</v>
      </c>
      <c r="I199" s="2" t="s">
        <v>5905</v>
      </c>
      <c r="J199" s="2" t="s">
        <v>5492</v>
      </c>
      <c r="K199" s="12" t="s">
        <v>17894</v>
      </c>
      <c r="L199" s="10" t="s">
        <v>17895</v>
      </c>
    </row>
    <row r="200">
      <c r="A200" s="2" t="s">
        <v>4055</v>
      </c>
      <c r="B200" s="2" t="s">
        <v>17896</v>
      </c>
      <c r="C200" s="2">
        <v>3.1507998611E10</v>
      </c>
      <c r="D200" s="2" t="s">
        <v>4055</v>
      </c>
      <c r="E200" s="2">
        <v>18178.0</v>
      </c>
      <c r="F200" s="2">
        <v>435.0</v>
      </c>
      <c r="G200" s="2">
        <v>632.0</v>
      </c>
      <c r="H200" s="2" t="s">
        <v>5905</v>
      </c>
      <c r="I200" s="2" t="s">
        <v>5906</v>
      </c>
      <c r="J200" s="2" t="s">
        <v>7140</v>
      </c>
      <c r="K200" s="2" t="s">
        <v>17897</v>
      </c>
    </row>
    <row r="201">
      <c r="A201" s="2" t="s">
        <v>4055</v>
      </c>
      <c r="B201" s="2" t="s">
        <v>17898</v>
      </c>
      <c r="C201" s="2">
        <v>6.8043378652E10</v>
      </c>
      <c r="D201" s="2" t="s">
        <v>17898</v>
      </c>
      <c r="E201" s="2">
        <v>90083.0</v>
      </c>
      <c r="F201" s="2">
        <v>38.0</v>
      </c>
      <c r="G201" s="2">
        <v>251.0</v>
      </c>
      <c r="H201" s="2" t="s">
        <v>5905</v>
      </c>
      <c r="I201" s="2" t="s">
        <v>5906</v>
      </c>
      <c r="J201" s="2" t="s">
        <v>7140</v>
      </c>
      <c r="K201" s="2" t="s">
        <v>17899</v>
      </c>
      <c r="L201" s="10" t="s">
        <v>17900</v>
      </c>
    </row>
    <row r="202">
      <c r="A202" s="2" t="s">
        <v>4611</v>
      </c>
      <c r="B202" s="2" t="s">
        <v>17901</v>
      </c>
      <c r="C202" s="2">
        <v>5.5401486054E10</v>
      </c>
      <c r="D202" s="2" t="s">
        <v>17902</v>
      </c>
      <c r="E202" s="2">
        <v>31507.0</v>
      </c>
      <c r="F202" s="2">
        <v>585.0</v>
      </c>
      <c r="G202" s="2">
        <v>435.0</v>
      </c>
      <c r="H202" s="2" t="s">
        <v>5906</v>
      </c>
      <c r="I202" s="2" t="s">
        <v>5905</v>
      </c>
      <c r="J202" s="2" t="s">
        <v>5959</v>
      </c>
      <c r="K202" s="2" t="s">
        <v>17903</v>
      </c>
      <c r="L202" s="10" t="s">
        <v>17904</v>
      </c>
    </row>
    <row r="203">
      <c r="A203" s="2" t="s">
        <v>4611</v>
      </c>
      <c r="B203" s="2" t="s">
        <v>17905</v>
      </c>
      <c r="C203" s="2">
        <v>7.4000128901E10</v>
      </c>
      <c r="D203" s="2" t="s">
        <v>17906</v>
      </c>
      <c r="E203" s="2">
        <v>34830.0</v>
      </c>
      <c r="F203" s="2">
        <v>2.0</v>
      </c>
      <c r="G203" s="2">
        <v>68.0</v>
      </c>
      <c r="H203" s="2" t="s">
        <v>5905</v>
      </c>
      <c r="I203" s="2" t="s">
        <v>5905</v>
      </c>
      <c r="J203" s="2" t="s">
        <v>5959</v>
      </c>
      <c r="K203" s="2" t="s">
        <v>17907</v>
      </c>
      <c r="L203" s="10" t="s">
        <v>17908</v>
      </c>
    </row>
    <row r="204">
      <c r="A204" s="2" t="s">
        <v>4575</v>
      </c>
      <c r="B204" s="2" t="s">
        <v>17909</v>
      </c>
      <c r="C204" s="2">
        <v>6.0808491478E10</v>
      </c>
      <c r="D204" s="2" t="s">
        <v>17910</v>
      </c>
      <c r="E204" s="2">
        <v>36753.0</v>
      </c>
      <c r="F204" s="2">
        <v>147.0</v>
      </c>
      <c r="G204" s="2">
        <v>612.0</v>
      </c>
      <c r="H204" s="2" t="s">
        <v>5906</v>
      </c>
      <c r="I204" s="2" t="s">
        <v>5905</v>
      </c>
      <c r="J204" s="2" t="s">
        <v>5959</v>
      </c>
      <c r="K204" s="2" t="s">
        <v>17911</v>
      </c>
      <c r="L204" s="10" t="s">
        <v>17912</v>
      </c>
    </row>
    <row r="205">
      <c r="A205" s="2" t="s">
        <v>4575</v>
      </c>
      <c r="B205" s="2" t="s">
        <v>17913</v>
      </c>
      <c r="C205" s="2">
        <v>7.2794198774E10</v>
      </c>
      <c r="D205" s="2" t="s">
        <v>17914</v>
      </c>
      <c r="E205" s="2">
        <v>23945.0</v>
      </c>
      <c r="F205" s="2">
        <v>2.0</v>
      </c>
      <c r="G205" s="2">
        <v>37.0</v>
      </c>
      <c r="H205" s="2" t="s">
        <v>5905</v>
      </c>
      <c r="I205" s="2" t="s">
        <v>5905</v>
      </c>
      <c r="K205" s="2" t="s">
        <v>17915</v>
      </c>
      <c r="L205" s="10" t="s">
        <v>17916</v>
      </c>
    </row>
    <row r="206">
      <c r="A206" s="2" t="s">
        <v>4575</v>
      </c>
      <c r="B206" s="2" t="s">
        <v>17917</v>
      </c>
      <c r="C206" s="2">
        <v>5.1971469917E10</v>
      </c>
      <c r="D206" s="2" t="s">
        <v>17918</v>
      </c>
      <c r="E206" s="2">
        <v>29877.0</v>
      </c>
      <c r="F206" s="2">
        <v>104.0</v>
      </c>
      <c r="G206" s="2">
        <v>115.0</v>
      </c>
      <c r="H206" s="2" t="s">
        <v>5905</v>
      </c>
      <c r="I206" s="2" t="s">
        <v>5906</v>
      </c>
      <c r="J206" s="2" t="s">
        <v>6539</v>
      </c>
      <c r="K206" s="2" t="s">
        <v>17919</v>
      </c>
      <c r="L206" s="10" t="s">
        <v>17920</v>
      </c>
    </row>
    <row r="207">
      <c r="A207" s="2" t="s">
        <v>4575</v>
      </c>
      <c r="B207" s="2" t="s">
        <v>17921</v>
      </c>
      <c r="C207" s="2">
        <v>1.4210632136E10</v>
      </c>
      <c r="D207" s="2" t="s">
        <v>17922</v>
      </c>
      <c r="E207" s="2">
        <v>10683.0</v>
      </c>
      <c r="F207" s="2">
        <v>279.0</v>
      </c>
      <c r="G207" s="2">
        <v>29.0</v>
      </c>
      <c r="H207" s="2" t="s">
        <v>5905</v>
      </c>
      <c r="I207" s="2" t="s">
        <v>5905</v>
      </c>
      <c r="J207" s="2" t="s">
        <v>5561</v>
      </c>
      <c r="K207" s="2" t="s">
        <v>17923</v>
      </c>
    </row>
    <row r="208">
      <c r="A208" s="2" t="s">
        <v>4575</v>
      </c>
      <c r="B208" s="2" t="s">
        <v>17924</v>
      </c>
      <c r="C208" s="2">
        <v>5.405909081E10</v>
      </c>
      <c r="D208" s="2" t="s">
        <v>17925</v>
      </c>
      <c r="E208" s="2">
        <v>49221.0</v>
      </c>
      <c r="F208" s="2">
        <v>7.0</v>
      </c>
      <c r="G208" s="2">
        <v>75.0</v>
      </c>
      <c r="H208" s="2" t="s">
        <v>5906</v>
      </c>
      <c r="I208" s="2" t="s">
        <v>5905</v>
      </c>
      <c r="J208" s="2" t="s">
        <v>5391</v>
      </c>
      <c r="K208" s="2" t="s">
        <v>17926</v>
      </c>
    </row>
    <row r="209">
      <c r="A209" s="2" t="s">
        <v>4575</v>
      </c>
      <c r="B209" s="2" t="s">
        <v>17927</v>
      </c>
      <c r="C209" s="2">
        <v>6.2300037266E10</v>
      </c>
      <c r="D209" s="2" t="s">
        <v>17928</v>
      </c>
      <c r="E209" s="2">
        <v>84538.0</v>
      </c>
      <c r="F209" s="2">
        <v>251.0</v>
      </c>
      <c r="G209" s="2">
        <v>607.0</v>
      </c>
      <c r="H209" s="2" t="s">
        <v>5906</v>
      </c>
      <c r="I209" s="2" t="s">
        <v>5905</v>
      </c>
      <c r="J209" s="2" t="s">
        <v>9775</v>
      </c>
      <c r="K209" s="2" t="s">
        <v>17929</v>
      </c>
    </row>
    <row r="210">
      <c r="A210" s="2" t="s">
        <v>4575</v>
      </c>
      <c r="B210" s="2" t="s">
        <v>17930</v>
      </c>
      <c r="C210" s="2">
        <v>8.054040231E9</v>
      </c>
      <c r="D210" s="2" t="s">
        <v>17931</v>
      </c>
      <c r="E210" s="2">
        <v>25659.0</v>
      </c>
      <c r="F210" s="2">
        <v>45.0</v>
      </c>
      <c r="G210" s="2">
        <v>55.0</v>
      </c>
      <c r="H210" s="2" t="s">
        <v>5906</v>
      </c>
      <c r="I210" s="2" t="s">
        <v>5905</v>
      </c>
      <c r="J210" s="2" t="s">
        <v>7414</v>
      </c>
      <c r="K210" s="2" t="s">
        <v>17932</v>
      </c>
    </row>
    <row r="211">
      <c r="A211" s="2" t="s">
        <v>4575</v>
      </c>
      <c r="B211" s="2" t="s">
        <v>17933</v>
      </c>
      <c r="C211" s="2">
        <v>1.8010687578E10</v>
      </c>
      <c r="D211" s="2" t="s">
        <v>17934</v>
      </c>
      <c r="E211" s="2">
        <v>97730.0</v>
      </c>
      <c r="F211" s="2">
        <v>2163.0</v>
      </c>
      <c r="G211" s="2">
        <v>797.0</v>
      </c>
      <c r="H211" s="2" t="s">
        <v>5906</v>
      </c>
      <c r="I211" s="2" t="s">
        <v>5906</v>
      </c>
      <c r="J211" s="2" t="s">
        <v>4996</v>
      </c>
      <c r="K211" s="2" t="s">
        <v>17935</v>
      </c>
      <c r="L211" s="10" t="s">
        <v>17936</v>
      </c>
    </row>
    <row r="212">
      <c r="A212" s="2" t="s">
        <v>4524</v>
      </c>
      <c r="B212" s="2" t="s">
        <v>17937</v>
      </c>
      <c r="C212" s="2">
        <v>3.473604115E9</v>
      </c>
      <c r="D212" s="2" t="s">
        <v>17938</v>
      </c>
      <c r="E212" s="2">
        <v>358193.0</v>
      </c>
      <c r="F212" s="2">
        <v>819.0</v>
      </c>
      <c r="G212" s="2">
        <v>669.0</v>
      </c>
      <c r="H212" s="2" t="s">
        <v>5906</v>
      </c>
      <c r="I212" s="2" t="s">
        <v>5905</v>
      </c>
      <c r="J212" s="2" t="s">
        <v>5968</v>
      </c>
      <c r="K212" s="2" t="s">
        <v>17939</v>
      </c>
      <c r="L212" s="10" t="s">
        <v>17940</v>
      </c>
    </row>
    <row r="213">
      <c r="A213" s="2" t="s">
        <v>4524</v>
      </c>
      <c r="B213" s="2" t="s">
        <v>17941</v>
      </c>
      <c r="C213" s="2">
        <v>7.0129229021E10</v>
      </c>
      <c r="D213" s="2" t="s">
        <v>17942</v>
      </c>
      <c r="E213" s="2">
        <v>55373.0</v>
      </c>
      <c r="F213" s="2">
        <v>13.0</v>
      </c>
      <c r="G213" s="2">
        <v>44.0</v>
      </c>
      <c r="H213" s="2" t="s">
        <v>5905</v>
      </c>
      <c r="I213" s="2" t="s">
        <v>5905</v>
      </c>
      <c r="J213" s="2" t="s">
        <v>5928</v>
      </c>
      <c r="K213" s="2" t="s">
        <v>17943</v>
      </c>
    </row>
    <row r="214">
      <c r="A214" s="2" t="s">
        <v>4524</v>
      </c>
      <c r="B214" s="2" t="s">
        <v>17944</v>
      </c>
      <c r="C214" s="2">
        <v>7.337948827E10</v>
      </c>
      <c r="D214" s="2" t="s">
        <v>17945</v>
      </c>
      <c r="E214" s="2">
        <v>21737.0</v>
      </c>
      <c r="F214" s="2">
        <v>9.0</v>
      </c>
      <c r="G214" s="2">
        <v>150.0</v>
      </c>
      <c r="H214" s="2" t="s">
        <v>5906</v>
      </c>
      <c r="I214" s="2" t="s">
        <v>5905</v>
      </c>
      <c r="J214" s="2" t="s">
        <v>5551</v>
      </c>
      <c r="K214" s="2" t="s">
        <v>17946</v>
      </c>
      <c r="L214" s="10" t="s">
        <v>17947</v>
      </c>
    </row>
    <row r="215">
      <c r="A215" s="2" t="s">
        <v>4524</v>
      </c>
      <c r="B215" s="2" t="s">
        <v>17948</v>
      </c>
      <c r="C215" s="2">
        <v>4.8659862488E10</v>
      </c>
      <c r="D215" s="2" t="s">
        <v>17949</v>
      </c>
      <c r="E215" s="2">
        <v>435815.0</v>
      </c>
      <c r="F215" s="2">
        <v>249.0</v>
      </c>
      <c r="G215" s="2">
        <v>923.0</v>
      </c>
      <c r="H215" s="2" t="s">
        <v>5905</v>
      </c>
      <c r="I215" s="2" t="s">
        <v>5905</v>
      </c>
      <c r="J215" s="2" t="s">
        <v>6393</v>
      </c>
      <c r="K215" s="2" t="s">
        <v>17950</v>
      </c>
    </row>
    <row r="216">
      <c r="A216" s="2" t="s">
        <v>4524</v>
      </c>
      <c r="B216" s="2" t="s">
        <v>17951</v>
      </c>
      <c r="C216" s="2">
        <v>3.5445385156E10</v>
      </c>
      <c r="D216" s="2" t="s">
        <v>17952</v>
      </c>
      <c r="E216" s="2">
        <v>2317888.0</v>
      </c>
      <c r="F216" s="2">
        <v>99.0</v>
      </c>
      <c r="G216" s="2">
        <v>1461.0</v>
      </c>
      <c r="H216" s="2" t="s">
        <v>5905</v>
      </c>
      <c r="I216" s="2" t="s">
        <v>5906</v>
      </c>
      <c r="J216" s="2" t="s">
        <v>5492</v>
      </c>
      <c r="K216" s="2" t="s">
        <v>17953</v>
      </c>
    </row>
    <row r="217">
      <c r="A217" s="2" t="s">
        <v>4524</v>
      </c>
      <c r="B217" s="2" t="s">
        <v>17954</v>
      </c>
      <c r="C217" s="2">
        <v>5.793975417E9</v>
      </c>
      <c r="D217" s="2" t="s">
        <v>17955</v>
      </c>
      <c r="E217" s="2">
        <v>154668.0</v>
      </c>
      <c r="F217" s="2">
        <v>776.0</v>
      </c>
      <c r="G217" s="2">
        <v>284.0</v>
      </c>
      <c r="H217" s="2" t="s">
        <v>5905</v>
      </c>
      <c r="I217" s="2" t="s">
        <v>5906</v>
      </c>
      <c r="J217" s="2" t="s">
        <v>7321</v>
      </c>
      <c r="K217" s="2" t="s">
        <v>17956</v>
      </c>
      <c r="L217" s="10" t="s">
        <v>17957</v>
      </c>
    </row>
    <row r="218">
      <c r="A218" s="2" t="s">
        <v>4524</v>
      </c>
      <c r="B218" s="2" t="s">
        <v>17958</v>
      </c>
      <c r="C218" s="2">
        <v>6.4233577774E10</v>
      </c>
      <c r="D218" s="2" t="s">
        <v>17959</v>
      </c>
      <c r="E218" s="2">
        <v>188358.0</v>
      </c>
      <c r="F218" s="2">
        <v>60.0</v>
      </c>
      <c r="G218" s="2">
        <v>181.0</v>
      </c>
      <c r="H218" s="2" t="s">
        <v>5905</v>
      </c>
      <c r="I218" s="2" t="s">
        <v>5905</v>
      </c>
      <c r="J218" s="2" t="s">
        <v>4412</v>
      </c>
      <c r="K218" s="2" t="s">
        <v>17960</v>
      </c>
      <c r="L218" s="10" t="s">
        <v>17961</v>
      </c>
    </row>
    <row r="219">
      <c r="A219" s="2" t="s">
        <v>4524</v>
      </c>
      <c r="B219" s="2" t="s">
        <v>17962</v>
      </c>
      <c r="C219" s="2">
        <v>3.052933441E9</v>
      </c>
      <c r="D219" s="2" t="s">
        <v>17963</v>
      </c>
      <c r="E219" s="2">
        <v>147892.0</v>
      </c>
      <c r="F219" s="2">
        <v>461.0</v>
      </c>
      <c r="G219" s="2">
        <v>1060.0</v>
      </c>
      <c r="H219" s="2" t="s">
        <v>5905</v>
      </c>
      <c r="I219" s="2" t="s">
        <v>5905</v>
      </c>
      <c r="J219" s="2" t="s">
        <v>6393</v>
      </c>
      <c r="K219" s="2" t="s">
        <v>17964</v>
      </c>
    </row>
    <row r="220">
      <c r="A220" s="2" t="s">
        <v>4524</v>
      </c>
      <c r="B220" s="2" t="s">
        <v>17965</v>
      </c>
      <c r="C220" s="2">
        <v>1.8914987E7</v>
      </c>
      <c r="D220" s="2" t="s">
        <v>17966</v>
      </c>
      <c r="E220" s="2">
        <v>96278.0</v>
      </c>
      <c r="F220" s="2">
        <v>776.0</v>
      </c>
      <c r="G220" s="2">
        <v>1791.0</v>
      </c>
      <c r="H220" s="2" t="s">
        <v>5906</v>
      </c>
      <c r="I220" s="2" t="s">
        <v>5905</v>
      </c>
      <c r="J220" s="2" t="s">
        <v>7620</v>
      </c>
      <c r="K220" s="2" t="s">
        <v>17967</v>
      </c>
    </row>
    <row r="221">
      <c r="A221" s="2" t="s">
        <v>4524</v>
      </c>
      <c r="B221" s="2" t="s">
        <v>17968</v>
      </c>
      <c r="C221" s="2">
        <v>1.91110749E8</v>
      </c>
      <c r="D221" s="2" t="s">
        <v>17969</v>
      </c>
      <c r="E221" s="2">
        <v>2546534.0</v>
      </c>
      <c r="F221" s="2">
        <v>7406.0</v>
      </c>
      <c r="G221" s="2">
        <v>7981.0</v>
      </c>
      <c r="H221" s="2" t="s">
        <v>5906</v>
      </c>
      <c r="I221" s="2" t="s">
        <v>5905</v>
      </c>
      <c r="J221" s="2" t="s">
        <v>5959</v>
      </c>
      <c r="K221" s="2" t="s">
        <v>17970</v>
      </c>
      <c r="L221" s="10" t="s">
        <v>17971</v>
      </c>
    </row>
    <row r="222">
      <c r="A222" s="2" t="s">
        <v>4524</v>
      </c>
      <c r="B222" s="2" t="s">
        <v>17972</v>
      </c>
      <c r="C222" s="2">
        <v>1.613790483E9</v>
      </c>
      <c r="D222" s="2" t="s">
        <v>17973</v>
      </c>
      <c r="E222" s="2">
        <v>63980.0</v>
      </c>
      <c r="F222" s="2">
        <v>764.0</v>
      </c>
      <c r="G222" s="2">
        <v>87.0</v>
      </c>
      <c r="H222" s="2" t="s">
        <v>5906</v>
      </c>
      <c r="I222" s="2" t="s">
        <v>5905</v>
      </c>
      <c r="J222" s="2" t="s">
        <v>17974</v>
      </c>
      <c r="K222" s="2" t="s">
        <v>17975</v>
      </c>
      <c r="L222" s="10" t="s">
        <v>17976</v>
      </c>
    </row>
    <row r="223">
      <c r="A223" s="2" t="s">
        <v>4770</v>
      </c>
      <c r="B223" s="2" t="s">
        <v>17977</v>
      </c>
      <c r="C223" s="2">
        <v>9.162016103E9</v>
      </c>
      <c r="D223" s="2" t="s">
        <v>17978</v>
      </c>
      <c r="E223" s="2">
        <v>24630.0</v>
      </c>
      <c r="F223" s="2">
        <v>244.0</v>
      </c>
      <c r="G223" s="2">
        <v>563.0</v>
      </c>
      <c r="H223" s="2" t="s">
        <v>5905</v>
      </c>
      <c r="I223" s="2" t="s">
        <v>5906</v>
      </c>
      <c r="K223" s="2" t="s">
        <v>17979</v>
      </c>
      <c r="L223" s="10" t="s">
        <v>17980</v>
      </c>
    </row>
    <row r="224">
      <c r="A224" s="2" t="s">
        <v>4770</v>
      </c>
      <c r="B224" s="2" t="s">
        <v>17981</v>
      </c>
      <c r="C224" s="2">
        <v>3.9708244326E10</v>
      </c>
      <c r="D224" s="2" t="s">
        <v>17982</v>
      </c>
      <c r="E224" s="2">
        <v>10320.0</v>
      </c>
      <c r="F224" s="2">
        <v>7493.0</v>
      </c>
      <c r="G224" s="2">
        <v>828.0</v>
      </c>
      <c r="H224" s="2" t="s">
        <v>5905</v>
      </c>
      <c r="I224" s="2" t="s">
        <v>5906</v>
      </c>
      <c r="J224" s="2" t="s">
        <v>17983</v>
      </c>
      <c r="K224" s="2" t="s">
        <v>17984</v>
      </c>
      <c r="L224" s="10" t="s">
        <v>17985</v>
      </c>
    </row>
    <row r="225">
      <c r="A225" s="2" t="s">
        <v>4770</v>
      </c>
      <c r="B225" s="2" t="s">
        <v>17986</v>
      </c>
      <c r="C225" s="2">
        <v>3.040175905E9</v>
      </c>
      <c r="D225" s="2" t="s">
        <v>17987</v>
      </c>
      <c r="E225" s="2">
        <v>80811.0</v>
      </c>
      <c r="F225" s="2">
        <v>1036.0</v>
      </c>
      <c r="G225" s="2">
        <v>2751.0</v>
      </c>
      <c r="H225" s="2" t="s">
        <v>5905</v>
      </c>
      <c r="I225" s="2" t="s">
        <v>5906</v>
      </c>
      <c r="J225" s="2" t="s">
        <v>5963</v>
      </c>
      <c r="K225" s="12" t="s">
        <v>17988</v>
      </c>
      <c r="L225" s="10" t="s">
        <v>17989</v>
      </c>
    </row>
    <row r="226">
      <c r="A226" s="2" t="s">
        <v>4770</v>
      </c>
      <c r="B226" s="2" t="s">
        <v>17990</v>
      </c>
      <c r="C226" s="2">
        <v>3.5868435464E10</v>
      </c>
      <c r="D226" s="2" t="s">
        <v>17991</v>
      </c>
      <c r="E226" s="2">
        <v>16132.0</v>
      </c>
      <c r="F226" s="2">
        <v>1426.0</v>
      </c>
      <c r="G226" s="2">
        <v>1970.0</v>
      </c>
      <c r="H226" s="2" t="s">
        <v>5905</v>
      </c>
      <c r="I226" s="2" t="s">
        <v>5905</v>
      </c>
      <c r="J226" s="2" t="s">
        <v>10778</v>
      </c>
      <c r="K226" s="2" t="s">
        <v>17992</v>
      </c>
      <c r="L226" s="10" t="s">
        <v>17993</v>
      </c>
    </row>
    <row r="227">
      <c r="A227" s="2" t="s">
        <v>4770</v>
      </c>
      <c r="B227" s="2" t="s">
        <v>17994</v>
      </c>
      <c r="C227" s="2">
        <v>3.9312024244E10</v>
      </c>
      <c r="D227" s="2" t="s">
        <v>17995</v>
      </c>
      <c r="E227" s="2">
        <v>37637.0</v>
      </c>
      <c r="F227" s="2">
        <v>1576.0</v>
      </c>
      <c r="G227" s="2">
        <v>961.0</v>
      </c>
      <c r="H227" s="2" t="s">
        <v>5905</v>
      </c>
      <c r="I227" s="2" t="s">
        <v>5905</v>
      </c>
      <c r="J227" s="2" t="s">
        <v>17996</v>
      </c>
      <c r="K227" s="2" t="s">
        <v>17997</v>
      </c>
      <c r="L227" s="10" t="s">
        <v>17998</v>
      </c>
    </row>
    <row r="228">
      <c r="A228" s="2" t="s">
        <v>4770</v>
      </c>
      <c r="B228" s="2" t="s">
        <v>17999</v>
      </c>
      <c r="C228" s="2">
        <v>3.551889583E9</v>
      </c>
      <c r="D228" s="2" t="s">
        <v>18000</v>
      </c>
      <c r="E228" s="2">
        <v>12263.0</v>
      </c>
      <c r="F228" s="2">
        <v>337.0</v>
      </c>
      <c r="G228" s="2">
        <v>2167.0</v>
      </c>
      <c r="H228" s="2" t="s">
        <v>5906</v>
      </c>
      <c r="I228" s="2" t="s">
        <v>5905</v>
      </c>
      <c r="J228" s="2" t="s">
        <v>17983</v>
      </c>
      <c r="K228" s="2" t="s">
        <v>18001</v>
      </c>
      <c r="L228" s="10" t="s">
        <v>18002</v>
      </c>
    </row>
    <row r="229">
      <c r="A229" s="2" t="s">
        <v>4770</v>
      </c>
      <c r="B229" s="2" t="s">
        <v>18003</v>
      </c>
      <c r="C229" s="2">
        <v>4.41028758E8</v>
      </c>
      <c r="D229" s="2" t="s">
        <v>18004</v>
      </c>
      <c r="E229" s="2">
        <v>291146.0</v>
      </c>
      <c r="F229" s="2">
        <v>538.0</v>
      </c>
      <c r="G229" s="2">
        <v>2277.0</v>
      </c>
      <c r="H229" s="2" t="s">
        <v>5906</v>
      </c>
      <c r="I229" s="2" t="s">
        <v>5905</v>
      </c>
      <c r="J229" s="2" t="s">
        <v>5959</v>
      </c>
      <c r="K229" s="2" t="s">
        <v>18005</v>
      </c>
      <c r="L229" s="10" t="s">
        <v>18006</v>
      </c>
    </row>
    <row r="230">
      <c r="A230" s="2" t="s">
        <v>4420</v>
      </c>
      <c r="B230" s="2" t="s">
        <v>18007</v>
      </c>
      <c r="C230" s="2">
        <v>3.4683643613E10</v>
      </c>
      <c r="E230" s="2">
        <v>66789.0</v>
      </c>
      <c r="F230" s="2">
        <v>1.0</v>
      </c>
      <c r="G230" s="2">
        <v>12.0</v>
      </c>
      <c r="H230" s="2" t="s">
        <v>5905</v>
      </c>
      <c r="I230" s="2" t="s">
        <v>5906</v>
      </c>
      <c r="J230" s="2" t="s">
        <v>4404</v>
      </c>
      <c r="K230" s="2" t="s">
        <v>18008</v>
      </c>
    </row>
    <row r="231">
      <c r="A231" s="2" t="s">
        <v>4420</v>
      </c>
      <c r="B231" s="2" t="s">
        <v>4</v>
      </c>
      <c r="C231" s="2">
        <v>1.5277964E7</v>
      </c>
      <c r="D231" s="2" t="s">
        <v>18009</v>
      </c>
      <c r="E231" s="2">
        <v>946627.0</v>
      </c>
      <c r="F231" s="2">
        <v>137.0</v>
      </c>
      <c r="G231" s="2">
        <v>6452.0</v>
      </c>
      <c r="H231" s="2" t="s">
        <v>5905</v>
      </c>
      <c r="I231" s="2" t="s">
        <v>5906</v>
      </c>
      <c r="K231" s="2" t="s">
        <v>18010</v>
      </c>
      <c r="L231" s="10" t="s">
        <v>15908</v>
      </c>
    </row>
    <row r="232">
      <c r="A232" s="2" t="s">
        <v>4420</v>
      </c>
      <c r="B232" s="2" t="s">
        <v>18011</v>
      </c>
      <c r="C232" s="2">
        <v>6.58676896E10</v>
      </c>
      <c r="D232" s="2" t="s">
        <v>18012</v>
      </c>
      <c r="E232" s="2">
        <v>56346.0</v>
      </c>
      <c r="F232" s="2">
        <v>46.0</v>
      </c>
      <c r="G232" s="2">
        <v>12.0</v>
      </c>
      <c r="H232" s="2" t="s">
        <v>5905</v>
      </c>
      <c r="I232" s="2" t="s">
        <v>5905</v>
      </c>
      <c r="J232" s="2" t="s">
        <v>18013</v>
      </c>
      <c r="K232" s="2" t="s">
        <v>18014</v>
      </c>
    </row>
    <row r="233">
      <c r="A233" s="2" t="s">
        <v>4420</v>
      </c>
      <c r="B233" s="2" t="s">
        <v>18015</v>
      </c>
      <c r="C233" s="2">
        <v>4.4441783309E10</v>
      </c>
      <c r="D233" s="2" t="s">
        <v>18016</v>
      </c>
      <c r="E233" s="2">
        <v>323181.0</v>
      </c>
      <c r="F233" s="2">
        <v>1334.0</v>
      </c>
      <c r="G233" s="2">
        <v>2554.0</v>
      </c>
      <c r="H233" s="2" t="s">
        <v>5905</v>
      </c>
      <c r="I233" s="2" t="s">
        <v>5906</v>
      </c>
      <c r="K233" s="2" t="s">
        <v>18017</v>
      </c>
      <c r="L233" s="10" t="s">
        <v>18018</v>
      </c>
    </row>
    <row r="234">
      <c r="A234" s="2" t="s">
        <v>4420</v>
      </c>
      <c r="B234" s="2" t="s">
        <v>18019</v>
      </c>
      <c r="C234" s="2">
        <v>1.81694238E8</v>
      </c>
      <c r="D234" s="10" t="s">
        <v>18020</v>
      </c>
      <c r="E234" s="2">
        <v>2802185.0</v>
      </c>
      <c r="F234" s="2">
        <v>1851.0</v>
      </c>
      <c r="G234" s="2">
        <v>7002.0</v>
      </c>
      <c r="H234" s="2" t="s">
        <v>5906</v>
      </c>
      <c r="I234" s="2" t="s">
        <v>5905</v>
      </c>
      <c r="J234" s="2" t="s">
        <v>4996</v>
      </c>
      <c r="K234" s="2" t="s">
        <v>18021</v>
      </c>
      <c r="L234" s="10" t="s">
        <v>18022</v>
      </c>
    </row>
    <row r="235">
      <c r="A235" s="2" t="s">
        <v>4420</v>
      </c>
      <c r="B235" s="2" t="s">
        <v>18023</v>
      </c>
      <c r="C235" s="2">
        <v>9.766909905E9</v>
      </c>
      <c r="D235" s="12" t="s">
        <v>18024</v>
      </c>
      <c r="E235" s="2">
        <v>276129.0</v>
      </c>
      <c r="F235" s="2">
        <v>255.0</v>
      </c>
      <c r="G235" s="2">
        <v>2595.0</v>
      </c>
      <c r="H235" s="2" t="s">
        <v>5905</v>
      </c>
      <c r="I235" s="2" t="s">
        <v>5905</v>
      </c>
      <c r="J235" s="2" t="s">
        <v>5485</v>
      </c>
      <c r="K235" s="2" t="s">
        <v>18025</v>
      </c>
      <c r="L235" s="10" t="s">
        <v>18026</v>
      </c>
    </row>
    <row r="236">
      <c r="A236" s="2" t="s">
        <v>4420</v>
      </c>
      <c r="B236" s="2" t="s">
        <v>18027</v>
      </c>
      <c r="C236" s="2">
        <v>6.4112729936E10</v>
      </c>
      <c r="D236" s="2" t="s">
        <v>18028</v>
      </c>
      <c r="E236" s="2">
        <v>12314.0</v>
      </c>
      <c r="F236" s="2">
        <v>69.0</v>
      </c>
      <c r="G236" s="2">
        <v>410.0</v>
      </c>
      <c r="H236" s="2" t="s">
        <v>5905</v>
      </c>
      <c r="I236" s="2" t="s">
        <v>5905</v>
      </c>
      <c r="J236" s="2" t="s">
        <v>5561</v>
      </c>
      <c r="K236" s="2" t="s">
        <v>18029</v>
      </c>
      <c r="L236" s="10" t="s">
        <v>18030</v>
      </c>
    </row>
    <row r="237">
      <c r="A237" s="2" t="s">
        <v>4420</v>
      </c>
      <c r="B237" s="2" t="s">
        <v>18031</v>
      </c>
      <c r="C237" s="2">
        <v>1.188107951E9</v>
      </c>
      <c r="D237" s="2" t="s">
        <v>18032</v>
      </c>
      <c r="E237" s="2">
        <v>1412389.0</v>
      </c>
      <c r="F237" s="2">
        <v>500.0</v>
      </c>
      <c r="G237" s="2">
        <v>9522.0</v>
      </c>
      <c r="H237" s="2" t="s">
        <v>5906</v>
      </c>
      <c r="I237" s="2" t="s">
        <v>5906</v>
      </c>
      <c r="J237" s="2" t="s">
        <v>5561</v>
      </c>
      <c r="K237" s="2" t="s">
        <v>18033</v>
      </c>
    </row>
    <row r="238">
      <c r="A238" s="2" t="s">
        <v>4420</v>
      </c>
      <c r="B238" s="2" t="s">
        <v>18034</v>
      </c>
      <c r="C238" s="2">
        <v>4.038889038E9</v>
      </c>
      <c r="D238" s="2" t="s">
        <v>18035</v>
      </c>
      <c r="E238" s="2">
        <v>49674.0</v>
      </c>
      <c r="F238" s="2">
        <v>1.0</v>
      </c>
      <c r="G238" s="2">
        <v>410.0</v>
      </c>
      <c r="H238" s="2" t="s">
        <v>5905</v>
      </c>
      <c r="I238" s="2" t="s">
        <v>5906</v>
      </c>
      <c r="J238" s="2" t="s">
        <v>9470</v>
      </c>
      <c r="K238" s="2" t="s">
        <v>18036</v>
      </c>
      <c r="L238" s="10" t="s">
        <v>18037</v>
      </c>
    </row>
    <row r="239">
      <c r="A239" s="2" t="s">
        <v>4420</v>
      </c>
      <c r="B239" s="2" t="s">
        <v>18038</v>
      </c>
      <c r="C239" s="2">
        <v>6.1356151483E10</v>
      </c>
      <c r="D239" s="2" t="s">
        <v>18039</v>
      </c>
      <c r="E239" s="2">
        <v>623167.0</v>
      </c>
      <c r="F239" s="2">
        <v>787.0</v>
      </c>
      <c r="G239" s="2">
        <v>1262.0</v>
      </c>
      <c r="H239" s="2" t="s">
        <v>5905</v>
      </c>
      <c r="I239" s="2" t="s">
        <v>5905</v>
      </c>
      <c r="K239" s="2" t="s">
        <v>18040</v>
      </c>
    </row>
    <row r="240">
      <c r="A240" s="2" t="s">
        <v>4420</v>
      </c>
      <c r="B240" s="2" t="s">
        <v>18041</v>
      </c>
      <c r="C240" s="2">
        <v>3.1083187068E10</v>
      </c>
      <c r="D240" s="2" t="s">
        <v>18042</v>
      </c>
      <c r="E240" s="2">
        <v>177572.0</v>
      </c>
      <c r="F240" s="2">
        <v>29.0</v>
      </c>
      <c r="G240" s="2">
        <v>2493.0</v>
      </c>
      <c r="H240" s="2" t="s">
        <v>5905</v>
      </c>
      <c r="I240" s="2" t="s">
        <v>5905</v>
      </c>
      <c r="J240" s="2" t="s">
        <v>17093</v>
      </c>
      <c r="K240" s="2" t="s">
        <v>18043</v>
      </c>
      <c r="L240" s="10" t="s">
        <v>18044</v>
      </c>
    </row>
    <row r="241">
      <c r="A241" s="2" t="s">
        <v>4692</v>
      </c>
      <c r="B241" s="2" t="s">
        <v>18045</v>
      </c>
      <c r="C241" s="2">
        <v>5.3075028813E10</v>
      </c>
      <c r="D241" s="2" t="s">
        <v>18046</v>
      </c>
      <c r="E241" s="2">
        <v>33458.0</v>
      </c>
      <c r="F241" s="2">
        <v>2425.0</v>
      </c>
      <c r="G241" s="2">
        <v>199.0</v>
      </c>
      <c r="H241" s="2" t="s">
        <v>5905</v>
      </c>
      <c r="I241" s="2" t="s">
        <v>5905</v>
      </c>
      <c r="J241" s="2" t="s">
        <v>7884</v>
      </c>
      <c r="K241" s="2" t="s">
        <v>18047</v>
      </c>
      <c r="L241" s="10" t="s">
        <v>18048</v>
      </c>
    </row>
    <row r="242">
      <c r="A242" s="2" t="s">
        <v>4566</v>
      </c>
      <c r="B242" s="2" t="s">
        <v>18049</v>
      </c>
      <c r="C242" s="2">
        <v>4.8013816133E10</v>
      </c>
      <c r="D242" s="2" t="s">
        <v>18050</v>
      </c>
      <c r="E242" s="2">
        <v>72421.0</v>
      </c>
      <c r="F242" s="2">
        <v>659.0</v>
      </c>
      <c r="G242" s="2">
        <v>1340.0</v>
      </c>
      <c r="H242" s="2" t="s">
        <v>5905</v>
      </c>
      <c r="I242" s="2" t="s">
        <v>5905</v>
      </c>
      <c r="J242" s="2" t="s">
        <v>5561</v>
      </c>
      <c r="K242" s="2" t="s">
        <v>18051</v>
      </c>
      <c r="L242" s="10" t="s">
        <v>18052</v>
      </c>
    </row>
    <row r="243">
      <c r="A243" s="2" t="s">
        <v>4566</v>
      </c>
      <c r="B243" s="2" t="s">
        <v>18053</v>
      </c>
      <c r="C243" s="2">
        <v>4.6620229035E10</v>
      </c>
      <c r="D243" s="2" t="s">
        <v>18054</v>
      </c>
      <c r="E243" s="2">
        <v>37091.0</v>
      </c>
      <c r="F243" s="2">
        <v>490.0</v>
      </c>
      <c r="G243" s="2">
        <v>303.0</v>
      </c>
      <c r="H243" s="2" t="s">
        <v>5905</v>
      </c>
      <c r="I243" s="2" t="s">
        <v>5906</v>
      </c>
      <c r="J243" s="2" t="s">
        <v>5561</v>
      </c>
      <c r="K243" s="2" t="s">
        <v>18055</v>
      </c>
      <c r="L243" s="10" t="s">
        <v>18056</v>
      </c>
    </row>
    <row r="244">
      <c r="A244" s="2" t="s">
        <v>4566</v>
      </c>
      <c r="B244" s="2" t="s">
        <v>18057</v>
      </c>
      <c r="C244" s="2">
        <v>3.9763853889E10</v>
      </c>
      <c r="D244" s="2" t="s">
        <v>18058</v>
      </c>
      <c r="E244" s="2">
        <v>64890.0</v>
      </c>
      <c r="F244" s="2">
        <v>1235.0</v>
      </c>
      <c r="G244" s="2">
        <v>1318.0</v>
      </c>
      <c r="H244" s="2" t="s">
        <v>5905</v>
      </c>
      <c r="I244" s="2" t="s">
        <v>5906</v>
      </c>
      <c r="J244" s="2" t="s">
        <v>5492</v>
      </c>
      <c r="K244" s="2" t="s">
        <v>18059</v>
      </c>
    </row>
    <row r="245">
      <c r="A245" s="2" t="s">
        <v>4566</v>
      </c>
      <c r="B245" s="2" t="s">
        <v>18060</v>
      </c>
      <c r="C245" s="2">
        <v>4.9617761821E10</v>
      </c>
      <c r="D245" s="2" t="s">
        <v>18061</v>
      </c>
      <c r="E245" s="2">
        <v>38985.0</v>
      </c>
      <c r="F245" s="2">
        <v>113.0</v>
      </c>
      <c r="G245" s="2">
        <v>415.0</v>
      </c>
      <c r="H245" s="2" t="s">
        <v>5905</v>
      </c>
      <c r="I245" s="2" t="s">
        <v>5905</v>
      </c>
      <c r="J245" s="2" t="s">
        <v>6856</v>
      </c>
      <c r="K245" s="2" t="s">
        <v>18062</v>
      </c>
      <c r="L245" s="10" t="s">
        <v>18063</v>
      </c>
    </row>
    <row r="246">
      <c r="A246" s="2" t="s">
        <v>4566</v>
      </c>
      <c r="B246" s="2" t="s">
        <v>18064</v>
      </c>
      <c r="C246" s="2">
        <v>7.2532011561E10</v>
      </c>
      <c r="D246" s="2" t="s">
        <v>18065</v>
      </c>
      <c r="E246" s="2">
        <v>34141.0</v>
      </c>
      <c r="F246" s="2">
        <v>1344.0</v>
      </c>
      <c r="G246" s="2">
        <v>309.0</v>
      </c>
      <c r="H246" s="2" t="s">
        <v>5905</v>
      </c>
      <c r="I246" s="2" t="s">
        <v>5905</v>
      </c>
      <c r="J246" s="2" t="s">
        <v>5928</v>
      </c>
      <c r="K246" s="2" t="s">
        <v>18066</v>
      </c>
    </row>
    <row r="247">
      <c r="A247" s="2" t="s">
        <v>4566</v>
      </c>
      <c r="B247" s="2" t="s">
        <v>18067</v>
      </c>
      <c r="C247" s="2">
        <v>4.4231748813E10</v>
      </c>
      <c r="D247" s="2" t="s">
        <v>18068</v>
      </c>
      <c r="E247" s="2">
        <v>24131.0</v>
      </c>
      <c r="F247" s="2">
        <v>976.0</v>
      </c>
      <c r="G247" s="2">
        <v>244.0</v>
      </c>
      <c r="H247" s="2" t="s">
        <v>5905</v>
      </c>
      <c r="I247" s="2" t="s">
        <v>5906</v>
      </c>
      <c r="J247" s="2" t="s">
        <v>5993</v>
      </c>
      <c r="K247" s="2" t="s">
        <v>18069</v>
      </c>
      <c r="L247" s="10" t="s">
        <v>18070</v>
      </c>
    </row>
    <row r="248">
      <c r="A248" s="2" t="s">
        <v>4566</v>
      </c>
      <c r="B248" s="2" t="s">
        <v>18071</v>
      </c>
      <c r="C248" s="2">
        <v>5.7320713474E10</v>
      </c>
      <c r="D248" s="2" t="s">
        <v>18072</v>
      </c>
      <c r="E248" s="2">
        <v>40944.0</v>
      </c>
      <c r="F248" s="2">
        <v>300.0</v>
      </c>
      <c r="G248" s="2">
        <v>636.0</v>
      </c>
      <c r="H248" s="2" t="s">
        <v>5905</v>
      </c>
      <c r="I248" s="2" t="s">
        <v>5905</v>
      </c>
      <c r="J248" s="2" t="s">
        <v>5391</v>
      </c>
      <c r="K248" s="2" t="s">
        <v>18073</v>
      </c>
      <c r="L248" s="10" t="s">
        <v>18074</v>
      </c>
    </row>
    <row r="249">
      <c r="A249" s="2" t="s">
        <v>4566</v>
      </c>
      <c r="B249" s="2" t="s">
        <v>18075</v>
      </c>
      <c r="C249" s="2">
        <v>6.5072865545E10</v>
      </c>
      <c r="D249" s="2" t="s">
        <v>18076</v>
      </c>
      <c r="E249" s="2">
        <v>12216.0</v>
      </c>
      <c r="F249" s="2">
        <v>28.0</v>
      </c>
      <c r="G249" s="2">
        <v>100.0</v>
      </c>
      <c r="H249" s="2" t="s">
        <v>5905</v>
      </c>
      <c r="I249" s="2" t="s">
        <v>5905</v>
      </c>
      <c r="J249" s="2" t="s">
        <v>5928</v>
      </c>
      <c r="K249" s="2" t="s">
        <v>18077</v>
      </c>
    </row>
    <row r="250">
      <c r="A250" s="2" t="s">
        <v>4566</v>
      </c>
      <c r="B250" s="2" t="s">
        <v>18078</v>
      </c>
      <c r="C250" s="2">
        <v>7.2860639472E10</v>
      </c>
      <c r="D250" s="2" t="s">
        <v>18079</v>
      </c>
      <c r="E250" s="2">
        <v>20155.0</v>
      </c>
      <c r="F250" s="2">
        <v>400.0</v>
      </c>
      <c r="G250" s="2">
        <v>78.0</v>
      </c>
      <c r="H250" s="2" t="s">
        <v>5905</v>
      </c>
      <c r="I250" s="2" t="s">
        <v>5905</v>
      </c>
      <c r="J250" s="2" t="s">
        <v>5492</v>
      </c>
      <c r="K250" s="2" t="s">
        <v>18080</v>
      </c>
    </row>
    <row r="251">
      <c r="A251" s="2" t="s">
        <v>4430</v>
      </c>
      <c r="B251" s="2" t="s">
        <v>18081</v>
      </c>
      <c r="C251" s="2">
        <v>8.62584992E9</v>
      </c>
      <c r="D251" s="2" t="s">
        <v>18082</v>
      </c>
      <c r="E251" s="2">
        <v>467468.0</v>
      </c>
      <c r="F251" s="2">
        <v>117.0</v>
      </c>
      <c r="G251" s="2">
        <v>689.0</v>
      </c>
      <c r="H251" s="2" t="s">
        <v>5905</v>
      </c>
      <c r="I251" s="2" t="s">
        <v>5905</v>
      </c>
      <c r="J251" s="2" t="s">
        <v>5928</v>
      </c>
      <c r="K251" s="2" t="s">
        <v>18083</v>
      </c>
      <c r="L251" s="10" t="s">
        <v>18084</v>
      </c>
    </row>
    <row r="252">
      <c r="A252" s="2" t="s">
        <v>4430</v>
      </c>
      <c r="B252" s="2" t="s">
        <v>18085</v>
      </c>
      <c r="C252" s="2">
        <v>3.145633601E9</v>
      </c>
      <c r="D252" s="2" t="s">
        <v>18086</v>
      </c>
      <c r="E252" s="2">
        <v>2104665.0</v>
      </c>
      <c r="F252" s="2">
        <v>719.0</v>
      </c>
      <c r="G252" s="2">
        <v>7656.0</v>
      </c>
      <c r="H252" s="2" t="s">
        <v>5906</v>
      </c>
      <c r="I252" s="2" t="s">
        <v>5906</v>
      </c>
      <c r="J252" s="2" t="s">
        <v>4397</v>
      </c>
      <c r="K252" s="2" t="s">
        <v>18087</v>
      </c>
      <c r="L252" s="10" t="s">
        <v>18088</v>
      </c>
    </row>
    <row r="253">
      <c r="A253" s="2" t="s">
        <v>4430</v>
      </c>
      <c r="B253" s="2" t="s">
        <v>4430</v>
      </c>
      <c r="C253" s="2">
        <v>7.593329432E9</v>
      </c>
      <c r="D253" s="2" t="s">
        <v>4430</v>
      </c>
      <c r="E253" s="2">
        <v>127067.0</v>
      </c>
      <c r="F253" s="2">
        <v>58.0</v>
      </c>
      <c r="G253" s="2">
        <v>783.0</v>
      </c>
      <c r="H253" s="2" t="s">
        <v>5906</v>
      </c>
      <c r="I253" s="2" t="s">
        <v>5905</v>
      </c>
      <c r="J253" s="2" t="s">
        <v>9470</v>
      </c>
      <c r="K253" s="2" t="s">
        <v>18089</v>
      </c>
    </row>
    <row r="254">
      <c r="A254" s="2" t="s">
        <v>4430</v>
      </c>
      <c r="B254" s="2" t="s">
        <v>18090</v>
      </c>
      <c r="C254" s="2">
        <v>2.089058498E9</v>
      </c>
      <c r="D254" s="2" t="s">
        <v>18091</v>
      </c>
      <c r="E254" s="2">
        <v>11216.0</v>
      </c>
      <c r="F254" s="2">
        <v>160.0</v>
      </c>
      <c r="G254" s="2">
        <v>706.0</v>
      </c>
      <c r="H254" s="2" t="s">
        <v>5906</v>
      </c>
      <c r="I254" s="2" t="s">
        <v>5906</v>
      </c>
      <c r="K254" s="2" t="s">
        <v>18092</v>
      </c>
      <c r="L254" s="10" t="s">
        <v>18093</v>
      </c>
    </row>
    <row r="255">
      <c r="A255" s="2" t="s">
        <v>4430</v>
      </c>
      <c r="B255" s="2" t="s">
        <v>18094</v>
      </c>
      <c r="C255" s="2">
        <v>2.2497333658E10</v>
      </c>
      <c r="D255" s="2" t="s">
        <v>18095</v>
      </c>
      <c r="E255" s="2">
        <v>73073.0</v>
      </c>
      <c r="F255" s="2">
        <v>1273.0</v>
      </c>
      <c r="G255" s="2">
        <v>6585.0</v>
      </c>
      <c r="H255" s="2" t="s">
        <v>5906</v>
      </c>
      <c r="I255" s="2" t="s">
        <v>5906</v>
      </c>
      <c r="J255" s="2" t="s">
        <v>5391</v>
      </c>
      <c r="K255" s="2" t="s">
        <v>18096</v>
      </c>
      <c r="L255" s="10" t="s">
        <v>18097</v>
      </c>
    </row>
    <row r="256">
      <c r="A256" s="2" t="s">
        <v>4430</v>
      </c>
      <c r="B256" s="2" t="s">
        <v>18098</v>
      </c>
      <c r="C256" s="2">
        <v>5.9079569167E10</v>
      </c>
      <c r="D256" s="2" t="s">
        <v>18099</v>
      </c>
      <c r="E256" s="2">
        <v>146171.0</v>
      </c>
      <c r="F256" s="2">
        <v>23.0</v>
      </c>
      <c r="G256" s="2">
        <v>115.0</v>
      </c>
      <c r="H256" s="2" t="s">
        <v>5905</v>
      </c>
      <c r="I256" s="2" t="s">
        <v>5905</v>
      </c>
      <c r="J256" s="2" t="s">
        <v>5968</v>
      </c>
      <c r="K256" s="2" t="s">
        <v>18100</v>
      </c>
    </row>
    <row r="257">
      <c r="A257" s="2" t="s">
        <v>4430</v>
      </c>
      <c r="B257" s="2" t="s">
        <v>18101</v>
      </c>
      <c r="C257" s="2">
        <v>6.2141856645E10</v>
      </c>
      <c r="D257" s="2" t="s">
        <v>18102</v>
      </c>
      <c r="E257" s="2">
        <v>17638.0</v>
      </c>
      <c r="F257" s="2">
        <v>1.0</v>
      </c>
      <c r="G257" s="2">
        <v>658.0</v>
      </c>
      <c r="H257" s="2" t="s">
        <v>5905</v>
      </c>
      <c r="I257" s="2" t="s">
        <v>5906</v>
      </c>
      <c r="J257" s="2" t="s">
        <v>10446</v>
      </c>
      <c r="K257" s="2" t="s">
        <v>18103</v>
      </c>
    </row>
    <row r="258">
      <c r="A258" s="2" t="s">
        <v>4430</v>
      </c>
      <c r="B258" s="2" t="s">
        <v>18104</v>
      </c>
      <c r="C258" s="2">
        <v>4.198639766E9</v>
      </c>
      <c r="D258" s="2" t="s">
        <v>18105</v>
      </c>
      <c r="E258" s="2">
        <v>1324200.0</v>
      </c>
      <c r="F258" s="2">
        <v>7500.0</v>
      </c>
      <c r="G258" s="2">
        <v>22087.0</v>
      </c>
      <c r="H258" s="2" t="s">
        <v>5906</v>
      </c>
      <c r="I258" s="2" t="s">
        <v>5906</v>
      </c>
      <c r="J258" s="2" t="s">
        <v>4397</v>
      </c>
      <c r="K258" s="2" t="s">
        <v>18106</v>
      </c>
    </row>
    <row r="259">
      <c r="A259" s="2" t="s">
        <v>4430</v>
      </c>
      <c r="B259" s="2" t="s">
        <v>18107</v>
      </c>
      <c r="C259" s="2">
        <v>3.40867154E9</v>
      </c>
      <c r="D259" s="2" t="s">
        <v>18108</v>
      </c>
      <c r="E259" s="2">
        <v>2859828.0</v>
      </c>
      <c r="F259" s="2">
        <v>1036.0</v>
      </c>
      <c r="G259" s="2">
        <v>32178.0</v>
      </c>
      <c r="H259" s="2" t="s">
        <v>5906</v>
      </c>
      <c r="I259" s="2" t="s">
        <v>5906</v>
      </c>
      <c r="K259" s="2" t="s">
        <v>18109</v>
      </c>
      <c r="L259" s="10" t="s">
        <v>18110</v>
      </c>
    </row>
    <row r="260">
      <c r="A260" s="2" t="s">
        <v>4430</v>
      </c>
      <c r="B260" s="2" t="s">
        <v>18111</v>
      </c>
      <c r="C260" s="2">
        <v>6.7596919848E10</v>
      </c>
      <c r="D260" s="2" t="s">
        <v>18112</v>
      </c>
      <c r="E260" s="2">
        <v>188544.0</v>
      </c>
      <c r="F260" s="2">
        <v>481.0</v>
      </c>
      <c r="G260" s="2">
        <v>915.0</v>
      </c>
      <c r="H260" s="2" t="s">
        <v>5906</v>
      </c>
      <c r="I260" s="2" t="s">
        <v>5906</v>
      </c>
      <c r="J260" s="2" t="s">
        <v>6068</v>
      </c>
      <c r="K260" s="2" t="s">
        <v>18113</v>
      </c>
      <c r="L260" s="10" t="s">
        <v>18114</v>
      </c>
    </row>
    <row r="261">
      <c r="A261" s="2" t="s">
        <v>4430</v>
      </c>
      <c r="B261" s="2" t="s">
        <v>18115</v>
      </c>
      <c r="C261" s="2">
        <v>4.0958926231E10</v>
      </c>
      <c r="D261" s="2" t="s">
        <v>18116</v>
      </c>
      <c r="E261" s="2">
        <v>164980.0</v>
      </c>
      <c r="F261" s="2">
        <v>17.0</v>
      </c>
      <c r="G261" s="2">
        <v>57.0</v>
      </c>
      <c r="H261" s="2" t="s">
        <v>5905</v>
      </c>
      <c r="I261" s="2" t="s">
        <v>5905</v>
      </c>
      <c r="J261" s="2" t="s">
        <v>10446</v>
      </c>
      <c r="K261" s="2" t="s">
        <v>18117</v>
      </c>
      <c r="L261" s="10" t="s">
        <v>18118</v>
      </c>
    </row>
    <row r="262">
      <c r="A262" s="2" t="s">
        <v>4430</v>
      </c>
      <c r="B262" s="2" t="s">
        <v>18119</v>
      </c>
      <c r="C262" s="2">
        <v>6.5089582481E10</v>
      </c>
      <c r="D262" s="2" t="s">
        <v>18091</v>
      </c>
      <c r="E262" s="2">
        <v>132729.0</v>
      </c>
      <c r="F262" s="2">
        <v>731.0</v>
      </c>
      <c r="G262" s="2">
        <v>921.0</v>
      </c>
      <c r="H262" s="2" t="s">
        <v>5905</v>
      </c>
      <c r="I262" s="2" t="s">
        <v>5905</v>
      </c>
      <c r="J262" s="2" t="s">
        <v>18120</v>
      </c>
      <c r="K262" s="2" t="s">
        <v>18121</v>
      </c>
    </row>
    <row r="263">
      <c r="A263" s="2" t="s">
        <v>4430</v>
      </c>
      <c r="B263" s="2" t="s">
        <v>18122</v>
      </c>
      <c r="C263" s="2">
        <v>1.634844154E9</v>
      </c>
      <c r="D263" s="2" t="s">
        <v>18123</v>
      </c>
      <c r="E263" s="2">
        <v>2067757.0</v>
      </c>
      <c r="F263" s="2">
        <v>953.0</v>
      </c>
      <c r="G263" s="2">
        <v>15909.0</v>
      </c>
      <c r="H263" s="2" t="s">
        <v>5906</v>
      </c>
      <c r="I263" s="2" t="s">
        <v>5906</v>
      </c>
      <c r="J263" s="2" t="s">
        <v>4397</v>
      </c>
      <c r="K263" s="2" t="s">
        <v>18124</v>
      </c>
    </row>
    <row r="264">
      <c r="A264" s="2" t="s">
        <v>4430</v>
      </c>
      <c r="B264" s="2" t="s">
        <v>18125</v>
      </c>
      <c r="C264" s="2">
        <v>5.9362688338E10</v>
      </c>
      <c r="D264" s="2" t="s">
        <v>18126</v>
      </c>
      <c r="E264" s="2">
        <v>661591.0</v>
      </c>
      <c r="F264" s="2">
        <v>112.0</v>
      </c>
      <c r="G264" s="2">
        <v>333.0</v>
      </c>
      <c r="H264" s="2" t="s">
        <v>5905</v>
      </c>
      <c r="I264" s="2" t="s">
        <v>5905</v>
      </c>
      <c r="J264" s="2" t="s">
        <v>8144</v>
      </c>
      <c r="K264" s="2" t="s">
        <v>18127</v>
      </c>
      <c r="L264" s="10" t="s">
        <v>18128</v>
      </c>
    </row>
    <row r="265">
      <c r="A265" s="2" t="s">
        <v>4430</v>
      </c>
      <c r="B265" s="2" t="s">
        <v>18129</v>
      </c>
      <c r="C265" s="2">
        <v>5.6229690981E10</v>
      </c>
      <c r="D265" s="2" t="s">
        <v>18130</v>
      </c>
      <c r="E265" s="2">
        <v>2078697.0</v>
      </c>
      <c r="F265" s="2">
        <v>1348.0</v>
      </c>
      <c r="G265" s="2">
        <v>829.0</v>
      </c>
      <c r="H265" s="2" t="s">
        <v>5906</v>
      </c>
      <c r="I265" s="2" t="s">
        <v>5906</v>
      </c>
      <c r="J265" s="2" t="s">
        <v>5480</v>
      </c>
      <c r="K265" s="2" t="s">
        <v>18131</v>
      </c>
    </row>
    <row r="266">
      <c r="A266" s="2" t="s">
        <v>4430</v>
      </c>
      <c r="B266" s="2" t="s">
        <v>18132</v>
      </c>
      <c r="C266" s="2">
        <v>2.2326661E7</v>
      </c>
      <c r="D266" s="2" t="s">
        <v>18133</v>
      </c>
      <c r="E266" s="2">
        <v>2749782.0</v>
      </c>
      <c r="F266" s="2">
        <v>285.0</v>
      </c>
      <c r="G266" s="2">
        <v>21086.0</v>
      </c>
      <c r="H266" s="2" t="s">
        <v>5906</v>
      </c>
      <c r="I266" s="2" t="s">
        <v>5906</v>
      </c>
      <c r="K266" s="2" t="s">
        <v>18134</v>
      </c>
      <c r="L266" s="10" t="s">
        <v>18135</v>
      </c>
    </row>
    <row r="267">
      <c r="A267" s="2" t="s">
        <v>4430</v>
      </c>
      <c r="B267" s="2" t="s">
        <v>18136</v>
      </c>
      <c r="C267" s="2">
        <v>2.6016963E7</v>
      </c>
      <c r="D267" s="2" t="s">
        <v>18137</v>
      </c>
      <c r="E267" s="2">
        <v>2049042.0</v>
      </c>
      <c r="F267" s="2">
        <v>2112.0</v>
      </c>
      <c r="G267" s="2">
        <v>13463.0</v>
      </c>
      <c r="H267" s="2" t="s">
        <v>5906</v>
      </c>
      <c r="I267" s="2" t="s">
        <v>5906</v>
      </c>
      <c r="J267" s="2" t="s">
        <v>4397</v>
      </c>
      <c r="K267" s="2" t="s">
        <v>18138</v>
      </c>
      <c r="L267" s="10" t="s">
        <v>18139</v>
      </c>
    </row>
    <row r="268">
      <c r="A268" s="2" t="s">
        <v>4499</v>
      </c>
      <c r="B268" s="2" t="s">
        <v>18140</v>
      </c>
      <c r="C268" s="2">
        <v>3.3454666542E10</v>
      </c>
      <c r="D268" s="2" t="s">
        <v>18141</v>
      </c>
      <c r="E268" s="2">
        <v>27109.0</v>
      </c>
      <c r="F268" s="2">
        <v>1581.0</v>
      </c>
      <c r="G268" s="2">
        <v>553.0</v>
      </c>
      <c r="H268" s="2" t="s">
        <v>5905</v>
      </c>
      <c r="I268" s="2" t="s">
        <v>5906</v>
      </c>
      <c r="J268" s="2" t="s">
        <v>11730</v>
      </c>
      <c r="K268" s="2" t="s">
        <v>18142</v>
      </c>
      <c r="L268" s="10" t="s">
        <v>18143</v>
      </c>
    </row>
    <row r="269">
      <c r="A269" s="2" t="s">
        <v>4499</v>
      </c>
      <c r="B269" s="2" t="s">
        <v>4499</v>
      </c>
      <c r="C269" s="2">
        <v>5.1248059382E10</v>
      </c>
      <c r="D269" s="2" t="s">
        <v>18144</v>
      </c>
      <c r="E269" s="2">
        <v>55890.0</v>
      </c>
      <c r="F269" s="2">
        <v>2.0</v>
      </c>
      <c r="G269" s="2">
        <v>55.0</v>
      </c>
      <c r="H269" s="2" t="s">
        <v>5905</v>
      </c>
      <c r="I269" s="2" t="s">
        <v>5906</v>
      </c>
      <c r="J269" s="2" t="s">
        <v>4996</v>
      </c>
      <c r="K269" s="2" t="s">
        <v>18145</v>
      </c>
    </row>
    <row r="270">
      <c r="A270" s="2" t="s">
        <v>4499</v>
      </c>
      <c r="B270" s="2" t="s">
        <v>18146</v>
      </c>
      <c r="C270" s="2">
        <v>3.545340734E9</v>
      </c>
      <c r="D270" s="2" t="s">
        <v>18147</v>
      </c>
      <c r="E270" s="2">
        <v>99862.0</v>
      </c>
      <c r="F270" s="2">
        <v>331.0</v>
      </c>
      <c r="G270" s="2">
        <v>4342.0</v>
      </c>
      <c r="H270" s="2" t="s">
        <v>5905</v>
      </c>
      <c r="I270" s="2" t="s">
        <v>5905</v>
      </c>
      <c r="J270" s="2" t="s">
        <v>15000</v>
      </c>
      <c r="K270" s="2" t="s">
        <v>18148</v>
      </c>
      <c r="L270" s="10" t="s">
        <v>18149</v>
      </c>
    </row>
    <row r="271">
      <c r="A271" s="2" t="s">
        <v>4499</v>
      </c>
      <c r="B271" s="2" t="s">
        <v>18150</v>
      </c>
      <c r="C271" s="2">
        <v>9.424544607E9</v>
      </c>
      <c r="D271" s="2" t="s">
        <v>18151</v>
      </c>
      <c r="E271" s="2">
        <v>352628.0</v>
      </c>
      <c r="F271" s="2">
        <v>677.0</v>
      </c>
      <c r="G271" s="2">
        <v>2421.0</v>
      </c>
      <c r="H271" s="2" t="s">
        <v>5905</v>
      </c>
      <c r="I271" s="2" t="s">
        <v>5906</v>
      </c>
      <c r="J271" s="2" t="s">
        <v>15000</v>
      </c>
      <c r="K271" s="2" t="s">
        <v>18152</v>
      </c>
    </row>
    <row r="272">
      <c r="A272" s="2" t="s">
        <v>4499</v>
      </c>
      <c r="B272" s="2" t="s">
        <v>18153</v>
      </c>
      <c r="C272" s="2">
        <v>3.8510159544E10</v>
      </c>
      <c r="D272" s="2" t="s">
        <v>18154</v>
      </c>
      <c r="E272" s="2">
        <v>76198.0</v>
      </c>
      <c r="F272" s="2">
        <v>172.0</v>
      </c>
      <c r="G272" s="2">
        <v>1538.0</v>
      </c>
      <c r="H272" s="2" t="s">
        <v>5906</v>
      </c>
      <c r="I272" s="2" t="s">
        <v>5905</v>
      </c>
      <c r="J272" s="2" t="s">
        <v>15000</v>
      </c>
      <c r="K272" s="2" t="s">
        <v>18155</v>
      </c>
      <c r="L272" s="10" t="s">
        <v>18156</v>
      </c>
    </row>
    <row r="273">
      <c r="A273" s="2" t="s">
        <v>4499</v>
      </c>
      <c r="B273" s="2" t="s">
        <v>18157</v>
      </c>
      <c r="C273" s="2">
        <v>1.7382533E7</v>
      </c>
      <c r="D273" s="2" t="s">
        <v>18158</v>
      </c>
      <c r="E273" s="2">
        <v>262410.0</v>
      </c>
      <c r="F273" s="2">
        <v>1742.0</v>
      </c>
      <c r="G273" s="2">
        <v>962.0</v>
      </c>
      <c r="H273" s="2" t="s">
        <v>5906</v>
      </c>
      <c r="I273" s="2" t="s">
        <v>5906</v>
      </c>
      <c r="J273" s="2" t="s">
        <v>5391</v>
      </c>
      <c r="K273" s="2" t="s">
        <v>18159</v>
      </c>
      <c r="L273" s="10" t="s">
        <v>18160</v>
      </c>
    </row>
    <row r="274">
      <c r="A274" s="2" t="s">
        <v>4499</v>
      </c>
      <c r="B274" s="2" t="s">
        <v>18161</v>
      </c>
      <c r="C274" s="2">
        <v>6.6482419375E10</v>
      </c>
      <c r="D274" s="2" t="s">
        <v>18162</v>
      </c>
      <c r="E274" s="2">
        <v>791693.0</v>
      </c>
      <c r="F274" s="2">
        <v>0.0</v>
      </c>
      <c r="G274" s="2">
        <v>148.0</v>
      </c>
      <c r="H274" s="2" t="s">
        <v>5906</v>
      </c>
      <c r="I274" s="2" t="s">
        <v>5905</v>
      </c>
      <c r="J274" s="2" t="s">
        <v>5948</v>
      </c>
      <c r="K274" s="2" t="s">
        <v>18163</v>
      </c>
      <c r="L274" s="10" t="s">
        <v>18164</v>
      </c>
    </row>
    <row r="275">
      <c r="A275" s="2" t="s">
        <v>4499</v>
      </c>
      <c r="B275" s="10" t="s">
        <v>18165</v>
      </c>
      <c r="C275" s="2">
        <v>2.072889636E9</v>
      </c>
      <c r="D275" s="2" t="s">
        <v>18166</v>
      </c>
      <c r="E275" s="2">
        <v>740529.0</v>
      </c>
      <c r="F275" s="2">
        <v>983.0</v>
      </c>
      <c r="G275" s="2">
        <v>10167.0</v>
      </c>
      <c r="H275" s="2" t="s">
        <v>5905</v>
      </c>
      <c r="I275" s="2" t="s">
        <v>5905</v>
      </c>
      <c r="J275" s="2" t="s">
        <v>11730</v>
      </c>
      <c r="K275" s="2" t="s">
        <v>18167</v>
      </c>
      <c r="L275" s="10" t="s">
        <v>18168</v>
      </c>
    </row>
    <row r="276">
      <c r="A276" s="2" t="s">
        <v>4499</v>
      </c>
      <c r="B276" s="2" t="s">
        <v>18169</v>
      </c>
      <c r="C276" s="2">
        <v>7.247580921E9</v>
      </c>
      <c r="D276" s="2" t="s">
        <v>18170</v>
      </c>
      <c r="E276" s="2">
        <v>161498.0</v>
      </c>
      <c r="F276" s="2">
        <v>1.0</v>
      </c>
      <c r="G276" s="2">
        <v>1873.0</v>
      </c>
      <c r="H276" s="2" t="s">
        <v>5906</v>
      </c>
      <c r="I276" s="2" t="s">
        <v>5905</v>
      </c>
      <c r="J276" s="2" t="s">
        <v>7083</v>
      </c>
      <c r="K276" s="2" t="s">
        <v>18171</v>
      </c>
      <c r="L276" s="10" t="s">
        <v>18172</v>
      </c>
    </row>
    <row r="277">
      <c r="A277" s="2" t="s">
        <v>4499</v>
      </c>
      <c r="B277" s="2" t="s">
        <v>18173</v>
      </c>
      <c r="C277" s="2">
        <v>6.2128921313E10</v>
      </c>
      <c r="D277" s="2" t="s">
        <v>18174</v>
      </c>
      <c r="E277" s="2">
        <v>1166936.0</v>
      </c>
      <c r="F277" s="2">
        <v>0.0</v>
      </c>
      <c r="G277" s="2">
        <v>479.0</v>
      </c>
      <c r="H277" s="2" t="s">
        <v>5906</v>
      </c>
      <c r="I277" s="2" t="s">
        <v>5906</v>
      </c>
      <c r="J277" s="2" t="s">
        <v>7059</v>
      </c>
      <c r="K277" s="2" t="s">
        <v>18175</v>
      </c>
      <c r="L277" s="10" t="s">
        <v>18176</v>
      </c>
    </row>
    <row r="278">
      <c r="A278" s="2" t="s">
        <v>4499</v>
      </c>
      <c r="B278" s="2" t="s">
        <v>18177</v>
      </c>
      <c r="C278" s="2">
        <v>3.9507235698E10</v>
      </c>
      <c r="D278" s="2" t="s">
        <v>18178</v>
      </c>
      <c r="E278" s="2">
        <v>119342.0</v>
      </c>
      <c r="F278" s="2">
        <v>268.0</v>
      </c>
      <c r="G278" s="2">
        <v>586.0</v>
      </c>
      <c r="H278" s="2" t="s">
        <v>5906</v>
      </c>
      <c r="I278" s="2" t="s">
        <v>5906</v>
      </c>
      <c r="J278" s="2" t="s">
        <v>5391</v>
      </c>
      <c r="K278" s="2" t="s">
        <v>18179</v>
      </c>
      <c r="L278" s="10" t="s">
        <v>18180</v>
      </c>
    </row>
    <row r="279">
      <c r="A279" s="2" t="s">
        <v>4499</v>
      </c>
      <c r="B279" s="2" t="s">
        <v>18181</v>
      </c>
      <c r="C279" s="2">
        <v>5.2816295219E10</v>
      </c>
      <c r="D279" s="2" t="s">
        <v>18182</v>
      </c>
      <c r="E279" s="2">
        <v>143960.0</v>
      </c>
      <c r="F279" s="2">
        <v>172.0</v>
      </c>
      <c r="G279" s="2">
        <v>171.0</v>
      </c>
      <c r="H279" s="2" t="s">
        <v>5906</v>
      </c>
      <c r="I279" s="2" t="s">
        <v>5905</v>
      </c>
      <c r="J279" s="2" t="s">
        <v>7059</v>
      </c>
      <c r="K279" s="2" t="s">
        <v>18183</v>
      </c>
      <c r="L279" s="10" t="s">
        <v>18184</v>
      </c>
    </row>
    <row r="280">
      <c r="A280" s="2" t="s">
        <v>4499</v>
      </c>
      <c r="B280" s="2" t="s">
        <v>18185</v>
      </c>
      <c r="C280" s="2">
        <v>3.954040166E9</v>
      </c>
      <c r="D280" s="2" t="s">
        <v>18186</v>
      </c>
      <c r="E280" s="2">
        <v>522819.0</v>
      </c>
      <c r="F280" s="2">
        <v>34.0</v>
      </c>
      <c r="G280" s="2">
        <v>3651.0</v>
      </c>
      <c r="H280" s="2" t="s">
        <v>5905</v>
      </c>
      <c r="I280" s="2" t="s">
        <v>5906</v>
      </c>
      <c r="J280" s="2" t="s">
        <v>5561</v>
      </c>
      <c r="K280" s="2" t="s">
        <v>18187</v>
      </c>
      <c r="L280" s="10" t="s">
        <v>18188</v>
      </c>
    </row>
    <row r="281">
      <c r="A281" s="2" t="s">
        <v>4456</v>
      </c>
      <c r="B281" s="2" t="s">
        <v>18189</v>
      </c>
      <c r="C281" s="2">
        <v>6.0924679741E10</v>
      </c>
      <c r="D281" s="2" t="s">
        <v>18190</v>
      </c>
      <c r="E281" s="2">
        <v>50670.0</v>
      </c>
      <c r="F281" s="2">
        <v>13.0</v>
      </c>
      <c r="G281" s="2">
        <v>427.0</v>
      </c>
      <c r="H281" s="2" t="s">
        <v>5905</v>
      </c>
      <c r="I281" s="2" t="s">
        <v>5906</v>
      </c>
      <c r="J281" s="2" t="s">
        <v>5391</v>
      </c>
      <c r="K281" s="2" t="s">
        <v>18191</v>
      </c>
      <c r="L281" s="10" t="s">
        <v>18192</v>
      </c>
    </row>
    <row r="282">
      <c r="A282" s="2" t="s">
        <v>4456</v>
      </c>
      <c r="B282" s="10" t="s">
        <v>18193</v>
      </c>
      <c r="C282" s="2">
        <v>2.5864488871E10</v>
      </c>
      <c r="D282" s="2" t="s">
        <v>18194</v>
      </c>
      <c r="E282" s="2">
        <v>38603.0</v>
      </c>
      <c r="F282" s="2">
        <v>8.0</v>
      </c>
      <c r="G282" s="2">
        <v>421.0</v>
      </c>
      <c r="H282" s="2" t="s">
        <v>5906</v>
      </c>
      <c r="I282" s="2" t="s">
        <v>5906</v>
      </c>
      <c r="J282" s="2" t="s">
        <v>18195</v>
      </c>
      <c r="K282" s="2" t="s">
        <v>18196</v>
      </c>
    </row>
    <row r="283">
      <c r="A283" s="2" t="s">
        <v>4456</v>
      </c>
      <c r="B283" s="10" t="s">
        <v>18197</v>
      </c>
      <c r="C283" s="2">
        <v>6.3854366981E10</v>
      </c>
      <c r="D283" s="2" t="s">
        <v>18198</v>
      </c>
      <c r="E283" s="2">
        <v>23710.0</v>
      </c>
      <c r="F283" s="2">
        <v>5.0</v>
      </c>
      <c r="G283" s="2">
        <v>90.0</v>
      </c>
      <c r="H283" s="2" t="s">
        <v>5905</v>
      </c>
      <c r="I283" s="2" t="s">
        <v>5905</v>
      </c>
      <c r="J283" s="2" t="s">
        <v>6002</v>
      </c>
      <c r="K283" s="2" t="s">
        <v>18199</v>
      </c>
    </row>
    <row r="284">
      <c r="A284" s="2" t="s">
        <v>4456</v>
      </c>
      <c r="B284" s="2" t="s">
        <v>18200</v>
      </c>
      <c r="C284" s="2">
        <v>2.3149910612E10</v>
      </c>
      <c r="D284" s="2" t="s">
        <v>18201</v>
      </c>
      <c r="E284" s="2">
        <v>21052.0</v>
      </c>
      <c r="F284" s="2">
        <v>595.0</v>
      </c>
      <c r="G284" s="2">
        <v>118.0</v>
      </c>
      <c r="H284" s="2" t="s">
        <v>5905</v>
      </c>
      <c r="I284" s="2" t="s">
        <v>5905</v>
      </c>
      <c r="J284" s="2" t="s">
        <v>6124</v>
      </c>
      <c r="K284" s="2" t="s">
        <v>18202</v>
      </c>
      <c r="L284" s="10" t="s">
        <v>18203</v>
      </c>
    </row>
    <row r="285">
      <c r="A285" s="2" t="s">
        <v>4456</v>
      </c>
      <c r="B285" s="2" t="s">
        <v>18204</v>
      </c>
      <c r="C285" s="2">
        <v>5.2003494528E10</v>
      </c>
      <c r="D285" s="2" t="s">
        <v>18205</v>
      </c>
      <c r="E285" s="2">
        <v>17976.0</v>
      </c>
      <c r="F285" s="2">
        <v>179.0</v>
      </c>
      <c r="G285" s="2">
        <v>396.0</v>
      </c>
      <c r="H285" s="2" t="s">
        <v>5905</v>
      </c>
      <c r="I285" s="2" t="s">
        <v>5906</v>
      </c>
      <c r="J285" s="2" t="s">
        <v>18195</v>
      </c>
      <c r="K285" s="2" t="s">
        <v>18206</v>
      </c>
      <c r="L285" s="10" t="s">
        <v>18207</v>
      </c>
    </row>
    <row r="286">
      <c r="A286" s="2" t="s">
        <v>4456</v>
      </c>
      <c r="B286" s="2" t="s">
        <v>18208</v>
      </c>
      <c r="C286" s="2">
        <v>5.0412223819E10</v>
      </c>
      <c r="D286" s="2" t="s">
        <v>18209</v>
      </c>
      <c r="E286" s="2">
        <v>15123.0</v>
      </c>
      <c r="F286" s="2">
        <v>217.0</v>
      </c>
      <c r="G286" s="2">
        <v>440.0</v>
      </c>
      <c r="H286" s="2" t="s">
        <v>5905</v>
      </c>
      <c r="I286" s="2" t="s">
        <v>5906</v>
      </c>
      <c r="J286" s="2" t="s">
        <v>5561</v>
      </c>
      <c r="K286" s="2" t="s">
        <v>18210</v>
      </c>
      <c r="L286" s="10" t="s">
        <v>18211</v>
      </c>
    </row>
    <row r="287">
      <c r="A287" s="2" t="s">
        <v>4456</v>
      </c>
      <c r="B287" s="2" t="s">
        <v>18212</v>
      </c>
      <c r="C287" s="2">
        <v>5.451858112E10</v>
      </c>
      <c r="D287" s="2" t="s">
        <v>18213</v>
      </c>
      <c r="E287" s="2">
        <v>90373.0</v>
      </c>
      <c r="F287" s="2">
        <v>56.0</v>
      </c>
      <c r="G287" s="2">
        <v>148.0</v>
      </c>
      <c r="H287" s="2" t="s">
        <v>5905</v>
      </c>
      <c r="I287" s="2" t="s">
        <v>5906</v>
      </c>
      <c r="J287" s="2" t="s">
        <v>18195</v>
      </c>
      <c r="K287" s="12" t="s">
        <v>18214</v>
      </c>
      <c r="L287" s="10" t="s">
        <v>18215</v>
      </c>
    </row>
    <row r="288">
      <c r="A288" s="2" t="s">
        <v>4456</v>
      </c>
      <c r="B288" s="10" t="s">
        <v>18216</v>
      </c>
      <c r="C288" s="2">
        <v>5.9671532637E10</v>
      </c>
      <c r="D288" s="2" t="s">
        <v>18217</v>
      </c>
      <c r="E288" s="2">
        <v>22231.0</v>
      </c>
      <c r="F288" s="2">
        <v>17.0</v>
      </c>
      <c r="G288" s="2">
        <v>160.0</v>
      </c>
      <c r="H288" s="2" t="s">
        <v>5905</v>
      </c>
      <c r="I288" s="2" t="s">
        <v>5906</v>
      </c>
      <c r="J288" s="2" t="s">
        <v>6002</v>
      </c>
      <c r="K288" s="2" t="s">
        <v>18218</v>
      </c>
    </row>
    <row r="289">
      <c r="A289" s="2" t="s">
        <v>4456</v>
      </c>
      <c r="B289" s="2" t="s">
        <v>18219</v>
      </c>
      <c r="C289" s="2">
        <v>1.2519199994E10</v>
      </c>
      <c r="D289" s="2" t="s">
        <v>18220</v>
      </c>
      <c r="E289" s="2">
        <v>11740.0</v>
      </c>
      <c r="F289" s="2">
        <v>86.0</v>
      </c>
      <c r="G289" s="2">
        <v>627.0</v>
      </c>
      <c r="H289" s="2" t="s">
        <v>5905</v>
      </c>
      <c r="I289" s="2" t="s">
        <v>5906</v>
      </c>
      <c r="J289" s="2" t="s">
        <v>6027</v>
      </c>
      <c r="K289" s="2" t="s">
        <v>18221</v>
      </c>
      <c r="L289" s="10" t="s">
        <v>18222</v>
      </c>
    </row>
    <row r="290">
      <c r="A290" s="2" t="s">
        <v>4594</v>
      </c>
      <c r="B290" s="2" t="s">
        <v>18223</v>
      </c>
      <c r="C290" s="2">
        <v>5.77864937E8</v>
      </c>
      <c r="D290" s="2" t="s">
        <v>18224</v>
      </c>
      <c r="E290" s="2">
        <v>94109.0</v>
      </c>
      <c r="F290" s="2">
        <v>535.0</v>
      </c>
      <c r="G290" s="2">
        <v>3045.0</v>
      </c>
      <c r="H290" s="2" t="s">
        <v>5905</v>
      </c>
      <c r="I290" s="2" t="s">
        <v>5906</v>
      </c>
      <c r="J290" s="2" t="s">
        <v>5489</v>
      </c>
      <c r="K290" s="2" t="s">
        <v>18225</v>
      </c>
      <c r="L290" s="10" t="s">
        <v>18226</v>
      </c>
    </row>
    <row r="291">
      <c r="A291" s="2" t="s">
        <v>4594</v>
      </c>
      <c r="B291" s="2" t="s">
        <v>18227</v>
      </c>
      <c r="C291" s="2">
        <v>4.3867063124E10</v>
      </c>
      <c r="D291" s="2" t="s">
        <v>18228</v>
      </c>
      <c r="E291" s="2">
        <v>102943.0</v>
      </c>
      <c r="F291" s="2">
        <v>1300.0</v>
      </c>
      <c r="G291" s="2">
        <v>1698.0</v>
      </c>
      <c r="H291" s="2" t="s">
        <v>5906</v>
      </c>
      <c r="I291" s="2" t="s">
        <v>5905</v>
      </c>
      <c r="J291" s="2" t="s">
        <v>5492</v>
      </c>
      <c r="K291" s="2" t="s">
        <v>18229</v>
      </c>
      <c r="L291" s="10" t="s">
        <v>18230</v>
      </c>
    </row>
    <row r="292">
      <c r="A292" s="2" t="s">
        <v>4594</v>
      </c>
      <c r="B292" s="2" t="s">
        <v>18231</v>
      </c>
      <c r="C292" s="2">
        <v>6.9379073994E10</v>
      </c>
      <c r="D292" s="2" t="s">
        <v>18232</v>
      </c>
      <c r="E292" s="2">
        <v>11825.0</v>
      </c>
      <c r="F292" s="2">
        <v>1.0</v>
      </c>
      <c r="G292" s="2">
        <v>110.0</v>
      </c>
      <c r="H292" s="2" t="s">
        <v>5905</v>
      </c>
      <c r="I292" s="2" t="s">
        <v>5905</v>
      </c>
      <c r="J292" s="2" t="s">
        <v>7431</v>
      </c>
      <c r="K292" s="2" t="s">
        <v>18233</v>
      </c>
      <c r="L292" s="10" t="s">
        <v>18234</v>
      </c>
    </row>
    <row r="293">
      <c r="A293" s="2" t="s">
        <v>4594</v>
      </c>
      <c r="B293" s="10" t="s">
        <v>18235</v>
      </c>
      <c r="C293" s="2">
        <v>2.5867564426E10</v>
      </c>
      <c r="D293" s="2" t="s">
        <v>18236</v>
      </c>
      <c r="E293" s="2">
        <v>47199.0</v>
      </c>
      <c r="F293" s="2">
        <v>3160.0</v>
      </c>
      <c r="G293" s="2">
        <v>334.0</v>
      </c>
      <c r="H293" s="2" t="s">
        <v>5905</v>
      </c>
      <c r="I293" s="2" t="s">
        <v>5906</v>
      </c>
      <c r="J293" s="2" t="s">
        <v>5959</v>
      </c>
      <c r="K293" s="2" t="s">
        <v>18237</v>
      </c>
    </row>
    <row r="294">
      <c r="A294" s="2" t="s">
        <v>4594</v>
      </c>
      <c r="B294" s="2" t="s">
        <v>18238</v>
      </c>
      <c r="C294" s="2">
        <v>3.702064053E9</v>
      </c>
      <c r="D294" s="2" t="s">
        <v>18224</v>
      </c>
      <c r="E294" s="2">
        <v>14899.0</v>
      </c>
      <c r="F294" s="2">
        <v>639.0</v>
      </c>
      <c r="G294" s="2">
        <v>1523.0</v>
      </c>
      <c r="H294" s="2" t="s">
        <v>5905</v>
      </c>
      <c r="I294" s="2" t="s">
        <v>5906</v>
      </c>
      <c r="J294" s="2" t="s">
        <v>7431</v>
      </c>
      <c r="K294" s="2" t="s">
        <v>18239</v>
      </c>
      <c r="L294" s="10" t="s">
        <v>18240</v>
      </c>
    </row>
    <row r="295">
      <c r="A295" s="2" t="s">
        <v>4594</v>
      </c>
      <c r="B295" s="2" t="s">
        <v>18241</v>
      </c>
      <c r="C295" s="2">
        <v>5.26580227E10</v>
      </c>
      <c r="D295" s="2" t="s">
        <v>18242</v>
      </c>
      <c r="E295" s="2">
        <v>10039.0</v>
      </c>
      <c r="F295" s="2">
        <v>1.0</v>
      </c>
      <c r="G295" s="2">
        <v>94.0</v>
      </c>
      <c r="H295" s="2" t="s">
        <v>5905</v>
      </c>
      <c r="I295" s="2" t="s">
        <v>5906</v>
      </c>
      <c r="J295" s="2" t="s">
        <v>12083</v>
      </c>
      <c r="K295" s="2" t="s">
        <v>18243</v>
      </c>
    </row>
    <row r="296">
      <c r="A296" s="2" t="s">
        <v>4594</v>
      </c>
      <c r="B296" s="2" t="s">
        <v>18244</v>
      </c>
      <c r="C296" s="2">
        <v>6.3871087079E10</v>
      </c>
      <c r="D296" s="2" t="s">
        <v>18245</v>
      </c>
      <c r="E296" s="2">
        <v>68916.0</v>
      </c>
      <c r="F296" s="2">
        <v>197.0</v>
      </c>
      <c r="G296" s="2">
        <v>628.0</v>
      </c>
      <c r="H296" s="2" t="s">
        <v>5905</v>
      </c>
      <c r="I296" s="2" t="s">
        <v>5905</v>
      </c>
      <c r="J296" s="2" t="s">
        <v>5492</v>
      </c>
      <c r="K296" s="2" t="s">
        <v>18246</v>
      </c>
      <c r="L296" s="10" t="s">
        <v>18247</v>
      </c>
    </row>
    <row r="297">
      <c r="A297" s="2" t="s">
        <v>4594</v>
      </c>
      <c r="B297" s="2" t="s">
        <v>18248</v>
      </c>
      <c r="C297" s="2">
        <v>6.7587971493E10</v>
      </c>
      <c r="D297" s="2" t="s">
        <v>18249</v>
      </c>
      <c r="E297" s="2">
        <v>18679.0</v>
      </c>
      <c r="F297" s="2">
        <v>0.0</v>
      </c>
      <c r="G297" s="2">
        <v>227.0</v>
      </c>
      <c r="H297" s="2" t="s">
        <v>5905</v>
      </c>
      <c r="I297" s="2" t="s">
        <v>5905</v>
      </c>
      <c r="J297" s="2" t="s">
        <v>7431</v>
      </c>
      <c r="K297" s="2" t="s">
        <v>18250</v>
      </c>
      <c r="L297" s="10" t="s">
        <v>18251</v>
      </c>
    </row>
    <row r="298">
      <c r="A298" s="2" t="s">
        <v>4676</v>
      </c>
      <c r="B298" s="2" t="s">
        <v>18252</v>
      </c>
      <c r="C298" s="2">
        <v>7.1393478844E10</v>
      </c>
      <c r="D298" s="2" t="s">
        <v>18253</v>
      </c>
      <c r="E298" s="2">
        <v>72158.0</v>
      </c>
      <c r="F298" s="2">
        <v>2.0</v>
      </c>
      <c r="G298" s="2">
        <v>72.0</v>
      </c>
      <c r="H298" s="2" t="s">
        <v>5905</v>
      </c>
      <c r="I298" s="2" t="s">
        <v>5905</v>
      </c>
      <c r="J298" s="2" t="s">
        <v>5968</v>
      </c>
      <c r="K298" s="2" t="s">
        <v>18254</v>
      </c>
      <c r="L298" s="10" t="s">
        <v>18255</v>
      </c>
    </row>
    <row r="299">
      <c r="A299" s="2" t="s">
        <v>4676</v>
      </c>
      <c r="B299" s="2" t="s">
        <v>18256</v>
      </c>
      <c r="C299" s="2">
        <v>7.1387892654E10</v>
      </c>
      <c r="D299" s="2" t="s">
        <v>18257</v>
      </c>
      <c r="E299" s="2">
        <v>25237.0</v>
      </c>
      <c r="F299" s="2">
        <v>0.0</v>
      </c>
      <c r="G299" s="2">
        <v>344.0</v>
      </c>
      <c r="H299" s="2" t="s">
        <v>5905</v>
      </c>
      <c r="I299" s="2" t="s">
        <v>5906</v>
      </c>
      <c r="J299" s="2" t="s">
        <v>9482</v>
      </c>
      <c r="K299" s="2" t="s">
        <v>18258</v>
      </c>
    </row>
    <row r="300">
      <c r="A300" s="2" t="s">
        <v>4676</v>
      </c>
      <c r="B300" s="2" t="s">
        <v>18259</v>
      </c>
      <c r="C300" s="2">
        <v>7.6147645231E10</v>
      </c>
      <c r="D300" s="2" t="s">
        <v>18260</v>
      </c>
      <c r="E300" s="2">
        <v>10866.0</v>
      </c>
      <c r="F300" s="2">
        <v>15.0</v>
      </c>
      <c r="G300" s="2">
        <v>66.0</v>
      </c>
      <c r="H300" s="2" t="s">
        <v>5905</v>
      </c>
      <c r="I300" s="2" t="s">
        <v>5905</v>
      </c>
      <c r="J300" s="2" t="s">
        <v>5959</v>
      </c>
      <c r="K300" s="2" t="s">
        <v>18261</v>
      </c>
      <c r="L300" s="10" t="s">
        <v>18262</v>
      </c>
    </row>
    <row r="301">
      <c r="A301" s="2" t="s">
        <v>4676</v>
      </c>
      <c r="B301" s="2" t="s">
        <v>18263</v>
      </c>
      <c r="C301" s="2">
        <v>7.4045649587E10</v>
      </c>
      <c r="D301" s="2" t="s">
        <v>18264</v>
      </c>
      <c r="E301" s="2">
        <v>67657.0</v>
      </c>
      <c r="F301" s="2">
        <v>1.0</v>
      </c>
      <c r="G301" s="2">
        <v>41.0</v>
      </c>
      <c r="H301" s="2" t="s">
        <v>5905</v>
      </c>
      <c r="I301" s="2" t="s">
        <v>5905</v>
      </c>
      <c r="J301" s="2" t="s">
        <v>5391</v>
      </c>
      <c r="K301" s="2" t="s">
        <v>18265</v>
      </c>
    </row>
    <row r="302">
      <c r="A302" s="2" t="s">
        <v>4676</v>
      </c>
      <c r="B302" s="2" t="s">
        <v>18266</v>
      </c>
      <c r="C302" s="2">
        <v>1.3375055864E10</v>
      </c>
      <c r="D302" s="2" t="s">
        <v>18267</v>
      </c>
      <c r="E302" s="2">
        <v>2879099.0</v>
      </c>
      <c r="F302" s="2">
        <v>6.0</v>
      </c>
      <c r="G302" s="2">
        <v>5695.0</v>
      </c>
      <c r="H302" s="2" t="s">
        <v>5905</v>
      </c>
      <c r="I302" s="2" t="s">
        <v>5905</v>
      </c>
      <c r="J302" s="2" t="s">
        <v>5968</v>
      </c>
      <c r="K302" s="2" t="s">
        <v>18268</v>
      </c>
    </row>
    <row r="303">
      <c r="A303" s="2" t="s">
        <v>4676</v>
      </c>
      <c r="B303" s="2" t="s">
        <v>18269</v>
      </c>
      <c r="C303" s="2">
        <v>4.8819921031E10</v>
      </c>
      <c r="D303" s="2" t="s">
        <v>18270</v>
      </c>
      <c r="E303" s="2">
        <v>193888.0</v>
      </c>
      <c r="F303" s="2">
        <v>913.0</v>
      </c>
      <c r="G303" s="2">
        <v>842.0</v>
      </c>
      <c r="H303" s="2" t="s">
        <v>5906</v>
      </c>
      <c r="I303" s="2" t="s">
        <v>5905</v>
      </c>
      <c r="J303" s="2" t="s">
        <v>5959</v>
      </c>
      <c r="K303" s="2" t="s">
        <v>18271</v>
      </c>
      <c r="L303" s="10" t="s">
        <v>18272</v>
      </c>
    </row>
    <row r="304">
      <c r="A304" s="2" t="s">
        <v>4676</v>
      </c>
      <c r="B304" s="2" t="s">
        <v>18273</v>
      </c>
      <c r="C304" s="2">
        <v>6.1934618963E10</v>
      </c>
      <c r="D304" s="2" t="s">
        <v>18274</v>
      </c>
      <c r="E304" s="2">
        <v>135455.0</v>
      </c>
      <c r="F304" s="2">
        <v>0.0</v>
      </c>
      <c r="G304" s="2">
        <v>526.0</v>
      </c>
      <c r="H304" s="2" t="s">
        <v>5905</v>
      </c>
      <c r="I304" s="2" t="s">
        <v>5905</v>
      </c>
      <c r="J304" s="2" t="s">
        <v>5391</v>
      </c>
      <c r="K304" s="2" t="s">
        <v>18275</v>
      </c>
    </row>
    <row r="305">
      <c r="A305" s="2" t="s">
        <v>4676</v>
      </c>
      <c r="B305" s="2" t="s">
        <v>18276</v>
      </c>
      <c r="C305" s="2">
        <v>7.2377528724E10</v>
      </c>
      <c r="D305" s="2" t="s">
        <v>18277</v>
      </c>
      <c r="E305" s="2">
        <v>26494.0</v>
      </c>
      <c r="F305" s="2">
        <v>32.0</v>
      </c>
      <c r="G305" s="2">
        <v>191.0</v>
      </c>
      <c r="H305" s="2" t="s">
        <v>5905</v>
      </c>
      <c r="I305" s="2" t="s">
        <v>5905</v>
      </c>
      <c r="J305" s="2" t="s">
        <v>5391</v>
      </c>
      <c r="K305" s="2" t="s">
        <v>18278</v>
      </c>
      <c r="L305" s="10" t="s">
        <v>18279</v>
      </c>
    </row>
    <row r="306">
      <c r="A306" s="2" t="s">
        <v>4676</v>
      </c>
      <c r="B306" s="10" t="s">
        <v>18280</v>
      </c>
      <c r="C306" s="2">
        <v>1.1342333425E10</v>
      </c>
      <c r="D306" s="2" t="s">
        <v>18281</v>
      </c>
      <c r="E306" s="2">
        <v>373081.0</v>
      </c>
      <c r="F306" s="2">
        <v>81.0</v>
      </c>
      <c r="G306" s="2">
        <v>2549.0</v>
      </c>
      <c r="H306" s="2" t="s">
        <v>5905</v>
      </c>
      <c r="I306" s="2" t="s">
        <v>5905</v>
      </c>
      <c r="J306" s="2" t="s">
        <v>6171</v>
      </c>
      <c r="K306" s="2" t="s">
        <v>18282</v>
      </c>
    </row>
    <row r="307">
      <c r="A307" s="2" t="s">
        <v>4680</v>
      </c>
      <c r="B307" s="2" t="s">
        <v>18283</v>
      </c>
      <c r="C307" s="2">
        <v>4.9213709502E10</v>
      </c>
      <c r="D307" s="2" t="s">
        <v>18284</v>
      </c>
      <c r="E307" s="2">
        <v>493744.0</v>
      </c>
      <c r="F307" s="2">
        <v>48.0</v>
      </c>
      <c r="G307" s="2">
        <v>1558.0</v>
      </c>
      <c r="H307" s="2" t="s">
        <v>5905</v>
      </c>
      <c r="I307" s="2" t="s">
        <v>5905</v>
      </c>
      <c r="J307" s="2" t="s">
        <v>5391</v>
      </c>
      <c r="K307" s="2" t="s">
        <v>18285</v>
      </c>
      <c r="L307" s="10" t="s">
        <v>18286</v>
      </c>
    </row>
    <row r="308">
      <c r="A308" s="2" t="s">
        <v>4680</v>
      </c>
      <c r="B308" s="2" t="s">
        <v>18287</v>
      </c>
      <c r="C308" s="2">
        <v>7.2331970181E10</v>
      </c>
      <c r="D308" s="2" t="s">
        <v>18288</v>
      </c>
      <c r="E308" s="2">
        <v>183915.0</v>
      </c>
      <c r="F308" s="2">
        <v>6.0</v>
      </c>
      <c r="G308" s="2">
        <v>81.0</v>
      </c>
      <c r="H308" s="2" t="s">
        <v>5905</v>
      </c>
      <c r="I308" s="2" t="s">
        <v>5905</v>
      </c>
      <c r="J308" s="2" t="s">
        <v>18289</v>
      </c>
      <c r="K308" s="2" t="s">
        <v>18290</v>
      </c>
      <c r="L308" s="10" t="s">
        <v>18291</v>
      </c>
    </row>
    <row r="309">
      <c r="A309" s="2" t="s">
        <v>4680</v>
      </c>
      <c r="B309" s="2" t="s">
        <v>18292</v>
      </c>
      <c r="C309" s="2">
        <v>7.4731638002E10</v>
      </c>
      <c r="D309" s="2" t="s">
        <v>18293</v>
      </c>
      <c r="E309" s="2">
        <v>67018.0</v>
      </c>
      <c r="F309" s="2">
        <v>12.0</v>
      </c>
      <c r="G309" s="2">
        <v>256.0</v>
      </c>
      <c r="H309" s="2" t="s">
        <v>5905</v>
      </c>
      <c r="I309" s="2" t="s">
        <v>5905</v>
      </c>
      <c r="J309" s="2" t="s">
        <v>5391</v>
      </c>
      <c r="K309" s="2" t="s">
        <v>18294</v>
      </c>
    </row>
    <row r="310">
      <c r="A310" s="2" t="s">
        <v>4680</v>
      </c>
      <c r="B310" s="2" t="s">
        <v>18295</v>
      </c>
      <c r="C310" s="2">
        <v>4.82283262E9</v>
      </c>
      <c r="D310" s="2" t="s">
        <v>18296</v>
      </c>
      <c r="E310" s="2">
        <v>144889.0</v>
      </c>
      <c r="F310" s="2">
        <v>606.0</v>
      </c>
      <c r="G310" s="2">
        <v>916.0</v>
      </c>
      <c r="H310" s="2" t="s">
        <v>5906</v>
      </c>
      <c r="I310" s="2" t="s">
        <v>5905</v>
      </c>
      <c r="J310" s="2" t="s">
        <v>5391</v>
      </c>
      <c r="K310" s="2" t="s">
        <v>18297</v>
      </c>
      <c r="L310" s="10" t="s">
        <v>18298</v>
      </c>
    </row>
    <row r="311">
      <c r="A311" s="2" t="s">
        <v>4680</v>
      </c>
      <c r="B311" s="2" t="s">
        <v>8041</v>
      </c>
      <c r="C311" s="2">
        <v>9.375595988E9</v>
      </c>
      <c r="D311" s="2" t="s">
        <v>8023</v>
      </c>
      <c r="E311" s="2">
        <v>2349761.0</v>
      </c>
      <c r="F311" s="2">
        <v>14.0</v>
      </c>
      <c r="G311" s="2">
        <v>3853.0</v>
      </c>
      <c r="H311" s="2" t="s">
        <v>5906</v>
      </c>
      <c r="I311" s="2" t="s">
        <v>5906</v>
      </c>
      <c r="J311" s="2" t="s">
        <v>5391</v>
      </c>
      <c r="K311" s="2" t="s">
        <v>8042</v>
      </c>
    </row>
    <row r="312">
      <c r="A312" s="2" t="s">
        <v>4552</v>
      </c>
      <c r="B312" s="2" t="s">
        <v>18299</v>
      </c>
      <c r="C312" s="2">
        <v>6.097559741E9</v>
      </c>
      <c r="D312" s="2" t="s">
        <v>18300</v>
      </c>
      <c r="E312" s="2">
        <v>27054.0</v>
      </c>
      <c r="F312" s="2">
        <v>65.0</v>
      </c>
      <c r="G312" s="2">
        <v>300.0</v>
      </c>
      <c r="H312" s="2" t="s">
        <v>5906</v>
      </c>
      <c r="I312" s="2" t="s">
        <v>5906</v>
      </c>
      <c r="J312" s="2" t="s">
        <v>11010</v>
      </c>
      <c r="K312" s="2" t="s">
        <v>18301</v>
      </c>
      <c r="L312" s="10" t="s">
        <v>18302</v>
      </c>
    </row>
    <row r="313">
      <c r="A313" s="2" t="s">
        <v>4552</v>
      </c>
      <c r="B313" s="2" t="s">
        <v>4552</v>
      </c>
      <c r="C313" s="2">
        <v>8.371618963E9</v>
      </c>
      <c r="D313" s="2" t="s">
        <v>18303</v>
      </c>
      <c r="E313" s="2">
        <v>20141.0</v>
      </c>
      <c r="F313" s="2">
        <v>30.0</v>
      </c>
      <c r="G313" s="2">
        <v>3.0</v>
      </c>
      <c r="H313" s="2" t="s">
        <v>5905</v>
      </c>
      <c r="I313" s="2" t="s">
        <v>5906</v>
      </c>
      <c r="J313" s="2" t="s">
        <v>7431</v>
      </c>
      <c r="K313" s="2" t="s">
        <v>18304</v>
      </c>
    </row>
    <row r="314">
      <c r="A314" s="2" t="s">
        <v>4552</v>
      </c>
      <c r="B314" s="2" t="s">
        <v>18305</v>
      </c>
      <c r="C314" s="2">
        <v>7.2834006204E10</v>
      </c>
      <c r="D314" s="2" t="s">
        <v>18306</v>
      </c>
      <c r="E314" s="2">
        <v>26571.0</v>
      </c>
      <c r="F314" s="2">
        <v>61.0</v>
      </c>
      <c r="G314" s="2">
        <v>33.0</v>
      </c>
      <c r="H314" s="2" t="s">
        <v>5906</v>
      </c>
      <c r="I314" s="2" t="s">
        <v>5906</v>
      </c>
      <c r="J314" s="2" t="s">
        <v>7940</v>
      </c>
      <c r="K314" s="2" t="s">
        <v>18307</v>
      </c>
      <c r="L314" s="10" t="s">
        <v>18308</v>
      </c>
    </row>
    <row r="315">
      <c r="A315" s="2" t="s">
        <v>4552</v>
      </c>
      <c r="B315" s="2" t="s">
        <v>18309</v>
      </c>
      <c r="C315" s="2">
        <v>4.9771279E8</v>
      </c>
      <c r="D315" s="2" t="s">
        <v>18310</v>
      </c>
      <c r="E315" s="2">
        <v>1763653.0</v>
      </c>
      <c r="F315" s="2">
        <v>5.0</v>
      </c>
      <c r="G315" s="2">
        <v>1499.0</v>
      </c>
      <c r="H315" s="2" t="s">
        <v>5906</v>
      </c>
      <c r="I315" s="2" t="s">
        <v>5905</v>
      </c>
      <c r="J315" s="2" t="s">
        <v>6124</v>
      </c>
      <c r="K315" s="2" t="s">
        <v>18311</v>
      </c>
      <c r="L315" s="10" t="s">
        <v>18312</v>
      </c>
    </row>
    <row r="316">
      <c r="A316" s="2" t="s">
        <v>4552</v>
      </c>
      <c r="B316" s="2" t="s">
        <v>18313</v>
      </c>
      <c r="C316" s="2">
        <v>1.013731733E10</v>
      </c>
      <c r="D316" s="2" t="s">
        <v>18314</v>
      </c>
      <c r="E316" s="2">
        <v>10799.0</v>
      </c>
      <c r="F316" s="2">
        <v>5133.0</v>
      </c>
      <c r="G316" s="2">
        <v>61.0</v>
      </c>
      <c r="H316" s="2" t="s">
        <v>5905</v>
      </c>
      <c r="I316" s="2" t="s">
        <v>5905</v>
      </c>
      <c r="K316" s="2" t="s">
        <v>18315</v>
      </c>
    </row>
    <row r="317">
      <c r="A317" s="2" t="s">
        <v>4552</v>
      </c>
      <c r="B317" s="2" t="s">
        <v>18316</v>
      </c>
      <c r="C317" s="2">
        <v>2.88738513E9</v>
      </c>
      <c r="D317" s="2" t="s">
        <v>18317</v>
      </c>
      <c r="E317" s="2">
        <v>40805.0</v>
      </c>
      <c r="F317" s="2">
        <v>542.0</v>
      </c>
      <c r="G317" s="2">
        <v>2442.0</v>
      </c>
      <c r="H317" s="2" t="s">
        <v>5905</v>
      </c>
      <c r="I317" s="2" t="s">
        <v>5906</v>
      </c>
      <c r="J317" s="2" t="s">
        <v>4404</v>
      </c>
      <c r="K317" s="2" t="s">
        <v>18318</v>
      </c>
      <c r="L317" s="10" t="s">
        <v>18319</v>
      </c>
    </row>
    <row r="318">
      <c r="A318" s="2" t="s">
        <v>4552</v>
      </c>
      <c r="B318" s="2" t="s">
        <v>18320</v>
      </c>
      <c r="C318" s="2">
        <v>6.031197423E9</v>
      </c>
      <c r="D318" s="2" t="s">
        <v>18321</v>
      </c>
      <c r="E318" s="2">
        <v>124494.0</v>
      </c>
      <c r="F318" s="2">
        <v>242.0</v>
      </c>
      <c r="G318" s="2">
        <v>1167.0</v>
      </c>
      <c r="H318" s="2" t="s">
        <v>5905</v>
      </c>
      <c r="I318" s="2" t="s">
        <v>5905</v>
      </c>
      <c r="J318" s="2" t="s">
        <v>5928</v>
      </c>
      <c r="K318" s="2" t="s">
        <v>18322</v>
      </c>
      <c r="L318" s="10" t="s">
        <v>18323</v>
      </c>
    </row>
    <row r="319">
      <c r="A319" s="2" t="s">
        <v>4552</v>
      </c>
      <c r="B319" s="2" t="s">
        <v>18324</v>
      </c>
      <c r="C319" s="2">
        <v>4.27289504E9</v>
      </c>
      <c r="D319" s="2" t="s">
        <v>18325</v>
      </c>
      <c r="E319" s="2">
        <v>628999.0</v>
      </c>
      <c r="F319" s="2">
        <v>624.0</v>
      </c>
      <c r="G319" s="2">
        <v>11930.0</v>
      </c>
      <c r="H319" s="2" t="s">
        <v>5905</v>
      </c>
      <c r="I319" s="2" t="s">
        <v>5906</v>
      </c>
      <c r="J319" s="2" t="s">
        <v>5561</v>
      </c>
      <c r="K319" s="2" t="s">
        <v>18326</v>
      </c>
      <c r="L319" s="10" t="s">
        <v>18327</v>
      </c>
    </row>
    <row r="320">
      <c r="A320" s="2" t="s">
        <v>24</v>
      </c>
      <c r="B320" s="2" t="s">
        <v>18328</v>
      </c>
      <c r="C320" s="2">
        <v>5.119882E8</v>
      </c>
      <c r="D320" s="2" t="s">
        <v>18329</v>
      </c>
      <c r="E320" s="2">
        <v>13230.0</v>
      </c>
      <c r="F320" s="2">
        <v>770.0</v>
      </c>
      <c r="G320" s="2">
        <v>185.0</v>
      </c>
      <c r="H320" s="2" t="s">
        <v>5906</v>
      </c>
      <c r="I320" s="2" t="s">
        <v>5905</v>
      </c>
      <c r="J320" s="2" t="s">
        <v>8144</v>
      </c>
      <c r="K320" s="2" t="s">
        <v>18330</v>
      </c>
      <c r="L320" s="10" t="s">
        <v>18331</v>
      </c>
    </row>
    <row r="321">
      <c r="A321" s="2" t="s">
        <v>24</v>
      </c>
      <c r="B321" s="2" t="s">
        <v>18332</v>
      </c>
      <c r="C321" s="2">
        <v>1.697373727E9</v>
      </c>
      <c r="D321" s="2" t="s">
        <v>18333</v>
      </c>
      <c r="E321" s="2">
        <v>895691.0</v>
      </c>
      <c r="F321" s="2">
        <v>265.0</v>
      </c>
      <c r="G321" s="2">
        <v>760.0</v>
      </c>
      <c r="H321" s="2" t="s">
        <v>5906</v>
      </c>
      <c r="I321" s="2" t="s">
        <v>5905</v>
      </c>
      <c r="J321" s="2" t="s">
        <v>8144</v>
      </c>
      <c r="K321" s="2" t="s">
        <v>18334</v>
      </c>
      <c r="L321" s="10" t="s">
        <v>18335</v>
      </c>
    </row>
    <row r="322">
      <c r="A322" s="2" t="s">
        <v>24</v>
      </c>
      <c r="B322" s="2" t="s">
        <v>18336</v>
      </c>
      <c r="C322" s="2">
        <v>6.8545569401E10</v>
      </c>
      <c r="D322" s="2" t="s">
        <v>18337</v>
      </c>
      <c r="E322" s="2">
        <v>222297.0</v>
      </c>
      <c r="F322" s="2">
        <v>37.0</v>
      </c>
      <c r="G322" s="2">
        <v>263.0</v>
      </c>
      <c r="H322" s="2" t="s">
        <v>5906</v>
      </c>
      <c r="I322" s="2" t="s">
        <v>5905</v>
      </c>
      <c r="J322" s="2" t="s">
        <v>9793</v>
      </c>
      <c r="K322" s="2" t="s">
        <v>18338</v>
      </c>
      <c r="L322" s="10" t="s">
        <v>18339</v>
      </c>
    </row>
    <row r="323">
      <c r="A323" s="2" t="s">
        <v>24</v>
      </c>
      <c r="B323" s="2" t="s">
        <v>18340</v>
      </c>
      <c r="C323" s="2">
        <v>3.245180558E9</v>
      </c>
      <c r="D323" s="2" t="s">
        <v>18341</v>
      </c>
      <c r="E323" s="2">
        <v>31315.0</v>
      </c>
      <c r="F323" s="2">
        <v>875.0</v>
      </c>
      <c r="G323" s="2">
        <v>1036.0</v>
      </c>
      <c r="H323" s="2" t="s">
        <v>5905</v>
      </c>
      <c r="I323" s="2" t="s">
        <v>5906</v>
      </c>
      <c r="K323" s="2" t="s">
        <v>18342</v>
      </c>
      <c r="L323" s="10" t="s">
        <v>18343</v>
      </c>
    </row>
    <row r="324">
      <c r="A324" s="2" t="s">
        <v>24</v>
      </c>
      <c r="B324" s="2" t="s">
        <v>18344</v>
      </c>
      <c r="C324" s="2">
        <v>6.4137408041E10</v>
      </c>
      <c r="D324" s="2" t="s">
        <v>18345</v>
      </c>
      <c r="E324" s="2">
        <v>556298.0</v>
      </c>
      <c r="F324" s="2">
        <v>256.0</v>
      </c>
      <c r="G324" s="2">
        <v>491.0</v>
      </c>
      <c r="H324" s="2" t="s">
        <v>5906</v>
      </c>
      <c r="I324" s="2" t="s">
        <v>5905</v>
      </c>
      <c r="J324" s="2" t="s">
        <v>8144</v>
      </c>
      <c r="K324" s="2" t="s">
        <v>18346</v>
      </c>
      <c r="L324" s="10" t="s">
        <v>18347</v>
      </c>
    </row>
    <row r="325">
      <c r="A325" s="2" t="s">
        <v>24</v>
      </c>
      <c r="B325" s="2" t="s">
        <v>18348</v>
      </c>
      <c r="C325" s="2">
        <v>5.4048065321E10</v>
      </c>
      <c r="D325" s="2" t="s">
        <v>18349</v>
      </c>
      <c r="E325" s="2">
        <v>150966.0</v>
      </c>
      <c r="F325" s="2">
        <v>5824.0</v>
      </c>
      <c r="G325" s="2">
        <v>928.0</v>
      </c>
      <c r="H325" s="2" t="s">
        <v>5905</v>
      </c>
      <c r="I325" s="2" t="s">
        <v>5905</v>
      </c>
      <c r="J325" s="2" t="s">
        <v>9470</v>
      </c>
      <c r="K325" s="2" t="s">
        <v>18350</v>
      </c>
      <c r="L325" s="10" t="s">
        <v>18351</v>
      </c>
    </row>
    <row r="326">
      <c r="A326" s="2" t="s">
        <v>24</v>
      </c>
      <c r="B326" s="2" t="s">
        <v>18352</v>
      </c>
      <c r="C326" s="2">
        <v>4.9352163403E10</v>
      </c>
      <c r="D326" s="2" t="s">
        <v>18353</v>
      </c>
      <c r="E326" s="2">
        <v>33265.0</v>
      </c>
      <c r="F326" s="2">
        <v>752.0</v>
      </c>
      <c r="G326" s="2">
        <v>1026.0</v>
      </c>
      <c r="H326" s="2" t="s">
        <v>5905</v>
      </c>
      <c r="I326" s="2" t="s">
        <v>5906</v>
      </c>
      <c r="J326" s="2" t="s">
        <v>5391</v>
      </c>
      <c r="K326" s="2" t="s">
        <v>18354</v>
      </c>
      <c r="L326" s="10" t="s">
        <v>18355</v>
      </c>
    </row>
    <row r="327">
      <c r="A327" s="2" t="s">
        <v>24</v>
      </c>
      <c r="B327" s="2" t="s">
        <v>18356</v>
      </c>
      <c r="C327" s="2">
        <v>6.0800828117E10</v>
      </c>
      <c r="D327" s="2" t="s">
        <v>18357</v>
      </c>
      <c r="E327" s="2">
        <v>375196.0</v>
      </c>
      <c r="F327" s="2">
        <v>7.0</v>
      </c>
      <c r="G327" s="2">
        <v>252.0</v>
      </c>
      <c r="H327" s="2" t="s">
        <v>5906</v>
      </c>
      <c r="I327" s="2" t="s">
        <v>5905</v>
      </c>
      <c r="J327" s="2" t="s">
        <v>5561</v>
      </c>
      <c r="K327" s="2" t="s">
        <v>18358</v>
      </c>
      <c r="L327" s="10" t="s">
        <v>18359</v>
      </c>
    </row>
    <row r="328">
      <c r="A328" s="2" t="s">
        <v>24</v>
      </c>
      <c r="B328" s="2" t="s">
        <v>18360</v>
      </c>
      <c r="C328" s="2">
        <v>1.9957010947E10</v>
      </c>
      <c r="D328" s="2" t="s">
        <v>18361</v>
      </c>
      <c r="E328" s="2">
        <v>252185.0</v>
      </c>
      <c r="F328" s="2">
        <v>130.0</v>
      </c>
      <c r="G328" s="2">
        <v>1002.0</v>
      </c>
      <c r="H328" s="2" t="s">
        <v>5906</v>
      </c>
      <c r="I328" s="2" t="s">
        <v>5905</v>
      </c>
      <c r="J328" s="2" t="s">
        <v>5391</v>
      </c>
      <c r="K328" s="2" t="s">
        <v>18362</v>
      </c>
      <c r="L328" s="10" t="s">
        <v>18363</v>
      </c>
    </row>
    <row r="329">
      <c r="A329" s="2" t="s">
        <v>24</v>
      </c>
      <c r="B329" s="2" t="s">
        <v>18364</v>
      </c>
      <c r="C329" s="2">
        <v>4.5481520828E10</v>
      </c>
      <c r="D329" s="2" t="s">
        <v>18365</v>
      </c>
      <c r="E329" s="2">
        <v>591015.0</v>
      </c>
      <c r="F329" s="2">
        <v>3448.0</v>
      </c>
      <c r="G329" s="2">
        <v>1820.0</v>
      </c>
      <c r="H329" s="2" t="s">
        <v>5905</v>
      </c>
      <c r="I329" s="2" t="s">
        <v>5905</v>
      </c>
      <c r="J329" s="2" t="s">
        <v>4397</v>
      </c>
      <c r="K329" s="2" t="s">
        <v>18366</v>
      </c>
      <c r="L329" s="10" t="s">
        <v>18367</v>
      </c>
    </row>
    <row r="330">
      <c r="A330" s="2" t="s">
        <v>24</v>
      </c>
      <c r="B330" s="2" t="s">
        <v>18368</v>
      </c>
      <c r="C330" s="2">
        <v>2.8219457948E10</v>
      </c>
      <c r="D330" s="2" t="s">
        <v>18369</v>
      </c>
      <c r="E330" s="2">
        <v>941315.0</v>
      </c>
      <c r="F330" s="2">
        <v>420.0</v>
      </c>
      <c r="G330" s="2">
        <v>844.0</v>
      </c>
      <c r="H330" s="2" t="s">
        <v>5906</v>
      </c>
      <c r="I330" s="2" t="s">
        <v>5905</v>
      </c>
      <c r="J330" s="2" t="s">
        <v>5928</v>
      </c>
      <c r="K330" s="2" t="s">
        <v>18370</v>
      </c>
      <c r="L330" s="10" t="s">
        <v>18371</v>
      </c>
    </row>
    <row r="331">
      <c r="A331" s="2" t="s">
        <v>24</v>
      </c>
      <c r="B331" s="2" t="s">
        <v>18372</v>
      </c>
      <c r="C331" s="2">
        <v>8.522106298E9</v>
      </c>
      <c r="D331" s="2" t="s">
        <v>18373</v>
      </c>
      <c r="E331" s="2">
        <v>2226382.0</v>
      </c>
      <c r="F331" s="2">
        <v>159.0</v>
      </c>
      <c r="G331" s="2">
        <v>2974.0</v>
      </c>
      <c r="H331" s="2" t="s">
        <v>5905</v>
      </c>
      <c r="I331" s="2" t="s">
        <v>5906</v>
      </c>
      <c r="J331" s="2" t="s">
        <v>5391</v>
      </c>
      <c r="K331" s="2" t="s">
        <v>18374</v>
      </c>
      <c r="L331" s="10" t="s">
        <v>18375</v>
      </c>
    </row>
    <row r="332">
      <c r="A332" s="2" t="s">
        <v>24</v>
      </c>
      <c r="B332" s="2" t="s">
        <v>18376</v>
      </c>
      <c r="C332" s="2">
        <v>2.952141532E9</v>
      </c>
      <c r="D332" s="2" t="s">
        <v>18377</v>
      </c>
      <c r="E332" s="2">
        <v>2493700.0</v>
      </c>
      <c r="F332" s="2">
        <v>868.0</v>
      </c>
      <c r="G332" s="2">
        <v>2499.0</v>
      </c>
      <c r="H332" s="2" t="s">
        <v>5905</v>
      </c>
      <c r="I332" s="2" t="s">
        <v>5905</v>
      </c>
      <c r="J332" s="2" t="s">
        <v>5391</v>
      </c>
      <c r="K332" s="2" t="s">
        <v>18378</v>
      </c>
      <c r="L332" s="10" t="s">
        <v>18379</v>
      </c>
    </row>
    <row r="333">
      <c r="A333" s="2" t="s">
        <v>24</v>
      </c>
      <c r="B333" s="2" t="s">
        <v>18380</v>
      </c>
      <c r="C333" s="2">
        <v>8.526101636E9</v>
      </c>
      <c r="D333" s="2" t="s">
        <v>18381</v>
      </c>
      <c r="E333" s="2">
        <v>2592423.0</v>
      </c>
      <c r="F333" s="2">
        <v>110.0</v>
      </c>
      <c r="G333" s="2">
        <v>2878.0</v>
      </c>
      <c r="H333" s="2" t="s">
        <v>5905</v>
      </c>
      <c r="I333" s="2" t="s">
        <v>5905</v>
      </c>
      <c r="J333" s="2" t="s">
        <v>9470</v>
      </c>
      <c r="K333" s="2" t="s">
        <v>18374</v>
      </c>
      <c r="L333" s="10" t="s">
        <v>18375</v>
      </c>
    </row>
    <row r="334">
      <c r="A334" s="2" t="s">
        <v>4512</v>
      </c>
      <c r="B334" s="2" t="s">
        <v>18382</v>
      </c>
      <c r="C334" s="2">
        <v>2636854.0</v>
      </c>
      <c r="D334" s="2" t="s">
        <v>18383</v>
      </c>
      <c r="E334" s="2">
        <v>105873.0</v>
      </c>
      <c r="F334" s="2">
        <v>549.0</v>
      </c>
      <c r="G334" s="2">
        <v>3530.0</v>
      </c>
      <c r="H334" s="2" t="s">
        <v>5905</v>
      </c>
      <c r="I334" s="2" t="s">
        <v>5905</v>
      </c>
      <c r="J334" s="2" t="s">
        <v>6002</v>
      </c>
      <c r="K334" s="2" t="s">
        <v>18384</v>
      </c>
      <c r="L334" s="10" t="s">
        <v>18385</v>
      </c>
    </row>
    <row r="335">
      <c r="A335" s="2" t="s">
        <v>4512</v>
      </c>
      <c r="B335" s="2" t="s">
        <v>18386</v>
      </c>
      <c r="C335" s="2">
        <v>3.6600809653E10</v>
      </c>
      <c r="D335" s="12" t="s">
        <v>18387</v>
      </c>
      <c r="E335" s="2">
        <v>59420.0</v>
      </c>
      <c r="F335" s="2">
        <v>864.0</v>
      </c>
      <c r="G335" s="2">
        <v>1409.0</v>
      </c>
      <c r="H335" s="2" t="s">
        <v>5906</v>
      </c>
      <c r="I335" s="2" t="s">
        <v>5905</v>
      </c>
      <c r="J335" s="2" t="s">
        <v>5993</v>
      </c>
      <c r="K335" s="12" t="s">
        <v>18388</v>
      </c>
      <c r="L335" s="10" t="s">
        <v>18389</v>
      </c>
    </row>
    <row r="336">
      <c r="A336" s="2" t="s">
        <v>4512</v>
      </c>
      <c r="B336" s="2" t="s">
        <v>18390</v>
      </c>
      <c r="C336" s="2">
        <v>2.68310987E8</v>
      </c>
      <c r="D336" s="2" t="s">
        <v>18391</v>
      </c>
      <c r="E336" s="2">
        <v>236369.0</v>
      </c>
      <c r="F336" s="2">
        <v>1001.0</v>
      </c>
      <c r="G336" s="2">
        <v>1748.0</v>
      </c>
      <c r="H336" s="2" t="s">
        <v>5905</v>
      </c>
      <c r="I336" s="2" t="s">
        <v>5905</v>
      </c>
      <c r="J336" s="2" t="s">
        <v>5993</v>
      </c>
      <c r="K336" s="2" t="s">
        <v>18392</v>
      </c>
      <c r="L336" s="10" t="s">
        <v>18393</v>
      </c>
    </row>
    <row r="337">
      <c r="A337" s="2" t="s">
        <v>4512</v>
      </c>
      <c r="B337" s="2" t="s">
        <v>18394</v>
      </c>
      <c r="C337" s="2">
        <v>7.662805542E9</v>
      </c>
      <c r="D337" s="2" t="s">
        <v>18395</v>
      </c>
      <c r="E337" s="2">
        <v>2077966.0</v>
      </c>
      <c r="F337" s="2">
        <v>411.0</v>
      </c>
      <c r="G337" s="2">
        <v>1225.0</v>
      </c>
      <c r="H337" s="2" t="s">
        <v>5906</v>
      </c>
      <c r="I337" s="2" t="s">
        <v>5906</v>
      </c>
      <c r="J337" s="2" t="s">
        <v>5993</v>
      </c>
      <c r="K337" s="2" t="s">
        <v>18396</v>
      </c>
      <c r="L337" s="10" t="s">
        <v>18397</v>
      </c>
    </row>
    <row r="338">
      <c r="A338" s="2" t="s">
        <v>4512</v>
      </c>
      <c r="B338" s="2" t="s">
        <v>18398</v>
      </c>
      <c r="C338" s="2">
        <v>8.398561361E9</v>
      </c>
      <c r="D338" s="2" t="s">
        <v>18399</v>
      </c>
      <c r="E338" s="2">
        <v>92495.0</v>
      </c>
      <c r="F338" s="2">
        <v>552.0</v>
      </c>
      <c r="G338" s="2">
        <v>262.0</v>
      </c>
      <c r="H338" s="2" t="s">
        <v>5905</v>
      </c>
      <c r="I338" s="2" t="s">
        <v>5905</v>
      </c>
      <c r="J338" s="2" t="s">
        <v>5993</v>
      </c>
      <c r="K338" s="2" t="s">
        <v>18400</v>
      </c>
      <c r="L338" s="10" t="s">
        <v>18401</v>
      </c>
    </row>
    <row r="339">
      <c r="A339" s="2" t="s">
        <v>4512</v>
      </c>
      <c r="B339" s="2" t="s">
        <v>18402</v>
      </c>
      <c r="C339" s="2">
        <v>9.78875698E8</v>
      </c>
      <c r="D339" s="2" t="s">
        <v>18403</v>
      </c>
      <c r="E339" s="2">
        <v>637423.0</v>
      </c>
      <c r="F339" s="2">
        <v>1108.0</v>
      </c>
      <c r="G339" s="2">
        <v>2632.0</v>
      </c>
      <c r="H339" s="2" t="s">
        <v>5905</v>
      </c>
      <c r="I339" s="2" t="s">
        <v>5905</v>
      </c>
      <c r="J339" s="2" t="s">
        <v>5561</v>
      </c>
      <c r="K339" s="2" t="s">
        <v>18404</v>
      </c>
      <c r="L339" s="10" t="s">
        <v>18405</v>
      </c>
    </row>
    <row r="340">
      <c r="A340" s="2" t="s">
        <v>4512</v>
      </c>
      <c r="B340" s="2" t="s">
        <v>18406</v>
      </c>
      <c r="C340" s="2">
        <v>4.4807008371E10</v>
      </c>
      <c r="D340" s="2" t="s">
        <v>18407</v>
      </c>
      <c r="E340" s="2">
        <v>358196.0</v>
      </c>
      <c r="F340" s="2">
        <v>1.0</v>
      </c>
      <c r="G340" s="2">
        <v>1131.0</v>
      </c>
      <c r="H340" s="2" t="s">
        <v>5905</v>
      </c>
      <c r="I340" s="2" t="s">
        <v>5905</v>
      </c>
      <c r="J340" s="2" t="s">
        <v>5993</v>
      </c>
      <c r="K340" s="2" t="s">
        <v>18408</v>
      </c>
      <c r="L340" s="10" t="s">
        <v>18409</v>
      </c>
    </row>
    <row r="341">
      <c r="A341" s="2" t="s">
        <v>4512</v>
      </c>
      <c r="B341" s="2" t="s">
        <v>18410</v>
      </c>
      <c r="C341" s="2">
        <v>3.90009673E8</v>
      </c>
      <c r="D341" s="2" t="s">
        <v>18411</v>
      </c>
      <c r="E341" s="2">
        <v>20034.0</v>
      </c>
      <c r="F341" s="2">
        <v>3.0</v>
      </c>
      <c r="G341" s="2">
        <v>751.0</v>
      </c>
      <c r="H341" s="2" t="s">
        <v>5905</v>
      </c>
      <c r="I341" s="2" t="s">
        <v>5905</v>
      </c>
      <c r="J341" s="2" t="s">
        <v>5959</v>
      </c>
      <c r="K341" s="2" t="s">
        <v>18412</v>
      </c>
    </row>
    <row r="342">
      <c r="A342" s="2" t="s">
        <v>4512</v>
      </c>
      <c r="B342" s="2" t="s">
        <v>18413</v>
      </c>
      <c r="C342" s="2">
        <v>1.701097331E9</v>
      </c>
      <c r="D342" s="2" t="s">
        <v>18414</v>
      </c>
      <c r="E342" s="2">
        <v>14727.0</v>
      </c>
      <c r="F342" s="2">
        <v>2439.0</v>
      </c>
      <c r="G342" s="2">
        <v>2075.0</v>
      </c>
      <c r="H342" s="2" t="s">
        <v>5906</v>
      </c>
      <c r="I342" s="2" t="s">
        <v>5906</v>
      </c>
      <c r="J342" s="2" t="s">
        <v>18415</v>
      </c>
      <c r="K342" s="2" t="s">
        <v>18416</v>
      </c>
      <c r="L342" s="10" t="s">
        <v>18417</v>
      </c>
    </row>
    <row r="343">
      <c r="A343" s="2" t="s">
        <v>4512</v>
      </c>
      <c r="B343" s="2" t="s">
        <v>18418</v>
      </c>
      <c r="C343" s="2">
        <v>7.308517417E9</v>
      </c>
      <c r="D343" s="2" t="s">
        <v>18419</v>
      </c>
      <c r="E343" s="2">
        <v>3599652.0</v>
      </c>
      <c r="F343" s="2">
        <v>8.0</v>
      </c>
      <c r="G343" s="2">
        <v>4465.0</v>
      </c>
      <c r="H343" s="2" t="s">
        <v>5906</v>
      </c>
      <c r="I343" s="2" t="s">
        <v>5905</v>
      </c>
      <c r="J343" s="2" t="s">
        <v>5959</v>
      </c>
      <c r="K343" s="2" t="s">
        <v>18420</v>
      </c>
      <c r="L343" s="10" t="s">
        <v>18421</v>
      </c>
    </row>
    <row r="344">
      <c r="A344" s="2" t="s">
        <v>4512</v>
      </c>
      <c r="B344" s="2" t="s">
        <v>18422</v>
      </c>
      <c r="C344" s="2">
        <v>2.381389188E9</v>
      </c>
      <c r="D344" s="2" t="s">
        <v>18423</v>
      </c>
      <c r="E344" s="2">
        <v>172430.0</v>
      </c>
      <c r="F344" s="2">
        <v>2764.0</v>
      </c>
      <c r="G344" s="2">
        <v>1416.0</v>
      </c>
      <c r="H344" s="2" t="s">
        <v>5906</v>
      </c>
      <c r="I344" s="2" t="s">
        <v>5905</v>
      </c>
      <c r="K344" s="2" t="s">
        <v>18424</v>
      </c>
      <c r="L344" s="10" t="s">
        <v>18425</v>
      </c>
    </row>
    <row r="345">
      <c r="A345" s="2" t="s">
        <v>3772</v>
      </c>
      <c r="B345" s="2" t="s">
        <v>18426</v>
      </c>
      <c r="C345" s="2">
        <v>1.921153437E9</v>
      </c>
      <c r="D345" s="2" t="s">
        <v>18427</v>
      </c>
      <c r="E345" s="2">
        <v>256633.0</v>
      </c>
      <c r="F345" s="2">
        <v>14.0</v>
      </c>
      <c r="G345" s="2">
        <v>1899.0</v>
      </c>
      <c r="H345" s="2" t="s">
        <v>5906</v>
      </c>
      <c r="I345" s="2" t="s">
        <v>5905</v>
      </c>
      <c r="J345" s="2" t="s">
        <v>5391</v>
      </c>
      <c r="K345" s="2" t="s">
        <v>18428</v>
      </c>
    </row>
    <row r="346">
      <c r="A346" s="2" t="s">
        <v>3772</v>
      </c>
      <c r="B346" s="2" t="s">
        <v>18429</v>
      </c>
      <c r="C346" s="2">
        <v>3.02134774E8</v>
      </c>
      <c r="D346" s="2" t="s">
        <v>18430</v>
      </c>
      <c r="E346" s="2">
        <v>1.2517027E7</v>
      </c>
      <c r="F346" s="2">
        <v>14.0</v>
      </c>
      <c r="G346" s="2">
        <v>2666.0</v>
      </c>
      <c r="H346" s="2" t="s">
        <v>5906</v>
      </c>
      <c r="I346" s="2" t="s">
        <v>5906</v>
      </c>
      <c r="K346" s="2" t="s">
        <v>18431</v>
      </c>
      <c r="L346" s="10" t="s">
        <v>18432</v>
      </c>
    </row>
    <row r="347">
      <c r="A347" s="2" t="s">
        <v>3772</v>
      </c>
      <c r="B347" s="10" t="s">
        <v>18433</v>
      </c>
      <c r="C347" s="2">
        <v>6.977949831E9</v>
      </c>
      <c r="D347" s="2" t="s">
        <v>18434</v>
      </c>
      <c r="E347" s="2">
        <v>17443.0</v>
      </c>
      <c r="F347" s="2">
        <v>157.0</v>
      </c>
      <c r="G347" s="2">
        <v>1993.0</v>
      </c>
      <c r="H347" s="2" t="s">
        <v>5905</v>
      </c>
      <c r="I347" s="2" t="s">
        <v>5905</v>
      </c>
      <c r="J347" s="2" t="s">
        <v>8615</v>
      </c>
      <c r="K347" s="12" t="s">
        <v>18435</v>
      </c>
    </row>
    <row r="348">
      <c r="A348" s="2" t="s">
        <v>3772</v>
      </c>
      <c r="B348" s="2" t="s">
        <v>18436</v>
      </c>
      <c r="C348" s="2">
        <v>8.297683954E9</v>
      </c>
      <c r="D348" s="2" t="s">
        <v>18437</v>
      </c>
      <c r="E348" s="2">
        <v>97845.0</v>
      </c>
      <c r="F348" s="2">
        <v>26.0</v>
      </c>
      <c r="G348" s="2">
        <v>1917.0</v>
      </c>
      <c r="H348" s="2" t="s">
        <v>5906</v>
      </c>
      <c r="I348" s="2" t="s">
        <v>5906</v>
      </c>
      <c r="K348" s="12" t="s">
        <v>18438</v>
      </c>
      <c r="L348" s="10" t="s">
        <v>18439</v>
      </c>
    </row>
    <row r="349">
      <c r="A349" s="2" t="s">
        <v>3772</v>
      </c>
      <c r="B349" s="2" t="s">
        <v>18440</v>
      </c>
      <c r="C349" s="2">
        <v>5.2681367839E10</v>
      </c>
      <c r="D349" s="2" t="s">
        <v>18441</v>
      </c>
      <c r="E349" s="2">
        <v>118468.0</v>
      </c>
      <c r="F349" s="2">
        <v>155.0</v>
      </c>
      <c r="G349" s="2">
        <v>1433.0</v>
      </c>
      <c r="H349" s="2" t="s">
        <v>5906</v>
      </c>
      <c r="I349" s="2" t="s">
        <v>5906</v>
      </c>
      <c r="J349" s="2" t="s">
        <v>10778</v>
      </c>
      <c r="K349" s="2" t="s">
        <v>18442</v>
      </c>
      <c r="L349" s="10" t="s">
        <v>18443</v>
      </c>
    </row>
    <row r="350">
      <c r="A350" s="2" t="s">
        <v>3772</v>
      </c>
      <c r="B350" s="2" t="s">
        <v>18444</v>
      </c>
      <c r="C350" s="2">
        <v>1.1440926593E10</v>
      </c>
      <c r="D350" s="2" t="s">
        <v>18445</v>
      </c>
      <c r="E350" s="2">
        <v>63944.0</v>
      </c>
      <c r="F350" s="2">
        <v>50.0</v>
      </c>
      <c r="G350" s="2">
        <v>2178.0</v>
      </c>
      <c r="H350" s="2" t="s">
        <v>5906</v>
      </c>
      <c r="I350" s="2" t="s">
        <v>5906</v>
      </c>
      <c r="K350" s="2" t="s">
        <v>18446</v>
      </c>
      <c r="L350" s="10" t="s">
        <v>18447</v>
      </c>
    </row>
    <row r="351">
      <c r="A351" s="2" t="s">
        <v>3772</v>
      </c>
      <c r="B351" s="2" t="s">
        <v>18448</v>
      </c>
      <c r="C351" s="2">
        <v>1.1767958949E10</v>
      </c>
      <c r="D351" s="2" t="s">
        <v>18449</v>
      </c>
      <c r="E351" s="2">
        <v>90629.0</v>
      </c>
      <c r="F351" s="2">
        <v>61.0</v>
      </c>
      <c r="G351" s="2">
        <v>1945.0</v>
      </c>
      <c r="H351" s="2" t="s">
        <v>5906</v>
      </c>
      <c r="I351" s="2" t="s">
        <v>5906</v>
      </c>
      <c r="K351" s="2" t="s">
        <v>18450</v>
      </c>
      <c r="L351" s="10" t="s">
        <v>18451</v>
      </c>
    </row>
    <row r="352">
      <c r="A352" s="2" t="s">
        <v>3772</v>
      </c>
      <c r="B352" s="2" t="s">
        <v>18452</v>
      </c>
      <c r="C352" s="2">
        <v>1.1467549443E10</v>
      </c>
      <c r="D352" s="2" t="s">
        <v>18453</v>
      </c>
      <c r="E352" s="2">
        <v>90386.0</v>
      </c>
      <c r="F352" s="2">
        <v>57.0</v>
      </c>
      <c r="G352" s="2">
        <v>2239.0</v>
      </c>
      <c r="H352" s="2" t="s">
        <v>5906</v>
      </c>
      <c r="I352" s="2" t="s">
        <v>5906</v>
      </c>
      <c r="K352" s="2" t="s">
        <v>18454</v>
      </c>
      <c r="L352" s="10" t="s">
        <v>18455</v>
      </c>
    </row>
    <row r="353">
      <c r="A353" s="2" t="s">
        <v>3772</v>
      </c>
      <c r="B353" s="2" t="s">
        <v>18456</v>
      </c>
      <c r="C353" s="2">
        <v>1.1433767227E10</v>
      </c>
      <c r="D353" s="2" t="s">
        <v>18457</v>
      </c>
      <c r="E353" s="2">
        <v>58746.0</v>
      </c>
      <c r="F353" s="2">
        <v>20.0</v>
      </c>
      <c r="G353" s="2">
        <v>1991.0</v>
      </c>
      <c r="H353" s="2" t="s">
        <v>5906</v>
      </c>
      <c r="I353" s="2" t="s">
        <v>5906</v>
      </c>
      <c r="K353" s="2" t="s">
        <v>18458</v>
      </c>
      <c r="L353" s="10" t="s">
        <v>18459</v>
      </c>
    </row>
    <row r="354">
      <c r="A354" s="2" t="s">
        <v>3772</v>
      </c>
      <c r="B354" s="2" t="s">
        <v>18460</v>
      </c>
      <c r="C354" s="2">
        <v>5.2692134615E10</v>
      </c>
      <c r="D354" s="2" t="s">
        <v>18461</v>
      </c>
      <c r="E354" s="2">
        <v>157081.0</v>
      </c>
      <c r="F354" s="2">
        <v>52.0</v>
      </c>
      <c r="G354" s="2">
        <v>1505.0</v>
      </c>
      <c r="H354" s="2" t="s">
        <v>5906</v>
      </c>
      <c r="I354" s="2" t="s">
        <v>5906</v>
      </c>
      <c r="J354" s="2" t="s">
        <v>8615</v>
      </c>
      <c r="K354" s="2" t="s">
        <v>18462</v>
      </c>
      <c r="L354" s="10" t="s">
        <v>18432</v>
      </c>
    </row>
    <row r="355">
      <c r="A355" s="2" t="s">
        <v>3772</v>
      </c>
      <c r="B355" s="2" t="s">
        <v>18463</v>
      </c>
      <c r="C355" s="2">
        <v>1.8357519187E10</v>
      </c>
      <c r="D355" s="2" t="s">
        <v>18464</v>
      </c>
      <c r="E355" s="2">
        <v>2717316.0</v>
      </c>
      <c r="F355" s="2">
        <v>6.0</v>
      </c>
      <c r="G355" s="2">
        <v>3271.0</v>
      </c>
      <c r="H355" s="2" t="s">
        <v>5906</v>
      </c>
      <c r="I355" s="2" t="s">
        <v>5906</v>
      </c>
      <c r="K355" s="2" t="s">
        <v>18465</v>
      </c>
      <c r="L355" s="10" t="s">
        <v>18466</v>
      </c>
    </row>
    <row r="356">
      <c r="A356" s="2" t="s">
        <v>3772</v>
      </c>
      <c r="B356" s="2" t="s">
        <v>18467</v>
      </c>
      <c r="C356" s="2">
        <v>2.0710831537E10</v>
      </c>
      <c r="D356" s="2" t="s">
        <v>18468</v>
      </c>
      <c r="E356" s="2">
        <v>273307.0</v>
      </c>
      <c r="F356" s="2">
        <v>10.0</v>
      </c>
      <c r="G356" s="2">
        <v>2453.0</v>
      </c>
      <c r="H356" s="2" t="s">
        <v>5905</v>
      </c>
      <c r="I356" s="2" t="s">
        <v>5906</v>
      </c>
      <c r="J356" s="2" t="s">
        <v>8615</v>
      </c>
      <c r="K356" s="2" t="s">
        <v>18469</v>
      </c>
      <c r="L356" s="10" t="s">
        <v>18470</v>
      </c>
    </row>
    <row r="357">
      <c r="A357" s="2" t="s">
        <v>3772</v>
      </c>
      <c r="B357" s="10" t="s">
        <v>18471</v>
      </c>
      <c r="C357" s="2">
        <v>2.943839055E9</v>
      </c>
      <c r="D357" s="12" t="s">
        <v>18472</v>
      </c>
      <c r="E357" s="2">
        <v>137344.0</v>
      </c>
      <c r="F357" s="2">
        <v>251.0</v>
      </c>
      <c r="G357" s="2">
        <v>8841.0</v>
      </c>
      <c r="H357" s="2" t="s">
        <v>5905</v>
      </c>
      <c r="I357" s="2" t="s">
        <v>5905</v>
      </c>
      <c r="J357" s="2" t="s">
        <v>13645</v>
      </c>
      <c r="K357" s="12" t="s">
        <v>18473</v>
      </c>
      <c r="L357" s="10" t="s">
        <v>18474</v>
      </c>
    </row>
    <row r="358">
      <c r="A358" s="2" t="s">
        <v>3772</v>
      </c>
      <c r="B358" s="2" t="s">
        <v>18475</v>
      </c>
      <c r="C358" s="2">
        <v>5.8211060111E10</v>
      </c>
      <c r="D358" s="2" t="s">
        <v>18476</v>
      </c>
      <c r="E358" s="2">
        <v>55838.0</v>
      </c>
      <c r="F358" s="2">
        <v>15.0</v>
      </c>
      <c r="G358" s="2">
        <v>187.0</v>
      </c>
      <c r="H358" s="2" t="s">
        <v>5906</v>
      </c>
      <c r="I358" s="2" t="s">
        <v>5906</v>
      </c>
      <c r="J358" s="2" t="s">
        <v>18477</v>
      </c>
      <c r="K358" s="2" t="s">
        <v>18478</v>
      </c>
      <c r="L358" s="10" t="s">
        <v>18479</v>
      </c>
    </row>
    <row r="359">
      <c r="A359" s="2" t="s">
        <v>3772</v>
      </c>
      <c r="B359" s="2" t="s">
        <v>18480</v>
      </c>
      <c r="C359" s="2">
        <v>2.209250906E9</v>
      </c>
      <c r="D359" s="2" t="s">
        <v>18481</v>
      </c>
      <c r="E359" s="2">
        <v>580404.0</v>
      </c>
      <c r="F359" s="2">
        <v>156.0</v>
      </c>
      <c r="G359" s="2">
        <v>4387.0</v>
      </c>
      <c r="H359" s="2" t="s">
        <v>5906</v>
      </c>
      <c r="I359" s="2" t="s">
        <v>5906</v>
      </c>
      <c r="J359" s="2" t="s">
        <v>6068</v>
      </c>
      <c r="K359" s="2" t="s">
        <v>18482</v>
      </c>
      <c r="L359" s="10" t="s">
        <v>18483</v>
      </c>
    </row>
    <row r="360">
      <c r="A360" s="2" t="s">
        <v>3772</v>
      </c>
      <c r="B360" s="2" t="s">
        <v>18484</v>
      </c>
      <c r="C360" s="2">
        <v>2.8250539087E10</v>
      </c>
      <c r="D360" s="2" t="s">
        <v>18485</v>
      </c>
      <c r="E360" s="2">
        <v>316807.0</v>
      </c>
      <c r="F360" s="2">
        <v>1.0</v>
      </c>
      <c r="G360" s="2">
        <v>3849.0</v>
      </c>
      <c r="H360" s="2" t="s">
        <v>5906</v>
      </c>
      <c r="I360" s="2" t="s">
        <v>5906</v>
      </c>
      <c r="K360" s="2" t="s">
        <v>18486</v>
      </c>
    </row>
    <row r="361">
      <c r="A361" s="2" t="s">
        <v>3772</v>
      </c>
      <c r="B361" s="2" t="s">
        <v>18487</v>
      </c>
      <c r="C361" s="2">
        <v>7.4431937417E10</v>
      </c>
      <c r="D361" s="2" t="s">
        <v>18488</v>
      </c>
      <c r="E361" s="2">
        <v>13414.0</v>
      </c>
      <c r="F361" s="2">
        <v>5.0</v>
      </c>
      <c r="G361" s="2">
        <v>70.0</v>
      </c>
      <c r="H361" s="2" t="s">
        <v>5906</v>
      </c>
      <c r="I361" s="2" t="s">
        <v>5906</v>
      </c>
      <c r="J361" s="2" t="s">
        <v>8615</v>
      </c>
      <c r="K361" s="2" t="s">
        <v>18489</v>
      </c>
      <c r="L361" s="10" t="s">
        <v>18490</v>
      </c>
    </row>
    <row r="362">
      <c r="A362" s="2" t="s">
        <v>4636</v>
      </c>
      <c r="B362" s="2" t="s">
        <v>18491</v>
      </c>
      <c r="C362" s="2">
        <v>4.657514272E9</v>
      </c>
      <c r="D362" s="2" t="s">
        <v>18492</v>
      </c>
      <c r="E362" s="2">
        <v>30630.0</v>
      </c>
      <c r="F362" s="2">
        <v>541.0</v>
      </c>
      <c r="G362" s="2">
        <v>1198.0</v>
      </c>
      <c r="H362" s="2" t="s">
        <v>5905</v>
      </c>
      <c r="I362" s="2" t="s">
        <v>5906</v>
      </c>
      <c r="J362" s="2" t="s">
        <v>17057</v>
      </c>
      <c r="K362" s="2" t="s">
        <v>18493</v>
      </c>
      <c r="L362" s="10" t="s">
        <v>18494</v>
      </c>
    </row>
    <row r="363">
      <c r="A363" s="2" t="s">
        <v>4636</v>
      </c>
      <c r="B363" s="2" t="s">
        <v>4636</v>
      </c>
      <c r="C363" s="2">
        <v>5.2562393887E10</v>
      </c>
      <c r="D363" s="2" t="s">
        <v>18495</v>
      </c>
      <c r="E363" s="2">
        <v>88950.0</v>
      </c>
      <c r="F363" s="2">
        <v>4284.0</v>
      </c>
      <c r="G363" s="2">
        <v>327.0</v>
      </c>
      <c r="H363" s="2" t="s">
        <v>5905</v>
      </c>
      <c r="I363" s="2" t="s">
        <v>5905</v>
      </c>
      <c r="J363" s="2" t="s">
        <v>7620</v>
      </c>
      <c r="K363" s="2" t="s">
        <v>18496</v>
      </c>
      <c r="L363" s="10" t="s">
        <v>18497</v>
      </c>
    </row>
    <row r="364">
      <c r="A364" s="2" t="s">
        <v>4636</v>
      </c>
      <c r="B364" s="2" t="s">
        <v>18498</v>
      </c>
      <c r="C364" s="2">
        <v>4.5448729567E10</v>
      </c>
      <c r="D364" s="2" t="s">
        <v>18499</v>
      </c>
      <c r="E364" s="2">
        <v>15640.0</v>
      </c>
      <c r="F364" s="2">
        <v>385.0</v>
      </c>
      <c r="G364" s="2">
        <v>471.0</v>
      </c>
      <c r="H364" s="2" t="s">
        <v>5905</v>
      </c>
      <c r="I364" s="2" t="s">
        <v>5906</v>
      </c>
      <c r="J364" s="2" t="s">
        <v>6002</v>
      </c>
      <c r="K364" s="2" t="s">
        <v>18500</v>
      </c>
      <c r="L364" s="10" t="s">
        <v>18501</v>
      </c>
    </row>
    <row r="365">
      <c r="A365" s="2" t="s">
        <v>4636</v>
      </c>
      <c r="B365" s="2" t="s">
        <v>18502</v>
      </c>
      <c r="C365" s="2">
        <v>3.15360059E8</v>
      </c>
      <c r="D365" s="2" t="s">
        <v>18503</v>
      </c>
      <c r="E365" s="2">
        <v>129473.0</v>
      </c>
      <c r="F365" s="2">
        <v>21.0</v>
      </c>
      <c r="G365" s="2">
        <v>333.0</v>
      </c>
      <c r="H365" s="2" t="s">
        <v>5905</v>
      </c>
      <c r="I365" s="2" t="s">
        <v>5905</v>
      </c>
      <c r="J365" s="2" t="s">
        <v>5959</v>
      </c>
      <c r="K365" s="2" t="s">
        <v>18504</v>
      </c>
    </row>
    <row r="366">
      <c r="A366" s="2" t="s">
        <v>4636</v>
      </c>
      <c r="B366" s="2" t="s">
        <v>18505</v>
      </c>
      <c r="C366" s="2">
        <v>4.6776346883E10</v>
      </c>
      <c r="E366" s="2">
        <v>292691.0</v>
      </c>
      <c r="F366" s="2">
        <v>0.0</v>
      </c>
      <c r="G366" s="2">
        <v>37.0</v>
      </c>
      <c r="H366" s="2" t="s">
        <v>5905</v>
      </c>
      <c r="I366" s="2" t="s">
        <v>5905</v>
      </c>
      <c r="J366" s="2" t="s">
        <v>5928</v>
      </c>
      <c r="K366" s="2" t="s">
        <v>18506</v>
      </c>
      <c r="L366" s="10" t="s">
        <v>18507</v>
      </c>
    </row>
    <row r="367">
      <c r="A367" s="2" t="s">
        <v>4636</v>
      </c>
      <c r="B367" s="2" t="s">
        <v>18508</v>
      </c>
      <c r="C367" s="2">
        <v>1.751474471E9</v>
      </c>
      <c r="D367" s="2" t="s">
        <v>18509</v>
      </c>
      <c r="E367" s="2">
        <v>18720.0</v>
      </c>
      <c r="F367" s="2">
        <v>4369.0</v>
      </c>
      <c r="G367" s="2">
        <v>426.0</v>
      </c>
      <c r="H367" s="2" t="s">
        <v>5906</v>
      </c>
      <c r="I367" s="2" t="s">
        <v>5905</v>
      </c>
      <c r="J367" s="2" t="s">
        <v>18510</v>
      </c>
      <c r="K367" s="2" t="s">
        <v>18511</v>
      </c>
      <c r="L367" s="10" t="s">
        <v>18512</v>
      </c>
    </row>
    <row r="368">
      <c r="A368" s="2" t="s">
        <v>4636</v>
      </c>
      <c r="B368" s="2" t="s">
        <v>18513</v>
      </c>
      <c r="C368" s="2">
        <v>1.1699916288E10</v>
      </c>
      <c r="D368" s="2" t="s">
        <v>18514</v>
      </c>
      <c r="E368" s="2">
        <v>23325.0</v>
      </c>
      <c r="F368" s="2">
        <v>2204.0</v>
      </c>
      <c r="G368" s="2">
        <v>1063.0</v>
      </c>
      <c r="H368" s="2" t="s">
        <v>5905</v>
      </c>
      <c r="I368" s="2" t="s">
        <v>5906</v>
      </c>
      <c r="J368" s="2" t="s">
        <v>18510</v>
      </c>
      <c r="K368" s="2" t="s">
        <v>18515</v>
      </c>
      <c r="L368" s="10" t="s">
        <v>18516</v>
      </c>
    </row>
    <row r="369">
      <c r="A369" s="2" t="s">
        <v>4636</v>
      </c>
      <c r="B369" s="2" t="s">
        <v>18517</v>
      </c>
      <c r="C369" s="2">
        <v>1.550667028E9</v>
      </c>
      <c r="D369" s="2" t="s">
        <v>18518</v>
      </c>
      <c r="E369" s="2">
        <v>613062.0</v>
      </c>
      <c r="F369" s="2">
        <v>3784.0</v>
      </c>
      <c r="G369" s="2">
        <v>4653.0</v>
      </c>
      <c r="H369" s="2" t="s">
        <v>5906</v>
      </c>
      <c r="I369" s="2" t="s">
        <v>5906</v>
      </c>
      <c r="J369" s="2" t="s">
        <v>4996</v>
      </c>
      <c r="K369" s="2" t="s">
        <v>18519</v>
      </c>
      <c r="L369" s="10" t="s">
        <v>18520</v>
      </c>
    </row>
    <row r="370">
      <c r="A370" s="2" t="s">
        <v>4636</v>
      </c>
      <c r="B370" s="2" t="s">
        <v>18521</v>
      </c>
      <c r="C370" s="2">
        <v>4.7634689E8</v>
      </c>
      <c r="D370" s="2" t="s">
        <v>18522</v>
      </c>
      <c r="E370" s="2">
        <v>436960.0</v>
      </c>
      <c r="F370" s="2">
        <v>955.0</v>
      </c>
      <c r="G370" s="2">
        <v>2503.0</v>
      </c>
      <c r="H370" s="2" t="s">
        <v>5906</v>
      </c>
      <c r="I370" s="2" t="s">
        <v>5906</v>
      </c>
      <c r="J370" s="2" t="s">
        <v>18523</v>
      </c>
      <c r="K370" s="2" t="s">
        <v>18524</v>
      </c>
      <c r="L370" s="10" t="s">
        <v>18525</v>
      </c>
    </row>
    <row r="371">
      <c r="A371" s="2" t="s">
        <v>4636</v>
      </c>
      <c r="B371" s="2" t="s">
        <v>18526</v>
      </c>
      <c r="C371" s="2">
        <v>1.299559E7</v>
      </c>
      <c r="D371" s="2" t="s">
        <v>18527</v>
      </c>
      <c r="E371" s="2">
        <v>19059.0</v>
      </c>
      <c r="F371" s="2">
        <v>14.0</v>
      </c>
      <c r="G371" s="2">
        <v>2236.0</v>
      </c>
      <c r="H371" s="2" t="s">
        <v>5905</v>
      </c>
      <c r="I371" s="2" t="s">
        <v>5906</v>
      </c>
      <c r="J371" s="2" t="s">
        <v>5391</v>
      </c>
      <c r="K371" s="2" t="s">
        <v>18528</v>
      </c>
      <c r="L371" s="10" t="s">
        <v>18529</v>
      </c>
    </row>
    <row r="372">
      <c r="A372" s="2" t="s">
        <v>4636</v>
      </c>
      <c r="B372" s="2" t="s">
        <v>18530</v>
      </c>
      <c r="C372" s="2">
        <v>4.8657325E7</v>
      </c>
      <c r="D372" s="2" t="s">
        <v>18531</v>
      </c>
      <c r="E372" s="2">
        <v>295077.0</v>
      </c>
      <c r="F372" s="2">
        <v>937.0</v>
      </c>
      <c r="G372" s="2">
        <v>1578.0</v>
      </c>
      <c r="H372" s="2" t="s">
        <v>5906</v>
      </c>
      <c r="I372" s="2" t="s">
        <v>5905</v>
      </c>
      <c r="J372" s="2" t="s">
        <v>6393</v>
      </c>
      <c r="K372" s="2" t="s">
        <v>18532</v>
      </c>
      <c r="L372" s="10" t="s">
        <v>18533</v>
      </c>
    </row>
    <row r="373">
      <c r="A373" s="2" t="s">
        <v>4636</v>
      </c>
      <c r="B373" s="2" t="s">
        <v>18534</v>
      </c>
      <c r="C373" s="2">
        <v>6.837855154E9</v>
      </c>
      <c r="D373" s="2" t="s">
        <v>18535</v>
      </c>
      <c r="E373" s="2">
        <v>217747.0</v>
      </c>
      <c r="F373" s="2">
        <v>651.0</v>
      </c>
      <c r="G373" s="2">
        <v>3927.0</v>
      </c>
      <c r="H373" s="2" t="s">
        <v>5906</v>
      </c>
      <c r="I373" s="2" t="s">
        <v>5906</v>
      </c>
      <c r="J373" s="2" t="s">
        <v>5561</v>
      </c>
      <c r="K373" s="2" t="s">
        <v>18536</v>
      </c>
      <c r="L373" s="10" t="s">
        <v>18537</v>
      </c>
    </row>
    <row r="374">
      <c r="A374" s="2" t="s">
        <v>4636</v>
      </c>
      <c r="B374" s="2" t="s">
        <v>18538</v>
      </c>
      <c r="C374" s="2">
        <v>3.162117205E10</v>
      </c>
      <c r="D374" s="2" t="s">
        <v>18539</v>
      </c>
      <c r="E374" s="2">
        <v>83249.0</v>
      </c>
      <c r="F374" s="2">
        <v>1744.0</v>
      </c>
      <c r="G374" s="2">
        <v>853.0</v>
      </c>
      <c r="H374" s="2" t="s">
        <v>5906</v>
      </c>
      <c r="I374" s="2" t="s">
        <v>5905</v>
      </c>
      <c r="J374" s="2" t="s">
        <v>6393</v>
      </c>
      <c r="K374" s="2" t="s">
        <v>18540</v>
      </c>
      <c r="L374" s="10" t="s">
        <v>18541</v>
      </c>
    </row>
    <row r="375">
      <c r="A375" s="2" t="s">
        <v>4636</v>
      </c>
      <c r="B375" s="2" t="s">
        <v>18542</v>
      </c>
      <c r="C375" s="2">
        <v>2.8188018492E10</v>
      </c>
      <c r="D375" s="2" t="s">
        <v>18543</v>
      </c>
      <c r="E375" s="2">
        <v>25337.0</v>
      </c>
      <c r="F375" s="2">
        <v>494.0</v>
      </c>
      <c r="G375" s="2">
        <v>1532.0</v>
      </c>
      <c r="H375" s="2" t="s">
        <v>5905</v>
      </c>
      <c r="I375" s="2" t="s">
        <v>5905</v>
      </c>
      <c r="J375" s="2" t="s">
        <v>5561</v>
      </c>
      <c r="K375" s="2" t="s">
        <v>18544</v>
      </c>
      <c r="L375" s="10" t="s">
        <v>18545</v>
      </c>
    </row>
    <row r="376">
      <c r="A376" s="2" t="s">
        <v>4599</v>
      </c>
      <c r="B376" s="2" t="s">
        <v>18546</v>
      </c>
      <c r="C376" s="2">
        <v>3.2505909416E10</v>
      </c>
      <c r="D376" s="2" t="s">
        <v>18547</v>
      </c>
      <c r="E376" s="2">
        <v>143923.0</v>
      </c>
      <c r="F376" s="2">
        <v>149.0</v>
      </c>
      <c r="G376" s="2">
        <v>1566.0</v>
      </c>
      <c r="H376" s="2" t="s">
        <v>5905</v>
      </c>
      <c r="I376" s="2" t="s">
        <v>5905</v>
      </c>
      <c r="K376" s="2" t="s">
        <v>18548</v>
      </c>
    </row>
    <row r="377">
      <c r="A377" s="2" t="s">
        <v>4599</v>
      </c>
      <c r="B377" s="2" t="s">
        <v>18549</v>
      </c>
      <c r="C377" s="2">
        <v>4.75483923E8</v>
      </c>
      <c r="D377" s="2" t="s">
        <v>18550</v>
      </c>
      <c r="E377" s="2">
        <v>425087.0</v>
      </c>
      <c r="F377" s="2">
        <v>97.0</v>
      </c>
      <c r="G377" s="2">
        <v>3656.0</v>
      </c>
      <c r="H377" s="2" t="s">
        <v>5905</v>
      </c>
      <c r="I377" s="2" t="s">
        <v>5905</v>
      </c>
      <c r="J377" s="2" t="s">
        <v>5959</v>
      </c>
      <c r="K377" s="2" t="s">
        <v>18551</v>
      </c>
      <c r="L377" s="10" t="s">
        <v>18552</v>
      </c>
    </row>
    <row r="378">
      <c r="A378" s="2" t="s">
        <v>4599</v>
      </c>
      <c r="B378" s="2" t="s">
        <v>18553</v>
      </c>
      <c r="C378" s="2">
        <v>4.6168579423E10</v>
      </c>
      <c r="D378" s="2" t="s">
        <v>18554</v>
      </c>
      <c r="E378" s="2">
        <v>22401.0</v>
      </c>
      <c r="F378" s="2">
        <v>96.0</v>
      </c>
      <c r="G378" s="2">
        <v>64.0</v>
      </c>
      <c r="H378" s="2" t="s">
        <v>5905</v>
      </c>
      <c r="I378" s="2" t="s">
        <v>5906</v>
      </c>
      <c r="J378" s="2" t="s">
        <v>5556</v>
      </c>
      <c r="K378" s="2" t="s">
        <v>18555</v>
      </c>
      <c r="L378" s="10" t="s">
        <v>18556</v>
      </c>
    </row>
    <row r="379">
      <c r="A379" s="2" t="s">
        <v>4599</v>
      </c>
      <c r="B379" s="2" t="s">
        <v>18557</v>
      </c>
      <c r="C379" s="2">
        <v>6.2937987089E10</v>
      </c>
      <c r="D379" s="2" t="s">
        <v>18558</v>
      </c>
      <c r="E379" s="2">
        <v>13169.0</v>
      </c>
      <c r="F379" s="2">
        <v>1.0</v>
      </c>
      <c r="G379" s="2">
        <v>91.0</v>
      </c>
      <c r="H379" s="2" t="s">
        <v>5905</v>
      </c>
      <c r="I379" s="2" t="s">
        <v>5906</v>
      </c>
      <c r="J379" s="2" t="s">
        <v>6166</v>
      </c>
      <c r="K379" s="2" t="s">
        <v>18559</v>
      </c>
      <c r="L379" s="10" t="s">
        <v>18560</v>
      </c>
    </row>
    <row r="380">
      <c r="A380" s="2" t="s">
        <v>4599</v>
      </c>
      <c r="B380" s="2" t="s">
        <v>18561</v>
      </c>
      <c r="C380" s="2">
        <v>3.0635525E7</v>
      </c>
      <c r="D380" s="2" t="s">
        <v>18562</v>
      </c>
      <c r="E380" s="2">
        <v>73401.0</v>
      </c>
      <c r="F380" s="2">
        <v>201.0</v>
      </c>
      <c r="G380" s="2">
        <v>2519.0</v>
      </c>
      <c r="H380" s="2" t="s">
        <v>5905</v>
      </c>
      <c r="I380" s="2" t="s">
        <v>5905</v>
      </c>
      <c r="J380" s="2" t="s">
        <v>5959</v>
      </c>
      <c r="K380" s="2" t="s">
        <v>18563</v>
      </c>
      <c r="L380" s="10" t="s">
        <v>18564</v>
      </c>
    </row>
    <row r="381">
      <c r="A381" s="2" t="s">
        <v>4599</v>
      </c>
      <c r="B381" s="2" t="s">
        <v>18565</v>
      </c>
      <c r="C381" s="2">
        <v>1.1156127694E10</v>
      </c>
      <c r="D381" s="2" t="s">
        <v>18566</v>
      </c>
      <c r="E381" s="2">
        <v>39321.0</v>
      </c>
      <c r="F381" s="2">
        <v>7480.0</v>
      </c>
      <c r="G381" s="2">
        <v>2320.0</v>
      </c>
      <c r="H381" s="2" t="s">
        <v>5905</v>
      </c>
      <c r="I381" s="2" t="s">
        <v>5905</v>
      </c>
      <c r="J381" s="2" t="s">
        <v>6393</v>
      </c>
      <c r="K381" s="2" t="s">
        <v>18567</v>
      </c>
      <c r="L381" s="10" t="s">
        <v>18568</v>
      </c>
    </row>
    <row r="382">
      <c r="A382" s="2" t="s">
        <v>4599</v>
      </c>
      <c r="B382" s="2" t="s">
        <v>18569</v>
      </c>
      <c r="C382" s="2">
        <v>2.47243853E9</v>
      </c>
      <c r="D382" s="2" t="s">
        <v>18570</v>
      </c>
      <c r="E382" s="2">
        <v>155141.0</v>
      </c>
      <c r="F382" s="2">
        <v>192.0</v>
      </c>
      <c r="G382" s="2">
        <v>3496.0</v>
      </c>
      <c r="H382" s="2" t="s">
        <v>5905</v>
      </c>
      <c r="I382" s="2" t="s">
        <v>5905</v>
      </c>
      <c r="J382" s="2" t="s">
        <v>5968</v>
      </c>
      <c r="K382" s="2" t="s">
        <v>18571</v>
      </c>
      <c r="L382" s="10" t="s">
        <v>18572</v>
      </c>
    </row>
    <row r="383">
      <c r="A383" s="2" t="s">
        <v>4599</v>
      </c>
      <c r="B383" s="2" t="s">
        <v>18573</v>
      </c>
      <c r="C383" s="2">
        <v>1.2085298086E10</v>
      </c>
      <c r="D383" s="2" t="s">
        <v>18574</v>
      </c>
      <c r="E383" s="2">
        <v>83074.0</v>
      </c>
      <c r="F383" s="2">
        <v>1196.0</v>
      </c>
      <c r="G383" s="2">
        <v>1006.0</v>
      </c>
      <c r="H383" s="2" t="s">
        <v>5905</v>
      </c>
      <c r="I383" s="2" t="s">
        <v>5905</v>
      </c>
      <c r="J383" s="2" t="s">
        <v>5492</v>
      </c>
      <c r="K383" s="2" t="s">
        <v>18575</v>
      </c>
      <c r="L383" s="10" t="s">
        <v>18576</v>
      </c>
    </row>
    <row r="384">
      <c r="A384" s="2" t="s">
        <v>4620</v>
      </c>
      <c r="B384" s="2" t="s">
        <v>18577</v>
      </c>
      <c r="C384" s="2">
        <v>5.3336065697E10</v>
      </c>
      <c r="D384" s="2" t="s">
        <v>18578</v>
      </c>
      <c r="E384" s="2">
        <v>2264405.0</v>
      </c>
      <c r="F384" s="2">
        <v>863.0</v>
      </c>
      <c r="G384" s="2">
        <v>1032.0</v>
      </c>
      <c r="H384" s="2" t="s">
        <v>5906</v>
      </c>
      <c r="I384" s="2" t="s">
        <v>5905</v>
      </c>
      <c r="J384" s="2" t="s">
        <v>5959</v>
      </c>
      <c r="K384" s="2" t="s">
        <v>18579</v>
      </c>
      <c r="L384" s="10" t="s">
        <v>18580</v>
      </c>
    </row>
    <row r="385">
      <c r="A385" s="2" t="s">
        <v>4620</v>
      </c>
      <c r="B385" s="2" t="s">
        <v>18581</v>
      </c>
      <c r="C385" s="2">
        <v>7.106399204E10</v>
      </c>
      <c r="D385" s="2" t="s">
        <v>18582</v>
      </c>
      <c r="E385" s="2">
        <v>12670.0</v>
      </c>
      <c r="F385" s="2">
        <v>332.0</v>
      </c>
      <c r="G385" s="2">
        <v>93.0</v>
      </c>
      <c r="H385" s="2" t="s">
        <v>5906</v>
      </c>
      <c r="I385" s="2" t="s">
        <v>5905</v>
      </c>
      <c r="J385" s="2" t="s">
        <v>5968</v>
      </c>
      <c r="K385" s="2" t="s">
        <v>18583</v>
      </c>
      <c r="L385" s="10" t="s">
        <v>18584</v>
      </c>
    </row>
    <row r="386">
      <c r="A386" s="2" t="s">
        <v>4620</v>
      </c>
      <c r="B386" s="2" t="s">
        <v>18585</v>
      </c>
      <c r="C386" s="2">
        <v>2.04749253E8</v>
      </c>
      <c r="D386" s="2" t="s">
        <v>18586</v>
      </c>
      <c r="E386" s="2">
        <v>253117.0</v>
      </c>
      <c r="F386" s="2">
        <v>523.0</v>
      </c>
      <c r="G386" s="2">
        <v>6601.0</v>
      </c>
      <c r="H386" s="2" t="s">
        <v>5906</v>
      </c>
      <c r="I386" s="2" t="s">
        <v>5906</v>
      </c>
      <c r="J386" s="2" t="s">
        <v>5968</v>
      </c>
      <c r="K386" s="2" t="s">
        <v>18587</v>
      </c>
      <c r="L386" s="10" t="s">
        <v>18588</v>
      </c>
    </row>
    <row r="387">
      <c r="A387" s="2" t="s">
        <v>4763</v>
      </c>
      <c r="B387" s="2" t="s">
        <v>18589</v>
      </c>
      <c r="C387" s="2">
        <v>4.00439599E9</v>
      </c>
      <c r="D387" s="2" t="s">
        <v>18590</v>
      </c>
      <c r="E387" s="2">
        <v>54667.0</v>
      </c>
      <c r="F387" s="2">
        <v>221.0</v>
      </c>
      <c r="G387" s="2">
        <v>3279.0</v>
      </c>
      <c r="H387" s="2" t="s">
        <v>5905</v>
      </c>
      <c r="I387" s="2" t="s">
        <v>5905</v>
      </c>
      <c r="J387" s="2" t="s">
        <v>5968</v>
      </c>
      <c r="K387" s="2" t="s">
        <v>18591</v>
      </c>
      <c r="L387" s="10" t="s">
        <v>18592</v>
      </c>
    </row>
    <row r="388">
      <c r="A388" s="2" t="s">
        <v>4715</v>
      </c>
      <c r="B388" s="2" t="s">
        <v>18593</v>
      </c>
      <c r="C388" s="2">
        <v>5.1717732E7</v>
      </c>
      <c r="D388" s="2" t="s">
        <v>18594</v>
      </c>
      <c r="E388" s="2">
        <v>543186.0</v>
      </c>
      <c r="F388" s="2">
        <v>26.0</v>
      </c>
      <c r="G388" s="2">
        <v>8943.0</v>
      </c>
      <c r="H388" s="2" t="s">
        <v>5905</v>
      </c>
      <c r="I388" s="2" t="s">
        <v>5906</v>
      </c>
      <c r="J388" s="2" t="s">
        <v>5561</v>
      </c>
      <c r="L388" s="10" t="s">
        <v>18595</v>
      </c>
    </row>
    <row r="389">
      <c r="A389" s="2" t="s">
        <v>4715</v>
      </c>
      <c r="B389" s="2" t="s">
        <v>18596</v>
      </c>
      <c r="C389" s="2">
        <v>8.708925595E9</v>
      </c>
      <c r="D389" s="2" t="s">
        <v>15538</v>
      </c>
      <c r="E389" s="2">
        <v>21718.0</v>
      </c>
      <c r="F389" s="2">
        <v>873.0</v>
      </c>
      <c r="G389" s="2">
        <v>657.0</v>
      </c>
      <c r="H389" s="2" t="s">
        <v>5905</v>
      </c>
      <c r="I389" s="2" t="s">
        <v>5906</v>
      </c>
      <c r="J389" s="2" t="s">
        <v>5963</v>
      </c>
      <c r="K389" s="2" t="s">
        <v>18597</v>
      </c>
    </row>
    <row r="390">
      <c r="A390" s="2" t="s">
        <v>4715</v>
      </c>
      <c r="B390" s="2" t="s">
        <v>18598</v>
      </c>
      <c r="C390" s="2">
        <v>1.4658431555E10</v>
      </c>
      <c r="D390" s="2" t="s">
        <v>15538</v>
      </c>
      <c r="E390" s="2">
        <v>15385.0</v>
      </c>
      <c r="F390" s="2">
        <v>7498.0</v>
      </c>
      <c r="G390" s="2">
        <v>1793.0</v>
      </c>
      <c r="H390" s="2" t="s">
        <v>5905</v>
      </c>
      <c r="I390" s="2" t="s">
        <v>5906</v>
      </c>
      <c r="J390" s="2" t="s">
        <v>18599</v>
      </c>
      <c r="K390" s="2" t="s">
        <v>18600</v>
      </c>
      <c r="L390" s="10" t="s">
        <v>18601</v>
      </c>
    </row>
    <row r="391">
      <c r="A391" s="2" t="s">
        <v>4715</v>
      </c>
      <c r="B391" s="2" t="s">
        <v>18602</v>
      </c>
      <c r="C391" s="2">
        <v>8052122.0</v>
      </c>
      <c r="D391" s="2" t="s">
        <v>18603</v>
      </c>
      <c r="E391" s="2">
        <v>1459214.0</v>
      </c>
      <c r="F391" s="2">
        <v>293.0</v>
      </c>
      <c r="G391" s="2">
        <v>8179.0</v>
      </c>
      <c r="H391" s="2" t="s">
        <v>5905</v>
      </c>
      <c r="I391" s="2" t="s">
        <v>5905</v>
      </c>
      <c r="J391" s="2" t="s">
        <v>5492</v>
      </c>
      <c r="K391" s="2" t="s">
        <v>18604</v>
      </c>
      <c r="L391" s="10" t="s">
        <v>18605</v>
      </c>
    </row>
    <row r="392">
      <c r="A392" s="2" t="s">
        <v>4715</v>
      </c>
      <c r="B392" s="2" t="s">
        <v>15537</v>
      </c>
      <c r="C392" s="2">
        <v>7013409.0</v>
      </c>
      <c r="D392" s="2" t="s">
        <v>15538</v>
      </c>
      <c r="E392" s="2">
        <v>1.2859675E7</v>
      </c>
      <c r="F392" s="2">
        <v>7.0</v>
      </c>
      <c r="G392" s="2">
        <v>18018.0</v>
      </c>
      <c r="H392" s="2" t="s">
        <v>5906</v>
      </c>
      <c r="I392" s="2" t="s">
        <v>5906</v>
      </c>
      <c r="K392" s="2" t="s">
        <v>15539</v>
      </c>
      <c r="L392" s="10" t="s">
        <v>15540</v>
      </c>
    </row>
    <row r="393">
      <c r="A393" s="2" t="s">
        <v>4715</v>
      </c>
      <c r="B393" s="2" t="s">
        <v>18606</v>
      </c>
      <c r="C393" s="2">
        <v>1.503969235E9</v>
      </c>
      <c r="D393" s="2" t="s">
        <v>15538</v>
      </c>
      <c r="E393" s="2">
        <v>1409184.0</v>
      </c>
      <c r="F393" s="2">
        <v>27.0</v>
      </c>
      <c r="G393" s="2">
        <v>2873.0</v>
      </c>
      <c r="H393" s="2" t="s">
        <v>5905</v>
      </c>
      <c r="I393" s="2" t="s">
        <v>5906</v>
      </c>
      <c r="J393" s="2" t="s">
        <v>6393</v>
      </c>
      <c r="K393" s="2" t="s">
        <v>18607</v>
      </c>
      <c r="L393" s="10" t="s">
        <v>18608</v>
      </c>
    </row>
    <row r="394">
      <c r="A394" s="2" t="s">
        <v>4715</v>
      </c>
      <c r="B394" s="2" t="s">
        <v>18609</v>
      </c>
      <c r="C394" s="2">
        <v>7.97589036E9</v>
      </c>
      <c r="D394" s="2" t="s">
        <v>18610</v>
      </c>
      <c r="E394" s="2">
        <v>230669.0</v>
      </c>
      <c r="F394" s="2">
        <v>7.0</v>
      </c>
      <c r="G394" s="2">
        <v>1822.0</v>
      </c>
      <c r="H394" s="2" t="s">
        <v>5905</v>
      </c>
      <c r="I394" s="2" t="s">
        <v>5905</v>
      </c>
      <c r="J394" s="2" t="s">
        <v>6393</v>
      </c>
      <c r="K394" s="2" t="s">
        <v>18611</v>
      </c>
      <c r="L394" s="10" t="s">
        <v>18612</v>
      </c>
    </row>
    <row r="395">
      <c r="A395" s="2" t="s">
        <v>4715</v>
      </c>
      <c r="B395" s="2" t="s">
        <v>18613</v>
      </c>
      <c r="C395" s="2">
        <v>3.636715941E9</v>
      </c>
      <c r="D395" s="2" t="s">
        <v>18614</v>
      </c>
      <c r="E395" s="2">
        <v>1015262.0</v>
      </c>
      <c r="F395" s="2">
        <v>7.0</v>
      </c>
      <c r="G395" s="2">
        <v>4024.0</v>
      </c>
      <c r="H395" s="2" t="s">
        <v>5905</v>
      </c>
      <c r="I395" s="2" t="s">
        <v>5906</v>
      </c>
      <c r="J395" s="2" t="s">
        <v>5561</v>
      </c>
      <c r="K395" s="2" t="s">
        <v>18615</v>
      </c>
      <c r="L395" s="10" t="s">
        <v>18616</v>
      </c>
    </row>
    <row r="396">
      <c r="A396" s="2" t="s">
        <v>4454</v>
      </c>
      <c r="B396" s="2" t="s">
        <v>4454</v>
      </c>
      <c r="C396" s="2">
        <v>7.792685922E9</v>
      </c>
      <c r="D396" s="2" t="s">
        <v>18617</v>
      </c>
      <c r="E396" s="2">
        <v>34182.0</v>
      </c>
      <c r="F396" s="2">
        <v>56.0</v>
      </c>
      <c r="G396" s="2">
        <v>160.0</v>
      </c>
      <c r="H396" s="2" t="s">
        <v>5905</v>
      </c>
      <c r="I396" s="2" t="s">
        <v>5905</v>
      </c>
      <c r="K396" s="2" t="s">
        <v>18618</v>
      </c>
    </row>
    <row r="397">
      <c r="A397" s="2" t="s">
        <v>4454</v>
      </c>
      <c r="B397" s="2" t="s">
        <v>18619</v>
      </c>
      <c r="C397" s="2">
        <v>2.66625058E8</v>
      </c>
      <c r="D397" s="2" t="s">
        <v>18620</v>
      </c>
      <c r="E397" s="2">
        <v>52140.0</v>
      </c>
      <c r="F397" s="2">
        <v>7.0</v>
      </c>
      <c r="G397" s="2">
        <v>397.0</v>
      </c>
      <c r="H397" s="2" t="s">
        <v>5905</v>
      </c>
      <c r="I397" s="2" t="s">
        <v>5906</v>
      </c>
      <c r="J397" s="2" t="s">
        <v>6111</v>
      </c>
      <c r="K397" s="2" t="s">
        <v>18621</v>
      </c>
      <c r="L397" s="10" t="s">
        <v>18622</v>
      </c>
    </row>
    <row r="398">
      <c r="A398" s="2" t="s">
        <v>4454</v>
      </c>
      <c r="B398" s="2" t="s">
        <v>18623</v>
      </c>
      <c r="C398" s="2">
        <v>5.62421485E8</v>
      </c>
      <c r="D398" s="2" t="s">
        <v>18624</v>
      </c>
      <c r="E398" s="2">
        <v>20933.0</v>
      </c>
      <c r="F398" s="2">
        <v>1292.0</v>
      </c>
      <c r="G398" s="2">
        <v>2140.0</v>
      </c>
      <c r="H398" s="2" t="s">
        <v>5905</v>
      </c>
      <c r="I398" s="2" t="s">
        <v>5906</v>
      </c>
      <c r="K398" s="2" t="s">
        <v>18625</v>
      </c>
      <c r="L398" s="10" t="s">
        <v>18626</v>
      </c>
    </row>
    <row r="399">
      <c r="A399" s="2" t="s">
        <v>4481</v>
      </c>
      <c r="B399" s="2" t="s">
        <v>18627</v>
      </c>
      <c r="C399" s="2">
        <v>7.795335458E9</v>
      </c>
      <c r="D399" s="2" t="s">
        <v>18628</v>
      </c>
      <c r="E399" s="2">
        <v>709007.0</v>
      </c>
      <c r="F399" s="2">
        <v>240.0</v>
      </c>
      <c r="G399" s="2">
        <v>840.0</v>
      </c>
      <c r="H399" s="2" t="s">
        <v>5905</v>
      </c>
      <c r="I399" s="2" t="s">
        <v>5906</v>
      </c>
      <c r="J399" s="2" t="s">
        <v>5561</v>
      </c>
      <c r="K399" s="2" t="s">
        <v>18629</v>
      </c>
      <c r="L399" s="10" t="s">
        <v>18630</v>
      </c>
    </row>
    <row r="400">
      <c r="A400" s="2" t="s">
        <v>4481</v>
      </c>
      <c r="B400" s="2" t="s">
        <v>18631</v>
      </c>
      <c r="C400" s="2">
        <v>5.793435287E9</v>
      </c>
      <c r="D400" s="2" t="s">
        <v>18632</v>
      </c>
      <c r="E400" s="2">
        <v>432222.0</v>
      </c>
      <c r="F400" s="2">
        <v>15.0</v>
      </c>
      <c r="G400" s="2">
        <v>601.0</v>
      </c>
      <c r="H400" s="2" t="s">
        <v>5906</v>
      </c>
      <c r="I400" s="2" t="s">
        <v>5906</v>
      </c>
      <c r="J400" s="2" t="s">
        <v>5561</v>
      </c>
      <c r="K400" s="2" t="s">
        <v>18633</v>
      </c>
    </row>
    <row r="401">
      <c r="A401" s="2" t="s">
        <v>4481</v>
      </c>
      <c r="B401" s="2" t="s">
        <v>18634</v>
      </c>
      <c r="C401" s="2">
        <v>3.060785708E9</v>
      </c>
      <c r="D401" s="2" t="s">
        <v>18635</v>
      </c>
      <c r="E401" s="2">
        <v>69220.0</v>
      </c>
      <c r="F401" s="2">
        <v>390.0</v>
      </c>
      <c r="G401" s="2">
        <v>1676.0</v>
      </c>
      <c r="H401" s="2" t="s">
        <v>5906</v>
      </c>
      <c r="I401" s="2" t="s">
        <v>5906</v>
      </c>
      <c r="J401" s="2" t="s">
        <v>5968</v>
      </c>
      <c r="K401" s="2" t="s">
        <v>18636</v>
      </c>
      <c r="L401" s="10" t="s">
        <v>18637</v>
      </c>
    </row>
    <row r="402">
      <c r="A402" s="2" t="s">
        <v>4481</v>
      </c>
      <c r="B402" s="2" t="s">
        <v>18638</v>
      </c>
      <c r="C402" s="2">
        <v>1.2380861596E10</v>
      </c>
      <c r="D402" s="2" t="s">
        <v>18639</v>
      </c>
      <c r="E402" s="2">
        <v>446487.0</v>
      </c>
      <c r="F402" s="2">
        <v>932.0</v>
      </c>
      <c r="G402" s="2">
        <v>2373.0</v>
      </c>
      <c r="H402" s="2" t="s">
        <v>5905</v>
      </c>
      <c r="I402" s="2" t="s">
        <v>5906</v>
      </c>
      <c r="K402" s="2" t="s">
        <v>18640</v>
      </c>
      <c r="L402" s="10" t="s">
        <v>18641</v>
      </c>
    </row>
    <row r="403">
      <c r="A403" s="2" t="s">
        <v>4481</v>
      </c>
      <c r="B403" s="2" t="s">
        <v>18642</v>
      </c>
      <c r="C403" s="2">
        <v>7.2019263018E10</v>
      </c>
      <c r="D403" s="2" t="s">
        <v>18643</v>
      </c>
      <c r="E403" s="2">
        <v>29833.0</v>
      </c>
      <c r="F403" s="2">
        <v>0.0</v>
      </c>
      <c r="G403" s="2">
        <v>48.0</v>
      </c>
      <c r="H403" s="2" t="s">
        <v>5905</v>
      </c>
      <c r="I403" s="2" t="s">
        <v>5905</v>
      </c>
      <c r="J403" s="2" t="s">
        <v>5993</v>
      </c>
      <c r="K403" s="2" t="s">
        <v>18644</v>
      </c>
      <c r="L403" s="10" t="s">
        <v>18645</v>
      </c>
    </row>
    <row r="404">
      <c r="A404" s="2" t="s">
        <v>4481</v>
      </c>
      <c r="B404" s="2" t="s">
        <v>18646</v>
      </c>
      <c r="C404" s="2">
        <v>4.048680273E9</v>
      </c>
      <c r="D404" s="2" t="s">
        <v>18647</v>
      </c>
      <c r="E404" s="2">
        <v>124788.0</v>
      </c>
      <c r="F404" s="2">
        <v>151.0</v>
      </c>
      <c r="G404" s="2">
        <v>9021.0</v>
      </c>
      <c r="H404" s="2" t="s">
        <v>5905</v>
      </c>
      <c r="I404" s="2" t="s">
        <v>5905</v>
      </c>
      <c r="K404" s="2" t="s">
        <v>18648</v>
      </c>
    </row>
    <row r="405">
      <c r="A405" s="2" t="s">
        <v>4481</v>
      </c>
      <c r="B405" s="2" t="s">
        <v>18649</v>
      </c>
      <c r="C405" s="2">
        <v>3.420313953E9</v>
      </c>
      <c r="D405" s="2" t="s">
        <v>18650</v>
      </c>
      <c r="E405" s="2">
        <v>64982.0</v>
      </c>
      <c r="F405" s="2">
        <v>3.0</v>
      </c>
      <c r="G405" s="2">
        <v>2330.0</v>
      </c>
      <c r="H405" s="2" t="s">
        <v>5905</v>
      </c>
      <c r="I405" s="2" t="s">
        <v>5905</v>
      </c>
      <c r="J405" s="2" t="s">
        <v>5911</v>
      </c>
      <c r="K405" s="2" t="s">
        <v>18651</v>
      </c>
    </row>
    <row r="406">
      <c r="A406" s="2" t="s">
        <v>4481</v>
      </c>
      <c r="B406" s="2" t="s">
        <v>18652</v>
      </c>
      <c r="C406" s="2">
        <v>8.385555682E9</v>
      </c>
      <c r="D406" s="2" t="s">
        <v>18653</v>
      </c>
      <c r="E406" s="2">
        <v>447226.0</v>
      </c>
      <c r="F406" s="2">
        <v>1.0</v>
      </c>
      <c r="G406" s="2">
        <v>344.0</v>
      </c>
      <c r="H406" s="2" t="s">
        <v>5905</v>
      </c>
      <c r="I406" s="2" t="s">
        <v>5905</v>
      </c>
      <c r="J406" s="2" t="s">
        <v>8518</v>
      </c>
      <c r="K406" s="2" t="s">
        <v>18654</v>
      </c>
    </row>
    <row r="407">
      <c r="A407" s="2" t="s">
        <v>4481</v>
      </c>
      <c r="B407" s="2" t="s">
        <v>18655</v>
      </c>
      <c r="C407" s="2">
        <v>7.296075327E10</v>
      </c>
      <c r="D407" s="2" t="s">
        <v>18656</v>
      </c>
      <c r="E407" s="2">
        <v>83587.0</v>
      </c>
      <c r="F407" s="2">
        <v>37.0</v>
      </c>
      <c r="G407" s="2">
        <v>107.0</v>
      </c>
      <c r="H407" s="2" t="s">
        <v>5905</v>
      </c>
      <c r="I407" s="2" t="s">
        <v>5905</v>
      </c>
      <c r="J407" s="2" t="s">
        <v>5480</v>
      </c>
      <c r="K407" s="2" t="s">
        <v>18657</v>
      </c>
    </row>
    <row r="408">
      <c r="A408" s="2" t="s">
        <v>4481</v>
      </c>
      <c r="B408" s="2" t="s">
        <v>18658</v>
      </c>
      <c r="C408" s="2">
        <v>5.8486338647E10</v>
      </c>
      <c r="D408" s="2" t="s">
        <v>18659</v>
      </c>
      <c r="E408" s="2">
        <v>23390.0</v>
      </c>
      <c r="F408" s="2">
        <v>2.0</v>
      </c>
      <c r="G408" s="2">
        <v>126.0</v>
      </c>
      <c r="H408" s="2" t="s">
        <v>5905</v>
      </c>
      <c r="I408" s="2" t="s">
        <v>5905</v>
      </c>
      <c r="J408" s="2" t="s">
        <v>8843</v>
      </c>
      <c r="K408" s="2" t="s">
        <v>18660</v>
      </c>
      <c r="L408" s="10" t="s">
        <v>18661</v>
      </c>
    </row>
    <row r="409">
      <c r="A409" s="2" t="s">
        <v>4705</v>
      </c>
      <c r="B409" s="2" t="s">
        <v>18662</v>
      </c>
      <c r="C409" s="2">
        <v>5.365990444E10</v>
      </c>
      <c r="D409" s="2" t="s">
        <v>18663</v>
      </c>
      <c r="E409" s="2">
        <v>128661.0</v>
      </c>
      <c r="F409" s="2">
        <v>354.0</v>
      </c>
      <c r="G409" s="2">
        <v>328.0</v>
      </c>
      <c r="H409" s="2" t="s">
        <v>5906</v>
      </c>
      <c r="I409" s="2" t="s">
        <v>5905</v>
      </c>
      <c r="J409" s="2" t="s">
        <v>5492</v>
      </c>
      <c r="K409" s="2" t="s">
        <v>18664</v>
      </c>
      <c r="L409" s="10" t="s">
        <v>18665</v>
      </c>
    </row>
    <row r="410">
      <c r="A410" s="2" t="s">
        <v>4705</v>
      </c>
      <c r="B410" s="2" t="s">
        <v>18666</v>
      </c>
      <c r="C410" s="2">
        <v>2.83628115E8</v>
      </c>
      <c r="D410" s="2" t="s">
        <v>18667</v>
      </c>
      <c r="E410" s="2">
        <v>943616.0</v>
      </c>
      <c r="F410" s="2">
        <v>2506.0</v>
      </c>
      <c r="G410" s="2">
        <v>2718.0</v>
      </c>
      <c r="H410" s="2" t="s">
        <v>5906</v>
      </c>
      <c r="I410" s="2" t="s">
        <v>5905</v>
      </c>
      <c r="J410" s="2" t="s">
        <v>5492</v>
      </c>
      <c r="K410" s="2" t="s">
        <v>18668</v>
      </c>
      <c r="L410" s="10" t="s">
        <v>18669</v>
      </c>
    </row>
    <row r="411">
      <c r="A411" s="2" t="s">
        <v>4672</v>
      </c>
      <c r="B411" s="2" t="s">
        <v>18670</v>
      </c>
      <c r="C411" s="2">
        <v>3.290915366E9</v>
      </c>
      <c r="D411" s="2" t="s">
        <v>18671</v>
      </c>
      <c r="E411" s="2">
        <v>13580.0</v>
      </c>
      <c r="F411" s="2">
        <v>0.0</v>
      </c>
      <c r="G411" s="2">
        <v>663.0</v>
      </c>
      <c r="H411" s="2" t="s">
        <v>5905</v>
      </c>
      <c r="I411" s="2" t="s">
        <v>5906</v>
      </c>
      <c r="J411" s="2" t="s">
        <v>6032</v>
      </c>
      <c r="K411" s="2" t="s">
        <v>18672</v>
      </c>
    </row>
    <row r="412">
      <c r="A412" s="2" t="s">
        <v>4455</v>
      </c>
      <c r="B412" s="2" t="s">
        <v>18673</v>
      </c>
      <c r="C412" s="2">
        <v>5.9845818593E10</v>
      </c>
      <c r="D412" s="2" t="s">
        <v>18674</v>
      </c>
      <c r="E412" s="2">
        <v>33286.0</v>
      </c>
      <c r="F412" s="2">
        <v>217.0</v>
      </c>
      <c r="G412" s="2">
        <v>230.0</v>
      </c>
      <c r="H412" s="2" t="s">
        <v>5906</v>
      </c>
      <c r="I412" s="2" t="s">
        <v>5905</v>
      </c>
      <c r="J412" s="2" t="s">
        <v>5959</v>
      </c>
      <c r="K412" s="2" t="s">
        <v>18675</v>
      </c>
      <c r="L412" s="10" t="s">
        <v>18676</v>
      </c>
    </row>
    <row r="413">
      <c r="A413" s="2" t="s">
        <v>4455</v>
      </c>
      <c r="B413" s="2" t="s">
        <v>18677</v>
      </c>
      <c r="C413" s="2">
        <v>2.212334556E9</v>
      </c>
      <c r="D413" s="2" t="s">
        <v>18678</v>
      </c>
      <c r="E413" s="2">
        <v>51859.0</v>
      </c>
      <c r="F413" s="2">
        <v>3.0</v>
      </c>
      <c r="G413" s="2">
        <v>2150.0</v>
      </c>
      <c r="H413" s="2" t="s">
        <v>5905</v>
      </c>
      <c r="I413" s="2" t="s">
        <v>5906</v>
      </c>
      <c r="J413" s="2" t="s">
        <v>5492</v>
      </c>
      <c r="K413" s="2" t="s">
        <v>18679</v>
      </c>
      <c r="L413" s="10" t="s">
        <v>18680</v>
      </c>
    </row>
    <row r="414">
      <c r="A414" s="2" t="s">
        <v>4455</v>
      </c>
      <c r="B414" s="2" t="s">
        <v>18681</v>
      </c>
      <c r="C414" s="2">
        <v>3.06367453E8</v>
      </c>
      <c r="D414" s="2" t="s">
        <v>18682</v>
      </c>
      <c r="E414" s="2">
        <v>271961.0</v>
      </c>
      <c r="F414" s="2">
        <v>97.0</v>
      </c>
      <c r="G414" s="2">
        <v>9.0</v>
      </c>
      <c r="H414" s="2" t="s">
        <v>5905</v>
      </c>
      <c r="I414" s="2" t="s">
        <v>5905</v>
      </c>
      <c r="K414" s="2" t="s">
        <v>18683</v>
      </c>
      <c r="L414" s="10" t="s">
        <v>18684</v>
      </c>
    </row>
    <row r="415">
      <c r="A415" s="2" t="s">
        <v>4455</v>
      </c>
      <c r="B415" s="2" t="s">
        <v>18685</v>
      </c>
      <c r="C415" s="2">
        <v>5.3238838334E10</v>
      </c>
      <c r="D415" s="2" t="s">
        <v>18686</v>
      </c>
      <c r="E415" s="2">
        <v>10794.0</v>
      </c>
      <c r="F415" s="2">
        <v>188.0</v>
      </c>
      <c r="G415" s="2">
        <v>151.0</v>
      </c>
      <c r="H415" s="2" t="s">
        <v>5905</v>
      </c>
      <c r="I415" s="2" t="s">
        <v>5906</v>
      </c>
      <c r="J415" s="2" t="s">
        <v>11332</v>
      </c>
      <c r="K415" s="2" t="s">
        <v>18687</v>
      </c>
    </row>
    <row r="416">
      <c r="A416" s="2" t="s">
        <v>4455</v>
      </c>
      <c r="B416" s="2" t="s">
        <v>18688</v>
      </c>
      <c r="C416" s="2">
        <v>4.169444847E9</v>
      </c>
      <c r="D416" s="2" t="s">
        <v>18689</v>
      </c>
      <c r="E416" s="2">
        <v>16260.0</v>
      </c>
      <c r="F416" s="2">
        <v>381.0</v>
      </c>
      <c r="G416" s="2">
        <v>788.0</v>
      </c>
      <c r="H416" s="2" t="s">
        <v>5905</v>
      </c>
      <c r="I416" s="2" t="s">
        <v>5905</v>
      </c>
      <c r="J416" s="2" t="s">
        <v>11332</v>
      </c>
      <c r="K416" s="2" t="s">
        <v>18690</v>
      </c>
    </row>
    <row r="417">
      <c r="A417" s="2" t="s">
        <v>4455</v>
      </c>
      <c r="B417" s="2" t="s">
        <v>18691</v>
      </c>
      <c r="C417" s="2">
        <v>2.4844615567E10</v>
      </c>
      <c r="D417" s="2" t="s">
        <v>18692</v>
      </c>
      <c r="E417" s="2">
        <v>61894.0</v>
      </c>
      <c r="F417" s="2">
        <v>16.0</v>
      </c>
      <c r="G417" s="2">
        <v>203.0</v>
      </c>
      <c r="H417" s="2" t="s">
        <v>5906</v>
      </c>
      <c r="I417" s="2" t="s">
        <v>5906</v>
      </c>
      <c r="J417" s="2" t="s">
        <v>12715</v>
      </c>
      <c r="K417" s="2" t="s">
        <v>18693</v>
      </c>
      <c r="L417" s="10" t="s">
        <v>18694</v>
      </c>
    </row>
    <row r="418">
      <c r="A418" s="2" t="s">
        <v>4455</v>
      </c>
      <c r="B418" s="2" t="s">
        <v>18695</v>
      </c>
      <c r="C418" s="2">
        <v>5.5566801031E10</v>
      </c>
      <c r="D418" s="2" t="s">
        <v>18696</v>
      </c>
      <c r="E418" s="2">
        <v>164234.0</v>
      </c>
      <c r="F418" s="2">
        <v>2.0</v>
      </c>
      <c r="G418" s="2">
        <v>740.0</v>
      </c>
      <c r="H418" s="2" t="s">
        <v>5905</v>
      </c>
      <c r="I418" s="2" t="s">
        <v>5906</v>
      </c>
      <c r="J418" s="2" t="s">
        <v>5561</v>
      </c>
      <c r="K418" s="2" t="s">
        <v>18697</v>
      </c>
      <c r="L418" s="10" t="s">
        <v>18698</v>
      </c>
    </row>
    <row r="419">
      <c r="A419" s="2" t="s">
        <v>4455</v>
      </c>
      <c r="B419" s="2" t="s">
        <v>18699</v>
      </c>
      <c r="C419" s="2">
        <v>4.302828252E10</v>
      </c>
      <c r="D419" s="2" t="s">
        <v>18700</v>
      </c>
      <c r="E419" s="2">
        <v>1221415.0</v>
      </c>
      <c r="F419" s="2">
        <v>50.0</v>
      </c>
      <c r="G419" s="2">
        <v>2303.0</v>
      </c>
      <c r="H419" s="2" t="s">
        <v>5906</v>
      </c>
      <c r="I419" s="2" t="s">
        <v>5905</v>
      </c>
      <c r="J419" s="2" t="s">
        <v>5928</v>
      </c>
      <c r="K419" s="2" t="s">
        <v>18701</v>
      </c>
      <c r="L419" s="10" t="s">
        <v>18702</v>
      </c>
    </row>
    <row r="420">
      <c r="A420" s="2" t="s">
        <v>4699</v>
      </c>
      <c r="B420" s="2" t="s">
        <v>18699</v>
      </c>
      <c r="C420" s="2">
        <v>4.302828252E10</v>
      </c>
      <c r="D420" s="2" t="s">
        <v>18700</v>
      </c>
      <c r="E420" s="2">
        <v>1221723.0</v>
      </c>
      <c r="F420" s="2">
        <v>50.0</v>
      </c>
      <c r="G420" s="2">
        <v>2303.0</v>
      </c>
      <c r="H420" s="2" t="s">
        <v>5906</v>
      </c>
      <c r="I420" s="2" t="s">
        <v>5905</v>
      </c>
      <c r="J420" s="2" t="s">
        <v>5928</v>
      </c>
      <c r="K420" s="2" t="s">
        <v>18701</v>
      </c>
      <c r="L420" s="10" t="s">
        <v>18702</v>
      </c>
    </row>
    <row r="421">
      <c r="A421" s="2" t="s">
        <v>1959</v>
      </c>
      <c r="B421" s="2" t="s">
        <v>1959</v>
      </c>
      <c r="C421" s="2">
        <v>4.524652963E9</v>
      </c>
      <c r="D421" s="2" t="s">
        <v>18703</v>
      </c>
      <c r="E421" s="2">
        <v>6741243.0</v>
      </c>
      <c r="F421" s="2">
        <v>57.0</v>
      </c>
      <c r="G421" s="2">
        <v>2205.0</v>
      </c>
      <c r="H421" s="2" t="s">
        <v>5905</v>
      </c>
      <c r="I421" s="2" t="s">
        <v>5906</v>
      </c>
      <c r="J421" s="2" t="s">
        <v>5561</v>
      </c>
      <c r="L421" s="10" t="s">
        <v>18704</v>
      </c>
    </row>
    <row r="422">
      <c r="A422" s="2" t="s">
        <v>1959</v>
      </c>
      <c r="B422" s="2" t="s">
        <v>18705</v>
      </c>
      <c r="C422" s="2">
        <v>7.0932335482E10</v>
      </c>
      <c r="D422" s="2" t="s">
        <v>18706</v>
      </c>
      <c r="E422" s="2">
        <v>158629.0</v>
      </c>
      <c r="F422" s="2">
        <v>324.0</v>
      </c>
      <c r="G422" s="2">
        <v>181.0</v>
      </c>
      <c r="H422" s="2" t="s">
        <v>5905</v>
      </c>
      <c r="I422" s="2" t="s">
        <v>5905</v>
      </c>
      <c r="J422" s="2" t="s">
        <v>13634</v>
      </c>
      <c r="K422" s="2" t="s">
        <v>18707</v>
      </c>
      <c r="L422" s="10" t="s">
        <v>18708</v>
      </c>
    </row>
    <row r="423">
      <c r="A423" s="2" t="s">
        <v>1959</v>
      </c>
      <c r="B423" s="2" t="s">
        <v>18709</v>
      </c>
      <c r="C423" s="2">
        <v>4416358.0</v>
      </c>
      <c r="D423" s="2" t="s">
        <v>18710</v>
      </c>
      <c r="E423" s="2">
        <v>2368746.0</v>
      </c>
      <c r="F423" s="2">
        <v>474.0</v>
      </c>
      <c r="G423" s="2">
        <v>9387.0</v>
      </c>
      <c r="H423" s="2" t="s">
        <v>5906</v>
      </c>
      <c r="I423" s="2" t="s">
        <v>5906</v>
      </c>
      <c r="K423" s="2" t="s">
        <v>18711</v>
      </c>
      <c r="L423" s="10" t="s">
        <v>18712</v>
      </c>
    </row>
    <row r="424">
      <c r="A424" s="2" t="s">
        <v>1959</v>
      </c>
      <c r="B424" s="2" t="s">
        <v>18713</v>
      </c>
      <c r="C424" s="2">
        <v>4.24369312E8</v>
      </c>
      <c r="D424" s="2" t="s">
        <v>18714</v>
      </c>
      <c r="E424" s="2">
        <v>1908852.0</v>
      </c>
      <c r="F424" s="2">
        <v>236.0</v>
      </c>
      <c r="G424" s="2">
        <v>26723.0</v>
      </c>
      <c r="H424" s="2" t="s">
        <v>5906</v>
      </c>
      <c r="I424" s="2" t="s">
        <v>5906</v>
      </c>
      <c r="J424" s="2" t="s">
        <v>5959</v>
      </c>
      <c r="K424" s="2" t="s">
        <v>18715</v>
      </c>
      <c r="L424" s="10" t="s">
        <v>18716</v>
      </c>
    </row>
    <row r="425">
      <c r="A425" s="2" t="s">
        <v>1959</v>
      </c>
      <c r="B425" s="2" t="s">
        <v>18717</v>
      </c>
      <c r="C425" s="2">
        <v>2.97990037E8</v>
      </c>
      <c r="D425" s="2" t="s">
        <v>18718</v>
      </c>
      <c r="E425" s="2">
        <v>6366160.0</v>
      </c>
      <c r="F425" s="2">
        <v>76.0</v>
      </c>
      <c r="G425" s="2">
        <v>3804.0</v>
      </c>
      <c r="H425" s="2" t="s">
        <v>5906</v>
      </c>
      <c r="I425" s="2" t="s">
        <v>5906</v>
      </c>
      <c r="K425" s="2" t="s">
        <v>18719</v>
      </c>
      <c r="L425" s="10" t="s">
        <v>18720</v>
      </c>
    </row>
    <row r="426">
      <c r="A426" s="2" t="s">
        <v>1959</v>
      </c>
      <c r="B426" s="10" t="s">
        <v>18721</v>
      </c>
      <c r="C426" s="2">
        <v>1.909370149E9</v>
      </c>
      <c r="D426" s="10" t="s">
        <v>18722</v>
      </c>
      <c r="E426" s="2">
        <v>1134215.0</v>
      </c>
      <c r="F426" s="2">
        <v>250.0</v>
      </c>
      <c r="G426" s="2">
        <v>1626.0</v>
      </c>
      <c r="H426" s="2" t="s">
        <v>5906</v>
      </c>
      <c r="I426" s="2" t="s">
        <v>5905</v>
      </c>
      <c r="J426" s="2" t="s">
        <v>7926</v>
      </c>
      <c r="K426" s="2" t="s">
        <v>18723</v>
      </c>
      <c r="L426" s="10" t="s">
        <v>18724</v>
      </c>
    </row>
    <row r="427">
      <c r="A427" s="2" t="s">
        <v>1959</v>
      </c>
      <c r="B427" s="2" t="s">
        <v>18725</v>
      </c>
      <c r="C427" s="2">
        <v>2.28382648E9</v>
      </c>
      <c r="D427" s="2" t="s">
        <v>18726</v>
      </c>
      <c r="E427" s="2">
        <v>238526.0</v>
      </c>
      <c r="F427" s="2">
        <v>558.0</v>
      </c>
      <c r="G427" s="2">
        <v>5068.0</v>
      </c>
      <c r="H427" s="2" t="s">
        <v>5906</v>
      </c>
      <c r="I427" s="2" t="s">
        <v>5905</v>
      </c>
      <c r="J427" s="2" t="s">
        <v>10219</v>
      </c>
      <c r="K427" s="2" t="s">
        <v>18727</v>
      </c>
      <c r="L427" s="10" t="s">
        <v>18728</v>
      </c>
    </row>
    <row r="428">
      <c r="A428" s="2" t="s">
        <v>1959</v>
      </c>
      <c r="B428" s="2" t="s">
        <v>16098</v>
      </c>
      <c r="C428" s="2">
        <v>1.79888295E8</v>
      </c>
      <c r="D428" s="2" t="s">
        <v>16099</v>
      </c>
      <c r="E428" s="2">
        <v>8443909.0</v>
      </c>
      <c r="F428" s="2">
        <v>295.0</v>
      </c>
      <c r="G428" s="2">
        <v>2543.0</v>
      </c>
      <c r="H428" s="2" t="s">
        <v>5906</v>
      </c>
      <c r="I428" s="2" t="s">
        <v>5906</v>
      </c>
      <c r="J428" s="2" t="s">
        <v>5959</v>
      </c>
      <c r="K428" s="2" t="s">
        <v>16100</v>
      </c>
      <c r="L428" s="10" t="s">
        <v>16101</v>
      </c>
    </row>
    <row r="429">
      <c r="A429" s="2" t="s">
        <v>1959</v>
      </c>
      <c r="B429" s="2" t="s">
        <v>18729</v>
      </c>
      <c r="C429" s="2">
        <v>2.219469055E9</v>
      </c>
      <c r="D429" s="2" t="s">
        <v>4402</v>
      </c>
      <c r="E429" s="2">
        <v>25616.0</v>
      </c>
      <c r="F429" s="2">
        <v>10.0</v>
      </c>
      <c r="G429" s="2">
        <v>1.0</v>
      </c>
      <c r="H429" s="2" t="s">
        <v>5905</v>
      </c>
      <c r="I429" s="2" t="s">
        <v>5905</v>
      </c>
      <c r="K429" s="2" t="s">
        <v>18730</v>
      </c>
    </row>
    <row r="430">
      <c r="A430" s="2" t="s">
        <v>1959</v>
      </c>
      <c r="B430" s="2" t="s">
        <v>18731</v>
      </c>
      <c r="C430" s="2">
        <v>4.510823649E9</v>
      </c>
      <c r="D430" s="2" t="s">
        <v>18732</v>
      </c>
      <c r="E430" s="2">
        <v>13120.0</v>
      </c>
      <c r="F430" s="2">
        <v>975.0</v>
      </c>
      <c r="G430" s="2">
        <v>556.0</v>
      </c>
      <c r="H430" s="2" t="s">
        <v>5906</v>
      </c>
      <c r="I430" s="2" t="s">
        <v>5905</v>
      </c>
      <c r="J430" s="2" t="s">
        <v>13634</v>
      </c>
      <c r="K430" s="2" t="s">
        <v>18733</v>
      </c>
    </row>
    <row r="431">
      <c r="A431" s="2" t="s">
        <v>1959</v>
      </c>
      <c r="B431" s="2" t="s">
        <v>18734</v>
      </c>
      <c r="C431" s="2">
        <v>1.977075858E9</v>
      </c>
      <c r="E431" s="2">
        <v>72850.0</v>
      </c>
      <c r="F431" s="2">
        <v>10.0</v>
      </c>
      <c r="G431" s="2">
        <v>102.0</v>
      </c>
      <c r="H431" s="2" t="s">
        <v>5905</v>
      </c>
      <c r="I431" s="2" t="s">
        <v>5905</v>
      </c>
      <c r="K431" s="2" t="s">
        <v>18735</v>
      </c>
    </row>
    <row r="432">
      <c r="A432" s="2" t="s">
        <v>1959</v>
      </c>
      <c r="B432" s="2" t="s">
        <v>18736</v>
      </c>
      <c r="C432" s="2">
        <v>4.2592869E8</v>
      </c>
      <c r="D432" s="2" t="s">
        <v>18737</v>
      </c>
      <c r="E432" s="2">
        <v>117617.0</v>
      </c>
      <c r="F432" s="2">
        <v>1983.0</v>
      </c>
      <c r="G432" s="2">
        <v>585.0</v>
      </c>
      <c r="H432" s="2" t="s">
        <v>5905</v>
      </c>
      <c r="I432" s="2" t="s">
        <v>5906</v>
      </c>
      <c r="J432" s="2" t="s">
        <v>6414</v>
      </c>
      <c r="K432" s="2" t="s">
        <v>18738</v>
      </c>
    </row>
    <row r="433">
      <c r="A433" s="2" t="s">
        <v>1959</v>
      </c>
      <c r="B433" s="2" t="s">
        <v>18739</v>
      </c>
      <c r="C433" s="2">
        <v>1.803725831E9</v>
      </c>
      <c r="D433" s="2" t="s">
        <v>18740</v>
      </c>
      <c r="E433" s="2">
        <v>1.3798563E7</v>
      </c>
      <c r="F433" s="2">
        <v>463.0</v>
      </c>
      <c r="G433" s="2">
        <v>1576.0</v>
      </c>
      <c r="H433" s="2" t="s">
        <v>5906</v>
      </c>
      <c r="I433" s="2" t="s">
        <v>5905</v>
      </c>
      <c r="J433" s="2" t="s">
        <v>5928</v>
      </c>
      <c r="K433" s="2" t="s">
        <v>18741</v>
      </c>
      <c r="L433" s="10" t="s">
        <v>18742</v>
      </c>
    </row>
    <row r="434">
      <c r="A434" s="2" t="s">
        <v>1959</v>
      </c>
      <c r="B434" s="2" t="s">
        <v>18743</v>
      </c>
      <c r="C434" s="2">
        <v>2.27775259E9</v>
      </c>
      <c r="D434" s="2" t="s">
        <v>18744</v>
      </c>
      <c r="E434" s="2">
        <v>397190.0</v>
      </c>
      <c r="F434" s="2">
        <v>509.0</v>
      </c>
      <c r="G434" s="2">
        <v>3192.0</v>
      </c>
      <c r="H434" s="2" t="s">
        <v>5905</v>
      </c>
      <c r="I434" s="2" t="s">
        <v>5905</v>
      </c>
      <c r="K434" s="2" t="s">
        <v>18745</v>
      </c>
      <c r="L434" s="10" t="s">
        <v>18746</v>
      </c>
    </row>
    <row r="435">
      <c r="A435" s="2" t="s">
        <v>1959</v>
      </c>
      <c r="B435" s="2" t="s">
        <v>18747</v>
      </c>
      <c r="C435" s="2">
        <v>3.7746905685E10</v>
      </c>
      <c r="D435" s="2" t="s">
        <v>18748</v>
      </c>
      <c r="E435" s="2">
        <v>55275.0</v>
      </c>
      <c r="F435" s="2">
        <v>1018.0</v>
      </c>
      <c r="G435" s="2">
        <v>381.0</v>
      </c>
      <c r="H435" s="2" t="s">
        <v>5905</v>
      </c>
      <c r="I435" s="2" t="s">
        <v>5905</v>
      </c>
      <c r="J435" s="2" t="s">
        <v>5959</v>
      </c>
      <c r="K435" s="2" t="s">
        <v>18749</v>
      </c>
      <c r="L435" s="10" t="s">
        <v>18750</v>
      </c>
    </row>
    <row r="436">
      <c r="A436" s="2" t="s">
        <v>1959</v>
      </c>
      <c r="B436" s="2" t="s">
        <v>18751</v>
      </c>
      <c r="C436" s="2">
        <v>5.2537794998E10</v>
      </c>
      <c r="D436" s="2" t="s">
        <v>4402</v>
      </c>
      <c r="E436" s="2">
        <v>321389.0</v>
      </c>
      <c r="F436" s="2">
        <v>31.0</v>
      </c>
      <c r="G436" s="2">
        <v>394.0</v>
      </c>
      <c r="H436" s="2" t="s">
        <v>5905</v>
      </c>
      <c r="I436" s="2" t="s">
        <v>5905</v>
      </c>
      <c r="J436" s="2" t="s">
        <v>10219</v>
      </c>
      <c r="K436" s="2" t="s">
        <v>18752</v>
      </c>
      <c r="L436" s="10" t="s">
        <v>18753</v>
      </c>
    </row>
    <row r="437">
      <c r="A437" s="2" t="s">
        <v>1959</v>
      </c>
      <c r="B437" s="2" t="s">
        <v>18754</v>
      </c>
      <c r="C437" s="2">
        <v>3.2829605E7</v>
      </c>
      <c r="D437" s="2" t="s">
        <v>18755</v>
      </c>
      <c r="E437" s="2">
        <v>629668.0</v>
      </c>
      <c r="F437" s="2">
        <v>1203.0</v>
      </c>
      <c r="G437" s="2">
        <v>7584.0</v>
      </c>
      <c r="H437" s="2" t="s">
        <v>5906</v>
      </c>
      <c r="I437" s="2" t="s">
        <v>5906</v>
      </c>
      <c r="J437" s="2" t="s">
        <v>10219</v>
      </c>
      <c r="K437" s="2" t="s">
        <v>18756</v>
      </c>
      <c r="L437" s="10" t="s">
        <v>18757</v>
      </c>
    </row>
    <row r="438">
      <c r="A438" s="2" t="s">
        <v>4775</v>
      </c>
      <c r="B438" s="2" t="s">
        <v>18758</v>
      </c>
      <c r="C438" s="2">
        <v>7.1000090301E10</v>
      </c>
      <c r="D438" s="2" t="s">
        <v>18759</v>
      </c>
      <c r="E438" s="2">
        <v>11988.0</v>
      </c>
      <c r="F438" s="2">
        <v>2.0</v>
      </c>
      <c r="G438" s="2">
        <v>197.0</v>
      </c>
      <c r="H438" s="2" t="s">
        <v>5905</v>
      </c>
      <c r="I438" s="2" t="s">
        <v>5906</v>
      </c>
      <c r="J438" s="2" t="s">
        <v>5959</v>
      </c>
      <c r="K438" s="2" t="s">
        <v>18760</v>
      </c>
      <c r="L438" s="10" t="s">
        <v>18761</v>
      </c>
    </row>
    <row r="439">
      <c r="A439" s="2" t="s">
        <v>4654</v>
      </c>
      <c r="B439" s="2" t="s">
        <v>18762</v>
      </c>
      <c r="C439" s="2">
        <v>3.0551954815E10</v>
      </c>
      <c r="D439" s="2" t="s">
        <v>18763</v>
      </c>
      <c r="E439" s="2">
        <v>32459.0</v>
      </c>
      <c r="F439" s="2">
        <v>1157.0</v>
      </c>
      <c r="G439" s="2">
        <v>447.0</v>
      </c>
      <c r="H439" s="2" t="s">
        <v>5906</v>
      </c>
      <c r="I439" s="2" t="s">
        <v>5905</v>
      </c>
      <c r="J439" s="2" t="s">
        <v>6027</v>
      </c>
      <c r="K439" s="2" t="s">
        <v>18764</v>
      </c>
      <c r="L439" s="10" t="s">
        <v>18765</v>
      </c>
    </row>
    <row r="440">
      <c r="A440" s="2" t="s">
        <v>4654</v>
      </c>
      <c r="B440" s="2" t="s">
        <v>18766</v>
      </c>
      <c r="C440" s="2">
        <v>5.8445407028E10</v>
      </c>
      <c r="E440" s="2">
        <v>11165.0</v>
      </c>
      <c r="F440" s="2">
        <v>0.0</v>
      </c>
      <c r="G440" s="2">
        <v>119.0</v>
      </c>
      <c r="H440" s="2" t="s">
        <v>5905</v>
      </c>
      <c r="I440" s="2" t="s">
        <v>5905</v>
      </c>
      <c r="L440" s="10" t="s">
        <v>18767</v>
      </c>
    </row>
    <row r="441">
      <c r="A441" s="2" t="s">
        <v>4654</v>
      </c>
      <c r="B441" s="2" t="s">
        <v>18768</v>
      </c>
      <c r="C441" s="2">
        <v>5.9797425376E10</v>
      </c>
      <c r="D441" s="2" t="s">
        <v>18769</v>
      </c>
      <c r="E441" s="2">
        <v>15764.0</v>
      </c>
      <c r="F441" s="2">
        <v>21.0</v>
      </c>
      <c r="G441" s="2">
        <v>169.0</v>
      </c>
      <c r="H441" s="2" t="s">
        <v>5905</v>
      </c>
      <c r="I441" s="2" t="s">
        <v>5905</v>
      </c>
      <c r="J441" s="2" t="s">
        <v>6699</v>
      </c>
      <c r="K441" s="2" t="s">
        <v>18770</v>
      </c>
      <c r="L441" s="10" t="s">
        <v>18771</v>
      </c>
    </row>
    <row r="442">
      <c r="A442" s="2" t="s">
        <v>4485</v>
      </c>
      <c r="B442" s="2" t="s">
        <v>18772</v>
      </c>
      <c r="C442" s="2">
        <v>2.148850048E9</v>
      </c>
      <c r="D442" s="2" t="s">
        <v>18773</v>
      </c>
      <c r="E442" s="2">
        <v>35283.0</v>
      </c>
      <c r="F442" s="2">
        <v>1347.0</v>
      </c>
      <c r="G442" s="2">
        <v>11398.0</v>
      </c>
      <c r="H442" s="2" t="s">
        <v>5905</v>
      </c>
      <c r="I442" s="2" t="s">
        <v>5906</v>
      </c>
      <c r="J442" s="2" t="s">
        <v>8518</v>
      </c>
      <c r="K442" s="2" t="s">
        <v>18774</v>
      </c>
      <c r="L442" s="10" t="s">
        <v>18775</v>
      </c>
    </row>
    <row r="443">
      <c r="A443" s="2" t="s">
        <v>4485</v>
      </c>
      <c r="B443" s="2" t="s">
        <v>18776</v>
      </c>
      <c r="C443" s="2">
        <v>5.2024455874E10</v>
      </c>
      <c r="D443" s="2" t="s">
        <v>18777</v>
      </c>
      <c r="E443" s="2">
        <v>43819.0</v>
      </c>
      <c r="F443" s="2">
        <v>2.0</v>
      </c>
      <c r="G443" s="2">
        <v>251.0</v>
      </c>
      <c r="H443" s="2" t="s">
        <v>5905</v>
      </c>
      <c r="I443" s="2" t="s">
        <v>5905</v>
      </c>
      <c r="J443" s="2" t="s">
        <v>6124</v>
      </c>
      <c r="K443" s="2" t="s">
        <v>18778</v>
      </c>
    </row>
    <row r="444">
      <c r="A444" s="2" t="s">
        <v>4485</v>
      </c>
      <c r="B444" s="2" t="s">
        <v>18779</v>
      </c>
      <c r="C444" s="2">
        <v>6.5532083706E10</v>
      </c>
      <c r="D444" s="2" t="s">
        <v>18780</v>
      </c>
      <c r="E444" s="2">
        <v>11506.0</v>
      </c>
      <c r="F444" s="2">
        <v>31.0</v>
      </c>
      <c r="G444" s="2">
        <v>524.0</v>
      </c>
      <c r="H444" s="2" t="s">
        <v>5905</v>
      </c>
      <c r="I444" s="2" t="s">
        <v>5905</v>
      </c>
      <c r="J444" s="2" t="s">
        <v>6111</v>
      </c>
      <c r="K444" s="2" t="s">
        <v>18781</v>
      </c>
      <c r="L444" s="10" t="s">
        <v>18782</v>
      </c>
    </row>
    <row r="445">
      <c r="A445" s="2" t="s">
        <v>4485</v>
      </c>
      <c r="B445" s="2" t="s">
        <v>18783</v>
      </c>
      <c r="C445" s="2">
        <v>3.2431191782E10</v>
      </c>
      <c r="D445" s="2" t="s">
        <v>18784</v>
      </c>
      <c r="E445" s="2">
        <v>6008484.0</v>
      </c>
      <c r="F445" s="2">
        <v>400.0</v>
      </c>
      <c r="G445" s="2">
        <v>1264.0</v>
      </c>
      <c r="H445" s="2" t="s">
        <v>5906</v>
      </c>
      <c r="I445" s="2" t="s">
        <v>5906</v>
      </c>
      <c r="J445" s="2" t="s">
        <v>5391</v>
      </c>
      <c r="K445" s="2" t="s">
        <v>18785</v>
      </c>
      <c r="L445" s="10" t="s">
        <v>18786</v>
      </c>
    </row>
    <row r="446">
      <c r="A446" s="2" t="s">
        <v>4485</v>
      </c>
      <c r="B446" s="2" t="s">
        <v>18787</v>
      </c>
      <c r="C446" s="2">
        <v>9.257804656E9</v>
      </c>
      <c r="D446" s="2" t="s">
        <v>18788</v>
      </c>
      <c r="E446" s="2">
        <v>22884.0</v>
      </c>
      <c r="F446" s="2">
        <v>860.0</v>
      </c>
      <c r="G446" s="2">
        <v>653.0</v>
      </c>
      <c r="H446" s="2" t="s">
        <v>5905</v>
      </c>
      <c r="I446" s="2" t="s">
        <v>5906</v>
      </c>
      <c r="J446" s="2" t="s">
        <v>12715</v>
      </c>
      <c r="K446" s="2" t="s">
        <v>18789</v>
      </c>
      <c r="L446" s="10" t="s">
        <v>18790</v>
      </c>
    </row>
    <row r="447">
      <c r="A447" s="2" t="s">
        <v>4485</v>
      </c>
      <c r="B447" s="2" t="s">
        <v>4485</v>
      </c>
      <c r="C447" s="2">
        <v>1.8357154662E10</v>
      </c>
      <c r="D447" s="2" t="s">
        <v>18791</v>
      </c>
      <c r="E447" s="2">
        <v>571023.0</v>
      </c>
      <c r="F447" s="2">
        <v>395.0</v>
      </c>
      <c r="G447" s="2">
        <v>3181.0</v>
      </c>
      <c r="H447" s="2" t="s">
        <v>5906</v>
      </c>
      <c r="I447" s="2" t="s">
        <v>5905</v>
      </c>
      <c r="J447" s="2" t="s">
        <v>5911</v>
      </c>
      <c r="K447" s="2" t="s">
        <v>18792</v>
      </c>
      <c r="L447" s="10" t="s">
        <v>18793</v>
      </c>
    </row>
    <row r="448">
      <c r="A448" s="2" t="s">
        <v>4485</v>
      </c>
      <c r="B448" s="2" t="s">
        <v>18794</v>
      </c>
      <c r="C448" s="2">
        <v>1.58525055E9</v>
      </c>
      <c r="D448" s="2" t="s">
        <v>18795</v>
      </c>
      <c r="E448" s="2">
        <v>87526.0</v>
      </c>
      <c r="F448" s="2">
        <v>7429.0</v>
      </c>
      <c r="G448" s="2">
        <v>9616.0</v>
      </c>
      <c r="H448" s="2" t="s">
        <v>5905</v>
      </c>
      <c r="I448" s="2" t="s">
        <v>5906</v>
      </c>
      <c r="J448" s="2" t="s">
        <v>5907</v>
      </c>
      <c r="K448" s="2" t="s">
        <v>18796</v>
      </c>
      <c r="L448" s="10" t="s">
        <v>18797</v>
      </c>
    </row>
    <row r="449">
      <c r="A449" s="2" t="s">
        <v>4485</v>
      </c>
      <c r="B449" s="2" t="s">
        <v>18798</v>
      </c>
      <c r="C449" s="2">
        <v>5.8581400242E10</v>
      </c>
      <c r="D449" s="2" t="s">
        <v>18799</v>
      </c>
      <c r="E449" s="2">
        <v>180287.0</v>
      </c>
      <c r="F449" s="2">
        <v>146.0</v>
      </c>
      <c r="G449" s="2">
        <v>2476.0</v>
      </c>
      <c r="H449" s="2" t="s">
        <v>5905</v>
      </c>
      <c r="I449" s="2" t="s">
        <v>5906</v>
      </c>
      <c r="J449" s="2" t="s">
        <v>6111</v>
      </c>
      <c r="K449" s="2" t="s">
        <v>18800</v>
      </c>
      <c r="L449" s="10" t="s">
        <v>18801</v>
      </c>
    </row>
    <row r="450">
      <c r="A450" s="2" t="s">
        <v>4485</v>
      </c>
      <c r="B450" s="2" t="s">
        <v>18802</v>
      </c>
      <c r="C450" s="2">
        <v>6.888720913E9</v>
      </c>
      <c r="D450" s="2" t="s">
        <v>18803</v>
      </c>
      <c r="E450" s="2">
        <v>62283.0</v>
      </c>
      <c r="F450" s="2">
        <v>435.0</v>
      </c>
      <c r="G450" s="2">
        <v>1311.0</v>
      </c>
      <c r="H450" s="2" t="s">
        <v>5906</v>
      </c>
      <c r="I450" s="2" t="s">
        <v>5906</v>
      </c>
      <c r="J450" s="2" t="s">
        <v>6559</v>
      </c>
      <c r="K450" s="2" t="s">
        <v>18804</v>
      </c>
      <c r="L450" s="10" t="s">
        <v>18805</v>
      </c>
    </row>
    <row r="451">
      <c r="A451" s="2" t="s">
        <v>4485</v>
      </c>
      <c r="B451" s="2" t="s">
        <v>18806</v>
      </c>
      <c r="C451" s="2">
        <v>2.926580483E9</v>
      </c>
      <c r="D451" s="12" t="s">
        <v>18807</v>
      </c>
      <c r="E451" s="2">
        <v>407437.0</v>
      </c>
      <c r="F451" s="2">
        <v>51.0</v>
      </c>
      <c r="G451" s="2">
        <v>6102.0</v>
      </c>
      <c r="H451" s="2" t="s">
        <v>5905</v>
      </c>
      <c r="I451" s="2" t="s">
        <v>5906</v>
      </c>
      <c r="J451" s="2" t="s">
        <v>18808</v>
      </c>
      <c r="K451" s="12" t="s">
        <v>18809</v>
      </c>
      <c r="L451" s="10" t="s">
        <v>18810</v>
      </c>
    </row>
    <row r="452">
      <c r="A452" s="2" t="s">
        <v>4485</v>
      </c>
      <c r="B452" s="2" t="s">
        <v>18811</v>
      </c>
      <c r="C452" s="2">
        <v>4.82840598E8</v>
      </c>
      <c r="D452" s="2" t="s">
        <v>18812</v>
      </c>
      <c r="E452" s="2">
        <v>140562.0</v>
      </c>
      <c r="F452" s="2">
        <v>5924.0</v>
      </c>
      <c r="G452" s="2">
        <v>1497.0</v>
      </c>
      <c r="H452" s="2" t="s">
        <v>5905</v>
      </c>
      <c r="I452" s="2" t="s">
        <v>5906</v>
      </c>
      <c r="J452" s="2" t="s">
        <v>18813</v>
      </c>
      <c r="K452" s="2" t="s">
        <v>18814</v>
      </c>
      <c r="L452" s="10" t="s">
        <v>18815</v>
      </c>
    </row>
    <row r="453">
      <c r="A453" s="2" t="s">
        <v>4485</v>
      </c>
      <c r="B453" s="2" t="s">
        <v>18816</v>
      </c>
      <c r="C453" s="2">
        <v>2685565.0</v>
      </c>
      <c r="D453" s="2" t="s">
        <v>18817</v>
      </c>
      <c r="E453" s="2">
        <v>931648.0</v>
      </c>
      <c r="F453" s="2">
        <v>855.0</v>
      </c>
      <c r="G453" s="2">
        <v>7549.0</v>
      </c>
      <c r="H453" s="2" t="s">
        <v>5906</v>
      </c>
      <c r="I453" s="2" t="s">
        <v>5906</v>
      </c>
      <c r="J453" s="2" t="s">
        <v>6002</v>
      </c>
      <c r="K453" s="2" t="s">
        <v>18818</v>
      </c>
      <c r="L453" s="10" t="s">
        <v>18819</v>
      </c>
    </row>
    <row r="454">
      <c r="A454" s="2" t="s">
        <v>4485</v>
      </c>
      <c r="B454" s="2" t="s">
        <v>18820</v>
      </c>
      <c r="C454" s="2">
        <v>2.05919415E8</v>
      </c>
      <c r="D454" s="2" t="s">
        <v>18820</v>
      </c>
      <c r="E454" s="2">
        <v>159923.0</v>
      </c>
      <c r="F454" s="2">
        <v>38.0</v>
      </c>
      <c r="G454" s="2">
        <v>2838.0</v>
      </c>
      <c r="H454" s="2" t="s">
        <v>5906</v>
      </c>
      <c r="I454" s="2" t="s">
        <v>5906</v>
      </c>
      <c r="K454" s="2" t="s">
        <v>18821</v>
      </c>
      <c r="L454" s="10" t="s">
        <v>18822</v>
      </c>
    </row>
    <row r="455">
      <c r="A455" s="2" t="s">
        <v>4485</v>
      </c>
      <c r="B455" s="2" t="s">
        <v>18823</v>
      </c>
      <c r="C455" s="2">
        <v>6.1256919918E10</v>
      </c>
      <c r="D455" s="2" t="s">
        <v>18824</v>
      </c>
      <c r="E455" s="2">
        <v>695958.0</v>
      </c>
      <c r="F455" s="2">
        <v>3.0</v>
      </c>
      <c r="G455" s="2">
        <v>25.0</v>
      </c>
      <c r="H455" s="2" t="s">
        <v>5906</v>
      </c>
      <c r="I455" s="2" t="s">
        <v>5905</v>
      </c>
      <c r="J455" s="2" t="s">
        <v>14090</v>
      </c>
      <c r="K455" s="2" t="s">
        <v>18825</v>
      </c>
      <c r="L455" s="10" t="s">
        <v>18826</v>
      </c>
    </row>
    <row r="456">
      <c r="A456" s="2" t="s">
        <v>4668</v>
      </c>
      <c r="B456" s="2" t="s">
        <v>18827</v>
      </c>
      <c r="C456" s="2">
        <v>1.506653965E9</v>
      </c>
      <c r="D456" s="2" t="s">
        <v>18828</v>
      </c>
      <c r="E456" s="2">
        <v>1570869.0</v>
      </c>
      <c r="F456" s="2">
        <v>2.0</v>
      </c>
      <c r="G456" s="2">
        <v>36.0</v>
      </c>
      <c r="H456" s="2" t="s">
        <v>5905</v>
      </c>
      <c r="I456" s="2" t="s">
        <v>5906</v>
      </c>
      <c r="K456" s="2" t="s">
        <v>18829</v>
      </c>
    </row>
    <row r="457">
      <c r="A457" s="2" t="s">
        <v>4719</v>
      </c>
      <c r="B457" s="2" t="s">
        <v>18830</v>
      </c>
      <c r="C457" s="2">
        <v>4.95291395E9</v>
      </c>
      <c r="D457" s="2" t="s">
        <v>18831</v>
      </c>
      <c r="E457" s="2">
        <v>947192.0</v>
      </c>
      <c r="F457" s="2">
        <v>3561.0</v>
      </c>
      <c r="G457" s="2">
        <v>3776.0</v>
      </c>
      <c r="H457" s="2" t="s">
        <v>5906</v>
      </c>
      <c r="I457" s="2" t="s">
        <v>5905</v>
      </c>
      <c r="J457" s="2" t="s">
        <v>9945</v>
      </c>
      <c r="K457" s="2" t="s">
        <v>18832</v>
      </c>
      <c r="L457" s="10" t="s">
        <v>18833</v>
      </c>
    </row>
    <row r="458">
      <c r="A458" s="2" t="s">
        <v>4719</v>
      </c>
      <c r="B458" s="2" t="s">
        <v>18834</v>
      </c>
      <c r="C458" s="2">
        <v>3.5662342E8</v>
      </c>
      <c r="D458" s="2" t="s">
        <v>18835</v>
      </c>
      <c r="E458" s="2">
        <v>10635.0</v>
      </c>
      <c r="F458" s="2">
        <v>716.0</v>
      </c>
      <c r="G458" s="2">
        <v>1315.0</v>
      </c>
      <c r="H458" s="2" t="s">
        <v>5905</v>
      </c>
      <c r="I458" s="2" t="s">
        <v>5905</v>
      </c>
      <c r="J458" s="2" t="s">
        <v>15234</v>
      </c>
      <c r="K458" s="2" t="s">
        <v>18836</v>
      </c>
      <c r="L458" s="10" t="s">
        <v>18837</v>
      </c>
    </row>
    <row r="459">
      <c r="A459" s="2" t="s">
        <v>4719</v>
      </c>
      <c r="B459" s="2" t="s">
        <v>18838</v>
      </c>
      <c r="C459" s="2">
        <v>2.330526791E9</v>
      </c>
      <c r="D459" s="2" t="s">
        <v>18839</v>
      </c>
      <c r="E459" s="2">
        <v>42872.0</v>
      </c>
      <c r="F459" s="2">
        <v>423.0</v>
      </c>
      <c r="G459" s="2">
        <v>602.0</v>
      </c>
      <c r="H459" s="2" t="s">
        <v>5905</v>
      </c>
      <c r="I459" s="2" t="s">
        <v>5905</v>
      </c>
      <c r="J459" s="2" t="s">
        <v>6745</v>
      </c>
      <c r="K459" s="2" t="s">
        <v>18840</v>
      </c>
      <c r="L459" s="10" t="s">
        <v>18841</v>
      </c>
    </row>
    <row r="460">
      <c r="A460" s="2" t="s">
        <v>4719</v>
      </c>
      <c r="B460" s="2" t="s">
        <v>18842</v>
      </c>
      <c r="C460" s="2">
        <v>6.092666342E9</v>
      </c>
      <c r="D460" s="2" t="s">
        <v>18843</v>
      </c>
      <c r="E460" s="2">
        <v>49192.0</v>
      </c>
      <c r="F460" s="2">
        <v>2044.0</v>
      </c>
      <c r="G460" s="2">
        <v>1387.0</v>
      </c>
      <c r="H460" s="2" t="s">
        <v>5905</v>
      </c>
      <c r="I460" s="2" t="s">
        <v>5906</v>
      </c>
      <c r="J460" s="2" t="s">
        <v>9945</v>
      </c>
      <c r="K460" s="2" t="s">
        <v>18844</v>
      </c>
      <c r="L460" s="10" t="s">
        <v>18845</v>
      </c>
    </row>
    <row r="461">
      <c r="A461" s="2" t="s">
        <v>4719</v>
      </c>
      <c r="B461" s="2" t="s">
        <v>18846</v>
      </c>
      <c r="C461" s="2">
        <v>2.067892653E10</v>
      </c>
      <c r="D461" s="2" t="s">
        <v>18847</v>
      </c>
      <c r="E461" s="2">
        <v>173938.0</v>
      </c>
      <c r="F461" s="2">
        <v>1311.0</v>
      </c>
      <c r="G461" s="2">
        <v>605.0</v>
      </c>
      <c r="H461" s="2" t="s">
        <v>5905</v>
      </c>
      <c r="I461" s="2" t="s">
        <v>5905</v>
      </c>
      <c r="J461" s="2" t="s">
        <v>5959</v>
      </c>
      <c r="K461" s="2" t="s">
        <v>18848</v>
      </c>
      <c r="L461" s="10" t="s">
        <v>18849</v>
      </c>
    </row>
    <row r="462">
      <c r="A462" s="2" t="s">
        <v>4719</v>
      </c>
      <c r="B462" s="2" t="s">
        <v>18850</v>
      </c>
      <c r="C462" s="2">
        <v>2.46369663E8</v>
      </c>
      <c r="D462" s="2" t="s">
        <v>18851</v>
      </c>
      <c r="E462" s="2">
        <v>515387.0</v>
      </c>
      <c r="F462" s="2">
        <v>986.0</v>
      </c>
      <c r="G462" s="2">
        <v>4403.0</v>
      </c>
      <c r="H462" s="2" t="s">
        <v>5906</v>
      </c>
      <c r="I462" s="2" t="s">
        <v>5906</v>
      </c>
      <c r="J462" s="2" t="s">
        <v>9945</v>
      </c>
      <c r="K462" s="2" t="s">
        <v>18852</v>
      </c>
      <c r="L462" s="10" t="s">
        <v>18853</v>
      </c>
    </row>
    <row r="463">
      <c r="A463" s="2" t="s">
        <v>4719</v>
      </c>
      <c r="B463" s="2" t="s">
        <v>18854</v>
      </c>
      <c r="C463" s="2">
        <v>4.067577672E9</v>
      </c>
      <c r="D463" s="2" t="s">
        <v>18855</v>
      </c>
      <c r="E463" s="2">
        <v>596216.0</v>
      </c>
      <c r="F463" s="2">
        <v>209.0</v>
      </c>
      <c r="G463" s="2">
        <v>2907.0</v>
      </c>
      <c r="H463" s="2" t="s">
        <v>5905</v>
      </c>
      <c r="I463" s="2" t="s">
        <v>5906</v>
      </c>
      <c r="J463" s="2" t="s">
        <v>6745</v>
      </c>
      <c r="K463" s="2" t="s">
        <v>18856</v>
      </c>
      <c r="L463" s="10" t="s">
        <v>18857</v>
      </c>
    </row>
    <row r="464">
      <c r="A464" s="2" t="s">
        <v>4719</v>
      </c>
      <c r="B464" s="2" t="s">
        <v>18858</v>
      </c>
      <c r="C464" s="2">
        <v>6.816031637E9</v>
      </c>
      <c r="D464" s="2" t="s">
        <v>18859</v>
      </c>
      <c r="E464" s="2">
        <v>13843.0</v>
      </c>
      <c r="F464" s="2">
        <v>443.0</v>
      </c>
      <c r="G464" s="2">
        <v>1122.0</v>
      </c>
      <c r="H464" s="2" t="s">
        <v>5905</v>
      </c>
      <c r="I464" s="2" t="s">
        <v>5906</v>
      </c>
      <c r="J464" s="2" t="s">
        <v>4404</v>
      </c>
      <c r="K464" s="2" t="s">
        <v>18860</v>
      </c>
      <c r="L464" s="10" t="s">
        <v>18861</v>
      </c>
    </row>
    <row r="465">
      <c r="A465" s="2" t="s">
        <v>4719</v>
      </c>
      <c r="B465" s="2" t="s">
        <v>18862</v>
      </c>
      <c r="C465" s="2">
        <v>6.41123561E8</v>
      </c>
      <c r="D465" s="2" t="s">
        <v>18863</v>
      </c>
      <c r="E465" s="2">
        <v>34342.0</v>
      </c>
      <c r="F465" s="2">
        <v>648.0</v>
      </c>
      <c r="G465" s="2">
        <v>2020.0</v>
      </c>
      <c r="H465" s="2" t="s">
        <v>5905</v>
      </c>
      <c r="I465" s="2" t="s">
        <v>5906</v>
      </c>
      <c r="J465" s="2" t="s">
        <v>14181</v>
      </c>
      <c r="K465" s="2" t="s">
        <v>18864</v>
      </c>
      <c r="L465" s="10" t="s">
        <v>18865</v>
      </c>
    </row>
    <row r="466">
      <c r="A466" s="2" t="s">
        <v>4719</v>
      </c>
      <c r="B466" s="2" t="s">
        <v>18866</v>
      </c>
      <c r="C466" s="2">
        <v>9.55083408E8</v>
      </c>
      <c r="D466" s="2" t="s">
        <v>18867</v>
      </c>
      <c r="E466" s="2">
        <v>214255.0</v>
      </c>
      <c r="F466" s="2">
        <v>378.0</v>
      </c>
      <c r="G466" s="2">
        <v>717.0</v>
      </c>
      <c r="H466" s="2" t="s">
        <v>5905</v>
      </c>
      <c r="I466" s="2" t="s">
        <v>5906</v>
      </c>
      <c r="J466" s="2" t="s">
        <v>18868</v>
      </c>
      <c r="K466" s="2" t="s">
        <v>18869</v>
      </c>
      <c r="L466" s="10" t="s">
        <v>18870</v>
      </c>
    </row>
    <row r="467">
      <c r="A467" s="2" t="s">
        <v>4719</v>
      </c>
      <c r="B467" s="2" t="s">
        <v>18871</v>
      </c>
      <c r="C467" s="2">
        <v>2.95041817E8</v>
      </c>
      <c r="D467" s="2" t="s">
        <v>18872</v>
      </c>
      <c r="E467" s="2">
        <v>279795.0</v>
      </c>
      <c r="F467" s="2">
        <v>367.0</v>
      </c>
      <c r="G467" s="2">
        <v>2601.0</v>
      </c>
      <c r="H467" s="2" t="s">
        <v>5906</v>
      </c>
      <c r="I467" s="2" t="s">
        <v>5906</v>
      </c>
      <c r="J467" s="2" t="s">
        <v>6745</v>
      </c>
      <c r="K467" s="2" t="s">
        <v>18873</v>
      </c>
      <c r="L467" s="10" t="s">
        <v>18874</v>
      </c>
    </row>
    <row r="468">
      <c r="A468" s="2" t="s">
        <v>4520</v>
      </c>
      <c r="B468" s="2" t="s">
        <v>18875</v>
      </c>
      <c r="C468" s="2">
        <v>3.9608597784E10</v>
      </c>
      <c r="D468" s="2" t="s">
        <v>18876</v>
      </c>
      <c r="E468" s="2">
        <v>16531.0</v>
      </c>
      <c r="F468" s="2">
        <v>2768.0</v>
      </c>
      <c r="G468" s="2">
        <v>315.0</v>
      </c>
      <c r="H468" s="2" t="s">
        <v>5905</v>
      </c>
      <c r="I468" s="2" t="s">
        <v>5905</v>
      </c>
      <c r="K468" s="2" t="s">
        <v>18877</v>
      </c>
    </row>
    <row r="469">
      <c r="A469" s="2" t="s">
        <v>4520</v>
      </c>
      <c r="B469" s="2" t="s">
        <v>18878</v>
      </c>
      <c r="C469" s="2">
        <v>3.3872773062E10</v>
      </c>
      <c r="D469" s="2" t="s">
        <v>4520</v>
      </c>
      <c r="E469" s="2">
        <v>140825.0</v>
      </c>
      <c r="F469" s="2">
        <v>10.0</v>
      </c>
      <c r="G469" s="2">
        <v>0.0</v>
      </c>
      <c r="H469" s="2" t="s">
        <v>5905</v>
      </c>
      <c r="I469" s="2" t="s">
        <v>5905</v>
      </c>
      <c r="J469" s="2" t="s">
        <v>5968</v>
      </c>
      <c r="K469" s="2" t="s">
        <v>18879</v>
      </c>
      <c r="L469" s="10" t="s">
        <v>18880</v>
      </c>
    </row>
    <row r="470">
      <c r="A470" s="2" t="s">
        <v>4520</v>
      </c>
      <c r="B470" s="2" t="s">
        <v>18881</v>
      </c>
      <c r="C470" s="2">
        <v>4.6507510321E10</v>
      </c>
      <c r="D470" s="2" t="s">
        <v>18882</v>
      </c>
      <c r="E470" s="2">
        <v>375572.0</v>
      </c>
      <c r="F470" s="2">
        <v>196.0</v>
      </c>
      <c r="G470" s="2">
        <v>333.0</v>
      </c>
      <c r="H470" s="2" t="s">
        <v>5905</v>
      </c>
      <c r="I470" s="2" t="s">
        <v>5906</v>
      </c>
      <c r="J470" s="2" t="s">
        <v>11919</v>
      </c>
      <c r="K470" s="2" t="s">
        <v>18883</v>
      </c>
    </row>
    <row r="471">
      <c r="A471" s="2" t="s">
        <v>4520</v>
      </c>
      <c r="B471" s="2" t="s">
        <v>18884</v>
      </c>
      <c r="C471" s="2">
        <v>5.0264569571E10</v>
      </c>
      <c r="D471" s="2" t="s">
        <v>18885</v>
      </c>
      <c r="E471" s="2">
        <v>304792.0</v>
      </c>
      <c r="F471" s="2">
        <v>157.0</v>
      </c>
      <c r="G471" s="2">
        <v>348.0</v>
      </c>
      <c r="H471" s="2" t="s">
        <v>5905</v>
      </c>
      <c r="I471" s="2" t="s">
        <v>5906</v>
      </c>
      <c r="J471" s="2" t="s">
        <v>18886</v>
      </c>
      <c r="K471" s="2" t="s">
        <v>18887</v>
      </c>
    </row>
    <row r="472">
      <c r="A472" s="2" t="s">
        <v>4520</v>
      </c>
      <c r="B472" s="2" t="s">
        <v>18888</v>
      </c>
      <c r="C472" s="2">
        <v>2.6099549251E10</v>
      </c>
      <c r="D472" s="2" t="s">
        <v>18889</v>
      </c>
      <c r="E472" s="2">
        <v>89770.0</v>
      </c>
      <c r="F472" s="2">
        <v>789.0</v>
      </c>
      <c r="G472" s="2">
        <v>251.0</v>
      </c>
      <c r="H472" s="2" t="s">
        <v>5905</v>
      </c>
      <c r="I472" s="2" t="s">
        <v>5906</v>
      </c>
      <c r="J472" s="2" t="s">
        <v>6161</v>
      </c>
      <c r="K472" s="2" t="s">
        <v>18890</v>
      </c>
    </row>
    <row r="473">
      <c r="A473" s="2" t="s">
        <v>4440</v>
      </c>
      <c r="B473" s="2" t="s">
        <v>18891</v>
      </c>
      <c r="C473" s="2">
        <v>1.096457944E9</v>
      </c>
      <c r="D473" s="2" t="s">
        <v>18892</v>
      </c>
      <c r="E473" s="2">
        <v>4126107.0</v>
      </c>
      <c r="F473" s="2">
        <v>490.0</v>
      </c>
      <c r="G473" s="2">
        <v>994.0</v>
      </c>
      <c r="H473" s="2" t="s">
        <v>5906</v>
      </c>
      <c r="I473" s="2" t="s">
        <v>5905</v>
      </c>
      <c r="J473" s="2" t="s">
        <v>5959</v>
      </c>
      <c r="K473" s="2" t="s">
        <v>18893</v>
      </c>
    </row>
    <row r="474">
      <c r="A474" s="2" t="s">
        <v>4440</v>
      </c>
      <c r="B474" s="2" t="s">
        <v>4440</v>
      </c>
      <c r="C474" s="2">
        <v>3.272768483E9</v>
      </c>
      <c r="D474" s="2" t="s">
        <v>18894</v>
      </c>
      <c r="E474" s="2">
        <v>112382.0</v>
      </c>
      <c r="F474" s="2">
        <v>14.0</v>
      </c>
      <c r="G474" s="2">
        <v>685.0</v>
      </c>
      <c r="H474" s="2" t="s">
        <v>5905</v>
      </c>
      <c r="I474" s="2" t="s">
        <v>5906</v>
      </c>
      <c r="J474" s="2" t="s">
        <v>5907</v>
      </c>
      <c r="K474" s="2" t="s">
        <v>18895</v>
      </c>
      <c r="L474" s="10" t="s">
        <v>18896</v>
      </c>
    </row>
    <row r="475">
      <c r="A475" s="2" t="s">
        <v>4440</v>
      </c>
      <c r="B475" s="2" t="s">
        <v>18897</v>
      </c>
      <c r="C475" s="2">
        <v>2.0133574E8</v>
      </c>
      <c r="D475" s="2" t="s">
        <v>18898</v>
      </c>
      <c r="E475" s="2">
        <v>2703977.0</v>
      </c>
      <c r="F475" s="2">
        <v>80.0</v>
      </c>
      <c r="G475" s="2">
        <v>1472.0</v>
      </c>
      <c r="H475" s="2" t="s">
        <v>5906</v>
      </c>
      <c r="I475" s="2" t="s">
        <v>5905</v>
      </c>
      <c r="J475" s="2" t="s">
        <v>16494</v>
      </c>
      <c r="K475" s="2" t="s">
        <v>18899</v>
      </c>
      <c r="L475" s="10" t="s">
        <v>18900</v>
      </c>
    </row>
    <row r="476">
      <c r="A476" s="2" t="s">
        <v>4440</v>
      </c>
      <c r="B476" s="2" t="s">
        <v>18901</v>
      </c>
      <c r="C476" s="2">
        <v>4.9103641064E10</v>
      </c>
      <c r="D476" s="2" t="s">
        <v>18902</v>
      </c>
      <c r="E476" s="2">
        <v>1825969.0</v>
      </c>
      <c r="F476" s="2">
        <v>397.0</v>
      </c>
      <c r="G476" s="2">
        <v>1330.0</v>
      </c>
      <c r="H476" s="2" t="s">
        <v>5906</v>
      </c>
      <c r="I476" s="2" t="s">
        <v>5905</v>
      </c>
      <c r="J476" s="2" t="s">
        <v>6699</v>
      </c>
      <c r="K476" s="2" t="s">
        <v>18903</v>
      </c>
      <c r="L476" s="10" t="s">
        <v>18904</v>
      </c>
    </row>
    <row r="477">
      <c r="A477" s="2" t="s">
        <v>4440</v>
      </c>
      <c r="B477" s="2" t="s">
        <v>18905</v>
      </c>
      <c r="C477" s="2">
        <v>2.3414668509E10</v>
      </c>
      <c r="D477" s="2" t="s">
        <v>18906</v>
      </c>
      <c r="E477" s="2">
        <v>446783.0</v>
      </c>
      <c r="F477" s="2">
        <v>2787.0</v>
      </c>
      <c r="G477" s="2">
        <v>518.0</v>
      </c>
      <c r="H477" s="2" t="s">
        <v>5906</v>
      </c>
      <c r="I477" s="2" t="s">
        <v>5905</v>
      </c>
      <c r="J477" s="2" t="s">
        <v>5959</v>
      </c>
      <c r="K477" s="2" t="s">
        <v>18907</v>
      </c>
      <c r="L477" s="10" t="s">
        <v>18908</v>
      </c>
    </row>
    <row r="478">
      <c r="A478" s="2" t="s">
        <v>4440</v>
      </c>
      <c r="B478" s="2" t="s">
        <v>18909</v>
      </c>
      <c r="C478" s="2">
        <v>4.5409060943E10</v>
      </c>
      <c r="D478" s="2" t="s">
        <v>18910</v>
      </c>
      <c r="E478" s="2">
        <v>982233.0</v>
      </c>
      <c r="F478" s="2">
        <v>1500.0</v>
      </c>
      <c r="G478" s="2">
        <v>606.0</v>
      </c>
      <c r="H478" s="2" t="s">
        <v>5905</v>
      </c>
      <c r="I478" s="2" t="s">
        <v>5905</v>
      </c>
      <c r="J478" s="2" t="s">
        <v>7543</v>
      </c>
      <c r="K478" s="2" t="s">
        <v>18911</v>
      </c>
      <c r="L478" s="10" t="s">
        <v>18912</v>
      </c>
    </row>
    <row r="479">
      <c r="A479" s="2" t="s">
        <v>4440</v>
      </c>
      <c r="B479" s="2" t="s">
        <v>18913</v>
      </c>
      <c r="C479" s="2">
        <v>4.4497450282E10</v>
      </c>
      <c r="D479" s="2" t="s">
        <v>18914</v>
      </c>
      <c r="E479" s="2">
        <v>539611.0</v>
      </c>
      <c r="F479" s="2">
        <v>457.0</v>
      </c>
      <c r="G479" s="2">
        <v>1186.0</v>
      </c>
      <c r="H479" s="2" t="s">
        <v>5906</v>
      </c>
      <c r="I479" s="2" t="s">
        <v>5906</v>
      </c>
      <c r="J479" s="2" t="s">
        <v>5928</v>
      </c>
      <c r="K479" s="2" t="s">
        <v>18915</v>
      </c>
      <c r="L479" s="10" t="s">
        <v>18916</v>
      </c>
    </row>
    <row r="480">
      <c r="A480" s="2" t="s">
        <v>4440</v>
      </c>
      <c r="B480" s="2" t="s">
        <v>18917</v>
      </c>
      <c r="C480" s="2">
        <v>6.078301534E9</v>
      </c>
      <c r="D480" s="2" t="s">
        <v>18918</v>
      </c>
      <c r="E480" s="2">
        <v>1631438.0</v>
      </c>
      <c r="F480" s="2">
        <v>477.0</v>
      </c>
      <c r="G480" s="2">
        <v>480.0</v>
      </c>
      <c r="H480" s="2" t="s">
        <v>5906</v>
      </c>
      <c r="I480" s="2" t="s">
        <v>5905</v>
      </c>
      <c r="J480" s="2" t="s">
        <v>6699</v>
      </c>
      <c r="K480" s="2" t="s">
        <v>18919</v>
      </c>
      <c r="L480" s="10" t="s">
        <v>18920</v>
      </c>
    </row>
    <row r="481">
      <c r="A481" s="2" t="s">
        <v>4440</v>
      </c>
      <c r="B481" s="2" t="s">
        <v>18921</v>
      </c>
      <c r="C481" s="2">
        <v>1.4568808698E10</v>
      </c>
      <c r="D481" s="2" t="s">
        <v>18922</v>
      </c>
      <c r="E481" s="2">
        <v>3282735.0</v>
      </c>
      <c r="F481" s="2">
        <v>938.0</v>
      </c>
      <c r="G481" s="2">
        <v>4768.0</v>
      </c>
      <c r="H481" s="2" t="s">
        <v>5906</v>
      </c>
      <c r="I481" s="2" t="s">
        <v>5905</v>
      </c>
      <c r="J481" s="2" t="s">
        <v>5928</v>
      </c>
      <c r="K481" s="2" t="s">
        <v>18923</v>
      </c>
      <c r="L481" s="10" t="s">
        <v>18924</v>
      </c>
    </row>
    <row r="482">
      <c r="A482" s="2" t="s">
        <v>4440</v>
      </c>
      <c r="B482" s="2" t="s">
        <v>18925</v>
      </c>
      <c r="C482" s="2">
        <v>5.7615277397E10</v>
      </c>
      <c r="D482" s="2" t="s">
        <v>18926</v>
      </c>
      <c r="E482" s="2">
        <v>6753583.0</v>
      </c>
      <c r="F482" s="2">
        <v>510.0</v>
      </c>
      <c r="G482" s="2">
        <v>376.0</v>
      </c>
      <c r="H482" s="2" t="s">
        <v>5906</v>
      </c>
      <c r="I482" s="2" t="s">
        <v>5905</v>
      </c>
      <c r="J482" s="2" t="s">
        <v>6699</v>
      </c>
      <c r="K482" s="2" t="s">
        <v>18927</v>
      </c>
      <c r="L482" s="10" t="s">
        <v>18928</v>
      </c>
    </row>
    <row r="483">
      <c r="A483" s="2" t="s">
        <v>4440</v>
      </c>
      <c r="B483" s="2" t="s">
        <v>18929</v>
      </c>
      <c r="C483" s="2">
        <v>3.8947018162E10</v>
      </c>
      <c r="D483" s="2" t="s">
        <v>18930</v>
      </c>
      <c r="E483" s="2">
        <v>2310281.0</v>
      </c>
      <c r="F483" s="2">
        <v>55.0</v>
      </c>
      <c r="G483" s="2">
        <v>423.0</v>
      </c>
      <c r="H483" s="2" t="s">
        <v>5906</v>
      </c>
      <c r="I483" s="2" t="s">
        <v>5906</v>
      </c>
      <c r="J483" s="2" t="s">
        <v>6699</v>
      </c>
      <c r="K483" s="2" t="s">
        <v>18931</v>
      </c>
      <c r="L483" s="10" t="s">
        <v>18932</v>
      </c>
    </row>
    <row r="484">
      <c r="A484" s="2" t="s">
        <v>4440</v>
      </c>
      <c r="B484" s="2" t="s">
        <v>18933</v>
      </c>
      <c r="C484" s="2">
        <v>6.2233012996E10</v>
      </c>
      <c r="D484" s="2" t="s">
        <v>18934</v>
      </c>
      <c r="E484" s="2">
        <v>46465.0</v>
      </c>
      <c r="F484" s="2">
        <v>96.0</v>
      </c>
      <c r="G484" s="2">
        <v>457.0</v>
      </c>
      <c r="H484" s="2" t="s">
        <v>5905</v>
      </c>
      <c r="I484" s="2" t="s">
        <v>5905</v>
      </c>
      <c r="J484" s="2" t="s">
        <v>5492</v>
      </c>
      <c r="K484" s="2" t="s">
        <v>18935</v>
      </c>
      <c r="L484" s="10" t="s">
        <v>18936</v>
      </c>
    </row>
    <row r="485">
      <c r="A485" s="2" t="s">
        <v>4440</v>
      </c>
      <c r="B485" s="2" t="s">
        <v>18937</v>
      </c>
      <c r="C485" s="2">
        <v>1.147363578E9</v>
      </c>
      <c r="D485" s="2" t="s">
        <v>18938</v>
      </c>
      <c r="E485" s="2">
        <v>4510869.0</v>
      </c>
      <c r="F485" s="2">
        <v>154.0</v>
      </c>
      <c r="G485" s="2">
        <v>12917.0</v>
      </c>
      <c r="H485" s="2" t="s">
        <v>5906</v>
      </c>
      <c r="I485" s="2" t="s">
        <v>5906</v>
      </c>
      <c r="K485" s="2" t="s">
        <v>18939</v>
      </c>
      <c r="L485" s="10" t="s">
        <v>18940</v>
      </c>
    </row>
    <row r="486">
      <c r="A486" s="2" t="s">
        <v>4440</v>
      </c>
      <c r="B486" s="2" t="s">
        <v>18941</v>
      </c>
      <c r="C486" s="2">
        <v>6.305090486E9</v>
      </c>
      <c r="D486" s="2" t="s">
        <v>18942</v>
      </c>
      <c r="E486" s="2">
        <v>1484616.0</v>
      </c>
      <c r="F486" s="2">
        <v>59.0</v>
      </c>
      <c r="G486" s="2">
        <v>3122.0</v>
      </c>
      <c r="H486" s="2" t="s">
        <v>5906</v>
      </c>
      <c r="I486" s="2" t="s">
        <v>5905</v>
      </c>
      <c r="J486" s="2" t="s">
        <v>7543</v>
      </c>
      <c r="K486" s="2" t="s">
        <v>18943</v>
      </c>
      <c r="L486" s="10" t="s">
        <v>18944</v>
      </c>
    </row>
    <row r="487">
      <c r="A487" s="2" t="s">
        <v>4472</v>
      </c>
      <c r="B487" s="2" t="s">
        <v>18945</v>
      </c>
      <c r="C487" s="2">
        <v>3.6569081074E10</v>
      </c>
      <c r="D487" s="2" t="s">
        <v>18946</v>
      </c>
      <c r="E487" s="2">
        <v>43606.0</v>
      </c>
      <c r="F487" s="2">
        <v>137.0</v>
      </c>
      <c r="G487" s="2">
        <v>297.0</v>
      </c>
      <c r="H487" s="2" t="s">
        <v>5905</v>
      </c>
      <c r="I487" s="2" t="s">
        <v>5905</v>
      </c>
      <c r="J487" s="2" t="s">
        <v>7414</v>
      </c>
      <c r="K487" s="12" t="s">
        <v>18947</v>
      </c>
    </row>
    <row r="488">
      <c r="A488" s="2" t="s">
        <v>4472</v>
      </c>
      <c r="B488" s="2" t="s">
        <v>18948</v>
      </c>
      <c r="C488" s="2">
        <v>3.939306863E9</v>
      </c>
      <c r="D488" s="2" t="s">
        <v>4472</v>
      </c>
      <c r="E488" s="2">
        <v>100829.0</v>
      </c>
      <c r="F488" s="2">
        <v>77.0</v>
      </c>
      <c r="G488" s="2">
        <v>1068.0</v>
      </c>
      <c r="H488" s="2" t="s">
        <v>5905</v>
      </c>
      <c r="I488" s="2" t="s">
        <v>5906</v>
      </c>
      <c r="J488" s="2" t="s">
        <v>5959</v>
      </c>
      <c r="K488" s="2" t="s">
        <v>18949</v>
      </c>
      <c r="L488" s="10" t="s">
        <v>18950</v>
      </c>
    </row>
    <row r="489">
      <c r="A489" s="2" t="s">
        <v>4472</v>
      </c>
      <c r="B489" s="2" t="s">
        <v>18951</v>
      </c>
      <c r="C489" s="2">
        <v>6.2536484886E10</v>
      </c>
      <c r="D489" s="2" t="s">
        <v>18952</v>
      </c>
      <c r="E489" s="2">
        <v>62345.0</v>
      </c>
      <c r="F489" s="2">
        <v>7.0</v>
      </c>
      <c r="G489" s="2">
        <v>793.0</v>
      </c>
      <c r="H489" s="2" t="s">
        <v>5905</v>
      </c>
      <c r="I489" s="2" t="s">
        <v>5905</v>
      </c>
      <c r="K489" s="2" t="s">
        <v>18953</v>
      </c>
      <c r="L489" s="10" t="s">
        <v>18954</v>
      </c>
    </row>
    <row r="490">
      <c r="A490" s="2" t="s">
        <v>4472</v>
      </c>
      <c r="B490" s="2" t="s">
        <v>18955</v>
      </c>
      <c r="C490" s="2">
        <v>6.6888530001E10</v>
      </c>
      <c r="D490" s="2" t="s">
        <v>18956</v>
      </c>
      <c r="E490" s="2">
        <v>65070.0</v>
      </c>
      <c r="F490" s="2">
        <v>25.0</v>
      </c>
      <c r="G490" s="2">
        <v>31.0</v>
      </c>
      <c r="H490" s="2" t="s">
        <v>5905</v>
      </c>
      <c r="I490" s="2" t="s">
        <v>5905</v>
      </c>
      <c r="J490" s="2" t="s">
        <v>6393</v>
      </c>
    </row>
    <row r="491">
      <c r="A491" s="2" t="s">
        <v>4472</v>
      </c>
      <c r="B491" s="2" t="s">
        <v>18957</v>
      </c>
      <c r="C491" s="2">
        <v>4.3511348808E10</v>
      </c>
      <c r="D491" s="2" t="s">
        <v>18958</v>
      </c>
      <c r="E491" s="2">
        <v>480655.0</v>
      </c>
      <c r="F491" s="2">
        <v>676.0</v>
      </c>
      <c r="G491" s="2">
        <v>1990.0</v>
      </c>
      <c r="H491" s="2" t="s">
        <v>5905</v>
      </c>
      <c r="I491" s="2" t="s">
        <v>5905</v>
      </c>
      <c r="L491" s="10" t="s">
        <v>18959</v>
      </c>
    </row>
    <row r="492">
      <c r="A492" s="2" t="s">
        <v>4472</v>
      </c>
      <c r="B492" s="2" t="s">
        <v>18960</v>
      </c>
      <c r="C492" s="2">
        <v>6.7577160143E10</v>
      </c>
      <c r="D492" s="2" t="s">
        <v>18961</v>
      </c>
      <c r="E492" s="2">
        <v>12226.0</v>
      </c>
      <c r="F492" s="2">
        <v>36.0</v>
      </c>
      <c r="G492" s="2">
        <v>26.0</v>
      </c>
      <c r="H492" s="2" t="s">
        <v>5905</v>
      </c>
      <c r="I492" s="2" t="s">
        <v>5906</v>
      </c>
      <c r="J492" s="2" t="s">
        <v>7414</v>
      </c>
      <c r="K492" s="2" t="s">
        <v>18962</v>
      </c>
      <c r="L492" s="10" t="s">
        <v>18963</v>
      </c>
    </row>
    <row r="493">
      <c r="A493" s="2" t="s">
        <v>4489</v>
      </c>
      <c r="B493" s="2" t="s">
        <v>18964</v>
      </c>
      <c r="C493" s="2">
        <v>5.391434467E9</v>
      </c>
      <c r="D493" s="2" t="s">
        <v>18965</v>
      </c>
      <c r="E493" s="2">
        <v>182960.0</v>
      </c>
      <c r="F493" s="2">
        <v>2099.0</v>
      </c>
      <c r="G493" s="2">
        <v>10928.0</v>
      </c>
      <c r="H493" s="2" t="s">
        <v>5906</v>
      </c>
      <c r="I493" s="2" t="s">
        <v>5905</v>
      </c>
      <c r="J493" s="2" t="s">
        <v>4404</v>
      </c>
      <c r="K493" s="2" t="s">
        <v>18966</v>
      </c>
      <c r="L493" s="10" t="s">
        <v>18967</v>
      </c>
    </row>
    <row r="494">
      <c r="A494" s="2" t="s">
        <v>4489</v>
      </c>
      <c r="B494" s="2" t="s">
        <v>18968</v>
      </c>
      <c r="C494" s="2">
        <v>4.164465689E9</v>
      </c>
      <c r="D494" s="2" t="s">
        <v>18969</v>
      </c>
      <c r="E494" s="2">
        <v>283027.0</v>
      </c>
      <c r="F494" s="2">
        <v>9.0</v>
      </c>
      <c r="G494" s="2">
        <v>2811.0</v>
      </c>
      <c r="H494" s="2" t="s">
        <v>5906</v>
      </c>
      <c r="I494" s="2" t="s">
        <v>5905</v>
      </c>
      <c r="J494" s="2" t="s">
        <v>6166</v>
      </c>
      <c r="K494" s="2" t="s">
        <v>18970</v>
      </c>
      <c r="L494" s="10" t="s">
        <v>18971</v>
      </c>
    </row>
    <row r="495">
      <c r="A495" s="2" t="s">
        <v>4489</v>
      </c>
      <c r="B495" s="2" t="s">
        <v>18972</v>
      </c>
      <c r="C495" s="2">
        <v>3.3389198854E10</v>
      </c>
      <c r="D495" s="2" t="s">
        <v>18973</v>
      </c>
      <c r="E495" s="2">
        <v>32257.0</v>
      </c>
      <c r="F495" s="2">
        <v>923.0</v>
      </c>
      <c r="G495" s="2">
        <v>3508.0</v>
      </c>
      <c r="H495" s="2" t="s">
        <v>5906</v>
      </c>
      <c r="I495" s="2" t="s">
        <v>5905</v>
      </c>
      <c r="J495" s="2" t="s">
        <v>5480</v>
      </c>
      <c r="K495" s="2" t="s">
        <v>18974</v>
      </c>
    </row>
    <row r="496">
      <c r="A496" s="2" t="s">
        <v>4489</v>
      </c>
      <c r="B496" s="2" t="s">
        <v>18975</v>
      </c>
      <c r="C496" s="2">
        <v>8.24733321E9</v>
      </c>
      <c r="D496" s="2" t="s">
        <v>18976</v>
      </c>
      <c r="E496" s="2">
        <v>416821.0</v>
      </c>
      <c r="F496" s="2">
        <v>0.0</v>
      </c>
      <c r="G496" s="2">
        <v>639.0</v>
      </c>
      <c r="H496" s="2" t="s">
        <v>5906</v>
      </c>
      <c r="I496" s="2" t="s">
        <v>5906</v>
      </c>
      <c r="J496" s="2" t="s">
        <v>4996</v>
      </c>
      <c r="K496" s="2" t="s">
        <v>18977</v>
      </c>
      <c r="L496" s="10" t="s">
        <v>18978</v>
      </c>
    </row>
    <row r="497">
      <c r="A497" s="2" t="s">
        <v>4489</v>
      </c>
      <c r="B497" s="2" t="s">
        <v>18979</v>
      </c>
      <c r="C497" s="2">
        <v>7.4746086768E10</v>
      </c>
      <c r="D497" s="2" t="s">
        <v>18980</v>
      </c>
      <c r="E497" s="2">
        <v>172829.0</v>
      </c>
      <c r="F497" s="2">
        <v>8.0</v>
      </c>
      <c r="G497" s="2">
        <v>213.0</v>
      </c>
      <c r="H497" s="2" t="s">
        <v>5905</v>
      </c>
      <c r="I497" s="2" t="s">
        <v>5905</v>
      </c>
      <c r="J497" s="2" t="s">
        <v>5959</v>
      </c>
      <c r="K497" s="2" t="s">
        <v>18981</v>
      </c>
      <c r="L497" s="10" t="s">
        <v>18982</v>
      </c>
    </row>
    <row r="498">
      <c r="A498" s="2" t="s">
        <v>4489</v>
      </c>
      <c r="B498" s="2" t="s">
        <v>18983</v>
      </c>
      <c r="C498" s="2">
        <v>1.4199685729E10</v>
      </c>
      <c r="D498" s="2" t="s">
        <v>18984</v>
      </c>
      <c r="E498" s="2">
        <v>1484573.0</v>
      </c>
      <c r="F498" s="2">
        <v>57.0</v>
      </c>
      <c r="G498" s="2">
        <v>5205.0</v>
      </c>
      <c r="H498" s="2" t="s">
        <v>5905</v>
      </c>
      <c r="I498" s="2" t="s">
        <v>5906</v>
      </c>
      <c r="J498" s="2" t="s">
        <v>16587</v>
      </c>
      <c r="K498" s="2" t="s">
        <v>18985</v>
      </c>
      <c r="L498" s="10" t="s">
        <v>18986</v>
      </c>
    </row>
    <row r="499">
      <c r="A499" s="2" t="s">
        <v>4489</v>
      </c>
      <c r="B499" s="2" t="s">
        <v>18987</v>
      </c>
      <c r="C499" s="2">
        <v>5.1680113364E10</v>
      </c>
      <c r="D499" s="2" t="s">
        <v>18988</v>
      </c>
      <c r="E499" s="2">
        <v>173428.0</v>
      </c>
      <c r="F499" s="2">
        <v>435.0</v>
      </c>
      <c r="G499" s="2">
        <v>102.0</v>
      </c>
      <c r="H499" s="2" t="s">
        <v>5905</v>
      </c>
      <c r="I499" s="2" t="s">
        <v>5906</v>
      </c>
      <c r="J499" s="2" t="s">
        <v>6124</v>
      </c>
    </row>
    <row r="500">
      <c r="A500" s="2" t="s">
        <v>4489</v>
      </c>
      <c r="B500" s="2" t="s">
        <v>18989</v>
      </c>
      <c r="C500" s="2">
        <v>4.7698705526E10</v>
      </c>
      <c r="D500" s="2" t="s">
        <v>18990</v>
      </c>
      <c r="E500" s="2">
        <v>257632.0</v>
      </c>
      <c r="F500" s="2">
        <v>450.0</v>
      </c>
      <c r="G500" s="2">
        <v>85.0</v>
      </c>
      <c r="H500" s="2" t="s">
        <v>5905</v>
      </c>
      <c r="I500" s="2" t="s">
        <v>5905</v>
      </c>
      <c r="J500" s="2" t="s">
        <v>5959</v>
      </c>
      <c r="K500" s="2" t="s">
        <v>18991</v>
      </c>
      <c r="L500" s="10" t="s">
        <v>18992</v>
      </c>
    </row>
    <row r="501">
      <c r="A501" s="2" t="s">
        <v>4646</v>
      </c>
      <c r="B501" s="2" t="s">
        <v>18993</v>
      </c>
      <c r="C501" s="2">
        <v>3.8662843209E10</v>
      </c>
      <c r="D501" s="2" t="s">
        <v>18994</v>
      </c>
      <c r="E501" s="2">
        <v>16595.0</v>
      </c>
      <c r="F501" s="2">
        <v>151.0</v>
      </c>
      <c r="G501" s="2">
        <v>111.0</v>
      </c>
      <c r="H501" s="2" t="s">
        <v>5905</v>
      </c>
      <c r="I501" s="2" t="s">
        <v>5905</v>
      </c>
      <c r="J501" s="2" t="s">
        <v>5993</v>
      </c>
      <c r="K501" s="2" t="s">
        <v>18995</v>
      </c>
      <c r="L501" s="10" t="s">
        <v>18996</v>
      </c>
    </row>
    <row r="502">
      <c r="A502" s="2" t="s">
        <v>4646</v>
      </c>
      <c r="B502" s="2" t="s">
        <v>18997</v>
      </c>
      <c r="C502" s="2">
        <v>7.1664461377E10</v>
      </c>
      <c r="D502" s="2" t="s">
        <v>18998</v>
      </c>
      <c r="E502" s="2">
        <v>17584.0</v>
      </c>
      <c r="F502" s="2">
        <v>3.0</v>
      </c>
      <c r="G502" s="2">
        <v>177.0</v>
      </c>
      <c r="H502" s="2" t="s">
        <v>5905</v>
      </c>
      <c r="I502" s="2" t="s">
        <v>5905</v>
      </c>
      <c r="J502" s="2" t="s">
        <v>18999</v>
      </c>
    </row>
    <row r="503">
      <c r="A503" s="2" t="s">
        <v>4646</v>
      </c>
      <c r="B503" s="2" t="s">
        <v>19000</v>
      </c>
      <c r="C503" s="2">
        <v>5.0508137717E10</v>
      </c>
      <c r="D503" s="2" t="s">
        <v>19001</v>
      </c>
      <c r="E503" s="2">
        <v>8955763.0</v>
      </c>
      <c r="F503" s="2">
        <v>12.0</v>
      </c>
      <c r="G503" s="2">
        <v>3072.0</v>
      </c>
      <c r="H503" s="2" t="s">
        <v>5905</v>
      </c>
      <c r="I503" s="2" t="s">
        <v>5905</v>
      </c>
      <c r="J503" s="2" t="s">
        <v>18999</v>
      </c>
      <c r="K503" s="2" t="s">
        <v>19002</v>
      </c>
      <c r="L503" s="10" t="s">
        <v>19003</v>
      </c>
    </row>
    <row r="504">
      <c r="A504" s="2" t="s">
        <v>4581</v>
      </c>
      <c r="B504" s="2" t="s">
        <v>19004</v>
      </c>
      <c r="C504" s="2">
        <v>5.8489790806E10</v>
      </c>
      <c r="D504" s="2" t="s">
        <v>19005</v>
      </c>
      <c r="E504" s="2">
        <v>838352.0</v>
      </c>
      <c r="F504" s="2">
        <v>30.0</v>
      </c>
      <c r="G504" s="2">
        <v>471.0</v>
      </c>
      <c r="H504" s="2" t="s">
        <v>5905</v>
      </c>
      <c r="I504" s="2" t="s">
        <v>5905</v>
      </c>
      <c r="J504" s="2" t="s">
        <v>19006</v>
      </c>
      <c r="K504" s="2" t="s">
        <v>19007</v>
      </c>
      <c r="L504" s="10" t="s">
        <v>19008</v>
      </c>
    </row>
    <row r="505">
      <c r="A505" s="2" t="s">
        <v>4581</v>
      </c>
      <c r="B505" s="2" t="s">
        <v>19009</v>
      </c>
      <c r="C505" s="2">
        <v>1.8328422E7</v>
      </c>
      <c r="D505" s="2" t="s">
        <v>19010</v>
      </c>
      <c r="E505" s="2">
        <v>4.9461637E7</v>
      </c>
      <c r="F505" s="2">
        <v>79.0</v>
      </c>
      <c r="G505" s="2">
        <v>22361.0</v>
      </c>
      <c r="H505" s="2" t="s">
        <v>5906</v>
      </c>
      <c r="I505" s="2" t="s">
        <v>5906</v>
      </c>
      <c r="J505" s="2" t="s">
        <v>5959</v>
      </c>
      <c r="K505" s="2" t="s">
        <v>19011</v>
      </c>
      <c r="L505" s="10" t="s">
        <v>19012</v>
      </c>
    </row>
    <row r="506">
      <c r="A506" s="2" t="s">
        <v>4581</v>
      </c>
      <c r="B506" s="2" t="s">
        <v>19013</v>
      </c>
      <c r="C506" s="2">
        <v>4.660500852E9</v>
      </c>
      <c r="E506" s="2">
        <v>552393.0</v>
      </c>
      <c r="F506" s="2">
        <v>762.0</v>
      </c>
      <c r="G506" s="2">
        <v>1655.0</v>
      </c>
      <c r="H506" s="2" t="s">
        <v>5905</v>
      </c>
      <c r="I506" s="2" t="s">
        <v>5906</v>
      </c>
    </row>
    <row r="507">
      <c r="A507" s="2" t="s">
        <v>4581</v>
      </c>
      <c r="B507" s="2" t="s">
        <v>19014</v>
      </c>
      <c r="C507" s="2">
        <v>4.964414137E10</v>
      </c>
      <c r="D507" s="2" t="s">
        <v>19015</v>
      </c>
      <c r="E507" s="2">
        <v>1331531.0</v>
      </c>
      <c r="F507" s="2">
        <v>514.0</v>
      </c>
      <c r="G507" s="2">
        <v>1202.0</v>
      </c>
      <c r="H507" s="2" t="s">
        <v>5905</v>
      </c>
      <c r="I507" s="2" t="s">
        <v>5906</v>
      </c>
      <c r="J507" s="2" t="s">
        <v>4404</v>
      </c>
      <c r="K507" s="2" t="s">
        <v>19016</v>
      </c>
      <c r="L507" s="10" t="s">
        <v>19017</v>
      </c>
    </row>
    <row r="508">
      <c r="A508" s="2" t="s">
        <v>4581</v>
      </c>
      <c r="B508" s="2" t="s">
        <v>19018</v>
      </c>
      <c r="C508" s="2">
        <v>1.741511328E9</v>
      </c>
      <c r="D508" s="2" t="s">
        <v>18999</v>
      </c>
      <c r="E508" s="2">
        <v>102444.0</v>
      </c>
      <c r="F508" s="2">
        <v>1709.0</v>
      </c>
      <c r="G508" s="2">
        <v>2447.0</v>
      </c>
      <c r="H508" s="2" t="s">
        <v>5905</v>
      </c>
      <c r="I508" s="2" t="s">
        <v>5906</v>
      </c>
      <c r="J508" s="2" t="s">
        <v>5518</v>
      </c>
      <c r="K508" s="2" t="s">
        <v>19019</v>
      </c>
      <c r="L508" s="10" t="s">
        <v>19020</v>
      </c>
    </row>
    <row r="509">
      <c r="A509" s="2" t="s">
        <v>4581</v>
      </c>
      <c r="B509" s="2" t="s">
        <v>19021</v>
      </c>
      <c r="C509" s="2">
        <v>9467729.0</v>
      </c>
      <c r="D509" s="2" t="s">
        <v>19022</v>
      </c>
      <c r="E509" s="2">
        <v>10325.0</v>
      </c>
      <c r="F509" s="2">
        <v>784.0</v>
      </c>
      <c r="G509" s="2">
        <v>19.0</v>
      </c>
      <c r="H509" s="2" t="s">
        <v>5906</v>
      </c>
      <c r="I509" s="2" t="s">
        <v>5905</v>
      </c>
      <c r="J509" s="2" t="s">
        <v>6628</v>
      </c>
      <c r="K509" s="2" t="s">
        <v>19023</v>
      </c>
      <c r="L509" s="10" t="s">
        <v>19024</v>
      </c>
    </row>
    <row r="510">
      <c r="A510" s="2" t="s">
        <v>4581</v>
      </c>
      <c r="B510" s="2" t="s">
        <v>19025</v>
      </c>
      <c r="C510" s="2">
        <v>3.5661082491E10</v>
      </c>
      <c r="D510" s="2" t="s">
        <v>19026</v>
      </c>
      <c r="E510" s="2">
        <v>174212.0</v>
      </c>
      <c r="F510" s="2">
        <v>0.0</v>
      </c>
      <c r="G510" s="2">
        <v>1677.0</v>
      </c>
      <c r="H510" s="2" t="s">
        <v>5905</v>
      </c>
      <c r="I510" s="2" t="s">
        <v>5905</v>
      </c>
      <c r="J510" s="2" t="s">
        <v>5928</v>
      </c>
      <c r="K510" s="2" t="s">
        <v>19027</v>
      </c>
      <c r="L510" s="10" t="s">
        <v>19028</v>
      </c>
    </row>
    <row r="511">
      <c r="A511" s="2" t="s">
        <v>4581</v>
      </c>
      <c r="B511" s="2" t="s">
        <v>19029</v>
      </c>
      <c r="C511" s="2">
        <v>7.590619995E9</v>
      </c>
      <c r="D511" s="2" t="s">
        <v>19030</v>
      </c>
      <c r="E511" s="2">
        <v>313738.0</v>
      </c>
      <c r="F511" s="2">
        <v>986.0</v>
      </c>
      <c r="G511" s="2">
        <v>399.0</v>
      </c>
      <c r="H511" s="2" t="s">
        <v>5905</v>
      </c>
      <c r="I511" s="2" t="s">
        <v>5906</v>
      </c>
      <c r="J511" s="2" t="s">
        <v>5993</v>
      </c>
      <c r="K511" s="2" t="s">
        <v>19031</v>
      </c>
      <c r="L511" s="10" t="s">
        <v>19032</v>
      </c>
    </row>
    <row r="512">
      <c r="A512" s="2" t="s">
        <v>4581</v>
      </c>
      <c r="B512" s="2" t="s">
        <v>19033</v>
      </c>
      <c r="C512" s="2">
        <v>5.5344762436E10</v>
      </c>
      <c r="D512" s="2" t="s">
        <v>19034</v>
      </c>
      <c r="E512" s="2">
        <v>28897.0</v>
      </c>
      <c r="F512" s="2">
        <v>454.0</v>
      </c>
      <c r="G512" s="2">
        <v>1154.0</v>
      </c>
      <c r="H512" s="2" t="s">
        <v>5906</v>
      </c>
      <c r="I512" s="2" t="s">
        <v>5906</v>
      </c>
      <c r="J512" s="2" t="s">
        <v>19035</v>
      </c>
      <c r="K512" s="2" t="s">
        <v>19036</v>
      </c>
      <c r="L512" s="10" t="s">
        <v>19037</v>
      </c>
    </row>
    <row r="513">
      <c r="A513" s="2" t="s">
        <v>4581</v>
      </c>
      <c r="B513" s="10" t="s">
        <v>19038</v>
      </c>
      <c r="C513" s="2">
        <v>5.7275721474E10</v>
      </c>
      <c r="D513" s="2" t="s">
        <v>19039</v>
      </c>
      <c r="E513" s="2">
        <v>8244910.0</v>
      </c>
      <c r="F513" s="2">
        <v>0.0</v>
      </c>
      <c r="G513" s="2">
        <v>11579.0</v>
      </c>
      <c r="H513" s="2" t="s">
        <v>5905</v>
      </c>
      <c r="I513" s="2" t="s">
        <v>5905</v>
      </c>
      <c r="J513" s="2" t="s">
        <v>5928</v>
      </c>
      <c r="K513" s="2" t="s">
        <v>19040</v>
      </c>
      <c r="L513" s="10" t="s">
        <v>19041</v>
      </c>
    </row>
    <row r="514">
      <c r="A514" s="2" t="s">
        <v>4581</v>
      </c>
      <c r="B514" s="2" t="s">
        <v>19042</v>
      </c>
      <c r="C514" s="2">
        <v>4.5527871517E10</v>
      </c>
      <c r="D514" s="2" t="s">
        <v>19043</v>
      </c>
      <c r="E514" s="2">
        <v>64044.0</v>
      </c>
      <c r="F514" s="2">
        <v>4.0</v>
      </c>
      <c r="G514" s="2">
        <v>1402.0</v>
      </c>
      <c r="H514" s="2" t="s">
        <v>5906</v>
      </c>
      <c r="I514" s="2" t="s">
        <v>5906</v>
      </c>
      <c r="J514" s="2" t="s">
        <v>9470</v>
      </c>
      <c r="K514" s="2" t="s">
        <v>19044</v>
      </c>
      <c r="L514" s="10" t="s">
        <v>19045</v>
      </c>
    </row>
    <row r="515">
      <c r="A515" s="2" t="s">
        <v>4269</v>
      </c>
      <c r="B515" s="2" t="s">
        <v>19046</v>
      </c>
      <c r="C515" s="2">
        <v>6.1412394647E10</v>
      </c>
      <c r="D515" s="2" t="s">
        <v>19047</v>
      </c>
      <c r="E515" s="2">
        <v>31858.0</v>
      </c>
      <c r="F515" s="2">
        <v>4.0</v>
      </c>
      <c r="G515" s="2">
        <v>224.0</v>
      </c>
      <c r="H515" s="2" t="s">
        <v>5905</v>
      </c>
      <c r="I515" s="2" t="s">
        <v>5905</v>
      </c>
      <c r="J515" s="2" t="s">
        <v>5928</v>
      </c>
      <c r="K515" s="2" t="s">
        <v>19048</v>
      </c>
      <c r="L515" s="10" t="s">
        <v>19049</v>
      </c>
    </row>
    <row r="516">
      <c r="A516" s="2" t="s">
        <v>5</v>
      </c>
      <c r="B516" s="2" t="s">
        <v>5</v>
      </c>
      <c r="C516" s="2">
        <v>3.1803747551E10</v>
      </c>
      <c r="D516" s="2" t="s">
        <v>19050</v>
      </c>
      <c r="E516" s="2">
        <v>1201393.0</v>
      </c>
      <c r="F516" s="2">
        <v>1096.0</v>
      </c>
      <c r="G516" s="2">
        <v>4841.0</v>
      </c>
      <c r="H516" s="2" t="s">
        <v>5906</v>
      </c>
      <c r="I516" s="2" t="s">
        <v>5906</v>
      </c>
      <c r="J516" s="2" t="s">
        <v>17093</v>
      </c>
      <c r="K516" s="2" t="s">
        <v>19051</v>
      </c>
      <c r="L516" s="10" t="s">
        <v>19052</v>
      </c>
    </row>
    <row r="517">
      <c r="A517" s="2" t="s">
        <v>5</v>
      </c>
      <c r="B517" s="2" t="s">
        <v>19053</v>
      </c>
      <c r="C517" s="2">
        <v>4.615505095E9</v>
      </c>
      <c r="D517" s="2" t="s">
        <v>19054</v>
      </c>
      <c r="E517" s="2">
        <v>178435.0</v>
      </c>
      <c r="F517" s="2">
        <v>2096.0</v>
      </c>
      <c r="G517" s="2">
        <v>8581.0</v>
      </c>
      <c r="H517" s="2" t="s">
        <v>5906</v>
      </c>
      <c r="I517" s="2" t="s">
        <v>5905</v>
      </c>
      <c r="J517" s="2" t="s">
        <v>5561</v>
      </c>
      <c r="K517" s="2" t="s">
        <v>19055</v>
      </c>
      <c r="L517" s="10" t="s">
        <v>19056</v>
      </c>
    </row>
    <row r="518">
      <c r="A518" s="2" t="s">
        <v>5</v>
      </c>
      <c r="B518" s="2" t="s">
        <v>19057</v>
      </c>
      <c r="C518" s="2">
        <v>7.1851293261E10</v>
      </c>
      <c r="D518" s="2" t="s">
        <v>19058</v>
      </c>
      <c r="E518" s="2">
        <v>13900.0</v>
      </c>
      <c r="F518" s="2">
        <v>2.0</v>
      </c>
      <c r="G518" s="2">
        <v>57.0</v>
      </c>
      <c r="H518" s="2" t="s">
        <v>5905</v>
      </c>
      <c r="I518" s="2" t="s">
        <v>5905</v>
      </c>
      <c r="K518" s="2" t="s">
        <v>19059</v>
      </c>
    </row>
    <row r="519">
      <c r="A519" s="2" t="s">
        <v>5</v>
      </c>
      <c r="B519" s="2" t="s">
        <v>19060</v>
      </c>
      <c r="C519" s="2">
        <v>2.4883067538E10</v>
      </c>
      <c r="D519" s="2" t="s">
        <v>19061</v>
      </c>
      <c r="E519" s="2">
        <v>2138901.0</v>
      </c>
      <c r="F519" s="2">
        <v>895.0</v>
      </c>
      <c r="G519" s="2">
        <v>6329.0</v>
      </c>
      <c r="H519" s="2" t="s">
        <v>5906</v>
      </c>
      <c r="I519" s="2" t="s">
        <v>5906</v>
      </c>
      <c r="J519" s="2" t="s">
        <v>6068</v>
      </c>
      <c r="K519" s="2" t="s">
        <v>19062</v>
      </c>
      <c r="L519" s="10" t="s">
        <v>19063</v>
      </c>
    </row>
    <row r="520">
      <c r="A520" s="2" t="s">
        <v>5</v>
      </c>
      <c r="B520" s="2" t="s">
        <v>19064</v>
      </c>
      <c r="C520" s="2">
        <v>2.0930134418E10</v>
      </c>
      <c r="D520" s="2" t="s">
        <v>19065</v>
      </c>
      <c r="E520" s="2">
        <v>30502.0</v>
      </c>
      <c r="F520" s="2">
        <v>541.0</v>
      </c>
      <c r="G520" s="2">
        <v>410.0</v>
      </c>
      <c r="H520" s="2" t="s">
        <v>5906</v>
      </c>
      <c r="I520" s="2" t="s">
        <v>5906</v>
      </c>
      <c r="J520" s="2" t="s">
        <v>8144</v>
      </c>
      <c r="K520" s="2" t="s">
        <v>19066</v>
      </c>
      <c r="L520" s="10" t="s">
        <v>19067</v>
      </c>
    </row>
    <row r="521">
      <c r="A521" s="2" t="s">
        <v>5</v>
      </c>
      <c r="B521" s="2" t="s">
        <v>19068</v>
      </c>
      <c r="C521" s="2">
        <v>3.21204549E8</v>
      </c>
      <c r="D521" s="2" t="s">
        <v>19069</v>
      </c>
      <c r="E521" s="2">
        <v>247759.0</v>
      </c>
      <c r="F521" s="2">
        <v>320.0</v>
      </c>
      <c r="G521" s="2">
        <v>5532.0</v>
      </c>
      <c r="H521" s="2" t="s">
        <v>5905</v>
      </c>
      <c r="I521" s="2" t="s">
        <v>5906</v>
      </c>
      <c r="J521" s="2" t="s">
        <v>7155</v>
      </c>
      <c r="K521" s="2" t="s">
        <v>19070</v>
      </c>
      <c r="L521" s="10" t="s">
        <v>19071</v>
      </c>
    </row>
    <row r="522">
      <c r="A522" s="2" t="s">
        <v>5</v>
      </c>
      <c r="B522" s="2" t="s">
        <v>19072</v>
      </c>
      <c r="C522" s="2">
        <v>1.4309819139E10</v>
      </c>
      <c r="D522" s="2" t="s">
        <v>19073</v>
      </c>
      <c r="E522" s="2">
        <v>251381.0</v>
      </c>
      <c r="F522" s="2">
        <v>60.0</v>
      </c>
      <c r="G522" s="2">
        <v>740.0</v>
      </c>
      <c r="H522" s="2" t="s">
        <v>5905</v>
      </c>
      <c r="I522" s="2" t="s">
        <v>5905</v>
      </c>
      <c r="J522" s="2" t="s">
        <v>5959</v>
      </c>
      <c r="K522" s="2" t="s">
        <v>19074</v>
      </c>
      <c r="L522" s="10" t="s">
        <v>19075</v>
      </c>
    </row>
    <row r="523">
      <c r="A523" s="2" t="s">
        <v>5</v>
      </c>
      <c r="B523" s="2" t="s">
        <v>19076</v>
      </c>
      <c r="C523" s="2">
        <v>2.0045880841E10</v>
      </c>
      <c r="D523" s="2" t="s">
        <v>19077</v>
      </c>
      <c r="E523" s="2">
        <v>11777.0</v>
      </c>
      <c r="F523" s="2">
        <v>874.0</v>
      </c>
      <c r="G523" s="2">
        <v>82.0</v>
      </c>
      <c r="H523" s="2" t="s">
        <v>5905</v>
      </c>
      <c r="I523" s="2" t="s">
        <v>5905</v>
      </c>
      <c r="J523" s="2" t="s">
        <v>8144</v>
      </c>
      <c r="K523" s="2" t="s">
        <v>19078</v>
      </c>
      <c r="L523" s="10" t="s">
        <v>19079</v>
      </c>
    </row>
    <row r="524">
      <c r="A524" s="2" t="s">
        <v>5</v>
      </c>
      <c r="B524" s="2" t="s">
        <v>19080</v>
      </c>
      <c r="C524" s="2">
        <v>9.890478647E9</v>
      </c>
      <c r="D524" s="2" t="s">
        <v>19081</v>
      </c>
      <c r="E524" s="2">
        <v>14699.0</v>
      </c>
      <c r="F524" s="2">
        <v>1054.0</v>
      </c>
      <c r="G524" s="2">
        <v>205.0</v>
      </c>
      <c r="H524" s="2" t="s">
        <v>5905</v>
      </c>
      <c r="I524" s="2" t="s">
        <v>5905</v>
      </c>
      <c r="J524" s="2" t="s">
        <v>7155</v>
      </c>
      <c r="K524" s="2" t="s">
        <v>19082</v>
      </c>
    </row>
    <row r="525">
      <c r="A525" s="2" t="s">
        <v>5</v>
      </c>
      <c r="B525" s="2" t="s">
        <v>19083</v>
      </c>
      <c r="C525" s="2">
        <v>1.336622078E9</v>
      </c>
      <c r="D525" s="2" t="s">
        <v>19084</v>
      </c>
      <c r="E525" s="2">
        <v>468742.0</v>
      </c>
      <c r="F525" s="2">
        <v>80.0</v>
      </c>
      <c r="G525" s="2">
        <v>5772.0</v>
      </c>
      <c r="H525" s="2" t="s">
        <v>5906</v>
      </c>
      <c r="I525" s="2" t="s">
        <v>5906</v>
      </c>
      <c r="J525" s="2" t="s">
        <v>7155</v>
      </c>
      <c r="K525" s="2" t="s">
        <v>19085</v>
      </c>
      <c r="L525" s="10" t="s">
        <v>19086</v>
      </c>
    </row>
    <row r="526">
      <c r="A526" s="2" t="s">
        <v>4500</v>
      </c>
      <c r="B526" s="2" t="s">
        <v>19087</v>
      </c>
      <c r="C526" s="2">
        <v>4.4023165756E10</v>
      </c>
      <c r="D526" s="2" t="s">
        <v>19088</v>
      </c>
      <c r="E526" s="2">
        <v>137772.0</v>
      </c>
      <c r="F526" s="2">
        <v>117.0</v>
      </c>
      <c r="G526" s="2">
        <v>1498.0</v>
      </c>
      <c r="H526" s="2" t="s">
        <v>5905</v>
      </c>
      <c r="I526" s="2" t="s">
        <v>5906</v>
      </c>
      <c r="J526" s="2" t="s">
        <v>5561</v>
      </c>
      <c r="K526" s="2" t="s">
        <v>19089</v>
      </c>
      <c r="L526" s="10" t="s">
        <v>19090</v>
      </c>
    </row>
    <row r="527">
      <c r="A527" s="2" t="s">
        <v>4500</v>
      </c>
      <c r="B527" s="2" t="s">
        <v>19091</v>
      </c>
      <c r="C527" s="2">
        <v>5.8361967243E10</v>
      </c>
      <c r="D527" s="2" t="s">
        <v>19092</v>
      </c>
      <c r="E527" s="2">
        <v>838419.0</v>
      </c>
      <c r="F527" s="2">
        <v>241.0</v>
      </c>
      <c r="G527" s="2">
        <v>16.0</v>
      </c>
      <c r="H527" s="2" t="s">
        <v>5905</v>
      </c>
      <c r="I527" s="2" t="s">
        <v>5905</v>
      </c>
      <c r="J527" s="2" t="s">
        <v>5391</v>
      </c>
      <c r="K527" s="2" t="s">
        <v>19093</v>
      </c>
      <c r="L527" s="10" t="s">
        <v>19094</v>
      </c>
    </row>
    <row r="528">
      <c r="A528" s="2" t="s">
        <v>4500</v>
      </c>
      <c r="B528" s="2" t="s">
        <v>19095</v>
      </c>
      <c r="C528" s="2">
        <v>5.474917067E9</v>
      </c>
      <c r="D528" s="10" t="s">
        <v>19096</v>
      </c>
      <c r="E528" s="2">
        <v>1247491.0</v>
      </c>
      <c r="F528" s="2">
        <v>882.0</v>
      </c>
      <c r="G528" s="2">
        <v>1199.0</v>
      </c>
      <c r="H528" s="2" t="s">
        <v>5906</v>
      </c>
      <c r="I528" s="2" t="s">
        <v>5906</v>
      </c>
      <c r="K528" s="2" t="s">
        <v>19097</v>
      </c>
      <c r="L528" s="10" t="s">
        <v>19098</v>
      </c>
    </row>
    <row r="529">
      <c r="A529" s="2" t="s">
        <v>4500</v>
      </c>
      <c r="B529" s="2" t="s">
        <v>19099</v>
      </c>
      <c r="C529" s="2">
        <v>6.058651169E10</v>
      </c>
      <c r="D529" s="2" t="s">
        <v>19100</v>
      </c>
      <c r="E529" s="2">
        <v>304812.0</v>
      </c>
      <c r="F529" s="2">
        <v>308.0</v>
      </c>
      <c r="G529" s="2">
        <v>578.0</v>
      </c>
      <c r="H529" s="2" t="s">
        <v>5906</v>
      </c>
      <c r="I529" s="2" t="s">
        <v>5906</v>
      </c>
      <c r="J529" s="2" t="s">
        <v>5907</v>
      </c>
      <c r="K529" s="2" t="s">
        <v>19101</v>
      </c>
      <c r="L529" s="10" t="s">
        <v>19102</v>
      </c>
    </row>
    <row r="530">
      <c r="A530" s="2" t="s">
        <v>4500</v>
      </c>
      <c r="B530" s="2" t="s">
        <v>19103</v>
      </c>
      <c r="C530" s="2">
        <v>3.448180862E9</v>
      </c>
      <c r="D530" s="2" t="s">
        <v>19104</v>
      </c>
      <c r="E530" s="2">
        <v>453170.0</v>
      </c>
      <c r="F530" s="2">
        <v>95.0</v>
      </c>
      <c r="G530" s="2">
        <v>3508.0</v>
      </c>
      <c r="H530" s="2" t="s">
        <v>5906</v>
      </c>
      <c r="I530" s="2" t="s">
        <v>5905</v>
      </c>
      <c r="J530" s="2" t="s">
        <v>9848</v>
      </c>
      <c r="K530" s="2" t="s">
        <v>19105</v>
      </c>
      <c r="L530" s="10" t="s">
        <v>19106</v>
      </c>
    </row>
    <row r="531">
      <c r="A531" s="2" t="s">
        <v>4500</v>
      </c>
      <c r="B531" s="2" t="s">
        <v>19107</v>
      </c>
      <c r="C531" s="2">
        <v>5.555981664E9</v>
      </c>
      <c r="D531" s="2" t="s">
        <v>19108</v>
      </c>
      <c r="E531" s="2">
        <v>708947.0</v>
      </c>
      <c r="F531" s="2">
        <v>0.0</v>
      </c>
      <c r="G531" s="2">
        <v>3251.0</v>
      </c>
      <c r="H531" s="2" t="s">
        <v>5905</v>
      </c>
      <c r="I531" s="2" t="s">
        <v>5906</v>
      </c>
      <c r="J531" s="2" t="s">
        <v>5561</v>
      </c>
      <c r="K531" s="2" t="s">
        <v>19109</v>
      </c>
      <c r="L531" s="10" t="s">
        <v>19110</v>
      </c>
    </row>
    <row r="532">
      <c r="A532" s="2" t="s">
        <v>4500</v>
      </c>
      <c r="B532" s="2" t="s">
        <v>19111</v>
      </c>
      <c r="C532" s="2">
        <v>6.170438041E10</v>
      </c>
      <c r="D532" s="2" t="s">
        <v>19112</v>
      </c>
      <c r="E532" s="2">
        <v>159957.0</v>
      </c>
      <c r="F532" s="2">
        <v>6491.0</v>
      </c>
      <c r="G532" s="2">
        <v>32.0</v>
      </c>
      <c r="H532" s="2" t="s">
        <v>5906</v>
      </c>
      <c r="I532" s="2" t="s">
        <v>5905</v>
      </c>
      <c r="J532" s="2" t="s">
        <v>5391</v>
      </c>
      <c r="K532" s="2" t="s">
        <v>19113</v>
      </c>
      <c r="L532" s="10" t="s">
        <v>19114</v>
      </c>
    </row>
    <row r="533">
      <c r="A533" s="2" t="s">
        <v>4500</v>
      </c>
      <c r="B533" s="2" t="s">
        <v>19115</v>
      </c>
      <c r="C533" s="2">
        <v>4.4690634158E10</v>
      </c>
      <c r="D533" s="2" t="s">
        <v>19116</v>
      </c>
      <c r="E533" s="2">
        <v>1050970.0</v>
      </c>
      <c r="F533" s="2">
        <v>33.0</v>
      </c>
      <c r="G533" s="2">
        <v>3534.0</v>
      </c>
      <c r="H533" s="2" t="s">
        <v>5906</v>
      </c>
      <c r="I533" s="2" t="s">
        <v>5906</v>
      </c>
      <c r="J533" s="2" t="s">
        <v>18013</v>
      </c>
      <c r="K533" s="2" t="s">
        <v>19117</v>
      </c>
      <c r="L533" s="10" t="s">
        <v>19118</v>
      </c>
    </row>
    <row r="534">
      <c r="A534" s="2" t="s">
        <v>4682</v>
      </c>
      <c r="B534" s="2" t="s">
        <v>19119</v>
      </c>
      <c r="C534" s="2">
        <v>5.833273548E9</v>
      </c>
      <c r="D534" s="2" t="s">
        <v>19120</v>
      </c>
      <c r="E534" s="2">
        <v>567800.0</v>
      </c>
      <c r="F534" s="2">
        <v>54.0</v>
      </c>
      <c r="G534" s="2">
        <v>3618.0</v>
      </c>
      <c r="H534" s="2" t="s">
        <v>5905</v>
      </c>
      <c r="I534" s="2" t="s">
        <v>5906</v>
      </c>
      <c r="J534" s="2" t="s">
        <v>6002</v>
      </c>
      <c r="K534" s="2" t="s">
        <v>19121</v>
      </c>
      <c r="L534" s="10" t="s">
        <v>19122</v>
      </c>
    </row>
    <row r="535">
      <c r="A535" s="2" t="s">
        <v>4682</v>
      </c>
      <c r="B535" s="2" t="s">
        <v>19123</v>
      </c>
      <c r="C535" s="2">
        <v>7.373377923E9</v>
      </c>
      <c r="D535" s="2" t="s">
        <v>19124</v>
      </c>
      <c r="E535" s="2">
        <v>275754.0</v>
      </c>
      <c r="F535" s="2">
        <v>3702.0</v>
      </c>
      <c r="G535" s="2">
        <v>19202.0</v>
      </c>
      <c r="H535" s="2" t="s">
        <v>5905</v>
      </c>
      <c r="I535" s="2" t="s">
        <v>5906</v>
      </c>
      <c r="J535" s="2" t="s">
        <v>19125</v>
      </c>
      <c r="K535" s="2" t="s">
        <v>19126</v>
      </c>
    </row>
    <row r="536">
      <c r="A536" s="2" t="s">
        <v>4682</v>
      </c>
      <c r="B536" s="2" t="s">
        <v>19115</v>
      </c>
      <c r="C536" s="2">
        <v>4.4690634158E10</v>
      </c>
      <c r="D536" s="2" t="s">
        <v>19116</v>
      </c>
      <c r="E536" s="2">
        <v>1050963.0</v>
      </c>
      <c r="F536" s="2">
        <v>33.0</v>
      </c>
      <c r="G536" s="2">
        <v>3534.0</v>
      </c>
      <c r="H536" s="2" t="s">
        <v>5906</v>
      </c>
      <c r="I536" s="2" t="s">
        <v>5906</v>
      </c>
      <c r="J536" s="2" t="s">
        <v>18013</v>
      </c>
      <c r="K536" s="2" t="s">
        <v>19117</v>
      </c>
      <c r="L536" s="10" t="s">
        <v>19118</v>
      </c>
    </row>
    <row r="537">
      <c r="A537" s="2" t="s">
        <v>4682</v>
      </c>
      <c r="B537" s="2" t="s">
        <v>19127</v>
      </c>
      <c r="C537" s="2">
        <v>4.7695688167E10</v>
      </c>
      <c r="D537" s="2" t="s">
        <v>19128</v>
      </c>
      <c r="E537" s="2">
        <v>10800.0</v>
      </c>
      <c r="F537" s="2">
        <v>1.0</v>
      </c>
      <c r="G537" s="2">
        <v>50.0</v>
      </c>
      <c r="H537" s="2" t="s">
        <v>5905</v>
      </c>
      <c r="I537" s="2" t="s">
        <v>5906</v>
      </c>
      <c r="J537" s="2" t="s">
        <v>5928</v>
      </c>
      <c r="K537" s="2" t="s">
        <v>19129</v>
      </c>
      <c r="L537" s="10" t="s">
        <v>19130</v>
      </c>
    </row>
    <row r="538">
      <c r="A538" s="2" t="s">
        <v>4682</v>
      </c>
      <c r="B538" s="2" t="s">
        <v>19131</v>
      </c>
      <c r="C538" s="2">
        <v>6.437135199E10</v>
      </c>
      <c r="D538" s="2" t="s">
        <v>19132</v>
      </c>
      <c r="E538" s="2">
        <v>17149.0</v>
      </c>
      <c r="F538" s="2">
        <v>44.0</v>
      </c>
      <c r="G538" s="2">
        <v>65.0</v>
      </c>
      <c r="H538" s="2" t="s">
        <v>5905</v>
      </c>
      <c r="I538" s="2" t="s">
        <v>5906</v>
      </c>
      <c r="J538" s="2" t="s">
        <v>5959</v>
      </c>
      <c r="K538" s="2" t="s">
        <v>19133</v>
      </c>
      <c r="L538" s="10" t="s">
        <v>19134</v>
      </c>
    </row>
    <row r="539">
      <c r="A539" s="2" t="s">
        <v>4613</v>
      </c>
      <c r="B539" s="2" t="s">
        <v>19135</v>
      </c>
      <c r="C539" s="2">
        <v>1.445686478E9</v>
      </c>
      <c r="D539" s="2" t="s">
        <v>19136</v>
      </c>
      <c r="E539" s="2">
        <v>40546.0</v>
      </c>
      <c r="F539" s="2">
        <v>251.0</v>
      </c>
      <c r="G539" s="2">
        <v>111.0</v>
      </c>
      <c r="H539" s="2" t="s">
        <v>5905</v>
      </c>
      <c r="I539" s="2" t="s">
        <v>5905</v>
      </c>
      <c r="J539" s="2" t="s">
        <v>5959</v>
      </c>
      <c r="K539" s="2" t="s">
        <v>19137</v>
      </c>
      <c r="L539" s="10" t="s">
        <v>19138</v>
      </c>
    </row>
    <row r="540">
      <c r="A540" s="2" t="s">
        <v>4613</v>
      </c>
      <c r="B540" s="10" t="s">
        <v>19139</v>
      </c>
      <c r="C540" s="2">
        <v>6.690684749E10</v>
      </c>
      <c r="D540" s="2" t="s">
        <v>19140</v>
      </c>
      <c r="E540" s="2">
        <v>373113.0</v>
      </c>
      <c r="F540" s="2">
        <v>375.0</v>
      </c>
      <c r="G540" s="2">
        <v>131.0</v>
      </c>
      <c r="H540" s="2" t="s">
        <v>5906</v>
      </c>
      <c r="I540" s="2" t="s">
        <v>5905</v>
      </c>
      <c r="J540" s="2" t="s">
        <v>12284</v>
      </c>
      <c r="K540" s="2" t="s">
        <v>19141</v>
      </c>
      <c r="L540" s="10" t="s">
        <v>19142</v>
      </c>
    </row>
    <row r="541">
      <c r="A541" s="2" t="s">
        <v>4613</v>
      </c>
      <c r="B541" s="2" t="s">
        <v>19143</v>
      </c>
      <c r="C541" s="2">
        <v>3.4897909954E10</v>
      </c>
      <c r="D541" s="2" t="s">
        <v>19144</v>
      </c>
      <c r="E541" s="2">
        <v>80455.0</v>
      </c>
      <c r="F541" s="2">
        <v>40.0</v>
      </c>
      <c r="G541" s="2">
        <v>738.0</v>
      </c>
      <c r="H541" s="2" t="s">
        <v>5906</v>
      </c>
      <c r="I541" s="2" t="s">
        <v>5906</v>
      </c>
      <c r="J541" s="2" t="s">
        <v>5391</v>
      </c>
      <c r="K541" s="2" t="s">
        <v>19145</v>
      </c>
      <c r="L541" s="10" t="s">
        <v>19146</v>
      </c>
    </row>
    <row r="542">
      <c r="A542" s="2" t="s">
        <v>4613</v>
      </c>
      <c r="B542" s="2" t="s">
        <v>19147</v>
      </c>
      <c r="C542" s="2">
        <v>5.8257686388E10</v>
      </c>
      <c r="D542" s="12" t="s">
        <v>19148</v>
      </c>
      <c r="E542" s="2">
        <v>14352.0</v>
      </c>
      <c r="F542" s="2">
        <v>31.0</v>
      </c>
      <c r="G542" s="2">
        <v>21.0</v>
      </c>
      <c r="H542" s="2" t="s">
        <v>5905</v>
      </c>
      <c r="I542" s="2" t="s">
        <v>5905</v>
      </c>
      <c r="J542" s="2" t="s">
        <v>6393</v>
      </c>
      <c r="K542" s="12" t="s">
        <v>19149</v>
      </c>
      <c r="L542" s="10" t="s">
        <v>19150</v>
      </c>
    </row>
    <row r="543">
      <c r="A543" s="2" t="s">
        <v>4613</v>
      </c>
      <c r="B543" s="2" t="s">
        <v>19151</v>
      </c>
      <c r="C543" s="2">
        <v>6.449300502E10</v>
      </c>
      <c r="D543" s="2" t="s">
        <v>19152</v>
      </c>
      <c r="E543" s="2">
        <v>77610.0</v>
      </c>
      <c r="F543" s="2">
        <v>2.0</v>
      </c>
      <c r="G543" s="2">
        <v>1245.0</v>
      </c>
      <c r="H543" s="2" t="s">
        <v>5905</v>
      </c>
      <c r="I543" s="2" t="s">
        <v>5905</v>
      </c>
      <c r="J543" s="2" t="s">
        <v>5391</v>
      </c>
      <c r="K543" s="2" t="s">
        <v>19153</v>
      </c>
    </row>
    <row r="544">
      <c r="A544" s="2" t="s">
        <v>4613</v>
      </c>
      <c r="B544" s="2" t="s">
        <v>19154</v>
      </c>
      <c r="C544" s="2">
        <v>1.940964739E9</v>
      </c>
      <c r="D544" s="2" t="s">
        <v>19155</v>
      </c>
      <c r="E544" s="2">
        <v>51906.0</v>
      </c>
      <c r="F544" s="2">
        <v>53.0</v>
      </c>
      <c r="G544" s="2">
        <v>36.0</v>
      </c>
      <c r="H544" s="2" t="s">
        <v>5905</v>
      </c>
      <c r="I544" s="2" t="s">
        <v>5906</v>
      </c>
      <c r="K544" s="2" t="s">
        <v>19156</v>
      </c>
    </row>
    <row r="545">
      <c r="A545" s="2" t="s">
        <v>4613</v>
      </c>
      <c r="B545" s="2" t="s">
        <v>19157</v>
      </c>
      <c r="C545" s="2">
        <v>2.5090584E7</v>
      </c>
      <c r="D545" s="2" t="s">
        <v>19158</v>
      </c>
      <c r="E545" s="2">
        <v>1318571.0</v>
      </c>
      <c r="F545" s="2">
        <v>3431.0</v>
      </c>
      <c r="G545" s="2">
        <v>1782.0</v>
      </c>
      <c r="H545" s="2" t="s">
        <v>5906</v>
      </c>
      <c r="I545" s="2" t="s">
        <v>5905</v>
      </c>
      <c r="J545" s="2" t="s">
        <v>5959</v>
      </c>
      <c r="K545" s="2" t="s">
        <v>19159</v>
      </c>
      <c r="L545" s="10" t="s">
        <v>19160</v>
      </c>
    </row>
    <row r="546">
      <c r="A546" s="2" t="s">
        <v>4613</v>
      </c>
      <c r="B546" s="2" t="s">
        <v>19161</v>
      </c>
      <c r="C546" s="2">
        <v>6.687809132E10</v>
      </c>
      <c r="D546" s="2" t="s">
        <v>19162</v>
      </c>
      <c r="E546" s="2">
        <v>15131.0</v>
      </c>
      <c r="F546" s="2">
        <v>42.0</v>
      </c>
      <c r="G546" s="2">
        <v>69.0</v>
      </c>
      <c r="H546" s="2" t="s">
        <v>5905</v>
      </c>
      <c r="I546" s="2" t="s">
        <v>5905</v>
      </c>
      <c r="J546" s="2" t="s">
        <v>5561</v>
      </c>
      <c r="K546" s="2" t="s">
        <v>19163</v>
      </c>
      <c r="L546" s="10" t="s">
        <v>19164</v>
      </c>
    </row>
    <row r="547">
      <c r="A547" s="2" t="s">
        <v>4613</v>
      </c>
      <c r="B547" s="2" t="s">
        <v>19165</v>
      </c>
      <c r="C547" s="2">
        <v>2.1936399867E10</v>
      </c>
      <c r="D547" s="2" t="s">
        <v>19166</v>
      </c>
      <c r="E547" s="2">
        <v>21199.0</v>
      </c>
      <c r="F547" s="2">
        <v>1803.0</v>
      </c>
      <c r="G547" s="2">
        <v>1763.0</v>
      </c>
      <c r="H547" s="2" t="s">
        <v>5905</v>
      </c>
      <c r="I547" s="2" t="s">
        <v>5905</v>
      </c>
      <c r="J547" s="2" t="s">
        <v>19167</v>
      </c>
      <c r="K547" s="2" t="s">
        <v>19168</v>
      </c>
      <c r="L547" s="10" t="s">
        <v>19169</v>
      </c>
    </row>
    <row r="548">
      <c r="A548" s="2" t="s">
        <v>4613</v>
      </c>
      <c r="B548" s="2" t="s">
        <v>19170</v>
      </c>
      <c r="C548" s="2">
        <v>6.4689750038E10</v>
      </c>
      <c r="D548" s="2" t="s">
        <v>19171</v>
      </c>
      <c r="E548" s="2">
        <v>36923.0</v>
      </c>
      <c r="F548" s="2">
        <v>1.0</v>
      </c>
      <c r="G548" s="2">
        <v>187.0</v>
      </c>
      <c r="H548" s="2" t="s">
        <v>5905</v>
      </c>
      <c r="I548" s="2" t="s">
        <v>5905</v>
      </c>
      <c r="J548" s="2" t="s">
        <v>5959</v>
      </c>
      <c r="K548" s="2" t="s">
        <v>19172</v>
      </c>
      <c r="L548" s="10" t="s">
        <v>19173</v>
      </c>
    </row>
    <row r="549">
      <c r="A549" s="2" t="s">
        <v>4613</v>
      </c>
      <c r="B549" s="2" t="s">
        <v>19174</v>
      </c>
      <c r="C549" s="2">
        <v>3.3252349771E10</v>
      </c>
      <c r="D549" s="2" t="s">
        <v>19175</v>
      </c>
      <c r="E549" s="2">
        <v>45393.0</v>
      </c>
      <c r="F549" s="2">
        <v>47.0</v>
      </c>
      <c r="G549" s="2">
        <v>207.0</v>
      </c>
      <c r="H549" s="2" t="s">
        <v>5905</v>
      </c>
      <c r="I549" s="2" t="s">
        <v>5905</v>
      </c>
      <c r="J549" s="2" t="s">
        <v>18013</v>
      </c>
      <c r="K549" s="2" t="s">
        <v>19176</v>
      </c>
      <c r="L549" s="10" t="s">
        <v>19177</v>
      </c>
    </row>
    <row r="550">
      <c r="A550" s="2" t="s">
        <v>4613</v>
      </c>
      <c r="B550" s="2" t="s">
        <v>19178</v>
      </c>
      <c r="C550" s="2">
        <v>6.7547023135E10</v>
      </c>
      <c r="D550" s="2" t="s">
        <v>19179</v>
      </c>
      <c r="E550" s="2">
        <v>68059.0</v>
      </c>
      <c r="F550" s="2">
        <v>52.0</v>
      </c>
      <c r="G550" s="2">
        <v>83.0</v>
      </c>
      <c r="H550" s="2" t="s">
        <v>5906</v>
      </c>
      <c r="I550" s="2" t="s">
        <v>5905</v>
      </c>
      <c r="J550" s="2" t="s">
        <v>5391</v>
      </c>
      <c r="K550" s="2" t="s">
        <v>19180</v>
      </c>
      <c r="L550" s="10" t="s">
        <v>19181</v>
      </c>
    </row>
    <row r="551">
      <c r="A551" s="2" t="s">
        <v>4613</v>
      </c>
      <c r="B551" s="2" t="s">
        <v>19182</v>
      </c>
      <c r="C551" s="2">
        <v>3.86269101E8</v>
      </c>
      <c r="D551" s="2" t="s">
        <v>19183</v>
      </c>
      <c r="E551" s="2">
        <v>12247.0</v>
      </c>
      <c r="F551" s="2">
        <v>2960.0</v>
      </c>
      <c r="G551" s="2">
        <v>300.0</v>
      </c>
      <c r="H551" s="2" t="s">
        <v>5906</v>
      </c>
      <c r="I551" s="2" t="s">
        <v>5905</v>
      </c>
      <c r="J551" s="2" t="s">
        <v>5959</v>
      </c>
      <c r="K551" s="2" t="s">
        <v>19184</v>
      </c>
      <c r="L551" s="10" t="s">
        <v>19185</v>
      </c>
    </row>
    <row r="552">
      <c r="A552" s="2" t="s">
        <v>4418</v>
      </c>
      <c r="B552" s="2" t="s">
        <v>19186</v>
      </c>
      <c r="C552" s="2">
        <v>2.28714212E8</v>
      </c>
      <c r="D552" s="2" t="s">
        <v>19187</v>
      </c>
      <c r="E552" s="2">
        <v>36993.0</v>
      </c>
      <c r="F552" s="2">
        <v>491.0</v>
      </c>
      <c r="G552" s="2">
        <v>991.0</v>
      </c>
      <c r="H552" s="2" t="s">
        <v>5905</v>
      </c>
      <c r="I552" s="2" t="s">
        <v>5906</v>
      </c>
      <c r="J552" s="2" t="s">
        <v>12774</v>
      </c>
      <c r="K552" s="2" t="s">
        <v>19188</v>
      </c>
      <c r="L552" s="10" t="s">
        <v>19189</v>
      </c>
    </row>
    <row r="553">
      <c r="A553" s="2" t="s">
        <v>4418</v>
      </c>
      <c r="B553" s="2" t="s">
        <v>19190</v>
      </c>
      <c r="C553" s="2">
        <v>5.0317165585E10</v>
      </c>
      <c r="D553" s="2" t="s">
        <v>19191</v>
      </c>
      <c r="E553" s="2">
        <v>12793.0</v>
      </c>
      <c r="F553" s="2">
        <v>39.0</v>
      </c>
      <c r="G553" s="2">
        <v>271.0</v>
      </c>
      <c r="H553" s="2" t="s">
        <v>5906</v>
      </c>
      <c r="I553" s="2" t="s">
        <v>5906</v>
      </c>
      <c r="J553" s="2" t="s">
        <v>5963</v>
      </c>
      <c r="K553" s="2" t="s">
        <v>19192</v>
      </c>
      <c r="L553" s="10" t="s">
        <v>19193</v>
      </c>
    </row>
    <row r="554">
      <c r="A554" s="2" t="s">
        <v>4418</v>
      </c>
      <c r="B554" s="2" t="s">
        <v>19194</v>
      </c>
      <c r="C554" s="2">
        <v>6.512210962E10</v>
      </c>
      <c r="D554" s="2" t="s">
        <v>19195</v>
      </c>
      <c r="E554" s="2">
        <v>37870.0</v>
      </c>
      <c r="F554" s="2">
        <v>647.0</v>
      </c>
      <c r="G554" s="2">
        <v>197.0</v>
      </c>
      <c r="H554" s="2" t="s">
        <v>5906</v>
      </c>
      <c r="I554" s="2" t="s">
        <v>5905</v>
      </c>
      <c r="J554" s="2" t="s">
        <v>5959</v>
      </c>
      <c r="K554" s="2" t="s">
        <v>19196</v>
      </c>
      <c r="L554" s="10" t="s">
        <v>19197</v>
      </c>
    </row>
    <row r="555">
      <c r="A555" s="2" t="s">
        <v>4418</v>
      </c>
      <c r="B555" s="2" t="s">
        <v>19198</v>
      </c>
      <c r="C555" s="2">
        <v>6.121532932E10</v>
      </c>
      <c r="D555" s="2" t="s">
        <v>19199</v>
      </c>
      <c r="E555" s="2">
        <v>86367.0</v>
      </c>
      <c r="F555" s="2">
        <v>2044.0</v>
      </c>
      <c r="G555" s="2">
        <v>2431.0</v>
      </c>
      <c r="H555" s="2" t="s">
        <v>5905</v>
      </c>
      <c r="I555" s="2" t="s">
        <v>5905</v>
      </c>
      <c r="J555" s="2" t="s">
        <v>6393</v>
      </c>
      <c r="K555" s="2" t="s">
        <v>19200</v>
      </c>
      <c r="L555" s="10" t="s">
        <v>19201</v>
      </c>
    </row>
    <row r="556">
      <c r="A556" s="2" t="s">
        <v>4418</v>
      </c>
      <c r="B556" s="2" t="s">
        <v>19202</v>
      </c>
      <c r="C556" s="2">
        <v>5.8257909594E10</v>
      </c>
      <c r="D556" s="2" t="s">
        <v>19203</v>
      </c>
      <c r="E556" s="2">
        <v>10943.0</v>
      </c>
      <c r="F556" s="2">
        <v>302.0</v>
      </c>
      <c r="G556" s="2">
        <v>443.0</v>
      </c>
      <c r="H556" s="2" t="s">
        <v>5905</v>
      </c>
      <c r="I556" s="2" t="s">
        <v>5906</v>
      </c>
      <c r="J556" s="2" t="s">
        <v>5391</v>
      </c>
      <c r="K556" s="2" t="s">
        <v>19204</v>
      </c>
      <c r="L556" s="10" t="s">
        <v>19205</v>
      </c>
    </row>
    <row r="557">
      <c r="A557" s="2" t="s">
        <v>4418</v>
      </c>
      <c r="B557" s="2" t="s">
        <v>19206</v>
      </c>
      <c r="C557" s="2">
        <v>1.63946111E9</v>
      </c>
      <c r="D557" s="2" t="s">
        <v>19207</v>
      </c>
      <c r="E557" s="2">
        <v>164106.0</v>
      </c>
      <c r="F557" s="2">
        <v>893.0</v>
      </c>
      <c r="G557" s="2">
        <v>4307.0</v>
      </c>
      <c r="H557" s="2" t="s">
        <v>5905</v>
      </c>
      <c r="I557" s="2" t="s">
        <v>5905</v>
      </c>
      <c r="K557" s="2" t="s">
        <v>19208</v>
      </c>
      <c r="L557" s="10" t="s">
        <v>19209</v>
      </c>
    </row>
    <row r="558">
      <c r="A558" s="2" t="s">
        <v>4418</v>
      </c>
      <c r="B558" s="2" t="s">
        <v>19210</v>
      </c>
      <c r="C558" s="2">
        <v>3.6826403212E10</v>
      </c>
      <c r="D558" s="2" t="s">
        <v>19211</v>
      </c>
      <c r="E558" s="2">
        <v>247386.0</v>
      </c>
      <c r="F558" s="2">
        <v>412.0</v>
      </c>
      <c r="G558" s="2">
        <v>1035.0</v>
      </c>
      <c r="H558" s="2" t="s">
        <v>5906</v>
      </c>
      <c r="I558" s="2" t="s">
        <v>5905</v>
      </c>
      <c r="J558" s="2" t="s">
        <v>5391</v>
      </c>
      <c r="K558" s="2" t="s">
        <v>19212</v>
      </c>
      <c r="L558" s="10" t="s">
        <v>19213</v>
      </c>
    </row>
    <row r="559">
      <c r="A559" s="2" t="s">
        <v>4418</v>
      </c>
      <c r="B559" s="2" t="s">
        <v>19214</v>
      </c>
      <c r="C559" s="2">
        <v>5.8466728957E10</v>
      </c>
      <c r="D559" s="2" t="s">
        <v>19215</v>
      </c>
      <c r="E559" s="2">
        <v>22945.0</v>
      </c>
      <c r="F559" s="2">
        <v>107.0</v>
      </c>
      <c r="G559" s="2">
        <v>367.0</v>
      </c>
      <c r="H559" s="2" t="s">
        <v>5905</v>
      </c>
      <c r="I559" s="2" t="s">
        <v>5905</v>
      </c>
      <c r="J559" s="2" t="s">
        <v>5491</v>
      </c>
      <c r="K559" s="2" t="s">
        <v>19216</v>
      </c>
      <c r="L559" s="10" t="s">
        <v>19217</v>
      </c>
    </row>
    <row r="560">
      <c r="A560" s="2" t="s">
        <v>4418</v>
      </c>
      <c r="B560" s="2" t="s">
        <v>19218</v>
      </c>
      <c r="C560" s="2">
        <v>5.5137799313E10</v>
      </c>
      <c r="D560" s="2" t="s">
        <v>19219</v>
      </c>
      <c r="E560" s="2">
        <v>33761.0</v>
      </c>
      <c r="F560" s="2">
        <v>1473.0</v>
      </c>
      <c r="G560" s="2">
        <v>2756.0</v>
      </c>
      <c r="H560" s="2" t="s">
        <v>5905</v>
      </c>
      <c r="I560" s="2" t="s">
        <v>5906</v>
      </c>
      <c r="J560" s="2" t="s">
        <v>6166</v>
      </c>
      <c r="K560" s="2" t="s">
        <v>19220</v>
      </c>
      <c r="L560" s="10" t="s">
        <v>19221</v>
      </c>
    </row>
    <row r="561">
      <c r="A561" s="2" t="s">
        <v>4418</v>
      </c>
      <c r="B561" s="2" t="s">
        <v>19222</v>
      </c>
      <c r="C561" s="2">
        <v>1.50922816E9</v>
      </c>
      <c r="D561" s="2" t="s">
        <v>19223</v>
      </c>
      <c r="E561" s="2">
        <v>87002.0</v>
      </c>
      <c r="F561" s="2">
        <v>1388.0</v>
      </c>
      <c r="G561" s="2">
        <v>2610.0</v>
      </c>
      <c r="H561" s="2" t="s">
        <v>5906</v>
      </c>
      <c r="I561" s="2" t="s">
        <v>5906</v>
      </c>
      <c r="K561" s="2" t="s">
        <v>19224</v>
      </c>
      <c r="L561" s="10" t="s">
        <v>19225</v>
      </c>
    </row>
    <row r="562">
      <c r="A562" s="2" t="s">
        <v>4418</v>
      </c>
      <c r="B562" s="2" t="s">
        <v>19226</v>
      </c>
      <c r="C562" s="2">
        <v>4.18126074E8</v>
      </c>
      <c r="D562" s="2" t="s">
        <v>19227</v>
      </c>
      <c r="E562" s="2">
        <v>1226253.0</v>
      </c>
      <c r="F562" s="2">
        <v>546.0</v>
      </c>
      <c r="G562" s="2">
        <v>15090.0</v>
      </c>
      <c r="H562" s="2" t="s">
        <v>5906</v>
      </c>
      <c r="I562" s="2" t="s">
        <v>5906</v>
      </c>
      <c r="J562" s="2" t="s">
        <v>4397</v>
      </c>
      <c r="K562" s="2" t="s">
        <v>19228</v>
      </c>
      <c r="L562" s="10" t="s">
        <v>19229</v>
      </c>
    </row>
    <row r="563">
      <c r="A563" s="2" t="s">
        <v>4418</v>
      </c>
      <c r="B563" s="2" t="s">
        <v>19230</v>
      </c>
      <c r="C563" s="2">
        <v>6.4130460752E10</v>
      </c>
      <c r="D563" s="2" t="s">
        <v>19231</v>
      </c>
      <c r="E563" s="2">
        <v>343205.0</v>
      </c>
      <c r="F563" s="2">
        <v>589.0</v>
      </c>
      <c r="G563" s="2">
        <v>9573.0</v>
      </c>
      <c r="H563" s="2" t="s">
        <v>5905</v>
      </c>
      <c r="I563" s="2" t="s">
        <v>5906</v>
      </c>
      <c r="J563" s="2" t="s">
        <v>5911</v>
      </c>
      <c r="K563" s="2" t="s">
        <v>19232</v>
      </c>
      <c r="L563" s="10" t="s">
        <v>19233</v>
      </c>
    </row>
    <row r="564">
      <c r="A564" s="2" t="s">
        <v>4418</v>
      </c>
      <c r="B564" s="2" t="s">
        <v>19234</v>
      </c>
      <c r="C564" s="2">
        <v>1.639723093E9</v>
      </c>
      <c r="D564" s="2" t="s">
        <v>19235</v>
      </c>
      <c r="E564" s="2">
        <v>1183544.0</v>
      </c>
      <c r="F564" s="2">
        <v>521.0</v>
      </c>
      <c r="G564" s="2">
        <v>5040.0</v>
      </c>
      <c r="H564" s="2" t="s">
        <v>5906</v>
      </c>
      <c r="I564" s="2" t="s">
        <v>5906</v>
      </c>
      <c r="J564" s="2" t="s">
        <v>4397</v>
      </c>
      <c r="K564" s="2" t="s">
        <v>19236</v>
      </c>
      <c r="L564" s="10" t="s">
        <v>19237</v>
      </c>
    </row>
    <row r="565">
      <c r="A565" s="2" t="s">
        <v>4418</v>
      </c>
      <c r="B565" s="2" t="s">
        <v>19238</v>
      </c>
      <c r="C565" s="2">
        <v>1.240311897E9</v>
      </c>
      <c r="D565" s="2" t="s">
        <v>19239</v>
      </c>
      <c r="E565" s="2">
        <v>139577.0</v>
      </c>
      <c r="F565" s="2">
        <v>1027.0</v>
      </c>
      <c r="G565" s="2">
        <v>6274.0</v>
      </c>
      <c r="H565" s="2" t="s">
        <v>5906</v>
      </c>
      <c r="I565" s="2" t="s">
        <v>5906</v>
      </c>
      <c r="J565" s="2" t="s">
        <v>4397</v>
      </c>
      <c r="K565" s="2" t="s">
        <v>19240</v>
      </c>
      <c r="L565" s="10" t="s">
        <v>19241</v>
      </c>
    </row>
    <row r="566">
      <c r="A566" s="2" t="s">
        <v>2203</v>
      </c>
      <c r="B566" s="2" t="s">
        <v>19242</v>
      </c>
      <c r="C566" s="2">
        <v>2.9919463069E10</v>
      </c>
      <c r="D566" s="2" t="s">
        <v>19243</v>
      </c>
      <c r="E566" s="2">
        <v>1673981.0</v>
      </c>
      <c r="F566" s="2">
        <v>1954.0</v>
      </c>
      <c r="G566" s="2">
        <v>2127.0</v>
      </c>
      <c r="H566" s="2" t="s">
        <v>5906</v>
      </c>
      <c r="I566" s="2" t="s">
        <v>5905</v>
      </c>
      <c r="J566" s="2" t="s">
        <v>5959</v>
      </c>
      <c r="K566" s="2" t="s">
        <v>19244</v>
      </c>
    </row>
    <row r="567">
      <c r="A567" s="2" t="s">
        <v>4733</v>
      </c>
      <c r="B567" s="2" t="s">
        <v>19245</v>
      </c>
      <c r="C567" s="2">
        <v>4.38601526E8</v>
      </c>
      <c r="D567" s="2" t="s">
        <v>19246</v>
      </c>
      <c r="E567" s="2">
        <v>1502417.0</v>
      </c>
      <c r="F567" s="2">
        <v>534.0</v>
      </c>
      <c r="G567" s="2">
        <v>2841.0</v>
      </c>
      <c r="H567" s="2" t="s">
        <v>5906</v>
      </c>
      <c r="I567" s="2" t="s">
        <v>5905</v>
      </c>
      <c r="J567" s="2" t="s">
        <v>11122</v>
      </c>
      <c r="K567" s="2" t="s">
        <v>19247</v>
      </c>
      <c r="L567" s="10" t="s">
        <v>19248</v>
      </c>
    </row>
    <row r="568">
      <c r="A568" s="2" t="s">
        <v>4690</v>
      </c>
      <c r="B568" s="2" t="s">
        <v>19249</v>
      </c>
      <c r="C568" s="2">
        <v>3.646499201E9</v>
      </c>
      <c r="D568" s="2" t="s">
        <v>19250</v>
      </c>
      <c r="E568" s="2">
        <v>27430.0</v>
      </c>
      <c r="F568" s="2">
        <v>116.0</v>
      </c>
      <c r="G568" s="2">
        <v>2596.0</v>
      </c>
      <c r="H568" s="2" t="s">
        <v>5905</v>
      </c>
      <c r="I568" s="2" t="s">
        <v>5906</v>
      </c>
      <c r="J568" s="2" t="s">
        <v>9775</v>
      </c>
      <c r="K568" s="2" t="s">
        <v>19251</v>
      </c>
      <c r="L568" s="10" t="s">
        <v>19252</v>
      </c>
    </row>
    <row r="569">
      <c r="A569" s="2" t="s">
        <v>4690</v>
      </c>
      <c r="B569" s="2" t="s">
        <v>19253</v>
      </c>
      <c r="C569" s="2">
        <v>6.5153479981E10</v>
      </c>
      <c r="D569" s="2" t="s">
        <v>19254</v>
      </c>
      <c r="E569" s="2">
        <v>25193.0</v>
      </c>
      <c r="F569" s="2">
        <v>0.0</v>
      </c>
      <c r="G569" s="2">
        <v>391.0</v>
      </c>
      <c r="H569" s="2" t="s">
        <v>5905</v>
      </c>
      <c r="I569" s="2" t="s">
        <v>5905</v>
      </c>
      <c r="J569" s="2" t="s">
        <v>5928</v>
      </c>
      <c r="K569" s="2" t="s">
        <v>19255</v>
      </c>
    </row>
    <row r="570">
      <c r="A570" s="2" t="s">
        <v>4690</v>
      </c>
      <c r="B570" s="2" t="s">
        <v>19256</v>
      </c>
      <c r="C570" s="2">
        <v>6.8365865668E10</v>
      </c>
      <c r="D570" s="2" t="s">
        <v>19257</v>
      </c>
      <c r="E570" s="2">
        <v>36836.0</v>
      </c>
      <c r="F570" s="2">
        <v>2.0</v>
      </c>
      <c r="G570" s="2">
        <v>178.0</v>
      </c>
      <c r="H570" s="2" t="s">
        <v>5905</v>
      </c>
      <c r="I570" s="2" t="s">
        <v>5905</v>
      </c>
      <c r="J570" s="2" t="s">
        <v>5928</v>
      </c>
      <c r="K570" s="2" t="s">
        <v>19258</v>
      </c>
    </row>
    <row r="571">
      <c r="A571" s="2" t="s">
        <v>4690</v>
      </c>
      <c r="B571" s="2" t="s">
        <v>19259</v>
      </c>
      <c r="C571" s="2">
        <v>4.68776931E8</v>
      </c>
      <c r="D571" s="2" t="s">
        <v>19260</v>
      </c>
      <c r="E571" s="2">
        <v>35078.0</v>
      </c>
      <c r="F571" s="2">
        <v>0.0</v>
      </c>
      <c r="G571" s="2">
        <v>1087.0</v>
      </c>
      <c r="H571" s="2" t="s">
        <v>5905</v>
      </c>
      <c r="I571" s="2" t="s">
        <v>5905</v>
      </c>
      <c r="K571" s="2" t="s">
        <v>19261</v>
      </c>
    </row>
    <row r="572">
      <c r="A572" s="2" t="s">
        <v>4690</v>
      </c>
      <c r="B572" s="2" t="s">
        <v>19262</v>
      </c>
      <c r="C572" s="2">
        <v>5.4057403508E10</v>
      </c>
      <c r="D572" s="2" t="s">
        <v>19263</v>
      </c>
      <c r="E572" s="2">
        <v>117787.0</v>
      </c>
      <c r="F572" s="2">
        <v>5254.0</v>
      </c>
      <c r="G572" s="2">
        <v>2929.0</v>
      </c>
      <c r="H572" s="2" t="s">
        <v>5905</v>
      </c>
      <c r="I572" s="2" t="s">
        <v>5906</v>
      </c>
      <c r="J572" s="2" t="s">
        <v>5959</v>
      </c>
      <c r="K572" s="2" t="s">
        <v>19264</v>
      </c>
    </row>
    <row r="573">
      <c r="A573" s="2" t="s">
        <v>4690</v>
      </c>
      <c r="B573" s="2" t="s">
        <v>19265</v>
      </c>
      <c r="C573" s="2">
        <v>8.371354432E9</v>
      </c>
      <c r="D573" s="2" t="s">
        <v>19266</v>
      </c>
      <c r="E573" s="2">
        <v>212732.0</v>
      </c>
      <c r="F573" s="2">
        <v>16.0</v>
      </c>
      <c r="G573" s="2">
        <v>1807.0</v>
      </c>
      <c r="H573" s="2" t="s">
        <v>5905</v>
      </c>
      <c r="I573" s="2" t="s">
        <v>5906</v>
      </c>
      <c r="J573" s="2" t="s">
        <v>5561</v>
      </c>
      <c r="K573" s="2" t="s">
        <v>19267</v>
      </c>
    </row>
    <row r="574">
      <c r="A574" s="2" t="s">
        <v>4690</v>
      </c>
      <c r="B574" s="2" t="s">
        <v>19268</v>
      </c>
      <c r="C574" s="2">
        <v>2.89667508E8</v>
      </c>
      <c r="D574" s="2" t="s">
        <v>19269</v>
      </c>
      <c r="E574" s="2">
        <v>358889.0</v>
      </c>
      <c r="F574" s="2">
        <v>226.0</v>
      </c>
      <c r="G574" s="2">
        <v>2969.0</v>
      </c>
      <c r="H574" s="2" t="s">
        <v>5905</v>
      </c>
      <c r="I574" s="2" t="s">
        <v>5906</v>
      </c>
      <c r="J574" s="2" t="s">
        <v>13706</v>
      </c>
      <c r="K574" s="2" t="s">
        <v>19270</v>
      </c>
      <c r="L574" s="10" t="s">
        <v>19271</v>
      </c>
    </row>
    <row r="575">
      <c r="A575" s="2" t="s">
        <v>4753</v>
      </c>
      <c r="B575" s="2" t="s">
        <v>19272</v>
      </c>
      <c r="C575" s="2">
        <v>2.119306372E9</v>
      </c>
      <c r="D575" s="2" t="s">
        <v>19273</v>
      </c>
      <c r="E575" s="2">
        <v>334950.0</v>
      </c>
      <c r="F575" s="2">
        <v>766.0</v>
      </c>
      <c r="G575" s="2">
        <v>11294.0</v>
      </c>
      <c r="H575" s="2" t="s">
        <v>5906</v>
      </c>
      <c r="I575" s="2" t="s">
        <v>5906</v>
      </c>
      <c r="J575" s="2" t="s">
        <v>5963</v>
      </c>
      <c r="K575" s="2" t="s">
        <v>19274</v>
      </c>
      <c r="L575" s="10" t="s">
        <v>19275</v>
      </c>
    </row>
    <row r="576">
      <c r="A576" s="2" t="s">
        <v>4753</v>
      </c>
      <c r="B576" s="2" t="s">
        <v>19276</v>
      </c>
      <c r="C576" s="2">
        <v>1.43895587E8</v>
      </c>
      <c r="D576" s="2" t="s">
        <v>19277</v>
      </c>
      <c r="E576" s="2">
        <v>293447.0</v>
      </c>
      <c r="F576" s="2">
        <v>2547.0</v>
      </c>
      <c r="G576" s="2">
        <v>2508.0</v>
      </c>
      <c r="H576" s="2" t="s">
        <v>5906</v>
      </c>
      <c r="I576" s="2" t="s">
        <v>5906</v>
      </c>
      <c r="J576" s="2" t="s">
        <v>5959</v>
      </c>
      <c r="K576" s="2" t="s">
        <v>19278</v>
      </c>
      <c r="L576" s="10" t="s">
        <v>19279</v>
      </c>
    </row>
    <row r="577">
      <c r="A577" s="2" t="s">
        <v>4753</v>
      </c>
      <c r="B577" s="2" t="s">
        <v>19280</v>
      </c>
      <c r="C577" s="2">
        <v>6.1753587856E10</v>
      </c>
      <c r="D577" s="2" t="s">
        <v>19281</v>
      </c>
      <c r="E577" s="2">
        <v>34108.0</v>
      </c>
      <c r="F577" s="2">
        <v>376.0</v>
      </c>
      <c r="G577" s="2">
        <v>786.0</v>
      </c>
      <c r="H577" s="2" t="s">
        <v>5905</v>
      </c>
      <c r="I577" s="2" t="s">
        <v>5906</v>
      </c>
      <c r="J577" s="2" t="s">
        <v>6414</v>
      </c>
      <c r="K577" s="2" t="s">
        <v>19282</v>
      </c>
      <c r="L577" s="10" t="s">
        <v>19283</v>
      </c>
    </row>
    <row r="578">
      <c r="A578" s="2" t="s">
        <v>4753</v>
      </c>
      <c r="B578" s="2" t="s">
        <v>19284</v>
      </c>
      <c r="C578" s="2">
        <v>2.3049984667E10</v>
      </c>
      <c r="D578" s="2" t="s">
        <v>19285</v>
      </c>
      <c r="E578" s="2">
        <v>40194.0</v>
      </c>
      <c r="F578" s="2">
        <v>1.0</v>
      </c>
      <c r="G578" s="2">
        <v>3717.0</v>
      </c>
      <c r="H578" s="2" t="s">
        <v>5905</v>
      </c>
      <c r="I578" s="2" t="s">
        <v>5905</v>
      </c>
      <c r="J578" s="2" t="s">
        <v>5391</v>
      </c>
      <c r="K578" s="2" t="s">
        <v>19286</v>
      </c>
    </row>
    <row r="579">
      <c r="A579" s="2" t="s">
        <v>4753</v>
      </c>
      <c r="B579" s="2" t="s">
        <v>19287</v>
      </c>
      <c r="C579" s="2">
        <v>9.124196035E9</v>
      </c>
      <c r="D579" s="2" t="s">
        <v>19288</v>
      </c>
      <c r="E579" s="2">
        <v>111227.0</v>
      </c>
      <c r="F579" s="2">
        <v>303.0</v>
      </c>
      <c r="G579" s="2">
        <v>1485.0</v>
      </c>
      <c r="H579" s="2" t="s">
        <v>5905</v>
      </c>
      <c r="I579" s="2" t="s">
        <v>5905</v>
      </c>
      <c r="J579" s="2" t="s">
        <v>5492</v>
      </c>
      <c r="K579" s="2" t="s">
        <v>19289</v>
      </c>
      <c r="L579" s="10" t="s">
        <v>19290</v>
      </c>
    </row>
    <row r="580">
      <c r="A580" s="2" t="s">
        <v>4753</v>
      </c>
      <c r="B580" s="2" t="s">
        <v>19291</v>
      </c>
      <c r="C580" s="2">
        <v>2.77567655E8</v>
      </c>
      <c r="D580" s="2" t="s">
        <v>19292</v>
      </c>
      <c r="E580" s="2">
        <v>196378.0</v>
      </c>
      <c r="F580" s="2">
        <v>1749.0</v>
      </c>
      <c r="G580" s="2">
        <v>2063.0</v>
      </c>
      <c r="H580" s="2" t="s">
        <v>5905</v>
      </c>
      <c r="I580" s="2" t="s">
        <v>5905</v>
      </c>
      <c r="J580" s="2" t="s">
        <v>5959</v>
      </c>
      <c r="K580" s="2" t="s">
        <v>19293</v>
      </c>
      <c r="L580" s="10" t="s">
        <v>19294</v>
      </c>
    </row>
    <row r="581">
      <c r="A581" s="2" t="s">
        <v>4639</v>
      </c>
      <c r="B581" s="2" t="s">
        <v>19295</v>
      </c>
      <c r="C581" s="2">
        <v>6.4469965081E10</v>
      </c>
      <c r="D581" s="2" t="s">
        <v>4639</v>
      </c>
      <c r="E581" s="2">
        <v>113774.0</v>
      </c>
      <c r="F581" s="2">
        <v>10.0</v>
      </c>
      <c r="G581" s="2">
        <v>243.0</v>
      </c>
      <c r="H581" s="2" t="s">
        <v>5905</v>
      </c>
      <c r="I581" s="2" t="s">
        <v>5905</v>
      </c>
      <c r="J581" s="2" t="s">
        <v>5928</v>
      </c>
      <c r="K581" s="2" t="s">
        <v>19296</v>
      </c>
      <c r="L581" s="10" t="s">
        <v>19297</v>
      </c>
    </row>
    <row r="582">
      <c r="A582" s="2" t="s">
        <v>4639</v>
      </c>
      <c r="B582" s="2" t="s">
        <v>19298</v>
      </c>
      <c r="C582" s="2">
        <v>4.8422557596E10</v>
      </c>
      <c r="D582" s="2" t="s">
        <v>19299</v>
      </c>
      <c r="E582" s="2">
        <v>23321.0</v>
      </c>
      <c r="F582" s="2">
        <v>12.0</v>
      </c>
      <c r="G582" s="2">
        <v>160.0</v>
      </c>
      <c r="H582" s="2" t="s">
        <v>5905</v>
      </c>
      <c r="I582" s="2" t="s">
        <v>5905</v>
      </c>
      <c r="J582" s="2" t="s">
        <v>5928</v>
      </c>
      <c r="K582" s="2" t="s">
        <v>19300</v>
      </c>
      <c r="L582" s="10" t="s">
        <v>19301</v>
      </c>
    </row>
    <row r="583">
      <c r="A583" s="2" t="s">
        <v>4639</v>
      </c>
      <c r="B583" s="2" t="s">
        <v>19302</v>
      </c>
      <c r="C583" s="2">
        <v>6.9294179391E10</v>
      </c>
      <c r="D583" s="2" t="s">
        <v>19303</v>
      </c>
      <c r="E583" s="2">
        <v>10063.0</v>
      </c>
      <c r="F583" s="2">
        <v>16.0</v>
      </c>
      <c r="G583" s="2">
        <v>219.0</v>
      </c>
      <c r="H583" s="2" t="s">
        <v>5905</v>
      </c>
      <c r="I583" s="2" t="s">
        <v>5906</v>
      </c>
      <c r="J583" s="2" t="s">
        <v>5959</v>
      </c>
      <c r="K583" s="2" t="s">
        <v>19304</v>
      </c>
    </row>
    <row r="584">
      <c r="A584" s="2" t="s">
        <v>4651</v>
      </c>
      <c r="B584" s="2" t="s">
        <v>4651</v>
      </c>
      <c r="C584" s="2">
        <v>1.240904623E9</v>
      </c>
      <c r="D584" s="2" t="s">
        <v>19305</v>
      </c>
      <c r="E584" s="2">
        <v>351160.0</v>
      </c>
      <c r="F584" s="2">
        <v>135.0</v>
      </c>
      <c r="G584" s="2">
        <v>240.0</v>
      </c>
      <c r="H584" s="2" t="s">
        <v>5905</v>
      </c>
      <c r="I584" s="2" t="s">
        <v>5906</v>
      </c>
      <c r="J584" s="2" t="s">
        <v>5561</v>
      </c>
      <c r="K584" s="2" t="s">
        <v>19306</v>
      </c>
      <c r="L584" s="10" t="s">
        <v>19307</v>
      </c>
    </row>
    <row r="585">
      <c r="A585" s="2" t="s">
        <v>4651</v>
      </c>
      <c r="B585" s="2" t="s">
        <v>19308</v>
      </c>
      <c r="C585" s="2">
        <v>3.17164211E8</v>
      </c>
      <c r="D585" s="2" t="s">
        <v>19309</v>
      </c>
      <c r="E585" s="2">
        <v>293073.0</v>
      </c>
      <c r="F585" s="2">
        <v>35.0</v>
      </c>
      <c r="G585" s="2">
        <v>1126.0</v>
      </c>
      <c r="H585" s="2" t="s">
        <v>5906</v>
      </c>
      <c r="I585" s="2" t="s">
        <v>5906</v>
      </c>
      <c r="K585" s="2" t="s">
        <v>19310</v>
      </c>
      <c r="L585" s="10" t="s">
        <v>19311</v>
      </c>
    </row>
    <row r="586">
      <c r="A586" s="2" t="s">
        <v>4651</v>
      </c>
      <c r="B586" s="2" t="s">
        <v>19312</v>
      </c>
      <c r="C586" s="2">
        <v>3.05636898E9</v>
      </c>
      <c r="D586" s="2" t="s">
        <v>19313</v>
      </c>
      <c r="E586" s="2">
        <v>1178569.0</v>
      </c>
      <c r="F586" s="2">
        <v>160.0</v>
      </c>
      <c r="G586" s="2">
        <v>1893.0</v>
      </c>
      <c r="H586" s="2" t="s">
        <v>5905</v>
      </c>
      <c r="I586" s="2" t="s">
        <v>5905</v>
      </c>
      <c r="J586" s="2" t="s">
        <v>5561</v>
      </c>
      <c r="K586" s="2" t="s">
        <v>19314</v>
      </c>
    </row>
    <row r="587">
      <c r="A587" s="2" t="s">
        <v>4651</v>
      </c>
      <c r="B587" s="2" t="s">
        <v>19315</v>
      </c>
      <c r="C587" s="2">
        <v>4.784491498E9</v>
      </c>
      <c r="D587" s="2" t="s">
        <v>19316</v>
      </c>
      <c r="E587" s="2">
        <v>690229.0</v>
      </c>
      <c r="F587" s="2">
        <v>79.0</v>
      </c>
      <c r="G587" s="2">
        <v>594.0</v>
      </c>
      <c r="H587" s="2" t="s">
        <v>5906</v>
      </c>
      <c r="I587" s="2" t="s">
        <v>5906</v>
      </c>
      <c r="K587" s="2" t="s">
        <v>19317</v>
      </c>
      <c r="L587" s="10" t="s">
        <v>19318</v>
      </c>
    </row>
    <row r="588">
      <c r="A588" s="2" t="s">
        <v>4651</v>
      </c>
      <c r="B588" s="2" t="s">
        <v>19319</v>
      </c>
      <c r="C588" s="2">
        <v>1.758715394E9</v>
      </c>
      <c r="D588" s="2" t="s">
        <v>19320</v>
      </c>
      <c r="E588" s="2">
        <v>58172.0</v>
      </c>
      <c r="F588" s="2">
        <v>1888.0</v>
      </c>
      <c r="G588" s="2">
        <v>1013.0</v>
      </c>
      <c r="H588" s="2" t="s">
        <v>5905</v>
      </c>
      <c r="I588" s="2" t="s">
        <v>5906</v>
      </c>
      <c r="J588" s="2" t="s">
        <v>5391</v>
      </c>
      <c r="K588" s="2" t="s">
        <v>19321</v>
      </c>
      <c r="L588" s="10" t="s">
        <v>19322</v>
      </c>
    </row>
    <row r="589">
      <c r="A589" s="2" t="s">
        <v>4651</v>
      </c>
      <c r="B589" s="2" t="s">
        <v>19323</v>
      </c>
      <c r="C589" s="2">
        <v>5.988728029E10</v>
      </c>
      <c r="D589" s="2" t="s">
        <v>19324</v>
      </c>
      <c r="E589" s="2">
        <v>865153.0</v>
      </c>
      <c r="F589" s="2">
        <v>63.0</v>
      </c>
      <c r="G589" s="2">
        <v>2754.0</v>
      </c>
      <c r="H589" s="2" t="s">
        <v>5905</v>
      </c>
      <c r="I589" s="2" t="s">
        <v>5905</v>
      </c>
      <c r="J589" s="2" t="s">
        <v>5959</v>
      </c>
      <c r="K589" s="2" t="s">
        <v>19325</v>
      </c>
    </row>
    <row r="590">
      <c r="A590" s="2" t="s">
        <v>4651</v>
      </c>
      <c r="B590" s="2" t="s">
        <v>19326</v>
      </c>
      <c r="C590" s="2">
        <v>1.462768576E9</v>
      </c>
      <c r="D590" s="2" t="s">
        <v>19327</v>
      </c>
      <c r="E590" s="2">
        <v>38354.0</v>
      </c>
      <c r="F590" s="2">
        <v>119.0</v>
      </c>
      <c r="G590" s="2">
        <v>1244.0</v>
      </c>
      <c r="H590" s="2" t="s">
        <v>5905</v>
      </c>
      <c r="I590" s="2" t="s">
        <v>5906</v>
      </c>
      <c r="J590" s="2" t="s">
        <v>19328</v>
      </c>
      <c r="K590" s="2" t="s">
        <v>19329</v>
      </c>
      <c r="L590" s="10" t="s">
        <v>19330</v>
      </c>
    </row>
    <row r="591">
      <c r="A591" s="2" t="s">
        <v>4651</v>
      </c>
      <c r="B591" s="2" t="s">
        <v>19331</v>
      </c>
      <c r="C591" s="2">
        <v>2.9781533514E10</v>
      </c>
      <c r="D591" s="2" t="s">
        <v>19332</v>
      </c>
      <c r="E591" s="2">
        <v>323129.0</v>
      </c>
      <c r="F591" s="2">
        <v>131.0</v>
      </c>
      <c r="G591" s="2">
        <v>926.0</v>
      </c>
      <c r="H591" s="2" t="s">
        <v>5906</v>
      </c>
      <c r="I591" s="2" t="s">
        <v>5905</v>
      </c>
      <c r="J591" s="2" t="s">
        <v>5993</v>
      </c>
      <c r="K591" s="2" t="s">
        <v>19333</v>
      </c>
      <c r="L591" s="10" t="s">
        <v>19334</v>
      </c>
    </row>
    <row r="592">
      <c r="A592" s="2" t="s">
        <v>4651</v>
      </c>
      <c r="B592" s="2" t="s">
        <v>19335</v>
      </c>
      <c r="C592" s="2">
        <v>1.3325871E7</v>
      </c>
      <c r="D592" s="2" t="s">
        <v>19336</v>
      </c>
      <c r="E592" s="2">
        <v>423937.0</v>
      </c>
      <c r="F592" s="2">
        <v>349.0</v>
      </c>
      <c r="G592" s="2">
        <v>4184.0</v>
      </c>
      <c r="H592" s="2" t="s">
        <v>5906</v>
      </c>
      <c r="I592" s="2" t="s">
        <v>5906</v>
      </c>
      <c r="K592" s="2" t="s">
        <v>19337</v>
      </c>
      <c r="L592" s="10" t="s">
        <v>19338</v>
      </c>
    </row>
    <row r="593">
      <c r="A593" s="2" t="s">
        <v>4421</v>
      </c>
      <c r="B593" s="2" t="s">
        <v>19339</v>
      </c>
      <c r="C593" s="2">
        <v>5.92217994E8</v>
      </c>
      <c r="D593" s="2" t="s">
        <v>19340</v>
      </c>
      <c r="E593" s="2">
        <v>24875.0</v>
      </c>
      <c r="F593" s="2">
        <v>5859.0</v>
      </c>
      <c r="G593" s="2">
        <v>1833.0</v>
      </c>
      <c r="H593" s="2" t="s">
        <v>5906</v>
      </c>
      <c r="I593" s="2" t="s">
        <v>5905</v>
      </c>
      <c r="K593" s="2" t="s">
        <v>19341</v>
      </c>
      <c r="L593" s="10" t="s">
        <v>19342</v>
      </c>
    </row>
    <row r="594">
      <c r="A594" s="2" t="s">
        <v>4421</v>
      </c>
      <c r="B594" s="2" t="s">
        <v>19343</v>
      </c>
      <c r="C594" s="2">
        <v>2.98569529E8</v>
      </c>
      <c r="D594" s="2" t="s">
        <v>19344</v>
      </c>
      <c r="E594" s="2">
        <v>170570.0</v>
      </c>
      <c r="F594" s="2">
        <v>5323.0</v>
      </c>
      <c r="G594" s="2">
        <v>1769.0</v>
      </c>
      <c r="H594" s="2" t="s">
        <v>5906</v>
      </c>
      <c r="I594" s="2" t="s">
        <v>5905</v>
      </c>
      <c r="J594" s="2" t="s">
        <v>12774</v>
      </c>
      <c r="K594" s="2" t="s">
        <v>19345</v>
      </c>
      <c r="L594" s="10" t="s">
        <v>19346</v>
      </c>
    </row>
    <row r="595">
      <c r="A595" s="2" t="s">
        <v>4421</v>
      </c>
      <c r="B595" s="2" t="s">
        <v>19347</v>
      </c>
      <c r="C595" s="2">
        <v>2.33537772E8</v>
      </c>
      <c r="D595" s="2" t="s">
        <v>19348</v>
      </c>
      <c r="E595" s="2">
        <v>284586.0</v>
      </c>
      <c r="F595" s="2">
        <v>888.0</v>
      </c>
      <c r="G595" s="2">
        <v>784.0</v>
      </c>
      <c r="H595" s="2" t="s">
        <v>5905</v>
      </c>
      <c r="I595" s="2" t="s">
        <v>5905</v>
      </c>
      <c r="J595" s="2" t="s">
        <v>6393</v>
      </c>
      <c r="K595" s="2" t="s">
        <v>19349</v>
      </c>
      <c r="L595" s="10" t="s">
        <v>19350</v>
      </c>
    </row>
    <row r="596">
      <c r="A596" s="2" t="s">
        <v>4490</v>
      </c>
      <c r="B596" s="2" t="s">
        <v>19351</v>
      </c>
      <c r="C596" s="2">
        <v>3.8483141167E10</v>
      </c>
      <c r="D596" s="2" t="s">
        <v>19352</v>
      </c>
      <c r="E596" s="2">
        <v>22208.0</v>
      </c>
      <c r="F596" s="2">
        <v>84.0</v>
      </c>
      <c r="G596" s="2">
        <v>59.0</v>
      </c>
      <c r="H596" s="2" t="s">
        <v>5905</v>
      </c>
      <c r="I596" s="2" t="s">
        <v>5906</v>
      </c>
      <c r="J596" s="2" t="s">
        <v>12284</v>
      </c>
      <c r="K596" s="2" t="s">
        <v>19353</v>
      </c>
    </row>
    <row r="597">
      <c r="A597" s="2" t="s">
        <v>4490</v>
      </c>
      <c r="B597" s="2" t="s">
        <v>19354</v>
      </c>
      <c r="C597" s="2">
        <v>6.974033726E9</v>
      </c>
      <c r="D597" s="2" t="s">
        <v>19355</v>
      </c>
      <c r="E597" s="2">
        <v>10341.0</v>
      </c>
      <c r="F597" s="2">
        <v>14.0</v>
      </c>
      <c r="G597" s="2">
        <v>17.0</v>
      </c>
      <c r="H597" s="2" t="s">
        <v>5905</v>
      </c>
      <c r="I597" s="2" t="s">
        <v>5906</v>
      </c>
      <c r="J597" s="2" t="s">
        <v>12284</v>
      </c>
      <c r="K597" s="2" t="s">
        <v>19356</v>
      </c>
    </row>
    <row r="598">
      <c r="A598" s="2" t="s">
        <v>4490</v>
      </c>
      <c r="B598" s="2" t="s">
        <v>19357</v>
      </c>
      <c r="C598" s="2">
        <v>4.7437386481E10</v>
      </c>
      <c r="D598" s="2" t="s">
        <v>19358</v>
      </c>
      <c r="E598" s="2">
        <v>119816.0</v>
      </c>
      <c r="F598" s="2">
        <v>94.0</v>
      </c>
      <c r="G598" s="2">
        <v>846.0</v>
      </c>
      <c r="H598" s="2" t="s">
        <v>5905</v>
      </c>
      <c r="I598" s="2" t="s">
        <v>5905</v>
      </c>
      <c r="J598" s="2" t="s">
        <v>5968</v>
      </c>
      <c r="K598" s="2" t="s">
        <v>19359</v>
      </c>
      <c r="L598" s="10" t="s">
        <v>19360</v>
      </c>
    </row>
    <row r="599">
      <c r="A599" s="2" t="s">
        <v>4490</v>
      </c>
      <c r="B599" s="2" t="s">
        <v>19361</v>
      </c>
      <c r="C599" s="2">
        <v>4.3966223195E10</v>
      </c>
      <c r="D599" s="2" t="s">
        <v>19362</v>
      </c>
      <c r="E599" s="2">
        <v>432919.0</v>
      </c>
      <c r="F599" s="2">
        <v>26.0</v>
      </c>
      <c r="G599" s="2">
        <v>2277.0</v>
      </c>
      <c r="H599" s="2" t="s">
        <v>5906</v>
      </c>
      <c r="I599" s="2" t="s">
        <v>5905</v>
      </c>
      <c r="J599" s="2" t="s">
        <v>5968</v>
      </c>
      <c r="K599" s="2" t="s">
        <v>19363</v>
      </c>
      <c r="L599" s="10" t="s">
        <v>19364</v>
      </c>
    </row>
    <row r="600">
      <c r="A600" s="2" t="s">
        <v>4490</v>
      </c>
      <c r="B600" s="2" t="s">
        <v>19365</v>
      </c>
      <c r="C600" s="2">
        <v>4.016401094E9</v>
      </c>
      <c r="D600" s="2" t="s">
        <v>19366</v>
      </c>
      <c r="E600" s="2">
        <v>60157.0</v>
      </c>
      <c r="F600" s="2">
        <v>137.0</v>
      </c>
      <c r="G600" s="2">
        <v>747.0</v>
      </c>
      <c r="H600" s="2" t="s">
        <v>5905</v>
      </c>
      <c r="I600" s="2" t="s">
        <v>5906</v>
      </c>
      <c r="J600" s="2" t="s">
        <v>5561</v>
      </c>
      <c r="K600" s="2" t="s">
        <v>19367</v>
      </c>
      <c r="L600" s="10" t="s">
        <v>19368</v>
      </c>
    </row>
    <row r="601">
      <c r="A601" s="2" t="s">
        <v>4490</v>
      </c>
      <c r="B601" s="2" t="s">
        <v>19369</v>
      </c>
      <c r="C601" s="2">
        <v>1.7616713688E10</v>
      </c>
      <c r="D601" s="2" t="s">
        <v>19370</v>
      </c>
      <c r="E601" s="2">
        <v>232286.0</v>
      </c>
      <c r="F601" s="2">
        <v>85.0</v>
      </c>
      <c r="G601" s="2">
        <v>1244.0</v>
      </c>
      <c r="H601" s="2" t="s">
        <v>5905</v>
      </c>
      <c r="I601" s="2" t="s">
        <v>5905</v>
      </c>
      <c r="J601" s="2" t="s">
        <v>12284</v>
      </c>
      <c r="K601" s="2" t="s">
        <v>19371</v>
      </c>
      <c r="L601" s="10" t="s">
        <v>19372</v>
      </c>
    </row>
    <row r="602">
      <c r="A602" s="2" t="s">
        <v>4490</v>
      </c>
      <c r="B602" s="2" t="s">
        <v>19373</v>
      </c>
      <c r="C602" s="2">
        <v>8.62601823E9</v>
      </c>
      <c r="D602" s="2" t="s">
        <v>19374</v>
      </c>
      <c r="E602" s="2">
        <v>21534.0</v>
      </c>
      <c r="F602" s="2">
        <v>2306.0</v>
      </c>
      <c r="G602" s="2">
        <v>4194.0</v>
      </c>
      <c r="H602" s="2" t="s">
        <v>5905</v>
      </c>
      <c r="I602" s="2" t="s">
        <v>5906</v>
      </c>
      <c r="J602" s="2" t="s">
        <v>5968</v>
      </c>
      <c r="K602" s="2" t="s">
        <v>19375</v>
      </c>
      <c r="L602" s="10" t="s">
        <v>19376</v>
      </c>
    </row>
    <row r="603">
      <c r="A603" s="2" t="s">
        <v>4490</v>
      </c>
      <c r="B603" s="2" t="s">
        <v>19377</v>
      </c>
      <c r="C603" s="2">
        <v>6.8119802894E10</v>
      </c>
      <c r="D603" s="2" t="s">
        <v>19378</v>
      </c>
      <c r="E603" s="2">
        <v>53280.0</v>
      </c>
      <c r="F603" s="2">
        <v>1.0</v>
      </c>
      <c r="G603" s="2">
        <v>5517.0</v>
      </c>
      <c r="H603" s="2" t="s">
        <v>5905</v>
      </c>
      <c r="I603" s="2" t="s">
        <v>5905</v>
      </c>
      <c r="J603" s="2" t="s">
        <v>5959</v>
      </c>
      <c r="K603" s="2" t="s">
        <v>19379</v>
      </c>
      <c r="L603" s="10" t="s">
        <v>19380</v>
      </c>
    </row>
    <row r="604">
      <c r="A604" s="2" t="s">
        <v>4490</v>
      </c>
      <c r="B604" s="2" t="s">
        <v>19381</v>
      </c>
      <c r="C604" s="2">
        <v>2.985898667E9</v>
      </c>
      <c r="D604" s="2" t="s">
        <v>19382</v>
      </c>
      <c r="E604" s="2">
        <v>50054.0</v>
      </c>
      <c r="F604" s="2">
        <v>1030.0</v>
      </c>
      <c r="G604" s="2">
        <v>2704.0</v>
      </c>
      <c r="H604" s="2" t="s">
        <v>5905</v>
      </c>
      <c r="I604" s="2" t="s">
        <v>5906</v>
      </c>
      <c r="J604" s="2" t="s">
        <v>6002</v>
      </c>
      <c r="K604" s="2" t="s">
        <v>19383</v>
      </c>
      <c r="L604" s="10" t="s">
        <v>19384</v>
      </c>
    </row>
    <row r="605">
      <c r="A605" s="2" t="s">
        <v>4490</v>
      </c>
      <c r="B605" s="2" t="s">
        <v>19385</v>
      </c>
      <c r="C605" s="2">
        <v>6.3389483842E10</v>
      </c>
      <c r="D605" s="2" t="s">
        <v>19386</v>
      </c>
      <c r="E605" s="2">
        <v>128950.0</v>
      </c>
      <c r="F605" s="2">
        <v>619.0</v>
      </c>
      <c r="G605" s="2">
        <v>851.0</v>
      </c>
      <c r="H605" s="2" t="s">
        <v>5906</v>
      </c>
      <c r="I605" s="2" t="s">
        <v>5905</v>
      </c>
      <c r="J605" s="2" t="s">
        <v>5959</v>
      </c>
      <c r="K605" s="2" t="s">
        <v>19387</v>
      </c>
      <c r="L605" s="10" t="s">
        <v>19388</v>
      </c>
    </row>
    <row r="606">
      <c r="A606" s="2" t="s">
        <v>4490</v>
      </c>
      <c r="B606" s="2" t="s">
        <v>19389</v>
      </c>
      <c r="C606" s="2">
        <v>5.3174099441E10</v>
      </c>
      <c r="D606" s="2" t="s">
        <v>19390</v>
      </c>
      <c r="E606" s="2">
        <v>161621.0</v>
      </c>
      <c r="F606" s="2">
        <v>764.0</v>
      </c>
      <c r="G606" s="2">
        <v>348.0</v>
      </c>
      <c r="H606" s="2" t="s">
        <v>5906</v>
      </c>
      <c r="I606" s="2" t="s">
        <v>5905</v>
      </c>
      <c r="J606" s="2" t="s">
        <v>12284</v>
      </c>
      <c r="K606" s="2" t="s">
        <v>19391</v>
      </c>
      <c r="L606" s="10" t="s">
        <v>19392</v>
      </c>
    </row>
    <row r="607">
      <c r="A607" s="2" t="s">
        <v>4504</v>
      </c>
      <c r="B607" s="2" t="s">
        <v>19393</v>
      </c>
      <c r="C607" s="2">
        <v>9.04407922E8</v>
      </c>
      <c r="D607" s="2" t="s">
        <v>19394</v>
      </c>
      <c r="E607" s="2">
        <v>8083394.0</v>
      </c>
      <c r="F607" s="2">
        <v>30.0</v>
      </c>
      <c r="G607" s="2">
        <v>6322.0</v>
      </c>
      <c r="H607" s="2" t="s">
        <v>5906</v>
      </c>
      <c r="I607" s="2" t="s">
        <v>5905</v>
      </c>
      <c r="J607" s="2" t="s">
        <v>5518</v>
      </c>
      <c r="K607" s="2" t="s">
        <v>19395</v>
      </c>
      <c r="L607" s="10" t="s">
        <v>19396</v>
      </c>
    </row>
    <row r="608">
      <c r="A608" s="2" t="s">
        <v>4504</v>
      </c>
      <c r="B608" s="2" t="s">
        <v>19397</v>
      </c>
      <c r="C608" s="2">
        <v>2.39374984E8</v>
      </c>
      <c r="D608" s="2" t="s">
        <v>19397</v>
      </c>
      <c r="E608" s="2">
        <v>74497.0</v>
      </c>
      <c r="F608" s="2">
        <v>377.0</v>
      </c>
      <c r="G608" s="2">
        <v>597.0</v>
      </c>
      <c r="H608" s="2" t="s">
        <v>5905</v>
      </c>
      <c r="I608" s="2" t="s">
        <v>5906</v>
      </c>
      <c r="J608" s="2" t="s">
        <v>19398</v>
      </c>
      <c r="K608" s="2" t="s">
        <v>19399</v>
      </c>
      <c r="L608" s="10" t="s">
        <v>19400</v>
      </c>
    </row>
    <row r="609">
      <c r="A609" s="2" t="s">
        <v>4504</v>
      </c>
      <c r="B609" s="2" t="s">
        <v>19401</v>
      </c>
      <c r="C609" s="2">
        <v>6.295146133E9</v>
      </c>
      <c r="D609" s="2" t="s">
        <v>19402</v>
      </c>
      <c r="E609" s="2">
        <v>221844.0</v>
      </c>
      <c r="F609" s="2">
        <v>666.0</v>
      </c>
      <c r="G609" s="2">
        <v>1686.0</v>
      </c>
      <c r="H609" s="2" t="s">
        <v>5906</v>
      </c>
      <c r="I609" s="2" t="s">
        <v>5905</v>
      </c>
      <c r="J609" s="2" t="s">
        <v>5959</v>
      </c>
      <c r="K609" s="2" t="s">
        <v>19403</v>
      </c>
      <c r="L609" s="10" t="s">
        <v>19404</v>
      </c>
    </row>
    <row r="610">
      <c r="A610" s="2" t="s">
        <v>4504</v>
      </c>
      <c r="B610" s="2" t="s">
        <v>4504</v>
      </c>
      <c r="C610" s="2">
        <v>6.344354573E9</v>
      </c>
      <c r="D610" s="2" t="s">
        <v>19405</v>
      </c>
      <c r="E610" s="2">
        <v>2619948.0</v>
      </c>
      <c r="F610" s="2">
        <v>2420.0</v>
      </c>
      <c r="G610" s="2">
        <v>1359.0</v>
      </c>
      <c r="H610" s="2" t="s">
        <v>5906</v>
      </c>
      <c r="I610" s="2" t="s">
        <v>5905</v>
      </c>
      <c r="J610" s="2" t="s">
        <v>8843</v>
      </c>
      <c r="K610" s="2" t="s">
        <v>19406</v>
      </c>
      <c r="L610" s="10" t="s">
        <v>19407</v>
      </c>
    </row>
    <row r="611">
      <c r="A611" s="2" t="s">
        <v>4504</v>
      </c>
      <c r="B611" s="2" t="s">
        <v>19408</v>
      </c>
      <c r="C611" s="2">
        <v>4.0398314E7</v>
      </c>
      <c r="D611" s="2" t="s">
        <v>19409</v>
      </c>
      <c r="E611" s="2">
        <v>3862410.0</v>
      </c>
      <c r="F611" s="2">
        <v>5730.0</v>
      </c>
      <c r="G611" s="2">
        <v>18726.0</v>
      </c>
      <c r="H611" s="2" t="s">
        <v>5906</v>
      </c>
      <c r="I611" s="2" t="s">
        <v>5906</v>
      </c>
      <c r="J611" s="2" t="s">
        <v>5907</v>
      </c>
      <c r="K611" s="2" t="s">
        <v>19410</v>
      </c>
      <c r="L611" s="10" t="s">
        <v>19411</v>
      </c>
    </row>
    <row r="612">
      <c r="A612" s="2" t="s">
        <v>4504</v>
      </c>
      <c r="B612" s="2" t="s">
        <v>19412</v>
      </c>
      <c r="C612" s="2">
        <v>1.688892691E9</v>
      </c>
      <c r="D612" s="2" t="s">
        <v>19413</v>
      </c>
      <c r="E612" s="2">
        <v>2633541.0</v>
      </c>
      <c r="F612" s="2">
        <v>3.0</v>
      </c>
      <c r="G612" s="2">
        <v>3557.0</v>
      </c>
      <c r="H612" s="2" t="s">
        <v>5905</v>
      </c>
      <c r="I612" s="2" t="s">
        <v>5906</v>
      </c>
      <c r="J612" s="2" t="s">
        <v>5518</v>
      </c>
      <c r="K612" s="2" t="s">
        <v>19414</v>
      </c>
      <c r="L612" s="10" t="s">
        <v>19415</v>
      </c>
    </row>
    <row r="613">
      <c r="A613" s="2" t="s">
        <v>4504</v>
      </c>
      <c r="B613" s="2" t="s">
        <v>19416</v>
      </c>
      <c r="C613" s="2">
        <v>4.840101399E9</v>
      </c>
      <c r="D613" s="2" t="s">
        <v>19417</v>
      </c>
      <c r="E613" s="2">
        <v>10607.0</v>
      </c>
      <c r="F613" s="2">
        <v>1290.0</v>
      </c>
      <c r="G613" s="2">
        <v>400.0</v>
      </c>
      <c r="H613" s="2" t="s">
        <v>5905</v>
      </c>
      <c r="I613" s="2" t="s">
        <v>5906</v>
      </c>
      <c r="L613" s="10" t="s">
        <v>19418</v>
      </c>
    </row>
    <row r="614">
      <c r="A614" s="2" t="s">
        <v>4504</v>
      </c>
      <c r="B614" s="2" t="s">
        <v>19419</v>
      </c>
      <c r="C614" s="2">
        <v>3.319441728E9</v>
      </c>
      <c r="D614" s="2" t="s">
        <v>19420</v>
      </c>
      <c r="E614" s="2">
        <v>19320.0</v>
      </c>
      <c r="F614" s="2">
        <v>1492.0</v>
      </c>
      <c r="G614" s="2">
        <v>295.0</v>
      </c>
      <c r="H614" s="2" t="s">
        <v>5905</v>
      </c>
      <c r="I614" s="2" t="s">
        <v>5906</v>
      </c>
      <c r="J614" s="2" t="s">
        <v>8245</v>
      </c>
      <c r="K614" s="2" t="s">
        <v>19421</v>
      </c>
    </row>
    <row r="615">
      <c r="A615" s="2" t="s">
        <v>4504</v>
      </c>
      <c r="B615" s="2" t="s">
        <v>19422</v>
      </c>
      <c r="C615" s="2">
        <v>2.07160552E8</v>
      </c>
      <c r="D615" s="2" t="s">
        <v>19423</v>
      </c>
      <c r="E615" s="2">
        <v>2072578.0</v>
      </c>
      <c r="F615" s="2">
        <v>47.0</v>
      </c>
      <c r="G615" s="2">
        <v>3167.0</v>
      </c>
      <c r="H615" s="2" t="s">
        <v>5906</v>
      </c>
      <c r="I615" s="2" t="s">
        <v>5906</v>
      </c>
      <c r="J615" s="2" t="s">
        <v>5963</v>
      </c>
      <c r="K615" s="2" t="s">
        <v>19424</v>
      </c>
      <c r="L615" s="10" t="s">
        <v>19425</v>
      </c>
    </row>
    <row r="616">
      <c r="A616" s="2" t="s">
        <v>4504</v>
      </c>
      <c r="B616" s="2" t="s">
        <v>19426</v>
      </c>
      <c r="C616" s="2">
        <v>5.65678273E8</v>
      </c>
      <c r="D616" s="2" t="s">
        <v>19427</v>
      </c>
      <c r="E616" s="2">
        <v>3565665.0</v>
      </c>
      <c r="F616" s="2">
        <v>360.0</v>
      </c>
      <c r="G616" s="2">
        <v>7304.0</v>
      </c>
      <c r="H616" s="2" t="s">
        <v>5906</v>
      </c>
      <c r="I616" s="2" t="s">
        <v>5906</v>
      </c>
      <c r="J616" s="2" t="s">
        <v>5518</v>
      </c>
      <c r="K616" s="2" t="s">
        <v>19428</v>
      </c>
      <c r="L616" s="10" t="s">
        <v>19429</v>
      </c>
    </row>
    <row r="617">
      <c r="A617" s="2" t="s">
        <v>4504</v>
      </c>
      <c r="B617" s="2" t="s">
        <v>19430</v>
      </c>
      <c r="C617" s="2">
        <v>5.6553414446E10</v>
      </c>
      <c r="D617" s="2" t="s">
        <v>19431</v>
      </c>
      <c r="E617" s="2">
        <v>528584.0</v>
      </c>
      <c r="F617" s="2">
        <v>270.0</v>
      </c>
      <c r="G617" s="2">
        <v>151.0</v>
      </c>
      <c r="H617" s="2" t="s">
        <v>5905</v>
      </c>
      <c r="I617" s="2" t="s">
        <v>5905</v>
      </c>
      <c r="J617" s="2" t="s">
        <v>19432</v>
      </c>
      <c r="K617" s="2" t="s">
        <v>19433</v>
      </c>
      <c r="L617" s="10" t="s">
        <v>19434</v>
      </c>
    </row>
    <row r="618">
      <c r="A618" s="2" t="s">
        <v>4504</v>
      </c>
      <c r="B618" s="2" t="s">
        <v>19435</v>
      </c>
      <c r="C618" s="2">
        <v>3.829306337E9</v>
      </c>
      <c r="D618" s="2" t="s">
        <v>19436</v>
      </c>
      <c r="E618" s="2">
        <v>14388.0</v>
      </c>
      <c r="F618" s="2">
        <v>841.0</v>
      </c>
      <c r="G618" s="2">
        <v>391.0</v>
      </c>
      <c r="H618" s="2" t="s">
        <v>5906</v>
      </c>
      <c r="I618" s="2" t="s">
        <v>5905</v>
      </c>
      <c r="J618" s="2" t="s">
        <v>5963</v>
      </c>
      <c r="K618" s="2" t="s">
        <v>19437</v>
      </c>
      <c r="L618" s="10" t="s">
        <v>19438</v>
      </c>
    </row>
    <row r="619">
      <c r="A619" s="2" t="s">
        <v>4453</v>
      </c>
      <c r="B619" s="2" t="s">
        <v>19439</v>
      </c>
      <c r="C619" s="2">
        <v>3.654287442E9</v>
      </c>
      <c r="D619" s="2" t="s">
        <v>19440</v>
      </c>
      <c r="E619" s="2">
        <v>10580.0</v>
      </c>
      <c r="F619" s="2">
        <v>5800.0</v>
      </c>
      <c r="G619" s="2">
        <v>2041.0</v>
      </c>
      <c r="H619" s="2" t="s">
        <v>5905</v>
      </c>
      <c r="I619" s="2" t="s">
        <v>5906</v>
      </c>
      <c r="J619" s="2" t="s">
        <v>5391</v>
      </c>
      <c r="K619" s="2" t="s">
        <v>19441</v>
      </c>
      <c r="L619" s="10" t="s">
        <v>19442</v>
      </c>
    </row>
    <row r="620">
      <c r="A620" s="2" t="s">
        <v>4453</v>
      </c>
      <c r="B620" s="2" t="s">
        <v>19443</v>
      </c>
      <c r="C620" s="2">
        <v>3.085845023E9</v>
      </c>
      <c r="D620" s="2" t="s">
        <v>19444</v>
      </c>
      <c r="E620" s="2">
        <v>94715.0</v>
      </c>
      <c r="F620" s="2">
        <v>4275.0</v>
      </c>
      <c r="G620" s="2">
        <v>864.0</v>
      </c>
      <c r="H620" s="2" t="s">
        <v>5905</v>
      </c>
      <c r="I620" s="2" t="s">
        <v>5905</v>
      </c>
      <c r="K620" s="2" t="s">
        <v>19445</v>
      </c>
      <c r="L620" s="10" t="s">
        <v>19446</v>
      </c>
    </row>
    <row r="621">
      <c r="A621" s="2" t="s">
        <v>4453</v>
      </c>
      <c r="B621" s="2" t="s">
        <v>19447</v>
      </c>
      <c r="C621" s="2">
        <v>9.444497877E9</v>
      </c>
      <c r="D621" s="2" t="s">
        <v>19448</v>
      </c>
      <c r="E621" s="2">
        <v>27662.0</v>
      </c>
      <c r="F621" s="2">
        <v>9.0</v>
      </c>
      <c r="G621" s="2">
        <v>329.0</v>
      </c>
      <c r="H621" s="2" t="s">
        <v>5905</v>
      </c>
      <c r="I621" s="2" t="s">
        <v>5905</v>
      </c>
      <c r="J621" s="2" t="s">
        <v>8915</v>
      </c>
      <c r="K621" s="2" t="s">
        <v>19449</v>
      </c>
      <c r="L621" s="10" t="s">
        <v>19450</v>
      </c>
    </row>
    <row r="622">
      <c r="A622" s="2" t="s">
        <v>4453</v>
      </c>
      <c r="B622" s="2" t="s">
        <v>19451</v>
      </c>
      <c r="C622" s="2">
        <v>1.538214915E10</v>
      </c>
      <c r="D622" s="2" t="s">
        <v>19452</v>
      </c>
      <c r="E622" s="2">
        <v>133864.0</v>
      </c>
      <c r="F622" s="2">
        <v>268.0</v>
      </c>
      <c r="G622" s="2">
        <v>1995.0</v>
      </c>
      <c r="H622" s="2" t="s">
        <v>5905</v>
      </c>
      <c r="I622" s="2" t="s">
        <v>5905</v>
      </c>
      <c r="J622" s="2" t="s">
        <v>8915</v>
      </c>
      <c r="K622" s="2" t="s">
        <v>19453</v>
      </c>
      <c r="L622" s="10" t="s">
        <v>19454</v>
      </c>
    </row>
    <row r="623">
      <c r="A623" s="2" t="s">
        <v>4453</v>
      </c>
      <c r="B623" s="2" t="s">
        <v>19455</v>
      </c>
      <c r="C623" s="2">
        <v>3.7036793182E10</v>
      </c>
      <c r="D623" s="2" t="s">
        <v>19456</v>
      </c>
      <c r="E623" s="2">
        <v>14653.0</v>
      </c>
      <c r="F623" s="2">
        <v>2664.0</v>
      </c>
      <c r="G623" s="2">
        <v>203.0</v>
      </c>
      <c r="H623" s="2" t="s">
        <v>5905</v>
      </c>
      <c r="I623" s="2" t="s">
        <v>5905</v>
      </c>
      <c r="J623" s="2" t="s">
        <v>5959</v>
      </c>
      <c r="K623" s="2" t="s">
        <v>19457</v>
      </c>
    </row>
    <row r="624">
      <c r="A624" s="2" t="s">
        <v>4453</v>
      </c>
      <c r="B624" s="2" t="s">
        <v>19458</v>
      </c>
      <c r="C624" s="2">
        <v>1.969740814E9</v>
      </c>
      <c r="D624" s="2" t="s">
        <v>19459</v>
      </c>
      <c r="E624" s="2">
        <v>234330.0</v>
      </c>
      <c r="F624" s="2">
        <v>15.0</v>
      </c>
      <c r="G624" s="2">
        <v>3068.0</v>
      </c>
      <c r="H624" s="2" t="s">
        <v>5906</v>
      </c>
      <c r="I624" s="2" t="s">
        <v>5905</v>
      </c>
      <c r="J624" s="2" t="s">
        <v>8915</v>
      </c>
      <c r="K624" s="2" t="s">
        <v>19460</v>
      </c>
      <c r="L624" s="10" t="s">
        <v>19461</v>
      </c>
    </row>
    <row r="625">
      <c r="A625" s="2" t="s">
        <v>4453</v>
      </c>
      <c r="B625" s="2" t="s">
        <v>19462</v>
      </c>
      <c r="C625" s="2">
        <v>4.159090187E9</v>
      </c>
      <c r="D625" s="2" t="s">
        <v>19463</v>
      </c>
      <c r="E625" s="2">
        <v>113901.0</v>
      </c>
      <c r="F625" s="2">
        <v>968.0</v>
      </c>
      <c r="G625" s="2">
        <v>2554.0</v>
      </c>
      <c r="H625" s="2" t="s">
        <v>5905</v>
      </c>
      <c r="I625" s="2" t="s">
        <v>5905</v>
      </c>
      <c r="J625" s="2" t="s">
        <v>6002</v>
      </c>
      <c r="K625" s="2" t="s">
        <v>19464</v>
      </c>
      <c r="L625" s="10" t="s">
        <v>19465</v>
      </c>
    </row>
    <row r="626">
      <c r="A626" s="2" t="s">
        <v>4514</v>
      </c>
      <c r="B626" s="2" t="s">
        <v>19466</v>
      </c>
      <c r="C626" s="2">
        <v>1.494866933E9</v>
      </c>
      <c r="D626" s="2" t="s">
        <v>19467</v>
      </c>
      <c r="E626" s="2">
        <v>14892.0</v>
      </c>
      <c r="F626" s="2">
        <v>68.0</v>
      </c>
      <c r="G626" s="2">
        <v>114.0</v>
      </c>
      <c r="H626" s="2" t="s">
        <v>5905</v>
      </c>
      <c r="I626" s="2" t="s">
        <v>5905</v>
      </c>
      <c r="J626" s="2" t="s">
        <v>5993</v>
      </c>
      <c r="K626" s="2" t="s">
        <v>19468</v>
      </c>
      <c r="L626" s="10" t="s">
        <v>19469</v>
      </c>
    </row>
    <row r="627">
      <c r="A627" s="2" t="s">
        <v>4514</v>
      </c>
      <c r="B627" s="2" t="s">
        <v>19470</v>
      </c>
      <c r="C627" s="2">
        <v>6.1718870143E10</v>
      </c>
      <c r="D627" s="2" t="s">
        <v>19471</v>
      </c>
      <c r="E627" s="2">
        <v>242748.0</v>
      </c>
      <c r="F627" s="2">
        <v>2301.0</v>
      </c>
      <c r="G627" s="2">
        <v>464.0</v>
      </c>
      <c r="H627" s="2" t="s">
        <v>5905</v>
      </c>
      <c r="I627" s="2" t="s">
        <v>5905</v>
      </c>
      <c r="J627" s="2" t="s">
        <v>5959</v>
      </c>
      <c r="K627" s="2" t="s">
        <v>19472</v>
      </c>
      <c r="L627" s="10" t="s">
        <v>19473</v>
      </c>
    </row>
    <row r="628">
      <c r="A628" s="2" t="s">
        <v>4514</v>
      </c>
      <c r="B628" s="2" t="s">
        <v>19474</v>
      </c>
      <c r="C628" s="2">
        <v>1.8278062169E10</v>
      </c>
      <c r="D628" s="2" t="s">
        <v>19475</v>
      </c>
      <c r="E628" s="2">
        <v>29778.0</v>
      </c>
      <c r="F628" s="2">
        <v>199.0</v>
      </c>
      <c r="G628" s="2">
        <v>537.0</v>
      </c>
      <c r="H628" s="2" t="s">
        <v>5905</v>
      </c>
      <c r="I628" s="2" t="s">
        <v>5906</v>
      </c>
      <c r="J628" s="2" t="s">
        <v>5959</v>
      </c>
      <c r="K628" s="2" t="s">
        <v>19476</v>
      </c>
      <c r="L628" s="10" t="s">
        <v>19477</v>
      </c>
    </row>
    <row r="629">
      <c r="A629" s="2" t="s">
        <v>4514</v>
      </c>
      <c r="B629" s="2" t="s">
        <v>19478</v>
      </c>
      <c r="C629" s="2">
        <v>8.392695688E9</v>
      </c>
      <c r="D629" s="2" t="s">
        <v>19479</v>
      </c>
      <c r="E629" s="2">
        <v>124853.0</v>
      </c>
      <c r="F629" s="2">
        <v>92.0</v>
      </c>
      <c r="G629" s="2">
        <v>22.0</v>
      </c>
      <c r="H629" s="2" t="s">
        <v>5905</v>
      </c>
      <c r="I629" s="2" t="s">
        <v>5906</v>
      </c>
      <c r="J629" s="2" t="s">
        <v>5959</v>
      </c>
      <c r="K629" s="2" t="s">
        <v>19480</v>
      </c>
    </row>
    <row r="630">
      <c r="A630" s="2" t="s">
        <v>4514</v>
      </c>
      <c r="B630" s="2" t="s">
        <v>19481</v>
      </c>
      <c r="C630" s="2">
        <v>4.0930683404E10</v>
      </c>
      <c r="D630" s="2" t="s">
        <v>19482</v>
      </c>
      <c r="E630" s="2">
        <v>22702.0</v>
      </c>
      <c r="F630" s="2">
        <v>108.0</v>
      </c>
      <c r="G630" s="2">
        <v>620.0</v>
      </c>
      <c r="H630" s="2" t="s">
        <v>5905</v>
      </c>
      <c r="I630" s="2" t="s">
        <v>5906</v>
      </c>
      <c r="J630" s="2" t="s">
        <v>5993</v>
      </c>
      <c r="K630" s="2" t="s">
        <v>19483</v>
      </c>
    </row>
    <row r="631">
      <c r="A631" s="2" t="s">
        <v>4514</v>
      </c>
      <c r="B631" s="2" t="s">
        <v>19484</v>
      </c>
      <c r="C631" s="2">
        <v>5.3422567644E10</v>
      </c>
      <c r="D631" s="2" t="s">
        <v>19485</v>
      </c>
      <c r="E631" s="2">
        <v>206107.0</v>
      </c>
      <c r="F631" s="2">
        <v>149.0</v>
      </c>
      <c r="G631" s="2">
        <v>772.0</v>
      </c>
      <c r="H631" s="2" t="s">
        <v>5905</v>
      </c>
      <c r="I631" s="2" t="s">
        <v>5906</v>
      </c>
      <c r="J631" s="2" t="s">
        <v>5993</v>
      </c>
      <c r="K631" s="2" t="s">
        <v>19486</v>
      </c>
      <c r="L631" s="10" t="s">
        <v>19487</v>
      </c>
    </row>
    <row r="632">
      <c r="A632" s="2" t="s">
        <v>4514</v>
      </c>
      <c r="B632" s="2" t="s">
        <v>19488</v>
      </c>
      <c r="C632" s="2">
        <v>5.7712295768E10</v>
      </c>
      <c r="D632" s="2" t="s">
        <v>19489</v>
      </c>
      <c r="E632" s="2">
        <v>963147.0</v>
      </c>
      <c r="F632" s="2">
        <v>151.0</v>
      </c>
      <c r="G632" s="2">
        <v>882.0</v>
      </c>
      <c r="H632" s="2" t="s">
        <v>5906</v>
      </c>
      <c r="I632" s="2" t="s">
        <v>5905</v>
      </c>
      <c r="J632" s="2" t="s">
        <v>5959</v>
      </c>
      <c r="K632" s="2" t="s">
        <v>19490</v>
      </c>
      <c r="L632" s="10" t="s">
        <v>19491</v>
      </c>
    </row>
    <row r="633">
      <c r="A633" s="2" t="s">
        <v>4514</v>
      </c>
      <c r="B633" s="2" t="s">
        <v>19492</v>
      </c>
      <c r="C633" s="2">
        <v>6.736919641E9</v>
      </c>
      <c r="D633" s="2" t="s">
        <v>19493</v>
      </c>
      <c r="E633" s="2">
        <v>17456.0</v>
      </c>
      <c r="F633" s="2">
        <v>96.0</v>
      </c>
      <c r="G633" s="2">
        <v>121.0</v>
      </c>
      <c r="H633" s="2" t="s">
        <v>5905</v>
      </c>
      <c r="I633" s="2" t="s">
        <v>5906</v>
      </c>
      <c r="J633" s="2" t="s">
        <v>16773</v>
      </c>
      <c r="K633" s="2" t="s">
        <v>19494</v>
      </c>
    </row>
    <row r="634">
      <c r="A634" s="2" t="s">
        <v>4514</v>
      </c>
      <c r="B634" s="2" t="s">
        <v>19495</v>
      </c>
      <c r="C634" s="2">
        <v>8.620841072E9</v>
      </c>
      <c r="D634" s="2" t="s">
        <v>19496</v>
      </c>
      <c r="E634" s="2">
        <v>313539.0</v>
      </c>
      <c r="F634" s="2">
        <v>2755.0</v>
      </c>
      <c r="G634" s="2">
        <v>413.0</v>
      </c>
      <c r="H634" s="2" t="s">
        <v>5906</v>
      </c>
      <c r="I634" s="2" t="s">
        <v>5905</v>
      </c>
      <c r="J634" s="2" t="s">
        <v>5993</v>
      </c>
      <c r="K634" s="2" t="s">
        <v>19497</v>
      </c>
      <c r="L634" s="10" t="s">
        <v>19498</v>
      </c>
    </row>
    <row r="635">
      <c r="A635" s="2" t="s">
        <v>4514</v>
      </c>
      <c r="B635" s="2" t="s">
        <v>19499</v>
      </c>
      <c r="C635" s="2">
        <v>2.1317745E7</v>
      </c>
      <c r="D635" s="2" t="s">
        <v>19500</v>
      </c>
      <c r="E635" s="2">
        <v>1837420.0</v>
      </c>
      <c r="F635" s="2">
        <v>181.0</v>
      </c>
      <c r="G635" s="2">
        <v>1090.0</v>
      </c>
      <c r="H635" s="2" t="s">
        <v>5906</v>
      </c>
      <c r="I635" s="2" t="s">
        <v>5906</v>
      </c>
      <c r="J635" s="2" t="s">
        <v>5993</v>
      </c>
      <c r="K635" s="2" t="s">
        <v>19501</v>
      </c>
      <c r="L635" s="10" t="s">
        <v>19502</v>
      </c>
    </row>
    <row r="636">
      <c r="A636" s="2" t="s">
        <v>4514</v>
      </c>
      <c r="B636" s="2" t="s">
        <v>19503</v>
      </c>
      <c r="C636" s="2">
        <v>1.2639335967E10</v>
      </c>
      <c r="D636" s="2" t="s">
        <v>19504</v>
      </c>
      <c r="E636" s="2">
        <v>309024.0</v>
      </c>
      <c r="F636" s="2">
        <v>392.0</v>
      </c>
      <c r="G636" s="2">
        <v>3182.0</v>
      </c>
      <c r="H636" s="2" t="s">
        <v>5905</v>
      </c>
      <c r="I636" s="2" t="s">
        <v>5905</v>
      </c>
      <c r="J636" s="2" t="s">
        <v>6393</v>
      </c>
      <c r="K636" s="2" t="s">
        <v>19505</v>
      </c>
      <c r="L636" s="10" t="s">
        <v>19506</v>
      </c>
    </row>
    <row r="637">
      <c r="A637" s="2" t="s">
        <v>4694</v>
      </c>
      <c r="B637" s="2" t="s">
        <v>19507</v>
      </c>
      <c r="C637" s="2">
        <v>9.295787572E9</v>
      </c>
      <c r="D637" s="2" t="s">
        <v>19508</v>
      </c>
      <c r="E637" s="2">
        <v>65181.0</v>
      </c>
      <c r="F637" s="2">
        <v>153.0</v>
      </c>
      <c r="G637" s="2">
        <v>1208.0</v>
      </c>
      <c r="H637" s="2" t="s">
        <v>5905</v>
      </c>
      <c r="I637" s="2" t="s">
        <v>5905</v>
      </c>
      <c r="J637" s="2" t="s">
        <v>5391</v>
      </c>
      <c r="K637" s="2" t="s">
        <v>19509</v>
      </c>
      <c r="L637" s="10" t="s">
        <v>19510</v>
      </c>
    </row>
    <row r="638">
      <c r="A638" s="2" t="s">
        <v>4694</v>
      </c>
      <c r="B638" s="2" t="s">
        <v>19511</v>
      </c>
      <c r="C638" s="2">
        <v>5.68174587E8</v>
      </c>
      <c r="D638" s="2" t="s">
        <v>19512</v>
      </c>
      <c r="E638" s="2">
        <v>196429.0</v>
      </c>
      <c r="F638" s="2">
        <v>965.0</v>
      </c>
      <c r="G638" s="2">
        <v>1690.0</v>
      </c>
      <c r="H638" s="2" t="s">
        <v>5906</v>
      </c>
      <c r="I638" s="2" t="s">
        <v>5905</v>
      </c>
      <c r="J638" s="2" t="s">
        <v>5959</v>
      </c>
      <c r="K638" s="2" t="s">
        <v>19513</v>
      </c>
      <c r="L638" s="10" t="s">
        <v>19514</v>
      </c>
    </row>
    <row r="639">
      <c r="A639" s="2" t="s">
        <v>4694</v>
      </c>
      <c r="B639" s="2" t="s">
        <v>19515</v>
      </c>
      <c r="C639" s="2">
        <v>3.540128905E9</v>
      </c>
      <c r="D639" s="2" t="s">
        <v>19516</v>
      </c>
      <c r="E639" s="2">
        <v>59508.0</v>
      </c>
      <c r="F639" s="2">
        <v>3442.0</v>
      </c>
      <c r="G639" s="2">
        <v>604.0</v>
      </c>
      <c r="H639" s="2" t="s">
        <v>5905</v>
      </c>
      <c r="I639" s="2" t="s">
        <v>5905</v>
      </c>
      <c r="J639" s="2" t="s">
        <v>5492</v>
      </c>
      <c r="K639" s="2" t="s">
        <v>19517</v>
      </c>
    </row>
    <row r="640">
      <c r="A640" s="2" t="s">
        <v>4694</v>
      </c>
      <c r="B640" s="2" t="s">
        <v>19518</v>
      </c>
      <c r="C640" s="2">
        <v>6.2381362501E10</v>
      </c>
      <c r="D640" s="2" t="s">
        <v>19519</v>
      </c>
      <c r="E640" s="2">
        <v>18694.0</v>
      </c>
      <c r="F640" s="2">
        <v>160.0</v>
      </c>
      <c r="G640" s="2">
        <v>111.0</v>
      </c>
      <c r="H640" s="2" t="s">
        <v>5905</v>
      </c>
      <c r="I640" s="2" t="s">
        <v>5905</v>
      </c>
      <c r="J640" s="2" t="s">
        <v>5959</v>
      </c>
      <c r="K640" s="2" t="s">
        <v>19520</v>
      </c>
    </row>
    <row r="641">
      <c r="A641" s="2" t="s">
        <v>4694</v>
      </c>
      <c r="B641" s="10" t="s">
        <v>19521</v>
      </c>
      <c r="C641" s="2">
        <v>6.669493612E10</v>
      </c>
      <c r="D641" s="2" t="s">
        <v>19522</v>
      </c>
      <c r="E641" s="2">
        <v>79442.0</v>
      </c>
      <c r="F641" s="2">
        <v>96.0</v>
      </c>
      <c r="G641" s="2">
        <v>580.0</v>
      </c>
      <c r="H641" s="2" t="s">
        <v>5906</v>
      </c>
      <c r="I641" s="2" t="s">
        <v>5905</v>
      </c>
      <c r="J641" s="2" t="s">
        <v>5911</v>
      </c>
      <c r="K641" s="2" t="s">
        <v>19523</v>
      </c>
      <c r="L641" s="10" t="s">
        <v>19524</v>
      </c>
    </row>
    <row r="642">
      <c r="A642" s="2" t="s">
        <v>4694</v>
      </c>
      <c r="B642" s="2" t="s">
        <v>19525</v>
      </c>
      <c r="C642" s="2">
        <v>1.965169422E9</v>
      </c>
      <c r="D642" s="2" t="s">
        <v>19526</v>
      </c>
      <c r="E642" s="2">
        <v>56572.0</v>
      </c>
      <c r="F642" s="2">
        <v>437.0</v>
      </c>
      <c r="G642" s="2">
        <v>294.0</v>
      </c>
      <c r="H642" s="2" t="s">
        <v>5905</v>
      </c>
      <c r="I642" s="2" t="s">
        <v>5905</v>
      </c>
      <c r="J642" s="2" t="s">
        <v>5959</v>
      </c>
      <c r="K642" s="2" t="s">
        <v>19527</v>
      </c>
      <c r="L642" s="10" t="s">
        <v>19528</v>
      </c>
    </row>
    <row r="643">
      <c r="A643" s="2" t="s">
        <v>4694</v>
      </c>
      <c r="B643" s="2" t="s">
        <v>19529</v>
      </c>
      <c r="C643" s="2">
        <v>4.884034063E10</v>
      </c>
      <c r="D643" s="2" t="s">
        <v>19508</v>
      </c>
      <c r="E643" s="2">
        <v>36922.0</v>
      </c>
      <c r="F643" s="2">
        <v>522.0</v>
      </c>
      <c r="G643" s="2">
        <v>33.0</v>
      </c>
      <c r="H643" s="2" t="s">
        <v>5905</v>
      </c>
      <c r="I643" s="2" t="s">
        <v>5906</v>
      </c>
      <c r="J643" s="2" t="s">
        <v>5959</v>
      </c>
      <c r="K643" s="2" t="s">
        <v>19530</v>
      </c>
    </row>
    <row r="644">
      <c r="A644" s="2" t="s">
        <v>4694</v>
      </c>
      <c r="B644" s="2" t="s">
        <v>19531</v>
      </c>
      <c r="C644" s="2">
        <v>2.999998544E9</v>
      </c>
      <c r="D644" s="2" t="s">
        <v>19532</v>
      </c>
      <c r="E644" s="2">
        <v>335908.0</v>
      </c>
      <c r="F644" s="2">
        <v>5212.0</v>
      </c>
      <c r="G644" s="2">
        <v>357.0</v>
      </c>
      <c r="H644" s="2" t="s">
        <v>5906</v>
      </c>
      <c r="I644" s="2" t="s">
        <v>5905</v>
      </c>
      <c r="J644" s="2" t="s">
        <v>5928</v>
      </c>
      <c r="K644" s="2" t="s">
        <v>19533</v>
      </c>
      <c r="L644" s="10" t="s">
        <v>19534</v>
      </c>
    </row>
    <row r="645">
      <c r="A645" s="2" t="s">
        <v>4694</v>
      </c>
      <c r="B645" s="2" t="s">
        <v>19535</v>
      </c>
      <c r="C645" s="2">
        <v>4.9300074893E10</v>
      </c>
      <c r="D645" s="2" t="s">
        <v>19519</v>
      </c>
      <c r="E645" s="2">
        <v>13584.0</v>
      </c>
      <c r="F645" s="2">
        <v>23.0</v>
      </c>
      <c r="G645" s="2">
        <v>74.0</v>
      </c>
      <c r="H645" s="2" t="s">
        <v>5905</v>
      </c>
      <c r="I645" s="2" t="s">
        <v>5906</v>
      </c>
      <c r="J645" s="2" t="s">
        <v>5391</v>
      </c>
      <c r="K645" s="2" t="s">
        <v>19536</v>
      </c>
      <c r="L645" s="10" t="s">
        <v>19537</v>
      </c>
    </row>
    <row r="646">
      <c r="A646" s="2" t="s">
        <v>4694</v>
      </c>
      <c r="B646" s="2" t="s">
        <v>19538</v>
      </c>
      <c r="C646" s="2">
        <v>6.0820619177E10</v>
      </c>
      <c r="D646" s="2" t="s">
        <v>19539</v>
      </c>
      <c r="E646" s="2">
        <v>15940.0</v>
      </c>
      <c r="F646" s="2">
        <v>499.0</v>
      </c>
      <c r="G646" s="2">
        <v>209.0</v>
      </c>
      <c r="H646" s="2" t="s">
        <v>5905</v>
      </c>
      <c r="I646" s="2" t="s">
        <v>5906</v>
      </c>
      <c r="J646" s="2" t="s">
        <v>5561</v>
      </c>
      <c r="K646" s="2" t="s">
        <v>19540</v>
      </c>
      <c r="L646" s="10" t="s">
        <v>19541</v>
      </c>
    </row>
    <row r="647">
      <c r="A647" s="2" t="s">
        <v>4694</v>
      </c>
      <c r="B647" s="2" t="s">
        <v>19542</v>
      </c>
      <c r="C647" s="2">
        <v>4.560775978E10</v>
      </c>
      <c r="D647" s="2" t="s">
        <v>19543</v>
      </c>
      <c r="E647" s="2">
        <v>34191.0</v>
      </c>
      <c r="F647" s="2">
        <v>3981.0</v>
      </c>
      <c r="G647" s="2">
        <v>973.0</v>
      </c>
      <c r="H647" s="2" t="s">
        <v>5906</v>
      </c>
      <c r="I647" s="2" t="s">
        <v>5905</v>
      </c>
      <c r="J647" s="2" t="s">
        <v>7431</v>
      </c>
      <c r="K647" s="2" t="s">
        <v>19544</v>
      </c>
      <c r="L647" s="10" t="s">
        <v>19545</v>
      </c>
    </row>
    <row r="648">
      <c r="A648" s="2" t="s">
        <v>4726</v>
      </c>
      <c r="B648" s="2" t="s">
        <v>19546</v>
      </c>
      <c r="C648" s="2">
        <v>1.1527345961E10</v>
      </c>
      <c r="D648" s="2" t="s">
        <v>19547</v>
      </c>
      <c r="E648" s="2">
        <v>19753.0</v>
      </c>
      <c r="F648" s="2">
        <v>39.0</v>
      </c>
      <c r="G648" s="2">
        <v>543.0</v>
      </c>
      <c r="H648" s="2" t="s">
        <v>5905</v>
      </c>
      <c r="I648" s="2" t="s">
        <v>5906</v>
      </c>
      <c r="J648" s="2" t="s">
        <v>4404</v>
      </c>
      <c r="K648" s="2" t="s">
        <v>19548</v>
      </c>
    </row>
    <row r="649">
      <c r="A649" s="2" t="s">
        <v>4726</v>
      </c>
      <c r="B649" s="2" t="s">
        <v>19549</v>
      </c>
      <c r="C649" s="2">
        <v>6.634406141E9</v>
      </c>
      <c r="D649" s="2" t="s">
        <v>19550</v>
      </c>
      <c r="E649" s="2">
        <v>14562.0</v>
      </c>
      <c r="F649" s="2">
        <v>1003.0</v>
      </c>
      <c r="G649" s="2">
        <v>449.0</v>
      </c>
      <c r="H649" s="2" t="s">
        <v>5905</v>
      </c>
      <c r="I649" s="2" t="s">
        <v>5906</v>
      </c>
      <c r="J649" s="2" t="s">
        <v>6002</v>
      </c>
      <c r="K649" s="2" t="s">
        <v>19551</v>
      </c>
      <c r="L649" s="10" t="s">
        <v>19552</v>
      </c>
    </row>
    <row r="650">
      <c r="A650" s="2" t="s">
        <v>4726</v>
      </c>
      <c r="B650" s="2" t="s">
        <v>19553</v>
      </c>
      <c r="C650" s="2">
        <v>4.767619062E10</v>
      </c>
      <c r="D650" s="2" t="s">
        <v>19554</v>
      </c>
      <c r="E650" s="2">
        <v>14535.0</v>
      </c>
      <c r="F650" s="2">
        <v>67.0</v>
      </c>
      <c r="G650" s="2">
        <v>265.0</v>
      </c>
      <c r="H650" s="2" t="s">
        <v>5905</v>
      </c>
      <c r="I650" s="2" t="s">
        <v>5905</v>
      </c>
      <c r="J650" s="2" t="s">
        <v>5993</v>
      </c>
      <c r="K650" s="2" t="s">
        <v>19555</v>
      </c>
      <c r="L650" s="10" t="s">
        <v>19556</v>
      </c>
    </row>
    <row r="651">
      <c r="A651" s="2" t="s">
        <v>4580</v>
      </c>
      <c r="B651" s="2" t="s">
        <v>19557</v>
      </c>
      <c r="C651" s="2">
        <v>4.18851648E9</v>
      </c>
      <c r="D651" s="2" t="s">
        <v>19558</v>
      </c>
      <c r="E651" s="2">
        <v>2572022.0</v>
      </c>
      <c r="F651" s="2">
        <v>12.0</v>
      </c>
      <c r="G651" s="2">
        <v>468.0</v>
      </c>
      <c r="H651" s="2" t="s">
        <v>5905</v>
      </c>
      <c r="I651" s="2" t="s">
        <v>5906</v>
      </c>
      <c r="K651" s="2" t="s">
        <v>19559</v>
      </c>
    </row>
    <row r="652">
      <c r="A652" s="2" t="s">
        <v>4580</v>
      </c>
      <c r="B652" s="2" t="s">
        <v>19560</v>
      </c>
      <c r="C652" s="2">
        <v>8.152131527E9</v>
      </c>
      <c r="D652" s="2" t="s">
        <v>19561</v>
      </c>
      <c r="E652" s="2">
        <v>49944.0</v>
      </c>
      <c r="F652" s="2">
        <v>350.0</v>
      </c>
      <c r="G652" s="2">
        <v>476.0</v>
      </c>
      <c r="H652" s="2" t="s">
        <v>5905</v>
      </c>
      <c r="I652" s="2" t="s">
        <v>5906</v>
      </c>
      <c r="K652" s="2" t="s">
        <v>19562</v>
      </c>
      <c r="L652" s="10" t="s">
        <v>19563</v>
      </c>
    </row>
    <row r="653">
      <c r="A653" s="2" t="s">
        <v>4580</v>
      </c>
      <c r="B653" s="2" t="s">
        <v>19564</v>
      </c>
      <c r="C653" s="2">
        <v>1.8284959316E10</v>
      </c>
      <c r="D653" s="2" t="s">
        <v>19565</v>
      </c>
      <c r="E653" s="2">
        <v>7453877.0</v>
      </c>
      <c r="F653" s="2">
        <v>253.0</v>
      </c>
      <c r="G653" s="2">
        <v>6259.0</v>
      </c>
      <c r="H653" s="2" t="s">
        <v>5905</v>
      </c>
      <c r="I653" s="2" t="s">
        <v>5905</v>
      </c>
      <c r="J653" s="2" t="s">
        <v>7482</v>
      </c>
      <c r="K653" s="2" t="s">
        <v>19566</v>
      </c>
      <c r="L653" s="10" t="s">
        <v>19567</v>
      </c>
    </row>
    <row r="654">
      <c r="A654" s="2" t="s">
        <v>4580</v>
      </c>
      <c r="B654" s="2" t="s">
        <v>19568</v>
      </c>
      <c r="C654" s="2">
        <v>5.0803567811E10</v>
      </c>
      <c r="D654" s="2" t="s">
        <v>19569</v>
      </c>
      <c r="E654" s="2">
        <v>47939.0</v>
      </c>
      <c r="F654" s="2">
        <v>26.0</v>
      </c>
      <c r="G654" s="2">
        <v>476.0</v>
      </c>
      <c r="H654" s="2" t="s">
        <v>5906</v>
      </c>
      <c r="I654" s="2" t="s">
        <v>5906</v>
      </c>
      <c r="J654" s="2" t="s">
        <v>18999</v>
      </c>
      <c r="K654" s="2" t="s">
        <v>19570</v>
      </c>
      <c r="L654" s="10" t="s">
        <v>19571</v>
      </c>
    </row>
    <row r="655">
      <c r="A655" s="2" t="s">
        <v>4465</v>
      </c>
      <c r="B655" s="2" t="s">
        <v>19572</v>
      </c>
      <c r="C655" s="2">
        <v>4.7411395545E10</v>
      </c>
      <c r="D655" s="2" t="s">
        <v>4751</v>
      </c>
      <c r="E655" s="2">
        <v>11420.0</v>
      </c>
      <c r="F655" s="2">
        <v>145.0</v>
      </c>
      <c r="G655" s="2">
        <v>72.0</v>
      </c>
      <c r="H655" s="2" t="s">
        <v>5905</v>
      </c>
      <c r="I655" s="2" t="s">
        <v>5906</v>
      </c>
      <c r="J655" s="2" t="s">
        <v>19573</v>
      </c>
      <c r="K655" s="2" t="s">
        <v>19574</v>
      </c>
      <c r="L655" s="10" t="s">
        <v>19575</v>
      </c>
    </row>
    <row r="656">
      <c r="A656" s="2" t="s">
        <v>4465</v>
      </c>
      <c r="B656" s="2" t="s">
        <v>19576</v>
      </c>
      <c r="C656" s="2">
        <v>1.0498233987E10</v>
      </c>
      <c r="D656" s="2" t="s">
        <v>19572</v>
      </c>
      <c r="E656" s="2">
        <v>19589.0</v>
      </c>
      <c r="F656" s="2">
        <v>467.0</v>
      </c>
      <c r="G656" s="2">
        <v>10.0</v>
      </c>
      <c r="H656" s="2" t="s">
        <v>5905</v>
      </c>
      <c r="I656" s="2" t="s">
        <v>5905</v>
      </c>
      <c r="K656" s="12" t="s">
        <v>19577</v>
      </c>
      <c r="L656" s="10" t="s">
        <v>19578</v>
      </c>
    </row>
    <row r="657">
      <c r="A657" s="2" t="s">
        <v>4465</v>
      </c>
      <c r="B657" s="2" t="s">
        <v>19579</v>
      </c>
      <c r="C657" s="2">
        <v>4.623963677E9</v>
      </c>
      <c r="D657" s="2" t="s">
        <v>19580</v>
      </c>
      <c r="E657" s="2">
        <v>189240.0</v>
      </c>
      <c r="F657" s="2">
        <v>79.0</v>
      </c>
      <c r="G657" s="2">
        <v>1580.0</v>
      </c>
      <c r="H657" s="2" t="s">
        <v>5905</v>
      </c>
      <c r="I657" s="2" t="s">
        <v>5905</v>
      </c>
      <c r="J657" s="2" t="s">
        <v>7414</v>
      </c>
      <c r="K657" s="2" t="s">
        <v>19581</v>
      </c>
      <c r="L657" s="10" t="s">
        <v>19582</v>
      </c>
    </row>
    <row r="658">
      <c r="A658" s="2" t="s">
        <v>4465</v>
      </c>
      <c r="B658" s="2" t="s">
        <v>19583</v>
      </c>
      <c r="C658" s="2">
        <v>4.5497968555E10</v>
      </c>
      <c r="D658" s="2" t="s">
        <v>19584</v>
      </c>
      <c r="E658" s="2">
        <v>14590.0</v>
      </c>
      <c r="F658" s="2">
        <v>207.0</v>
      </c>
      <c r="G658" s="2">
        <v>266.0</v>
      </c>
      <c r="H658" s="2" t="s">
        <v>5905</v>
      </c>
      <c r="I658" s="2" t="s">
        <v>5905</v>
      </c>
      <c r="J658" s="2" t="s">
        <v>5928</v>
      </c>
      <c r="K658" s="2" t="s">
        <v>19585</v>
      </c>
      <c r="L658" s="10" t="s">
        <v>19586</v>
      </c>
    </row>
    <row r="659">
      <c r="A659" s="2" t="s">
        <v>4704</v>
      </c>
      <c r="B659" s="2" t="s">
        <v>19587</v>
      </c>
      <c r="C659" s="2">
        <v>7.30382938E9</v>
      </c>
      <c r="D659" s="2" t="s">
        <v>19588</v>
      </c>
      <c r="E659" s="2">
        <v>1459714.0</v>
      </c>
      <c r="F659" s="2">
        <v>834.0</v>
      </c>
      <c r="G659" s="2">
        <v>640.0</v>
      </c>
      <c r="H659" s="2" t="s">
        <v>5906</v>
      </c>
      <c r="I659" s="2" t="s">
        <v>5906</v>
      </c>
      <c r="J659" s="2" t="s">
        <v>5959</v>
      </c>
      <c r="K659" s="2" t="s">
        <v>19589</v>
      </c>
      <c r="L659" s="10" t="s">
        <v>19590</v>
      </c>
    </row>
    <row r="660">
      <c r="A660" s="2" t="s">
        <v>4704</v>
      </c>
      <c r="B660" s="2" t="s">
        <v>19591</v>
      </c>
      <c r="C660" s="2">
        <v>5.8082151097E10</v>
      </c>
      <c r="D660" s="2" t="s">
        <v>19592</v>
      </c>
      <c r="E660" s="2">
        <v>131480.0</v>
      </c>
      <c r="F660" s="2">
        <v>1245.0</v>
      </c>
      <c r="G660" s="2">
        <v>411.0</v>
      </c>
      <c r="H660" s="2" t="s">
        <v>5906</v>
      </c>
      <c r="I660" s="2" t="s">
        <v>5905</v>
      </c>
      <c r="J660" s="2" t="s">
        <v>5959</v>
      </c>
      <c r="K660" s="2" t="s">
        <v>19593</v>
      </c>
      <c r="L660" s="10" t="s">
        <v>19594</v>
      </c>
    </row>
    <row r="661">
      <c r="A661" s="2" t="s">
        <v>4704</v>
      </c>
      <c r="B661" s="2" t="s">
        <v>19595</v>
      </c>
      <c r="C661" s="2">
        <v>2.595154E7</v>
      </c>
      <c r="D661" s="2" t="s">
        <v>19596</v>
      </c>
      <c r="E661" s="2">
        <v>1274392.0</v>
      </c>
      <c r="F661" s="2">
        <v>991.0</v>
      </c>
      <c r="G661" s="2">
        <v>226.0</v>
      </c>
      <c r="H661" s="2" t="s">
        <v>5906</v>
      </c>
      <c r="I661" s="2" t="s">
        <v>5905</v>
      </c>
      <c r="J661" s="2" t="s">
        <v>5959</v>
      </c>
      <c r="K661" s="2" t="s">
        <v>19597</v>
      </c>
      <c r="L661" s="10" t="s">
        <v>19598</v>
      </c>
    </row>
    <row r="662">
      <c r="A662" s="2" t="s">
        <v>4704</v>
      </c>
      <c r="B662" s="2" t="s">
        <v>19599</v>
      </c>
      <c r="C662" s="2">
        <v>2.06749457E8</v>
      </c>
      <c r="D662" s="2" t="s">
        <v>19600</v>
      </c>
      <c r="E662" s="2">
        <v>202587.0</v>
      </c>
      <c r="F662" s="2">
        <v>1652.0</v>
      </c>
      <c r="G662" s="2">
        <v>5680.0</v>
      </c>
      <c r="H662" s="2" t="s">
        <v>5906</v>
      </c>
      <c r="I662" s="2" t="s">
        <v>5905</v>
      </c>
      <c r="J662" s="2" t="s">
        <v>19601</v>
      </c>
      <c r="K662" s="2" t="s">
        <v>19602</v>
      </c>
      <c r="L662" s="10" t="s">
        <v>19603</v>
      </c>
    </row>
    <row r="663">
      <c r="A663" s="2" t="s">
        <v>4704</v>
      </c>
      <c r="B663" s="2" t="s">
        <v>19604</v>
      </c>
      <c r="C663" s="2">
        <v>9.89740124E8</v>
      </c>
      <c r="D663" s="2" t="s">
        <v>19605</v>
      </c>
      <c r="E663" s="2">
        <v>18853.0</v>
      </c>
      <c r="F663" s="2">
        <v>1333.0</v>
      </c>
      <c r="G663" s="2">
        <v>2835.0</v>
      </c>
      <c r="H663" s="2" t="s">
        <v>5905</v>
      </c>
      <c r="I663" s="2" t="s">
        <v>5905</v>
      </c>
      <c r="J663" s="2" t="s">
        <v>19601</v>
      </c>
      <c r="K663" s="2" t="s">
        <v>19606</v>
      </c>
      <c r="L663" s="10" t="s">
        <v>19607</v>
      </c>
    </row>
    <row r="664">
      <c r="A664" s="2" t="s">
        <v>4704</v>
      </c>
      <c r="B664" s="2" t="s">
        <v>19608</v>
      </c>
      <c r="C664" s="2">
        <v>7.1740328465E10</v>
      </c>
      <c r="D664" s="2" t="s">
        <v>19609</v>
      </c>
      <c r="E664" s="2">
        <v>32253.0</v>
      </c>
      <c r="F664" s="2">
        <v>4.0</v>
      </c>
      <c r="G664" s="2">
        <v>55.0</v>
      </c>
      <c r="H664" s="2" t="s">
        <v>5905</v>
      </c>
      <c r="I664" s="2" t="s">
        <v>5905</v>
      </c>
      <c r="J664" s="2" t="s">
        <v>6393</v>
      </c>
      <c r="K664" s="2" t="s">
        <v>19610</v>
      </c>
      <c r="L664" s="10" t="s">
        <v>19611</v>
      </c>
    </row>
    <row r="665">
      <c r="A665" s="2" t="s">
        <v>4704</v>
      </c>
      <c r="B665" s="2" t="s">
        <v>19612</v>
      </c>
      <c r="C665" s="2">
        <v>3691274.0</v>
      </c>
      <c r="D665" s="2" t="s">
        <v>19613</v>
      </c>
      <c r="E665" s="2">
        <v>286172.0</v>
      </c>
      <c r="F665" s="2">
        <v>995.0</v>
      </c>
      <c r="G665" s="2">
        <v>485.0</v>
      </c>
      <c r="H665" s="2" t="s">
        <v>5906</v>
      </c>
      <c r="I665" s="2" t="s">
        <v>5905</v>
      </c>
      <c r="J665" s="2" t="s">
        <v>6393</v>
      </c>
      <c r="K665" s="2" t="s">
        <v>19614</v>
      </c>
      <c r="L665" s="10" t="s">
        <v>19615</v>
      </c>
    </row>
    <row r="666">
      <c r="A666" s="2" t="s">
        <v>4704</v>
      </c>
      <c r="B666" s="2" t="s">
        <v>19616</v>
      </c>
      <c r="C666" s="2">
        <v>3.468044519E9</v>
      </c>
      <c r="D666" s="2" t="s">
        <v>19617</v>
      </c>
      <c r="E666" s="2">
        <v>1088484.0</v>
      </c>
      <c r="F666" s="2">
        <v>771.0</v>
      </c>
      <c r="G666" s="2">
        <v>822.0</v>
      </c>
      <c r="H666" s="2" t="s">
        <v>5906</v>
      </c>
      <c r="I666" s="2" t="s">
        <v>5905</v>
      </c>
      <c r="J666" s="2" t="s">
        <v>5391</v>
      </c>
      <c r="K666" s="2" t="s">
        <v>19618</v>
      </c>
      <c r="L666" s="10" t="s">
        <v>19619</v>
      </c>
    </row>
    <row r="667">
      <c r="A667" s="2" t="s">
        <v>4704</v>
      </c>
      <c r="B667" s="2" t="s">
        <v>19620</v>
      </c>
      <c r="C667" s="2">
        <v>2.7703941E7</v>
      </c>
      <c r="D667" s="2" t="s">
        <v>19621</v>
      </c>
      <c r="E667" s="2">
        <v>1504947.0</v>
      </c>
      <c r="F667" s="2">
        <v>1342.0</v>
      </c>
      <c r="G667" s="2">
        <v>1274.0</v>
      </c>
      <c r="H667" s="2" t="s">
        <v>5906</v>
      </c>
      <c r="I667" s="2" t="s">
        <v>5905</v>
      </c>
      <c r="J667" s="2" t="s">
        <v>19622</v>
      </c>
      <c r="K667" s="2" t="s">
        <v>19623</v>
      </c>
      <c r="L667" s="10" t="s">
        <v>19624</v>
      </c>
    </row>
    <row r="668">
      <c r="A668" s="2" t="s">
        <v>4704</v>
      </c>
      <c r="B668" s="2" t="s">
        <v>19625</v>
      </c>
      <c r="C668" s="2">
        <v>2.6534194965E10</v>
      </c>
      <c r="D668" s="2" t="s">
        <v>19626</v>
      </c>
      <c r="E668" s="2">
        <v>542995.0</v>
      </c>
      <c r="F668" s="2">
        <v>605.0</v>
      </c>
      <c r="G668" s="2">
        <v>481.0</v>
      </c>
      <c r="H668" s="2" t="s">
        <v>5906</v>
      </c>
      <c r="I668" s="2" t="s">
        <v>5905</v>
      </c>
      <c r="J668" s="2" t="s">
        <v>19622</v>
      </c>
      <c r="K668" s="2" t="s">
        <v>19627</v>
      </c>
      <c r="L668" s="10" t="s">
        <v>19628</v>
      </c>
    </row>
    <row r="669">
      <c r="A669" s="2" t="s">
        <v>4704</v>
      </c>
      <c r="B669" s="2" t="s">
        <v>19629</v>
      </c>
      <c r="C669" s="2">
        <v>5.3051250549E10</v>
      </c>
      <c r="D669" s="2" t="s">
        <v>19630</v>
      </c>
      <c r="E669" s="2">
        <v>159901.0</v>
      </c>
      <c r="F669" s="2">
        <v>906.0</v>
      </c>
      <c r="G669" s="2">
        <v>267.0</v>
      </c>
      <c r="H669" s="2" t="s">
        <v>5906</v>
      </c>
      <c r="I669" s="2" t="s">
        <v>5905</v>
      </c>
      <c r="J669" s="2" t="s">
        <v>5959</v>
      </c>
      <c r="K669" s="2" t="s">
        <v>19631</v>
      </c>
      <c r="L669" s="10" t="s">
        <v>19632</v>
      </c>
    </row>
    <row r="670">
      <c r="A670" s="2" t="s">
        <v>4704</v>
      </c>
      <c r="B670" s="2" t="s">
        <v>19633</v>
      </c>
      <c r="C670" s="2">
        <v>4.9758546331E10</v>
      </c>
      <c r="D670" s="2" t="s">
        <v>19634</v>
      </c>
      <c r="E670" s="2">
        <v>1469983.0</v>
      </c>
      <c r="F670" s="2">
        <v>656.0</v>
      </c>
      <c r="G670" s="2">
        <v>268.0</v>
      </c>
      <c r="H670" s="2" t="s">
        <v>5906</v>
      </c>
      <c r="I670" s="2" t="s">
        <v>5905</v>
      </c>
      <c r="J670" s="2" t="s">
        <v>19622</v>
      </c>
      <c r="K670" s="2" t="s">
        <v>19635</v>
      </c>
      <c r="L670" s="10" t="s">
        <v>19636</v>
      </c>
    </row>
    <row r="671">
      <c r="A671" s="2" t="s">
        <v>4645</v>
      </c>
      <c r="B671" s="2" t="s">
        <v>19637</v>
      </c>
      <c r="C671" s="2">
        <v>2.88320296E8</v>
      </c>
      <c r="D671" s="2" t="s">
        <v>19638</v>
      </c>
      <c r="E671" s="2">
        <v>24884.0</v>
      </c>
      <c r="F671" s="2">
        <v>16.0</v>
      </c>
      <c r="G671" s="2">
        <v>321.0</v>
      </c>
      <c r="H671" s="2" t="s">
        <v>5905</v>
      </c>
      <c r="I671" s="2" t="s">
        <v>5905</v>
      </c>
      <c r="K671" s="2" t="s">
        <v>19639</v>
      </c>
    </row>
    <row r="672">
      <c r="A672" s="2" t="s">
        <v>4645</v>
      </c>
      <c r="B672" s="2" t="s">
        <v>19640</v>
      </c>
      <c r="C672" s="2">
        <v>1.348330282E9</v>
      </c>
      <c r="D672" s="2" t="s">
        <v>19641</v>
      </c>
      <c r="E672" s="2">
        <v>38335.0</v>
      </c>
      <c r="F672" s="2">
        <v>5694.0</v>
      </c>
      <c r="G672" s="2">
        <v>1284.0</v>
      </c>
      <c r="H672" s="2" t="s">
        <v>5905</v>
      </c>
      <c r="I672" s="2" t="s">
        <v>5906</v>
      </c>
      <c r="K672" s="2" t="s">
        <v>19642</v>
      </c>
      <c r="L672" s="10" t="s">
        <v>19643</v>
      </c>
    </row>
    <row r="673">
      <c r="A673" s="2" t="s">
        <v>4477</v>
      </c>
      <c r="B673" s="2" t="s">
        <v>19644</v>
      </c>
      <c r="C673" s="2">
        <v>3.261309115E9</v>
      </c>
      <c r="D673" s="2" t="s">
        <v>19645</v>
      </c>
      <c r="E673" s="2">
        <v>5243683.0</v>
      </c>
      <c r="F673" s="2">
        <v>248.0</v>
      </c>
      <c r="G673" s="2">
        <v>49402.0</v>
      </c>
      <c r="H673" s="2" t="s">
        <v>5906</v>
      </c>
      <c r="I673" s="2" t="s">
        <v>5906</v>
      </c>
      <c r="K673" s="2" t="s">
        <v>19646</v>
      </c>
      <c r="L673" s="10" t="s">
        <v>19647</v>
      </c>
    </row>
    <row r="674">
      <c r="A674" s="2" t="s">
        <v>4477</v>
      </c>
      <c r="B674" s="2" t="s">
        <v>19648</v>
      </c>
      <c r="C674" s="2">
        <v>1.7007223E7</v>
      </c>
      <c r="D674" s="2" t="s">
        <v>19649</v>
      </c>
      <c r="E674" s="2">
        <v>94094.0</v>
      </c>
      <c r="F674" s="2">
        <v>994.0</v>
      </c>
      <c r="G674" s="2">
        <v>168.0</v>
      </c>
      <c r="H674" s="2" t="s">
        <v>5905</v>
      </c>
      <c r="I674" s="2" t="s">
        <v>5906</v>
      </c>
      <c r="J674" s="2" t="s">
        <v>13518</v>
      </c>
      <c r="K674" s="2" t="s">
        <v>19650</v>
      </c>
      <c r="L674" s="10" t="s">
        <v>19651</v>
      </c>
    </row>
    <row r="675">
      <c r="A675" s="2" t="s">
        <v>4477</v>
      </c>
      <c r="B675" s="10" t="s">
        <v>19652</v>
      </c>
      <c r="C675" s="2">
        <v>1.84973452E8</v>
      </c>
      <c r="D675" s="2" t="s">
        <v>19653</v>
      </c>
      <c r="E675" s="2">
        <v>10796.0</v>
      </c>
      <c r="F675" s="2">
        <v>6962.0</v>
      </c>
      <c r="G675" s="2">
        <v>141.0</v>
      </c>
      <c r="H675" s="2" t="s">
        <v>5906</v>
      </c>
      <c r="I675" s="2" t="s">
        <v>5905</v>
      </c>
      <c r="J675" s="2" t="s">
        <v>5993</v>
      </c>
      <c r="K675" s="2" t="s">
        <v>19654</v>
      </c>
    </row>
    <row r="676">
      <c r="A676" s="2" t="s">
        <v>4716</v>
      </c>
      <c r="B676" s="2" t="s">
        <v>19655</v>
      </c>
      <c r="C676" s="2">
        <v>4.86524427E9</v>
      </c>
      <c r="D676" s="2" t="s">
        <v>19656</v>
      </c>
      <c r="E676" s="2">
        <v>174385.0</v>
      </c>
      <c r="F676" s="2">
        <v>19.0</v>
      </c>
      <c r="G676" s="2">
        <v>2397.0</v>
      </c>
      <c r="H676" s="2" t="s">
        <v>5905</v>
      </c>
      <c r="I676" s="2" t="s">
        <v>5905</v>
      </c>
      <c r="J676" s="2" t="s">
        <v>5561</v>
      </c>
      <c r="K676" s="2" t="s">
        <v>19657</v>
      </c>
    </row>
    <row r="677">
      <c r="A677" s="2" t="s">
        <v>4716</v>
      </c>
      <c r="B677" s="2" t="s">
        <v>19658</v>
      </c>
      <c r="C677" s="2">
        <v>6412892.0</v>
      </c>
      <c r="D677" s="2" t="s">
        <v>19659</v>
      </c>
      <c r="E677" s="2">
        <v>5639482.0</v>
      </c>
      <c r="F677" s="2">
        <v>1350.0</v>
      </c>
      <c r="G677" s="2">
        <v>10254.0</v>
      </c>
      <c r="H677" s="2" t="s">
        <v>5906</v>
      </c>
      <c r="I677" s="2" t="s">
        <v>5906</v>
      </c>
      <c r="J677" s="2" t="s">
        <v>5561</v>
      </c>
      <c r="K677" s="2" t="s">
        <v>19660</v>
      </c>
      <c r="L677" s="10" t="s">
        <v>19661</v>
      </c>
    </row>
    <row r="678">
      <c r="A678" s="2" t="s">
        <v>4716</v>
      </c>
      <c r="B678" s="2" t="s">
        <v>19662</v>
      </c>
      <c r="C678" s="2">
        <v>7.962422461E9</v>
      </c>
      <c r="D678" s="2" t="s">
        <v>19663</v>
      </c>
      <c r="E678" s="2">
        <v>117192.0</v>
      </c>
      <c r="F678" s="2">
        <v>3.0</v>
      </c>
      <c r="G678" s="2">
        <v>1681.0</v>
      </c>
      <c r="H678" s="2" t="s">
        <v>5905</v>
      </c>
      <c r="I678" s="2" t="s">
        <v>5906</v>
      </c>
      <c r="J678" s="2" t="s">
        <v>5561</v>
      </c>
      <c r="K678" s="2" t="s">
        <v>19664</v>
      </c>
      <c r="L678" s="10" t="s">
        <v>19665</v>
      </c>
    </row>
    <row r="679">
      <c r="A679" s="2" t="s">
        <v>4495</v>
      </c>
      <c r="B679" s="2" t="s">
        <v>19666</v>
      </c>
      <c r="C679" s="2">
        <v>4.3139313272E10</v>
      </c>
      <c r="D679" s="2" t="s">
        <v>19667</v>
      </c>
      <c r="E679" s="2">
        <v>11868.0</v>
      </c>
      <c r="F679" s="2">
        <v>639.0</v>
      </c>
      <c r="G679" s="2">
        <v>65.0</v>
      </c>
      <c r="H679" s="2" t="s">
        <v>5905</v>
      </c>
      <c r="I679" s="2" t="s">
        <v>5906</v>
      </c>
      <c r="J679" s="2" t="s">
        <v>6002</v>
      </c>
      <c r="K679" s="2" t="s">
        <v>19668</v>
      </c>
      <c r="L679" s="10" t="s">
        <v>19669</v>
      </c>
    </row>
    <row r="680">
      <c r="A680" s="2" t="s">
        <v>4495</v>
      </c>
      <c r="B680" s="2" t="s">
        <v>19670</v>
      </c>
      <c r="C680" s="2">
        <v>5.778841073E10</v>
      </c>
      <c r="D680" s="2" t="s">
        <v>19671</v>
      </c>
      <c r="E680" s="2">
        <v>48987.0</v>
      </c>
      <c r="F680" s="2">
        <v>23.0</v>
      </c>
      <c r="G680" s="2">
        <v>826.0</v>
      </c>
      <c r="H680" s="2" t="s">
        <v>5905</v>
      </c>
      <c r="I680" s="2" t="s">
        <v>5905</v>
      </c>
      <c r="J680" s="2" t="s">
        <v>5391</v>
      </c>
      <c r="K680" s="2" t="s">
        <v>19672</v>
      </c>
      <c r="L680" s="10" t="s">
        <v>19673</v>
      </c>
    </row>
    <row r="681">
      <c r="A681" s="2" t="s">
        <v>4495</v>
      </c>
      <c r="B681" s="2" t="s">
        <v>19674</v>
      </c>
      <c r="C681" s="2">
        <v>4.166075757E9</v>
      </c>
      <c r="D681" s="2" t="s">
        <v>19675</v>
      </c>
      <c r="E681" s="2">
        <v>341342.0</v>
      </c>
      <c r="F681" s="2">
        <v>2.0</v>
      </c>
      <c r="G681" s="2">
        <v>1824.0</v>
      </c>
      <c r="H681" s="2" t="s">
        <v>5905</v>
      </c>
      <c r="I681" s="2" t="s">
        <v>5906</v>
      </c>
      <c r="J681" s="2" t="s">
        <v>19676</v>
      </c>
      <c r="K681" s="2" t="s">
        <v>19677</v>
      </c>
      <c r="L681" s="10" t="s">
        <v>19678</v>
      </c>
    </row>
    <row r="682">
      <c r="A682" s="2" t="s">
        <v>4495</v>
      </c>
      <c r="B682" s="2" t="s">
        <v>19679</v>
      </c>
      <c r="C682" s="2">
        <v>3.4940954651E10</v>
      </c>
      <c r="D682" s="2" t="s">
        <v>19680</v>
      </c>
      <c r="E682" s="2">
        <v>375832.0</v>
      </c>
      <c r="F682" s="2">
        <v>996.0</v>
      </c>
      <c r="G682" s="2">
        <v>567.0</v>
      </c>
      <c r="H682" s="2" t="s">
        <v>5906</v>
      </c>
      <c r="I682" s="2" t="s">
        <v>5905</v>
      </c>
      <c r="J682" s="2" t="s">
        <v>5391</v>
      </c>
      <c r="K682" s="2" t="s">
        <v>19681</v>
      </c>
      <c r="L682" s="10" t="s">
        <v>19682</v>
      </c>
    </row>
    <row r="683">
      <c r="A683" s="2" t="s">
        <v>4495</v>
      </c>
      <c r="B683" s="2" t="s">
        <v>19683</v>
      </c>
      <c r="C683" s="2">
        <v>6.6351097185E10</v>
      </c>
      <c r="D683" s="2" t="s">
        <v>19684</v>
      </c>
      <c r="E683" s="2">
        <v>25909.0</v>
      </c>
      <c r="F683" s="2">
        <v>3358.0</v>
      </c>
      <c r="G683" s="2">
        <v>414.0</v>
      </c>
      <c r="H683" s="2" t="s">
        <v>5905</v>
      </c>
      <c r="I683" s="2" t="s">
        <v>5905</v>
      </c>
      <c r="J683" s="2" t="s">
        <v>5391</v>
      </c>
      <c r="K683" s="2" t="s">
        <v>19685</v>
      </c>
      <c r="L683" s="10" t="s">
        <v>19686</v>
      </c>
    </row>
    <row r="684">
      <c r="A684" s="2" t="s">
        <v>4495</v>
      </c>
      <c r="B684" s="2" t="s">
        <v>19687</v>
      </c>
      <c r="C684" s="2">
        <v>7.180320718E9</v>
      </c>
      <c r="D684" s="2" t="s">
        <v>19688</v>
      </c>
      <c r="E684" s="2">
        <v>148284.0</v>
      </c>
      <c r="F684" s="2">
        <v>389.0</v>
      </c>
      <c r="G684" s="2">
        <v>3172.0</v>
      </c>
      <c r="H684" s="2" t="s">
        <v>5905</v>
      </c>
      <c r="I684" s="2" t="s">
        <v>5906</v>
      </c>
      <c r="J684" s="2" t="s">
        <v>5391</v>
      </c>
      <c r="K684" s="2" t="s">
        <v>19689</v>
      </c>
      <c r="L684" s="10" t="s">
        <v>19690</v>
      </c>
    </row>
    <row r="685">
      <c r="A685" s="2" t="s">
        <v>4495</v>
      </c>
      <c r="B685" s="2" t="s">
        <v>19691</v>
      </c>
      <c r="C685" s="2">
        <v>5.9302144777E10</v>
      </c>
      <c r="D685" s="2" t="s">
        <v>19692</v>
      </c>
      <c r="E685" s="2">
        <v>14189.0</v>
      </c>
      <c r="F685" s="2">
        <v>47.0</v>
      </c>
      <c r="G685" s="2">
        <v>162.0</v>
      </c>
      <c r="H685" s="2" t="s">
        <v>5906</v>
      </c>
      <c r="I685" s="2" t="s">
        <v>5905</v>
      </c>
      <c r="J685" s="2" t="s">
        <v>5959</v>
      </c>
      <c r="K685" s="2" t="s">
        <v>19693</v>
      </c>
      <c r="L685" s="10" t="s">
        <v>19694</v>
      </c>
    </row>
    <row r="686">
      <c r="A686" s="2" t="s">
        <v>4495</v>
      </c>
      <c r="B686" s="2" t="s">
        <v>19695</v>
      </c>
      <c r="C686" s="2">
        <v>4.473430892E10</v>
      </c>
      <c r="D686" s="2" t="s">
        <v>19696</v>
      </c>
      <c r="E686" s="2">
        <v>81575.0</v>
      </c>
      <c r="F686" s="2">
        <v>3974.0</v>
      </c>
      <c r="G686" s="2">
        <v>48.0</v>
      </c>
      <c r="H686" s="2" t="s">
        <v>5906</v>
      </c>
      <c r="I686" s="2" t="s">
        <v>5905</v>
      </c>
      <c r="J686" s="2" t="s">
        <v>8838</v>
      </c>
      <c r="K686" s="2" t="s">
        <v>19697</v>
      </c>
    </row>
    <row r="687">
      <c r="A687" s="2" t="s">
        <v>4495</v>
      </c>
      <c r="B687" s="2" t="s">
        <v>19698</v>
      </c>
      <c r="C687" s="2">
        <v>4.7466035175E10</v>
      </c>
      <c r="D687" s="2" t="s">
        <v>19699</v>
      </c>
      <c r="E687" s="2">
        <v>251489.0</v>
      </c>
      <c r="F687" s="2">
        <v>3.0</v>
      </c>
      <c r="G687" s="2">
        <v>7.0</v>
      </c>
      <c r="H687" s="2" t="s">
        <v>5905</v>
      </c>
      <c r="I687" s="2" t="s">
        <v>5906</v>
      </c>
      <c r="J687" s="2" t="s">
        <v>6393</v>
      </c>
      <c r="K687" s="2" t="s">
        <v>19700</v>
      </c>
      <c r="L687" s="10" t="s">
        <v>19701</v>
      </c>
    </row>
    <row r="688">
      <c r="A688" s="2" t="s">
        <v>4495</v>
      </c>
      <c r="B688" s="2" t="s">
        <v>19702</v>
      </c>
      <c r="C688" s="2">
        <v>2.6464861995E10</v>
      </c>
      <c r="D688" s="2" t="s">
        <v>19703</v>
      </c>
      <c r="E688" s="2">
        <v>26217.0</v>
      </c>
      <c r="F688" s="2">
        <v>2.0</v>
      </c>
      <c r="G688" s="2">
        <v>328.0</v>
      </c>
      <c r="H688" s="2" t="s">
        <v>5905</v>
      </c>
      <c r="I688" s="2" t="s">
        <v>5906</v>
      </c>
      <c r="J688" s="2" t="s">
        <v>5391</v>
      </c>
      <c r="K688" s="2" t="s">
        <v>19704</v>
      </c>
    </row>
    <row r="689">
      <c r="A689" s="2" t="s">
        <v>4484</v>
      </c>
      <c r="B689" s="2" t="s">
        <v>19705</v>
      </c>
      <c r="C689" s="2">
        <v>1.1376908023E10</v>
      </c>
      <c r="D689" s="2" t="s">
        <v>19706</v>
      </c>
      <c r="E689" s="2">
        <v>225899.0</v>
      </c>
      <c r="F689" s="2">
        <v>79.0</v>
      </c>
      <c r="G689" s="2">
        <v>520.0</v>
      </c>
      <c r="H689" s="2" t="s">
        <v>5905</v>
      </c>
      <c r="I689" s="2" t="s">
        <v>5906</v>
      </c>
      <c r="J689" s="2" t="s">
        <v>19707</v>
      </c>
      <c r="K689" s="2" t="s">
        <v>19708</v>
      </c>
      <c r="L689" s="10" t="s">
        <v>19709</v>
      </c>
    </row>
    <row r="690">
      <c r="A690" s="2" t="s">
        <v>4484</v>
      </c>
      <c r="B690" s="2" t="s">
        <v>19710</v>
      </c>
      <c r="C690" s="2">
        <v>3.107562005E9</v>
      </c>
      <c r="D690" s="2" t="s">
        <v>19711</v>
      </c>
      <c r="E690" s="2">
        <v>242023.0</v>
      </c>
      <c r="F690" s="2">
        <v>189.0</v>
      </c>
      <c r="G690" s="2">
        <v>1008.0</v>
      </c>
      <c r="H690" s="2" t="s">
        <v>5906</v>
      </c>
      <c r="I690" s="2" t="s">
        <v>5906</v>
      </c>
      <c r="J690" s="2" t="s">
        <v>6472</v>
      </c>
      <c r="K690" s="2" t="s">
        <v>19712</v>
      </c>
      <c r="L690" s="10" t="s">
        <v>19713</v>
      </c>
    </row>
    <row r="691">
      <c r="A691" s="2" t="s">
        <v>4484</v>
      </c>
      <c r="B691" s="2" t="s">
        <v>19714</v>
      </c>
      <c r="C691" s="2">
        <v>5.77809085E8</v>
      </c>
      <c r="D691" s="2" t="s">
        <v>19715</v>
      </c>
      <c r="E691" s="2">
        <v>712714.0</v>
      </c>
      <c r="F691" s="2">
        <v>696.0</v>
      </c>
      <c r="G691" s="2">
        <v>3275.0</v>
      </c>
      <c r="H691" s="2" t="s">
        <v>5906</v>
      </c>
      <c r="I691" s="2" t="s">
        <v>5906</v>
      </c>
      <c r="J691" s="2" t="s">
        <v>6002</v>
      </c>
      <c r="K691" s="2" t="s">
        <v>19716</v>
      </c>
      <c r="L691" s="10" t="s">
        <v>19717</v>
      </c>
    </row>
    <row r="692">
      <c r="A692" s="2" t="s">
        <v>4484</v>
      </c>
      <c r="B692" s="2" t="s">
        <v>19718</v>
      </c>
      <c r="C692" s="2">
        <v>2.20119683E8</v>
      </c>
      <c r="D692" s="2" t="s">
        <v>19719</v>
      </c>
      <c r="E692" s="2">
        <v>343711.0</v>
      </c>
      <c r="F692" s="2">
        <v>467.0</v>
      </c>
      <c r="G692" s="2">
        <v>2467.0</v>
      </c>
      <c r="H692" s="2" t="s">
        <v>5905</v>
      </c>
      <c r="I692" s="2" t="s">
        <v>5906</v>
      </c>
      <c r="J692" s="2" t="s">
        <v>5391</v>
      </c>
      <c r="K692" s="2" t="s">
        <v>19720</v>
      </c>
      <c r="L692" s="10" t="s">
        <v>19721</v>
      </c>
    </row>
    <row r="693">
      <c r="A693" s="2" t="s">
        <v>4484</v>
      </c>
      <c r="B693" s="2" t="s">
        <v>19722</v>
      </c>
      <c r="C693" s="2">
        <v>2.35113506E8</v>
      </c>
      <c r="D693" s="2" t="s">
        <v>19723</v>
      </c>
      <c r="E693" s="2">
        <v>279578.0</v>
      </c>
      <c r="F693" s="2">
        <v>476.0</v>
      </c>
      <c r="G693" s="2">
        <v>2055.0</v>
      </c>
      <c r="H693" s="2" t="s">
        <v>5905</v>
      </c>
      <c r="I693" s="2" t="s">
        <v>5906</v>
      </c>
      <c r="J693" s="2" t="s">
        <v>6002</v>
      </c>
      <c r="K693" s="2" t="s">
        <v>19724</v>
      </c>
      <c r="L693" s="10" t="s">
        <v>19725</v>
      </c>
    </row>
    <row r="694">
      <c r="A694" s="2" t="s">
        <v>4484</v>
      </c>
      <c r="B694" s="2" t="s">
        <v>19726</v>
      </c>
      <c r="C694" s="2">
        <v>2.78734428E8</v>
      </c>
      <c r="D694" s="2" t="s">
        <v>19727</v>
      </c>
      <c r="E694" s="2">
        <v>2092136.0</v>
      </c>
      <c r="F694" s="2">
        <v>880.0</v>
      </c>
      <c r="G694" s="2">
        <v>409.0</v>
      </c>
      <c r="H694" s="2" t="s">
        <v>5906</v>
      </c>
      <c r="I694" s="2" t="s">
        <v>5906</v>
      </c>
      <c r="J694" s="2" t="s">
        <v>5993</v>
      </c>
      <c r="K694" s="2" t="s">
        <v>19728</v>
      </c>
      <c r="L694" s="10" t="s">
        <v>19729</v>
      </c>
    </row>
    <row r="695">
      <c r="A695" s="2" t="s">
        <v>4484</v>
      </c>
      <c r="B695" s="2" t="s">
        <v>19730</v>
      </c>
      <c r="C695" s="2">
        <v>9532532.0</v>
      </c>
      <c r="D695" s="2" t="s">
        <v>19731</v>
      </c>
      <c r="E695" s="2">
        <v>311420.0</v>
      </c>
      <c r="F695" s="2">
        <v>1391.0</v>
      </c>
      <c r="G695" s="2">
        <v>7034.0</v>
      </c>
      <c r="H695" s="2" t="s">
        <v>5906</v>
      </c>
      <c r="I695" s="2" t="s">
        <v>5905</v>
      </c>
      <c r="J695" s="2" t="s">
        <v>5963</v>
      </c>
      <c r="K695" s="2" t="s">
        <v>19732</v>
      </c>
      <c r="L695" s="10" t="s">
        <v>19733</v>
      </c>
    </row>
    <row r="696">
      <c r="A696" s="2" t="s">
        <v>1542</v>
      </c>
      <c r="B696" s="2" t="s">
        <v>19734</v>
      </c>
      <c r="C696" s="2">
        <v>8.204247033E9</v>
      </c>
      <c r="D696" s="2" t="s">
        <v>19735</v>
      </c>
      <c r="E696" s="2">
        <v>10987.0</v>
      </c>
      <c r="F696" s="2">
        <v>250.0</v>
      </c>
      <c r="G696" s="2">
        <v>72.0</v>
      </c>
      <c r="H696" s="2" t="s">
        <v>5906</v>
      </c>
      <c r="I696" s="2" t="s">
        <v>5906</v>
      </c>
      <c r="J696" s="2" t="s">
        <v>8144</v>
      </c>
      <c r="K696" s="2" t="s">
        <v>19736</v>
      </c>
    </row>
    <row r="697">
      <c r="A697" s="2" t="s">
        <v>1542</v>
      </c>
      <c r="B697" s="2" t="s">
        <v>1542</v>
      </c>
      <c r="C697" s="2">
        <v>941805.0</v>
      </c>
      <c r="D697" s="2" t="s">
        <v>19737</v>
      </c>
      <c r="E697" s="2">
        <v>5561613.0</v>
      </c>
      <c r="F697" s="2">
        <v>95.0</v>
      </c>
      <c r="G697" s="2">
        <v>2277.0</v>
      </c>
      <c r="H697" s="2" t="s">
        <v>5906</v>
      </c>
      <c r="I697" s="2" t="s">
        <v>5906</v>
      </c>
      <c r="J697" s="2" t="s">
        <v>5561</v>
      </c>
      <c r="K697" s="2" t="s">
        <v>19738</v>
      </c>
    </row>
    <row r="698">
      <c r="A698" s="2" t="s">
        <v>1542</v>
      </c>
      <c r="B698" s="2" t="s">
        <v>19739</v>
      </c>
      <c r="C698" s="2">
        <v>2.144940655E9</v>
      </c>
      <c r="D698" s="2" t="s">
        <v>19737</v>
      </c>
      <c r="E698" s="2">
        <v>198227.0</v>
      </c>
      <c r="F698" s="2">
        <v>34.0</v>
      </c>
      <c r="G698" s="2">
        <v>1303.0</v>
      </c>
      <c r="H698" s="2" t="s">
        <v>5906</v>
      </c>
      <c r="I698" s="2" t="s">
        <v>5906</v>
      </c>
      <c r="J698" s="2" t="s">
        <v>5561</v>
      </c>
      <c r="K698" s="2" t="s">
        <v>19740</v>
      </c>
    </row>
    <row r="699">
      <c r="A699" s="2" t="s">
        <v>1542</v>
      </c>
      <c r="B699" s="2" t="s">
        <v>19741</v>
      </c>
      <c r="C699" s="2">
        <v>7.288184023E9</v>
      </c>
      <c r="D699" s="2" t="s">
        <v>19742</v>
      </c>
      <c r="E699" s="2">
        <v>2392342.0</v>
      </c>
      <c r="F699" s="2">
        <v>4504.0</v>
      </c>
      <c r="G699" s="2">
        <v>14643.0</v>
      </c>
      <c r="H699" s="2" t="s">
        <v>5906</v>
      </c>
      <c r="I699" s="2" t="s">
        <v>5906</v>
      </c>
      <c r="J699" s="2" t="s">
        <v>5561</v>
      </c>
      <c r="K699" s="2" t="s">
        <v>19743</v>
      </c>
      <c r="L699" s="10" t="s">
        <v>19744</v>
      </c>
    </row>
    <row r="700">
      <c r="A700" s="2" t="s">
        <v>1542</v>
      </c>
      <c r="B700" s="2" t="s">
        <v>19745</v>
      </c>
      <c r="C700" s="2">
        <v>3.059812073E9</v>
      </c>
      <c r="D700" s="2" t="s">
        <v>19737</v>
      </c>
      <c r="E700" s="2">
        <v>286089.0</v>
      </c>
      <c r="F700" s="2">
        <v>60.0</v>
      </c>
      <c r="G700" s="2">
        <v>1743.0</v>
      </c>
      <c r="H700" s="2" t="s">
        <v>5905</v>
      </c>
      <c r="I700" s="2" t="s">
        <v>5905</v>
      </c>
      <c r="J700" s="2" t="s">
        <v>4404</v>
      </c>
      <c r="K700" s="2" t="s">
        <v>19746</v>
      </c>
    </row>
    <row r="701">
      <c r="A701" s="2" t="s">
        <v>1542</v>
      </c>
      <c r="B701" s="2" t="s">
        <v>19747</v>
      </c>
      <c r="C701" s="2">
        <v>2.031017144E9</v>
      </c>
      <c r="D701" s="12" t="s">
        <v>19748</v>
      </c>
      <c r="E701" s="2">
        <v>1600398.0</v>
      </c>
      <c r="F701" s="2">
        <v>68.0</v>
      </c>
      <c r="G701" s="2">
        <v>24979.0</v>
      </c>
      <c r="H701" s="2" t="s">
        <v>5906</v>
      </c>
      <c r="I701" s="2" t="s">
        <v>5905</v>
      </c>
      <c r="J701" s="2" t="s">
        <v>5959</v>
      </c>
      <c r="K701" s="2" t="s">
        <v>19749</v>
      </c>
      <c r="L701" s="10" t="s">
        <v>19750</v>
      </c>
    </row>
    <row r="702">
      <c r="A702" s="2" t="s">
        <v>1542</v>
      </c>
      <c r="B702" s="2" t="s">
        <v>19751</v>
      </c>
      <c r="C702" s="2">
        <v>2.64789282E8</v>
      </c>
      <c r="D702" s="2" t="s">
        <v>19752</v>
      </c>
      <c r="E702" s="2">
        <v>1477213.0</v>
      </c>
      <c r="F702" s="2">
        <v>511.0</v>
      </c>
      <c r="G702" s="2">
        <v>7235.0</v>
      </c>
      <c r="H702" s="2" t="s">
        <v>5906</v>
      </c>
      <c r="I702" s="2" t="s">
        <v>5906</v>
      </c>
      <c r="J702" s="2" t="s">
        <v>5561</v>
      </c>
      <c r="K702" s="2" t="s">
        <v>19753</v>
      </c>
      <c r="L702" s="10" t="s">
        <v>19754</v>
      </c>
    </row>
    <row r="703">
      <c r="A703" s="2" t="s">
        <v>1542</v>
      </c>
      <c r="B703" s="2" t="s">
        <v>19755</v>
      </c>
      <c r="C703" s="2">
        <v>1.237877047E9</v>
      </c>
      <c r="D703" s="2" t="s">
        <v>19756</v>
      </c>
      <c r="E703" s="2">
        <v>1797551.0</v>
      </c>
      <c r="F703" s="2">
        <v>639.0</v>
      </c>
      <c r="G703" s="2">
        <v>721.0</v>
      </c>
      <c r="H703" s="2" t="s">
        <v>5906</v>
      </c>
      <c r="I703" s="2" t="s">
        <v>5905</v>
      </c>
      <c r="J703" s="2" t="s">
        <v>6414</v>
      </c>
      <c r="K703" s="2" t="s">
        <v>19757</v>
      </c>
      <c r="L703" s="10" t="s">
        <v>19758</v>
      </c>
    </row>
    <row r="704">
      <c r="A704" s="2" t="s">
        <v>1542</v>
      </c>
      <c r="B704" s="2" t="s">
        <v>19759</v>
      </c>
      <c r="C704" s="2">
        <v>1.602788213E9</v>
      </c>
      <c r="D704" s="2" t="s">
        <v>19760</v>
      </c>
      <c r="E704" s="2">
        <v>1186312.0</v>
      </c>
      <c r="F704" s="2">
        <v>25.0</v>
      </c>
      <c r="G704" s="2">
        <v>4728.0</v>
      </c>
      <c r="H704" s="2" t="s">
        <v>5906</v>
      </c>
      <c r="I704" s="2" t="s">
        <v>5906</v>
      </c>
      <c r="K704" s="2" t="s">
        <v>19761</v>
      </c>
      <c r="L704" s="10" t="s">
        <v>19762</v>
      </c>
    </row>
    <row r="705">
      <c r="A705" s="2" t="s">
        <v>1542</v>
      </c>
      <c r="B705" s="2" t="s">
        <v>19763</v>
      </c>
      <c r="C705" s="2">
        <v>5.6540388218E10</v>
      </c>
      <c r="D705" s="2" t="s">
        <v>19764</v>
      </c>
      <c r="E705" s="2">
        <v>133865.0</v>
      </c>
      <c r="F705" s="2">
        <v>35.0</v>
      </c>
      <c r="G705" s="2">
        <v>686.0</v>
      </c>
      <c r="H705" s="2" t="s">
        <v>5905</v>
      </c>
      <c r="I705" s="2" t="s">
        <v>5906</v>
      </c>
      <c r="J705" s="2" t="s">
        <v>5959</v>
      </c>
      <c r="K705" s="2" t="s">
        <v>19765</v>
      </c>
      <c r="L705" s="10" t="s">
        <v>19766</v>
      </c>
    </row>
    <row r="706">
      <c r="A706" s="2" t="s">
        <v>1542</v>
      </c>
      <c r="B706" s="2" t="s">
        <v>19767</v>
      </c>
      <c r="C706" s="2">
        <v>6.6729069288E10</v>
      </c>
      <c r="D706" s="2" t="s">
        <v>19768</v>
      </c>
      <c r="E706" s="2">
        <v>89698.0</v>
      </c>
      <c r="F706" s="2">
        <v>29.0</v>
      </c>
      <c r="G706" s="2">
        <v>115.0</v>
      </c>
      <c r="H706" s="2" t="s">
        <v>5906</v>
      </c>
      <c r="I706" s="2" t="s">
        <v>5905</v>
      </c>
      <c r="J706" s="2" t="s">
        <v>6559</v>
      </c>
      <c r="K706" s="2" t="s">
        <v>19769</v>
      </c>
      <c r="L706" s="10" t="s">
        <v>19770</v>
      </c>
    </row>
    <row r="707">
      <c r="A707" s="2" t="s">
        <v>1542</v>
      </c>
      <c r="B707" s="2" t="s">
        <v>19771</v>
      </c>
      <c r="C707" s="2">
        <v>3.75547579E8</v>
      </c>
      <c r="D707" s="2" t="s">
        <v>19772</v>
      </c>
      <c r="E707" s="2">
        <v>300592.0</v>
      </c>
      <c r="F707" s="2">
        <v>143.0</v>
      </c>
      <c r="G707" s="2">
        <v>3164.0</v>
      </c>
      <c r="H707" s="2" t="s">
        <v>5906</v>
      </c>
      <c r="I707" s="2" t="s">
        <v>5906</v>
      </c>
      <c r="K707" s="2" t="s">
        <v>19773</v>
      </c>
      <c r="L707" s="10" t="s">
        <v>19774</v>
      </c>
    </row>
    <row r="708">
      <c r="A708" s="2" t="s">
        <v>4750</v>
      </c>
      <c r="B708" s="2" t="s">
        <v>19775</v>
      </c>
      <c r="C708" s="2">
        <v>1.45364758E9</v>
      </c>
      <c r="D708" s="2" t="s">
        <v>19776</v>
      </c>
      <c r="E708" s="2">
        <v>75227.0</v>
      </c>
      <c r="F708" s="2">
        <v>739.0</v>
      </c>
      <c r="G708" s="2">
        <v>1118.0</v>
      </c>
      <c r="H708" s="2" t="s">
        <v>5906</v>
      </c>
      <c r="I708" s="2" t="s">
        <v>5906</v>
      </c>
      <c r="J708" s="2" t="s">
        <v>6002</v>
      </c>
      <c r="K708" s="2" t="s">
        <v>19777</v>
      </c>
      <c r="L708" s="10" t="s">
        <v>19778</v>
      </c>
    </row>
    <row r="709">
      <c r="A709" s="2" t="s">
        <v>4750</v>
      </c>
      <c r="B709" s="2" t="s">
        <v>19779</v>
      </c>
      <c r="C709" s="2">
        <v>4.4062023159E10</v>
      </c>
      <c r="D709" s="2" t="s">
        <v>19780</v>
      </c>
      <c r="E709" s="2">
        <v>233236.0</v>
      </c>
      <c r="F709" s="2">
        <v>850.0</v>
      </c>
      <c r="G709" s="2">
        <v>7838.0</v>
      </c>
      <c r="H709" s="2" t="s">
        <v>5905</v>
      </c>
      <c r="I709" s="2" t="s">
        <v>5905</v>
      </c>
      <c r="J709" s="2" t="s">
        <v>5561</v>
      </c>
      <c r="K709" s="2" t="s">
        <v>19781</v>
      </c>
      <c r="L709" s="10" t="s">
        <v>19782</v>
      </c>
    </row>
    <row r="710">
      <c r="A710" s="2" t="s">
        <v>4750</v>
      </c>
      <c r="B710" s="2" t="s">
        <v>19783</v>
      </c>
      <c r="C710" s="2">
        <v>4.774106489E9</v>
      </c>
      <c r="D710" s="2" t="s">
        <v>19784</v>
      </c>
      <c r="E710" s="2">
        <v>52486.0</v>
      </c>
      <c r="F710" s="2">
        <v>4569.0</v>
      </c>
      <c r="G710" s="2">
        <v>1586.0</v>
      </c>
      <c r="H710" s="2" t="s">
        <v>5906</v>
      </c>
      <c r="I710" s="2" t="s">
        <v>5905</v>
      </c>
      <c r="J710" s="2" t="s">
        <v>8245</v>
      </c>
      <c r="K710" s="2" t="s">
        <v>19785</v>
      </c>
      <c r="L710" s="10" t="s">
        <v>19786</v>
      </c>
    </row>
    <row r="711">
      <c r="A711" s="2" t="s">
        <v>4750</v>
      </c>
      <c r="B711" s="2" t="s">
        <v>19787</v>
      </c>
      <c r="C711" s="2">
        <v>5.2022101177E10</v>
      </c>
      <c r="D711" s="2" t="s">
        <v>19788</v>
      </c>
      <c r="E711" s="2">
        <v>36817.0</v>
      </c>
      <c r="F711" s="2">
        <v>32.0</v>
      </c>
      <c r="G711" s="2">
        <v>655.0</v>
      </c>
      <c r="H711" s="2" t="s">
        <v>5905</v>
      </c>
      <c r="I711" s="2" t="s">
        <v>5906</v>
      </c>
      <c r="J711" s="2" t="s">
        <v>5963</v>
      </c>
      <c r="K711" s="2" t="s">
        <v>19789</v>
      </c>
      <c r="L711" s="10" t="s">
        <v>19790</v>
      </c>
    </row>
    <row r="712">
      <c r="A712" s="2" t="s">
        <v>4750</v>
      </c>
      <c r="B712" s="2" t="s">
        <v>19791</v>
      </c>
      <c r="C712" s="2">
        <v>2.272413695E9</v>
      </c>
      <c r="D712" s="2" t="s">
        <v>19792</v>
      </c>
      <c r="E712" s="2">
        <v>27776.0</v>
      </c>
      <c r="F712" s="2">
        <v>907.0</v>
      </c>
      <c r="G712" s="2">
        <v>685.0</v>
      </c>
      <c r="H712" s="2" t="s">
        <v>5905</v>
      </c>
      <c r="I712" s="2" t="s">
        <v>5905</v>
      </c>
      <c r="J712" s="2" t="s">
        <v>19793</v>
      </c>
      <c r="K712" s="2" t="s">
        <v>19794</v>
      </c>
    </row>
    <row r="713">
      <c r="A713" s="2" t="s">
        <v>4750</v>
      </c>
      <c r="B713" s="2" t="s">
        <v>19795</v>
      </c>
      <c r="C713" s="2">
        <v>3.1301179668E10</v>
      </c>
      <c r="D713" s="2" t="s">
        <v>19796</v>
      </c>
      <c r="E713" s="2">
        <v>1560902.0</v>
      </c>
      <c r="F713" s="2">
        <v>219.0</v>
      </c>
      <c r="G713" s="2">
        <v>2020.0</v>
      </c>
      <c r="H713" s="2" t="s">
        <v>5906</v>
      </c>
      <c r="I713" s="2" t="s">
        <v>5906</v>
      </c>
      <c r="J713" s="2" t="s">
        <v>5963</v>
      </c>
      <c r="K713" s="2" t="s">
        <v>19797</v>
      </c>
      <c r="L713" s="10" t="s">
        <v>19798</v>
      </c>
    </row>
    <row r="714">
      <c r="A714" s="2" t="s">
        <v>4476</v>
      </c>
      <c r="B714" s="2" t="s">
        <v>4476</v>
      </c>
      <c r="C714" s="2">
        <v>4.0328602E7</v>
      </c>
      <c r="D714" s="10" t="s">
        <v>19799</v>
      </c>
      <c r="E714" s="2">
        <v>1214033.0</v>
      </c>
      <c r="F714" s="2">
        <v>1414.0</v>
      </c>
      <c r="G714" s="2">
        <v>9785.0</v>
      </c>
      <c r="H714" s="2" t="s">
        <v>5906</v>
      </c>
      <c r="I714" s="2" t="s">
        <v>5905</v>
      </c>
      <c r="J714" s="2" t="s">
        <v>5911</v>
      </c>
      <c r="K714" s="2" t="s">
        <v>19800</v>
      </c>
      <c r="L714" s="10" t="s">
        <v>19801</v>
      </c>
    </row>
    <row r="715">
      <c r="A715" s="2" t="s">
        <v>4476</v>
      </c>
      <c r="B715" s="2" t="s">
        <v>19802</v>
      </c>
      <c r="C715" s="2">
        <v>1.074825395E9</v>
      </c>
      <c r="D715" s="2" t="s">
        <v>19803</v>
      </c>
      <c r="E715" s="2">
        <v>430841.0</v>
      </c>
      <c r="F715" s="2">
        <v>811.0</v>
      </c>
      <c r="G715" s="2">
        <v>14320.0</v>
      </c>
      <c r="H715" s="2" t="s">
        <v>5906</v>
      </c>
      <c r="I715" s="2" t="s">
        <v>5905</v>
      </c>
      <c r="J715" s="2" t="s">
        <v>5911</v>
      </c>
      <c r="K715" s="2" t="s">
        <v>19804</v>
      </c>
      <c r="L715" s="10" t="s">
        <v>19805</v>
      </c>
    </row>
    <row r="716">
      <c r="A716" s="2" t="s">
        <v>4476</v>
      </c>
      <c r="B716" s="2" t="s">
        <v>19806</v>
      </c>
      <c r="C716" s="2">
        <v>1.799802847E9</v>
      </c>
      <c r="D716" s="2" t="s">
        <v>19807</v>
      </c>
      <c r="E716" s="2">
        <v>97674.0</v>
      </c>
      <c r="F716" s="2">
        <v>144.0</v>
      </c>
      <c r="G716" s="2">
        <v>2505.0</v>
      </c>
      <c r="H716" s="2" t="s">
        <v>5905</v>
      </c>
      <c r="I716" s="2" t="s">
        <v>5905</v>
      </c>
      <c r="J716" s="2" t="s">
        <v>13518</v>
      </c>
      <c r="K716" s="2" t="s">
        <v>19808</v>
      </c>
    </row>
    <row r="717">
      <c r="A717" s="2" t="s">
        <v>4476</v>
      </c>
      <c r="B717" s="2" t="s">
        <v>19809</v>
      </c>
      <c r="C717" s="2">
        <v>4.6435363332E10</v>
      </c>
      <c r="D717" s="2" t="s">
        <v>19810</v>
      </c>
      <c r="E717" s="2">
        <v>545522.0</v>
      </c>
      <c r="F717" s="2">
        <v>397.0</v>
      </c>
      <c r="G717" s="2">
        <v>92.0</v>
      </c>
      <c r="H717" s="2" t="s">
        <v>5905</v>
      </c>
      <c r="I717" s="2" t="s">
        <v>5905</v>
      </c>
      <c r="J717" s="2" t="s">
        <v>8838</v>
      </c>
      <c r="K717" s="2" t="s">
        <v>19811</v>
      </c>
    </row>
    <row r="718">
      <c r="A718" s="2" t="s">
        <v>4476</v>
      </c>
      <c r="B718" s="2" t="s">
        <v>19812</v>
      </c>
      <c r="C718" s="2">
        <v>2.0343160567E10</v>
      </c>
      <c r="D718" s="2" t="s">
        <v>19813</v>
      </c>
      <c r="E718" s="2">
        <v>90629.0</v>
      </c>
      <c r="F718" s="2">
        <v>3600.0</v>
      </c>
      <c r="G718" s="2">
        <v>3227.0</v>
      </c>
      <c r="H718" s="2" t="s">
        <v>5905</v>
      </c>
      <c r="I718" s="2" t="s">
        <v>5906</v>
      </c>
      <c r="J718" s="2" t="s">
        <v>5561</v>
      </c>
      <c r="K718" s="2" t="s">
        <v>19814</v>
      </c>
      <c r="L718" s="10" t="s">
        <v>19815</v>
      </c>
    </row>
    <row r="719">
      <c r="A719" s="2" t="s">
        <v>4476</v>
      </c>
      <c r="B719" s="2" t="s">
        <v>19816</v>
      </c>
      <c r="C719" s="2">
        <v>1.9305599477E10</v>
      </c>
      <c r="D719" s="2" t="s">
        <v>19816</v>
      </c>
      <c r="E719" s="2">
        <v>680432.0</v>
      </c>
      <c r="F719" s="2">
        <v>1633.0</v>
      </c>
      <c r="G719" s="2">
        <v>6396.0</v>
      </c>
      <c r="H719" s="2" t="s">
        <v>5906</v>
      </c>
      <c r="I719" s="2" t="s">
        <v>5905</v>
      </c>
      <c r="J719" s="2" t="s">
        <v>6111</v>
      </c>
      <c r="K719" s="2" t="s">
        <v>19817</v>
      </c>
      <c r="L719" s="10" t="s">
        <v>19818</v>
      </c>
    </row>
    <row r="720">
      <c r="A720" s="2" t="s">
        <v>4476</v>
      </c>
      <c r="B720" s="10" t="s">
        <v>19819</v>
      </c>
      <c r="C720" s="2">
        <v>7.0665407129E10</v>
      </c>
      <c r="D720" s="2" t="s">
        <v>19820</v>
      </c>
      <c r="E720" s="2">
        <v>529513.0</v>
      </c>
      <c r="F720" s="2">
        <v>74.0</v>
      </c>
      <c r="G720" s="2">
        <v>735.0</v>
      </c>
      <c r="H720" s="2" t="s">
        <v>5906</v>
      </c>
      <c r="I720" s="2" t="s">
        <v>5905</v>
      </c>
      <c r="J720" s="2" t="s">
        <v>5561</v>
      </c>
      <c r="K720" s="2" t="s">
        <v>19821</v>
      </c>
      <c r="L720" s="10" t="s">
        <v>19822</v>
      </c>
    </row>
    <row r="721">
      <c r="A721" s="2" t="s">
        <v>620</v>
      </c>
      <c r="B721" s="2" t="s">
        <v>19823</v>
      </c>
      <c r="C721" s="2">
        <v>1.6684499028E10</v>
      </c>
      <c r="D721" s="2" t="s">
        <v>19824</v>
      </c>
      <c r="E721" s="2">
        <v>567627.0</v>
      </c>
      <c r="F721" s="2">
        <v>100.0</v>
      </c>
      <c r="G721" s="2">
        <v>386.0</v>
      </c>
      <c r="H721" s="2" t="s">
        <v>5906</v>
      </c>
      <c r="I721" s="2" t="s">
        <v>5905</v>
      </c>
      <c r="J721" s="2" t="s">
        <v>5391</v>
      </c>
      <c r="K721" s="2" t="s">
        <v>19825</v>
      </c>
      <c r="L721" s="10" t="s">
        <v>19826</v>
      </c>
    </row>
    <row r="722">
      <c r="A722" s="2" t="s">
        <v>620</v>
      </c>
      <c r="B722" s="2" t="s">
        <v>620</v>
      </c>
      <c r="C722" s="2">
        <v>2.71036387E8</v>
      </c>
      <c r="D722" s="2" t="s">
        <v>5391</v>
      </c>
      <c r="E722" s="2">
        <v>4617806.0</v>
      </c>
      <c r="F722" s="2">
        <v>252.0</v>
      </c>
      <c r="G722" s="2">
        <v>9601.0</v>
      </c>
      <c r="H722" s="2" t="s">
        <v>5906</v>
      </c>
      <c r="I722" s="2" t="s">
        <v>5906</v>
      </c>
      <c r="K722" s="2" t="s">
        <v>8009</v>
      </c>
      <c r="L722" s="10" t="s">
        <v>8010</v>
      </c>
    </row>
    <row r="723">
      <c r="A723" s="2" t="s">
        <v>620</v>
      </c>
      <c r="B723" s="2" t="s">
        <v>8015</v>
      </c>
      <c r="C723" s="2">
        <v>6.5561734425E10</v>
      </c>
      <c r="D723" s="2" t="s">
        <v>8016</v>
      </c>
      <c r="E723" s="2">
        <v>750135.0</v>
      </c>
      <c r="F723" s="2">
        <v>40.0</v>
      </c>
      <c r="G723" s="2">
        <v>1302.0</v>
      </c>
      <c r="H723" s="2" t="s">
        <v>5905</v>
      </c>
      <c r="I723" s="2" t="s">
        <v>5905</v>
      </c>
      <c r="J723" s="2" t="s">
        <v>5391</v>
      </c>
      <c r="K723" s="2" t="s">
        <v>8017</v>
      </c>
    </row>
    <row r="724">
      <c r="A724" s="2" t="s">
        <v>620</v>
      </c>
      <c r="B724" s="2" t="s">
        <v>19827</v>
      </c>
      <c r="C724" s="2">
        <v>5.4590980093E10</v>
      </c>
      <c r="D724" s="2" t="s">
        <v>19828</v>
      </c>
      <c r="E724" s="2">
        <v>126155.0</v>
      </c>
      <c r="F724" s="2">
        <v>4.0</v>
      </c>
      <c r="G724" s="2">
        <v>1556.0</v>
      </c>
      <c r="H724" s="2" t="s">
        <v>5905</v>
      </c>
      <c r="I724" s="2" t="s">
        <v>5905</v>
      </c>
      <c r="J724" s="2" t="s">
        <v>5391</v>
      </c>
      <c r="K724" s="2" t="s">
        <v>19829</v>
      </c>
    </row>
    <row r="725">
      <c r="A725" s="2" t="s">
        <v>620</v>
      </c>
      <c r="B725" s="2" t="s">
        <v>19830</v>
      </c>
      <c r="C725" s="2">
        <v>3.62208409E9</v>
      </c>
      <c r="D725" s="2" t="s">
        <v>19831</v>
      </c>
      <c r="E725" s="2">
        <v>349133.0</v>
      </c>
      <c r="F725" s="2">
        <v>24.0</v>
      </c>
      <c r="G725" s="2">
        <v>25798.0</v>
      </c>
      <c r="H725" s="2" t="s">
        <v>5905</v>
      </c>
      <c r="I725" s="2" t="s">
        <v>5906</v>
      </c>
      <c r="K725" s="2" t="s">
        <v>19832</v>
      </c>
      <c r="L725" s="10" t="s">
        <v>19833</v>
      </c>
    </row>
    <row r="726">
      <c r="A726" s="2" t="s">
        <v>620</v>
      </c>
      <c r="B726" s="2" t="s">
        <v>19834</v>
      </c>
      <c r="C726" s="2">
        <v>6.9006638973E10</v>
      </c>
      <c r="D726" s="2" t="s">
        <v>19835</v>
      </c>
      <c r="E726" s="2">
        <v>102915.0</v>
      </c>
      <c r="F726" s="2">
        <v>97.0</v>
      </c>
      <c r="G726" s="2">
        <v>533.0</v>
      </c>
      <c r="H726" s="2" t="s">
        <v>5905</v>
      </c>
      <c r="I726" s="2" t="s">
        <v>5905</v>
      </c>
      <c r="J726" s="2" t="s">
        <v>5391</v>
      </c>
      <c r="K726" s="2" t="s">
        <v>19836</v>
      </c>
    </row>
    <row r="727">
      <c r="A727" s="2" t="s">
        <v>620</v>
      </c>
      <c r="B727" s="2" t="s">
        <v>8018</v>
      </c>
      <c r="C727" s="2">
        <v>3.221188912E9</v>
      </c>
      <c r="D727" s="2" t="s">
        <v>8019</v>
      </c>
      <c r="E727" s="2">
        <v>2737186.0</v>
      </c>
      <c r="F727" s="2">
        <v>184.0</v>
      </c>
      <c r="G727" s="2">
        <v>9125.0</v>
      </c>
      <c r="H727" s="2" t="s">
        <v>5906</v>
      </c>
      <c r="I727" s="2" t="s">
        <v>5905</v>
      </c>
      <c r="J727" s="2" t="s">
        <v>5391</v>
      </c>
      <c r="K727" s="2" t="s">
        <v>8020</v>
      </c>
      <c r="L727" s="10" t="s">
        <v>8021</v>
      </c>
    </row>
    <row r="728">
      <c r="A728" s="2" t="s">
        <v>620</v>
      </c>
      <c r="B728" s="2" t="s">
        <v>8022</v>
      </c>
      <c r="C728" s="2">
        <v>5.598810345E9</v>
      </c>
      <c r="D728" s="2" t="s">
        <v>8023</v>
      </c>
      <c r="E728" s="2">
        <v>2991096.0</v>
      </c>
      <c r="F728" s="2">
        <v>29.0</v>
      </c>
      <c r="G728" s="2">
        <v>5100.0</v>
      </c>
      <c r="H728" s="2" t="s">
        <v>5906</v>
      </c>
      <c r="I728" s="2" t="s">
        <v>5905</v>
      </c>
      <c r="J728" s="2" t="s">
        <v>5391</v>
      </c>
      <c r="K728" s="2" t="s">
        <v>8024</v>
      </c>
    </row>
    <row r="729">
      <c r="A729" s="2" t="s">
        <v>620</v>
      </c>
      <c r="B729" s="2" t="s">
        <v>19837</v>
      </c>
      <c r="C729" s="2">
        <v>6.62547961E10</v>
      </c>
      <c r="D729" s="2" t="s">
        <v>19838</v>
      </c>
      <c r="E729" s="2">
        <v>757561.0</v>
      </c>
      <c r="F729" s="2">
        <v>19.0</v>
      </c>
      <c r="G729" s="2">
        <v>1830.0</v>
      </c>
      <c r="H729" s="2" t="s">
        <v>5906</v>
      </c>
      <c r="I729" s="2" t="s">
        <v>5905</v>
      </c>
      <c r="J729" s="2" t="s">
        <v>5391</v>
      </c>
      <c r="K729" s="2" t="s">
        <v>19839</v>
      </c>
    </row>
    <row r="730">
      <c r="A730" s="2" t="s">
        <v>620</v>
      </c>
      <c r="B730" s="2" t="s">
        <v>8025</v>
      </c>
      <c r="C730" s="2">
        <v>6.6535610953E10</v>
      </c>
      <c r="D730" s="2" t="s">
        <v>8026</v>
      </c>
      <c r="E730" s="2">
        <v>1250009.0</v>
      </c>
      <c r="F730" s="2">
        <v>114.0</v>
      </c>
      <c r="G730" s="2">
        <v>1296.0</v>
      </c>
      <c r="H730" s="2" t="s">
        <v>5905</v>
      </c>
      <c r="I730" s="2" t="s">
        <v>5906</v>
      </c>
      <c r="J730" s="2" t="s">
        <v>5391</v>
      </c>
      <c r="K730" s="2" t="s">
        <v>8027</v>
      </c>
      <c r="L730" s="10" t="s">
        <v>8028</v>
      </c>
    </row>
    <row r="731">
      <c r="A731" s="2" t="s">
        <v>620</v>
      </c>
      <c r="B731" s="2" t="s">
        <v>19840</v>
      </c>
      <c r="C731" s="2">
        <v>2.35415115E8</v>
      </c>
      <c r="D731" s="2" t="s">
        <v>19841</v>
      </c>
      <c r="E731" s="2">
        <v>47470.0</v>
      </c>
      <c r="F731" s="2">
        <v>1748.0</v>
      </c>
      <c r="G731" s="2">
        <v>4627.0</v>
      </c>
      <c r="H731" s="2" t="s">
        <v>5905</v>
      </c>
      <c r="I731" s="2" t="s">
        <v>5906</v>
      </c>
      <c r="K731" s="2" t="s">
        <v>19842</v>
      </c>
      <c r="L731" s="10" t="s">
        <v>19843</v>
      </c>
    </row>
    <row r="732">
      <c r="A732" s="2" t="s">
        <v>620</v>
      </c>
      <c r="B732" s="2" t="s">
        <v>19844</v>
      </c>
      <c r="C732" s="2">
        <v>3.283184199E9</v>
      </c>
      <c r="D732" s="2" t="s">
        <v>19828</v>
      </c>
      <c r="E732" s="2">
        <v>1559531.0</v>
      </c>
      <c r="F732" s="2">
        <v>275.0</v>
      </c>
      <c r="G732" s="2">
        <v>7234.0</v>
      </c>
      <c r="H732" s="2" t="s">
        <v>5906</v>
      </c>
      <c r="I732" s="2" t="s">
        <v>5906</v>
      </c>
      <c r="J732" s="2" t="s">
        <v>5959</v>
      </c>
      <c r="K732" s="2" t="s">
        <v>19845</v>
      </c>
      <c r="L732" s="10" t="s">
        <v>19846</v>
      </c>
    </row>
    <row r="733">
      <c r="A733" s="2" t="s">
        <v>620</v>
      </c>
      <c r="B733" s="2" t="s">
        <v>19847</v>
      </c>
      <c r="C733" s="2">
        <v>1.2486032464E10</v>
      </c>
      <c r="D733" s="2" t="s">
        <v>19848</v>
      </c>
      <c r="E733" s="2">
        <v>785016.0</v>
      </c>
      <c r="F733" s="2">
        <v>0.0</v>
      </c>
      <c r="G733" s="2">
        <v>2087.0</v>
      </c>
      <c r="H733" s="2" t="s">
        <v>5906</v>
      </c>
      <c r="I733" s="2" t="s">
        <v>5905</v>
      </c>
      <c r="J733" s="2" t="s">
        <v>4996</v>
      </c>
      <c r="K733" s="2" t="s">
        <v>19849</v>
      </c>
    </row>
    <row r="734">
      <c r="A734" s="2" t="s">
        <v>620</v>
      </c>
      <c r="B734" s="2" t="s">
        <v>8033</v>
      </c>
      <c r="C734" s="2">
        <v>6.57135976E10</v>
      </c>
      <c r="D734" s="2" t="s">
        <v>8034</v>
      </c>
      <c r="E734" s="2">
        <v>593324.0</v>
      </c>
      <c r="F734" s="2">
        <v>6.0</v>
      </c>
      <c r="G734" s="2">
        <v>559.0</v>
      </c>
      <c r="H734" s="2" t="s">
        <v>5905</v>
      </c>
      <c r="I734" s="2" t="s">
        <v>5905</v>
      </c>
      <c r="J734" s="2" t="s">
        <v>5391</v>
      </c>
      <c r="K734" s="2" t="s">
        <v>8035</v>
      </c>
      <c r="L734" s="10" t="s">
        <v>8036</v>
      </c>
    </row>
    <row r="735">
      <c r="A735" s="2" t="s">
        <v>620</v>
      </c>
      <c r="B735" s="2" t="s">
        <v>8041</v>
      </c>
      <c r="C735" s="2">
        <v>9.375595988E9</v>
      </c>
      <c r="D735" s="2" t="s">
        <v>8023</v>
      </c>
      <c r="E735" s="2">
        <v>2349630.0</v>
      </c>
      <c r="F735" s="2">
        <v>14.0</v>
      </c>
      <c r="G735" s="2">
        <v>3853.0</v>
      </c>
      <c r="H735" s="2" t="s">
        <v>5906</v>
      </c>
      <c r="I735" s="2" t="s">
        <v>5906</v>
      </c>
      <c r="J735" s="2" t="s">
        <v>5391</v>
      </c>
      <c r="K735" s="2" t="s">
        <v>8042</v>
      </c>
    </row>
    <row r="736">
      <c r="A736" s="2" t="s">
        <v>621</v>
      </c>
      <c r="B736" s="2" t="s">
        <v>19850</v>
      </c>
      <c r="C736" s="2">
        <v>4.4977564797E10</v>
      </c>
      <c r="D736" s="2" t="s">
        <v>19851</v>
      </c>
      <c r="E736" s="2">
        <v>253985.0</v>
      </c>
      <c r="F736" s="2">
        <v>1.0</v>
      </c>
      <c r="G736" s="2">
        <v>1627.0</v>
      </c>
      <c r="H736" s="2" t="s">
        <v>5905</v>
      </c>
      <c r="I736" s="2" t="s">
        <v>5905</v>
      </c>
      <c r="J736" s="2" t="s">
        <v>5391</v>
      </c>
      <c r="K736" s="2" t="s">
        <v>19852</v>
      </c>
      <c r="L736" s="10" t="s">
        <v>19853</v>
      </c>
    </row>
    <row r="737">
      <c r="A737" s="2" t="s">
        <v>621</v>
      </c>
      <c r="B737" s="2" t="s">
        <v>19854</v>
      </c>
      <c r="C737" s="2">
        <v>7.361452873E10</v>
      </c>
      <c r="D737" s="2" t="s">
        <v>19855</v>
      </c>
      <c r="E737" s="2">
        <v>149312.0</v>
      </c>
      <c r="F737" s="2">
        <v>24.0</v>
      </c>
      <c r="G737" s="2">
        <v>308.0</v>
      </c>
      <c r="H737" s="2" t="s">
        <v>5905</v>
      </c>
      <c r="I737" s="2" t="s">
        <v>5905</v>
      </c>
      <c r="J737" s="2" t="s">
        <v>5391</v>
      </c>
      <c r="K737" s="2" t="s">
        <v>19856</v>
      </c>
    </row>
    <row r="738">
      <c r="A738" s="2" t="s">
        <v>621</v>
      </c>
      <c r="B738" s="2" t="s">
        <v>19857</v>
      </c>
      <c r="C738" s="2">
        <v>1.962089351E9</v>
      </c>
      <c r="D738" s="2" t="s">
        <v>19858</v>
      </c>
      <c r="E738" s="2">
        <v>784344.0</v>
      </c>
      <c r="F738" s="2">
        <v>28.0</v>
      </c>
      <c r="G738" s="2">
        <v>1543.0</v>
      </c>
      <c r="H738" s="2" t="s">
        <v>5905</v>
      </c>
      <c r="I738" s="2" t="s">
        <v>5905</v>
      </c>
      <c r="J738" s="2" t="s">
        <v>5391</v>
      </c>
      <c r="K738" s="2" t="s">
        <v>19859</v>
      </c>
    </row>
    <row r="739">
      <c r="A739" s="2" t="s">
        <v>621</v>
      </c>
      <c r="B739" s="2" t="s">
        <v>621</v>
      </c>
      <c r="C739" s="2">
        <v>4.6473263015E10</v>
      </c>
      <c r="D739" s="2" t="s">
        <v>19860</v>
      </c>
      <c r="E739" s="2">
        <v>68442.0</v>
      </c>
      <c r="F739" s="2">
        <v>10.0</v>
      </c>
      <c r="G739" s="2">
        <v>0.0</v>
      </c>
      <c r="H739" s="2" t="s">
        <v>5905</v>
      </c>
      <c r="I739" s="2" t="s">
        <v>5905</v>
      </c>
      <c r="J739" s="2" t="s">
        <v>5959</v>
      </c>
      <c r="K739" s="2" t="s">
        <v>19861</v>
      </c>
    </row>
    <row r="740">
      <c r="A740" s="2" t="s">
        <v>621</v>
      </c>
      <c r="B740" s="2" t="s">
        <v>8018</v>
      </c>
      <c r="C740" s="2">
        <v>3.221188912E9</v>
      </c>
      <c r="D740" s="2" t="s">
        <v>8019</v>
      </c>
      <c r="E740" s="2">
        <v>2737475.0</v>
      </c>
      <c r="F740" s="2">
        <v>184.0</v>
      </c>
      <c r="G740" s="2">
        <v>9127.0</v>
      </c>
      <c r="H740" s="2" t="s">
        <v>5906</v>
      </c>
      <c r="I740" s="2" t="s">
        <v>5905</v>
      </c>
      <c r="J740" s="2" t="s">
        <v>5391</v>
      </c>
      <c r="K740" s="2" t="s">
        <v>8020</v>
      </c>
      <c r="L740" s="10" t="s">
        <v>8021</v>
      </c>
    </row>
    <row r="741">
      <c r="A741" s="2" t="s">
        <v>621</v>
      </c>
      <c r="B741" s="2" t="s">
        <v>8022</v>
      </c>
      <c r="C741" s="2">
        <v>5.598810345E9</v>
      </c>
      <c r="D741" s="2" t="s">
        <v>8023</v>
      </c>
      <c r="E741" s="2">
        <v>2991388.0</v>
      </c>
      <c r="F741" s="2">
        <v>29.0</v>
      </c>
      <c r="G741" s="2">
        <v>5100.0</v>
      </c>
      <c r="H741" s="2" t="s">
        <v>5906</v>
      </c>
      <c r="I741" s="2" t="s">
        <v>5905</v>
      </c>
      <c r="J741" s="2" t="s">
        <v>5391</v>
      </c>
      <c r="K741" s="2" t="s">
        <v>8024</v>
      </c>
    </row>
    <row r="742">
      <c r="A742" s="2" t="s">
        <v>621</v>
      </c>
      <c r="B742" s="2" t="s">
        <v>19862</v>
      </c>
      <c r="C742" s="2">
        <v>6.9074378074E10</v>
      </c>
      <c r="D742" s="2" t="s">
        <v>19855</v>
      </c>
      <c r="E742" s="2">
        <v>733464.0</v>
      </c>
      <c r="F742" s="2">
        <v>1.0</v>
      </c>
      <c r="G742" s="2">
        <v>921.0</v>
      </c>
      <c r="H742" s="2" t="s">
        <v>5905</v>
      </c>
      <c r="I742" s="2" t="s">
        <v>5905</v>
      </c>
      <c r="J742" s="2" t="s">
        <v>5391</v>
      </c>
      <c r="K742" s="2" t="s">
        <v>19863</v>
      </c>
      <c r="L742" s="10" t="s">
        <v>19864</v>
      </c>
    </row>
    <row r="743">
      <c r="A743" s="2" t="s">
        <v>621</v>
      </c>
      <c r="B743" s="2" t="s">
        <v>19865</v>
      </c>
      <c r="C743" s="2">
        <v>6.0011894774E10</v>
      </c>
      <c r="D743" s="2" t="s">
        <v>15995</v>
      </c>
      <c r="E743" s="2">
        <v>426169.0</v>
      </c>
      <c r="F743" s="2">
        <v>21.0</v>
      </c>
      <c r="G743" s="2">
        <v>648.0</v>
      </c>
      <c r="H743" s="2" t="s">
        <v>5905</v>
      </c>
      <c r="I743" s="2" t="s">
        <v>5905</v>
      </c>
      <c r="J743" s="2" t="s">
        <v>5391</v>
      </c>
      <c r="K743" s="2" t="s">
        <v>19866</v>
      </c>
    </row>
    <row r="744">
      <c r="A744" s="2" t="s">
        <v>621</v>
      </c>
      <c r="B744" s="2" t="s">
        <v>19867</v>
      </c>
      <c r="C744" s="2">
        <v>4.5079867486E10</v>
      </c>
      <c r="D744" s="2" t="s">
        <v>19868</v>
      </c>
      <c r="E744" s="2">
        <v>2717080.0</v>
      </c>
      <c r="F744" s="2">
        <v>23.0</v>
      </c>
      <c r="G744" s="2">
        <v>4903.0</v>
      </c>
      <c r="H744" s="2" t="s">
        <v>5906</v>
      </c>
      <c r="I744" s="2" t="s">
        <v>5906</v>
      </c>
      <c r="J744" s="2" t="s">
        <v>5561</v>
      </c>
      <c r="K744" s="2" t="s">
        <v>19869</v>
      </c>
      <c r="L744" s="10" t="s">
        <v>19870</v>
      </c>
    </row>
    <row r="745">
      <c r="A745" s="2" t="s">
        <v>621</v>
      </c>
      <c r="B745" s="2" t="s">
        <v>19871</v>
      </c>
      <c r="C745" s="2">
        <v>4.6860936007E10</v>
      </c>
      <c r="D745" s="2" t="s">
        <v>19872</v>
      </c>
      <c r="E745" s="2">
        <v>200982.0</v>
      </c>
      <c r="F745" s="2">
        <v>52.0</v>
      </c>
      <c r="G745" s="2">
        <v>2354.0</v>
      </c>
      <c r="H745" s="2" t="s">
        <v>5905</v>
      </c>
      <c r="I745" s="2" t="s">
        <v>5906</v>
      </c>
      <c r="J745" s="2" t="s">
        <v>5391</v>
      </c>
      <c r="K745" s="2" t="s">
        <v>19873</v>
      </c>
    </row>
    <row r="746">
      <c r="A746" s="2" t="s">
        <v>621</v>
      </c>
      <c r="B746" s="2" t="s">
        <v>19874</v>
      </c>
      <c r="C746" s="2">
        <v>1.0136409133E10</v>
      </c>
      <c r="D746" s="2" t="s">
        <v>19875</v>
      </c>
      <c r="E746" s="2">
        <v>1282746.0</v>
      </c>
      <c r="F746" s="2">
        <v>47.0</v>
      </c>
      <c r="G746" s="2">
        <v>2776.0</v>
      </c>
      <c r="H746" s="2" t="s">
        <v>5906</v>
      </c>
      <c r="I746" s="2" t="s">
        <v>5905</v>
      </c>
      <c r="J746" s="2" t="s">
        <v>5959</v>
      </c>
      <c r="K746" s="2" t="s">
        <v>19876</v>
      </c>
      <c r="L746" s="10" t="s">
        <v>19877</v>
      </c>
    </row>
    <row r="747">
      <c r="A747" s="2" t="s">
        <v>621</v>
      </c>
      <c r="B747" s="2" t="s">
        <v>19878</v>
      </c>
      <c r="C747" s="2">
        <v>7.266556101E9</v>
      </c>
      <c r="D747" s="2" t="s">
        <v>19879</v>
      </c>
      <c r="E747" s="2">
        <v>1648964.0</v>
      </c>
      <c r="F747" s="2">
        <v>27.0</v>
      </c>
      <c r="G747" s="2">
        <v>6039.0</v>
      </c>
      <c r="H747" s="2" t="s">
        <v>5905</v>
      </c>
      <c r="I747" s="2" t="s">
        <v>5905</v>
      </c>
      <c r="J747" s="2" t="s">
        <v>5959</v>
      </c>
      <c r="K747" s="2" t="s">
        <v>19880</v>
      </c>
      <c r="L747" s="10" t="s">
        <v>19881</v>
      </c>
    </row>
    <row r="748">
      <c r="A748" s="2" t="s">
        <v>621</v>
      </c>
      <c r="B748" s="2" t="s">
        <v>19882</v>
      </c>
      <c r="C748" s="2">
        <v>2.8987997121E10</v>
      </c>
      <c r="D748" s="2" t="s">
        <v>19883</v>
      </c>
      <c r="E748" s="2">
        <v>1930318.0</v>
      </c>
      <c r="F748" s="2">
        <v>40.0</v>
      </c>
      <c r="G748" s="2">
        <v>5205.0</v>
      </c>
      <c r="H748" s="2" t="s">
        <v>5905</v>
      </c>
      <c r="I748" s="2" t="s">
        <v>5905</v>
      </c>
      <c r="J748" s="2" t="s">
        <v>5391</v>
      </c>
      <c r="K748" s="2" t="s">
        <v>19884</v>
      </c>
      <c r="L748" s="10" t="s">
        <v>19885</v>
      </c>
    </row>
    <row r="749">
      <c r="A749" s="2" t="s">
        <v>621</v>
      </c>
      <c r="B749" s="2" t="s">
        <v>19886</v>
      </c>
      <c r="C749" s="2">
        <v>5.0219548978E10</v>
      </c>
      <c r="D749" s="2" t="s">
        <v>19883</v>
      </c>
      <c r="E749" s="2">
        <v>311759.0</v>
      </c>
      <c r="F749" s="2">
        <v>63.0</v>
      </c>
      <c r="G749" s="2">
        <v>4328.0</v>
      </c>
      <c r="H749" s="2" t="s">
        <v>5905</v>
      </c>
      <c r="I749" s="2" t="s">
        <v>5906</v>
      </c>
      <c r="J749" s="2" t="s">
        <v>5391</v>
      </c>
      <c r="K749" s="2" t="s">
        <v>19887</v>
      </c>
    </row>
    <row r="750">
      <c r="A750" s="2" t="s">
        <v>621</v>
      </c>
      <c r="B750" s="2" t="s">
        <v>19888</v>
      </c>
      <c r="C750" s="2">
        <v>6.7855740615E10</v>
      </c>
      <c r="D750" s="2" t="s">
        <v>19889</v>
      </c>
      <c r="E750" s="2">
        <v>655018.0</v>
      </c>
      <c r="F750" s="2">
        <v>21.0</v>
      </c>
      <c r="G750" s="2">
        <v>1419.0</v>
      </c>
      <c r="H750" s="2" t="s">
        <v>5905</v>
      </c>
      <c r="I750" s="2" t="s">
        <v>5905</v>
      </c>
      <c r="J750" s="2" t="s">
        <v>5391</v>
      </c>
      <c r="K750" s="2" t="s">
        <v>19890</v>
      </c>
    </row>
    <row r="751">
      <c r="A751" s="2" t="s">
        <v>621</v>
      </c>
      <c r="B751" s="2" t="s">
        <v>8041</v>
      </c>
      <c r="C751" s="2">
        <v>9.375595988E9</v>
      </c>
      <c r="D751" s="2" t="s">
        <v>8023</v>
      </c>
      <c r="E751" s="2">
        <v>2349759.0</v>
      </c>
      <c r="F751" s="2">
        <v>14.0</v>
      </c>
      <c r="G751" s="2">
        <v>3853.0</v>
      </c>
      <c r="H751" s="2" t="s">
        <v>5906</v>
      </c>
      <c r="I751" s="2" t="s">
        <v>5906</v>
      </c>
      <c r="J751" s="2" t="s">
        <v>5391</v>
      </c>
      <c r="K751" s="2" t="s">
        <v>8042</v>
      </c>
    </row>
    <row r="752">
      <c r="A752" s="2" t="s">
        <v>4574</v>
      </c>
      <c r="B752" s="2" t="s">
        <v>19891</v>
      </c>
      <c r="C752" s="2">
        <v>6.6397752122E10</v>
      </c>
      <c r="D752" s="2" t="s">
        <v>19892</v>
      </c>
      <c r="E752" s="2">
        <v>15902.0</v>
      </c>
      <c r="F752" s="2">
        <v>3.0</v>
      </c>
      <c r="G752" s="2">
        <v>71.0</v>
      </c>
      <c r="H752" s="2" t="s">
        <v>5905</v>
      </c>
      <c r="I752" s="2" t="s">
        <v>5905</v>
      </c>
      <c r="J752" s="2" t="s">
        <v>5959</v>
      </c>
      <c r="K752" s="2" t="s">
        <v>19893</v>
      </c>
      <c r="L752" s="10" t="s">
        <v>19894</v>
      </c>
    </row>
    <row r="753">
      <c r="A753" s="2" t="s">
        <v>4574</v>
      </c>
      <c r="B753" s="2" t="s">
        <v>19895</v>
      </c>
      <c r="C753" s="2">
        <v>6.3014328615E10</v>
      </c>
      <c r="D753" s="2" t="s">
        <v>19896</v>
      </c>
      <c r="E753" s="2">
        <v>10903.0</v>
      </c>
      <c r="F753" s="2">
        <v>4082.0</v>
      </c>
      <c r="G753" s="2">
        <v>229.0</v>
      </c>
      <c r="H753" s="2" t="s">
        <v>5906</v>
      </c>
      <c r="I753" s="2" t="s">
        <v>5906</v>
      </c>
      <c r="J753" s="2" t="s">
        <v>6002</v>
      </c>
      <c r="K753" s="2" t="s">
        <v>19897</v>
      </c>
      <c r="L753" s="10" t="s">
        <v>19898</v>
      </c>
    </row>
    <row r="754">
      <c r="A754" s="2" t="s">
        <v>4574</v>
      </c>
      <c r="B754" s="2" t="s">
        <v>19899</v>
      </c>
      <c r="C754" s="2">
        <v>1.0216863012E10</v>
      </c>
      <c r="D754" s="2" t="s">
        <v>19900</v>
      </c>
      <c r="E754" s="2">
        <v>29825.0</v>
      </c>
      <c r="F754" s="2">
        <v>172.0</v>
      </c>
      <c r="G754" s="2">
        <v>1280.0</v>
      </c>
      <c r="H754" s="2" t="s">
        <v>5905</v>
      </c>
      <c r="I754" s="2" t="s">
        <v>5906</v>
      </c>
      <c r="J754" s="2" t="s">
        <v>5907</v>
      </c>
      <c r="K754" s="2" t="s">
        <v>19901</v>
      </c>
      <c r="L754" s="10" t="s">
        <v>19902</v>
      </c>
    </row>
    <row r="755">
      <c r="A755" s="2" t="s">
        <v>4574</v>
      </c>
      <c r="B755" s="2" t="s">
        <v>19903</v>
      </c>
      <c r="C755" s="2">
        <v>5.2656141815E10</v>
      </c>
      <c r="D755" s="2" t="s">
        <v>19904</v>
      </c>
      <c r="E755" s="2">
        <v>14011.0</v>
      </c>
      <c r="F755" s="2">
        <v>19.0</v>
      </c>
      <c r="G755" s="2">
        <v>64.0</v>
      </c>
      <c r="H755" s="2" t="s">
        <v>5905</v>
      </c>
      <c r="I755" s="2" t="s">
        <v>5905</v>
      </c>
      <c r="J755" s="2" t="s">
        <v>5548</v>
      </c>
      <c r="K755" s="2" t="s">
        <v>19905</v>
      </c>
      <c r="L755" s="10" t="s">
        <v>19906</v>
      </c>
    </row>
    <row r="756">
      <c r="A756" s="2" t="s">
        <v>4424</v>
      </c>
      <c r="B756" s="2" t="s">
        <v>19907</v>
      </c>
      <c r="C756" s="2">
        <v>5.706874231E9</v>
      </c>
      <c r="D756" s="2" t="s">
        <v>19908</v>
      </c>
      <c r="E756" s="2">
        <v>55086.0</v>
      </c>
      <c r="F756" s="2">
        <v>3987.0</v>
      </c>
      <c r="G756" s="2">
        <v>720.0</v>
      </c>
      <c r="H756" s="2" t="s">
        <v>5905</v>
      </c>
      <c r="I756" s="2" t="s">
        <v>5906</v>
      </c>
      <c r="J756" s="2" t="s">
        <v>5391</v>
      </c>
      <c r="K756" s="2" t="s">
        <v>19909</v>
      </c>
      <c r="L756" s="10" t="s">
        <v>19910</v>
      </c>
    </row>
    <row r="757">
      <c r="A757" s="2" t="s">
        <v>4424</v>
      </c>
      <c r="B757" s="10" t="s">
        <v>19911</v>
      </c>
      <c r="C757" s="2">
        <v>5.5619101053E10</v>
      </c>
      <c r="D757" s="2" t="s">
        <v>19912</v>
      </c>
      <c r="E757" s="2">
        <v>33929.0</v>
      </c>
      <c r="F757" s="2">
        <v>0.0</v>
      </c>
      <c r="G757" s="2">
        <v>565.0</v>
      </c>
      <c r="H757" s="2" t="s">
        <v>5905</v>
      </c>
      <c r="I757" s="2" t="s">
        <v>5905</v>
      </c>
      <c r="J757" s="2" t="s">
        <v>7140</v>
      </c>
      <c r="K757" s="2" t="s">
        <v>19913</v>
      </c>
      <c r="L757" s="10" t="s">
        <v>19914</v>
      </c>
    </row>
    <row r="758">
      <c r="A758" s="2" t="s">
        <v>4424</v>
      </c>
      <c r="B758" s="2" t="s">
        <v>19915</v>
      </c>
      <c r="C758" s="2">
        <v>5.6023738268E10</v>
      </c>
      <c r="D758" s="2" t="s">
        <v>19916</v>
      </c>
      <c r="E758" s="2">
        <v>13146.0</v>
      </c>
      <c r="F758" s="2">
        <v>19.0</v>
      </c>
      <c r="G758" s="2">
        <v>441.0</v>
      </c>
      <c r="H758" s="2" t="s">
        <v>5906</v>
      </c>
      <c r="I758" s="2" t="s">
        <v>5906</v>
      </c>
      <c r="J758" s="2" t="s">
        <v>9153</v>
      </c>
      <c r="K758" s="2" t="s">
        <v>19917</v>
      </c>
      <c r="L758" s="10" t="s">
        <v>19918</v>
      </c>
    </row>
    <row r="759">
      <c r="A759" s="2" t="s">
        <v>4424</v>
      </c>
      <c r="B759" s="2" t="s">
        <v>19919</v>
      </c>
      <c r="C759" s="2">
        <v>4.6660168468E10</v>
      </c>
      <c r="D759" s="2" t="s">
        <v>19920</v>
      </c>
      <c r="E759" s="2">
        <v>35251.0</v>
      </c>
      <c r="F759" s="2">
        <v>396.0</v>
      </c>
      <c r="G759" s="2">
        <v>1235.0</v>
      </c>
      <c r="H759" s="2" t="s">
        <v>5905</v>
      </c>
      <c r="I759" s="2" t="s">
        <v>5905</v>
      </c>
      <c r="K759" s="2" t="s">
        <v>19921</v>
      </c>
    </row>
    <row r="760">
      <c r="A760" s="2" t="s">
        <v>4424</v>
      </c>
      <c r="B760" s="2" t="s">
        <v>19922</v>
      </c>
      <c r="C760" s="2">
        <v>2.109687273E9</v>
      </c>
      <c r="D760" s="2" t="s">
        <v>19923</v>
      </c>
      <c r="E760" s="2">
        <v>41626.0</v>
      </c>
      <c r="F760" s="2">
        <v>297.0</v>
      </c>
      <c r="G760" s="2">
        <v>1360.0</v>
      </c>
      <c r="H760" s="2" t="s">
        <v>5905</v>
      </c>
      <c r="I760" s="2" t="s">
        <v>5906</v>
      </c>
      <c r="J760" s="2" t="s">
        <v>19924</v>
      </c>
      <c r="K760" s="2" t="s">
        <v>19925</v>
      </c>
      <c r="L760" s="10" t="s">
        <v>19926</v>
      </c>
    </row>
    <row r="761">
      <c r="A761" s="2" t="s">
        <v>4424</v>
      </c>
      <c r="B761" s="2" t="s">
        <v>19927</v>
      </c>
      <c r="C761" s="2">
        <v>5.7121664425E10</v>
      </c>
      <c r="D761" s="2" t="s">
        <v>19928</v>
      </c>
      <c r="E761" s="2">
        <v>13802.0</v>
      </c>
      <c r="F761" s="2">
        <v>287.0</v>
      </c>
      <c r="G761" s="2">
        <v>150.0</v>
      </c>
      <c r="H761" s="2" t="s">
        <v>5905</v>
      </c>
      <c r="I761" s="2" t="s">
        <v>5905</v>
      </c>
      <c r="J761" s="2" t="s">
        <v>8144</v>
      </c>
      <c r="K761" s="2" t="s">
        <v>19929</v>
      </c>
      <c r="L761" s="10" t="s">
        <v>19930</v>
      </c>
    </row>
    <row r="762">
      <c r="A762" s="2" t="s">
        <v>4627</v>
      </c>
      <c r="B762" s="2" t="s">
        <v>19931</v>
      </c>
      <c r="C762" s="2">
        <v>1.570223851E9</v>
      </c>
      <c r="D762" s="2" t="s">
        <v>19932</v>
      </c>
      <c r="E762" s="2">
        <v>4938347.0</v>
      </c>
      <c r="F762" s="2">
        <v>1264.0</v>
      </c>
      <c r="G762" s="2">
        <v>8337.0</v>
      </c>
      <c r="H762" s="2" t="s">
        <v>5906</v>
      </c>
      <c r="I762" s="2" t="s">
        <v>5906</v>
      </c>
      <c r="J762" s="2" t="s">
        <v>5561</v>
      </c>
      <c r="K762" s="2" t="s">
        <v>19933</v>
      </c>
      <c r="L762" s="10" t="s">
        <v>19934</v>
      </c>
    </row>
    <row r="763">
      <c r="A763" s="2" t="s">
        <v>4627</v>
      </c>
      <c r="B763" s="2" t="s">
        <v>19935</v>
      </c>
      <c r="C763" s="2">
        <v>4.7948889629E10</v>
      </c>
      <c r="D763" s="2" t="s">
        <v>19936</v>
      </c>
      <c r="E763" s="2">
        <v>19405.0</v>
      </c>
      <c r="F763" s="2">
        <v>11.0</v>
      </c>
      <c r="G763" s="2">
        <v>29.0</v>
      </c>
      <c r="H763" s="2" t="s">
        <v>5905</v>
      </c>
      <c r="I763" s="2" t="s">
        <v>5906</v>
      </c>
      <c r="J763" s="2" t="s">
        <v>4397</v>
      </c>
      <c r="K763" s="2" t="s">
        <v>19937</v>
      </c>
    </row>
    <row r="764">
      <c r="A764" s="2" t="s">
        <v>4627</v>
      </c>
      <c r="B764" s="2" t="s">
        <v>19938</v>
      </c>
      <c r="C764" s="2">
        <v>2.2469979E7</v>
      </c>
      <c r="D764" s="2" t="s">
        <v>19939</v>
      </c>
      <c r="E764" s="2">
        <v>3.2668584E7</v>
      </c>
      <c r="F764" s="2">
        <v>254.0</v>
      </c>
      <c r="G764" s="2">
        <v>2863.0</v>
      </c>
      <c r="H764" s="2" t="s">
        <v>5906</v>
      </c>
      <c r="I764" s="2" t="s">
        <v>5906</v>
      </c>
      <c r="K764" s="2" t="s">
        <v>19940</v>
      </c>
      <c r="L764" s="10" t="s">
        <v>19941</v>
      </c>
    </row>
    <row r="765">
      <c r="A765" s="2" t="s">
        <v>4627</v>
      </c>
      <c r="B765" s="2" t="s">
        <v>19942</v>
      </c>
      <c r="C765" s="2">
        <v>1.84187351E8</v>
      </c>
      <c r="D765" s="2" t="s">
        <v>19943</v>
      </c>
      <c r="E765" s="2">
        <v>486823.0</v>
      </c>
      <c r="F765" s="2">
        <v>173.0</v>
      </c>
      <c r="G765" s="2">
        <v>432.0</v>
      </c>
      <c r="H765" s="2" t="s">
        <v>5906</v>
      </c>
      <c r="I765" s="2" t="s">
        <v>5906</v>
      </c>
      <c r="K765" s="2" t="s">
        <v>19944</v>
      </c>
      <c r="L765" s="10" t="s">
        <v>19945</v>
      </c>
    </row>
    <row r="766">
      <c r="A766" s="2" t="s">
        <v>4627</v>
      </c>
      <c r="B766" s="2" t="s">
        <v>19946</v>
      </c>
      <c r="C766" s="2">
        <v>1.4755599109E10</v>
      </c>
      <c r="D766" s="2" t="s">
        <v>19947</v>
      </c>
      <c r="E766" s="2">
        <v>45286.0</v>
      </c>
      <c r="F766" s="2">
        <v>87.0</v>
      </c>
      <c r="G766" s="2">
        <v>821.0</v>
      </c>
      <c r="H766" s="2" t="s">
        <v>5905</v>
      </c>
      <c r="I766" s="2" t="s">
        <v>5905</v>
      </c>
      <c r="J766" s="2" t="s">
        <v>7405</v>
      </c>
      <c r="K766" s="2" t="s">
        <v>19948</v>
      </c>
    </row>
    <row r="767">
      <c r="A767" s="2" t="s">
        <v>4627</v>
      </c>
      <c r="B767" s="2" t="s">
        <v>19949</v>
      </c>
      <c r="C767" s="2">
        <v>5.4168035613E10</v>
      </c>
      <c r="D767" s="2" t="s">
        <v>19950</v>
      </c>
      <c r="E767" s="2">
        <v>900588.0</v>
      </c>
      <c r="F767" s="2">
        <v>108.0</v>
      </c>
      <c r="G767" s="2">
        <v>795.0</v>
      </c>
      <c r="H767" s="2" t="s">
        <v>5905</v>
      </c>
      <c r="I767" s="2" t="s">
        <v>5905</v>
      </c>
      <c r="J767" s="2" t="s">
        <v>13645</v>
      </c>
      <c r="K767" s="2" t="s">
        <v>19951</v>
      </c>
    </row>
    <row r="768">
      <c r="A768" s="2" t="s">
        <v>4627</v>
      </c>
      <c r="B768" s="2" t="s">
        <v>19952</v>
      </c>
      <c r="C768" s="2">
        <v>1.655196365E9</v>
      </c>
      <c r="D768" s="2" t="s">
        <v>19953</v>
      </c>
      <c r="E768" s="2">
        <v>1394536.0</v>
      </c>
      <c r="F768" s="2">
        <v>180.0</v>
      </c>
      <c r="G768" s="2">
        <v>5259.0</v>
      </c>
      <c r="H768" s="2" t="s">
        <v>5906</v>
      </c>
      <c r="I768" s="2" t="s">
        <v>5906</v>
      </c>
      <c r="J768" s="2" t="s">
        <v>19954</v>
      </c>
      <c r="K768" s="2" t="s">
        <v>19955</v>
      </c>
      <c r="L768" s="10" t="s">
        <v>19956</v>
      </c>
    </row>
    <row r="769">
      <c r="A769" s="2" t="s">
        <v>4627</v>
      </c>
      <c r="B769" s="2" t="s">
        <v>19957</v>
      </c>
      <c r="C769" s="2">
        <v>6.426090038E9</v>
      </c>
      <c r="D769" s="2" t="s">
        <v>19958</v>
      </c>
      <c r="E769" s="2">
        <v>62184.0</v>
      </c>
      <c r="F769" s="2">
        <v>4271.0</v>
      </c>
      <c r="G769" s="2">
        <v>21.0</v>
      </c>
      <c r="H769" s="2" t="s">
        <v>5905</v>
      </c>
      <c r="I769" s="2" t="s">
        <v>5905</v>
      </c>
      <c r="J769" s="2" t="s">
        <v>10778</v>
      </c>
      <c r="K769" s="2" t="s">
        <v>19959</v>
      </c>
      <c r="L769" s="10" t="s">
        <v>19960</v>
      </c>
    </row>
    <row r="770">
      <c r="A770" s="2" t="s">
        <v>4627</v>
      </c>
      <c r="B770" s="2" t="s">
        <v>19961</v>
      </c>
      <c r="C770" s="2">
        <v>1.8798353497E10</v>
      </c>
      <c r="D770" s="2" t="s">
        <v>19962</v>
      </c>
      <c r="E770" s="2">
        <v>10448.0</v>
      </c>
      <c r="F770" s="2">
        <v>454.0</v>
      </c>
      <c r="G770" s="2">
        <v>305.0</v>
      </c>
      <c r="H770" s="2" t="s">
        <v>5905</v>
      </c>
      <c r="I770" s="2" t="s">
        <v>5905</v>
      </c>
      <c r="J770" s="2" t="s">
        <v>19954</v>
      </c>
      <c r="K770" s="2" t="s">
        <v>19963</v>
      </c>
      <c r="L770" s="10" t="s">
        <v>19964</v>
      </c>
    </row>
    <row r="771">
      <c r="A771" s="2" t="s">
        <v>4627</v>
      </c>
      <c r="B771" s="2" t="s">
        <v>19965</v>
      </c>
      <c r="C771" s="2">
        <v>4.9347898083E10</v>
      </c>
      <c r="D771" s="2" t="s">
        <v>19966</v>
      </c>
      <c r="E771" s="2">
        <v>23345.0</v>
      </c>
      <c r="F771" s="2">
        <v>41.0</v>
      </c>
      <c r="G771" s="2">
        <v>65.0</v>
      </c>
      <c r="H771" s="2" t="s">
        <v>5905</v>
      </c>
      <c r="I771" s="2" t="s">
        <v>5906</v>
      </c>
      <c r="J771" s="2" t="s">
        <v>19954</v>
      </c>
      <c r="K771" s="2" t="s">
        <v>19967</v>
      </c>
      <c r="L771" s="10" t="s">
        <v>19968</v>
      </c>
    </row>
    <row r="772">
      <c r="A772" s="2" t="s">
        <v>4772</v>
      </c>
      <c r="B772" s="2" t="s">
        <v>19969</v>
      </c>
      <c r="C772" s="2">
        <v>6.0398089985E10</v>
      </c>
      <c r="D772" s="2" t="s">
        <v>19970</v>
      </c>
      <c r="E772" s="2">
        <v>15606.0</v>
      </c>
      <c r="F772" s="2">
        <v>104.0</v>
      </c>
      <c r="G772" s="2">
        <v>157.0</v>
      </c>
      <c r="H772" s="2" t="s">
        <v>5905</v>
      </c>
      <c r="I772" s="2" t="s">
        <v>5906</v>
      </c>
      <c r="J772" s="2" t="s">
        <v>19971</v>
      </c>
      <c r="K772" s="2" t="s">
        <v>19972</v>
      </c>
      <c r="L772" s="10" t="s">
        <v>19973</v>
      </c>
    </row>
    <row r="773">
      <c r="A773" s="2" t="s">
        <v>4772</v>
      </c>
      <c r="B773" s="2" t="s">
        <v>19974</v>
      </c>
      <c r="C773" s="2">
        <v>7.0464729666E10</v>
      </c>
      <c r="D773" s="2" t="s">
        <v>19975</v>
      </c>
      <c r="E773" s="2">
        <v>41760.0</v>
      </c>
      <c r="F773" s="2">
        <v>1230.0</v>
      </c>
      <c r="G773" s="2">
        <v>163.0</v>
      </c>
      <c r="H773" s="2" t="s">
        <v>5906</v>
      </c>
      <c r="I773" s="2" t="s">
        <v>5906</v>
      </c>
      <c r="J773" s="2" t="s">
        <v>5963</v>
      </c>
      <c r="K773" s="2" t="s">
        <v>19976</v>
      </c>
      <c r="L773" s="10" t="s">
        <v>19977</v>
      </c>
    </row>
    <row r="774">
      <c r="A774" s="2" t="s">
        <v>4772</v>
      </c>
      <c r="B774" s="2" t="s">
        <v>19978</v>
      </c>
      <c r="C774" s="2">
        <v>3.047628699E9</v>
      </c>
      <c r="D774" s="2" t="s">
        <v>19979</v>
      </c>
      <c r="E774" s="2">
        <v>14709.0</v>
      </c>
      <c r="F774" s="2">
        <v>0.0</v>
      </c>
      <c r="G774" s="2">
        <v>1060.0</v>
      </c>
      <c r="H774" s="2" t="s">
        <v>5906</v>
      </c>
      <c r="I774" s="2" t="s">
        <v>5906</v>
      </c>
      <c r="J774" s="2" t="s">
        <v>13512</v>
      </c>
      <c r="K774" s="2" t="s">
        <v>19980</v>
      </c>
    </row>
    <row r="775">
      <c r="A775" s="2" t="s">
        <v>4772</v>
      </c>
      <c r="B775" s="2" t="s">
        <v>19981</v>
      </c>
      <c r="C775" s="2">
        <v>5.4289005942E10</v>
      </c>
      <c r="D775" s="2" t="s">
        <v>19982</v>
      </c>
      <c r="E775" s="2">
        <v>90823.0</v>
      </c>
      <c r="F775" s="2">
        <v>0.0</v>
      </c>
      <c r="G775" s="2">
        <v>1561.0</v>
      </c>
      <c r="H775" s="2" t="s">
        <v>5905</v>
      </c>
      <c r="I775" s="2" t="s">
        <v>5906</v>
      </c>
      <c r="J775" s="2" t="s">
        <v>5959</v>
      </c>
      <c r="K775" s="2" t="s">
        <v>19983</v>
      </c>
      <c r="L775" s="10" t="s">
        <v>19984</v>
      </c>
    </row>
    <row r="776">
      <c r="A776" s="2" t="s">
        <v>4543</v>
      </c>
      <c r="B776" s="2" t="s">
        <v>19985</v>
      </c>
      <c r="C776" s="2">
        <v>5.0192039E7</v>
      </c>
      <c r="D776" s="2" t="s">
        <v>19986</v>
      </c>
      <c r="E776" s="2">
        <v>249051.0</v>
      </c>
      <c r="F776" s="2">
        <v>1390.0</v>
      </c>
      <c r="G776" s="2">
        <v>1568.0</v>
      </c>
      <c r="H776" s="2" t="s">
        <v>5906</v>
      </c>
      <c r="I776" s="2" t="s">
        <v>5906</v>
      </c>
      <c r="J776" s="2" t="s">
        <v>5959</v>
      </c>
      <c r="K776" s="2" t="s">
        <v>19987</v>
      </c>
      <c r="L776" s="10" t="s">
        <v>19988</v>
      </c>
    </row>
    <row r="777">
      <c r="A777" s="2" t="s">
        <v>4543</v>
      </c>
      <c r="B777" s="2" t="s">
        <v>19989</v>
      </c>
      <c r="C777" s="2">
        <v>2.025000342E9</v>
      </c>
      <c r="D777" s="2" t="s">
        <v>19990</v>
      </c>
      <c r="E777" s="2">
        <v>31375.0</v>
      </c>
      <c r="F777" s="2">
        <v>740.0</v>
      </c>
      <c r="G777" s="2">
        <v>983.0</v>
      </c>
      <c r="H777" s="2" t="s">
        <v>5905</v>
      </c>
      <c r="I777" s="2" t="s">
        <v>5906</v>
      </c>
      <c r="J777" s="2" t="s">
        <v>6393</v>
      </c>
      <c r="K777" s="2" t="s">
        <v>19991</v>
      </c>
      <c r="L777" s="10" t="s">
        <v>19992</v>
      </c>
    </row>
    <row r="778">
      <c r="A778" s="2" t="s">
        <v>4543</v>
      </c>
      <c r="B778" s="2" t="s">
        <v>19993</v>
      </c>
      <c r="C778" s="2">
        <v>4.67965207E9</v>
      </c>
      <c r="D778" s="2" t="s">
        <v>19994</v>
      </c>
      <c r="E778" s="2">
        <v>599749.0</v>
      </c>
      <c r="F778" s="2">
        <v>993.0</v>
      </c>
      <c r="G778" s="2">
        <v>2772.0</v>
      </c>
      <c r="H778" s="2" t="s">
        <v>5905</v>
      </c>
      <c r="I778" s="2" t="s">
        <v>5905</v>
      </c>
      <c r="J778" s="2" t="s">
        <v>5492</v>
      </c>
      <c r="K778" s="2" t="s">
        <v>19995</v>
      </c>
      <c r="L778" s="10" t="s">
        <v>19996</v>
      </c>
    </row>
    <row r="779">
      <c r="A779" s="2" t="s">
        <v>4543</v>
      </c>
      <c r="B779" s="2" t="s">
        <v>19997</v>
      </c>
      <c r="C779" s="2">
        <v>4.85124896E8</v>
      </c>
      <c r="D779" s="2" t="s">
        <v>19998</v>
      </c>
      <c r="E779" s="2">
        <v>389163.0</v>
      </c>
      <c r="F779" s="2">
        <v>12.0</v>
      </c>
      <c r="G779" s="2">
        <v>1855.0</v>
      </c>
      <c r="H779" s="2" t="s">
        <v>5905</v>
      </c>
      <c r="I779" s="2" t="s">
        <v>5906</v>
      </c>
      <c r="J779" s="2" t="s">
        <v>5911</v>
      </c>
      <c r="K779" s="2" t="s">
        <v>19999</v>
      </c>
    </row>
    <row r="780">
      <c r="A780" s="2" t="s">
        <v>4543</v>
      </c>
      <c r="B780" s="2" t="s">
        <v>20000</v>
      </c>
      <c r="C780" s="2">
        <v>1.44418433E8</v>
      </c>
      <c r="D780" s="2" t="s">
        <v>20001</v>
      </c>
      <c r="E780" s="2">
        <v>88238.0</v>
      </c>
      <c r="F780" s="2">
        <v>1723.0</v>
      </c>
      <c r="G780" s="2">
        <v>498.0</v>
      </c>
      <c r="H780" s="2" t="s">
        <v>5906</v>
      </c>
      <c r="I780" s="2" t="s">
        <v>5906</v>
      </c>
      <c r="J780" s="2" t="s">
        <v>12774</v>
      </c>
      <c r="K780" s="2" t="s">
        <v>20002</v>
      </c>
      <c r="L780" s="10" t="s">
        <v>20003</v>
      </c>
    </row>
    <row r="781">
      <c r="A781" s="2" t="s">
        <v>4543</v>
      </c>
      <c r="B781" s="2" t="s">
        <v>20004</v>
      </c>
      <c r="C781" s="2">
        <v>4.8101050212E10</v>
      </c>
      <c r="D781" s="2" t="s">
        <v>20005</v>
      </c>
      <c r="E781" s="2">
        <v>40628.0</v>
      </c>
      <c r="F781" s="2">
        <v>134.0</v>
      </c>
      <c r="G781" s="2">
        <v>6574.0</v>
      </c>
      <c r="H781" s="2" t="s">
        <v>5905</v>
      </c>
      <c r="I781" s="2" t="s">
        <v>5905</v>
      </c>
      <c r="J781" s="2" t="s">
        <v>7620</v>
      </c>
      <c r="K781" s="2" t="s">
        <v>20006</v>
      </c>
    </row>
    <row r="782">
      <c r="A782" s="2" t="s">
        <v>4543</v>
      </c>
      <c r="B782" s="2" t="s">
        <v>20007</v>
      </c>
      <c r="C782" s="2">
        <v>2.363777373E9</v>
      </c>
      <c r="D782" s="2" t="s">
        <v>20008</v>
      </c>
      <c r="E782" s="2">
        <v>797670.0</v>
      </c>
      <c r="F782" s="2">
        <v>1597.0</v>
      </c>
      <c r="G782" s="2">
        <v>1741.0</v>
      </c>
      <c r="H782" s="2" t="s">
        <v>5906</v>
      </c>
      <c r="I782" s="2" t="s">
        <v>5905</v>
      </c>
      <c r="J782" s="2" t="s">
        <v>5928</v>
      </c>
      <c r="K782" s="2" t="s">
        <v>20009</v>
      </c>
      <c r="L782" s="10" t="s">
        <v>20010</v>
      </c>
    </row>
    <row r="783">
      <c r="A783" s="2" t="s">
        <v>4543</v>
      </c>
      <c r="B783" s="2" t="s">
        <v>20011</v>
      </c>
      <c r="C783" s="2">
        <v>5.9814169079E10</v>
      </c>
      <c r="D783" s="2" t="s">
        <v>20012</v>
      </c>
      <c r="E783" s="2">
        <v>106606.0</v>
      </c>
      <c r="F783" s="2">
        <v>486.0</v>
      </c>
      <c r="G783" s="2">
        <v>444.0</v>
      </c>
      <c r="H783" s="2" t="s">
        <v>5906</v>
      </c>
      <c r="I783" s="2" t="s">
        <v>5905</v>
      </c>
      <c r="J783" s="2" t="s">
        <v>5959</v>
      </c>
      <c r="K783" s="2" t="s">
        <v>20013</v>
      </c>
    </row>
    <row r="784">
      <c r="A784" s="2" t="s">
        <v>4543</v>
      </c>
      <c r="B784" s="2" t="s">
        <v>20014</v>
      </c>
      <c r="C784" s="2">
        <v>5.628157303E9</v>
      </c>
      <c r="D784" s="2" t="s">
        <v>20015</v>
      </c>
      <c r="E784" s="2">
        <v>48083.0</v>
      </c>
      <c r="F784" s="2">
        <v>1537.0</v>
      </c>
      <c r="G784" s="2">
        <v>975.0</v>
      </c>
      <c r="H784" s="2" t="s">
        <v>5906</v>
      </c>
      <c r="I784" s="2" t="s">
        <v>5905</v>
      </c>
      <c r="J784" s="2" t="s">
        <v>5959</v>
      </c>
      <c r="K784" s="2" t="s">
        <v>20016</v>
      </c>
      <c r="L784" s="10" t="s">
        <v>20017</v>
      </c>
    </row>
    <row r="785">
      <c r="A785" s="2" t="s">
        <v>4543</v>
      </c>
      <c r="B785" s="2" t="s">
        <v>20018</v>
      </c>
      <c r="C785" s="2">
        <v>8.62291538E8</v>
      </c>
      <c r="D785" s="2" t="s">
        <v>20019</v>
      </c>
      <c r="E785" s="2">
        <v>100939.0</v>
      </c>
      <c r="F785" s="2">
        <v>275.0</v>
      </c>
      <c r="G785" s="2">
        <v>6044.0</v>
      </c>
      <c r="H785" s="2" t="s">
        <v>5905</v>
      </c>
      <c r="I785" s="2" t="s">
        <v>5906</v>
      </c>
      <c r="K785" s="2" t="s">
        <v>20020</v>
      </c>
      <c r="L785" s="10" t="s">
        <v>20021</v>
      </c>
    </row>
    <row r="786">
      <c r="A786" s="2" t="s">
        <v>4543</v>
      </c>
      <c r="B786" s="2" t="s">
        <v>20022</v>
      </c>
      <c r="C786" s="2">
        <v>6.731641036E9</v>
      </c>
      <c r="D786" s="2" t="s">
        <v>20023</v>
      </c>
      <c r="E786" s="2">
        <v>44248.0</v>
      </c>
      <c r="F786" s="2">
        <v>199.0</v>
      </c>
      <c r="G786" s="2">
        <v>1175.0</v>
      </c>
      <c r="H786" s="2" t="s">
        <v>5905</v>
      </c>
      <c r="I786" s="2" t="s">
        <v>5905</v>
      </c>
      <c r="J786" s="2" t="s">
        <v>5492</v>
      </c>
      <c r="K786" s="2" t="s">
        <v>20024</v>
      </c>
      <c r="L786" s="10" t="s">
        <v>20025</v>
      </c>
    </row>
    <row r="787">
      <c r="A787" s="2" t="s">
        <v>2238</v>
      </c>
      <c r="B787" s="2" t="s">
        <v>20026</v>
      </c>
      <c r="C787" s="2">
        <v>4.012469054E9</v>
      </c>
      <c r="D787" s="2" t="s">
        <v>20027</v>
      </c>
      <c r="E787" s="2">
        <v>65852.0</v>
      </c>
      <c r="F787" s="2">
        <v>798.0</v>
      </c>
      <c r="G787" s="2">
        <v>3283.0</v>
      </c>
      <c r="H787" s="2" t="s">
        <v>5905</v>
      </c>
      <c r="I787" s="2" t="s">
        <v>5905</v>
      </c>
      <c r="J787" s="2" t="s">
        <v>5959</v>
      </c>
      <c r="K787" s="2" t="s">
        <v>20028</v>
      </c>
      <c r="L787" s="10" t="s">
        <v>20029</v>
      </c>
    </row>
    <row r="788">
      <c r="A788" s="2" t="s">
        <v>2238</v>
      </c>
      <c r="B788" s="2" t="s">
        <v>20030</v>
      </c>
      <c r="C788" s="2">
        <v>2.5776449E8</v>
      </c>
      <c r="D788" s="2" t="s">
        <v>20031</v>
      </c>
      <c r="E788" s="2">
        <v>115385.0</v>
      </c>
      <c r="F788" s="2">
        <v>4791.0</v>
      </c>
      <c r="G788" s="2">
        <v>3249.0</v>
      </c>
      <c r="H788" s="2" t="s">
        <v>5906</v>
      </c>
      <c r="I788" s="2" t="s">
        <v>5905</v>
      </c>
      <c r="J788" s="2" t="s">
        <v>6393</v>
      </c>
      <c r="K788" s="2" t="s">
        <v>20032</v>
      </c>
      <c r="L788" s="10" t="s">
        <v>20033</v>
      </c>
    </row>
    <row r="789">
      <c r="A789" s="2" t="s">
        <v>2238</v>
      </c>
      <c r="B789" s="2" t="s">
        <v>20034</v>
      </c>
      <c r="C789" s="2">
        <v>5.8660503702E10</v>
      </c>
      <c r="D789" s="2" t="s">
        <v>20035</v>
      </c>
      <c r="E789" s="2">
        <v>202944.0</v>
      </c>
      <c r="F789" s="2">
        <v>127.0</v>
      </c>
      <c r="G789" s="2">
        <v>657.0</v>
      </c>
      <c r="H789" s="2" t="s">
        <v>5905</v>
      </c>
      <c r="I789" s="2" t="s">
        <v>5905</v>
      </c>
      <c r="J789" s="2" t="s">
        <v>5959</v>
      </c>
      <c r="K789" s="2" t="s">
        <v>20036</v>
      </c>
      <c r="L789" s="10" t="s">
        <v>20037</v>
      </c>
    </row>
    <row r="790">
      <c r="A790" s="2" t="s">
        <v>2238</v>
      </c>
      <c r="B790" s="2" t="s">
        <v>20038</v>
      </c>
      <c r="C790" s="2">
        <v>2.263374571E9</v>
      </c>
      <c r="D790" s="2" t="s">
        <v>20039</v>
      </c>
      <c r="E790" s="2">
        <v>709223.0</v>
      </c>
      <c r="F790" s="2">
        <v>715.0</v>
      </c>
      <c r="G790" s="2">
        <v>4265.0</v>
      </c>
      <c r="H790" s="2" t="s">
        <v>5906</v>
      </c>
      <c r="I790" s="2" t="s">
        <v>5905</v>
      </c>
      <c r="J790" s="2" t="s">
        <v>5959</v>
      </c>
      <c r="K790" s="2" t="s">
        <v>20040</v>
      </c>
      <c r="L790" s="10" t="s">
        <v>20041</v>
      </c>
    </row>
    <row r="791">
      <c r="A791" s="2" t="s">
        <v>2238</v>
      </c>
      <c r="B791" s="2" t="s">
        <v>20042</v>
      </c>
      <c r="C791" s="2">
        <v>3.171063147E9</v>
      </c>
      <c r="D791" s="2" t="s">
        <v>20043</v>
      </c>
      <c r="E791" s="2">
        <v>12389.0</v>
      </c>
      <c r="F791" s="2">
        <v>2.0</v>
      </c>
      <c r="G791" s="2">
        <v>192.0</v>
      </c>
      <c r="H791" s="2" t="s">
        <v>5905</v>
      </c>
      <c r="I791" s="2" t="s">
        <v>5906</v>
      </c>
      <c r="J791" s="2" t="s">
        <v>8518</v>
      </c>
      <c r="K791" s="2" t="s">
        <v>20044</v>
      </c>
      <c r="L791" s="10" t="s">
        <v>20045</v>
      </c>
    </row>
    <row r="792">
      <c r="A792" s="2" t="s">
        <v>2238</v>
      </c>
      <c r="B792" s="2" t="s">
        <v>20046</v>
      </c>
      <c r="C792" s="2">
        <v>1.548970379E9</v>
      </c>
      <c r="D792" s="2" t="s">
        <v>20047</v>
      </c>
      <c r="E792" s="2">
        <v>12288.0</v>
      </c>
      <c r="F792" s="2">
        <v>542.0</v>
      </c>
      <c r="G792" s="2">
        <v>7584.0</v>
      </c>
      <c r="H792" s="2" t="s">
        <v>5905</v>
      </c>
      <c r="I792" s="2" t="s">
        <v>5906</v>
      </c>
      <c r="K792" s="12" t="s">
        <v>20048</v>
      </c>
    </row>
    <row r="793">
      <c r="A793" s="2" t="s">
        <v>2238</v>
      </c>
      <c r="B793" s="2" t="s">
        <v>20049</v>
      </c>
      <c r="C793" s="2">
        <v>9.40617074E8</v>
      </c>
      <c r="D793" s="2" t="s">
        <v>20050</v>
      </c>
      <c r="E793" s="2">
        <v>431004.0</v>
      </c>
      <c r="F793" s="2">
        <v>332.0</v>
      </c>
      <c r="G793" s="2">
        <v>3786.0</v>
      </c>
      <c r="H793" s="2" t="s">
        <v>5906</v>
      </c>
      <c r="I793" s="2" t="s">
        <v>5905</v>
      </c>
      <c r="J793" s="2" t="s">
        <v>6414</v>
      </c>
      <c r="K793" s="2" t="s">
        <v>20051</v>
      </c>
      <c r="L793" s="10" t="s">
        <v>20052</v>
      </c>
    </row>
    <row r="794">
      <c r="A794" s="2" t="s">
        <v>2238</v>
      </c>
      <c r="B794" s="2" t="s">
        <v>20053</v>
      </c>
      <c r="C794" s="2">
        <v>1.4300716216E10</v>
      </c>
      <c r="D794" s="2" t="s">
        <v>20054</v>
      </c>
      <c r="E794" s="2">
        <v>19024.0</v>
      </c>
      <c r="F794" s="2">
        <v>1157.0</v>
      </c>
      <c r="G794" s="2">
        <v>3388.0</v>
      </c>
      <c r="H794" s="2" t="s">
        <v>5905</v>
      </c>
      <c r="I794" s="2" t="s">
        <v>5906</v>
      </c>
      <c r="J794" s="2" t="s">
        <v>8911</v>
      </c>
      <c r="K794" s="2" t="s">
        <v>20055</v>
      </c>
      <c r="L794" s="10" t="s">
        <v>20056</v>
      </c>
    </row>
    <row r="795">
      <c r="A795" s="2" t="s">
        <v>2232</v>
      </c>
      <c r="B795" s="2" t="s">
        <v>20057</v>
      </c>
      <c r="C795" s="2">
        <v>6.1647604789E10</v>
      </c>
      <c r="D795" s="2" t="s">
        <v>20058</v>
      </c>
      <c r="E795" s="2">
        <v>11252.0</v>
      </c>
      <c r="F795" s="2">
        <v>3.0</v>
      </c>
      <c r="G795" s="2">
        <v>92.0</v>
      </c>
      <c r="H795" s="2" t="s">
        <v>5905</v>
      </c>
      <c r="I795" s="2" t="s">
        <v>5905</v>
      </c>
      <c r="K795" s="2" t="s">
        <v>20059</v>
      </c>
    </row>
    <row r="796">
      <c r="A796" s="2" t="s">
        <v>2232</v>
      </c>
      <c r="B796" s="2" t="s">
        <v>20060</v>
      </c>
      <c r="C796" s="2">
        <v>5.3843926028E10</v>
      </c>
      <c r="D796" s="12" t="s">
        <v>20061</v>
      </c>
      <c r="E796" s="2">
        <v>27545.0</v>
      </c>
      <c r="F796" s="2">
        <v>1.0</v>
      </c>
      <c r="G796" s="2">
        <v>191.0</v>
      </c>
      <c r="H796" s="2" t="s">
        <v>5905</v>
      </c>
      <c r="I796" s="2" t="s">
        <v>5906</v>
      </c>
      <c r="J796" s="2" t="s">
        <v>20062</v>
      </c>
      <c r="K796" s="2" t="s">
        <v>20063</v>
      </c>
      <c r="L796" s="10" t="s">
        <v>20064</v>
      </c>
    </row>
    <row r="797">
      <c r="A797" s="2" t="s">
        <v>2236</v>
      </c>
      <c r="B797" s="2" t="s">
        <v>20065</v>
      </c>
      <c r="C797" s="2">
        <v>1.449865657E9</v>
      </c>
      <c r="D797" s="2" t="s">
        <v>20066</v>
      </c>
      <c r="E797" s="2">
        <v>14607.0</v>
      </c>
      <c r="F797" s="2">
        <v>2844.0</v>
      </c>
      <c r="G797" s="2">
        <v>748.0</v>
      </c>
      <c r="H797" s="2" t="s">
        <v>5905</v>
      </c>
      <c r="I797" s="2" t="s">
        <v>5906</v>
      </c>
      <c r="J797" s="2" t="s">
        <v>5492</v>
      </c>
      <c r="K797" s="2" t="s">
        <v>20067</v>
      </c>
      <c r="L797" s="10" t="s">
        <v>20068</v>
      </c>
    </row>
    <row r="798">
      <c r="A798" s="2" t="s">
        <v>2236</v>
      </c>
      <c r="B798" s="2" t="s">
        <v>20069</v>
      </c>
      <c r="C798" s="2">
        <v>6.939025255E9</v>
      </c>
      <c r="D798" s="2" t="s">
        <v>20070</v>
      </c>
      <c r="E798" s="2">
        <v>754164.0</v>
      </c>
      <c r="F798" s="2">
        <v>782.0</v>
      </c>
      <c r="G798" s="2">
        <v>892.0</v>
      </c>
      <c r="H798" s="2" t="s">
        <v>5905</v>
      </c>
      <c r="I798" s="2" t="s">
        <v>5905</v>
      </c>
      <c r="J798" s="2" t="s">
        <v>5492</v>
      </c>
      <c r="K798" s="2" t="s">
        <v>20071</v>
      </c>
    </row>
    <row r="799">
      <c r="A799" s="2" t="s">
        <v>2236</v>
      </c>
      <c r="B799" s="2" t="s">
        <v>20072</v>
      </c>
      <c r="C799" s="2">
        <v>5.3117116696E10</v>
      </c>
      <c r="D799" s="2" t="s">
        <v>20073</v>
      </c>
      <c r="E799" s="2">
        <v>261089.0</v>
      </c>
      <c r="F799" s="2">
        <v>1111.0</v>
      </c>
      <c r="G799" s="2">
        <v>627.0</v>
      </c>
      <c r="H799" s="2" t="s">
        <v>5906</v>
      </c>
      <c r="I799" s="2" t="s">
        <v>5905</v>
      </c>
      <c r="J799" s="2" t="s">
        <v>5959</v>
      </c>
      <c r="K799" s="2" t="s">
        <v>20074</v>
      </c>
      <c r="L799" s="10" t="s">
        <v>20075</v>
      </c>
    </row>
    <row r="800">
      <c r="A800" s="2" t="s">
        <v>2236</v>
      </c>
      <c r="B800" s="2" t="s">
        <v>20076</v>
      </c>
      <c r="C800" s="2">
        <v>3.1324180897E10</v>
      </c>
      <c r="D800" s="2" t="s">
        <v>20077</v>
      </c>
      <c r="E800" s="2">
        <v>10337.0</v>
      </c>
      <c r="F800" s="2">
        <v>1.0</v>
      </c>
      <c r="G800" s="2">
        <v>2.0</v>
      </c>
      <c r="H800" s="2" t="s">
        <v>5905</v>
      </c>
      <c r="I800" s="2" t="s">
        <v>5905</v>
      </c>
      <c r="J800" s="2" t="s">
        <v>5959</v>
      </c>
      <c r="K800" s="2" t="s">
        <v>20078</v>
      </c>
    </row>
    <row r="801">
      <c r="A801" s="2" t="s">
        <v>2236</v>
      </c>
      <c r="B801" s="2" t="s">
        <v>20079</v>
      </c>
      <c r="C801" s="2">
        <v>4.7342422E7</v>
      </c>
      <c r="D801" s="2" t="s">
        <v>20080</v>
      </c>
      <c r="E801" s="2">
        <v>86466.0</v>
      </c>
      <c r="F801" s="2">
        <v>1316.0</v>
      </c>
      <c r="G801" s="2">
        <v>4049.0</v>
      </c>
      <c r="H801" s="2" t="s">
        <v>5906</v>
      </c>
      <c r="I801" s="2" t="s">
        <v>5905</v>
      </c>
      <c r="J801" s="2" t="s">
        <v>5959</v>
      </c>
      <c r="K801" s="2" t="s">
        <v>20081</v>
      </c>
    </row>
    <row r="802">
      <c r="A802" s="2" t="s">
        <v>2236</v>
      </c>
      <c r="B802" s="2" t="s">
        <v>20082</v>
      </c>
      <c r="C802" s="2">
        <v>4.7172666384E10</v>
      </c>
      <c r="D802" s="2" t="s">
        <v>20083</v>
      </c>
      <c r="E802" s="2">
        <v>472200.0</v>
      </c>
      <c r="F802" s="2">
        <v>7501.0</v>
      </c>
      <c r="G802" s="2">
        <v>810.0</v>
      </c>
      <c r="H802" s="2" t="s">
        <v>5906</v>
      </c>
      <c r="I802" s="2" t="s">
        <v>5905</v>
      </c>
      <c r="J802" s="2" t="s">
        <v>5959</v>
      </c>
      <c r="K802" s="2" t="s">
        <v>20084</v>
      </c>
      <c r="L802" s="10" t="s">
        <v>20085</v>
      </c>
    </row>
    <row r="803">
      <c r="A803" s="2" t="s">
        <v>2236</v>
      </c>
      <c r="B803" s="2" t="s">
        <v>20086</v>
      </c>
      <c r="C803" s="2">
        <v>4.3740321E7</v>
      </c>
      <c r="D803" s="2" t="s">
        <v>20087</v>
      </c>
      <c r="E803" s="2">
        <v>313374.0</v>
      </c>
      <c r="F803" s="2">
        <v>831.0</v>
      </c>
      <c r="G803" s="2">
        <v>1431.0</v>
      </c>
      <c r="H803" s="2" t="s">
        <v>5906</v>
      </c>
      <c r="I803" s="2" t="s">
        <v>5905</v>
      </c>
      <c r="J803" s="2" t="s">
        <v>5959</v>
      </c>
      <c r="K803" s="2" t="s">
        <v>20088</v>
      </c>
      <c r="L803" s="10" t="s">
        <v>20089</v>
      </c>
    </row>
    <row r="804">
      <c r="A804" s="2" t="s">
        <v>2236</v>
      </c>
      <c r="B804" s="2" t="s">
        <v>20090</v>
      </c>
      <c r="C804" s="2">
        <v>9.78112278E8</v>
      </c>
      <c r="D804" s="2" t="s">
        <v>20091</v>
      </c>
      <c r="E804" s="2">
        <v>15267.0</v>
      </c>
      <c r="F804" s="2">
        <v>4030.0</v>
      </c>
      <c r="G804" s="2">
        <v>1634.0</v>
      </c>
      <c r="H804" s="2" t="s">
        <v>5906</v>
      </c>
      <c r="I804" s="2" t="s">
        <v>5905</v>
      </c>
      <c r="J804" s="2" t="s">
        <v>5959</v>
      </c>
      <c r="K804" s="2" t="s">
        <v>20092</v>
      </c>
      <c r="L804" s="10" t="s">
        <v>20093</v>
      </c>
    </row>
    <row r="805">
      <c r="A805" s="2" t="s">
        <v>2236</v>
      </c>
      <c r="B805" s="2" t="s">
        <v>20094</v>
      </c>
      <c r="C805" s="2">
        <v>1.831901531E9</v>
      </c>
      <c r="D805" s="2" t="s">
        <v>20095</v>
      </c>
      <c r="E805" s="2">
        <v>193662.0</v>
      </c>
      <c r="F805" s="2">
        <v>909.0</v>
      </c>
      <c r="G805" s="2">
        <v>1929.0</v>
      </c>
      <c r="H805" s="2" t="s">
        <v>5906</v>
      </c>
      <c r="I805" s="2" t="s">
        <v>5905</v>
      </c>
      <c r="J805" s="2" t="s">
        <v>5959</v>
      </c>
      <c r="K805" s="2" t="s">
        <v>20096</v>
      </c>
      <c r="L805" s="10" t="s">
        <v>20097</v>
      </c>
    </row>
    <row r="806">
      <c r="A806" s="2" t="s">
        <v>2237</v>
      </c>
      <c r="B806" s="2" t="s">
        <v>20098</v>
      </c>
      <c r="C806" s="2">
        <v>5.7311650685E10</v>
      </c>
      <c r="D806" s="2" t="s">
        <v>20099</v>
      </c>
      <c r="E806" s="2">
        <v>32190.0</v>
      </c>
      <c r="F806" s="2">
        <v>17.0</v>
      </c>
      <c r="G806" s="2">
        <v>813.0</v>
      </c>
      <c r="H806" s="2" t="s">
        <v>5905</v>
      </c>
      <c r="I806" s="2" t="s">
        <v>5905</v>
      </c>
      <c r="J806" s="2" t="s">
        <v>5492</v>
      </c>
      <c r="K806" s="2" t="s">
        <v>20100</v>
      </c>
      <c r="L806" s="10" t="s">
        <v>20101</v>
      </c>
    </row>
    <row r="807">
      <c r="A807" s="2" t="s">
        <v>2237</v>
      </c>
      <c r="B807" s="2" t="s">
        <v>20102</v>
      </c>
      <c r="C807" s="2">
        <v>9.453633241E9</v>
      </c>
      <c r="D807" s="2" t="s">
        <v>20103</v>
      </c>
      <c r="E807" s="2">
        <v>295332.0</v>
      </c>
      <c r="F807" s="2">
        <v>817.0</v>
      </c>
      <c r="G807" s="2">
        <v>5415.0</v>
      </c>
      <c r="H807" s="2" t="s">
        <v>5905</v>
      </c>
      <c r="I807" s="2" t="s">
        <v>5905</v>
      </c>
      <c r="J807" s="2" t="s">
        <v>5928</v>
      </c>
      <c r="K807" s="2" t="s">
        <v>20104</v>
      </c>
      <c r="L807" s="10" t="s">
        <v>20105</v>
      </c>
    </row>
    <row r="808">
      <c r="A808" s="2" t="s">
        <v>4526</v>
      </c>
      <c r="B808" s="2" t="s">
        <v>20106</v>
      </c>
      <c r="C808" s="2">
        <v>2.7756087924E10</v>
      </c>
      <c r="D808" s="2" t="s">
        <v>20107</v>
      </c>
      <c r="E808" s="2">
        <v>19666.0</v>
      </c>
      <c r="F808" s="2">
        <v>401.0</v>
      </c>
      <c r="G808" s="2">
        <v>380.0</v>
      </c>
      <c r="H808" s="2" t="s">
        <v>5905</v>
      </c>
      <c r="I808" s="2" t="s">
        <v>5905</v>
      </c>
      <c r="J808" s="2" t="s">
        <v>5492</v>
      </c>
      <c r="K808" s="2" t="s">
        <v>20108</v>
      </c>
    </row>
    <row r="809">
      <c r="A809" s="2" t="s">
        <v>4657</v>
      </c>
      <c r="B809" s="2" t="s">
        <v>20109</v>
      </c>
      <c r="C809" s="2">
        <v>6.2014450448E10</v>
      </c>
      <c r="D809" s="2" t="s">
        <v>20110</v>
      </c>
      <c r="E809" s="2">
        <v>301273.0</v>
      </c>
      <c r="F809" s="2">
        <v>0.0</v>
      </c>
      <c r="G809" s="2">
        <v>131.0</v>
      </c>
      <c r="H809" s="2" t="s">
        <v>5905</v>
      </c>
      <c r="I809" s="2" t="s">
        <v>5905</v>
      </c>
      <c r="J809" s="2" t="s">
        <v>5928</v>
      </c>
      <c r="K809" s="2" t="s">
        <v>20111</v>
      </c>
    </row>
    <row r="810">
      <c r="A810" s="2" t="s">
        <v>4657</v>
      </c>
      <c r="B810" s="2" t="s">
        <v>20112</v>
      </c>
      <c r="C810" s="2">
        <v>6.0134994094E10</v>
      </c>
      <c r="D810" s="2" t="s">
        <v>4657</v>
      </c>
      <c r="E810" s="2">
        <v>35099.0</v>
      </c>
      <c r="F810" s="2">
        <v>427.0</v>
      </c>
      <c r="G810" s="2">
        <v>144.0</v>
      </c>
      <c r="H810" s="2" t="s">
        <v>5905</v>
      </c>
      <c r="I810" s="2" t="s">
        <v>5905</v>
      </c>
      <c r="J810" s="2" t="s">
        <v>20113</v>
      </c>
      <c r="K810" s="10" t="s">
        <v>20114</v>
      </c>
      <c r="L810" s="10" t="s">
        <v>20114</v>
      </c>
    </row>
    <row r="811">
      <c r="A811" s="2" t="s">
        <v>4657</v>
      </c>
      <c r="B811" s="2" t="s">
        <v>20115</v>
      </c>
      <c r="C811" s="2">
        <v>8.303652176E9</v>
      </c>
      <c r="D811" s="2" t="s">
        <v>20116</v>
      </c>
      <c r="E811" s="2">
        <v>221459.0</v>
      </c>
      <c r="F811" s="2">
        <v>12.0</v>
      </c>
      <c r="G811" s="2">
        <v>16.0</v>
      </c>
      <c r="H811" s="2" t="s">
        <v>5905</v>
      </c>
      <c r="I811" s="2" t="s">
        <v>5905</v>
      </c>
      <c r="J811" s="2" t="s">
        <v>7140</v>
      </c>
      <c r="K811" s="2" t="s">
        <v>20117</v>
      </c>
      <c r="L811" s="10" t="s">
        <v>20118</v>
      </c>
    </row>
    <row r="812">
      <c r="A812" s="2" t="s">
        <v>4657</v>
      </c>
      <c r="B812" s="2" t="s">
        <v>20119</v>
      </c>
      <c r="C812" s="2">
        <v>4.4753218581E10</v>
      </c>
      <c r="D812" s="2" t="s">
        <v>20119</v>
      </c>
      <c r="E812" s="2">
        <v>148345.0</v>
      </c>
      <c r="F812" s="2">
        <v>38.0</v>
      </c>
      <c r="G812" s="2">
        <v>288.0</v>
      </c>
      <c r="H812" s="2" t="s">
        <v>5905</v>
      </c>
      <c r="I812" s="2" t="s">
        <v>5905</v>
      </c>
      <c r="J812" s="2" t="s">
        <v>7414</v>
      </c>
      <c r="K812" s="2" t="s">
        <v>20120</v>
      </c>
      <c r="L812" s="10" t="s">
        <v>20121</v>
      </c>
    </row>
    <row r="813">
      <c r="A813" s="2" t="s">
        <v>4657</v>
      </c>
      <c r="B813" s="2" t="s">
        <v>20122</v>
      </c>
      <c r="C813" s="2">
        <v>6.6783763474E10</v>
      </c>
      <c r="D813" s="2" t="s">
        <v>20123</v>
      </c>
      <c r="E813" s="2">
        <v>105926.0</v>
      </c>
      <c r="F813" s="2">
        <v>70.0</v>
      </c>
      <c r="G813" s="2">
        <v>108.0</v>
      </c>
      <c r="H813" s="2" t="s">
        <v>5906</v>
      </c>
      <c r="I813" s="2" t="s">
        <v>5905</v>
      </c>
      <c r="J813" s="2" t="s">
        <v>7414</v>
      </c>
      <c r="K813" s="2" t="s">
        <v>20124</v>
      </c>
    </row>
    <row r="814">
      <c r="A814" s="2" t="s">
        <v>4657</v>
      </c>
      <c r="B814" s="2" t="s">
        <v>20125</v>
      </c>
      <c r="C814" s="2">
        <v>1.9942317E8</v>
      </c>
      <c r="D814" s="2" t="s">
        <v>20126</v>
      </c>
      <c r="E814" s="2">
        <v>207009.0</v>
      </c>
      <c r="F814" s="2">
        <v>451.0</v>
      </c>
      <c r="G814" s="2">
        <v>1051.0</v>
      </c>
      <c r="H814" s="2" t="s">
        <v>5906</v>
      </c>
      <c r="I814" s="2" t="s">
        <v>5905</v>
      </c>
      <c r="J814" s="2" t="s">
        <v>5492</v>
      </c>
      <c r="K814" s="2" t="s">
        <v>20127</v>
      </c>
      <c r="L814" s="10" t="s">
        <v>20128</v>
      </c>
    </row>
    <row r="815">
      <c r="A815" s="2" t="s">
        <v>4657</v>
      </c>
      <c r="B815" s="2" t="s">
        <v>20129</v>
      </c>
      <c r="C815" s="2">
        <v>2.21584561E8</v>
      </c>
      <c r="D815" s="2" t="s">
        <v>20130</v>
      </c>
      <c r="E815" s="2">
        <v>17026.0</v>
      </c>
      <c r="F815" s="2">
        <v>874.0</v>
      </c>
      <c r="G815" s="2">
        <v>544.0</v>
      </c>
      <c r="H815" s="2" t="s">
        <v>5905</v>
      </c>
      <c r="I815" s="2" t="s">
        <v>5905</v>
      </c>
      <c r="J815" s="2" t="s">
        <v>5928</v>
      </c>
      <c r="K815" s="2" t="s">
        <v>20131</v>
      </c>
      <c r="L815" s="10" t="s">
        <v>20132</v>
      </c>
    </row>
    <row r="816">
      <c r="A816" s="2" t="s">
        <v>4600</v>
      </c>
      <c r="B816" s="2" t="s">
        <v>20133</v>
      </c>
      <c r="C816" s="2">
        <v>4.461547138E9</v>
      </c>
      <c r="D816" s="2" t="s">
        <v>20134</v>
      </c>
      <c r="E816" s="2">
        <v>236563.0</v>
      </c>
      <c r="F816" s="2">
        <v>1505.0</v>
      </c>
      <c r="G816" s="2">
        <v>8337.0</v>
      </c>
      <c r="H816" s="2" t="s">
        <v>5905</v>
      </c>
      <c r="I816" s="2" t="s">
        <v>5906</v>
      </c>
      <c r="K816" s="2" t="s">
        <v>20135</v>
      </c>
      <c r="L816" s="10" t="s">
        <v>20136</v>
      </c>
    </row>
    <row r="817">
      <c r="A817" s="2" t="s">
        <v>4600</v>
      </c>
      <c r="B817" s="2" t="s">
        <v>20137</v>
      </c>
      <c r="C817" s="2">
        <v>2.8887617879E10</v>
      </c>
      <c r="D817" s="2" t="s">
        <v>20138</v>
      </c>
      <c r="E817" s="2">
        <v>44084.0</v>
      </c>
      <c r="F817" s="2">
        <v>332.0</v>
      </c>
      <c r="G817" s="2">
        <v>177.0</v>
      </c>
      <c r="H817" s="2" t="s">
        <v>5905</v>
      </c>
      <c r="I817" s="2" t="s">
        <v>5905</v>
      </c>
      <c r="J817" s="2" t="s">
        <v>5963</v>
      </c>
      <c r="K817" s="2" t="s">
        <v>20139</v>
      </c>
      <c r="L817" s="10" t="s">
        <v>20140</v>
      </c>
    </row>
    <row r="818">
      <c r="A818" s="2" t="s">
        <v>4600</v>
      </c>
      <c r="B818" s="2" t="s">
        <v>20141</v>
      </c>
      <c r="C818" s="2">
        <v>6.9016357099E10</v>
      </c>
      <c r="D818" s="2" t="s">
        <v>20142</v>
      </c>
      <c r="E818" s="2">
        <v>41239.0</v>
      </c>
      <c r="F818" s="2">
        <v>12.0</v>
      </c>
      <c r="G818" s="2">
        <v>291.0</v>
      </c>
      <c r="H818" s="2" t="s">
        <v>5905</v>
      </c>
      <c r="I818" s="2" t="s">
        <v>5905</v>
      </c>
      <c r="J818" s="2" t="s">
        <v>5959</v>
      </c>
      <c r="K818" s="2" t="s">
        <v>20143</v>
      </c>
    </row>
    <row r="819">
      <c r="A819" s="2" t="s">
        <v>4600</v>
      </c>
      <c r="B819" s="2" t="s">
        <v>20144</v>
      </c>
      <c r="C819" s="2">
        <v>4.066616669E10</v>
      </c>
      <c r="D819" s="2" t="s">
        <v>20134</v>
      </c>
      <c r="E819" s="2">
        <v>15940.0</v>
      </c>
      <c r="F819" s="2">
        <v>18.0</v>
      </c>
      <c r="G819" s="2">
        <v>3272.0</v>
      </c>
      <c r="H819" s="2" t="s">
        <v>5905</v>
      </c>
      <c r="I819" s="2" t="s">
        <v>5906</v>
      </c>
      <c r="J819" s="2" t="s">
        <v>5928</v>
      </c>
      <c r="K819" s="2" t="s">
        <v>20145</v>
      </c>
      <c r="L819" s="10" t="s">
        <v>20146</v>
      </c>
    </row>
    <row r="820">
      <c r="A820" s="2" t="s">
        <v>4600</v>
      </c>
      <c r="B820" s="2" t="s">
        <v>20147</v>
      </c>
      <c r="C820" s="2">
        <v>3.7977581707E10</v>
      </c>
      <c r="D820" s="2" t="s">
        <v>20148</v>
      </c>
      <c r="E820" s="2">
        <v>57306.0</v>
      </c>
      <c r="F820" s="2">
        <v>0.0</v>
      </c>
      <c r="G820" s="2">
        <v>1039.0</v>
      </c>
      <c r="H820" s="2" t="s">
        <v>5905</v>
      </c>
      <c r="I820" s="2" t="s">
        <v>5906</v>
      </c>
      <c r="J820" s="2" t="s">
        <v>6166</v>
      </c>
      <c r="K820" s="2" t="s">
        <v>20149</v>
      </c>
      <c r="L820" s="10" t="s">
        <v>20150</v>
      </c>
    </row>
    <row r="821">
      <c r="A821" s="2" t="s">
        <v>4600</v>
      </c>
      <c r="B821" s="2" t="s">
        <v>20151</v>
      </c>
      <c r="C821" s="2">
        <v>5.049370434E9</v>
      </c>
      <c r="D821" s="2" t="s">
        <v>20152</v>
      </c>
      <c r="E821" s="2">
        <v>539010.0</v>
      </c>
      <c r="F821" s="2">
        <v>203.0</v>
      </c>
      <c r="G821" s="2">
        <v>1956.0</v>
      </c>
      <c r="H821" s="2" t="s">
        <v>5905</v>
      </c>
      <c r="I821" s="2" t="s">
        <v>5906</v>
      </c>
      <c r="J821" s="2" t="s">
        <v>6393</v>
      </c>
      <c r="K821" s="2" t="s">
        <v>20153</v>
      </c>
    </row>
    <row r="822">
      <c r="A822" s="2" t="s">
        <v>4486</v>
      </c>
      <c r="B822" s="2" t="s">
        <v>20154</v>
      </c>
      <c r="C822" s="2">
        <v>3.022994342E9</v>
      </c>
      <c r="D822" s="2" t="s">
        <v>20155</v>
      </c>
      <c r="E822" s="2">
        <v>120201.0</v>
      </c>
      <c r="F822" s="2">
        <v>1830.0</v>
      </c>
      <c r="G822" s="2">
        <v>2013.0</v>
      </c>
      <c r="H822" s="2" t="s">
        <v>5905</v>
      </c>
      <c r="I822" s="2" t="s">
        <v>5906</v>
      </c>
      <c r="J822" s="2" t="s">
        <v>6559</v>
      </c>
      <c r="K822" s="2" t="s">
        <v>20156</v>
      </c>
      <c r="L822" s="10" t="s">
        <v>20157</v>
      </c>
    </row>
    <row r="823">
      <c r="A823" s="2" t="s">
        <v>4486</v>
      </c>
      <c r="B823" s="2" t="s">
        <v>20158</v>
      </c>
      <c r="C823" s="2">
        <v>1.57618775E9</v>
      </c>
      <c r="D823" s="2" t="s">
        <v>20159</v>
      </c>
      <c r="E823" s="2">
        <v>696370.0</v>
      </c>
      <c r="F823" s="2">
        <v>15.0</v>
      </c>
      <c r="G823" s="2">
        <v>2895.0</v>
      </c>
      <c r="H823" s="2" t="s">
        <v>5906</v>
      </c>
      <c r="I823" s="2" t="s">
        <v>5906</v>
      </c>
      <c r="J823" s="2" t="s">
        <v>5391</v>
      </c>
      <c r="K823" s="2" t="s">
        <v>20160</v>
      </c>
    </row>
    <row r="824">
      <c r="A824" s="2" t="s">
        <v>4486</v>
      </c>
      <c r="B824" s="2" t="s">
        <v>20161</v>
      </c>
      <c r="C824" s="2">
        <v>4.8741029187E10</v>
      </c>
      <c r="D824" s="2" t="s">
        <v>20162</v>
      </c>
      <c r="E824" s="2">
        <v>21552.0</v>
      </c>
      <c r="F824" s="2">
        <v>0.0</v>
      </c>
      <c r="G824" s="2">
        <v>426.0</v>
      </c>
      <c r="H824" s="2" t="s">
        <v>5906</v>
      </c>
      <c r="I824" s="2" t="s">
        <v>5906</v>
      </c>
      <c r="J824" s="2" t="s">
        <v>6559</v>
      </c>
      <c r="K824" s="2" t="s">
        <v>20163</v>
      </c>
      <c r="L824" s="10" t="s">
        <v>20164</v>
      </c>
    </row>
    <row r="825">
      <c r="A825" s="2" t="s">
        <v>4486</v>
      </c>
      <c r="B825" s="2" t="s">
        <v>20165</v>
      </c>
      <c r="C825" s="2">
        <v>2.33763277E8</v>
      </c>
      <c r="D825" s="2" t="s">
        <v>20166</v>
      </c>
      <c r="E825" s="2">
        <v>416097.0</v>
      </c>
      <c r="F825" s="2">
        <v>2.0</v>
      </c>
      <c r="G825" s="2">
        <v>2294.0</v>
      </c>
      <c r="H825" s="2" t="s">
        <v>5905</v>
      </c>
      <c r="I825" s="2" t="s">
        <v>5906</v>
      </c>
      <c r="J825" s="2" t="s">
        <v>18813</v>
      </c>
      <c r="K825" s="2" t="s">
        <v>20167</v>
      </c>
      <c r="L825" s="10" t="s">
        <v>20168</v>
      </c>
    </row>
    <row r="826">
      <c r="A826" s="2" t="s">
        <v>4486</v>
      </c>
      <c r="B826" s="2" t="s">
        <v>20169</v>
      </c>
      <c r="C826" s="2">
        <v>4.8360959062E10</v>
      </c>
      <c r="D826" s="2" t="s">
        <v>20170</v>
      </c>
      <c r="E826" s="2">
        <v>191846.0</v>
      </c>
      <c r="F826" s="2">
        <v>56.0</v>
      </c>
      <c r="G826" s="2">
        <v>569.0</v>
      </c>
      <c r="H826" s="2" t="s">
        <v>5905</v>
      </c>
      <c r="I826" s="2" t="s">
        <v>5906</v>
      </c>
      <c r="J826" s="2" t="s">
        <v>6559</v>
      </c>
      <c r="K826" s="2" t="s">
        <v>20171</v>
      </c>
      <c r="L826" s="10" t="s">
        <v>20172</v>
      </c>
    </row>
    <row r="827">
      <c r="A827" s="2" t="s">
        <v>4486</v>
      </c>
      <c r="B827" s="2" t="s">
        <v>20173</v>
      </c>
      <c r="C827" s="2">
        <v>1.239667797E9</v>
      </c>
      <c r="D827" s="2" t="s">
        <v>20174</v>
      </c>
      <c r="E827" s="2">
        <v>41128.0</v>
      </c>
      <c r="F827" s="2">
        <v>339.0</v>
      </c>
      <c r="G827" s="2">
        <v>1468.0</v>
      </c>
      <c r="H827" s="2" t="s">
        <v>5905</v>
      </c>
      <c r="I827" s="2" t="s">
        <v>5905</v>
      </c>
      <c r="J827" s="2" t="s">
        <v>6559</v>
      </c>
      <c r="K827" s="2" t="s">
        <v>20175</v>
      </c>
      <c r="L827" s="10" t="s">
        <v>20176</v>
      </c>
    </row>
    <row r="828">
      <c r="A828" s="2" t="s">
        <v>4486</v>
      </c>
      <c r="B828" s="2" t="s">
        <v>20177</v>
      </c>
      <c r="C828" s="2">
        <v>2.90115357E8</v>
      </c>
      <c r="D828" s="2" t="s">
        <v>20178</v>
      </c>
      <c r="E828" s="2">
        <v>333902.0</v>
      </c>
      <c r="F828" s="2">
        <v>460.0</v>
      </c>
      <c r="G828" s="2">
        <v>3106.0</v>
      </c>
      <c r="H828" s="2" t="s">
        <v>5906</v>
      </c>
      <c r="I828" s="2" t="s">
        <v>5906</v>
      </c>
      <c r="J828" s="2" t="s">
        <v>6559</v>
      </c>
      <c r="K828" s="2" t="s">
        <v>20179</v>
      </c>
      <c r="L828" s="10" t="s">
        <v>20180</v>
      </c>
    </row>
    <row r="829">
      <c r="A829" s="2" t="s">
        <v>4486</v>
      </c>
      <c r="B829" s="2" t="s">
        <v>20181</v>
      </c>
      <c r="C829" s="2">
        <v>6.1594249786E10</v>
      </c>
      <c r="D829" s="2" t="s">
        <v>20182</v>
      </c>
      <c r="E829" s="2">
        <v>13321.0</v>
      </c>
      <c r="F829" s="2">
        <v>120.0</v>
      </c>
      <c r="G829" s="2">
        <v>205.0</v>
      </c>
      <c r="H829" s="2" t="s">
        <v>5906</v>
      </c>
      <c r="I829" s="2" t="s">
        <v>5906</v>
      </c>
      <c r="J829" s="2" t="s">
        <v>6559</v>
      </c>
      <c r="K829" s="2" t="s">
        <v>20183</v>
      </c>
      <c r="L829" s="10" t="s">
        <v>20184</v>
      </c>
    </row>
    <row r="830">
      <c r="A830" s="2" t="s">
        <v>4486</v>
      </c>
      <c r="B830" s="2" t="s">
        <v>20185</v>
      </c>
      <c r="C830" s="2">
        <v>4.8263345832E10</v>
      </c>
      <c r="D830" s="2" t="s">
        <v>20186</v>
      </c>
      <c r="E830" s="2">
        <v>14324.0</v>
      </c>
      <c r="F830" s="2">
        <v>458.0</v>
      </c>
      <c r="G830" s="2">
        <v>354.0</v>
      </c>
      <c r="H830" s="2" t="s">
        <v>5906</v>
      </c>
      <c r="I830" s="2" t="s">
        <v>5906</v>
      </c>
      <c r="J830" s="2" t="s">
        <v>12715</v>
      </c>
      <c r="K830" s="2" t="s">
        <v>20187</v>
      </c>
      <c r="L830" s="10" t="s">
        <v>20188</v>
      </c>
    </row>
    <row r="831">
      <c r="A831" s="2" t="s">
        <v>4486</v>
      </c>
      <c r="B831" s="2" t="s">
        <v>20189</v>
      </c>
      <c r="C831" s="2">
        <v>2.253835722E9</v>
      </c>
      <c r="D831" s="2" t="s">
        <v>20190</v>
      </c>
      <c r="E831" s="2">
        <v>198875.0</v>
      </c>
      <c r="F831" s="2">
        <v>5131.0</v>
      </c>
      <c r="G831" s="2">
        <v>5286.0</v>
      </c>
      <c r="H831" s="2" t="s">
        <v>5905</v>
      </c>
      <c r="I831" s="2" t="s">
        <v>5905</v>
      </c>
      <c r="J831" s="2" t="s">
        <v>9263</v>
      </c>
      <c r="K831" s="2" t="s">
        <v>20191</v>
      </c>
      <c r="L831" s="10" t="s">
        <v>20192</v>
      </c>
    </row>
    <row r="832">
      <c r="A832" s="2" t="s">
        <v>4509</v>
      </c>
      <c r="B832" s="2" t="s">
        <v>20193</v>
      </c>
      <c r="C832" s="2">
        <v>4.680989623E9</v>
      </c>
      <c r="D832" s="2" t="s">
        <v>20194</v>
      </c>
      <c r="E832" s="2">
        <v>3179454.0</v>
      </c>
      <c r="F832" s="2">
        <v>751.0</v>
      </c>
      <c r="G832" s="2">
        <v>6267.0</v>
      </c>
      <c r="H832" s="2" t="s">
        <v>5906</v>
      </c>
      <c r="I832" s="2" t="s">
        <v>5906</v>
      </c>
      <c r="J832" s="2" t="s">
        <v>5480</v>
      </c>
      <c r="K832" s="2" t="s">
        <v>20195</v>
      </c>
    </row>
    <row r="833">
      <c r="A833" s="2" t="s">
        <v>4509</v>
      </c>
      <c r="B833" s="2" t="s">
        <v>20196</v>
      </c>
      <c r="C833" s="2">
        <v>5.862604133E9</v>
      </c>
      <c r="D833" s="2" t="s">
        <v>20197</v>
      </c>
      <c r="E833" s="2">
        <v>5295734.0</v>
      </c>
      <c r="F833" s="2">
        <v>561.0</v>
      </c>
      <c r="G833" s="2">
        <v>4785.0</v>
      </c>
      <c r="H833" s="2" t="s">
        <v>5906</v>
      </c>
      <c r="I833" s="2" t="s">
        <v>5905</v>
      </c>
      <c r="J833" s="2" t="s">
        <v>5561</v>
      </c>
      <c r="K833" s="2" t="s">
        <v>20198</v>
      </c>
    </row>
    <row r="834">
      <c r="A834" s="2" t="s">
        <v>4509</v>
      </c>
      <c r="B834" s="2" t="s">
        <v>20199</v>
      </c>
      <c r="C834" s="2">
        <v>1.1789586281E10</v>
      </c>
      <c r="D834" s="2" t="s">
        <v>20200</v>
      </c>
      <c r="E834" s="2">
        <v>16551.0</v>
      </c>
      <c r="F834" s="2">
        <v>58.0</v>
      </c>
      <c r="G834" s="2">
        <v>220.0</v>
      </c>
      <c r="H834" s="2" t="s">
        <v>5905</v>
      </c>
      <c r="I834" s="2" t="s">
        <v>5906</v>
      </c>
      <c r="J834" s="2" t="s">
        <v>20201</v>
      </c>
      <c r="K834" s="2" t="s">
        <v>20202</v>
      </c>
      <c r="L834" s="10" t="s">
        <v>20203</v>
      </c>
    </row>
    <row r="835">
      <c r="A835" s="2" t="s">
        <v>4509</v>
      </c>
      <c r="B835" s="10" t="s">
        <v>20204</v>
      </c>
      <c r="C835" s="2">
        <v>7.551182652E9</v>
      </c>
      <c r="D835" s="2" t="s">
        <v>20205</v>
      </c>
      <c r="E835" s="2">
        <v>11935.0</v>
      </c>
      <c r="F835" s="2">
        <v>1.0</v>
      </c>
      <c r="G835" s="2">
        <v>114.0</v>
      </c>
      <c r="H835" s="2" t="s">
        <v>5905</v>
      </c>
      <c r="I835" s="2" t="s">
        <v>5905</v>
      </c>
      <c r="J835" s="2" t="s">
        <v>5480</v>
      </c>
      <c r="K835" s="2" t="s">
        <v>20206</v>
      </c>
    </row>
    <row r="836">
      <c r="A836" s="2" t="s">
        <v>4509</v>
      </c>
      <c r="B836" s="2" t="s">
        <v>20207</v>
      </c>
      <c r="C836" s="2">
        <v>5.0956112979E10</v>
      </c>
      <c r="D836" s="2" t="s">
        <v>20208</v>
      </c>
      <c r="E836" s="2">
        <v>1695893.0</v>
      </c>
      <c r="F836" s="2">
        <v>218.0</v>
      </c>
      <c r="G836" s="2">
        <v>1020.0</v>
      </c>
      <c r="H836" s="2" t="s">
        <v>5906</v>
      </c>
      <c r="I836" s="2" t="s">
        <v>5905</v>
      </c>
      <c r="J836" s="2" t="s">
        <v>5561</v>
      </c>
      <c r="K836" s="2" t="s">
        <v>20209</v>
      </c>
      <c r="L836" s="10" t="s">
        <v>20210</v>
      </c>
    </row>
    <row r="837">
      <c r="A837" s="2" t="s">
        <v>4509</v>
      </c>
      <c r="B837" s="2" t="s">
        <v>20211</v>
      </c>
      <c r="C837" s="2">
        <v>2.220153329E9</v>
      </c>
      <c r="D837" s="2" t="s">
        <v>20212</v>
      </c>
      <c r="E837" s="2">
        <v>3949500.0</v>
      </c>
      <c r="F837" s="2">
        <v>424.0</v>
      </c>
      <c r="G837" s="2">
        <v>1802.0</v>
      </c>
      <c r="H837" s="2" t="s">
        <v>5906</v>
      </c>
      <c r="I837" s="2" t="s">
        <v>5906</v>
      </c>
      <c r="J837" s="2" t="s">
        <v>5480</v>
      </c>
      <c r="K837" s="2" t="s">
        <v>20213</v>
      </c>
    </row>
    <row r="838">
      <c r="A838" s="2" t="s">
        <v>4509</v>
      </c>
      <c r="B838" s="2" t="s">
        <v>20214</v>
      </c>
      <c r="C838" s="2">
        <v>4.869427652E10</v>
      </c>
      <c r="D838" s="2" t="s">
        <v>20215</v>
      </c>
      <c r="E838" s="2">
        <v>380088.0</v>
      </c>
      <c r="F838" s="2">
        <v>55.0</v>
      </c>
      <c r="G838" s="2">
        <v>1042.0</v>
      </c>
      <c r="H838" s="2" t="s">
        <v>5906</v>
      </c>
      <c r="I838" s="2" t="s">
        <v>5905</v>
      </c>
      <c r="J838" s="2" t="s">
        <v>7620</v>
      </c>
      <c r="K838" s="2" t="s">
        <v>20216</v>
      </c>
      <c r="L838" s="10" t="s">
        <v>20217</v>
      </c>
    </row>
    <row r="839">
      <c r="A839" s="2" t="s">
        <v>4496</v>
      </c>
      <c r="B839" s="2" t="s">
        <v>20218</v>
      </c>
      <c r="C839" s="2">
        <v>1.489542298E10</v>
      </c>
      <c r="D839" s="2" t="s">
        <v>20219</v>
      </c>
      <c r="E839" s="2">
        <v>1048144.0</v>
      </c>
      <c r="F839" s="2">
        <v>97.0</v>
      </c>
      <c r="G839" s="2">
        <v>1239.0</v>
      </c>
      <c r="H839" s="2" t="s">
        <v>5906</v>
      </c>
      <c r="I839" s="2" t="s">
        <v>5905</v>
      </c>
      <c r="J839" s="2" t="s">
        <v>6073</v>
      </c>
      <c r="K839" s="2" t="s">
        <v>20220</v>
      </c>
      <c r="L839" s="10" t="s">
        <v>20221</v>
      </c>
    </row>
    <row r="840">
      <c r="A840" s="2" t="s">
        <v>4496</v>
      </c>
      <c r="B840" s="2" t="s">
        <v>20222</v>
      </c>
      <c r="C840" s="2">
        <v>4.7173182058E10</v>
      </c>
      <c r="D840" s="2" t="s">
        <v>20223</v>
      </c>
      <c r="E840" s="2">
        <v>128274.0</v>
      </c>
      <c r="F840" s="2">
        <v>736.0</v>
      </c>
      <c r="G840" s="2">
        <v>421.0</v>
      </c>
      <c r="H840" s="2" t="s">
        <v>5905</v>
      </c>
      <c r="I840" s="2" t="s">
        <v>5905</v>
      </c>
      <c r="J840" s="2" t="s">
        <v>5391</v>
      </c>
      <c r="K840" s="2" t="s">
        <v>20224</v>
      </c>
    </row>
    <row r="841">
      <c r="A841" s="2" t="s">
        <v>4496</v>
      </c>
      <c r="B841" s="2" t="s">
        <v>20225</v>
      </c>
      <c r="C841" s="2">
        <v>6.236840574E9</v>
      </c>
      <c r="D841" s="2" t="s">
        <v>20226</v>
      </c>
      <c r="E841" s="2">
        <v>80297.0</v>
      </c>
      <c r="F841" s="2">
        <v>78.0</v>
      </c>
      <c r="G841" s="2">
        <v>213.0</v>
      </c>
      <c r="H841" s="2" t="s">
        <v>5905</v>
      </c>
      <c r="I841" s="2" t="s">
        <v>5905</v>
      </c>
      <c r="J841" s="2" t="s">
        <v>5993</v>
      </c>
      <c r="K841" s="2" t="s">
        <v>20227</v>
      </c>
      <c r="L841" s="10" t="s">
        <v>20228</v>
      </c>
    </row>
    <row r="842">
      <c r="A842" s="2" t="s">
        <v>4496</v>
      </c>
      <c r="B842" s="2" t="s">
        <v>20229</v>
      </c>
      <c r="C842" s="2">
        <v>3.22426622E8</v>
      </c>
      <c r="D842" s="2" t="s">
        <v>20230</v>
      </c>
      <c r="E842" s="2">
        <v>181743.0</v>
      </c>
      <c r="F842" s="2">
        <v>91.0</v>
      </c>
      <c r="G842" s="2">
        <v>1381.0</v>
      </c>
      <c r="H842" s="2" t="s">
        <v>5905</v>
      </c>
      <c r="I842" s="2" t="s">
        <v>5905</v>
      </c>
      <c r="J842" s="2" t="s">
        <v>13634</v>
      </c>
      <c r="K842" s="2" t="s">
        <v>20231</v>
      </c>
      <c r="L842" s="10" t="s">
        <v>20232</v>
      </c>
    </row>
    <row r="843">
      <c r="A843" s="2" t="s">
        <v>4496</v>
      </c>
      <c r="B843" s="2" t="s">
        <v>20233</v>
      </c>
      <c r="C843" s="2">
        <v>6.2861201297E10</v>
      </c>
      <c r="D843" s="2" t="s">
        <v>20234</v>
      </c>
      <c r="E843" s="2">
        <v>144774.0</v>
      </c>
      <c r="F843" s="2">
        <v>133.0</v>
      </c>
      <c r="G843" s="2">
        <v>1024.0</v>
      </c>
      <c r="H843" s="2" t="s">
        <v>5905</v>
      </c>
      <c r="I843" s="2" t="s">
        <v>5905</v>
      </c>
      <c r="J843" s="2" t="s">
        <v>6073</v>
      </c>
      <c r="K843" s="2" t="s">
        <v>20235</v>
      </c>
      <c r="L843" s="10" t="s">
        <v>20236</v>
      </c>
    </row>
    <row r="844">
      <c r="A844" s="2" t="s">
        <v>4496</v>
      </c>
      <c r="B844" s="2" t="s">
        <v>20237</v>
      </c>
      <c r="C844" s="2">
        <v>7.2103959993E10</v>
      </c>
      <c r="D844" s="2" t="s">
        <v>20238</v>
      </c>
      <c r="E844" s="2">
        <v>92431.0</v>
      </c>
      <c r="F844" s="2">
        <v>43.0</v>
      </c>
      <c r="G844" s="2">
        <v>169.0</v>
      </c>
      <c r="H844" s="2" t="s">
        <v>5905</v>
      </c>
      <c r="I844" s="2" t="s">
        <v>5905</v>
      </c>
      <c r="J844" s="2" t="s">
        <v>6073</v>
      </c>
      <c r="K844" s="2" t="s">
        <v>20239</v>
      </c>
      <c r="L844" s="10" t="s">
        <v>20240</v>
      </c>
    </row>
    <row r="845">
      <c r="A845" s="2" t="s">
        <v>4496</v>
      </c>
      <c r="B845" s="2" t="s">
        <v>20241</v>
      </c>
      <c r="C845" s="2">
        <v>5.739311234E10</v>
      </c>
      <c r="D845" s="2" t="s">
        <v>20242</v>
      </c>
      <c r="E845" s="2">
        <v>81903.0</v>
      </c>
      <c r="F845" s="2">
        <v>13.0</v>
      </c>
      <c r="G845" s="2">
        <v>42.0</v>
      </c>
      <c r="H845" s="2" t="s">
        <v>5905</v>
      </c>
      <c r="I845" s="2" t="s">
        <v>5905</v>
      </c>
      <c r="J845" s="2" t="s">
        <v>6073</v>
      </c>
      <c r="K845" s="2" t="s">
        <v>20243</v>
      </c>
      <c r="L845" s="10" t="s">
        <v>20244</v>
      </c>
    </row>
    <row r="846">
      <c r="A846" s="2" t="s">
        <v>4496</v>
      </c>
      <c r="B846" s="2" t="s">
        <v>20245</v>
      </c>
      <c r="C846" s="2">
        <v>9.185526865E9</v>
      </c>
      <c r="D846" s="12" t="s">
        <v>20246</v>
      </c>
      <c r="E846" s="2">
        <v>1506225.0</v>
      </c>
      <c r="F846" s="2">
        <v>302.0</v>
      </c>
      <c r="G846" s="2">
        <v>565.0</v>
      </c>
      <c r="H846" s="2" t="s">
        <v>5906</v>
      </c>
      <c r="I846" s="2" t="s">
        <v>5905</v>
      </c>
      <c r="J846" s="2" t="s">
        <v>20247</v>
      </c>
      <c r="K846" s="12" t="s">
        <v>20248</v>
      </c>
      <c r="L846" s="10" t="s">
        <v>20249</v>
      </c>
    </row>
    <row r="847">
      <c r="A847" s="2" t="s">
        <v>4496</v>
      </c>
      <c r="B847" s="10" t="s">
        <v>20250</v>
      </c>
      <c r="C847" s="2">
        <v>5.661509479E10</v>
      </c>
      <c r="D847" s="2" t="s">
        <v>20251</v>
      </c>
      <c r="E847" s="2">
        <v>1397485.0</v>
      </c>
      <c r="F847" s="2">
        <v>15.0</v>
      </c>
      <c r="G847" s="2">
        <v>1070.0</v>
      </c>
      <c r="H847" s="2" t="s">
        <v>5906</v>
      </c>
      <c r="I847" s="2" t="s">
        <v>5905</v>
      </c>
      <c r="J847" s="2" t="s">
        <v>6073</v>
      </c>
      <c r="K847" s="2" t="s">
        <v>20252</v>
      </c>
    </row>
    <row r="848">
      <c r="A848" s="2" t="s">
        <v>4496</v>
      </c>
      <c r="B848" s="2" t="s">
        <v>20253</v>
      </c>
      <c r="C848" s="2">
        <v>4.7704745772E10</v>
      </c>
      <c r="D848" s="2" t="s">
        <v>20254</v>
      </c>
      <c r="E848" s="2">
        <v>226570.0</v>
      </c>
      <c r="F848" s="2">
        <v>114.0</v>
      </c>
      <c r="G848" s="2">
        <v>1770.0</v>
      </c>
      <c r="H848" s="2" t="s">
        <v>5906</v>
      </c>
      <c r="I848" s="2" t="s">
        <v>5905</v>
      </c>
      <c r="J848" s="2" t="s">
        <v>5480</v>
      </c>
      <c r="K848" s="2" t="s">
        <v>20255</v>
      </c>
      <c r="L848" s="10" t="s">
        <v>20256</v>
      </c>
    </row>
    <row r="849">
      <c r="A849" s="2" t="s">
        <v>4496</v>
      </c>
      <c r="B849" s="2" t="s">
        <v>20257</v>
      </c>
      <c r="C849" s="2">
        <v>3.8330078993E10</v>
      </c>
      <c r="D849" s="2" t="s">
        <v>20258</v>
      </c>
      <c r="E849" s="2">
        <v>312894.0</v>
      </c>
      <c r="F849" s="2">
        <v>385.0</v>
      </c>
      <c r="G849" s="2">
        <v>1128.0</v>
      </c>
      <c r="H849" s="2" t="s">
        <v>5906</v>
      </c>
      <c r="I849" s="2" t="s">
        <v>5905</v>
      </c>
      <c r="J849" s="2" t="s">
        <v>20259</v>
      </c>
      <c r="K849" s="2" t="s">
        <v>20260</v>
      </c>
      <c r="L849" s="10" t="s">
        <v>20261</v>
      </c>
    </row>
    <row r="850">
      <c r="A850" s="2" t="s">
        <v>4496</v>
      </c>
      <c r="B850" s="2" t="s">
        <v>20262</v>
      </c>
      <c r="C850" s="2">
        <v>5.343012897E9</v>
      </c>
      <c r="D850" s="2" t="s">
        <v>20263</v>
      </c>
      <c r="E850" s="2">
        <v>652500.0</v>
      </c>
      <c r="F850" s="2">
        <v>203.0</v>
      </c>
      <c r="G850" s="2">
        <v>8108.0</v>
      </c>
      <c r="H850" s="2" t="s">
        <v>5906</v>
      </c>
      <c r="I850" s="2" t="s">
        <v>5905</v>
      </c>
      <c r="J850" s="2" t="s">
        <v>5911</v>
      </c>
      <c r="K850" s="2" t="s">
        <v>20264</v>
      </c>
      <c r="L850" s="10" t="s">
        <v>20265</v>
      </c>
    </row>
    <row r="851">
      <c r="A851" s="2" t="s">
        <v>4496</v>
      </c>
      <c r="B851" s="2" t="s">
        <v>20266</v>
      </c>
      <c r="C851" s="2">
        <v>7.030230615E9</v>
      </c>
      <c r="D851" s="2" t="s">
        <v>20267</v>
      </c>
      <c r="E851" s="2">
        <v>1024336.0</v>
      </c>
      <c r="F851" s="2">
        <v>1491.0</v>
      </c>
      <c r="G851" s="2">
        <v>9646.0</v>
      </c>
      <c r="H851" s="2" t="s">
        <v>5906</v>
      </c>
      <c r="I851" s="2" t="s">
        <v>5906</v>
      </c>
      <c r="J851" s="2" t="s">
        <v>5561</v>
      </c>
      <c r="K851" s="2" t="s">
        <v>20268</v>
      </c>
      <c r="L851" s="10" t="s">
        <v>20269</v>
      </c>
    </row>
    <row r="852">
      <c r="A852" s="2" t="s">
        <v>4496</v>
      </c>
      <c r="B852" s="2" t="s">
        <v>20270</v>
      </c>
      <c r="C852" s="2">
        <v>4.434202288E10</v>
      </c>
      <c r="D852" s="2" t="s">
        <v>20271</v>
      </c>
      <c r="E852" s="2">
        <v>154819.0</v>
      </c>
      <c r="F852" s="2">
        <v>4.0</v>
      </c>
      <c r="G852" s="2">
        <v>3206.0</v>
      </c>
      <c r="H852" s="2" t="s">
        <v>5906</v>
      </c>
      <c r="I852" s="2" t="s">
        <v>5906</v>
      </c>
      <c r="J852" s="2" t="s">
        <v>5907</v>
      </c>
      <c r="K852" s="2" t="s">
        <v>20272</v>
      </c>
      <c r="L852" s="10" t="s">
        <v>20273</v>
      </c>
    </row>
    <row r="853">
      <c r="A853" s="2" t="s">
        <v>4496</v>
      </c>
      <c r="B853" s="2" t="s">
        <v>12817</v>
      </c>
      <c r="C853" s="2">
        <v>1.641677778E9</v>
      </c>
      <c r="D853" s="2" t="s">
        <v>5461</v>
      </c>
      <c r="E853" s="2">
        <v>1632783.0</v>
      </c>
      <c r="F853" s="2">
        <v>29.0</v>
      </c>
      <c r="G853" s="2">
        <v>16002.0</v>
      </c>
      <c r="H853" s="2" t="s">
        <v>5906</v>
      </c>
      <c r="I853" s="2" t="s">
        <v>5906</v>
      </c>
      <c r="J853" s="2" t="s">
        <v>8013</v>
      </c>
      <c r="K853" s="2" t="s">
        <v>12818</v>
      </c>
      <c r="L853" s="10" t="s">
        <v>12819</v>
      </c>
    </row>
    <row r="854">
      <c r="A854" s="2" t="s">
        <v>4496</v>
      </c>
      <c r="B854" s="2" t="s">
        <v>20274</v>
      </c>
      <c r="C854" s="2">
        <v>6.3189746346E10</v>
      </c>
      <c r="D854" s="2" t="s">
        <v>20275</v>
      </c>
      <c r="E854" s="2">
        <v>398994.0</v>
      </c>
      <c r="F854" s="2">
        <v>165.0</v>
      </c>
      <c r="G854" s="2">
        <v>1236.0</v>
      </c>
      <c r="H854" s="2" t="s">
        <v>5905</v>
      </c>
      <c r="I854" s="2" t="s">
        <v>5905</v>
      </c>
      <c r="J854" s="2" t="s">
        <v>13634</v>
      </c>
      <c r="K854" s="2" t="s">
        <v>20276</v>
      </c>
      <c r="L854" s="10" t="s">
        <v>20277</v>
      </c>
    </row>
    <row r="855">
      <c r="A855" s="2" t="s">
        <v>4496</v>
      </c>
      <c r="B855" s="2" t="s">
        <v>20278</v>
      </c>
      <c r="C855" s="2">
        <v>7.5874486718E10</v>
      </c>
      <c r="D855" s="2" t="s">
        <v>20279</v>
      </c>
      <c r="E855" s="2">
        <v>16173.0</v>
      </c>
      <c r="F855" s="2">
        <v>7.0</v>
      </c>
      <c r="G855" s="2">
        <v>142.0</v>
      </c>
      <c r="H855" s="2" t="s">
        <v>5906</v>
      </c>
      <c r="I855" s="2" t="s">
        <v>5905</v>
      </c>
      <c r="K855" s="2" t="s">
        <v>20280</v>
      </c>
      <c r="L855" s="10" t="s">
        <v>20281</v>
      </c>
    </row>
    <row r="856">
      <c r="A856" s="2" t="s">
        <v>4496</v>
      </c>
      <c r="B856" s="2" t="s">
        <v>20282</v>
      </c>
      <c r="C856" s="2">
        <v>6.9434108341E10</v>
      </c>
      <c r="D856" s="2" t="s">
        <v>20283</v>
      </c>
      <c r="E856" s="2">
        <v>191768.0</v>
      </c>
      <c r="F856" s="2">
        <v>1.0</v>
      </c>
      <c r="G856" s="2">
        <v>74.0</v>
      </c>
      <c r="H856" s="2" t="s">
        <v>5906</v>
      </c>
      <c r="I856" s="2" t="s">
        <v>5906</v>
      </c>
      <c r="J856" s="2" t="s">
        <v>5968</v>
      </c>
      <c r="K856" s="2" t="s">
        <v>20284</v>
      </c>
      <c r="L856" s="10" t="s">
        <v>20285</v>
      </c>
    </row>
    <row r="857">
      <c r="A857" s="2" t="s">
        <v>4678</v>
      </c>
      <c r="B857" s="2" t="s">
        <v>20286</v>
      </c>
      <c r="C857" s="2">
        <v>5.1796485388E10</v>
      </c>
      <c r="D857" s="2" t="s">
        <v>20287</v>
      </c>
      <c r="E857" s="2">
        <v>370290.0</v>
      </c>
      <c r="F857" s="2">
        <v>3.0</v>
      </c>
      <c r="G857" s="2">
        <v>11915.0</v>
      </c>
      <c r="H857" s="2" t="s">
        <v>5906</v>
      </c>
      <c r="I857" s="2" t="s">
        <v>5906</v>
      </c>
      <c r="J857" s="2" t="s">
        <v>5911</v>
      </c>
      <c r="K857" s="12" t="s">
        <v>20288</v>
      </c>
      <c r="L857" s="10" t="s">
        <v>20289</v>
      </c>
    </row>
    <row r="858">
      <c r="A858" s="2" t="s">
        <v>4678</v>
      </c>
      <c r="B858" s="2" t="s">
        <v>20290</v>
      </c>
      <c r="C858" s="2">
        <v>5.7715683196E10</v>
      </c>
      <c r="D858" s="2" t="s">
        <v>20291</v>
      </c>
      <c r="E858" s="2">
        <v>97315.0</v>
      </c>
      <c r="F858" s="2">
        <v>757.0</v>
      </c>
      <c r="G858" s="2">
        <v>127.0</v>
      </c>
      <c r="H858" s="2" t="s">
        <v>5906</v>
      </c>
      <c r="I858" s="2" t="s">
        <v>5905</v>
      </c>
      <c r="J858" s="2" t="s">
        <v>5391</v>
      </c>
      <c r="K858" s="2" t="s">
        <v>20292</v>
      </c>
      <c r="L858" s="10" t="s">
        <v>20293</v>
      </c>
    </row>
    <row r="859">
      <c r="A859" s="2" t="s">
        <v>4678</v>
      </c>
      <c r="B859" s="10" t="s">
        <v>20294</v>
      </c>
      <c r="C859" s="2">
        <v>5.2057548346E10</v>
      </c>
      <c r="D859" s="2" t="s">
        <v>20295</v>
      </c>
      <c r="E859" s="2">
        <v>175425.0</v>
      </c>
      <c r="F859" s="2">
        <v>190.0</v>
      </c>
      <c r="G859" s="2">
        <v>92.0</v>
      </c>
      <c r="H859" s="2" t="s">
        <v>5905</v>
      </c>
      <c r="I859" s="2" t="s">
        <v>5905</v>
      </c>
      <c r="J859" s="2" t="s">
        <v>5391</v>
      </c>
      <c r="K859" s="2" t="s">
        <v>20296</v>
      </c>
      <c r="L859" s="10" t="s">
        <v>20297</v>
      </c>
    </row>
    <row r="860">
      <c r="A860" s="2" t="s">
        <v>4678</v>
      </c>
      <c r="B860" s="2" t="s">
        <v>20298</v>
      </c>
      <c r="C860" s="2">
        <v>5.566859205E9</v>
      </c>
      <c r="D860" s="2" t="s">
        <v>20299</v>
      </c>
      <c r="E860" s="2">
        <v>282723.0</v>
      </c>
      <c r="F860" s="2">
        <v>41.0</v>
      </c>
      <c r="G860" s="2">
        <v>2204.0</v>
      </c>
      <c r="H860" s="2" t="s">
        <v>5905</v>
      </c>
      <c r="I860" s="2" t="s">
        <v>5906</v>
      </c>
      <c r="K860" s="2" t="s">
        <v>20300</v>
      </c>
    </row>
    <row r="861">
      <c r="A861" s="2" t="s">
        <v>4623</v>
      </c>
      <c r="B861" s="2" t="s">
        <v>20301</v>
      </c>
      <c r="C861" s="2">
        <v>6.3137312359E10</v>
      </c>
      <c r="D861" s="2" t="s">
        <v>20302</v>
      </c>
      <c r="E861" s="2">
        <v>216479.0</v>
      </c>
      <c r="F861" s="2">
        <v>1.0</v>
      </c>
      <c r="G861" s="2">
        <v>55.0</v>
      </c>
      <c r="H861" s="2" t="s">
        <v>5905</v>
      </c>
      <c r="I861" s="2" t="s">
        <v>5906</v>
      </c>
      <c r="J861" s="2" t="s">
        <v>7140</v>
      </c>
      <c r="K861" s="2" t="s">
        <v>20303</v>
      </c>
      <c r="L861" s="10" t="s">
        <v>20304</v>
      </c>
    </row>
    <row r="862">
      <c r="A862" s="2" t="s">
        <v>4623</v>
      </c>
      <c r="B862" s="2" t="s">
        <v>20305</v>
      </c>
      <c r="C862" s="2">
        <v>1.278299805E9</v>
      </c>
      <c r="D862" s="2" t="s">
        <v>20306</v>
      </c>
      <c r="E862" s="2">
        <v>24128.0</v>
      </c>
      <c r="F862" s="2">
        <v>1676.0</v>
      </c>
      <c r="G862" s="2">
        <v>2280.0</v>
      </c>
      <c r="H862" s="2" t="s">
        <v>5905</v>
      </c>
      <c r="I862" s="2" t="s">
        <v>5906</v>
      </c>
      <c r="K862" s="2" t="s">
        <v>20307</v>
      </c>
      <c r="L862" s="10" t="s">
        <v>20308</v>
      </c>
    </row>
    <row r="863">
      <c r="A863" s="2" t="s">
        <v>4416</v>
      </c>
      <c r="B863" s="2" t="s">
        <v>20309</v>
      </c>
      <c r="C863" s="2">
        <v>4.449802837E9</v>
      </c>
      <c r="D863" s="2" t="s">
        <v>20310</v>
      </c>
      <c r="E863" s="2">
        <v>21648.0</v>
      </c>
      <c r="F863" s="2">
        <v>1266.0</v>
      </c>
      <c r="G863" s="2">
        <v>159.0</v>
      </c>
      <c r="H863" s="2" t="s">
        <v>5905</v>
      </c>
      <c r="I863" s="2" t="s">
        <v>5905</v>
      </c>
      <c r="K863" s="2" t="s">
        <v>20311</v>
      </c>
    </row>
    <row r="864">
      <c r="A864" s="2" t="s">
        <v>4416</v>
      </c>
      <c r="B864" s="2" t="s">
        <v>20312</v>
      </c>
      <c r="C864" s="2">
        <v>4.824032137E10</v>
      </c>
      <c r="D864" s="2" t="s">
        <v>20313</v>
      </c>
      <c r="E864" s="2">
        <v>55599.0</v>
      </c>
      <c r="F864" s="2">
        <v>62.0</v>
      </c>
      <c r="G864" s="2">
        <v>2657.0</v>
      </c>
      <c r="H864" s="2" t="s">
        <v>5905</v>
      </c>
      <c r="I864" s="2" t="s">
        <v>5905</v>
      </c>
      <c r="J864" s="2" t="s">
        <v>7155</v>
      </c>
      <c r="K864" s="2" t="s">
        <v>20314</v>
      </c>
    </row>
    <row r="865">
      <c r="A865" s="2" t="s">
        <v>4416</v>
      </c>
      <c r="B865" s="2" t="s">
        <v>20315</v>
      </c>
      <c r="C865" s="2">
        <v>8.45564763E9</v>
      </c>
      <c r="D865" s="2" t="s">
        <v>20316</v>
      </c>
      <c r="E865" s="2">
        <v>13307.0</v>
      </c>
      <c r="F865" s="2">
        <v>7427.0</v>
      </c>
      <c r="G865" s="2">
        <v>1579.0</v>
      </c>
      <c r="H865" s="2" t="s">
        <v>5905</v>
      </c>
      <c r="I865" s="2" t="s">
        <v>5906</v>
      </c>
      <c r="J865" s="2" t="s">
        <v>5948</v>
      </c>
      <c r="K865" s="2" t="s">
        <v>20317</v>
      </c>
    </row>
    <row r="866">
      <c r="A866" s="2" t="s">
        <v>4767</v>
      </c>
      <c r="B866" s="2" t="s">
        <v>20318</v>
      </c>
      <c r="C866" s="2">
        <v>4.7705417439E10</v>
      </c>
      <c r="D866" s="2" t="s">
        <v>20319</v>
      </c>
      <c r="E866" s="2">
        <v>764115.0</v>
      </c>
      <c r="F866" s="2">
        <v>527.0</v>
      </c>
      <c r="G866" s="2">
        <v>613.0</v>
      </c>
      <c r="H866" s="2" t="s">
        <v>5906</v>
      </c>
      <c r="I866" s="2" t="s">
        <v>5905</v>
      </c>
      <c r="J866" s="2" t="s">
        <v>13677</v>
      </c>
      <c r="K866" s="2" t="s">
        <v>20320</v>
      </c>
      <c r="L866" s="10" t="s">
        <v>20321</v>
      </c>
    </row>
    <row r="867">
      <c r="A867" s="2" t="s">
        <v>4767</v>
      </c>
      <c r="B867" s="2" t="s">
        <v>20322</v>
      </c>
      <c r="C867" s="2">
        <v>1.4512362301E10</v>
      </c>
      <c r="D867" s="2" t="s">
        <v>20323</v>
      </c>
      <c r="E867" s="2">
        <v>172870.0</v>
      </c>
      <c r="F867" s="2">
        <v>5.0</v>
      </c>
      <c r="G867" s="2">
        <v>1696.0</v>
      </c>
      <c r="H867" s="2" t="s">
        <v>5905</v>
      </c>
      <c r="I867" s="2" t="s">
        <v>5906</v>
      </c>
      <c r="J867" s="2" t="s">
        <v>5561</v>
      </c>
      <c r="K867" s="2" t="s">
        <v>20324</v>
      </c>
    </row>
    <row r="868">
      <c r="A868" s="2" t="s">
        <v>4767</v>
      </c>
      <c r="B868" s="2" t="s">
        <v>20325</v>
      </c>
      <c r="C868" s="2">
        <v>5.5127601781E10</v>
      </c>
      <c r="D868" s="2" t="s">
        <v>20323</v>
      </c>
      <c r="E868" s="2">
        <v>96629.0</v>
      </c>
      <c r="F868" s="2">
        <v>5.0</v>
      </c>
      <c r="G868" s="2">
        <v>475.0</v>
      </c>
      <c r="H868" s="2" t="s">
        <v>5905</v>
      </c>
      <c r="I868" s="2" t="s">
        <v>5905</v>
      </c>
      <c r="J868" s="2" t="s">
        <v>5993</v>
      </c>
      <c r="K868" s="2" t="s">
        <v>20326</v>
      </c>
      <c r="L868" s="10" t="s">
        <v>20327</v>
      </c>
    </row>
    <row r="869">
      <c r="A869" s="2" t="s">
        <v>4767</v>
      </c>
      <c r="B869" s="2" t="s">
        <v>20328</v>
      </c>
      <c r="C869" s="2">
        <v>4.8362957902E10</v>
      </c>
      <c r="D869" s="2" t="s">
        <v>20323</v>
      </c>
      <c r="E869" s="2">
        <v>335335.0</v>
      </c>
      <c r="F869" s="2">
        <v>4.0</v>
      </c>
      <c r="G869" s="2">
        <v>6261.0</v>
      </c>
      <c r="H869" s="2" t="s">
        <v>5905</v>
      </c>
      <c r="I869" s="2" t="s">
        <v>5905</v>
      </c>
      <c r="J869" s="2" t="s">
        <v>5959</v>
      </c>
      <c r="K869" s="2" t="s">
        <v>20329</v>
      </c>
      <c r="L869" s="10" t="s">
        <v>20330</v>
      </c>
    </row>
    <row r="870">
      <c r="A870" s="2" t="s">
        <v>4767</v>
      </c>
      <c r="B870" s="2" t="s">
        <v>20331</v>
      </c>
      <c r="C870" s="2">
        <v>7.227891331E10</v>
      </c>
      <c r="D870" s="2" t="s">
        <v>20323</v>
      </c>
      <c r="E870" s="2">
        <v>44066.0</v>
      </c>
      <c r="F870" s="2">
        <v>3.0</v>
      </c>
      <c r="G870" s="2">
        <v>502.0</v>
      </c>
      <c r="H870" s="2" t="s">
        <v>5905</v>
      </c>
      <c r="I870" s="2" t="s">
        <v>5905</v>
      </c>
      <c r="J870" s="2" t="s">
        <v>5959</v>
      </c>
      <c r="K870" s="2" t="s">
        <v>20332</v>
      </c>
    </row>
    <row r="871">
      <c r="A871" s="2" t="s">
        <v>4767</v>
      </c>
      <c r="B871" s="2" t="s">
        <v>20333</v>
      </c>
      <c r="C871" s="2">
        <v>6.6805862088E10</v>
      </c>
      <c r="D871" s="2" t="s">
        <v>20334</v>
      </c>
      <c r="E871" s="2">
        <v>49735.0</v>
      </c>
      <c r="F871" s="2">
        <v>367.0</v>
      </c>
      <c r="G871" s="2">
        <v>214.0</v>
      </c>
      <c r="H871" s="2" t="s">
        <v>5905</v>
      </c>
      <c r="I871" s="2" t="s">
        <v>5905</v>
      </c>
      <c r="J871" s="2" t="s">
        <v>5959</v>
      </c>
      <c r="K871" s="2" t="s">
        <v>20335</v>
      </c>
      <c r="L871" s="10" t="s">
        <v>20336</v>
      </c>
    </row>
    <row r="872">
      <c r="A872" s="2" t="s">
        <v>4535</v>
      </c>
      <c r="B872" s="2" t="s">
        <v>20337</v>
      </c>
      <c r="C872" s="2">
        <v>6.1644436532E10</v>
      </c>
      <c r="D872" s="2" t="s">
        <v>20338</v>
      </c>
      <c r="E872" s="2">
        <v>12667.0</v>
      </c>
      <c r="F872" s="2">
        <v>0.0</v>
      </c>
      <c r="G872" s="2">
        <v>869.0</v>
      </c>
      <c r="H872" s="2" t="s">
        <v>5905</v>
      </c>
      <c r="I872" s="2" t="s">
        <v>5906</v>
      </c>
      <c r="J872" s="2" t="s">
        <v>6002</v>
      </c>
      <c r="K872" s="2" t="s">
        <v>20339</v>
      </c>
    </row>
    <row r="873">
      <c r="A873" s="2" t="s">
        <v>4535</v>
      </c>
      <c r="B873" s="2" t="s">
        <v>4535</v>
      </c>
      <c r="C873" s="2">
        <v>51854.0</v>
      </c>
      <c r="D873" s="2" t="s">
        <v>20340</v>
      </c>
      <c r="E873" s="2">
        <v>42601.0</v>
      </c>
      <c r="F873" s="2">
        <v>192.0</v>
      </c>
      <c r="G873" s="2">
        <v>216.0</v>
      </c>
      <c r="H873" s="2" t="s">
        <v>5905</v>
      </c>
      <c r="I873" s="2" t="s">
        <v>5906</v>
      </c>
      <c r="J873" s="2" t="s">
        <v>6414</v>
      </c>
      <c r="K873" s="2" t="s">
        <v>20341</v>
      </c>
      <c r="L873" s="10" t="s">
        <v>20342</v>
      </c>
    </row>
    <row r="874">
      <c r="A874" s="2" t="s">
        <v>4535</v>
      </c>
      <c r="B874" s="2" t="s">
        <v>20343</v>
      </c>
      <c r="C874" s="2">
        <v>4.7370507308E10</v>
      </c>
      <c r="D874" s="2" t="s">
        <v>20344</v>
      </c>
      <c r="E874" s="2">
        <v>10147.0</v>
      </c>
      <c r="F874" s="2">
        <v>45.0</v>
      </c>
      <c r="G874" s="2">
        <v>191.0</v>
      </c>
      <c r="H874" s="2" t="s">
        <v>5905</v>
      </c>
      <c r="I874" s="2" t="s">
        <v>5906</v>
      </c>
      <c r="J874" s="2" t="s">
        <v>5959</v>
      </c>
      <c r="K874" s="2" t="s">
        <v>20345</v>
      </c>
      <c r="L874" s="10" t="s">
        <v>20346</v>
      </c>
    </row>
    <row r="875">
      <c r="A875" s="2" t="s">
        <v>4535</v>
      </c>
      <c r="B875" s="2" t="s">
        <v>20347</v>
      </c>
      <c r="C875" s="2">
        <v>3.254220613E9</v>
      </c>
      <c r="D875" s="2" t="s">
        <v>20348</v>
      </c>
      <c r="E875" s="2">
        <v>14812.0</v>
      </c>
      <c r="F875" s="2">
        <v>350.0</v>
      </c>
      <c r="G875" s="2">
        <v>2787.0</v>
      </c>
      <c r="H875" s="2" t="s">
        <v>5905</v>
      </c>
      <c r="I875" s="2" t="s">
        <v>5906</v>
      </c>
      <c r="J875" s="2" t="s">
        <v>5391</v>
      </c>
      <c r="K875" s="2" t="s">
        <v>20349</v>
      </c>
      <c r="L875" s="10" t="s">
        <v>20350</v>
      </c>
    </row>
    <row r="876">
      <c r="A876" s="2" t="s">
        <v>4535</v>
      </c>
      <c r="B876" s="2" t="s">
        <v>20351</v>
      </c>
      <c r="C876" s="2">
        <v>1.6591464133E10</v>
      </c>
      <c r="D876" s="2" t="s">
        <v>20352</v>
      </c>
      <c r="E876" s="2">
        <v>109575.0</v>
      </c>
      <c r="F876" s="2">
        <v>2.0</v>
      </c>
      <c r="G876" s="2">
        <v>1203.0</v>
      </c>
      <c r="H876" s="2" t="s">
        <v>5905</v>
      </c>
      <c r="I876" s="2" t="s">
        <v>5905</v>
      </c>
      <c r="J876" s="2" t="s">
        <v>5391</v>
      </c>
      <c r="K876" s="2" t="s">
        <v>20353</v>
      </c>
      <c r="L876" s="10" t="s">
        <v>20354</v>
      </c>
    </row>
    <row r="877">
      <c r="A877" s="2" t="s">
        <v>4535</v>
      </c>
      <c r="B877" s="2" t="s">
        <v>20355</v>
      </c>
      <c r="C877" s="2">
        <v>1.325020233E9</v>
      </c>
      <c r="D877" s="2" t="s">
        <v>20356</v>
      </c>
      <c r="E877" s="2">
        <v>547265.0</v>
      </c>
      <c r="F877" s="2">
        <v>879.0</v>
      </c>
      <c r="G877" s="2">
        <v>27.0</v>
      </c>
      <c r="H877" s="2" t="s">
        <v>5906</v>
      </c>
      <c r="I877" s="2" t="s">
        <v>5905</v>
      </c>
      <c r="J877" s="2" t="s">
        <v>8144</v>
      </c>
      <c r="K877" s="2" t="s">
        <v>20357</v>
      </c>
      <c r="L877" s="10" t="s">
        <v>20358</v>
      </c>
    </row>
    <row r="878">
      <c r="A878" s="2" t="s">
        <v>4702</v>
      </c>
      <c r="B878" s="2" t="s">
        <v>20359</v>
      </c>
      <c r="C878" s="2">
        <v>5.6819006361E10</v>
      </c>
      <c r="D878" s="2" t="s">
        <v>20360</v>
      </c>
      <c r="E878" s="2">
        <v>442451.0</v>
      </c>
      <c r="F878" s="2">
        <v>24.0</v>
      </c>
      <c r="G878" s="2">
        <v>378.0</v>
      </c>
      <c r="H878" s="2" t="s">
        <v>5905</v>
      </c>
      <c r="I878" s="2" t="s">
        <v>5906</v>
      </c>
      <c r="J878" s="2" t="s">
        <v>16494</v>
      </c>
      <c r="K878" s="2" t="s">
        <v>20361</v>
      </c>
    </row>
    <row r="879">
      <c r="A879" s="2" t="s">
        <v>4702</v>
      </c>
      <c r="B879" s="2" t="s">
        <v>20362</v>
      </c>
      <c r="C879" s="2">
        <v>5.13614734E8</v>
      </c>
      <c r="D879" s="2" t="s">
        <v>20363</v>
      </c>
      <c r="E879" s="2">
        <v>775644.0</v>
      </c>
      <c r="F879" s="2">
        <v>2436.0</v>
      </c>
      <c r="G879" s="2">
        <v>1324.0</v>
      </c>
      <c r="H879" s="2" t="s">
        <v>5905</v>
      </c>
      <c r="I879" s="2" t="s">
        <v>5905</v>
      </c>
      <c r="J879" s="2" t="s">
        <v>16494</v>
      </c>
      <c r="K879" s="2" t="s">
        <v>20364</v>
      </c>
    </row>
    <row r="880">
      <c r="A880" s="2" t="s">
        <v>4702</v>
      </c>
      <c r="B880" s="2" t="s">
        <v>20365</v>
      </c>
      <c r="C880" s="2">
        <v>6.2417253273E10</v>
      </c>
      <c r="D880" s="2" t="s">
        <v>20366</v>
      </c>
      <c r="E880" s="2">
        <v>20855.0</v>
      </c>
      <c r="F880" s="2">
        <v>1.0</v>
      </c>
      <c r="G880" s="2">
        <v>117.0</v>
      </c>
      <c r="H880" s="2" t="s">
        <v>5906</v>
      </c>
      <c r="I880" s="2" t="s">
        <v>5905</v>
      </c>
      <c r="J880" s="2" t="s">
        <v>6027</v>
      </c>
      <c r="K880" s="2" t="s">
        <v>20367</v>
      </c>
      <c r="L880" s="10" t="s">
        <v>20368</v>
      </c>
    </row>
    <row r="881">
      <c r="A881" s="2" t="s">
        <v>4702</v>
      </c>
      <c r="B881" s="2" t="s">
        <v>20369</v>
      </c>
      <c r="C881" s="2">
        <v>3.6868141253E10</v>
      </c>
      <c r="D881" s="2" t="s">
        <v>20370</v>
      </c>
      <c r="E881" s="2">
        <v>412746.0</v>
      </c>
      <c r="F881" s="2">
        <v>2291.0</v>
      </c>
      <c r="G881" s="2">
        <v>2650.0</v>
      </c>
      <c r="H881" s="2" t="s">
        <v>5906</v>
      </c>
      <c r="I881" s="2" t="s">
        <v>5905</v>
      </c>
      <c r="J881" s="2" t="s">
        <v>5561</v>
      </c>
      <c r="K881" s="2" t="s">
        <v>20371</v>
      </c>
    </row>
    <row r="882">
      <c r="A882" s="2" t="s">
        <v>4702</v>
      </c>
      <c r="B882" s="2" t="s">
        <v>20372</v>
      </c>
      <c r="C882" s="2">
        <v>7.423692434E9</v>
      </c>
      <c r="D882" s="2" t="s">
        <v>20373</v>
      </c>
      <c r="E882" s="2">
        <v>48994.0</v>
      </c>
      <c r="F882" s="2">
        <v>1.0</v>
      </c>
      <c r="G882" s="2">
        <v>1847.0</v>
      </c>
      <c r="H882" s="2" t="s">
        <v>5906</v>
      </c>
      <c r="I882" s="2" t="s">
        <v>5905</v>
      </c>
      <c r="J882" s="2" t="s">
        <v>12774</v>
      </c>
      <c r="K882" s="2" t="s">
        <v>20374</v>
      </c>
      <c r="L882" s="10" t="s">
        <v>20375</v>
      </c>
    </row>
    <row r="883">
      <c r="A883" s="2" t="s">
        <v>4702</v>
      </c>
      <c r="B883" s="2" t="s">
        <v>20376</v>
      </c>
      <c r="C883" s="2">
        <v>5.707028317E9</v>
      </c>
      <c r="D883" s="2" t="s">
        <v>20377</v>
      </c>
      <c r="E883" s="2">
        <v>502993.0</v>
      </c>
      <c r="F883" s="2">
        <v>480.0</v>
      </c>
      <c r="G883" s="2">
        <v>2548.0</v>
      </c>
      <c r="H883" s="2" t="s">
        <v>5905</v>
      </c>
      <c r="I883" s="2" t="s">
        <v>5905</v>
      </c>
      <c r="J883" s="2" t="s">
        <v>5492</v>
      </c>
      <c r="K883" s="2" t="s">
        <v>20378</v>
      </c>
    </row>
    <row r="884">
      <c r="A884" s="2" t="s">
        <v>4647</v>
      </c>
      <c r="B884" s="2" t="s">
        <v>20379</v>
      </c>
      <c r="C884" s="2">
        <v>6.3631911763E10</v>
      </c>
      <c r="D884" s="2" t="s">
        <v>20380</v>
      </c>
      <c r="E884" s="2">
        <v>38483.0</v>
      </c>
      <c r="F884" s="2">
        <v>8.0</v>
      </c>
      <c r="G884" s="2">
        <v>275.0</v>
      </c>
      <c r="H884" s="2" t="s">
        <v>5905</v>
      </c>
      <c r="I884" s="2" t="s">
        <v>5905</v>
      </c>
      <c r="J884" s="2" t="s">
        <v>16494</v>
      </c>
      <c r="K884" s="2" t="s">
        <v>20381</v>
      </c>
      <c r="L884" s="10" t="s">
        <v>20382</v>
      </c>
    </row>
    <row r="885">
      <c r="A885" s="2" t="s">
        <v>4655</v>
      </c>
      <c r="B885" s="2" t="s">
        <v>20383</v>
      </c>
      <c r="C885" s="2">
        <v>3.9366165023E10</v>
      </c>
      <c r="D885" s="2" t="s">
        <v>20384</v>
      </c>
      <c r="E885" s="2">
        <v>201509.0</v>
      </c>
      <c r="F885" s="2">
        <v>1385.0</v>
      </c>
      <c r="G885" s="2">
        <v>790.0</v>
      </c>
      <c r="H885" s="2" t="s">
        <v>5905</v>
      </c>
      <c r="I885" s="2" t="s">
        <v>5905</v>
      </c>
      <c r="J885" s="2" t="s">
        <v>5959</v>
      </c>
      <c r="K885" s="2" t="s">
        <v>20385</v>
      </c>
      <c r="L885" s="10" t="s">
        <v>20386</v>
      </c>
    </row>
    <row r="886">
      <c r="A886" s="2" t="s">
        <v>4655</v>
      </c>
      <c r="B886" s="2" t="s">
        <v>20387</v>
      </c>
      <c r="C886" s="2">
        <v>3.88476601E9</v>
      </c>
      <c r="D886" s="2" t="s">
        <v>20388</v>
      </c>
      <c r="E886" s="2">
        <v>59766.0</v>
      </c>
      <c r="F886" s="2">
        <v>863.0</v>
      </c>
      <c r="G886" s="2">
        <v>1244.0</v>
      </c>
      <c r="H886" s="2" t="s">
        <v>5905</v>
      </c>
      <c r="I886" s="2" t="s">
        <v>5905</v>
      </c>
      <c r="J886" s="2" t="s">
        <v>5561</v>
      </c>
      <c r="K886" s="2" t="s">
        <v>20389</v>
      </c>
      <c r="L886" s="10" t="s">
        <v>20390</v>
      </c>
    </row>
    <row r="887">
      <c r="A887" s="2" t="s">
        <v>4655</v>
      </c>
      <c r="B887" s="2" t="s">
        <v>20391</v>
      </c>
      <c r="C887" s="2">
        <v>1.783667807E9</v>
      </c>
      <c r="D887" s="2" t="s">
        <v>20392</v>
      </c>
      <c r="E887" s="2">
        <v>26631.0</v>
      </c>
      <c r="F887" s="2">
        <v>1060.0</v>
      </c>
      <c r="G887" s="2">
        <v>2125.0</v>
      </c>
      <c r="H887" s="2" t="s">
        <v>5905</v>
      </c>
      <c r="I887" s="2" t="s">
        <v>5906</v>
      </c>
      <c r="J887" s="2" t="s">
        <v>5492</v>
      </c>
      <c r="K887" s="2" t="s">
        <v>20393</v>
      </c>
    </row>
    <row r="888">
      <c r="A888" s="2" t="s">
        <v>4655</v>
      </c>
      <c r="B888" s="2" t="s">
        <v>20394</v>
      </c>
      <c r="C888" s="2">
        <v>6.5720022267E10</v>
      </c>
      <c r="D888" s="2" t="s">
        <v>20395</v>
      </c>
      <c r="E888" s="2">
        <v>77096.0</v>
      </c>
      <c r="F888" s="2">
        <v>168.0</v>
      </c>
      <c r="G888" s="2">
        <v>206.0</v>
      </c>
      <c r="H888" s="2" t="s">
        <v>5905</v>
      </c>
      <c r="I888" s="2" t="s">
        <v>5906</v>
      </c>
      <c r="J888" s="2" t="s">
        <v>5561</v>
      </c>
      <c r="K888" s="2" t="s">
        <v>20396</v>
      </c>
    </row>
    <row r="889">
      <c r="A889" s="2" t="s">
        <v>4655</v>
      </c>
      <c r="B889" s="2" t="s">
        <v>20397</v>
      </c>
      <c r="C889" s="2">
        <v>6.586795814E10</v>
      </c>
      <c r="D889" s="2" t="s">
        <v>20398</v>
      </c>
      <c r="E889" s="2">
        <v>43417.0</v>
      </c>
      <c r="F889" s="2">
        <v>247.0</v>
      </c>
      <c r="G889" s="2">
        <v>83.0</v>
      </c>
      <c r="H889" s="2" t="s">
        <v>5905</v>
      </c>
      <c r="I889" s="2" t="s">
        <v>5905</v>
      </c>
      <c r="J889" s="2" t="s">
        <v>5561</v>
      </c>
      <c r="K889" s="2" t="s">
        <v>20399</v>
      </c>
    </row>
    <row r="890">
      <c r="A890" s="2" t="s">
        <v>4655</v>
      </c>
      <c r="B890" s="2" t="s">
        <v>20400</v>
      </c>
      <c r="C890" s="2">
        <v>2.103861486E9</v>
      </c>
      <c r="D890" s="2" t="s">
        <v>20401</v>
      </c>
      <c r="E890" s="2">
        <v>25610.0</v>
      </c>
      <c r="F890" s="2">
        <v>800.0</v>
      </c>
      <c r="G890" s="2">
        <v>4246.0</v>
      </c>
      <c r="H890" s="2" t="s">
        <v>5905</v>
      </c>
      <c r="I890" s="2" t="s">
        <v>5906</v>
      </c>
    </row>
    <row r="891">
      <c r="A891" s="2" t="s">
        <v>4655</v>
      </c>
      <c r="B891" s="2" t="s">
        <v>20402</v>
      </c>
      <c r="C891" s="2">
        <v>5.957348087E9</v>
      </c>
      <c r="D891" s="2" t="s">
        <v>20403</v>
      </c>
      <c r="E891" s="2">
        <v>139981.0</v>
      </c>
      <c r="F891" s="2">
        <v>5068.0</v>
      </c>
      <c r="G891" s="2">
        <v>1334.0</v>
      </c>
      <c r="H891" s="2" t="s">
        <v>5906</v>
      </c>
      <c r="I891" s="2" t="s">
        <v>5905</v>
      </c>
      <c r="J891" s="2" t="s">
        <v>7155</v>
      </c>
      <c r="K891" s="2" t="s">
        <v>20404</v>
      </c>
      <c r="L891" s="10" t="s">
        <v>20405</v>
      </c>
    </row>
    <row r="892">
      <c r="A892" s="2" t="s">
        <v>4534</v>
      </c>
      <c r="B892" s="2" t="s">
        <v>20406</v>
      </c>
      <c r="C892" s="2">
        <v>3.901327277E10</v>
      </c>
      <c r="D892" s="2" t="s">
        <v>20407</v>
      </c>
      <c r="E892" s="2">
        <v>50485.0</v>
      </c>
      <c r="F892" s="2">
        <v>5.0</v>
      </c>
      <c r="G892" s="2">
        <v>302.0</v>
      </c>
      <c r="H892" s="2" t="s">
        <v>5905</v>
      </c>
      <c r="I892" s="2" t="s">
        <v>5906</v>
      </c>
      <c r="J892" s="2" t="s">
        <v>7140</v>
      </c>
      <c r="K892" s="2" t="s">
        <v>20408</v>
      </c>
      <c r="L892" s="10" t="s">
        <v>20409</v>
      </c>
    </row>
    <row r="893">
      <c r="A893" s="2" t="s">
        <v>4534</v>
      </c>
      <c r="B893" s="2" t="s">
        <v>4534</v>
      </c>
      <c r="C893" s="2">
        <v>4.8354192427E10</v>
      </c>
      <c r="D893" s="2" t="s">
        <v>20410</v>
      </c>
      <c r="E893" s="2">
        <v>983411.0</v>
      </c>
      <c r="F893" s="2">
        <v>236.0</v>
      </c>
      <c r="G893" s="2">
        <v>725.0</v>
      </c>
      <c r="H893" s="2" t="s">
        <v>5905</v>
      </c>
      <c r="I893" s="2" t="s">
        <v>5905</v>
      </c>
      <c r="J893" s="2" t="s">
        <v>20411</v>
      </c>
      <c r="K893" s="2" t="s">
        <v>20412</v>
      </c>
    </row>
    <row r="894">
      <c r="A894" s="2" t="s">
        <v>4534</v>
      </c>
      <c r="B894" s="2" t="s">
        <v>20413</v>
      </c>
      <c r="C894" s="2">
        <v>5.64735166E8</v>
      </c>
      <c r="D894" s="2" t="s">
        <v>20414</v>
      </c>
      <c r="E894" s="2">
        <v>403161.0</v>
      </c>
      <c r="F894" s="2">
        <v>622.0</v>
      </c>
      <c r="G894" s="2">
        <v>4071.0</v>
      </c>
      <c r="H894" s="2" t="s">
        <v>5905</v>
      </c>
      <c r="I894" s="2" t="s">
        <v>5906</v>
      </c>
      <c r="J894" s="2" t="s">
        <v>6166</v>
      </c>
      <c r="K894" s="2" t="s">
        <v>20415</v>
      </c>
      <c r="L894" s="10" t="s">
        <v>20416</v>
      </c>
    </row>
    <row r="895">
      <c r="A895" s="2" t="s">
        <v>4534</v>
      </c>
      <c r="B895" s="2" t="s">
        <v>20417</v>
      </c>
      <c r="C895" s="2">
        <v>4.8679218899E10</v>
      </c>
      <c r="D895" s="2" t="s">
        <v>20418</v>
      </c>
      <c r="E895" s="2">
        <v>117263.0</v>
      </c>
      <c r="F895" s="2">
        <v>2.0</v>
      </c>
      <c r="G895" s="2">
        <v>230.0</v>
      </c>
      <c r="H895" s="2" t="s">
        <v>5905</v>
      </c>
      <c r="I895" s="2" t="s">
        <v>5906</v>
      </c>
      <c r="J895" s="2" t="s">
        <v>20419</v>
      </c>
      <c r="K895" s="2" t="s">
        <v>20420</v>
      </c>
      <c r="L895" s="10" t="s">
        <v>20421</v>
      </c>
    </row>
    <row r="896">
      <c r="A896" s="2" t="s">
        <v>4534</v>
      </c>
      <c r="B896" s="2" t="s">
        <v>20422</v>
      </c>
      <c r="C896" s="2">
        <v>4.04086284E8</v>
      </c>
      <c r="D896" s="2" t="s">
        <v>20423</v>
      </c>
      <c r="E896" s="2">
        <v>1357071.0</v>
      </c>
      <c r="F896" s="2">
        <v>106.0</v>
      </c>
      <c r="G896" s="2">
        <v>20917.0</v>
      </c>
      <c r="H896" s="2" t="s">
        <v>5906</v>
      </c>
      <c r="I896" s="2" t="s">
        <v>5906</v>
      </c>
      <c r="J896" s="2" t="s">
        <v>15448</v>
      </c>
      <c r="K896" s="2" t="s">
        <v>20424</v>
      </c>
      <c r="L896" s="10" t="s">
        <v>20425</v>
      </c>
    </row>
    <row r="897">
      <c r="A897" s="2" t="s">
        <v>1024</v>
      </c>
      <c r="B897" s="2" t="s">
        <v>20426</v>
      </c>
      <c r="C897" s="2">
        <v>7.178346056E9</v>
      </c>
      <c r="D897" s="2" t="s">
        <v>20427</v>
      </c>
      <c r="E897" s="2">
        <v>10152.0</v>
      </c>
      <c r="F897" s="2">
        <v>2720.0</v>
      </c>
      <c r="G897" s="2">
        <v>713.0</v>
      </c>
      <c r="H897" s="2" t="s">
        <v>5905</v>
      </c>
      <c r="I897" s="2" t="s">
        <v>5906</v>
      </c>
      <c r="J897" s="2" t="s">
        <v>20428</v>
      </c>
      <c r="K897" s="2" t="s">
        <v>20429</v>
      </c>
      <c r="L897" s="10" t="s">
        <v>20430</v>
      </c>
    </row>
    <row r="898">
      <c r="A898" s="2" t="s">
        <v>4554</v>
      </c>
      <c r="B898" s="2" t="s">
        <v>20431</v>
      </c>
      <c r="C898" s="2">
        <v>8.80851722E8</v>
      </c>
      <c r="D898" s="2" t="s">
        <v>20432</v>
      </c>
      <c r="E898" s="2">
        <v>1.4080325E7</v>
      </c>
      <c r="F898" s="2">
        <v>837.0</v>
      </c>
      <c r="G898" s="2">
        <v>13209.0</v>
      </c>
      <c r="H898" s="2" t="s">
        <v>5905</v>
      </c>
      <c r="I898" s="2" t="s">
        <v>5905</v>
      </c>
      <c r="J898" s="2" t="s">
        <v>5928</v>
      </c>
      <c r="K898" s="2" t="s">
        <v>20433</v>
      </c>
    </row>
    <row r="899">
      <c r="A899" s="2" t="s">
        <v>4554</v>
      </c>
      <c r="B899" s="2" t="s">
        <v>4554</v>
      </c>
      <c r="C899" s="2">
        <v>1.2678593E9</v>
      </c>
      <c r="D899" s="2" t="s">
        <v>20434</v>
      </c>
      <c r="E899" s="2">
        <v>5299632.0</v>
      </c>
      <c r="F899" s="2">
        <v>6.0</v>
      </c>
      <c r="G899" s="2">
        <v>6148.0</v>
      </c>
      <c r="H899" s="2" t="s">
        <v>5905</v>
      </c>
      <c r="I899" s="2" t="s">
        <v>5906</v>
      </c>
      <c r="J899" s="2" t="s">
        <v>5928</v>
      </c>
      <c r="K899" s="2" t="s">
        <v>20435</v>
      </c>
      <c r="L899" s="10" t="s">
        <v>20436</v>
      </c>
    </row>
    <row r="900">
      <c r="A900" s="2" t="s">
        <v>4554</v>
      </c>
      <c r="B900" s="2" t="s">
        <v>20437</v>
      </c>
      <c r="C900" s="2">
        <v>1.992400115E9</v>
      </c>
      <c r="D900" s="2" t="s">
        <v>20438</v>
      </c>
      <c r="E900" s="2">
        <v>1.4888876E7</v>
      </c>
      <c r="F900" s="2">
        <v>823.0</v>
      </c>
      <c r="G900" s="2">
        <v>19397.0</v>
      </c>
      <c r="H900" s="2" t="s">
        <v>5906</v>
      </c>
      <c r="I900" s="2" t="s">
        <v>5905</v>
      </c>
      <c r="J900" s="2" t="s">
        <v>5561</v>
      </c>
      <c r="K900" s="2" t="s">
        <v>20439</v>
      </c>
      <c r="L900" s="10" t="s">
        <v>20440</v>
      </c>
    </row>
    <row r="901">
      <c r="A901" s="2" t="s">
        <v>4554</v>
      </c>
      <c r="B901" s="10" t="s">
        <v>20441</v>
      </c>
      <c r="C901" s="2">
        <v>4.212367497E9</v>
      </c>
      <c r="D901" s="2" t="s">
        <v>20442</v>
      </c>
      <c r="E901" s="2">
        <v>10511.0</v>
      </c>
      <c r="F901" s="2">
        <v>440.0</v>
      </c>
      <c r="G901" s="2">
        <v>1589.0</v>
      </c>
      <c r="H901" s="2" t="s">
        <v>5905</v>
      </c>
      <c r="I901" s="2" t="s">
        <v>5906</v>
      </c>
      <c r="J901" s="2" t="s">
        <v>20443</v>
      </c>
      <c r="K901" s="2" t="s">
        <v>20444</v>
      </c>
      <c r="L901" s="10" t="s">
        <v>20445</v>
      </c>
    </row>
    <row r="902">
      <c r="A902" s="2" t="s">
        <v>4554</v>
      </c>
      <c r="B902" s="2" t="s">
        <v>20446</v>
      </c>
      <c r="C902" s="2">
        <v>1.902495472E9</v>
      </c>
      <c r="D902" s="12" t="s">
        <v>20447</v>
      </c>
      <c r="E902" s="2">
        <v>663799.0</v>
      </c>
      <c r="F902" s="2">
        <v>0.0</v>
      </c>
      <c r="G902" s="2">
        <v>7422.0</v>
      </c>
      <c r="H902" s="2" t="s">
        <v>5905</v>
      </c>
      <c r="I902" s="2" t="s">
        <v>5906</v>
      </c>
      <c r="J902" s="2" t="s">
        <v>5561</v>
      </c>
      <c r="L902" s="10" t="s">
        <v>20448</v>
      </c>
    </row>
    <row r="903">
      <c r="A903" s="2" t="s">
        <v>4554</v>
      </c>
      <c r="B903" s="2" t="s">
        <v>20449</v>
      </c>
      <c r="C903" s="2">
        <v>2.95372408E8</v>
      </c>
      <c r="D903" s="2" t="s">
        <v>20450</v>
      </c>
      <c r="E903" s="2">
        <v>1829566.0</v>
      </c>
      <c r="F903" s="2">
        <v>7501.0</v>
      </c>
      <c r="G903" s="2">
        <v>1510.0</v>
      </c>
      <c r="H903" s="2" t="s">
        <v>5906</v>
      </c>
      <c r="I903" s="2" t="s">
        <v>5905</v>
      </c>
      <c r="J903" s="2" t="s">
        <v>6124</v>
      </c>
      <c r="K903" s="2" t="s">
        <v>20451</v>
      </c>
      <c r="L903" s="10" t="s">
        <v>20452</v>
      </c>
    </row>
    <row r="904">
      <c r="A904" s="2" t="s">
        <v>2036</v>
      </c>
      <c r="B904" s="2" t="s">
        <v>20453</v>
      </c>
      <c r="C904" s="2">
        <v>4.8419905621E10</v>
      </c>
      <c r="D904" s="2" t="s">
        <v>20454</v>
      </c>
      <c r="E904" s="2">
        <v>17230.0</v>
      </c>
      <c r="F904" s="2">
        <v>3.0</v>
      </c>
      <c r="G904" s="2">
        <v>407.0</v>
      </c>
      <c r="H904" s="2" t="s">
        <v>5905</v>
      </c>
      <c r="I904" s="2" t="s">
        <v>5906</v>
      </c>
      <c r="J904" s="2" t="s">
        <v>5928</v>
      </c>
      <c r="K904" s="2" t="s">
        <v>20455</v>
      </c>
      <c r="L904" s="10" t="s">
        <v>20456</v>
      </c>
    </row>
    <row r="905">
      <c r="A905" s="2" t="s">
        <v>2036</v>
      </c>
      <c r="B905" s="2" t="s">
        <v>20457</v>
      </c>
      <c r="C905" s="2">
        <v>5.1671538838E10</v>
      </c>
      <c r="D905" s="2" t="s">
        <v>20458</v>
      </c>
      <c r="E905" s="2">
        <v>251102.0</v>
      </c>
      <c r="F905" s="2">
        <v>738.0</v>
      </c>
      <c r="G905" s="2">
        <v>1047.0</v>
      </c>
      <c r="H905" s="2" t="s">
        <v>5905</v>
      </c>
      <c r="I905" s="2" t="s">
        <v>5905</v>
      </c>
      <c r="J905" s="2" t="s">
        <v>4412</v>
      </c>
      <c r="K905" s="2" t="s">
        <v>20459</v>
      </c>
    </row>
    <row r="906">
      <c r="A906" s="2" t="s">
        <v>2036</v>
      </c>
      <c r="B906" s="2" t="s">
        <v>20460</v>
      </c>
      <c r="C906" s="2">
        <v>6.1875823629E10</v>
      </c>
      <c r="D906" s="2" t="s">
        <v>20461</v>
      </c>
      <c r="E906" s="2">
        <v>19619.0</v>
      </c>
      <c r="F906" s="2">
        <v>0.0</v>
      </c>
      <c r="G906" s="2">
        <v>67.0</v>
      </c>
      <c r="H906" s="2" t="s">
        <v>5905</v>
      </c>
      <c r="I906" s="2" t="s">
        <v>5905</v>
      </c>
      <c r="J906" s="2" t="s">
        <v>5928</v>
      </c>
      <c r="K906" s="2" t="s">
        <v>20462</v>
      </c>
    </row>
    <row r="907">
      <c r="A907" s="2" t="s">
        <v>2036</v>
      </c>
      <c r="B907" s="2" t="s">
        <v>20463</v>
      </c>
      <c r="C907" s="2">
        <v>6.2651325858E10</v>
      </c>
      <c r="D907" s="2" t="s">
        <v>20464</v>
      </c>
      <c r="E907" s="2">
        <v>213330.0</v>
      </c>
      <c r="F907" s="2">
        <v>7.0</v>
      </c>
      <c r="G907" s="2">
        <v>144.0</v>
      </c>
      <c r="H907" s="2" t="s">
        <v>5905</v>
      </c>
      <c r="I907" s="2" t="s">
        <v>5906</v>
      </c>
      <c r="J907" s="2" t="s">
        <v>5959</v>
      </c>
      <c r="K907" s="2" t="s">
        <v>20465</v>
      </c>
    </row>
    <row r="908">
      <c r="A908" s="2" t="s">
        <v>2036</v>
      </c>
      <c r="B908" s="2" t="s">
        <v>20466</v>
      </c>
      <c r="C908" s="2">
        <v>6.923170676E9</v>
      </c>
      <c r="D908" s="2" t="s">
        <v>20467</v>
      </c>
      <c r="E908" s="2">
        <v>290999.0</v>
      </c>
      <c r="F908" s="2">
        <v>6.0</v>
      </c>
      <c r="G908" s="2">
        <v>1818.0</v>
      </c>
      <c r="H908" s="2" t="s">
        <v>5905</v>
      </c>
      <c r="I908" s="2" t="s">
        <v>5905</v>
      </c>
      <c r="J908" s="2" t="s">
        <v>5928</v>
      </c>
      <c r="K908" s="2" t="s">
        <v>20468</v>
      </c>
    </row>
    <row r="909">
      <c r="A909" s="2" t="s">
        <v>2036</v>
      </c>
      <c r="B909" s="2" t="s">
        <v>20469</v>
      </c>
      <c r="C909" s="2">
        <v>7.5432838192E10</v>
      </c>
      <c r="D909" s="2" t="s">
        <v>20470</v>
      </c>
      <c r="E909" s="2">
        <v>25820.0</v>
      </c>
      <c r="F909" s="2">
        <v>4.0</v>
      </c>
      <c r="G909" s="2">
        <v>66.0</v>
      </c>
      <c r="H909" s="2" t="s">
        <v>5905</v>
      </c>
      <c r="I909" s="2" t="s">
        <v>5905</v>
      </c>
      <c r="J909" s="2" t="s">
        <v>5928</v>
      </c>
      <c r="K909" s="2" t="s">
        <v>20471</v>
      </c>
      <c r="L909" s="10" t="s">
        <v>20472</v>
      </c>
    </row>
    <row r="910">
      <c r="A910" s="2" t="s">
        <v>2036</v>
      </c>
      <c r="B910" s="2" t="s">
        <v>20473</v>
      </c>
      <c r="C910" s="2">
        <v>6.1230603604E10</v>
      </c>
      <c r="D910" s="2" t="s">
        <v>20474</v>
      </c>
      <c r="E910" s="2">
        <v>380178.0</v>
      </c>
      <c r="F910" s="2">
        <v>0.0</v>
      </c>
      <c r="G910" s="2">
        <v>333.0</v>
      </c>
      <c r="H910" s="2" t="s">
        <v>5905</v>
      </c>
      <c r="I910" s="2" t="s">
        <v>5906</v>
      </c>
      <c r="J910" s="2" t="s">
        <v>5928</v>
      </c>
      <c r="K910" s="2" t="s">
        <v>20475</v>
      </c>
      <c r="L910" s="10" t="s">
        <v>20476</v>
      </c>
    </row>
    <row r="911">
      <c r="A911" s="2" t="s">
        <v>2036</v>
      </c>
      <c r="B911" s="2" t="s">
        <v>20477</v>
      </c>
      <c r="C911" s="2">
        <v>6.1375383015E10</v>
      </c>
      <c r="D911" s="2" t="s">
        <v>20474</v>
      </c>
      <c r="E911" s="2">
        <v>837044.0</v>
      </c>
      <c r="F911" s="2">
        <v>3.0</v>
      </c>
      <c r="G911" s="2">
        <v>124.0</v>
      </c>
      <c r="H911" s="2" t="s">
        <v>5905</v>
      </c>
      <c r="I911" s="2" t="s">
        <v>5906</v>
      </c>
      <c r="J911" s="2" t="s">
        <v>5959</v>
      </c>
      <c r="K911" s="2" t="s">
        <v>20478</v>
      </c>
    </row>
    <row r="912">
      <c r="A912" s="2" t="s">
        <v>2036</v>
      </c>
      <c r="B912" s="2" t="s">
        <v>20479</v>
      </c>
      <c r="C912" s="2">
        <v>5.579016352E9</v>
      </c>
      <c r="D912" s="2" t="s">
        <v>20480</v>
      </c>
      <c r="E912" s="2">
        <v>14164.0</v>
      </c>
      <c r="F912" s="2">
        <v>6749.0</v>
      </c>
      <c r="G912" s="2">
        <v>58.0</v>
      </c>
      <c r="H912" s="2" t="s">
        <v>5905</v>
      </c>
      <c r="I912" s="2" t="s">
        <v>5905</v>
      </c>
      <c r="L912" s="10" t="s">
        <v>20481</v>
      </c>
    </row>
    <row r="913">
      <c r="A913" s="2" t="s">
        <v>2036</v>
      </c>
      <c r="B913" s="2" t="s">
        <v>20482</v>
      </c>
      <c r="C913" s="2">
        <v>6.659189006E9</v>
      </c>
      <c r="D913" s="2" t="s">
        <v>20483</v>
      </c>
      <c r="E913" s="2">
        <v>28830.0</v>
      </c>
      <c r="F913" s="2">
        <v>139.0</v>
      </c>
      <c r="G913" s="2">
        <v>68.0</v>
      </c>
      <c r="H913" s="2" t="s">
        <v>5905</v>
      </c>
      <c r="I913" s="2" t="s">
        <v>5906</v>
      </c>
      <c r="J913" s="2" t="s">
        <v>6393</v>
      </c>
      <c r="K913" s="2" t="s">
        <v>20484</v>
      </c>
    </row>
    <row r="914">
      <c r="A914" s="2" t="s">
        <v>2036</v>
      </c>
      <c r="B914" s="2" t="s">
        <v>20485</v>
      </c>
      <c r="C914" s="2">
        <v>4.215348764E10</v>
      </c>
      <c r="D914" s="2" t="s">
        <v>20486</v>
      </c>
      <c r="E914" s="2">
        <v>44912.0</v>
      </c>
      <c r="F914" s="2">
        <v>3.0</v>
      </c>
      <c r="G914" s="2">
        <v>85.0</v>
      </c>
      <c r="H914" s="2" t="s">
        <v>5905</v>
      </c>
      <c r="I914" s="2" t="s">
        <v>5905</v>
      </c>
      <c r="J914" s="2" t="s">
        <v>13634</v>
      </c>
      <c r="K914" s="2" t="s">
        <v>20487</v>
      </c>
    </row>
    <row r="915">
      <c r="A915" s="2" t="s">
        <v>2036</v>
      </c>
      <c r="B915" s="2" t="s">
        <v>20488</v>
      </c>
      <c r="C915" s="2">
        <v>6.9006413557E10</v>
      </c>
      <c r="D915" s="2" t="s">
        <v>20474</v>
      </c>
      <c r="E915" s="2">
        <v>14580.0</v>
      </c>
      <c r="F915" s="2">
        <v>7.0</v>
      </c>
      <c r="G915" s="2">
        <v>141.0</v>
      </c>
      <c r="H915" s="2" t="s">
        <v>5905</v>
      </c>
      <c r="I915" s="2" t="s">
        <v>5905</v>
      </c>
      <c r="J915" s="2" t="s">
        <v>5928</v>
      </c>
      <c r="K915" s="2" t="s">
        <v>20489</v>
      </c>
    </row>
    <row r="916">
      <c r="A916" s="2" t="s">
        <v>4736</v>
      </c>
      <c r="B916" s="2" t="s">
        <v>20490</v>
      </c>
      <c r="C916" s="2">
        <v>7.5903609694E10</v>
      </c>
      <c r="D916" s="2" t="s">
        <v>20491</v>
      </c>
      <c r="E916" s="2">
        <v>32698.0</v>
      </c>
      <c r="F916" s="2">
        <v>5.0</v>
      </c>
      <c r="G916" s="2">
        <v>26.0</v>
      </c>
      <c r="H916" s="2" t="s">
        <v>5905</v>
      </c>
      <c r="I916" s="2" t="s">
        <v>5905</v>
      </c>
      <c r="J916" s="2" t="s">
        <v>5561</v>
      </c>
      <c r="K916" s="2" t="s">
        <v>20492</v>
      </c>
    </row>
    <row r="917">
      <c r="A917" s="2" t="s">
        <v>4736</v>
      </c>
      <c r="B917" s="2" t="s">
        <v>20493</v>
      </c>
      <c r="C917" s="2">
        <v>3.593612544E9</v>
      </c>
      <c r="D917" s="2" t="s">
        <v>20491</v>
      </c>
      <c r="E917" s="2">
        <v>193050.0</v>
      </c>
      <c r="F917" s="2">
        <v>0.0</v>
      </c>
      <c r="G917" s="2">
        <v>7710.0</v>
      </c>
      <c r="H917" s="2" t="s">
        <v>5905</v>
      </c>
      <c r="I917" s="2" t="s">
        <v>5906</v>
      </c>
      <c r="J917" s="2" t="s">
        <v>20494</v>
      </c>
      <c r="K917" s="2" t="s">
        <v>20495</v>
      </c>
      <c r="L917" s="10" t="s">
        <v>20496</v>
      </c>
    </row>
    <row r="918">
      <c r="A918" s="2" t="s">
        <v>4736</v>
      </c>
      <c r="B918" s="2" t="s">
        <v>20497</v>
      </c>
      <c r="C918" s="2">
        <v>2.44870201E8</v>
      </c>
      <c r="D918" s="2" t="s">
        <v>20498</v>
      </c>
      <c r="E918" s="2">
        <v>38853.0</v>
      </c>
      <c r="F918" s="2">
        <v>0.0</v>
      </c>
      <c r="G918" s="2">
        <v>180.0</v>
      </c>
      <c r="H918" s="2" t="s">
        <v>5905</v>
      </c>
      <c r="I918" s="2" t="s">
        <v>5905</v>
      </c>
      <c r="K918" s="2" t="s">
        <v>20499</v>
      </c>
    </row>
    <row r="919">
      <c r="A919" s="2" t="s">
        <v>4674</v>
      </c>
      <c r="B919" s="2" t="s">
        <v>20500</v>
      </c>
      <c r="C919" s="2">
        <v>5.7378953746E10</v>
      </c>
      <c r="D919" s="2" t="s">
        <v>20501</v>
      </c>
      <c r="E919" s="2">
        <v>11548.0</v>
      </c>
      <c r="F919" s="2">
        <v>3958.0</v>
      </c>
      <c r="G919" s="2">
        <v>1.0</v>
      </c>
      <c r="H919" s="2" t="s">
        <v>5905</v>
      </c>
      <c r="I919" s="2" t="s">
        <v>5905</v>
      </c>
      <c r="J919" s="2" t="s">
        <v>5993</v>
      </c>
    </row>
    <row r="920">
      <c r="A920" s="2" t="s">
        <v>4615</v>
      </c>
      <c r="B920" s="2" t="s">
        <v>20502</v>
      </c>
      <c r="C920" s="2">
        <v>6.0256701317E10</v>
      </c>
      <c r="D920" s="2" t="s">
        <v>20503</v>
      </c>
      <c r="E920" s="2">
        <v>525761.0</v>
      </c>
      <c r="F920" s="2">
        <v>229.0</v>
      </c>
      <c r="G920" s="2">
        <v>3601.0</v>
      </c>
      <c r="H920" s="2" t="s">
        <v>5906</v>
      </c>
      <c r="I920" s="2" t="s">
        <v>5905</v>
      </c>
      <c r="J920" s="2" t="s">
        <v>5959</v>
      </c>
      <c r="K920" s="2" t="s">
        <v>20504</v>
      </c>
    </row>
    <row r="921">
      <c r="A921" s="2" t="s">
        <v>4615</v>
      </c>
      <c r="B921" s="2" t="s">
        <v>20505</v>
      </c>
      <c r="C921" s="2">
        <v>5.6235330844E10</v>
      </c>
      <c r="D921" s="2" t="s">
        <v>20506</v>
      </c>
      <c r="E921" s="2">
        <v>28238.0</v>
      </c>
      <c r="F921" s="2">
        <v>6.0</v>
      </c>
      <c r="G921" s="2">
        <v>320.0</v>
      </c>
      <c r="H921" s="2" t="s">
        <v>5905</v>
      </c>
      <c r="I921" s="2" t="s">
        <v>5906</v>
      </c>
      <c r="J921" s="2" t="s">
        <v>5968</v>
      </c>
      <c r="K921" s="2" t="s">
        <v>20507</v>
      </c>
      <c r="L921" s="10" t="s">
        <v>20508</v>
      </c>
    </row>
    <row r="922">
      <c r="A922" s="2" t="s">
        <v>4615</v>
      </c>
      <c r="B922" s="2" t="s">
        <v>20509</v>
      </c>
      <c r="C922" s="2">
        <v>6.9433545633E10</v>
      </c>
      <c r="D922" s="2" t="s">
        <v>20503</v>
      </c>
      <c r="E922" s="2">
        <v>111535.0</v>
      </c>
      <c r="F922" s="2">
        <v>19.0</v>
      </c>
      <c r="G922" s="2">
        <v>685.0</v>
      </c>
      <c r="H922" s="2" t="s">
        <v>5906</v>
      </c>
      <c r="I922" s="2" t="s">
        <v>5906</v>
      </c>
      <c r="J922" s="2" t="s">
        <v>20510</v>
      </c>
      <c r="K922" s="2" t="s">
        <v>20511</v>
      </c>
    </row>
    <row r="923">
      <c r="A923" s="2" t="s">
        <v>4615</v>
      </c>
      <c r="B923" s="2" t="s">
        <v>20512</v>
      </c>
      <c r="C923" s="2">
        <v>5.0672985953E10</v>
      </c>
      <c r="D923" s="2" t="s">
        <v>20503</v>
      </c>
      <c r="E923" s="2">
        <v>10138.0</v>
      </c>
      <c r="F923" s="2">
        <v>6083.0</v>
      </c>
      <c r="G923" s="2">
        <v>207.0</v>
      </c>
      <c r="H923" s="2" t="s">
        <v>5905</v>
      </c>
      <c r="I923" s="2" t="s">
        <v>5905</v>
      </c>
      <c r="J923" s="2" t="s">
        <v>20513</v>
      </c>
      <c r="K923" s="2" t="s">
        <v>20514</v>
      </c>
      <c r="L923" s="10" t="s">
        <v>20515</v>
      </c>
    </row>
    <row r="924">
      <c r="A924" s="2" t="s">
        <v>4673</v>
      </c>
      <c r="B924" s="2" t="s">
        <v>20516</v>
      </c>
      <c r="C924" s="2">
        <v>6.058778383E9</v>
      </c>
      <c r="D924" s="2" t="s">
        <v>20517</v>
      </c>
      <c r="E924" s="2">
        <v>22746.0</v>
      </c>
      <c r="F924" s="2">
        <v>225.0</v>
      </c>
      <c r="G924" s="2">
        <v>720.0</v>
      </c>
      <c r="H924" s="2" t="s">
        <v>5905</v>
      </c>
      <c r="I924" s="2" t="s">
        <v>5905</v>
      </c>
      <c r="J924" s="2" t="s">
        <v>5959</v>
      </c>
      <c r="K924" s="2" t="s">
        <v>20518</v>
      </c>
      <c r="L924" s="10" t="s">
        <v>20519</v>
      </c>
    </row>
    <row r="925">
      <c r="A925" s="2" t="s">
        <v>4711</v>
      </c>
      <c r="B925" s="2" t="s">
        <v>20520</v>
      </c>
      <c r="C925" s="2">
        <v>1.0448332283E10</v>
      </c>
      <c r="D925" s="2" t="s">
        <v>20521</v>
      </c>
      <c r="E925" s="2">
        <v>17822.0</v>
      </c>
      <c r="F925" s="2">
        <v>1130.0</v>
      </c>
      <c r="G925" s="2">
        <v>220.0</v>
      </c>
      <c r="H925" s="2" t="s">
        <v>5905</v>
      </c>
      <c r="I925" s="2" t="s">
        <v>5905</v>
      </c>
      <c r="J925" s="2" t="s">
        <v>20522</v>
      </c>
      <c r="K925" s="2" t="s">
        <v>20523</v>
      </c>
      <c r="L925" s="10" t="s">
        <v>20524</v>
      </c>
    </row>
    <row r="926">
      <c r="A926" s="2" t="s">
        <v>4711</v>
      </c>
      <c r="B926" s="10" t="s">
        <v>20525</v>
      </c>
      <c r="C926" s="2">
        <v>1.7193918338E10</v>
      </c>
      <c r="D926" s="10" t="s">
        <v>20526</v>
      </c>
      <c r="E926" s="2">
        <v>13323.0</v>
      </c>
      <c r="F926" s="2">
        <v>65.0</v>
      </c>
      <c r="G926" s="2">
        <v>2291.0</v>
      </c>
      <c r="H926" s="2" t="s">
        <v>5905</v>
      </c>
      <c r="I926" s="2" t="s">
        <v>5906</v>
      </c>
      <c r="J926" s="2" t="s">
        <v>20527</v>
      </c>
      <c r="K926" s="2" t="s">
        <v>20528</v>
      </c>
      <c r="L926" s="10" t="s">
        <v>20529</v>
      </c>
    </row>
    <row r="927">
      <c r="A927" s="2" t="s">
        <v>4711</v>
      </c>
      <c r="B927" s="2" t="s">
        <v>20530</v>
      </c>
      <c r="C927" s="2">
        <v>3.9285653246E10</v>
      </c>
      <c r="D927" s="2" t="s">
        <v>20531</v>
      </c>
      <c r="E927" s="2">
        <v>167886.0</v>
      </c>
      <c r="F927" s="2">
        <v>26.0</v>
      </c>
      <c r="G927" s="2">
        <v>791.0</v>
      </c>
      <c r="H927" s="2" t="s">
        <v>5905</v>
      </c>
      <c r="I927" s="2" t="s">
        <v>5906</v>
      </c>
      <c r="J927" s="2" t="s">
        <v>5492</v>
      </c>
      <c r="K927" s="2" t="s">
        <v>20532</v>
      </c>
      <c r="L927" s="10" t="s">
        <v>20533</v>
      </c>
    </row>
    <row r="928">
      <c r="A928" s="2" t="s">
        <v>4628</v>
      </c>
      <c r="B928" s="2" t="s">
        <v>20534</v>
      </c>
      <c r="C928" s="2">
        <v>5.6682357807E10</v>
      </c>
      <c r="D928" s="2" t="s">
        <v>20535</v>
      </c>
      <c r="E928" s="2">
        <v>11993.0</v>
      </c>
      <c r="F928" s="2">
        <v>801.0</v>
      </c>
      <c r="G928" s="2">
        <v>66.0</v>
      </c>
      <c r="H928" s="2" t="s">
        <v>5905</v>
      </c>
      <c r="I928" s="2" t="s">
        <v>5905</v>
      </c>
      <c r="J928" s="2" t="s">
        <v>17983</v>
      </c>
      <c r="K928" s="2" t="s">
        <v>20536</v>
      </c>
    </row>
    <row r="929">
      <c r="A929" s="2" t="s">
        <v>4628</v>
      </c>
      <c r="B929" s="2" t="s">
        <v>20537</v>
      </c>
      <c r="C929" s="2">
        <v>2.6725398471E10</v>
      </c>
      <c r="D929" s="2" t="s">
        <v>20538</v>
      </c>
      <c r="E929" s="2">
        <v>214854.0</v>
      </c>
      <c r="F929" s="2">
        <v>391.0</v>
      </c>
      <c r="G929" s="2">
        <v>425.0</v>
      </c>
      <c r="H929" s="2" t="s">
        <v>5906</v>
      </c>
      <c r="I929" s="2" t="s">
        <v>5905</v>
      </c>
      <c r="J929" s="2" t="s">
        <v>5959</v>
      </c>
      <c r="K929" s="2" t="s">
        <v>20539</v>
      </c>
      <c r="L929" s="10" t="s">
        <v>20540</v>
      </c>
    </row>
    <row r="930">
      <c r="A930" s="2" t="s">
        <v>4769</v>
      </c>
      <c r="B930" s="2" t="s">
        <v>20541</v>
      </c>
      <c r="C930" s="2">
        <v>8.248501044E9</v>
      </c>
      <c r="D930" s="2" t="s">
        <v>20542</v>
      </c>
      <c r="E930" s="2">
        <v>118319.0</v>
      </c>
      <c r="F930" s="2">
        <v>72.0</v>
      </c>
      <c r="G930" s="2">
        <v>4623.0</v>
      </c>
      <c r="H930" s="2" t="s">
        <v>5905</v>
      </c>
      <c r="I930" s="2" t="s">
        <v>5905</v>
      </c>
      <c r="J930" s="2" t="s">
        <v>5959</v>
      </c>
      <c r="K930" s="2" t="s">
        <v>20543</v>
      </c>
      <c r="L930" s="10" t="s">
        <v>20544</v>
      </c>
    </row>
    <row r="931">
      <c r="A931" s="2" t="s">
        <v>4769</v>
      </c>
      <c r="B931" s="2" t="s">
        <v>15850</v>
      </c>
      <c r="C931" s="2">
        <v>7.229089703E9</v>
      </c>
      <c r="D931" s="2" t="s">
        <v>15851</v>
      </c>
      <c r="E931" s="2">
        <v>708084.0</v>
      </c>
      <c r="F931" s="2">
        <v>101.0</v>
      </c>
      <c r="G931" s="2">
        <v>1865.0</v>
      </c>
      <c r="H931" s="2" t="s">
        <v>5906</v>
      </c>
      <c r="I931" s="2" t="s">
        <v>5905</v>
      </c>
      <c r="K931" s="2" t="s">
        <v>15852</v>
      </c>
    </row>
    <row r="932">
      <c r="A932" s="2" t="s">
        <v>3716</v>
      </c>
      <c r="B932" s="2" t="s">
        <v>20545</v>
      </c>
      <c r="C932" s="2">
        <v>1.3698659458E10</v>
      </c>
      <c r="D932" s="2" t="s">
        <v>20546</v>
      </c>
      <c r="E932" s="2">
        <v>232320.0</v>
      </c>
      <c r="F932" s="2">
        <v>154.0</v>
      </c>
      <c r="G932" s="2">
        <v>1000.0</v>
      </c>
      <c r="H932" s="2" t="s">
        <v>5905</v>
      </c>
      <c r="I932" s="2" t="s">
        <v>5905</v>
      </c>
      <c r="J932" s="2" t="s">
        <v>9008</v>
      </c>
      <c r="K932" s="2" t="s">
        <v>20547</v>
      </c>
      <c r="L932" s="10" t="s">
        <v>20548</v>
      </c>
    </row>
    <row r="933">
      <c r="A933" s="2" t="s">
        <v>3716</v>
      </c>
      <c r="B933" s="2" t="s">
        <v>20549</v>
      </c>
      <c r="C933" s="2">
        <v>1.3120054198E10</v>
      </c>
      <c r="D933" s="2" t="s">
        <v>20550</v>
      </c>
      <c r="E933" s="2">
        <v>138057.0</v>
      </c>
      <c r="F933" s="2">
        <v>13.0</v>
      </c>
      <c r="G933" s="2">
        <v>1802.0</v>
      </c>
      <c r="H933" s="2" t="s">
        <v>5905</v>
      </c>
      <c r="I933" s="2" t="s">
        <v>5905</v>
      </c>
      <c r="J933" s="2" t="s">
        <v>5928</v>
      </c>
      <c r="K933" s="2" t="s">
        <v>20551</v>
      </c>
      <c r="L933" s="10" t="s">
        <v>20552</v>
      </c>
    </row>
    <row r="934">
      <c r="A934" s="2" t="s">
        <v>3716</v>
      </c>
      <c r="B934" s="2" t="s">
        <v>20553</v>
      </c>
      <c r="C934" s="2">
        <v>3.1107343391E10</v>
      </c>
      <c r="D934" s="2" t="s">
        <v>20554</v>
      </c>
      <c r="E934" s="2">
        <v>63546.0</v>
      </c>
      <c r="F934" s="2">
        <v>911.0</v>
      </c>
      <c r="G934" s="2">
        <v>425.0</v>
      </c>
      <c r="H934" s="2" t="s">
        <v>5905</v>
      </c>
      <c r="I934" s="2" t="s">
        <v>5905</v>
      </c>
      <c r="J934" s="2" t="s">
        <v>10778</v>
      </c>
      <c r="K934" s="2" t="s">
        <v>20555</v>
      </c>
    </row>
    <row r="935">
      <c r="A935" s="2" t="s">
        <v>4536</v>
      </c>
      <c r="B935" s="2" t="s">
        <v>20556</v>
      </c>
      <c r="C935" s="2">
        <v>1.510115978E9</v>
      </c>
      <c r="D935" s="2" t="s">
        <v>20557</v>
      </c>
      <c r="E935" s="2">
        <v>238251.0</v>
      </c>
      <c r="F935" s="2">
        <v>1955.0</v>
      </c>
      <c r="G935" s="2">
        <v>3865.0</v>
      </c>
      <c r="H935" s="2" t="s">
        <v>5906</v>
      </c>
      <c r="I935" s="2" t="s">
        <v>5906</v>
      </c>
      <c r="K935" s="2" t="s">
        <v>20558</v>
      </c>
      <c r="L935" s="10" t="s">
        <v>20559</v>
      </c>
    </row>
    <row r="936">
      <c r="A936" s="2" t="s">
        <v>4536</v>
      </c>
      <c r="B936" s="2" t="s">
        <v>20560</v>
      </c>
      <c r="C936" s="2">
        <v>1.634390031E9</v>
      </c>
      <c r="D936" s="2" t="s">
        <v>20561</v>
      </c>
      <c r="E936" s="2">
        <v>1854667.0</v>
      </c>
      <c r="F936" s="2">
        <v>1515.0</v>
      </c>
      <c r="G936" s="2">
        <v>2041.0</v>
      </c>
      <c r="H936" s="2" t="s">
        <v>5905</v>
      </c>
      <c r="I936" s="2" t="s">
        <v>5906</v>
      </c>
      <c r="J936" s="2" t="s">
        <v>6002</v>
      </c>
      <c r="K936" s="2" t="s">
        <v>20562</v>
      </c>
      <c r="L936" s="10" t="s">
        <v>20563</v>
      </c>
    </row>
    <row r="937">
      <c r="A937" s="2" t="s">
        <v>4536</v>
      </c>
      <c r="B937" s="2" t="s">
        <v>20564</v>
      </c>
      <c r="C937" s="2">
        <v>2.8009927312E10</v>
      </c>
      <c r="D937" s="2" t="s">
        <v>20565</v>
      </c>
      <c r="E937" s="2">
        <v>14991.0</v>
      </c>
      <c r="F937" s="2">
        <v>5.0</v>
      </c>
      <c r="G937" s="2">
        <v>150.0</v>
      </c>
      <c r="H937" s="2" t="s">
        <v>5905</v>
      </c>
      <c r="I937" s="2" t="s">
        <v>5906</v>
      </c>
      <c r="J937" s="2" t="s">
        <v>5959</v>
      </c>
      <c r="K937" s="2" t="s">
        <v>20566</v>
      </c>
      <c r="L937" s="10" t="s">
        <v>20567</v>
      </c>
    </row>
    <row r="938">
      <c r="A938" s="2" t="s">
        <v>4536</v>
      </c>
      <c r="B938" s="2" t="s">
        <v>4536</v>
      </c>
      <c r="C938" s="2">
        <v>4.113287209E9</v>
      </c>
      <c r="D938" s="2" t="s">
        <v>20568</v>
      </c>
      <c r="E938" s="2">
        <v>18562.0</v>
      </c>
      <c r="F938" s="2">
        <v>242.0</v>
      </c>
      <c r="G938" s="2">
        <v>281.0</v>
      </c>
      <c r="H938" s="2" t="s">
        <v>5905</v>
      </c>
      <c r="I938" s="2" t="s">
        <v>5906</v>
      </c>
      <c r="K938" s="2" t="s">
        <v>20569</v>
      </c>
      <c r="L938" s="10" t="s">
        <v>20570</v>
      </c>
    </row>
    <row r="939">
      <c r="A939" s="2" t="s">
        <v>4536</v>
      </c>
      <c r="B939" s="2" t="s">
        <v>20571</v>
      </c>
      <c r="C939" s="2">
        <v>6.2519690763E10</v>
      </c>
      <c r="D939" s="2" t="s">
        <v>20572</v>
      </c>
      <c r="E939" s="2">
        <v>409179.0</v>
      </c>
      <c r="F939" s="2">
        <v>1.0</v>
      </c>
      <c r="G939" s="2">
        <v>1454.0</v>
      </c>
      <c r="H939" s="2" t="s">
        <v>5905</v>
      </c>
      <c r="I939" s="2" t="s">
        <v>5905</v>
      </c>
      <c r="J939" s="2" t="s">
        <v>5561</v>
      </c>
      <c r="K939" s="2" t="s">
        <v>20573</v>
      </c>
      <c r="L939" s="10" t="s">
        <v>20574</v>
      </c>
    </row>
    <row r="940">
      <c r="A940" s="2" t="s">
        <v>4536</v>
      </c>
      <c r="B940" s="2" t="s">
        <v>20575</v>
      </c>
      <c r="C940" s="2">
        <v>6.2462927763E10</v>
      </c>
      <c r="D940" s="2" t="s">
        <v>20576</v>
      </c>
      <c r="E940" s="2">
        <v>2703024.0</v>
      </c>
      <c r="F940" s="2">
        <v>0.0</v>
      </c>
      <c r="G940" s="2">
        <v>2382.0</v>
      </c>
      <c r="H940" s="2" t="s">
        <v>5906</v>
      </c>
      <c r="I940" s="2" t="s">
        <v>5905</v>
      </c>
      <c r="J940" s="2" t="s">
        <v>5561</v>
      </c>
      <c r="K940" s="2" t="s">
        <v>20577</v>
      </c>
      <c r="L940" s="10" t="s">
        <v>20574</v>
      </c>
    </row>
    <row r="941">
      <c r="A941" s="2" t="s">
        <v>4536</v>
      </c>
      <c r="B941" s="2" t="s">
        <v>20578</v>
      </c>
      <c r="C941" s="2">
        <v>7.068307211E9</v>
      </c>
      <c r="D941" s="2" t="s">
        <v>20579</v>
      </c>
      <c r="E941" s="2">
        <v>1978580.0</v>
      </c>
      <c r="F941" s="2">
        <v>672.0</v>
      </c>
      <c r="G941" s="2">
        <v>1377.0</v>
      </c>
      <c r="H941" s="2" t="s">
        <v>5905</v>
      </c>
      <c r="I941" s="2" t="s">
        <v>5905</v>
      </c>
      <c r="J941" s="2" t="s">
        <v>5561</v>
      </c>
      <c r="K941" s="2" t="s">
        <v>20580</v>
      </c>
      <c r="L941" s="10" t="s">
        <v>20581</v>
      </c>
    </row>
    <row r="942">
      <c r="A942" s="2" t="s">
        <v>4536</v>
      </c>
      <c r="B942" s="2" t="s">
        <v>20582</v>
      </c>
      <c r="C942" s="2">
        <v>6.3148107697E10</v>
      </c>
      <c r="D942" s="2" t="s">
        <v>20583</v>
      </c>
      <c r="E942" s="2">
        <v>442195.0</v>
      </c>
      <c r="F942" s="2">
        <v>0.0</v>
      </c>
      <c r="G942" s="2">
        <v>1421.0</v>
      </c>
      <c r="H942" s="2" t="s">
        <v>5905</v>
      </c>
      <c r="I942" s="2" t="s">
        <v>5905</v>
      </c>
      <c r="J942" s="2" t="s">
        <v>5561</v>
      </c>
      <c r="K942" s="2" t="s">
        <v>20584</v>
      </c>
      <c r="L942" s="10" t="s">
        <v>20574</v>
      </c>
    </row>
    <row r="943">
      <c r="A943" s="2" t="s">
        <v>4536</v>
      </c>
      <c r="B943" s="2" t="s">
        <v>20585</v>
      </c>
      <c r="C943" s="2">
        <v>6.2645279244E10</v>
      </c>
      <c r="D943" s="2" t="s">
        <v>20586</v>
      </c>
      <c r="E943" s="2">
        <v>796244.0</v>
      </c>
      <c r="F943" s="2">
        <v>0.0</v>
      </c>
      <c r="G943" s="2">
        <v>1505.0</v>
      </c>
      <c r="H943" s="2" t="s">
        <v>5905</v>
      </c>
      <c r="I943" s="2" t="s">
        <v>5905</v>
      </c>
      <c r="J943" s="2" t="s">
        <v>5561</v>
      </c>
      <c r="K943" s="2" t="s">
        <v>20577</v>
      </c>
      <c r="L943" s="10" t="s">
        <v>20574</v>
      </c>
    </row>
    <row r="944">
      <c r="A944" s="2" t="s">
        <v>4536</v>
      </c>
      <c r="B944" s="2" t="s">
        <v>20587</v>
      </c>
      <c r="C944" s="2">
        <v>6.2411283126E10</v>
      </c>
      <c r="D944" s="2" t="s">
        <v>20588</v>
      </c>
      <c r="E944" s="2">
        <v>190095.0</v>
      </c>
      <c r="F944" s="2">
        <v>15.0</v>
      </c>
      <c r="G944" s="2">
        <v>347.0</v>
      </c>
      <c r="H944" s="2" t="s">
        <v>5905</v>
      </c>
      <c r="I944" s="2" t="s">
        <v>5905</v>
      </c>
      <c r="J944" s="2" t="s">
        <v>5928</v>
      </c>
      <c r="K944" s="2" t="s">
        <v>20589</v>
      </c>
      <c r="L944" s="10" t="s">
        <v>20590</v>
      </c>
    </row>
    <row r="945">
      <c r="A945" s="2" t="s">
        <v>4536</v>
      </c>
      <c r="B945" s="2" t="s">
        <v>20591</v>
      </c>
      <c r="C945" s="2">
        <v>1.7666466797E10</v>
      </c>
      <c r="D945" s="2" t="s">
        <v>20592</v>
      </c>
      <c r="E945" s="2">
        <v>357043.0</v>
      </c>
      <c r="F945" s="2">
        <v>878.0</v>
      </c>
      <c r="G945" s="2">
        <v>1060.0</v>
      </c>
      <c r="H945" s="2" t="s">
        <v>5905</v>
      </c>
      <c r="I945" s="2" t="s">
        <v>5906</v>
      </c>
      <c r="J945" s="2" t="s">
        <v>5391</v>
      </c>
      <c r="K945" s="2" t="s">
        <v>20593</v>
      </c>
      <c r="L945" s="10" t="s">
        <v>20594</v>
      </c>
    </row>
    <row r="946">
      <c r="A946" s="2" t="s">
        <v>4536</v>
      </c>
      <c r="B946" s="2" t="s">
        <v>20595</v>
      </c>
      <c r="C946" s="2">
        <v>6.8880321692E10</v>
      </c>
      <c r="D946" s="2" t="s">
        <v>20596</v>
      </c>
      <c r="E946" s="2">
        <v>542308.0</v>
      </c>
      <c r="F946" s="2">
        <v>4.0</v>
      </c>
      <c r="G946" s="2">
        <v>264.0</v>
      </c>
      <c r="H946" s="2" t="s">
        <v>5905</v>
      </c>
      <c r="I946" s="2" t="s">
        <v>5905</v>
      </c>
      <c r="J946" s="2" t="s">
        <v>5928</v>
      </c>
      <c r="K946" s="2" t="s">
        <v>20597</v>
      </c>
      <c r="L946" s="10" t="s">
        <v>20598</v>
      </c>
    </row>
    <row r="947">
      <c r="A947" s="2" t="s">
        <v>4536</v>
      </c>
      <c r="B947" s="2" t="s">
        <v>20599</v>
      </c>
      <c r="C947" s="2">
        <v>5.9643801667E10</v>
      </c>
      <c r="D947" s="2" t="s">
        <v>20600</v>
      </c>
      <c r="E947" s="2">
        <v>288072.0</v>
      </c>
      <c r="F947" s="2">
        <v>0.0</v>
      </c>
      <c r="G947" s="2">
        <v>46.0</v>
      </c>
      <c r="H947" s="2" t="s">
        <v>5905</v>
      </c>
      <c r="I947" s="2" t="s">
        <v>5905</v>
      </c>
      <c r="J947" s="2" t="s">
        <v>20601</v>
      </c>
      <c r="K947" s="2" t="s">
        <v>20602</v>
      </c>
      <c r="L947" s="10" t="s">
        <v>20603</v>
      </c>
    </row>
    <row r="948">
      <c r="A948" s="2" t="s">
        <v>4536</v>
      </c>
      <c r="B948" s="2" t="s">
        <v>20604</v>
      </c>
      <c r="C948" s="2">
        <v>4.004434813E10</v>
      </c>
      <c r="D948" s="2" t="s">
        <v>20605</v>
      </c>
      <c r="E948" s="2">
        <v>293175.0</v>
      </c>
      <c r="F948" s="2">
        <v>941.0</v>
      </c>
      <c r="G948" s="2">
        <v>1601.0</v>
      </c>
      <c r="H948" s="2" t="s">
        <v>5906</v>
      </c>
      <c r="I948" s="2" t="s">
        <v>5905</v>
      </c>
      <c r="J948" s="2" t="s">
        <v>5959</v>
      </c>
      <c r="K948" s="2" t="s">
        <v>20606</v>
      </c>
      <c r="L948" s="10" t="s">
        <v>20607</v>
      </c>
    </row>
    <row r="949">
      <c r="A949" s="2" t="s">
        <v>4536</v>
      </c>
      <c r="B949" s="2" t="s">
        <v>20608</v>
      </c>
      <c r="C949" s="2">
        <v>6.2783572909E10</v>
      </c>
      <c r="D949" s="2" t="s">
        <v>20609</v>
      </c>
      <c r="E949" s="2">
        <v>368107.0</v>
      </c>
      <c r="F949" s="2">
        <v>103.0</v>
      </c>
      <c r="G949" s="2">
        <v>224.0</v>
      </c>
      <c r="H949" s="2" t="s">
        <v>5906</v>
      </c>
      <c r="I949" s="2" t="s">
        <v>5905</v>
      </c>
      <c r="J949" s="2" t="s">
        <v>20601</v>
      </c>
      <c r="K949" s="2" t="s">
        <v>20610</v>
      </c>
      <c r="L949" s="10" t="s">
        <v>20611</v>
      </c>
    </row>
    <row r="950">
      <c r="A950" s="2" t="s">
        <v>4536</v>
      </c>
      <c r="B950" s="2" t="s">
        <v>20612</v>
      </c>
      <c r="C950" s="2">
        <v>2.90275428E8</v>
      </c>
      <c r="D950" s="2" t="s">
        <v>20613</v>
      </c>
      <c r="E950" s="2">
        <v>67288.0</v>
      </c>
      <c r="F950" s="2">
        <v>836.0</v>
      </c>
      <c r="G950" s="2">
        <v>2238.0</v>
      </c>
      <c r="H950" s="2" t="s">
        <v>5905</v>
      </c>
      <c r="I950" s="2" t="s">
        <v>5906</v>
      </c>
      <c r="J950" s="2" t="s">
        <v>6745</v>
      </c>
      <c r="K950" s="2" t="s">
        <v>20614</v>
      </c>
      <c r="L950" s="10" t="s">
        <v>20615</v>
      </c>
    </row>
    <row r="951">
      <c r="A951" s="2" t="s">
        <v>4536</v>
      </c>
      <c r="B951" s="2" t="s">
        <v>20616</v>
      </c>
      <c r="C951" s="2">
        <v>6.6309292962E10</v>
      </c>
      <c r="D951" s="2" t="s">
        <v>20617</v>
      </c>
      <c r="E951" s="2">
        <v>154400.0</v>
      </c>
      <c r="F951" s="2">
        <v>413.0</v>
      </c>
      <c r="G951" s="2">
        <v>289.0</v>
      </c>
      <c r="H951" s="2" t="s">
        <v>5905</v>
      </c>
      <c r="I951" s="2" t="s">
        <v>5905</v>
      </c>
      <c r="J951" s="2" t="s">
        <v>20601</v>
      </c>
      <c r="K951" s="2" t="s">
        <v>20618</v>
      </c>
      <c r="L951" s="10" t="s">
        <v>20619</v>
      </c>
    </row>
    <row r="952">
      <c r="A952" s="2" t="s">
        <v>4536</v>
      </c>
      <c r="B952" s="2" t="s">
        <v>20620</v>
      </c>
      <c r="C952" s="2">
        <v>1.904368092E9</v>
      </c>
      <c r="D952" s="2" t="s">
        <v>20621</v>
      </c>
      <c r="E952" s="2">
        <v>347622.0</v>
      </c>
      <c r="F952" s="2">
        <v>5930.0</v>
      </c>
      <c r="G952" s="2">
        <v>6234.0</v>
      </c>
      <c r="H952" s="2" t="s">
        <v>5905</v>
      </c>
      <c r="I952" s="2" t="s">
        <v>5906</v>
      </c>
      <c r="J952" s="2" t="s">
        <v>19601</v>
      </c>
      <c r="K952" s="2" t="s">
        <v>20622</v>
      </c>
      <c r="L952" s="10" t="s">
        <v>20623</v>
      </c>
    </row>
    <row r="953">
      <c r="A953" s="2" t="s">
        <v>4536</v>
      </c>
      <c r="B953" s="2" t="s">
        <v>20624</v>
      </c>
      <c r="C953" s="2">
        <v>5.1203078982E10</v>
      </c>
      <c r="D953" s="2" t="s">
        <v>20625</v>
      </c>
      <c r="E953" s="2">
        <v>472717.0</v>
      </c>
      <c r="F953" s="2">
        <v>2095.0</v>
      </c>
      <c r="G953" s="2">
        <v>1491.0</v>
      </c>
      <c r="H953" s="2" t="s">
        <v>5906</v>
      </c>
      <c r="I953" s="2" t="s">
        <v>5905</v>
      </c>
      <c r="J953" s="2" t="s">
        <v>5959</v>
      </c>
      <c r="K953" s="2" t="s">
        <v>20626</v>
      </c>
      <c r="L953" s="10" t="s">
        <v>20627</v>
      </c>
    </row>
    <row r="954">
      <c r="A954" s="2" t="s">
        <v>4721</v>
      </c>
      <c r="B954" s="2" t="s">
        <v>20628</v>
      </c>
      <c r="C954" s="2">
        <v>1.627015919E9</v>
      </c>
      <c r="D954" s="2" t="s">
        <v>20629</v>
      </c>
      <c r="E954" s="2">
        <v>462423.0</v>
      </c>
      <c r="F954" s="2">
        <v>90.0</v>
      </c>
      <c r="G954" s="2">
        <v>1169.0</v>
      </c>
      <c r="H954" s="2" t="s">
        <v>5905</v>
      </c>
      <c r="I954" s="2" t="s">
        <v>5906</v>
      </c>
      <c r="J954" s="2" t="s">
        <v>19601</v>
      </c>
      <c r="K954" s="2" t="s">
        <v>20630</v>
      </c>
      <c r="L954" s="10" t="s">
        <v>20631</v>
      </c>
    </row>
    <row r="955">
      <c r="A955" s="2" t="s">
        <v>4721</v>
      </c>
      <c r="B955" s="2" t="s">
        <v>20632</v>
      </c>
      <c r="C955" s="2">
        <v>2.95348854E8</v>
      </c>
      <c r="D955" s="2" t="s">
        <v>20633</v>
      </c>
      <c r="E955" s="2">
        <v>209770.0</v>
      </c>
      <c r="F955" s="2">
        <v>916.0</v>
      </c>
      <c r="G955" s="2">
        <v>2319.0</v>
      </c>
      <c r="H955" s="2" t="s">
        <v>5906</v>
      </c>
      <c r="I955" s="2" t="s">
        <v>5906</v>
      </c>
      <c r="K955" s="2" t="s">
        <v>20634</v>
      </c>
      <c r="L955" s="10" t="s">
        <v>20635</v>
      </c>
    </row>
    <row r="956">
      <c r="A956" s="2" t="s">
        <v>4685</v>
      </c>
      <c r="B956" s="2" t="s">
        <v>20636</v>
      </c>
      <c r="C956" s="2">
        <v>1.0615194108E10</v>
      </c>
      <c r="D956" s="2" t="s">
        <v>20637</v>
      </c>
      <c r="E956" s="2">
        <v>42369.0</v>
      </c>
      <c r="F956" s="2">
        <v>645.0</v>
      </c>
      <c r="G956" s="2">
        <v>1715.0</v>
      </c>
      <c r="H956" s="2" t="s">
        <v>5906</v>
      </c>
      <c r="I956" s="2" t="s">
        <v>5906</v>
      </c>
      <c r="J956" s="2" t="s">
        <v>5391</v>
      </c>
      <c r="K956" s="2" t="s">
        <v>20638</v>
      </c>
      <c r="L956" s="10" t="s">
        <v>20639</v>
      </c>
    </row>
    <row r="957">
      <c r="A957" s="2" t="s">
        <v>4685</v>
      </c>
      <c r="B957" s="2" t="s">
        <v>20640</v>
      </c>
      <c r="C957" s="2">
        <v>1.90209744E8</v>
      </c>
      <c r="D957" s="2" t="s">
        <v>20641</v>
      </c>
      <c r="E957" s="2">
        <v>36001.0</v>
      </c>
      <c r="F957" s="2">
        <v>628.0</v>
      </c>
      <c r="G957" s="2">
        <v>4305.0</v>
      </c>
      <c r="H957" s="2" t="s">
        <v>5905</v>
      </c>
      <c r="I957" s="2" t="s">
        <v>5906</v>
      </c>
      <c r="J957" s="2" t="s">
        <v>5968</v>
      </c>
      <c r="K957" s="2" t="s">
        <v>20642</v>
      </c>
      <c r="L957" s="10" t="s">
        <v>20643</v>
      </c>
    </row>
    <row r="958">
      <c r="A958" s="2" t="s">
        <v>4429</v>
      </c>
      <c r="B958" s="10" t="s">
        <v>20644</v>
      </c>
      <c r="C958" s="2">
        <v>4.9263564096E10</v>
      </c>
      <c r="D958" s="2" t="s">
        <v>20645</v>
      </c>
      <c r="E958" s="2">
        <v>77126.0</v>
      </c>
      <c r="F958" s="2">
        <v>30.0</v>
      </c>
      <c r="G958" s="2">
        <v>213.0</v>
      </c>
      <c r="H958" s="2" t="s">
        <v>5905</v>
      </c>
      <c r="I958" s="2" t="s">
        <v>5905</v>
      </c>
      <c r="J958" s="2" t="s">
        <v>6027</v>
      </c>
      <c r="K958" s="2" t="s">
        <v>20646</v>
      </c>
      <c r="L958" s="10" t="s">
        <v>20647</v>
      </c>
    </row>
    <row r="959">
      <c r="A959" s="2" t="s">
        <v>4429</v>
      </c>
      <c r="B959" s="2" t="s">
        <v>4429</v>
      </c>
      <c r="C959" s="2">
        <v>6.079241446E9</v>
      </c>
      <c r="D959" s="2" t="s">
        <v>20648</v>
      </c>
      <c r="E959" s="2">
        <v>16883.0</v>
      </c>
      <c r="F959" s="2">
        <v>4.0</v>
      </c>
      <c r="G959" s="2">
        <v>0.0</v>
      </c>
      <c r="H959" s="2" t="s">
        <v>5905</v>
      </c>
      <c r="I959" s="2" t="s">
        <v>5906</v>
      </c>
      <c r="J959" s="2" t="s">
        <v>4996</v>
      </c>
      <c r="K959" s="2" t="s">
        <v>20649</v>
      </c>
      <c r="L959" s="10" t="s">
        <v>20650</v>
      </c>
    </row>
    <row r="960">
      <c r="A960" s="2" t="s">
        <v>4429</v>
      </c>
      <c r="B960" s="2" t="s">
        <v>6836</v>
      </c>
      <c r="C960" s="2">
        <v>1.880311E7</v>
      </c>
      <c r="D960" s="2" t="s">
        <v>6837</v>
      </c>
      <c r="E960" s="2">
        <v>1574363.0</v>
      </c>
      <c r="F960" s="2">
        <v>503.0</v>
      </c>
      <c r="G960" s="2">
        <v>28616.0</v>
      </c>
      <c r="H960" s="2" t="s">
        <v>5906</v>
      </c>
      <c r="I960" s="2" t="s">
        <v>5906</v>
      </c>
      <c r="K960" s="2" t="s">
        <v>6838</v>
      </c>
      <c r="L960" s="10" t="s">
        <v>6839</v>
      </c>
    </row>
    <row r="961">
      <c r="A961" s="2" t="s">
        <v>4429</v>
      </c>
      <c r="B961" s="2" t="s">
        <v>20651</v>
      </c>
      <c r="C961" s="2">
        <v>2.6003801E7</v>
      </c>
      <c r="D961" s="2" t="s">
        <v>20652</v>
      </c>
      <c r="E961" s="2">
        <v>768661.0</v>
      </c>
      <c r="F961" s="2">
        <v>639.0</v>
      </c>
      <c r="G961" s="2">
        <v>16213.0</v>
      </c>
      <c r="H961" s="2" t="s">
        <v>5906</v>
      </c>
      <c r="I961" s="2" t="s">
        <v>5906</v>
      </c>
      <c r="K961" s="2" t="s">
        <v>20653</v>
      </c>
      <c r="L961" s="10" t="s">
        <v>20654</v>
      </c>
    </row>
    <row r="962">
      <c r="A962" s="2" t="s">
        <v>4429</v>
      </c>
      <c r="B962" s="2" t="s">
        <v>20655</v>
      </c>
      <c r="C962" s="2">
        <v>4.018838772E9</v>
      </c>
      <c r="D962" s="2" t="s">
        <v>20656</v>
      </c>
      <c r="E962" s="2">
        <v>275299.0</v>
      </c>
      <c r="F962" s="2">
        <v>772.0</v>
      </c>
      <c r="G962" s="2">
        <v>2655.0</v>
      </c>
      <c r="H962" s="2" t="s">
        <v>5906</v>
      </c>
      <c r="I962" s="2" t="s">
        <v>5906</v>
      </c>
      <c r="J962" s="2" t="s">
        <v>5492</v>
      </c>
      <c r="K962" s="2" t="s">
        <v>20657</v>
      </c>
    </row>
    <row r="963">
      <c r="A963" s="2" t="s">
        <v>4429</v>
      </c>
      <c r="B963" s="2" t="s">
        <v>20658</v>
      </c>
      <c r="C963" s="2">
        <v>7512751.0</v>
      </c>
      <c r="D963" s="2" t="s">
        <v>20659</v>
      </c>
      <c r="E963" s="2">
        <v>1966870.0</v>
      </c>
      <c r="F963" s="2">
        <v>284.0</v>
      </c>
      <c r="G963" s="2">
        <v>20721.0</v>
      </c>
      <c r="H963" s="2" t="s">
        <v>5906</v>
      </c>
      <c r="I963" s="2" t="s">
        <v>5906</v>
      </c>
      <c r="K963" s="2" t="s">
        <v>20660</v>
      </c>
      <c r="L963" s="10" t="s">
        <v>20661</v>
      </c>
    </row>
    <row r="964">
      <c r="A964" s="2" t="s">
        <v>4429</v>
      </c>
      <c r="B964" s="2" t="s">
        <v>20662</v>
      </c>
      <c r="C964" s="2">
        <v>1.55082301E9</v>
      </c>
      <c r="D964" s="2" t="s">
        <v>20663</v>
      </c>
      <c r="E964" s="2">
        <v>629021.0</v>
      </c>
      <c r="F964" s="2">
        <v>2720.0</v>
      </c>
      <c r="G964" s="2">
        <v>17438.0</v>
      </c>
      <c r="H964" s="2" t="s">
        <v>5905</v>
      </c>
      <c r="I964" s="2" t="s">
        <v>5905</v>
      </c>
      <c r="J964" s="2" t="s">
        <v>5963</v>
      </c>
      <c r="K964" s="2" t="s">
        <v>20664</v>
      </c>
      <c r="L964" s="10" t="s">
        <v>20665</v>
      </c>
    </row>
    <row r="965">
      <c r="A965" s="2" t="s">
        <v>4429</v>
      </c>
      <c r="B965" s="2" t="s">
        <v>20666</v>
      </c>
      <c r="C965" s="2">
        <v>6.1180171029E10</v>
      </c>
      <c r="D965" s="2" t="s">
        <v>20667</v>
      </c>
      <c r="E965" s="2">
        <v>18679.0</v>
      </c>
      <c r="F965" s="2">
        <v>343.0</v>
      </c>
      <c r="G965" s="2">
        <v>856.0</v>
      </c>
      <c r="H965" s="2" t="s">
        <v>5905</v>
      </c>
      <c r="I965" s="2" t="s">
        <v>5906</v>
      </c>
      <c r="J965" s="2" t="s">
        <v>5561</v>
      </c>
      <c r="K965" s="2" t="s">
        <v>20668</v>
      </c>
      <c r="L965" s="10" t="s">
        <v>20669</v>
      </c>
    </row>
    <row r="966">
      <c r="A966" s="2" t="s">
        <v>4429</v>
      </c>
      <c r="B966" s="2" t="s">
        <v>20670</v>
      </c>
      <c r="C966" s="2">
        <v>6.2212320753E10</v>
      </c>
      <c r="D966" s="2" t="s">
        <v>20671</v>
      </c>
      <c r="E966" s="2">
        <v>104882.0</v>
      </c>
      <c r="F966" s="2">
        <v>437.0</v>
      </c>
      <c r="G966" s="2">
        <v>543.0</v>
      </c>
      <c r="H966" s="2" t="s">
        <v>5906</v>
      </c>
      <c r="I966" s="2" t="s">
        <v>5905</v>
      </c>
      <c r="J966" s="2" t="s">
        <v>4397</v>
      </c>
      <c r="K966" s="2" t="s">
        <v>20672</v>
      </c>
      <c r="L966" s="10" t="s">
        <v>20673</v>
      </c>
    </row>
    <row r="967">
      <c r="A967" s="2" t="s">
        <v>4429</v>
      </c>
      <c r="B967" s="2" t="s">
        <v>20674</v>
      </c>
      <c r="C967" s="2">
        <v>1.4143282E9</v>
      </c>
      <c r="D967" s="2" t="s">
        <v>20649</v>
      </c>
      <c r="E967" s="2">
        <v>1771116.0</v>
      </c>
      <c r="F967" s="2">
        <v>5.0</v>
      </c>
      <c r="G967" s="2">
        <v>634.0</v>
      </c>
      <c r="H967" s="2" t="s">
        <v>5906</v>
      </c>
      <c r="I967" s="2" t="s">
        <v>5906</v>
      </c>
      <c r="J967" s="2" t="s">
        <v>6166</v>
      </c>
      <c r="K967" s="2" t="s">
        <v>20675</v>
      </c>
      <c r="L967" s="10" t="s">
        <v>20650</v>
      </c>
    </row>
    <row r="968">
      <c r="A968" s="2" t="s">
        <v>4429</v>
      </c>
      <c r="B968" s="2" t="s">
        <v>20676</v>
      </c>
      <c r="C968" s="2">
        <v>1.0703638966E10</v>
      </c>
      <c r="D968" s="2" t="s">
        <v>20677</v>
      </c>
      <c r="E968" s="2">
        <v>1114087.0</v>
      </c>
      <c r="F968" s="2">
        <v>0.0</v>
      </c>
      <c r="G968" s="2">
        <v>198.0</v>
      </c>
      <c r="H968" s="2" t="s">
        <v>5906</v>
      </c>
      <c r="I968" s="2" t="s">
        <v>5906</v>
      </c>
      <c r="J968" s="2" t="s">
        <v>4996</v>
      </c>
      <c r="K968" s="2" t="s">
        <v>20678</v>
      </c>
      <c r="L968" s="10" t="s">
        <v>20679</v>
      </c>
    </row>
    <row r="969">
      <c r="A969" s="2" t="s">
        <v>4429</v>
      </c>
      <c r="B969" s="2" t="s">
        <v>20680</v>
      </c>
      <c r="C969" s="2">
        <v>9.98051671E8</v>
      </c>
      <c r="D969" s="2" t="s">
        <v>20681</v>
      </c>
      <c r="E969" s="2">
        <v>177474.0</v>
      </c>
      <c r="F969" s="2">
        <v>207.0</v>
      </c>
      <c r="G969" s="2">
        <v>2931.0</v>
      </c>
      <c r="H969" s="2" t="s">
        <v>5906</v>
      </c>
      <c r="I969" s="2" t="s">
        <v>5906</v>
      </c>
      <c r="J969" s="2" t="s">
        <v>4397</v>
      </c>
      <c r="K969" s="2" t="s">
        <v>20682</v>
      </c>
      <c r="L969" s="10" t="s">
        <v>20683</v>
      </c>
    </row>
    <row r="970">
      <c r="A970" s="2" t="s">
        <v>4429</v>
      </c>
      <c r="B970" s="2" t="s">
        <v>20684</v>
      </c>
      <c r="C970" s="2">
        <v>5.2988044343E10</v>
      </c>
      <c r="D970" s="2" t="s">
        <v>20685</v>
      </c>
      <c r="E970" s="2">
        <v>210233.0</v>
      </c>
      <c r="F970" s="2">
        <v>32.0</v>
      </c>
      <c r="G970" s="2">
        <v>177.0</v>
      </c>
      <c r="H970" s="2" t="s">
        <v>5905</v>
      </c>
      <c r="I970" s="2" t="s">
        <v>5906</v>
      </c>
      <c r="J970" s="2" t="s">
        <v>5556</v>
      </c>
      <c r="K970" s="2" t="s">
        <v>20686</v>
      </c>
      <c r="L970" s="10" t="s">
        <v>20687</v>
      </c>
    </row>
    <row r="971">
      <c r="A971" s="2" t="s">
        <v>4429</v>
      </c>
      <c r="B971" s="2" t="s">
        <v>20688</v>
      </c>
      <c r="C971" s="2">
        <v>3.6162875387E10</v>
      </c>
      <c r="D971" s="2" t="s">
        <v>20689</v>
      </c>
      <c r="E971" s="2">
        <v>136838.0</v>
      </c>
      <c r="F971" s="2">
        <v>702.0</v>
      </c>
      <c r="G971" s="2">
        <v>879.0</v>
      </c>
      <c r="H971" s="2" t="s">
        <v>5906</v>
      </c>
      <c r="I971" s="2" t="s">
        <v>5905</v>
      </c>
      <c r="J971" s="2" t="s">
        <v>5928</v>
      </c>
      <c r="K971" s="2" t="s">
        <v>20690</v>
      </c>
      <c r="L971" s="10" t="s">
        <v>20691</v>
      </c>
    </row>
    <row r="972">
      <c r="A972" s="2" t="s">
        <v>4429</v>
      </c>
      <c r="B972" s="2" t="s">
        <v>20692</v>
      </c>
      <c r="C972" s="2">
        <v>2.02365192E8</v>
      </c>
      <c r="D972" s="2" t="s">
        <v>20693</v>
      </c>
      <c r="E972" s="2">
        <v>903449.0</v>
      </c>
      <c r="F972" s="2">
        <v>406.0</v>
      </c>
      <c r="G972" s="2">
        <v>6960.0</v>
      </c>
      <c r="H972" s="2" t="s">
        <v>5906</v>
      </c>
      <c r="I972" s="2" t="s">
        <v>5906</v>
      </c>
      <c r="J972" s="2" t="s">
        <v>5391</v>
      </c>
      <c r="K972" s="2" t="s">
        <v>20694</v>
      </c>
      <c r="L972" s="10" t="s">
        <v>20695</v>
      </c>
    </row>
    <row r="973">
      <c r="A973" s="2" t="s">
        <v>4429</v>
      </c>
      <c r="B973" s="2" t="s">
        <v>20696</v>
      </c>
      <c r="C973" s="2">
        <v>6.111337541E9</v>
      </c>
      <c r="D973" s="2" t="s">
        <v>20697</v>
      </c>
      <c r="E973" s="2">
        <v>2354955.0</v>
      </c>
      <c r="F973" s="2">
        <v>215.0</v>
      </c>
      <c r="G973" s="2">
        <v>7360.0</v>
      </c>
      <c r="H973" s="2" t="s">
        <v>5906</v>
      </c>
      <c r="I973" s="2" t="s">
        <v>5906</v>
      </c>
      <c r="J973" s="2" t="s">
        <v>13706</v>
      </c>
      <c r="K973" s="2" t="s">
        <v>20698</v>
      </c>
      <c r="L973" s="10" t="s">
        <v>20699</v>
      </c>
    </row>
    <row r="974">
      <c r="A974" s="2" t="s">
        <v>4506</v>
      </c>
      <c r="B974" s="2" t="s">
        <v>20700</v>
      </c>
      <c r="C974" s="2">
        <v>1.134143294E9</v>
      </c>
      <c r="D974" s="2" t="s">
        <v>20701</v>
      </c>
      <c r="E974" s="2">
        <v>1165347.0</v>
      </c>
      <c r="F974" s="2">
        <v>0.0</v>
      </c>
      <c r="G974" s="2">
        <v>2235.0</v>
      </c>
      <c r="H974" s="2" t="s">
        <v>5905</v>
      </c>
      <c r="I974" s="2" t="s">
        <v>5905</v>
      </c>
      <c r="J974" s="2" t="s">
        <v>5561</v>
      </c>
      <c r="K974" s="2" t="s">
        <v>20702</v>
      </c>
    </row>
    <row r="975">
      <c r="A975" s="2" t="s">
        <v>4506</v>
      </c>
      <c r="B975" s="2" t="s">
        <v>20703</v>
      </c>
      <c r="C975" s="2">
        <v>6.4698981593E10</v>
      </c>
      <c r="D975" s="2" t="s">
        <v>20704</v>
      </c>
      <c r="E975" s="2">
        <v>270373.0</v>
      </c>
      <c r="F975" s="2">
        <v>375.0</v>
      </c>
      <c r="G975" s="2">
        <v>831.0</v>
      </c>
      <c r="H975" s="2" t="s">
        <v>5905</v>
      </c>
      <c r="I975" s="2" t="s">
        <v>5905</v>
      </c>
      <c r="J975" s="2" t="s">
        <v>5518</v>
      </c>
      <c r="K975" s="2" t="s">
        <v>20705</v>
      </c>
      <c r="L975" s="10" t="s">
        <v>20706</v>
      </c>
    </row>
    <row r="976">
      <c r="A976" s="2" t="s">
        <v>4506</v>
      </c>
      <c r="B976" s="2" t="s">
        <v>4506</v>
      </c>
      <c r="C976" s="2">
        <v>4.327227447E9</v>
      </c>
      <c r="D976" s="2" t="s">
        <v>20707</v>
      </c>
      <c r="E976" s="2">
        <v>21872.0</v>
      </c>
      <c r="F976" s="2">
        <v>231.0</v>
      </c>
      <c r="G976" s="2">
        <v>88.0</v>
      </c>
      <c r="H976" s="2" t="s">
        <v>5905</v>
      </c>
      <c r="I976" s="2" t="s">
        <v>5905</v>
      </c>
      <c r="J976" s="2" t="s">
        <v>5993</v>
      </c>
      <c r="K976" s="2" t="s">
        <v>20708</v>
      </c>
    </row>
    <row r="977">
      <c r="A977" s="2" t="s">
        <v>4506</v>
      </c>
      <c r="B977" s="2" t="s">
        <v>20709</v>
      </c>
      <c r="C977" s="2">
        <v>1.9558528652E10</v>
      </c>
      <c r="D977" s="2" t="s">
        <v>20710</v>
      </c>
      <c r="E977" s="2">
        <v>10208.0</v>
      </c>
      <c r="F977" s="2">
        <v>79.0</v>
      </c>
      <c r="G977" s="2">
        <v>221.0</v>
      </c>
      <c r="H977" s="2" t="s">
        <v>5905</v>
      </c>
      <c r="I977" s="2" t="s">
        <v>5905</v>
      </c>
      <c r="J977" s="2" t="s">
        <v>5993</v>
      </c>
      <c r="K977" s="2" t="s">
        <v>20711</v>
      </c>
    </row>
    <row r="978">
      <c r="A978" s="2" t="s">
        <v>4506</v>
      </c>
      <c r="B978" s="2" t="s">
        <v>20712</v>
      </c>
      <c r="C978" s="2">
        <v>3.038115408E10</v>
      </c>
      <c r="D978" s="2" t="s">
        <v>20713</v>
      </c>
      <c r="E978" s="2">
        <v>186611.0</v>
      </c>
      <c r="F978" s="2">
        <v>57.0</v>
      </c>
      <c r="G978" s="2">
        <v>1216.0</v>
      </c>
      <c r="H978" s="2" t="s">
        <v>5905</v>
      </c>
      <c r="I978" s="2" t="s">
        <v>5906</v>
      </c>
      <c r="J978" s="2" t="s">
        <v>4404</v>
      </c>
      <c r="K978" s="2" t="s">
        <v>20714</v>
      </c>
      <c r="L978" s="10" t="s">
        <v>20715</v>
      </c>
    </row>
    <row r="979">
      <c r="A979" s="2" t="s">
        <v>4506</v>
      </c>
      <c r="B979" s="2" t="s">
        <v>20716</v>
      </c>
      <c r="C979" s="2">
        <v>4.4066760184E10</v>
      </c>
      <c r="D979" s="2" t="s">
        <v>20717</v>
      </c>
      <c r="E979" s="2">
        <v>562488.0</v>
      </c>
      <c r="F979" s="2">
        <v>18.0</v>
      </c>
      <c r="G979" s="2">
        <v>67.0</v>
      </c>
      <c r="H979" s="2" t="s">
        <v>5905</v>
      </c>
      <c r="I979" s="2" t="s">
        <v>5905</v>
      </c>
      <c r="J979" s="2" t="s">
        <v>5993</v>
      </c>
      <c r="K979" s="2" t="s">
        <v>20718</v>
      </c>
    </row>
    <row r="980">
      <c r="A980" s="2" t="s">
        <v>4506</v>
      </c>
      <c r="B980" s="2" t="s">
        <v>20719</v>
      </c>
      <c r="C980" s="2">
        <v>3.23351587E8</v>
      </c>
      <c r="D980" s="2" t="s">
        <v>20720</v>
      </c>
      <c r="E980" s="2">
        <v>10094.0</v>
      </c>
      <c r="F980" s="2">
        <v>7.0</v>
      </c>
      <c r="G980" s="2">
        <v>439.0</v>
      </c>
      <c r="H980" s="2" t="s">
        <v>5905</v>
      </c>
      <c r="I980" s="2" t="s">
        <v>5905</v>
      </c>
    </row>
    <row r="981">
      <c r="A981" s="2" t="s">
        <v>4506</v>
      </c>
      <c r="B981" s="2" t="s">
        <v>20721</v>
      </c>
      <c r="C981" s="2">
        <v>4.7354915043E10</v>
      </c>
      <c r="D981" s="2" t="s">
        <v>20722</v>
      </c>
      <c r="E981" s="2">
        <v>112291.0</v>
      </c>
      <c r="F981" s="2">
        <v>639.0</v>
      </c>
      <c r="G981" s="2">
        <v>782.0</v>
      </c>
      <c r="H981" s="2" t="s">
        <v>5905</v>
      </c>
      <c r="I981" s="2" t="s">
        <v>5905</v>
      </c>
      <c r="J981" s="2" t="s">
        <v>5561</v>
      </c>
      <c r="K981" s="2" t="s">
        <v>20723</v>
      </c>
    </row>
    <row r="982">
      <c r="A982" s="2" t="s">
        <v>4506</v>
      </c>
      <c r="B982" s="2" t="s">
        <v>20724</v>
      </c>
      <c r="C982" s="2">
        <v>6.6642929833E10</v>
      </c>
      <c r="D982" s="2" t="s">
        <v>20725</v>
      </c>
      <c r="E982" s="2">
        <v>139272.0</v>
      </c>
      <c r="F982" s="2">
        <v>202.0</v>
      </c>
      <c r="G982" s="2">
        <v>185.0</v>
      </c>
      <c r="H982" s="2" t="s">
        <v>5905</v>
      </c>
      <c r="I982" s="2" t="s">
        <v>5906</v>
      </c>
      <c r="J982" s="2" t="s">
        <v>5959</v>
      </c>
      <c r="K982" s="2" t="s">
        <v>20726</v>
      </c>
      <c r="L982" s="10" t="s">
        <v>20727</v>
      </c>
    </row>
    <row r="983">
      <c r="A983" s="2" t="s">
        <v>4506</v>
      </c>
      <c r="B983" s="2" t="s">
        <v>20728</v>
      </c>
      <c r="C983" s="2">
        <v>4.714738308E10</v>
      </c>
      <c r="D983" s="2" t="s">
        <v>20729</v>
      </c>
      <c r="E983" s="2">
        <v>203490.0</v>
      </c>
      <c r="F983" s="2">
        <v>50.0</v>
      </c>
      <c r="G983" s="2">
        <v>997.0</v>
      </c>
      <c r="H983" s="2" t="s">
        <v>5905</v>
      </c>
      <c r="I983" s="2" t="s">
        <v>5905</v>
      </c>
      <c r="J983" s="2" t="s">
        <v>5561</v>
      </c>
      <c r="K983" s="2" t="s">
        <v>20730</v>
      </c>
      <c r="L983" s="10" t="s">
        <v>20731</v>
      </c>
    </row>
    <row r="984">
      <c r="A984" s="2" t="s">
        <v>4506</v>
      </c>
      <c r="B984" s="2" t="s">
        <v>20732</v>
      </c>
      <c r="C984" s="2">
        <v>4.186078335E9</v>
      </c>
      <c r="D984" s="2" t="s">
        <v>20733</v>
      </c>
      <c r="E984" s="2">
        <v>529041.0</v>
      </c>
      <c r="F984" s="2">
        <v>1.0</v>
      </c>
      <c r="G984" s="2">
        <v>5284.0</v>
      </c>
      <c r="H984" s="2" t="s">
        <v>5905</v>
      </c>
      <c r="I984" s="2" t="s">
        <v>5905</v>
      </c>
      <c r="J984" s="2" t="s">
        <v>4404</v>
      </c>
      <c r="K984" s="2" t="s">
        <v>20734</v>
      </c>
      <c r="L984" s="10" t="s">
        <v>20735</v>
      </c>
    </row>
    <row r="985">
      <c r="A985" s="2" t="s">
        <v>4506</v>
      </c>
      <c r="B985" s="2" t="s">
        <v>20736</v>
      </c>
      <c r="C985" s="2">
        <v>1.1892513822E10</v>
      </c>
      <c r="D985" s="2" t="s">
        <v>20737</v>
      </c>
      <c r="E985" s="2">
        <v>158623.0</v>
      </c>
      <c r="F985" s="2">
        <v>1470.0</v>
      </c>
      <c r="G985" s="2">
        <v>2388.0</v>
      </c>
      <c r="H985" s="2" t="s">
        <v>5905</v>
      </c>
      <c r="I985" s="2" t="s">
        <v>5905</v>
      </c>
      <c r="J985" s="2" t="s">
        <v>5993</v>
      </c>
      <c r="K985" s="2" t="s">
        <v>20738</v>
      </c>
      <c r="L985" s="10" t="s">
        <v>20739</v>
      </c>
    </row>
    <row r="986">
      <c r="A986" s="2" t="s">
        <v>4506</v>
      </c>
      <c r="B986" s="2" t="s">
        <v>20740</v>
      </c>
      <c r="C986" s="2">
        <v>7.667404602E9</v>
      </c>
      <c r="D986" s="2" t="s">
        <v>20741</v>
      </c>
      <c r="E986" s="2">
        <v>300786.0</v>
      </c>
      <c r="F986" s="2">
        <v>569.0</v>
      </c>
      <c r="G986" s="2">
        <v>2122.0</v>
      </c>
      <c r="H986" s="2" t="s">
        <v>5905</v>
      </c>
      <c r="I986" s="2" t="s">
        <v>5906</v>
      </c>
      <c r="J986" s="2" t="s">
        <v>5561</v>
      </c>
      <c r="K986" s="2" t="s">
        <v>20742</v>
      </c>
      <c r="L986" s="10" t="s">
        <v>20743</v>
      </c>
    </row>
    <row r="987">
      <c r="A987" s="2" t="s">
        <v>4506</v>
      </c>
      <c r="B987" s="2" t="s">
        <v>20744</v>
      </c>
      <c r="C987" s="2">
        <v>1.369069864E9</v>
      </c>
      <c r="D987" s="2" t="s">
        <v>20745</v>
      </c>
      <c r="E987" s="2">
        <v>144479.0</v>
      </c>
      <c r="F987" s="2">
        <v>5074.0</v>
      </c>
      <c r="G987" s="2">
        <v>31.0</v>
      </c>
      <c r="H987" s="2" t="s">
        <v>5905</v>
      </c>
      <c r="I987" s="2" t="s">
        <v>5906</v>
      </c>
      <c r="J987" s="2" t="s">
        <v>4996</v>
      </c>
      <c r="K987" s="2" t="s">
        <v>20746</v>
      </c>
      <c r="L987" s="10" t="s">
        <v>20747</v>
      </c>
    </row>
    <row r="988">
      <c r="A988" s="2" t="s">
        <v>4602</v>
      </c>
      <c r="B988" s="2" t="s">
        <v>20748</v>
      </c>
      <c r="C988" s="2">
        <v>6.3289120154E10</v>
      </c>
      <c r="D988" s="2" t="s">
        <v>20749</v>
      </c>
      <c r="E988" s="2">
        <v>80237.0</v>
      </c>
      <c r="F988" s="2">
        <v>916.0</v>
      </c>
      <c r="G988" s="2">
        <v>876.0</v>
      </c>
      <c r="H988" s="2" t="s">
        <v>5905</v>
      </c>
      <c r="I988" s="2" t="s">
        <v>5905</v>
      </c>
      <c r="K988" s="2" t="s">
        <v>20750</v>
      </c>
    </row>
    <row r="989">
      <c r="A989" s="2" t="s">
        <v>4602</v>
      </c>
      <c r="B989" s="2" t="s">
        <v>20751</v>
      </c>
      <c r="C989" s="2">
        <v>2.2144923784E10</v>
      </c>
      <c r="D989" s="2" t="s">
        <v>20752</v>
      </c>
      <c r="E989" s="2">
        <v>128367.0</v>
      </c>
      <c r="F989" s="2">
        <v>13.0</v>
      </c>
      <c r="G989" s="2">
        <v>2097.0</v>
      </c>
      <c r="H989" s="2" t="s">
        <v>5906</v>
      </c>
      <c r="I989" s="2" t="s">
        <v>5905</v>
      </c>
      <c r="J989" s="2" t="s">
        <v>7414</v>
      </c>
      <c r="K989" s="2" t="s">
        <v>20753</v>
      </c>
      <c r="L989" s="10" t="s">
        <v>20754</v>
      </c>
    </row>
    <row r="990">
      <c r="A990" s="2" t="s">
        <v>4602</v>
      </c>
      <c r="B990" s="2" t="s">
        <v>20755</v>
      </c>
      <c r="C990" s="2">
        <v>7.3651528055E10</v>
      </c>
      <c r="D990" s="2" t="s">
        <v>20756</v>
      </c>
      <c r="E990" s="2">
        <v>18945.0</v>
      </c>
      <c r="F990" s="2">
        <v>57.0</v>
      </c>
      <c r="G990" s="2">
        <v>145.0</v>
      </c>
      <c r="H990" s="2" t="s">
        <v>5905</v>
      </c>
      <c r="I990" s="2" t="s">
        <v>5905</v>
      </c>
    </row>
    <row r="991">
      <c r="A991" s="2" t="s">
        <v>4602</v>
      </c>
      <c r="B991" s="2" t="s">
        <v>20757</v>
      </c>
      <c r="C991" s="2">
        <v>7.3539604487E10</v>
      </c>
      <c r="E991" s="2">
        <v>72336.0</v>
      </c>
      <c r="F991" s="2">
        <v>48.0</v>
      </c>
      <c r="G991" s="2">
        <v>25.0</v>
      </c>
      <c r="H991" s="2" t="s">
        <v>5905</v>
      </c>
      <c r="I991" s="2" t="s">
        <v>5905</v>
      </c>
      <c r="J991" s="2" t="s">
        <v>6393</v>
      </c>
      <c r="K991" s="2" t="s">
        <v>20758</v>
      </c>
    </row>
    <row r="992">
      <c r="A992" s="2" t="s">
        <v>4602</v>
      </c>
      <c r="B992" s="2" t="s">
        <v>20759</v>
      </c>
      <c r="C992" s="2">
        <v>6.0378729665E10</v>
      </c>
      <c r="D992" s="2" t="s">
        <v>20760</v>
      </c>
      <c r="E992" s="2">
        <v>978284.0</v>
      </c>
      <c r="F992" s="2">
        <v>1015.0</v>
      </c>
      <c r="G992" s="2">
        <v>157.0</v>
      </c>
      <c r="H992" s="2" t="s">
        <v>5905</v>
      </c>
      <c r="I992" s="2" t="s">
        <v>5905</v>
      </c>
      <c r="J992" s="2" t="s">
        <v>6414</v>
      </c>
      <c r="K992" s="2" t="s">
        <v>20761</v>
      </c>
      <c r="L992" s="10" t="s">
        <v>20762</v>
      </c>
    </row>
    <row r="993">
      <c r="A993" s="2" t="s">
        <v>4602</v>
      </c>
      <c r="B993" s="2" t="s">
        <v>20763</v>
      </c>
      <c r="C993" s="2">
        <v>5.4361738837E10</v>
      </c>
      <c r="D993" s="2" t="s">
        <v>20764</v>
      </c>
      <c r="E993" s="2">
        <v>758128.0</v>
      </c>
      <c r="F993" s="2">
        <v>424.0</v>
      </c>
      <c r="G993" s="2">
        <v>796.0</v>
      </c>
      <c r="H993" s="2" t="s">
        <v>5905</v>
      </c>
      <c r="I993" s="2" t="s">
        <v>5905</v>
      </c>
      <c r="J993" s="2" t="s">
        <v>5959</v>
      </c>
      <c r="K993" s="2" t="s">
        <v>20765</v>
      </c>
      <c r="L993" s="10" t="s">
        <v>20766</v>
      </c>
    </row>
    <row r="994">
      <c r="A994" s="2" t="s">
        <v>4602</v>
      </c>
      <c r="B994" s="2" t="s">
        <v>20767</v>
      </c>
      <c r="C994" s="2">
        <v>6.4401703742E10</v>
      </c>
      <c r="D994" s="2" t="s">
        <v>20768</v>
      </c>
      <c r="E994" s="2">
        <v>22593.0</v>
      </c>
      <c r="F994" s="2">
        <v>52.0</v>
      </c>
      <c r="G994" s="2">
        <v>480.0</v>
      </c>
      <c r="H994" s="2" t="s">
        <v>5905</v>
      </c>
      <c r="I994" s="2" t="s">
        <v>5906</v>
      </c>
      <c r="J994" s="2" t="s">
        <v>5492</v>
      </c>
      <c r="K994" s="2" t="s">
        <v>20769</v>
      </c>
      <c r="L994" s="10" t="s">
        <v>20770</v>
      </c>
    </row>
    <row r="995">
      <c r="A995" s="2" t="s">
        <v>4470</v>
      </c>
      <c r="B995" s="2" t="s">
        <v>20771</v>
      </c>
      <c r="C995" s="2">
        <v>1.265986402E9</v>
      </c>
      <c r="D995" s="2" t="s">
        <v>20772</v>
      </c>
      <c r="E995" s="2">
        <v>629247.0</v>
      </c>
      <c r="F995" s="2">
        <v>3604.0</v>
      </c>
      <c r="G995" s="2">
        <v>2237.0</v>
      </c>
      <c r="H995" s="2" t="s">
        <v>5906</v>
      </c>
      <c r="I995" s="2" t="s">
        <v>5906</v>
      </c>
      <c r="J995" s="2" t="s">
        <v>7414</v>
      </c>
      <c r="K995" s="2" t="s">
        <v>20773</v>
      </c>
      <c r="L995" s="10" t="s">
        <v>20774</v>
      </c>
    </row>
    <row r="996">
      <c r="A996" s="2" t="s">
        <v>4470</v>
      </c>
      <c r="B996" s="2" t="s">
        <v>20775</v>
      </c>
      <c r="C996" s="2">
        <v>2.201808613E9</v>
      </c>
      <c r="D996" s="2" t="s">
        <v>20776</v>
      </c>
      <c r="E996" s="2">
        <v>59489.0</v>
      </c>
      <c r="F996" s="2">
        <v>208.0</v>
      </c>
      <c r="G996" s="2">
        <v>1214.0</v>
      </c>
      <c r="H996" s="2" t="s">
        <v>5905</v>
      </c>
      <c r="I996" s="2" t="s">
        <v>5905</v>
      </c>
      <c r="K996" s="2" t="s">
        <v>20777</v>
      </c>
    </row>
    <row r="997">
      <c r="A997" s="2" t="s">
        <v>4470</v>
      </c>
      <c r="B997" s="2" t="s">
        <v>20778</v>
      </c>
      <c r="C997" s="2">
        <v>3.9883416052E10</v>
      </c>
      <c r="D997" s="2" t="s">
        <v>20779</v>
      </c>
      <c r="E997" s="2">
        <v>281687.0</v>
      </c>
      <c r="F997" s="2">
        <v>175.0</v>
      </c>
      <c r="G997" s="2">
        <v>1369.0</v>
      </c>
      <c r="H997" s="2" t="s">
        <v>5905</v>
      </c>
      <c r="I997" s="2" t="s">
        <v>5905</v>
      </c>
      <c r="J997" s="2" t="s">
        <v>5391</v>
      </c>
      <c r="K997" s="2" t="s">
        <v>20780</v>
      </c>
    </row>
    <row r="998">
      <c r="A998" s="2" t="s">
        <v>4470</v>
      </c>
      <c r="B998" s="2" t="s">
        <v>20781</v>
      </c>
      <c r="C998" s="2">
        <v>1.533226919E9</v>
      </c>
      <c r="D998" s="2" t="s">
        <v>20782</v>
      </c>
      <c r="E998" s="2">
        <v>489764.0</v>
      </c>
      <c r="F998" s="2">
        <v>18.0</v>
      </c>
      <c r="G998" s="2">
        <v>1542.0</v>
      </c>
      <c r="H998" s="2" t="s">
        <v>5905</v>
      </c>
      <c r="I998" s="2" t="s">
        <v>5906</v>
      </c>
      <c r="J998" s="2" t="s">
        <v>13199</v>
      </c>
      <c r="K998" s="2" t="s">
        <v>20783</v>
      </c>
    </row>
    <row r="999">
      <c r="A999" s="2" t="s">
        <v>4470</v>
      </c>
      <c r="B999" s="2" t="s">
        <v>20784</v>
      </c>
      <c r="C999" s="2">
        <v>2.768201221E9</v>
      </c>
      <c r="D999" s="2" t="s">
        <v>20785</v>
      </c>
      <c r="E999" s="2">
        <v>1219347.0</v>
      </c>
      <c r="F999" s="2">
        <v>103.0</v>
      </c>
      <c r="G999" s="2">
        <v>6848.0</v>
      </c>
      <c r="H999" s="2" t="s">
        <v>5905</v>
      </c>
      <c r="I999" s="2" t="s">
        <v>5906</v>
      </c>
      <c r="J999" s="2" t="s">
        <v>5561</v>
      </c>
      <c r="K999" s="2" t="s">
        <v>20786</v>
      </c>
    </row>
    <row r="1000">
      <c r="A1000" s="2" t="s">
        <v>4470</v>
      </c>
      <c r="B1000" s="2" t="s">
        <v>20787</v>
      </c>
      <c r="C1000" s="2">
        <v>1.398457812E9</v>
      </c>
      <c r="D1000" s="2" t="s">
        <v>20788</v>
      </c>
      <c r="E1000" s="2">
        <v>472230.0</v>
      </c>
      <c r="F1000" s="2">
        <v>247.0</v>
      </c>
      <c r="G1000" s="2">
        <v>16005.0</v>
      </c>
      <c r="H1000" s="2" t="s">
        <v>5906</v>
      </c>
      <c r="I1000" s="2" t="s">
        <v>5905</v>
      </c>
      <c r="J1000" s="2" t="s">
        <v>4404</v>
      </c>
      <c r="K1000" s="2" t="s">
        <v>20789</v>
      </c>
      <c r="L1000" s="10" t="s">
        <v>20790</v>
      </c>
    </row>
    <row r="1001">
      <c r="A1001" s="2" t="s">
        <v>4470</v>
      </c>
      <c r="B1001" s="2" t="s">
        <v>20791</v>
      </c>
      <c r="C1001" s="2">
        <v>1.627232961E9</v>
      </c>
      <c r="E1001" s="2">
        <v>1138458.0</v>
      </c>
      <c r="F1001" s="2">
        <v>71.0</v>
      </c>
      <c r="G1001" s="2">
        <v>8933.0</v>
      </c>
      <c r="H1001" s="2" t="s">
        <v>5905</v>
      </c>
      <c r="I1001" s="2" t="s">
        <v>5905</v>
      </c>
      <c r="J1001" s="2" t="s">
        <v>6414</v>
      </c>
      <c r="K1001" s="2" t="s">
        <v>20792</v>
      </c>
    </row>
    <row r="1002">
      <c r="A1002" s="2" t="s">
        <v>4470</v>
      </c>
      <c r="B1002" s="2" t="s">
        <v>20793</v>
      </c>
      <c r="C1002" s="2">
        <v>6.410554374E10</v>
      </c>
      <c r="D1002" s="2" t="s">
        <v>20794</v>
      </c>
      <c r="E1002" s="2">
        <v>151527.0</v>
      </c>
      <c r="F1002" s="2">
        <v>97.0</v>
      </c>
      <c r="G1002" s="2">
        <v>3017.0</v>
      </c>
      <c r="H1002" s="2" t="s">
        <v>5905</v>
      </c>
      <c r="I1002" s="2" t="s">
        <v>5905</v>
      </c>
      <c r="J1002" s="2" t="s">
        <v>5993</v>
      </c>
      <c r="K1002" s="2" t="s">
        <v>20795</v>
      </c>
    </row>
    <row r="1003">
      <c r="A1003" s="2" t="s">
        <v>4470</v>
      </c>
      <c r="B1003" s="2" t="s">
        <v>20796</v>
      </c>
      <c r="C1003" s="2">
        <v>6.05657981E8</v>
      </c>
      <c r="D1003" s="2" t="s">
        <v>20797</v>
      </c>
      <c r="E1003" s="2">
        <v>634807.0</v>
      </c>
      <c r="F1003" s="2">
        <v>18.0</v>
      </c>
      <c r="G1003" s="2">
        <v>1889.0</v>
      </c>
      <c r="H1003" s="2" t="s">
        <v>5905</v>
      </c>
      <c r="I1003" s="2" t="s">
        <v>5906</v>
      </c>
      <c r="J1003" s="2" t="s">
        <v>7414</v>
      </c>
      <c r="K1003" s="2" t="s">
        <v>20798</v>
      </c>
      <c r="L1003" s="10" t="s">
        <v>20799</v>
      </c>
    </row>
    <row r="1004">
      <c r="A1004" s="2" t="s">
        <v>4470</v>
      </c>
      <c r="B1004" s="2" t="s">
        <v>20800</v>
      </c>
      <c r="C1004" s="2">
        <v>7.95904557E8</v>
      </c>
      <c r="D1004" s="2" t="s">
        <v>20801</v>
      </c>
      <c r="E1004" s="2">
        <v>129645.0</v>
      </c>
      <c r="F1004" s="2">
        <v>1.0</v>
      </c>
      <c r="G1004" s="2">
        <v>381.0</v>
      </c>
      <c r="H1004" s="2" t="s">
        <v>5905</v>
      </c>
      <c r="I1004" s="2" t="s">
        <v>5906</v>
      </c>
      <c r="J1004" s="2" t="s">
        <v>6882</v>
      </c>
      <c r="K1004" s="2" t="s">
        <v>20802</v>
      </c>
    </row>
    <row r="1005">
      <c r="A1005" s="2" t="s">
        <v>4470</v>
      </c>
      <c r="B1005" s="2" t="s">
        <v>20803</v>
      </c>
      <c r="C1005" s="2">
        <v>2.9350298E8</v>
      </c>
      <c r="D1005" s="2" t="s">
        <v>20804</v>
      </c>
      <c r="E1005" s="2">
        <v>270091.0</v>
      </c>
      <c r="F1005" s="2">
        <v>3.0</v>
      </c>
      <c r="G1005" s="2">
        <v>2771.0</v>
      </c>
      <c r="H1005" s="2" t="s">
        <v>5905</v>
      </c>
      <c r="I1005" s="2" t="s">
        <v>5906</v>
      </c>
      <c r="J1005" s="2" t="s">
        <v>13199</v>
      </c>
      <c r="K1005" s="2" t="s">
        <v>20805</v>
      </c>
    </row>
    <row r="1006">
      <c r="A1006" s="2" t="s">
        <v>4470</v>
      </c>
      <c r="B1006" s="2" t="s">
        <v>20806</v>
      </c>
      <c r="C1006" s="2">
        <v>3.9003506801E10</v>
      </c>
      <c r="D1006" s="2" t="s">
        <v>20807</v>
      </c>
      <c r="E1006" s="2">
        <v>19158.0</v>
      </c>
      <c r="F1006" s="2">
        <v>1246.0</v>
      </c>
      <c r="G1006" s="2">
        <v>8.0</v>
      </c>
      <c r="H1006" s="2" t="s">
        <v>5905</v>
      </c>
      <c r="I1006" s="2" t="s">
        <v>5906</v>
      </c>
      <c r="J1006" s="2" t="s">
        <v>7414</v>
      </c>
    </row>
    <row r="1007">
      <c r="A1007" s="2" t="s">
        <v>4470</v>
      </c>
      <c r="B1007" s="2" t="s">
        <v>20808</v>
      </c>
      <c r="C1007" s="2">
        <v>3.6579810482E10</v>
      </c>
      <c r="D1007" s="2" t="s">
        <v>20809</v>
      </c>
      <c r="E1007" s="2">
        <v>2064114.0</v>
      </c>
      <c r="F1007" s="2">
        <v>267.0</v>
      </c>
      <c r="G1007" s="2">
        <v>927.0</v>
      </c>
      <c r="H1007" s="2" t="s">
        <v>5905</v>
      </c>
      <c r="I1007" s="2" t="s">
        <v>5905</v>
      </c>
      <c r="J1007" s="2" t="s">
        <v>5928</v>
      </c>
      <c r="K1007" s="2" t="s">
        <v>20810</v>
      </c>
      <c r="L1007" s="10" t="s">
        <v>20811</v>
      </c>
    </row>
    <row r="1008">
      <c r="A1008" s="2" t="s">
        <v>4470</v>
      </c>
      <c r="B1008" s="2" t="s">
        <v>20812</v>
      </c>
      <c r="C1008" s="2">
        <v>6.4180993473E10</v>
      </c>
      <c r="D1008" s="2" t="s">
        <v>20813</v>
      </c>
      <c r="E1008" s="2">
        <v>178066.0</v>
      </c>
      <c r="F1008" s="2">
        <v>77.0</v>
      </c>
      <c r="G1008" s="2">
        <v>1148.0</v>
      </c>
      <c r="H1008" s="2" t="s">
        <v>5905</v>
      </c>
      <c r="I1008" s="2" t="s">
        <v>5905</v>
      </c>
      <c r="J1008" s="2" t="s">
        <v>5928</v>
      </c>
      <c r="K1008" s="2" t="s">
        <v>20814</v>
      </c>
      <c r="L1008" s="10" t="s">
        <v>20815</v>
      </c>
    </row>
    <row r="1009">
      <c r="A1009" s="2" t="s">
        <v>4664</v>
      </c>
      <c r="B1009" s="2" t="s">
        <v>20816</v>
      </c>
      <c r="C1009" s="2">
        <v>2.888688952E9</v>
      </c>
      <c r="D1009" s="2" t="s">
        <v>20817</v>
      </c>
      <c r="E1009" s="2">
        <v>1238016.0</v>
      </c>
      <c r="F1009" s="2">
        <v>228.0</v>
      </c>
      <c r="G1009" s="2">
        <v>2065.0</v>
      </c>
      <c r="H1009" s="2" t="s">
        <v>5905</v>
      </c>
      <c r="I1009" s="2" t="s">
        <v>5906</v>
      </c>
      <c r="K1009" s="2" t="s">
        <v>20818</v>
      </c>
    </row>
    <row r="1010">
      <c r="A1010" s="2" t="s">
        <v>4664</v>
      </c>
      <c r="B1010" s="2" t="s">
        <v>20819</v>
      </c>
      <c r="C1010" s="2">
        <v>4.22778805E8</v>
      </c>
      <c r="D1010" s="2" t="s">
        <v>20820</v>
      </c>
      <c r="E1010" s="2">
        <v>339351.0</v>
      </c>
      <c r="F1010" s="2">
        <v>0.0</v>
      </c>
      <c r="G1010" s="2">
        <v>8.0</v>
      </c>
      <c r="H1010" s="2" t="s">
        <v>5905</v>
      </c>
      <c r="I1010" s="2" t="s">
        <v>5905</v>
      </c>
      <c r="J1010" s="2" t="s">
        <v>7140</v>
      </c>
      <c r="K1010" s="2" t="s">
        <v>20821</v>
      </c>
    </row>
    <row r="1011">
      <c r="A1011" s="2" t="s">
        <v>4664</v>
      </c>
      <c r="B1011" s="2" t="s">
        <v>20822</v>
      </c>
      <c r="C1011" s="2">
        <v>1.973143688E9</v>
      </c>
      <c r="D1011" s="2" t="s">
        <v>20823</v>
      </c>
      <c r="E1011" s="2">
        <v>3848193.0</v>
      </c>
      <c r="F1011" s="2">
        <v>7.0</v>
      </c>
      <c r="G1011" s="2">
        <v>2822.0</v>
      </c>
      <c r="H1011" s="2" t="s">
        <v>5905</v>
      </c>
      <c r="I1011" s="2" t="s">
        <v>5905</v>
      </c>
      <c r="J1011" s="2" t="s">
        <v>7140</v>
      </c>
      <c r="K1011" s="2" t="s">
        <v>20824</v>
      </c>
    </row>
    <row r="1012">
      <c r="A1012" s="2" t="s">
        <v>4664</v>
      </c>
      <c r="B1012" s="2" t="s">
        <v>19564</v>
      </c>
      <c r="C1012" s="2">
        <v>1.8284959316E10</v>
      </c>
      <c r="D1012" s="2" t="s">
        <v>19565</v>
      </c>
      <c r="E1012" s="2">
        <v>7453997.0</v>
      </c>
      <c r="F1012" s="2">
        <v>253.0</v>
      </c>
      <c r="G1012" s="2">
        <v>6259.0</v>
      </c>
      <c r="H1012" s="2" t="s">
        <v>5905</v>
      </c>
      <c r="I1012" s="2" t="s">
        <v>5905</v>
      </c>
      <c r="J1012" s="2" t="s">
        <v>7482</v>
      </c>
      <c r="K1012" s="2" t="s">
        <v>19566</v>
      </c>
      <c r="L1012" s="10" t="s">
        <v>19567</v>
      </c>
    </row>
    <row r="1013">
      <c r="A1013" s="2" t="s">
        <v>4664</v>
      </c>
      <c r="B1013" s="2" t="s">
        <v>20825</v>
      </c>
      <c r="C1013" s="2">
        <v>7.168873751E9</v>
      </c>
      <c r="D1013" s="2" t="s">
        <v>20826</v>
      </c>
      <c r="E1013" s="2">
        <v>376761.0</v>
      </c>
      <c r="F1013" s="2">
        <v>766.0</v>
      </c>
      <c r="G1013" s="2">
        <v>2092.0</v>
      </c>
      <c r="H1013" s="2" t="s">
        <v>5905</v>
      </c>
      <c r="I1013" s="2" t="s">
        <v>5906</v>
      </c>
      <c r="J1013" s="2" t="s">
        <v>7140</v>
      </c>
      <c r="K1013" s="2" t="s">
        <v>20827</v>
      </c>
    </row>
    <row r="1014">
      <c r="A1014" s="2" t="s">
        <v>4664</v>
      </c>
      <c r="B1014" s="2" t="s">
        <v>20828</v>
      </c>
      <c r="C1014" s="2">
        <v>1.75910273E8</v>
      </c>
      <c r="D1014" s="2" t="s">
        <v>20829</v>
      </c>
      <c r="E1014" s="2">
        <v>13816.0</v>
      </c>
      <c r="F1014" s="2">
        <v>64.0</v>
      </c>
      <c r="G1014" s="2">
        <v>40.0</v>
      </c>
      <c r="H1014" s="2" t="s">
        <v>5905</v>
      </c>
      <c r="I1014" s="2" t="s">
        <v>5905</v>
      </c>
      <c r="K1014" s="2" t="s">
        <v>20830</v>
      </c>
    </row>
    <row r="1015">
      <c r="A1015" s="2" t="s">
        <v>4664</v>
      </c>
      <c r="B1015" s="2" t="s">
        <v>20831</v>
      </c>
      <c r="C1015" s="2">
        <v>2.94195137E8</v>
      </c>
      <c r="D1015" s="2" t="s">
        <v>20826</v>
      </c>
      <c r="E1015" s="2">
        <v>13486.0</v>
      </c>
      <c r="F1015" s="2">
        <v>0.0</v>
      </c>
      <c r="G1015" s="2">
        <v>93.0</v>
      </c>
      <c r="H1015" s="2" t="s">
        <v>5905</v>
      </c>
      <c r="I1015" s="2" t="s">
        <v>5905</v>
      </c>
      <c r="K1015" s="2" t="s">
        <v>20832</v>
      </c>
    </row>
    <row r="1016">
      <c r="A1016" s="2" t="s">
        <v>4664</v>
      </c>
      <c r="B1016" s="2" t="s">
        <v>20833</v>
      </c>
      <c r="C1016" s="2">
        <v>4.62307034E9</v>
      </c>
      <c r="D1016" s="2" t="s">
        <v>20834</v>
      </c>
      <c r="E1016" s="2">
        <v>908151.0</v>
      </c>
      <c r="F1016" s="2">
        <v>106.0</v>
      </c>
      <c r="G1016" s="2">
        <v>919.0</v>
      </c>
      <c r="H1016" s="2" t="s">
        <v>5906</v>
      </c>
      <c r="I1016" s="2" t="s">
        <v>5905</v>
      </c>
      <c r="J1016" s="2" t="s">
        <v>7414</v>
      </c>
      <c r="K1016" s="2" t="s">
        <v>20835</v>
      </c>
      <c r="L1016" s="10" t="s">
        <v>20836</v>
      </c>
    </row>
    <row r="1017">
      <c r="A1017" s="2" t="s">
        <v>4664</v>
      </c>
      <c r="B1017" s="2" t="s">
        <v>20837</v>
      </c>
      <c r="C1017" s="2">
        <v>1.7201239E9</v>
      </c>
      <c r="D1017" s="2" t="s">
        <v>20826</v>
      </c>
      <c r="E1017" s="2">
        <v>4695328.0</v>
      </c>
      <c r="F1017" s="2">
        <v>144.0</v>
      </c>
      <c r="G1017" s="2">
        <v>5268.0</v>
      </c>
      <c r="H1017" s="2" t="s">
        <v>5905</v>
      </c>
      <c r="I1017" s="2" t="s">
        <v>5906</v>
      </c>
      <c r="J1017" s="2" t="s">
        <v>6393</v>
      </c>
      <c r="K1017" s="2" t="s">
        <v>20838</v>
      </c>
    </row>
    <row r="1018">
      <c r="A1018" s="2" t="s">
        <v>4461</v>
      </c>
      <c r="B1018" s="2" t="s">
        <v>20839</v>
      </c>
      <c r="C1018" s="2">
        <v>7.1867744072E10</v>
      </c>
      <c r="D1018" s="2" t="s">
        <v>20840</v>
      </c>
      <c r="E1018" s="2">
        <v>35847.0</v>
      </c>
      <c r="F1018" s="2">
        <v>33.0</v>
      </c>
      <c r="G1018" s="2">
        <v>30.0</v>
      </c>
      <c r="H1018" s="2" t="s">
        <v>5905</v>
      </c>
      <c r="I1018" s="2" t="s">
        <v>5906</v>
      </c>
      <c r="J1018" s="2" t="s">
        <v>5963</v>
      </c>
      <c r="K1018" s="2" t="s">
        <v>20841</v>
      </c>
      <c r="L1018" s="10" t="s">
        <v>20842</v>
      </c>
    </row>
    <row r="1019">
      <c r="A1019" s="2" t="s">
        <v>4461</v>
      </c>
      <c r="B1019" s="2" t="s">
        <v>20843</v>
      </c>
      <c r="C1019" s="2">
        <v>1.560531754E9</v>
      </c>
      <c r="D1019" s="2" t="s">
        <v>20844</v>
      </c>
      <c r="E1019" s="2">
        <v>74387.0</v>
      </c>
      <c r="F1019" s="2">
        <v>86.0</v>
      </c>
      <c r="G1019" s="2">
        <v>1402.0</v>
      </c>
      <c r="H1019" s="2" t="s">
        <v>5906</v>
      </c>
      <c r="I1019" s="2" t="s">
        <v>5906</v>
      </c>
      <c r="J1019" s="2" t="s">
        <v>5963</v>
      </c>
      <c r="K1019" s="2" t="s">
        <v>20845</v>
      </c>
      <c r="L1019" s="10" t="s">
        <v>20846</v>
      </c>
    </row>
    <row r="1020">
      <c r="A1020" s="2" t="s">
        <v>4461</v>
      </c>
      <c r="B1020" s="2" t="s">
        <v>20847</v>
      </c>
      <c r="C1020" s="2">
        <v>8.7537016E9</v>
      </c>
      <c r="D1020" s="2" t="s">
        <v>20848</v>
      </c>
      <c r="E1020" s="2">
        <v>21541.0</v>
      </c>
      <c r="F1020" s="2">
        <v>983.0</v>
      </c>
      <c r="G1020" s="2">
        <v>1288.0</v>
      </c>
      <c r="H1020" s="2" t="s">
        <v>5905</v>
      </c>
      <c r="I1020" s="2" t="s">
        <v>5905</v>
      </c>
      <c r="J1020" s="2" t="s">
        <v>5963</v>
      </c>
      <c r="K1020" s="2" t="s">
        <v>20849</v>
      </c>
      <c r="L1020" s="10" t="s">
        <v>20850</v>
      </c>
    </row>
    <row r="1021">
      <c r="A1021" s="2" t="s">
        <v>4461</v>
      </c>
      <c r="B1021" s="2" t="s">
        <v>20851</v>
      </c>
      <c r="C1021" s="2">
        <v>2.556594416E9</v>
      </c>
      <c r="D1021" s="2" t="s">
        <v>20852</v>
      </c>
      <c r="E1021" s="2">
        <v>25437.0</v>
      </c>
      <c r="F1021" s="2">
        <v>55.0</v>
      </c>
      <c r="G1021" s="2">
        <v>2185.0</v>
      </c>
      <c r="H1021" s="2" t="s">
        <v>5905</v>
      </c>
      <c r="I1021" s="2" t="s">
        <v>5906</v>
      </c>
      <c r="J1021" s="2" t="s">
        <v>5959</v>
      </c>
      <c r="K1021" s="2" t="s">
        <v>20853</v>
      </c>
      <c r="L1021" s="10" t="s">
        <v>20854</v>
      </c>
    </row>
    <row r="1022">
      <c r="A1022" s="2" t="s">
        <v>4461</v>
      </c>
      <c r="B1022" s="2" t="s">
        <v>20855</v>
      </c>
      <c r="C1022" s="2">
        <v>2.7387796E7</v>
      </c>
      <c r="D1022" s="2" t="s">
        <v>20856</v>
      </c>
      <c r="E1022" s="2">
        <v>62104.0</v>
      </c>
      <c r="F1022" s="2">
        <v>1363.0</v>
      </c>
      <c r="G1022" s="2">
        <v>1741.0</v>
      </c>
      <c r="H1022" s="2" t="s">
        <v>5905</v>
      </c>
      <c r="I1022" s="2" t="s">
        <v>5906</v>
      </c>
      <c r="J1022" s="2" t="s">
        <v>5391</v>
      </c>
      <c r="K1022" s="2" t="s">
        <v>20857</v>
      </c>
      <c r="L1022" s="10" t="s">
        <v>20858</v>
      </c>
    </row>
    <row r="1023">
      <c r="A1023" s="2" t="s">
        <v>4461</v>
      </c>
      <c r="B1023" s="2" t="s">
        <v>20859</v>
      </c>
      <c r="C1023" s="2">
        <v>4.0091752229E10</v>
      </c>
      <c r="D1023" s="2" t="s">
        <v>20860</v>
      </c>
      <c r="E1023" s="2">
        <v>79237.0</v>
      </c>
      <c r="F1023" s="2">
        <v>450.0</v>
      </c>
      <c r="G1023" s="2">
        <v>142.0</v>
      </c>
      <c r="H1023" s="2" t="s">
        <v>5905</v>
      </c>
      <c r="I1023" s="2" t="s">
        <v>5906</v>
      </c>
      <c r="J1023" s="2" t="s">
        <v>5959</v>
      </c>
      <c r="K1023" s="2" t="s">
        <v>20861</v>
      </c>
      <c r="L1023" s="10" t="s">
        <v>20862</v>
      </c>
    </row>
    <row r="1024">
      <c r="A1024" s="2" t="s">
        <v>4461</v>
      </c>
      <c r="B1024" s="2" t="s">
        <v>20863</v>
      </c>
      <c r="C1024" s="2">
        <v>5.2669686257E10</v>
      </c>
      <c r="D1024" s="2" t="s">
        <v>20864</v>
      </c>
      <c r="E1024" s="2">
        <v>110466.0</v>
      </c>
      <c r="F1024" s="2">
        <v>48.0</v>
      </c>
      <c r="G1024" s="2">
        <v>1194.0</v>
      </c>
      <c r="H1024" s="2" t="s">
        <v>5906</v>
      </c>
      <c r="I1024" s="2" t="s">
        <v>5906</v>
      </c>
      <c r="J1024" s="2" t="s">
        <v>5561</v>
      </c>
      <c r="K1024" s="2" t="s">
        <v>20865</v>
      </c>
      <c r="L1024" s="10" t="s">
        <v>20866</v>
      </c>
    </row>
    <row r="1025">
      <c r="A1025" s="2" t="s">
        <v>4461</v>
      </c>
      <c r="B1025" s="2" t="s">
        <v>20867</v>
      </c>
      <c r="C1025" s="2">
        <v>5.4371957E7</v>
      </c>
      <c r="D1025" s="2" t="s">
        <v>20868</v>
      </c>
      <c r="E1025" s="2">
        <v>17591.0</v>
      </c>
      <c r="F1025" s="2">
        <v>512.0</v>
      </c>
      <c r="G1025" s="2">
        <v>1300.0</v>
      </c>
      <c r="H1025" s="2" t="s">
        <v>5906</v>
      </c>
      <c r="I1025" s="2" t="s">
        <v>5906</v>
      </c>
      <c r="J1025" s="2" t="s">
        <v>7321</v>
      </c>
      <c r="K1025" s="2" t="s">
        <v>20869</v>
      </c>
      <c r="L1025" s="10" t="s">
        <v>20870</v>
      </c>
    </row>
    <row r="1026">
      <c r="A1026" s="2" t="s">
        <v>4461</v>
      </c>
      <c r="B1026" s="2" t="s">
        <v>20871</v>
      </c>
      <c r="C1026" s="2">
        <v>5.5043890285E10</v>
      </c>
      <c r="D1026" s="2" t="s">
        <v>20872</v>
      </c>
      <c r="E1026" s="2">
        <v>18085.0</v>
      </c>
      <c r="F1026" s="2">
        <v>52.0</v>
      </c>
      <c r="G1026" s="2">
        <v>1404.0</v>
      </c>
      <c r="H1026" s="2" t="s">
        <v>5906</v>
      </c>
      <c r="I1026" s="2" t="s">
        <v>5906</v>
      </c>
      <c r="J1026" s="2" t="s">
        <v>11389</v>
      </c>
      <c r="K1026" s="2" t="s">
        <v>20873</v>
      </c>
    </row>
    <row r="1027">
      <c r="A1027" s="2" t="s">
        <v>4461</v>
      </c>
      <c r="B1027" s="2" t="s">
        <v>20874</v>
      </c>
      <c r="C1027" s="2">
        <v>1.359501649E9</v>
      </c>
      <c r="D1027" s="2" t="s">
        <v>20875</v>
      </c>
      <c r="E1027" s="2">
        <v>202569.0</v>
      </c>
      <c r="F1027" s="2">
        <v>995.0</v>
      </c>
      <c r="G1027" s="2">
        <v>1962.0</v>
      </c>
      <c r="H1027" s="2" t="s">
        <v>5906</v>
      </c>
      <c r="I1027" s="2" t="s">
        <v>5906</v>
      </c>
      <c r="J1027" s="2" t="s">
        <v>5963</v>
      </c>
      <c r="K1027" s="2" t="s">
        <v>20876</v>
      </c>
      <c r="L1027" s="10" t="s">
        <v>20877</v>
      </c>
    </row>
    <row r="1028">
      <c r="A1028" s="2" t="s">
        <v>4461</v>
      </c>
      <c r="B1028" s="2" t="s">
        <v>20878</v>
      </c>
      <c r="C1028" s="2">
        <v>1.469104788E9</v>
      </c>
      <c r="D1028" s="2" t="s">
        <v>20879</v>
      </c>
      <c r="E1028" s="2">
        <v>26994.0</v>
      </c>
      <c r="F1028" s="2">
        <v>753.0</v>
      </c>
      <c r="G1028" s="2">
        <v>2581.0</v>
      </c>
      <c r="H1028" s="2" t="s">
        <v>5905</v>
      </c>
      <c r="I1028" s="2" t="s">
        <v>5906</v>
      </c>
      <c r="J1028" s="2" t="s">
        <v>6002</v>
      </c>
      <c r="K1028" s="2" t="s">
        <v>20880</v>
      </c>
      <c r="L1028" s="10" t="s">
        <v>20881</v>
      </c>
    </row>
    <row r="1029">
      <c r="A1029" s="2" t="s">
        <v>4461</v>
      </c>
      <c r="B1029" s="2" t="s">
        <v>20882</v>
      </c>
      <c r="C1029" s="2">
        <v>2.6915422125E10</v>
      </c>
      <c r="D1029" s="2" t="s">
        <v>20883</v>
      </c>
      <c r="E1029" s="2">
        <v>42187.0</v>
      </c>
      <c r="F1029" s="2">
        <v>151.0</v>
      </c>
      <c r="G1029" s="2">
        <v>1079.0</v>
      </c>
      <c r="H1029" s="2" t="s">
        <v>5905</v>
      </c>
      <c r="I1029" s="2" t="s">
        <v>5906</v>
      </c>
      <c r="J1029" s="2" t="s">
        <v>5963</v>
      </c>
      <c r="K1029" s="2" t="s">
        <v>20884</v>
      </c>
      <c r="L1029" s="10" t="s">
        <v>20885</v>
      </c>
    </row>
    <row r="1030">
      <c r="A1030" s="2" t="s">
        <v>4461</v>
      </c>
      <c r="B1030" s="2" t="s">
        <v>20886</v>
      </c>
      <c r="C1030" s="2">
        <v>2.069936151E10</v>
      </c>
      <c r="D1030" s="2" t="s">
        <v>20887</v>
      </c>
      <c r="E1030" s="2">
        <v>30157.0</v>
      </c>
      <c r="F1030" s="2">
        <v>755.0</v>
      </c>
      <c r="G1030" s="2">
        <v>734.0</v>
      </c>
      <c r="H1030" s="2" t="s">
        <v>5905</v>
      </c>
      <c r="I1030" s="2" t="s">
        <v>5906</v>
      </c>
      <c r="J1030" s="2" t="s">
        <v>5391</v>
      </c>
      <c r="K1030" s="2" t="s">
        <v>20888</v>
      </c>
      <c r="L1030" s="10" t="s">
        <v>20889</v>
      </c>
    </row>
    <row r="1031">
      <c r="A1031" s="2" t="s">
        <v>4585</v>
      </c>
      <c r="B1031" s="2" t="s">
        <v>20755</v>
      </c>
      <c r="C1031" s="2">
        <v>7.3651528055E10</v>
      </c>
      <c r="D1031" s="2" t="s">
        <v>20756</v>
      </c>
      <c r="E1031" s="2">
        <v>18939.0</v>
      </c>
      <c r="F1031" s="2">
        <v>57.0</v>
      </c>
      <c r="G1031" s="2">
        <v>145.0</v>
      </c>
      <c r="H1031" s="2" t="s">
        <v>5905</v>
      </c>
      <c r="I1031" s="2" t="s">
        <v>5905</v>
      </c>
    </row>
    <row r="1032">
      <c r="A1032" s="2" t="s">
        <v>4585</v>
      </c>
      <c r="B1032" s="2" t="s">
        <v>4585</v>
      </c>
      <c r="C1032" s="2">
        <v>4.5621393129E10</v>
      </c>
      <c r="D1032" s="2" t="s">
        <v>20890</v>
      </c>
      <c r="E1032" s="2">
        <v>11327.0</v>
      </c>
      <c r="F1032" s="2">
        <v>220.0</v>
      </c>
      <c r="G1032" s="2">
        <v>111.0</v>
      </c>
      <c r="H1032" s="2" t="s">
        <v>5905</v>
      </c>
      <c r="I1032" s="2" t="s">
        <v>5906</v>
      </c>
      <c r="J1032" s="2" t="s">
        <v>5963</v>
      </c>
      <c r="K1032" s="2" t="s">
        <v>20891</v>
      </c>
      <c r="L1032" s="10" t="s">
        <v>20892</v>
      </c>
    </row>
    <row r="1033">
      <c r="A1033" s="2" t="s">
        <v>4585</v>
      </c>
      <c r="B1033" s="2" t="s">
        <v>20893</v>
      </c>
      <c r="C1033" s="2">
        <v>6.5911617412E10</v>
      </c>
      <c r="D1033" s="2" t="s">
        <v>20894</v>
      </c>
      <c r="E1033" s="2">
        <v>90255.0</v>
      </c>
      <c r="F1033" s="2">
        <v>0.0</v>
      </c>
      <c r="G1033" s="2">
        <v>863.0</v>
      </c>
      <c r="H1033" s="2" t="s">
        <v>5905</v>
      </c>
      <c r="I1033" s="2" t="s">
        <v>5905</v>
      </c>
      <c r="J1033" s="2" t="s">
        <v>5928</v>
      </c>
      <c r="K1033" s="2" t="s">
        <v>20895</v>
      </c>
      <c r="L1033" s="10" t="s">
        <v>20896</v>
      </c>
    </row>
    <row r="1034">
      <c r="A1034" s="2" t="s">
        <v>4585</v>
      </c>
      <c r="B1034" s="2" t="s">
        <v>20897</v>
      </c>
      <c r="C1034" s="2">
        <v>3.1927950795E10</v>
      </c>
      <c r="D1034" s="2" t="s">
        <v>20898</v>
      </c>
      <c r="E1034" s="2">
        <v>12287.0</v>
      </c>
      <c r="F1034" s="2">
        <v>28.0</v>
      </c>
      <c r="G1034" s="2">
        <v>4875.0</v>
      </c>
      <c r="H1034" s="2" t="s">
        <v>5906</v>
      </c>
      <c r="I1034" s="2" t="s">
        <v>5905</v>
      </c>
      <c r="J1034" s="2" t="s">
        <v>5963</v>
      </c>
      <c r="K1034" s="2" t="s">
        <v>20899</v>
      </c>
      <c r="L1034" s="10" t="s">
        <v>20900</v>
      </c>
    </row>
    <row r="1035">
      <c r="A1035" s="2" t="s">
        <v>4585</v>
      </c>
      <c r="B1035" s="2" t="s">
        <v>20901</v>
      </c>
      <c r="C1035" s="2">
        <v>7.2076507308E10</v>
      </c>
      <c r="D1035" s="2" t="s">
        <v>20902</v>
      </c>
      <c r="E1035" s="2">
        <v>59296.0</v>
      </c>
      <c r="F1035" s="2">
        <v>103.0</v>
      </c>
      <c r="G1035" s="2">
        <v>11.0</v>
      </c>
      <c r="H1035" s="2" t="s">
        <v>5905</v>
      </c>
      <c r="I1035" s="2" t="s">
        <v>5905</v>
      </c>
      <c r="K1035" s="2" t="s">
        <v>20903</v>
      </c>
    </row>
    <row r="1036">
      <c r="A1036" s="2" t="s">
        <v>4585</v>
      </c>
      <c r="B1036" s="2" t="s">
        <v>20904</v>
      </c>
      <c r="C1036" s="2">
        <v>2.00584356E8</v>
      </c>
      <c r="D1036" s="2" t="s">
        <v>20905</v>
      </c>
      <c r="E1036" s="2">
        <v>18718.0</v>
      </c>
      <c r="F1036" s="2">
        <v>75.0</v>
      </c>
      <c r="G1036" s="2">
        <v>1484.0</v>
      </c>
      <c r="H1036" s="2" t="s">
        <v>5906</v>
      </c>
      <c r="I1036" s="2" t="s">
        <v>5906</v>
      </c>
      <c r="J1036" s="2" t="s">
        <v>20906</v>
      </c>
      <c r="K1036" s="2" t="s">
        <v>20907</v>
      </c>
      <c r="L1036" s="10" t="s">
        <v>20908</v>
      </c>
    </row>
    <row r="1037">
      <c r="A1037" s="2" t="s">
        <v>4585</v>
      </c>
      <c r="B1037" s="2" t="s">
        <v>20909</v>
      </c>
      <c r="C1037" s="2">
        <v>1.4727687964E10</v>
      </c>
      <c r="D1037" s="2" t="s">
        <v>20910</v>
      </c>
      <c r="E1037" s="2">
        <v>937238.0</v>
      </c>
      <c r="F1037" s="2">
        <v>3433.0</v>
      </c>
      <c r="G1037" s="2">
        <v>2087.0</v>
      </c>
      <c r="H1037" s="2" t="s">
        <v>5906</v>
      </c>
      <c r="I1037" s="2" t="s">
        <v>5905</v>
      </c>
      <c r="J1037" s="2" t="s">
        <v>5911</v>
      </c>
      <c r="K1037" s="2" t="s">
        <v>20911</v>
      </c>
      <c r="L1037" s="10" t="s">
        <v>20912</v>
      </c>
    </row>
    <row r="1038">
      <c r="A1038" s="2" t="s">
        <v>4585</v>
      </c>
      <c r="B1038" s="2" t="s">
        <v>20913</v>
      </c>
      <c r="C1038" s="2">
        <v>1.137339767E10</v>
      </c>
      <c r="D1038" s="2" t="s">
        <v>20914</v>
      </c>
      <c r="E1038" s="2">
        <v>12760.0</v>
      </c>
      <c r="F1038" s="2">
        <v>123.0</v>
      </c>
      <c r="G1038" s="2">
        <v>317.0</v>
      </c>
      <c r="H1038" s="2" t="s">
        <v>5905</v>
      </c>
      <c r="I1038" s="2" t="s">
        <v>5905</v>
      </c>
      <c r="J1038" s="2" t="s">
        <v>6393</v>
      </c>
      <c r="K1038" s="2" t="s">
        <v>20915</v>
      </c>
      <c r="L1038" s="10" t="s">
        <v>20916</v>
      </c>
    </row>
    <row r="1039">
      <c r="A1039" s="2" t="s">
        <v>4464</v>
      </c>
      <c r="B1039" s="2" t="s">
        <v>20917</v>
      </c>
      <c r="C1039" s="2">
        <v>5.6515143032E10</v>
      </c>
      <c r="D1039" s="2" t="s">
        <v>20918</v>
      </c>
      <c r="E1039" s="2">
        <v>45210.0</v>
      </c>
      <c r="F1039" s="2">
        <v>1.0</v>
      </c>
      <c r="G1039" s="2">
        <v>144.0</v>
      </c>
      <c r="H1039" s="2" t="s">
        <v>5905</v>
      </c>
      <c r="I1039" s="2" t="s">
        <v>5905</v>
      </c>
      <c r="J1039" s="2" t="s">
        <v>6166</v>
      </c>
      <c r="K1039" s="12" t="s">
        <v>20919</v>
      </c>
      <c r="L1039" s="10" t="s">
        <v>20920</v>
      </c>
    </row>
    <row r="1040">
      <c r="A1040" s="2" t="s">
        <v>4464</v>
      </c>
      <c r="B1040" s="10" t="s">
        <v>20921</v>
      </c>
      <c r="C1040" s="2">
        <v>1.608604692E9</v>
      </c>
      <c r="D1040" s="2" t="s">
        <v>20922</v>
      </c>
      <c r="E1040" s="2">
        <v>461674.0</v>
      </c>
      <c r="F1040" s="2">
        <v>152.0</v>
      </c>
      <c r="G1040" s="2">
        <v>2623.0</v>
      </c>
      <c r="H1040" s="2" t="s">
        <v>5905</v>
      </c>
      <c r="I1040" s="2" t="s">
        <v>5906</v>
      </c>
      <c r="J1040" s="2" t="s">
        <v>5518</v>
      </c>
      <c r="K1040" s="2" t="s">
        <v>20923</v>
      </c>
      <c r="L1040" s="10" t="s">
        <v>20924</v>
      </c>
    </row>
    <row r="1041">
      <c r="A1041" s="2" t="s">
        <v>4464</v>
      </c>
      <c r="B1041" s="2" t="s">
        <v>20925</v>
      </c>
      <c r="C1041" s="2">
        <v>3.6899202996E10</v>
      </c>
      <c r="D1041" s="2" t="s">
        <v>20926</v>
      </c>
      <c r="E1041" s="2">
        <v>127883.0</v>
      </c>
      <c r="F1041" s="2">
        <v>118.0</v>
      </c>
      <c r="G1041" s="2">
        <v>1963.0</v>
      </c>
      <c r="H1041" s="2" t="s">
        <v>5905</v>
      </c>
      <c r="I1041" s="2" t="s">
        <v>5905</v>
      </c>
      <c r="J1041" s="2" t="s">
        <v>9237</v>
      </c>
      <c r="K1041" s="2" t="s">
        <v>20927</v>
      </c>
    </row>
    <row r="1042">
      <c r="A1042" s="2" t="s">
        <v>4464</v>
      </c>
      <c r="B1042" s="2" t="s">
        <v>20928</v>
      </c>
      <c r="C1042" s="2">
        <v>5.684733833E10</v>
      </c>
      <c r="D1042" s="2" t="s">
        <v>20929</v>
      </c>
      <c r="E1042" s="2">
        <v>11748.0</v>
      </c>
      <c r="F1042" s="2">
        <v>0.0</v>
      </c>
      <c r="G1042" s="2">
        <v>1609.0</v>
      </c>
      <c r="H1042" s="2" t="s">
        <v>5905</v>
      </c>
      <c r="I1042" s="2" t="s">
        <v>5905</v>
      </c>
      <c r="J1042" s="2" t="s">
        <v>4996</v>
      </c>
      <c r="K1042" s="2" t="s">
        <v>20930</v>
      </c>
      <c r="L1042" s="10" t="s">
        <v>20931</v>
      </c>
    </row>
    <row r="1043">
      <c r="A1043" s="2" t="s">
        <v>4464</v>
      </c>
      <c r="B1043" s="2" t="s">
        <v>20932</v>
      </c>
      <c r="C1043" s="2">
        <v>7.946081714E9</v>
      </c>
      <c r="D1043" s="2" t="s">
        <v>20933</v>
      </c>
      <c r="E1043" s="2">
        <v>375094.0</v>
      </c>
      <c r="F1043" s="2">
        <v>353.0</v>
      </c>
      <c r="G1043" s="2">
        <v>1351.0</v>
      </c>
      <c r="H1043" s="2" t="s">
        <v>5906</v>
      </c>
      <c r="I1043" s="2" t="s">
        <v>5906</v>
      </c>
      <c r="J1043" s="2" t="s">
        <v>12715</v>
      </c>
      <c r="K1043" s="2" t="s">
        <v>20934</v>
      </c>
      <c r="L1043" s="10" t="s">
        <v>20935</v>
      </c>
    </row>
    <row r="1044">
      <c r="A1044" s="2" t="s">
        <v>4464</v>
      </c>
      <c r="B1044" s="2" t="s">
        <v>20936</v>
      </c>
      <c r="C1044" s="2">
        <v>1.449577033E9</v>
      </c>
      <c r="D1044" s="2" t="s">
        <v>20937</v>
      </c>
      <c r="E1044" s="2">
        <v>812203.0</v>
      </c>
      <c r="F1044" s="2">
        <v>729.0</v>
      </c>
      <c r="G1044" s="2">
        <v>7898.0</v>
      </c>
      <c r="H1044" s="2" t="s">
        <v>5905</v>
      </c>
      <c r="I1044" s="2" t="s">
        <v>5905</v>
      </c>
      <c r="J1044" s="2" t="s">
        <v>5959</v>
      </c>
      <c r="K1044" s="2" t="s">
        <v>20938</v>
      </c>
    </row>
    <row r="1045">
      <c r="A1045" s="2" t="s">
        <v>4464</v>
      </c>
      <c r="B1045" s="2" t="s">
        <v>20939</v>
      </c>
      <c r="C1045" s="2">
        <v>7.03899239E8</v>
      </c>
      <c r="D1045" s="2" t="s">
        <v>20940</v>
      </c>
      <c r="E1045" s="2">
        <v>22349.0</v>
      </c>
      <c r="F1045" s="2">
        <v>675.0</v>
      </c>
      <c r="G1045" s="2">
        <v>467.0</v>
      </c>
      <c r="H1045" s="2" t="s">
        <v>5905</v>
      </c>
      <c r="I1045" s="2" t="s">
        <v>5905</v>
      </c>
      <c r="J1045" s="2" t="s">
        <v>6166</v>
      </c>
      <c r="K1045" s="2" t="s">
        <v>20941</v>
      </c>
    </row>
    <row r="1046">
      <c r="A1046" s="2" t="s">
        <v>4464</v>
      </c>
      <c r="B1046" s="2" t="s">
        <v>20942</v>
      </c>
      <c r="C1046" s="2">
        <v>6.760396866E9</v>
      </c>
      <c r="D1046" s="2" t="s">
        <v>20943</v>
      </c>
      <c r="E1046" s="2">
        <v>30927.0</v>
      </c>
      <c r="F1046" s="2">
        <v>1198.0</v>
      </c>
      <c r="G1046" s="2">
        <v>998.0</v>
      </c>
      <c r="H1046" s="2" t="s">
        <v>5905</v>
      </c>
      <c r="I1046" s="2" t="s">
        <v>5906</v>
      </c>
      <c r="J1046" s="2" t="s">
        <v>5963</v>
      </c>
      <c r="K1046" s="2" t="s">
        <v>20944</v>
      </c>
      <c r="L1046" s="10" t="s">
        <v>20945</v>
      </c>
    </row>
    <row r="1047">
      <c r="A1047" s="2" t="s">
        <v>4588</v>
      </c>
      <c r="B1047" s="2" t="s">
        <v>20946</v>
      </c>
      <c r="C1047" s="2">
        <v>4.8975073781E10</v>
      </c>
      <c r="D1047" s="2" t="s">
        <v>20947</v>
      </c>
      <c r="E1047" s="2">
        <v>2090384.0</v>
      </c>
      <c r="F1047" s="2">
        <v>9.0</v>
      </c>
      <c r="G1047" s="2">
        <v>328.0</v>
      </c>
      <c r="H1047" s="2" t="s">
        <v>5905</v>
      </c>
      <c r="I1047" s="2" t="s">
        <v>5906</v>
      </c>
      <c r="K1047" s="2" t="s">
        <v>20948</v>
      </c>
      <c r="L1047" s="10" t="s">
        <v>20949</v>
      </c>
    </row>
    <row r="1048">
      <c r="A1048" s="2" t="s">
        <v>4588</v>
      </c>
      <c r="B1048" s="2" t="s">
        <v>20950</v>
      </c>
      <c r="C1048" s="2">
        <v>4.8439982403E10</v>
      </c>
      <c r="D1048" s="2" t="s">
        <v>20951</v>
      </c>
      <c r="E1048" s="2">
        <v>1441689.0</v>
      </c>
      <c r="F1048" s="2">
        <v>402.0</v>
      </c>
      <c r="G1048" s="2">
        <v>2447.0</v>
      </c>
      <c r="H1048" s="2" t="s">
        <v>5905</v>
      </c>
      <c r="I1048" s="2" t="s">
        <v>5905</v>
      </c>
      <c r="J1048" s="2" t="s">
        <v>5492</v>
      </c>
      <c r="K1048" s="2" t="s">
        <v>20952</v>
      </c>
    </row>
    <row r="1049">
      <c r="A1049" s="2" t="s">
        <v>4588</v>
      </c>
      <c r="B1049" s="2" t="s">
        <v>20953</v>
      </c>
      <c r="C1049" s="2">
        <v>1.0624609873E10</v>
      </c>
      <c r="D1049" s="2" t="s">
        <v>20954</v>
      </c>
      <c r="E1049" s="2">
        <v>1151142.0</v>
      </c>
      <c r="F1049" s="2">
        <v>6.0</v>
      </c>
      <c r="G1049" s="2">
        <v>665.0</v>
      </c>
      <c r="H1049" s="2" t="s">
        <v>5905</v>
      </c>
      <c r="I1049" s="2" t="s">
        <v>5905</v>
      </c>
      <c r="J1049" s="2" t="s">
        <v>6393</v>
      </c>
      <c r="K1049" s="2" t="s">
        <v>20955</v>
      </c>
      <c r="L1049" s="10" t="s">
        <v>20949</v>
      </c>
    </row>
    <row r="1050">
      <c r="A1050" s="2" t="s">
        <v>4588</v>
      </c>
      <c r="B1050" s="2" t="s">
        <v>20956</v>
      </c>
      <c r="C1050" s="2">
        <v>2.992319011E9</v>
      </c>
      <c r="D1050" s="2" t="s">
        <v>20957</v>
      </c>
      <c r="E1050" s="2">
        <v>7087198.0</v>
      </c>
      <c r="F1050" s="2">
        <v>3.0</v>
      </c>
      <c r="G1050" s="2">
        <v>1571.0</v>
      </c>
      <c r="H1050" s="2" t="s">
        <v>5905</v>
      </c>
      <c r="I1050" s="2" t="s">
        <v>5906</v>
      </c>
      <c r="J1050" s="2" t="s">
        <v>12774</v>
      </c>
      <c r="K1050" s="2" t="s">
        <v>20958</v>
      </c>
    </row>
    <row r="1051">
      <c r="A1051" s="2" t="s">
        <v>4588</v>
      </c>
      <c r="B1051" s="2" t="s">
        <v>20959</v>
      </c>
      <c r="C1051" s="2">
        <v>1.4270388766E10</v>
      </c>
      <c r="D1051" s="2" t="s">
        <v>20960</v>
      </c>
      <c r="E1051" s="2">
        <v>77544.0</v>
      </c>
      <c r="F1051" s="2">
        <v>0.0</v>
      </c>
      <c r="G1051" s="2">
        <v>362.0</v>
      </c>
      <c r="H1051" s="2" t="s">
        <v>5905</v>
      </c>
      <c r="I1051" s="2" t="s">
        <v>5905</v>
      </c>
      <c r="J1051" s="2" t="s">
        <v>6393</v>
      </c>
      <c r="K1051" s="2" t="s">
        <v>20961</v>
      </c>
    </row>
    <row r="1052">
      <c r="A1052" s="2" t="s">
        <v>4588</v>
      </c>
      <c r="B1052" s="2" t="s">
        <v>20962</v>
      </c>
      <c r="C1052" s="2">
        <v>3.6245206556E10</v>
      </c>
      <c r="D1052" s="2" t="s">
        <v>20963</v>
      </c>
      <c r="E1052" s="2">
        <v>1214381.0</v>
      </c>
      <c r="F1052" s="2">
        <v>6.0</v>
      </c>
      <c r="G1052" s="2">
        <v>438.0</v>
      </c>
      <c r="H1052" s="2" t="s">
        <v>5905</v>
      </c>
      <c r="I1052" s="2" t="s">
        <v>5905</v>
      </c>
      <c r="J1052" s="2" t="s">
        <v>5561</v>
      </c>
      <c r="K1052" s="2" t="s">
        <v>20964</v>
      </c>
      <c r="L1052" s="10" t="s">
        <v>20949</v>
      </c>
    </row>
    <row r="1053">
      <c r="A1053" s="2" t="s">
        <v>4588</v>
      </c>
      <c r="B1053" s="2" t="s">
        <v>20965</v>
      </c>
      <c r="C1053" s="2">
        <v>1.1563943958E10</v>
      </c>
      <c r="D1053" s="2" t="s">
        <v>20966</v>
      </c>
      <c r="E1053" s="2">
        <v>17886.0</v>
      </c>
      <c r="F1053" s="2">
        <v>39.0</v>
      </c>
      <c r="G1053" s="2">
        <v>275.0</v>
      </c>
      <c r="H1053" s="2" t="s">
        <v>5905</v>
      </c>
      <c r="I1053" s="2" t="s">
        <v>5906</v>
      </c>
      <c r="J1053" s="2" t="s">
        <v>6393</v>
      </c>
      <c r="K1053" s="2" t="s">
        <v>20967</v>
      </c>
      <c r="L1053" s="10" t="s">
        <v>20968</v>
      </c>
    </row>
    <row r="1054">
      <c r="A1054" s="2" t="s">
        <v>4588</v>
      </c>
      <c r="B1054" s="2" t="s">
        <v>20969</v>
      </c>
      <c r="C1054" s="2">
        <v>2.961975811E9</v>
      </c>
      <c r="D1054" s="2" t="s">
        <v>20970</v>
      </c>
      <c r="E1054" s="2">
        <v>12459.0</v>
      </c>
      <c r="F1054" s="2">
        <v>161.0</v>
      </c>
      <c r="G1054" s="2">
        <v>1011.0</v>
      </c>
      <c r="H1054" s="2" t="s">
        <v>5905</v>
      </c>
      <c r="I1054" s="2" t="s">
        <v>5905</v>
      </c>
      <c r="K1054" s="2" t="s">
        <v>20971</v>
      </c>
    </row>
    <row r="1055">
      <c r="A1055" s="2" t="s">
        <v>4588</v>
      </c>
      <c r="B1055" s="2" t="s">
        <v>20972</v>
      </c>
      <c r="C1055" s="2">
        <v>3.7632498767E10</v>
      </c>
      <c r="D1055" s="2" t="s">
        <v>20973</v>
      </c>
      <c r="E1055" s="2">
        <v>33401.0</v>
      </c>
      <c r="F1055" s="2">
        <v>58.0</v>
      </c>
      <c r="G1055" s="2">
        <v>273.0</v>
      </c>
      <c r="H1055" s="2" t="s">
        <v>5905</v>
      </c>
      <c r="I1055" s="2" t="s">
        <v>5905</v>
      </c>
      <c r="J1055" s="2" t="s">
        <v>7140</v>
      </c>
      <c r="K1055" s="2" t="s">
        <v>20974</v>
      </c>
    </row>
    <row r="1056">
      <c r="A1056" s="2" t="s">
        <v>4588</v>
      </c>
      <c r="B1056" s="2" t="s">
        <v>20975</v>
      </c>
      <c r="C1056" s="2">
        <v>7.1596022927E10</v>
      </c>
      <c r="D1056" s="2" t="s">
        <v>20976</v>
      </c>
      <c r="E1056" s="2">
        <v>11082.0</v>
      </c>
      <c r="F1056" s="2">
        <v>6.0</v>
      </c>
      <c r="G1056" s="2">
        <v>172.0</v>
      </c>
      <c r="H1056" s="2" t="s">
        <v>5905</v>
      </c>
      <c r="I1056" s="2" t="s">
        <v>5905</v>
      </c>
      <c r="J1056" s="2" t="s">
        <v>7140</v>
      </c>
      <c r="K1056" s="2" t="s">
        <v>20977</v>
      </c>
    </row>
    <row r="1057">
      <c r="A1057" s="2" t="s">
        <v>4588</v>
      </c>
      <c r="B1057" s="2" t="s">
        <v>20978</v>
      </c>
      <c r="C1057" s="2">
        <v>3.4500165861E10</v>
      </c>
      <c r="D1057" s="2" t="s">
        <v>20979</v>
      </c>
      <c r="E1057" s="2">
        <v>744473.0</v>
      </c>
      <c r="F1057" s="2">
        <v>1447.0</v>
      </c>
      <c r="G1057" s="2">
        <v>2495.0</v>
      </c>
      <c r="H1057" s="2" t="s">
        <v>5905</v>
      </c>
      <c r="I1057" s="2" t="s">
        <v>5905</v>
      </c>
      <c r="J1057" s="2" t="s">
        <v>7140</v>
      </c>
      <c r="K1057" s="2" t="s">
        <v>20980</v>
      </c>
      <c r="L1057" s="10" t="s">
        <v>20981</v>
      </c>
    </row>
    <row r="1058">
      <c r="A1058" s="2" t="s">
        <v>4588</v>
      </c>
      <c r="B1058" s="2" t="s">
        <v>20982</v>
      </c>
      <c r="C1058" s="2">
        <v>4.4204607517E10</v>
      </c>
      <c r="D1058" s="2" t="s">
        <v>20983</v>
      </c>
      <c r="E1058" s="2">
        <v>15347.0</v>
      </c>
      <c r="F1058" s="2">
        <v>0.0</v>
      </c>
      <c r="G1058" s="2">
        <v>1016.0</v>
      </c>
      <c r="H1058" s="2" t="s">
        <v>5905</v>
      </c>
      <c r="I1058" s="2" t="s">
        <v>5906</v>
      </c>
      <c r="J1058" s="2" t="s">
        <v>16974</v>
      </c>
      <c r="K1058" s="12" t="s">
        <v>20984</v>
      </c>
    </row>
    <row r="1059">
      <c r="A1059" s="2" t="s">
        <v>4688</v>
      </c>
      <c r="B1059" s="2" t="s">
        <v>20985</v>
      </c>
      <c r="C1059" s="2">
        <v>6.3921570527E10</v>
      </c>
      <c r="D1059" s="2" t="s">
        <v>20986</v>
      </c>
      <c r="E1059" s="2">
        <v>730627.0</v>
      </c>
      <c r="F1059" s="2">
        <v>314.0</v>
      </c>
      <c r="G1059" s="2">
        <v>539.0</v>
      </c>
      <c r="H1059" s="2" t="s">
        <v>5905</v>
      </c>
      <c r="I1059" s="2" t="s">
        <v>5905</v>
      </c>
      <c r="J1059" s="2" t="s">
        <v>12774</v>
      </c>
      <c r="K1059" s="2" t="s">
        <v>20987</v>
      </c>
      <c r="L1059" s="10" t="s">
        <v>20988</v>
      </c>
    </row>
    <row r="1060">
      <c r="A1060" s="2" t="s">
        <v>4688</v>
      </c>
      <c r="B1060" s="2" t="s">
        <v>20989</v>
      </c>
      <c r="C1060" s="2">
        <v>6.4218300082E10</v>
      </c>
      <c r="D1060" s="2" t="s">
        <v>20990</v>
      </c>
      <c r="E1060" s="2">
        <v>117035.0</v>
      </c>
      <c r="F1060" s="2">
        <v>1.0</v>
      </c>
      <c r="G1060" s="2">
        <v>311.0</v>
      </c>
      <c r="H1060" s="2" t="s">
        <v>5906</v>
      </c>
      <c r="I1060" s="2" t="s">
        <v>5905</v>
      </c>
      <c r="J1060" s="2" t="s">
        <v>6699</v>
      </c>
      <c r="K1060" s="2" t="s">
        <v>20991</v>
      </c>
      <c r="L1060" s="10" t="s">
        <v>20992</v>
      </c>
    </row>
    <row r="1061">
      <c r="A1061" s="2" t="s">
        <v>4688</v>
      </c>
      <c r="B1061" s="2" t="s">
        <v>20993</v>
      </c>
      <c r="C1061" s="2">
        <v>6.0126663015E10</v>
      </c>
      <c r="D1061" s="2" t="s">
        <v>20994</v>
      </c>
      <c r="E1061" s="2">
        <v>10399.0</v>
      </c>
      <c r="F1061" s="2">
        <v>46.0</v>
      </c>
      <c r="G1061" s="2">
        <v>22.0</v>
      </c>
      <c r="H1061" s="2" t="s">
        <v>5905</v>
      </c>
      <c r="I1061" s="2" t="s">
        <v>5906</v>
      </c>
      <c r="J1061" s="2" t="s">
        <v>5391</v>
      </c>
      <c r="K1061" s="2" t="s">
        <v>20995</v>
      </c>
    </row>
    <row r="1062">
      <c r="A1062" s="2" t="s">
        <v>4688</v>
      </c>
      <c r="B1062" s="2" t="s">
        <v>20996</v>
      </c>
      <c r="C1062" s="2">
        <v>2.87869641E8</v>
      </c>
      <c r="D1062" s="2" t="s">
        <v>20997</v>
      </c>
      <c r="E1062" s="2">
        <v>68761.0</v>
      </c>
      <c r="F1062" s="2">
        <v>880.0</v>
      </c>
      <c r="G1062" s="2">
        <v>767.0</v>
      </c>
      <c r="H1062" s="2" t="s">
        <v>5905</v>
      </c>
      <c r="I1062" s="2" t="s">
        <v>5905</v>
      </c>
      <c r="J1062" s="2" t="s">
        <v>5959</v>
      </c>
      <c r="K1062" s="2" t="s">
        <v>20998</v>
      </c>
      <c r="L1062" s="10" t="s">
        <v>20999</v>
      </c>
    </row>
    <row r="1063">
      <c r="A1063" s="2" t="s">
        <v>4688</v>
      </c>
      <c r="B1063" s="2" t="s">
        <v>21000</v>
      </c>
      <c r="C1063" s="2">
        <v>5.0850137746E10</v>
      </c>
      <c r="E1063" s="2">
        <v>95444.0</v>
      </c>
      <c r="F1063" s="2">
        <v>18.0</v>
      </c>
      <c r="G1063" s="2">
        <v>534.0</v>
      </c>
      <c r="H1063" s="2" t="s">
        <v>5905</v>
      </c>
      <c r="I1063" s="2" t="s">
        <v>5905</v>
      </c>
      <c r="J1063" s="2" t="s">
        <v>5492</v>
      </c>
      <c r="K1063" s="2" t="s">
        <v>21001</v>
      </c>
      <c r="L1063" s="10" t="s">
        <v>21002</v>
      </c>
    </row>
    <row r="1064">
      <c r="A1064" s="2" t="s">
        <v>4688</v>
      </c>
      <c r="B1064" s="2" t="s">
        <v>21003</v>
      </c>
      <c r="C1064" s="2">
        <v>1.3086033425E10</v>
      </c>
      <c r="D1064" s="2" t="s">
        <v>21004</v>
      </c>
      <c r="E1064" s="2">
        <v>132030.0</v>
      </c>
      <c r="F1064" s="2">
        <v>5683.0</v>
      </c>
      <c r="G1064" s="2">
        <v>222.0</v>
      </c>
      <c r="H1064" s="2" t="s">
        <v>5905</v>
      </c>
      <c r="I1064" s="2" t="s">
        <v>5905</v>
      </c>
      <c r="J1064" s="2" t="s">
        <v>6393</v>
      </c>
      <c r="K1064" s="2" t="s">
        <v>21005</v>
      </c>
    </row>
    <row r="1065">
      <c r="A1065" s="2" t="s">
        <v>4688</v>
      </c>
      <c r="B1065" s="2" t="s">
        <v>21006</v>
      </c>
      <c r="C1065" s="2">
        <v>6.550663731E9</v>
      </c>
      <c r="D1065" s="2" t="s">
        <v>21007</v>
      </c>
      <c r="E1065" s="2">
        <v>14914.0</v>
      </c>
      <c r="F1065" s="2">
        <v>32.0</v>
      </c>
      <c r="G1065" s="2">
        <v>4355.0</v>
      </c>
      <c r="H1065" s="2" t="s">
        <v>5906</v>
      </c>
      <c r="I1065" s="2" t="s">
        <v>5905</v>
      </c>
      <c r="J1065" s="2" t="s">
        <v>10543</v>
      </c>
      <c r="K1065" s="2" t="s">
        <v>21008</v>
      </c>
    </row>
    <row r="1066">
      <c r="A1066" s="2" t="s">
        <v>4688</v>
      </c>
      <c r="B1066" s="2" t="s">
        <v>21009</v>
      </c>
      <c r="C1066" s="2">
        <v>2.24771197E8</v>
      </c>
      <c r="D1066" s="2" t="s">
        <v>21010</v>
      </c>
      <c r="E1066" s="2">
        <v>26819.0</v>
      </c>
      <c r="F1066" s="2">
        <v>344.0</v>
      </c>
      <c r="G1066" s="2">
        <v>3269.0</v>
      </c>
      <c r="H1066" s="2" t="s">
        <v>5905</v>
      </c>
      <c r="I1066" s="2" t="s">
        <v>5906</v>
      </c>
      <c r="J1066" s="2" t="s">
        <v>7140</v>
      </c>
      <c r="K1066" s="2" t="s">
        <v>21011</v>
      </c>
    </row>
    <row r="1067">
      <c r="A1067" s="2" t="s">
        <v>4688</v>
      </c>
      <c r="B1067" s="2" t="s">
        <v>21012</v>
      </c>
      <c r="C1067" s="2">
        <v>6.3011423625E10</v>
      </c>
      <c r="D1067" s="2" t="s">
        <v>21013</v>
      </c>
      <c r="E1067" s="2">
        <v>12366.0</v>
      </c>
      <c r="F1067" s="2">
        <v>4.0</v>
      </c>
      <c r="G1067" s="2">
        <v>267.0</v>
      </c>
      <c r="H1067" s="2" t="s">
        <v>5905</v>
      </c>
      <c r="I1067" s="2" t="s">
        <v>5905</v>
      </c>
      <c r="J1067" s="2" t="s">
        <v>5959</v>
      </c>
      <c r="K1067" s="2" t="s">
        <v>21014</v>
      </c>
    </row>
    <row r="1068">
      <c r="A1068" s="2" t="s">
        <v>4688</v>
      </c>
      <c r="B1068" s="2" t="s">
        <v>21015</v>
      </c>
      <c r="C1068" s="2">
        <v>7.2193931837E10</v>
      </c>
      <c r="D1068" s="2" t="s">
        <v>21016</v>
      </c>
      <c r="E1068" s="2">
        <v>10695.0</v>
      </c>
      <c r="F1068" s="2">
        <v>20.0</v>
      </c>
      <c r="G1068" s="2">
        <v>93.0</v>
      </c>
      <c r="H1068" s="2" t="s">
        <v>5905</v>
      </c>
      <c r="I1068" s="2" t="s">
        <v>5905</v>
      </c>
      <c r="J1068" s="2" t="s">
        <v>5492</v>
      </c>
      <c r="K1068" s="2" t="s">
        <v>21017</v>
      </c>
    </row>
    <row r="1069">
      <c r="A1069" s="2" t="s">
        <v>4688</v>
      </c>
      <c r="B1069" s="2" t="s">
        <v>21018</v>
      </c>
      <c r="C1069" s="2">
        <v>7.34046257E9</v>
      </c>
      <c r="D1069" s="2" t="s">
        <v>21019</v>
      </c>
      <c r="E1069" s="2">
        <v>3757344.0</v>
      </c>
      <c r="F1069" s="2">
        <v>66.0</v>
      </c>
      <c r="G1069" s="2">
        <v>12381.0</v>
      </c>
      <c r="H1069" s="2" t="s">
        <v>5906</v>
      </c>
      <c r="I1069" s="2" t="s">
        <v>5905</v>
      </c>
      <c r="J1069" s="2" t="s">
        <v>4996</v>
      </c>
      <c r="K1069" s="2" t="s">
        <v>21020</v>
      </c>
    </row>
    <row r="1070">
      <c r="A1070" s="2" t="s">
        <v>2780</v>
      </c>
      <c r="B1070" s="2" t="s">
        <v>21021</v>
      </c>
      <c r="C1070" s="2">
        <v>2.23553054E8</v>
      </c>
      <c r="D1070" s="2" t="s">
        <v>21022</v>
      </c>
      <c r="E1070" s="2">
        <v>840230.0</v>
      </c>
      <c r="F1070" s="2">
        <v>705.0</v>
      </c>
      <c r="G1070" s="2">
        <v>4954.0</v>
      </c>
      <c r="H1070" s="2" t="s">
        <v>5906</v>
      </c>
      <c r="I1070" s="2" t="s">
        <v>5905</v>
      </c>
      <c r="J1070" s="2" t="s">
        <v>9793</v>
      </c>
      <c r="K1070" s="2" t="s">
        <v>21023</v>
      </c>
      <c r="L1070" s="10" t="s">
        <v>21024</v>
      </c>
    </row>
    <row r="1071">
      <c r="A1071" s="2" t="s">
        <v>2780</v>
      </c>
      <c r="B1071" s="2" t="s">
        <v>21021</v>
      </c>
      <c r="C1071" s="2">
        <v>2.23553054E8</v>
      </c>
      <c r="D1071" s="2" t="s">
        <v>21022</v>
      </c>
      <c r="E1071" s="2">
        <v>840228.0</v>
      </c>
      <c r="F1071" s="2">
        <v>705.0</v>
      </c>
      <c r="G1071" s="2">
        <v>4954.0</v>
      </c>
      <c r="H1071" s="2" t="s">
        <v>5906</v>
      </c>
      <c r="I1071" s="2" t="s">
        <v>5905</v>
      </c>
      <c r="J1071" s="2" t="s">
        <v>9793</v>
      </c>
      <c r="K1071" s="2" t="s">
        <v>21023</v>
      </c>
      <c r="L1071" s="10" t="s">
        <v>21024</v>
      </c>
    </row>
    <row r="1072">
      <c r="A1072" s="2" t="s">
        <v>2780</v>
      </c>
      <c r="B1072" s="2" t="s">
        <v>21025</v>
      </c>
      <c r="C1072" s="2">
        <v>8.268842349E9</v>
      </c>
      <c r="D1072" s="2" t="s">
        <v>21026</v>
      </c>
      <c r="E1072" s="2">
        <v>2186856.0</v>
      </c>
      <c r="F1072" s="2">
        <v>642.0</v>
      </c>
      <c r="G1072" s="2">
        <v>1321.0</v>
      </c>
      <c r="H1072" s="2" t="s">
        <v>5905</v>
      </c>
      <c r="I1072" s="2" t="s">
        <v>5905</v>
      </c>
      <c r="J1072" s="2" t="s">
        <v>6472</v>
      </c>
      <c r="K1072" s="2" t="s">
        <v>21027</v>
      </c>
      <c r="L1072" s="10" t="s">
        <v>21028</v>
      </c>
    </row>
    <row r="1073">
      <c r="A1073" s="2" t="s">
        <v>2780</v>
      </c>
      <c r="B1073" s="2" t="s">
        <v>21025</v>
      </c>
      <c r="C1073" s="2">
        <v>8.268842349E9</v>
      </c>
      <c r="D1073" s="2" t="s">
        <v>21026</v>
      </c>
      <c r="E1073" s="2">
        <v>2186852.0</v>
      </c>
      <c r="F1073" s="2">
        <v>642.0</v>
      </c>
      <c r="G1073" s="2">
        <v>1321.0</v>
      </c>
      <c r="H1073" s="2" t="s">
        <v>5905</v>
      </c>
      <c r="I1073" s="2" t="s">
        <v>5905</v>
      </c>
      <c r="J1073" s="2" t="s">
        <v>6472</v>
      </c>
      <c r="K1073" s="2" t="s">
        <v>21027</v>
      </c>
      <c r="L1073" s="10" t="s">
        <v>21028</v>
      </c>
    </row>
    <row r="1074">
      <c r="A1074" s="2" t="s">
        <v>2780</v>
      </c>
      <c r="B1074" s="2" t="s">
        <v>21029</v>
      </c>
      <c r="C1074" s="2">
        <v>8.691141135E9</v>
      </c>
      <c r="D1074" s="2" t="s">
        <v>21030</v>
      </c>
      <c r="E1074" s="2">
        <v>1317317.0</v>
      </c>
      <c r="F1074" s="2">
        <v>1143.0</v>
      </c>
      <c r="G1074" s="2">
        <v>1478.0</v>
      </c>
      <c r="H1074" s="2" t="s">
        <v>5905</v>
      </c>
      <c r="I1074" s="2" t="s">
        <v>5906</v>
      </c>
      <c r="J1074" s="2" t="s">
        <v>12774</v>
      </c>
      <c r="K1074" s="2" t="s">
        <v>21031</v>
      </c>
      <c r="L1074" s="10" t="s">
        <v>21032</v>
      </c>
    </row>
    <row r="1075">
      <c r="A1075" s="2" t="s">
        <v>2780</v>
      </c>
      <c r="B1075" s="2" t="s">
        <v>21029</v>
      </c>
      <c r="C1075" s="2">
        <v>8.691141135E9</v>
      </c>
      <c r="D1075" s="2" t="s">
        <v>21030</v>
      </c>
      <c r="E1075" s="2">
        <v>1317310.0</v>
      </c>
      <c r="F1075" s="2">
        <v>1143.0</v>
      </c>
      <c r="G1075" s="2">
        <v>1478.0</v>
      </c>
      <c r="H1075" s="2" t="s">
        <v>5905</v>
      </c>
      <c r="I1075" s="2" t="s">
        <v>5906</v>
      </c>
      <c r="J1075" s="2" t="s">
        <v>12774</v>
      </c>
      <c r="K1075" s="2" t="s">
        <v>21031</v>
      </c>
      <c r="L1075" s="10" t="s">
        <v>21032</v>
      </c>
    </row>
    <row r="1076">
      <c r="A1076" s="2" t="s">
        <v>2780</v>
      </c>
      <c r="B1076" s="2" t="s">
        <v>21033</v>
      </c>
      <c r="C1076" s="2">
        <v>1.098254436E9</v>
      </c>
      <c r="D1076" s="2" t="s">
        <v>21034</v>
      </c>
      <c r="E1076" s="2">
        <v>3226096.0</v>
      </c>
      <c r="F1076" s="2">
        <v>2.0</v>
      </c>
      <c r="G1076" s="2">
        <v>5776.0</v>
      </c>
      <c r="H1076" s="2" t="s">
        <v>5905</v>
      </c>
      <c r="I1076" s="2" t="s">
        <v>5906</v>
      </c>
      <c r="J1076" s="2" t="s">
        <v>5492</v>
      </c>
      <c r="K1076" s="2" t="s">
        <v>21035</v>
      </c>
    </row>
    <row r="1077">
      <c r="A1077" s="2" t="s">
        <v>2780</v>
      </c>
      <c r="B1077" s="2" t="s">
        <v>21033</v>
      </c>
      <c r="C1077" s="2">
        <v>1.098254436E9</v>
      </c>
      <c r="D1077" s="2" t="s">
        <v>21034</v>
      </c>
      <c r="E1077" s="2">
        <v>3226103.0</v>
      </c>
      <c r="F1077" s="2">
        <v>2.0</v>
      </c>
      <c r="G1077" s="2">
        <v>5776.0</v>
      </c>
      <c r="H1077" s="2" t="s">
        <v>5905</v>
      </c>
      <c r="I1077" s="2" t="s">
        <v>5906</v>
      </c>
      <c r="J1077" s="2" t="s">
        <v>5492</v>
      </c>
      <c r="K1077" s="2" t="s">
        <v>21035</v>
      </c>
    </row>
    <row r="1078">
      <c r="A1078" s="2" t="s">
        <v>2780</v>
      </c>
      <c r="B1078" s="2" t="s">
        <v>21036</v>
      </c>
      <c r="C1078" s="2">
        <v>3.2780816872E10</v>
      </c>
      <c r="D1078" s="2" t="s">
        <v>21037</v>
      </c>
      <c r="E1078" s="2">
        <v>493487.0</v>
      </c>
      <c r="F1078" s="2">
        <v>842.0</v>
      </c>
      <c r="G1078" s="2">
        <v>1047.0</v>
      </c>
      <c r="H1078" s="2" t="s">
        <v>5906</v>
      </c>
      <c r="I1078" s="2" t="s">
        <v>5906</v>
      </c>
      <c r="J1078" s="2" t="s">
        <v>5492</v>
      </c>
      <c r="K1078" s="2" t="s">
        <v>21038</v>
      </c>
      <c r="L1078" s="10" t="s">
        <v>21039</v>
      </c>
    </row>
    <row r="1079">
      <c r="A1079" s="2" t="s">
        <v>2780</v>
      </c>
      <c r="B1079" s="2" t="s">
        <v>16500</v>
      </c>
      <c r="C1079" s="2">
        <v>1.621146785E9</v>
      </c>
      <c r="D1079" s="2" t="s">
        <v>16501</v>
      </c>
      <c r="E1079" s="2">
        <v>5267997.0</v>
      </c>
      <c r="F1079" s="2">
        <v>1048.0</v>
      </c>
      <c r="G1079" s="2">
        <v>1067.0</v>
      </c>
      <c r="H1079" s="2" t="s">
        <v>5906</v>
      </c>
      <c r="I1079" s="2" t="s">
        <v>5905</v>
      </c>
      <c r="J1079" s="2" t="s">
        <v>5492</v>
      </c>
      <c r="K1079" s="2" t="s">
        <v>16502</v>
      </c>
      <c r="L1079" s="10" t="s">
        <v>16503</v>
      </c>
    </row>
    <row r="1080">
      <c r="A1080" s="2" t="s">
        <v>2780</v>
      </c>
      <c r="B1080" s="2" t="s">
        <v>16500</v>
      </c>
      <c r="C1080" s="2">
        <v>1.621146785E9</v>
      </c>
      <c r="D1080" s="2" t="s">
        <v>16501</v>
      </c>
      <c r="E1080" s="2">
        <v>5267986.0</v>
      </c>
      <c r="F1080" s="2">
        <v>1048.0</v>
      </c>
      <c r="G1080" s="2">
        <v>1067.0</v>
      </c>
      <c r="H1080" s="2" t="s">
        <v>5906</v>
      </c>
      <c r="I1080" s="2" t="s">
        <v>5905</v>
      </c>
      <c r="J1080" s="2" t="s">
        <v>5492</v>
      </c>
      <c r="K1080" s="2" t="s">
        <v>16502</v>
      </c>
      <c r="L1080" s="10" t="s">
        <v>16503</v>
      </c>
    </row>
    <row r="1081">
      <c r="A1081" s="2" t="s">
        <v>2780</v>
      </c>
      <c r="B1081" s="2" t="s">
        <v>21040</v>
      </c>
      <c r="C1081" s="2">
        <v>2.96299622E8</v>
      </c>
      <c r="D1081" s="2" t="s">
        <v>21034</v>
      </c>
      <c r="E1081" s="2">
        <v>1919605.0</v>
      </c>
      <c r="F1081" s="2">
        <v>132.0</v>
      </c>
      <c r="G1081" s="2">
        <v>965.0</v>
      </c>
      <c r="H1081" s="2" t="s">
        <v>5905</v>
      </c>
      <c r="I1081" s="2" t="s">
        <v>5905</v>
      </c>
      <c r="J1081" s="2" t="s">
        <v>5391</v>
      </c>
      <c r="K1081" s="2" t="s">
        <v>21041</v>
      </c>
      <c r="L1081" s="10" t="s">
        <v>21042</v>
      </c>
    </row>
    <row r="1082">
      <c r="A1082" s="2" t="s">
        <v>2780</v>
      </c>
      <c r="B1082" s="2" t="s">
        <v>21040</v>
      </c>
      <c r="C1082" s="2">
        <v>2.96299622E8</v>
      </c>
      <c r="D1082" s="2" t="s">
        <v>21034</v>
      </c>
      <c r="E1082" s="2">
        <v>1919604.0</v>
      </c>
      <c r="F1082" s="2">
        <v>132.0</v>
      </c>
      <c r="G1082" s="2">
        <v>965.0</v>
      </c>
      <c r="H1082" s="2" t="s">
        <v>5905</v>
      </c>
      <c r="I1082" s="2" t="s">
        <v>5905</v>
      </c>
      <c r="J1082" s="2" t="s">
        <v>5391</v>
      </c>
      <c r="K1082" s="2" t="s">
        <v>21041</v>
      </c>
      <c r="L1082" s="10" t="s">
        <v>21042</v>
      </c>
    </row>
    <row r="1083">
      <c r="A1083" s="2" t="s">
        <v>2780</v>
      </c>
      <c r="B1083" s="10" t="s">
        <v>21043</v>
      </c>
      <c r="C1083" s="2">
        <v>4.932132838E10</v>
      </c>
      <c r="D1083" s="2" t="s">
        <v>21044</v>
      </c>
      <c r="E1083" s="2">
        <v>246345.0</v>
      </c>
      <c r="F1083" s="2">
        <v>1.0</v>
      </c>
      <c r="G1083" s="2">
        <v>1615.0</v>
      </c>
      <c r="H1083" s="2" t="s">
        <v>5906</v>
      </c>
      <c r="I1083" s="2" t="s">
        <v>5905</v>
      </c>
      <c r="J1083" s="2" t="s">
        <v>6699</v>
      </c>
      <c r="K1083" s="2" t="s">
        <v>21045</v>
      </c>
      <c r="L1083" s="10" t="s">
        <v>21046</v>
      </c>
    </row>
    <row r="1084">
      <c r="A1084" s="2" t="s">
        <v>2780</v>
      </c>
      <c r="B1084" s="10" t="s">
        <v>21043</v>
      </c>
      <c r="C1084" s="2">
        <v>4.932132838E10</v>
      </c>
      <c r="D1084" s="2" t="s">
        <v>21044</v>
      </c>
      <c r="E1084" s="2">
        <v>246336.0</v>
      </c>
      <c r="F1084" s="2">
        <v>1.0</v>
      </c>
      <c r="G1084" s="2">
        <v>1615.0</v>
      </c>
      <c r="H1084" s="2" t="s">
        <v>5906</v>
      </c>
      <c r="I1084" s="2" t="s">
        <v>5905</v>
      </c>
      <c r="J1084" s="2" t="s">
        <v>6699</v>
      </c>
      <c r="K1084" s="2" t="s">
        <v>21045</v>
      </c>
      <c r="L1084" s="10" t="s">
        <v>21046</v>
      </c>
    </row>
    <row r="1085">
      <c r="A1085" s="2" t="s">
        <v>2780</v>
      </c>
      <c r="B1085" s="2" t="s">
        <v>21047</v>
      </c>
      <c r="C1085" s="2">
        <v>4.68591918E8</v>
      </c>
      <c r="D1085" s="2" t="s">
        <v>21048</v>
      </c>
      <c r="E1085" s="2">
        <v>417625.0</v>
      </c>
      <c r="F1085" s="2">
        <v>958.0</v>
      </c>
      <c r="G1085" s="2">
        <v>1641.0</v>
      </c>
      <c r="H1085" s="2" t="s">
        <v>5906</v>
      </c>
      <c r="I1085" s="2" t="s">
        <v>5905</v>
      </c>
      <c r="J1085" s="2" t="s">
        <v>5492</v>
      </c>
      <c r="K1085" s="2" t="s">
        <v>21049</v>
      </c>
      <c r="L1085" s="10" t="s">
        <v>21050</v>
      </c>
    </row>
    <row r="1086">
      <c r="A1086" s="2" t="s">
        <v>2780</v>
      </c>
      <c r="B1086" s="2" t="s">
        <v>21051</v>
      </c>
      <c r="C1086" s="2">
        <v>1.289628799E9</v>
      </c>
      <c r="D1086" s="2" t="s">
        <v>21052</v>
      </c>
      <c r="E1086" s="2">
        <v>585723.0</v>
      </c>
      <c r="F1086" s="2">
        <v>84.0</v>
      </c>
      <c r="G1086" s="2">
        <v>1208.0</v>
      </c>
      <c r="H1086" s="2" t="s">
        <v>5906</v>
      </c>
      <c r="I1086" s="2" t="s">
        <v>5905</v>
      </c>
      <c r="J1086" s="2" t="s">
        <v>5959</v>
      </c>
      <c r="K1086" s="2" t="s">
        <v>21053</v>
      </c>
      <c r="L1086" s="10" t="s">
        <v>21054</v>
      </c>
    </row>
    <row r="1087">
      <c r="A1087" s="2" t="s">
        <v>2780</v>
      </c>
      <c r="B1087" s="2" t="s">
        <v>21055</v>
      </c>
      <c r="C1087" s="2">
        <v>1.5046668522E10</v>
      </c>
      <c r="D1087" s="2" t="s">
        <v>21056</v>
      </c>
      <c r="E1087" s="2">
        <v>255862.0</v>
      </c>
      <c r="F1087" s="2">
        <v>17.0</v>
      </c>
      <c r="G1087" s="2">
        <v>3586.0</v>
      </c>
      <c r="H1087" s="2" t="s">
        <v>5905</v>
      </c>
      <c r="I1087" s="2" t="s">
        <v>5905</v>
      </c>
      <c r="J1087" s="2" t="s">
        <v>6699</v>
      </c>
      <c r="K1087" s="2" t="s">
        <v>21057</v>
      </c>
      <c r="L1087" s="10" t="s">
        <v>21058</v>
      </c>
    </row>
    <row r="1088">
      <c r="A1088" s="2" t="s">
        <v>2780</v>
      </c>
      <c r="B1088" s="2" t="s">
        <v>21059</v>
      </c>
      <c r="C1088" s="2">
        <v>2.8891346E8</v>
      </c>
      <c r="D1088" s="2" t="s">
        <v>21060</v>
      </c>
      <c r="E1088" s="2">
        <v>659318.0</v>
      </c>
      <c r="F1088" s="2">
        <v>80.0</v>
      </c>
      <c r="G1088" s="2">
        <v>2582.0</v>
      </c>
      <c r="H1088" s="2" t="s">
        <v>5905</v>
      </c>
      <c r="I1088" s="2" t="s">
        <v>5905</v>
      </c>
      <c r="K1088" s="2" t="s">
        <v>21061</v>
      </c>
      <c r="L1088" s="10" t="s">
        <v>21062</v>
      </c>
    </row>
    <row r="1089">
      <c r="A1089" s="2" t="s">
        <v>2780</v>
      </c>
      <c r="B1089" s="2" t="s">
        <v>21063</v>
      </c>
      <c r="C1089" s="2">
        <v>6.6481210933E10</v>
      </c>
      <c r="D1089" s="2" t="s">
        <v>21064</v>
      </c>
      <c r="E1089" s="2">
        <v>92516.0</v>
      </c>
      <c r="F1089" s="2">
        <v>90.0</v>
      </c>
      <c r="G1089" s="2">
        <v>573.0</v>
      </c>
      <c r="H1089" s="2" t="s">
        <v>5905</v>
      </c>
      <c r="I1089" s="2" t="s">
        <v>5905</v>
      </c>
      <c r="J1089" s="2" t="s">
        <v>5561</v>
      </c>
      <c r="K1089" s="2" t="s">
        <v>21065</v>
      </c>
      <c r="L1089" s="10" t="s">
        <v>21066</v>
      </c>
    </row>
    <row r="1090">
      <c r="A1090" s="2" t="s">
        <v>2780</v>
      </c>
      <c r="B1090" s="2" t="s">
        <v>16527</v>
      </c>
      <c r="C1090" s="2">
        <v>7679624.0</v>
      </c>
      <c r="D1090" s="2" t="s">
        <v>16528</v>
      </c>
      <c r="E1090" s="2">
        <v>2172584.0</v>
      </c>
      <c r="F1090" s="2">
        <v>3649.0</v>
      </c>
      <c r="G1090" s="2">
        <v>5609.0</v>
      </c>
      <c r="H1090" s="2" t="s">
        <v>5906</v>
      </c>
      <c r="I1090" s="2" t="s">
        <v>5905</v>
      </c>
      <c r="J1090" s="2" t="s">
        <v>5492</v>
      </c>
      <c r="K1090" s="2" t="s">
        <v>16529</v>
      </c>
      <c r="L1090" s="10" t="s">
        <v>16530</v>
      </c>
    </row>
    <row r="1091">
      <c r="A1091" s="2" t="s">
        <v>2780</v>
      </c>
      <c r="B1091" s="2" t="s">
        <v>16527</v>
      </c>
      <c r="C1091" s="2">
        <v>7679624.0</v>
      </c>
      <c r="D1091" s="2" t="s">
        <v>16528</v>
      </c>
      <c r="E1091" s="2">
        <v>2172589.0</v>
      </c>
      <c r="F1091" s="2">
        <v>3649.0</v>
      </c>
      <c r="G1091" s="2">
        <v>5609.0</v>
      </c>
      <c r="H1091" s="2" t="s">
        <v>5906</v>
      </c>
      <c r="I1091" s="2" t="s">
        <v>5905</v>
      </c>
      <c r="J1091" s="2" t="s">
        <v>5492</v>
      </c>
      <c r="K1091" s="2" t="s">
        <v>16529</v>
      </c>
      <c r="L1091" s="10" t="s">
        <v>16530</v>
      </c>
    </row>
    <row r="1092">
      <c r="A1092" s="2" t="s">
        <v>2780</v>
      </c>
      <c r="B1092" s="2" t="s">
        <v>21067</v>
      </c>
      <c r="C1092" s="2">
        <v>3.613529266E10</v>
      </c>
      <c r="D1092" s="2" t="s">
        <v>21068</v>
      </c>
      <c r="E1092" s="2">
        <v>111351.0</v>
      </c>
      <c r="F1092" s="2">
        <v>249.0</v>
      </c>
      <c r="G1092" s="2">
        <v>231.0</v>
      </c>
      <c r="H1092" s="2" t="s">
        <v>5905</v>
      </c>
      <c r="I1092" s="2" t="s">
        <v>5906</v>
      </c>
      <c r="J1092" s="2" t="s">
        <v>6472</v>
      </c>
      <c r="K1092" s="2" t="s">
        <v>21069</v>
      </c>
    </row>
    <row r="1093">
      <c r="A1093" s="2" t="s">
        <v>2780</v>
      </c>
      <c r="B1093" s="2" t="s">
        <v>21070</v>
      </c>
      <c r="C1093" s="2">
        <v>3.58530222E8</v>
      </c>
      <c r="D1093" s="2" t="s">
        <v>21071</v>
      </c>
      <c r="E1093" s="2">
        <v>304709.0</v>
      </c>
      <c r="F1093" s="2">
        <v>637.0</v>
      </c>
      <c r="G1093" s="2">
        <v>3178.0</v>
      </c>
      <c r="H1093" s="2" t="s">
        <v>5906</v>
      </c>
      <c r="I1093" s="2" t="s">
        <v>5906</v>
      </c>
      <c r="J1093" s="2" t="s">
        <v>5959</v>
      </c>
      <c r="K1093" s="2" t="s">
        <v>21072</v>
      </c>
      <c r="L1093" s="10" t="s">
        <v>21073</v>
      </c>
    </row>
    <row r="1094">
      <c r="A1094" s="2" t="s">
        <v>2780</v>
      </c>
      <c r="B1094" s="2" t="s">
        <v>21074</v>
      </c>
      <c r="C1094" s="2">
        <v>1.6626447038E10</v>
      </c>
      <c r="D1094" s="2" t="s">
        <v>21075</v>
      </c>
      <c r="E1094" s="2">
        <v>771926.0</v>
      </c>
      <c r="F1094" s="2">
        <v>29.0</v>
      </c>
      <c r="G1094" s="2">
        <v>1005.0</v>
      </c>
      <c r="H1094" s="2" t="s">
        <v>5905</v>
      </c>
      <c r="I1094" s="2" t="s">
        <v>5905</v>
      </c>
      <c r="J1094" s="2" t="s">
        <v>12774</v>
      </c>
      <c r="K1094" s="2" t="s">
        <v>21076</v>
      </c>
      <c r="L1094" s="10" t="s">
        <v>21077</v>
      </c>
    </row>
    <row r="1095">
      <c r="A1095" s="2" t="s">
        <v>2780</v>
      </c>
      <c r="B1095" s="2" t="s">
        <v>21074</v>
      </c>
      <c r="C1095" s="2">
        <v>1.6626447038E10</v>
      </c>
      <c r="D1095" s="2" t="s">
        <v>21075</v>
      </c>
      <c r="E1095" s="2">
        <v>771936.0</v>
      </c>
      <c r="F1095" s="2">
        <v>29.0</v>
      </c>
      <c r="G1095" s="2">
        <v>1005.0</v>
      </c>
      <c r="H1095" s="2" t="s">
        <v>5905</v>
      </c>
      <c r="I1095" s="2" t="s">
        <v>5905</v>
      </c>
      <c r="J1095" s="2" t="s">
        <v>12774</v>
      </c>
      <c r="K1095" s="2" t="s">
        <v>21076</v>
      </c>
      <c r="L1095" s="10" t="s">
        <v>21077</v>
      </c>
    </row>
    <row r="1096">
      <c r="A1096" s="2" t="s">
        <v>2780</v>
      </c>
      <c r="B1096" s="2" t="s">
        <v>21078</v>
      </c>
      <c r="C1096" s="2">
        <v>3.036238149E9</v>
      </c>
      <c r="D1096" s="2" t="s">
        <v>21079</v>
      </c>
      <c r="E1096" s="2">
        <v>322620.0</v>
      </c>
      <c r="F1096" s="2">
        <v>857.0</v>
      </c>
      <c r="G1096" s="2">
        <v>834.0</v>
      </c>
      <c r="H1096" s="2" t="s">
        <v>5906</v>
      </c>
      <c r="I1096" s="2" t="s">
        <v>5906</v>
      </c>
      <c r="J1096" s="2" t="s">
        <v>12774</v>
      </c>
      <c r="K1096" s="2" t="s">
        <v>21080</v>
      </c>
      <c r="L1096" s="10" t="s">
        <v>21081</v>
      </c>
    </row>
    <row r="1097">
      <c r="A1097" s="2" t="s">
        <v>2780</v>
      </c>
      <c r="B1097" s="2" t="s">
        <v>21082</v>
      </c>
      <c r="C1097" s="2">
        <v>4.4123215144E10</v>
      </c>
      <c r="D1097" s="2" t="s">
        <v>21083</v>
      </c>
      <c r="E1097" s="2">
        <v>392178.0</v>
      </c>
      <c r="F1097" s="2">
        <v>69.0</v>
      </c>
      <c r="G1097" s="2">
        <v>831.0</v>
      </c>
      <c r="H1097" s="2" t="s">
        <v>5905</v>
      </c>
      <c r="I1097" s="2" t="s">
        <v>5905</v>
      </c>
      <c r="J1097" s="2" t="s">
        <v>5561</v>
      </c>
      <c r="K1097" s="2" t="s">
        <v>21084</v>
      </c>
      <c r="L1097" s="10" t="s">
        <v>21085</v>
      </c>
    </row>
    <row r="1098">
      <c r="A1098" s="2" t="s">
        <v>2780</v>
      </c>
      <c r="B1098" s="2" t="s">
        <v>21086</v>
      </c>
      <c r="C1098" s="2">
        <v>3.3721557105E10</v>
      </c>
      <c r="D1098" s="2" t="s">
        <v>21087</v>
      </c>
      <c r="E1098" s="2">
        <v>13326.0</v>
      </c>
      <c r="F1098" s="2">
        <v>63.0</v>
      </c>
      <c r="G1098" s="2">
        <v>29.0</v>
      </c>
      <c r="H1098" s="2" t="s">
        <v>5905</v>
      </c>
      <c r="I1098" s="2" t="s">
        <v>5905</v>
      </c>
      <c r="J1098" s="2" t="s">
        <v>7926</v>
      </c>
      <c r="K1098" s="2" t="s">
        <v>21088</v>
      </c>
    </row>
    <row r="1099">
      <c r="A1099" s="2" t="s">
        <v>4696</v>
      </c>
      <c r="B1099" s="2" t="s">
        <v>21089</v>
      </c>
      <c r="C1099" s="2">
        <v>4.1083587532E10</v>
      </c>
      <c r="D1099" s="2" t="s">
        <v>21090</v>
      </c>
      <c r="E1099" s="2">
        <v>12334.0</v>
      </c>
      <c r="F1099" s="2">
        <v>902.0</v>
      </c>
      <c r="G1099" s="2">
        <v>128.0</v>
      </c>
      <c r="H1099" s="2" t="s">
        <v>5906</v>
      </c>
      <c r="I1099" s="2" t="s">
        <v>5906</v>
      </c>
      <c r="J1099" s="2" t="s">
        <v>7931</v>
      </c>
      <c r="K1099" s="2" t="s">
        <v>21091</v>
      </c>
    </row>
    <row r="1100">
      <c r="A1100" s="2" t="s">
        <v>4696</v>
      </c>
      <c r="B1100" s="2" t="s">
        <v>21092</v>
      </c>
      <c r="C1100" s="2">
        <v>6.8665435101E10</v>
      </c>
      <c r="D1100" s="2" t="s">
        <v>21093</v>
      </c>
      <c r="E1100" s="2">
        <v>43522.0</v>
      </c>
      <c r="F1100" s="2">
        <v>0.0</v>
      </c>
      <c r="G1100" s="2">
        <v>66.0</v>
      </c>
      <c r="H1100" s="2" t="s">
        <v>5906</v>
      </c>
      <c r="I1100" s="2" t="s">
        <v>5905</v>
      </c>
      <c r="J1100" s="2" t="s">
        <v>5959</v>
      </c>
      <c r="K1100" s="2" t="s">
        <v>21094</v>
      </c>
    </row>
    <row r="1101">
      <c r="A1101" s="2" t="s">
        <v>4696</v>
      </c>
      <c r="B1101" s="10" t="s">
        <v>21095</v>
      </c>
      <c r="C1101" s="2">
        <v>8.391660287E9</v>
      </c>
      <c r="D1101" s="2" t="s">
        <v>21096</v>
      </c>
      <c r="E1101" s="2">
        <v>46755.0</v>
      </c>
      <c r="F1101" s="2">
        <v>3475.0</v>
      </c>
      <c r="G1101" s="2">
        <v>395.0</v>
      </c>
      <c r="H1101" s="2" t="s">
        <v>5906</v>
      </c>
      <c r="I1101" s="2" t="s">
        <v>5905</v>
      </c>
      <c r="J1101" s="2" t="s">
        <v>8911</v>
      </c>
      <c r="K1101" s="2" t="s">
        <v>21097</v>
      </c>
    </row>
    <row r="1102">
      <c r="A1102" s="2" t="s">
        <v>4696</v>
      </c>
      <c r="B1102" s="2" t="s">
        <v>21098</v>
      </c>
      <c r="C1102" s="2">
        <v>6.0008758595E10</v>
      </c>
      <c r="D1102" s="2" t="s">
        <v>21099</v>
      </c>
      <c r="E1102" s="2">
        <v>104111.0</v>
      </c>
      <c r="F1102" s="2">
        <v>27.0</v>
      </c>
      <c r="G1102" s="2">
        <v>147.0</v>
      </c>
      <c r="H1102" s="2" t="s">
        <v>5905</v>
      </c>
      <c r="I1102" s="2" t="s">
        <v>5905</v>
      </c>
      <c r="J1102" s="2" t="s">
        <v>5928</v>
      </c>
      <c r="K1102" s="2" t="s">
        <v>21100</v>
      </c>
    </row>
    <row r="1103">
      <c r="A1103" s="2" t="s">
        <v>4696</v>
      </c>
      <c r="B1103" s="2" t="s">
        <v>21101</v>
      </c>
      <c r="C1103" s="2">
        <v>4.1910605867E10</v>
      </c>
      <c r="D1103" s="2" t="s">
        <v>21102</v>
      </c>
      <c r="E1103" s="2">
        <v>18614.0</v>
      </c>
      <c r="F1103" s="2">
        <v>2699.0</v>
      </c>
      <c r="G1103" s="2">
        <v>619.0</v>
      </c>
      <c r="H1103" s="2" t="s">
        <v>5905</v>
      </c>
      <c r="I1103" s="2" t="s">
        <v>5906</v>
      </c>
      <c r="J1103" s="2" t="s">
        <v>5480</v>
      </c>
      <c r="K1103" s="2" t="s">
        <v>21103</v>
      </c>
      <c r="L1103" s="10" t="s">
        <v>21104</v>
      </c>
    </row>
    <row r="1104">
      <c r="A1104" s="2" t="s">
        <v>4696</v>
      </c>
      <c r="B1104" s="2" t="s">
        <v>21105</v>
      </c>
      <c r="C1104" s="2">
        <v>4.159895894E9</v>
      </c>
      <c r="D1104" s="2" t="s">
        <v>21106</v>
      </c>
      <c r="E1104" s="2">
        <v>76989.0</v>
      </c>
      <c r="F1104" s="2">
        <v>1834.0</v>
      </c>
      <c r="G1104" s="2">
        <v>625.0</v>
      </c>
      <c r="H1104" s="2" t="s">
        <v>5905</v>
      </c>
      <c r="I1104" s="2" t="s">
        <v>5905</v>
      </c>
      <c r="J1104" s="2" t="s">
        <v>6393</v>
      </c>
      <c r="K1104" s="2" t="s">
        <v>21107</v>
      </c>
    </row>
    <row r="1105">
      <c r="A1105" s="2" t="s">
        <v>4696</v>
      </c>
      <c r="B1105" s="2" t="s">
        <v>21108</v>
      </c>
      <c r="C1105" s="2">
        <v>8.498643967E9</v>
      </c>
      <c r="D1105" s="2" t="s">
        <v>21109</v>
      </c>
      <c r="E1105" s="2">
        <v>1519531.0</v>
      </c>
      <c r="F1105" s="2">
        <v>32.0</v>
      </c>
      <c r="G1105" s="2">
        <v>8311.0</v>
      </c>
      <c r="H1105" s="2" t="s">
        <v>5906</v>
      </c>
      <c r="I1105" s="2" t="s">
        <v>5905</v>
      </c>
      <c r="J1105" s="2" t="s">
        <v>8911</v>
      </c>
      <c r="K1105" s="2" t="s">
        <v>21110</v>
      </c>
      <c r="L1105" s="10" t="s">
        <v>21111</v>
      </c>
    </row>
    <row r="1106">
      <c r="A1106" s="2" t="s">
        <v>4696</v>
      </c>
      <c r="B1106" s="2" t="s">
        <v>21112</v>
      </c>
      <c r="C1106" s="2">
        <v>7.1628737789E10</v>
      </c>
      <c r="D1106" s="2" t="s">
        <v>21113</v>
      </c>
      <c r="E1106" s="2">
        <v>37903.0</v>
      </c>
      <c r="F1106" s="2">
        <v>22.0</v>
      </c>
      <c r="G1106" s="2">
        <v>377.0</v>
      </c>
      <c r="H1106" s="2" t="s">
        <v>5905</v>
      </c>
      <c r="I1106" s="2" t="s">
        <v>5905</v>
      </c>
      <c r="J1106" s="2" t="s">
        <v>5928</v>
      </c>
      <c r="K1106" s="2" t="s">
        <v>21114</v>
      </c>
    </row>
    <row r="1107">
      <c r="A1107" s="2" t="s">
        <v>4463</v>
      </c>
      <c r="B1107" s="2" t="s">
        <v>21115</v>
      </c>
      <c r="C1107" s="2">
        <v>4.193154172E9</v>
      </c>
      <c r="D1107" s="2" t="s">
        <v>21116</v>
      </c>
      <c r="E1107" s="2">
        <v>275018.0</v>
      </c>
      <c r="F1107" s="2">
        <v>1327.0</v>
      </c>
      <c r="G1107" s="2">
        <v>384.0</v>
      </c>
      <c r="H1107" s="2" t="s">
        <v>5905</v>
      </c>
      <c r="I1107" s="2" t="s">
        <v>5906</v>
      </c>
      <c r="J1107" s="2" t="s">
        <v>13763</v>
      </c>
      <c r="K1107" s="2" t="s">
        <v>21117</v>
      </c>
      <c r="L1107" s="10" t="s">
        <v>21118</v>
      </c>
    </row>
    <row r="1108">
      <c r="A1108" s="2" t="s">
        <v>4463</v>
      </c>
      <c r="B1108" s="2" t="s">
        <v>21119</v>
      </c>
      <c r="C1108" s="2">
        <v>2.553200194E9</v>
      </c>
      <c r="D1108" s="2" t="s">
        <v>21120</v>
      </c>
      <c r="E1108" s="2">
        <v>52947.0</v>
      </c>
      <c r="F1108" s="2">
        <v>614.0</v>
      </c>
      <c r="G1108" s="2">
        <v>809.0</v>
      </c>
      <c r="H1108" s="2" t="s">
        <v>5905</v>
      </c>
      <c r="I1108" s="2" t="s">
        <v>5905</v>
      </c>
      <c r="J1108" s="2" t="s">
        <v>5492</v>
      </c>
      <c r="K1108" s="2" t="s">
        <v>21121</v>
      </c>
    </row>
    <row r="1109">
      <c r="A1109" s="2" t="s">
        <v>4463</v>
      </c>
      <c r="B1109" s="2" t="s">
        <v>21122</v>
      </c>
      <c r="C1109" s="2">
        <v>1.5141341215E10</v>
      </c>
      <c r="D1109" s="2" t="s">
        <v>21123</v>
      </c>
      <c r="E1109" s="2">
        <v>131823.0</v>
      </c>
      <c r="F1109" s="2">
        <v>683.0</v>
      </c>
      <c r="G1109" s="2">
        <v>1435.0</v>
      </c>
      <c r="H1109" s="2" t="s">
        <v>5906</v>
      </c>
      <c r="I1109" s="2" t="s">
        <v>5905</v>
      </c>
      <c r="J1109" s="2" t="s">
        <v>5959</v>
      </c>
      <c r="K1109" s="2" t="s">
        <v>21124</v>
      </c>
      <c r="L1109" s="10" t="s">
        <v>21125</v>
      </c>
    </row>
    <row r="1110">
      <c r="A1110" s="2" t="s">
        <v>4463</v>
      </c>
      <c r="B1110" s="2" t="s">
        <v>21126</v>
      </c>
      <c r="C1110" s="2">
        <v>7.105534108E9</v>
      </c>
      <c r="D1110" s="2" t="s">
        <v>21127</v>
      </c>
      <c r="E1110" s="2">
        <v>68794.0</v>
      </c>
      <c r="F1110" s="2">
        <v>418.0</v>
      </c>
      <c r="G1110" s="2">
        <v>3279.0</v>
      </c>
      <c r="H1110" s="2" t="s">
        <v>5905</v>
      </c>
      <c r="I1110" s="2" t="s">
        <v>5905</v>
      </c>
      <c r="J1110" s="2" t="s">
        <v>7620</v>
      </c>
      <c r="K1110" s="2" t="s">
        <v>21128</v>
      </c>
    </row>
    <row r="1111">
      <c r="A1111" s="2" t="s">
        <v>4463</v>
      </c>
      <c r="B1111" s="2" t="s">
        <v>21129</v>
      </c>
      <c r="C1111" s="2">
        <v>1.800478981E9</v>
      </c>
      <c r="D1111" s="2" t="s">
        <v>21130</v>
      </c>
      <c r="E1111" s="2">
        <v>51082.0</v>
      </c>
      <c r="F1111" s="2">
        <v>7468.0</v>
      </c>
      <c r="G1111" s="2">
        <v>3394.0</v>
      </c>
      <c r="H1111" s="2" t="s">
        <v>5905</v>
      </c>
      <c r="I1111" s="2" t="s">
        <v>5906</v>
      </c>
      <c r="J1111" s="2" t="s">
        <v>6166</v>
      </c>
      <c r="K1111" s="2" t="s">
        <v>21131</v>
      </c>
      <c r="L1111" s="10" t="s">
        <v>21132</v>
      </c>
    </row>
    <row r="1112">
      <c r="A1112" s="2" t="s">
        <v>4463</v>
      </c>
      <c r="B1112" s="2" t="s">
        <v>21133</v>
      </c>
      <c r="C1112" s="2">
        <v>4.6174673349E10</v>
      </c>
      <c r="D1112" s="2" t="s">
        <v>21134</v>
      </c>
      <c r="E1112" s="2">
        <v>24631.0</v>
      </c>
      <c r="F1112" s="2">
        <v>153.0</v>
      </c>
      <c r="G1112" s="2">
        <v>1095.0</v>
      </c>
      <c r="H1112" s="2" t="s">
        <v>5905</v>
      </c>
      <c r="I1112" s="2" t="s">
        <v>5906</v>
      </c>
      <c r="J1112" s="2" t="s">
        <v>5561</v>
      </c>
      <c r="K1112" s="2" t="s">
        <v>21135</v>
      </c>
      <c r="L1112" s="10" t="s">
        <v>21136</v>
      </c>
    </row>
    <row r="1113">
      <c r="A1113" s="2" t="s">
        <v>4463</v>
      </c>
      <c r="B1113" s="10" t="s">
        <v>21137</v>
      </c>
      <c r="C1113" s="2">
        <v>5.948923459E9</v>
      </c>
      <c r="D1113" s="2" t="s">
        <v>21138</v>
      </c>
      <c r="E1113" s="2">
        <v>23845.0</v>
      </c>
      <c r="F1113" s="2">
        <v>203.0</v>
      </c>
      <c r="G1113" s="2">
        <v>1722.0</v>
      </c>
      <c r="H1113" s="2" t="s">
        <v>5905</v>
      </c>
      <c r="I1113" s="2" t="s">
        <v>5906</v>
      </c>
      <c r="J1113" s="2" t="s">
        <v>6002</v>
      </c>
      <c r="K1113" s="2" t="s">
        <v>21139</v>
      </c>
      <c r="L1113" s="10" t="s">
        <v>21140</v>
      </c>
    </row>
    <row r="1114">
      <c r="A1114" s="2" t="s">
        <v>4463</v>
      </c>
      <c r="B1114" s="2" t="s">
        <v>21141</v>
      </c>
      <c r="C1114" s="2">
        <v>5.3623802497E10</v>
      </c>
      <c r="D1114" s="2" t="s">
        <v>21142</v>
      </c>
      <c r="E1114" s="2">
        <v>141694.0</v>
      </c>
      <c r="F1114" s="2">
        <v>0.0</v>
      </c>
      <c r="G1114" s="2">
        <v>742.0</v>
      </c>
      <c r="H1114" s="2" t="s">
        <v>5905</v>
      </c>
      <c r="I1114" s="2" t="s">
        <v>5906</v>
      </c>
      <c r="J1114" s="2" t="s">
        <v>5963</v>
      </c>
      <c r="K1114" s="2" t="s">
        <v>21143</v>
      </c>
      <c r="L1114" s="10" t="s">
        <v>21144</v>
      </c>
    </row>
    <row r="1115">
      <c r="A1115" s="2" t="s">
        <v>4463</v>
      </c>
      <c r="B1115" s="2" t="s">
        <v>21145</v>
      </c>
      <c r="C1115" s="2">
        <v>5.397122762E10</v>
      </c>
      <c r="D1115" s="2" t="s">
        <v>21146</v>
      </c>
      <c r="E1115" s="2">
        <v>12631.0</v>
      </c>
      <c r="F1115" s="2">
        <v>1151.0</v>
      </c>
      <c r="G1115" s="2">
        <v>207.0</v>
      </c>
      <c r="H1115" s="2" t="s">
        <v>5906</v>
      </c>
      <c r="I1115" s="2" t="s">
        <v>5905</v>
      </c>
      <c r="J1115" s="2" t="s">
        <v>11684</v>
      </c>
      <c r="K1115" s="2" t="s">
        <v>21147</v>
      </c>
    </row>
    <row r="1116">
      <c r="A1116" s="2" t="s">
        <v>4463</v>
      </c>
      <c r="B1116" s="2" t="s">
        <v>21148</v>
      </c>
      <c r="C1116" s="2">
        <v>6.39853342E9</v>
      </c>
      <c r="D1116" s="2" t="s">
        <v>21149</v>
      </c>
      <c r="E1116" s="2">
        <v>118610.0</v>
      </c>
      <c r="F1116" s="2">
        <v>620.0</v>
      </c>
      <c r="G1116" s="2">
        <v>4190.0</v>
      </c>
      <c r="H1116" s="2" t="s">
        <v>5906</v>
      </c>
      <c r="I1116" s="2" t="s">
        <v>5905</v>
      </c>
      <c r="J1116" s="2" t="s">
        <v>6393</v>
      </c>
      <c r="K1116" s="12" t="s">
        <v>21150</v>
      </c>
      <c r="L1116" s="10" t="s">
        <v>21151</v>
      </c>
    </row>
    <row r="1117">
      <c r="A1117" s="2" t="s">
        <v>4463</v>
      </c>
      <c r="B1117" s="2" t="s">
        <v>21152</v>
      </c>
      <c r="C1117" s="2">
        <v>7.130197211E10</v>
      </c>
      <c r="D1117" s="2" t="s">
        <v>21153</v>
      </c>
      <c r="E1117" s="2">
        <v>11415.0</v>
      </c>
      <c r="F1117" s="2">
        <v>259.0</v>
      </c>
      <c r="G1117" s="2">
        <v>193.0</v>
      </c>
      <c r="H1117" s="2" t="s">
        <v>5905</v>
      </c>
      <c r="I1117" s="2" t="s">
        <v>5905</v>
      </c>
      <c r="J1117" s="2" t="s">
        <v>5959</v>
      </c>
      <c r="K1117" s="2" t="s">
        <v>21154</v>
      </c>
    </row>
    <row r="1118">
      <c r="A1118" s="2" t="s">
        <v>4463</v>
      </c>
      <c r="B1118" s="2" t="s">
        <v>21155</v>
      </c>
      <c r="C1118" s="2">
        <v>3.147211825E9</v>
      </c>
      <c r="D1118" s="2" t="s">
        <v>21156</v>
      </c>
      <c r="E1118" s="2">
        <v>46221.0</v>
      </c>
      <c r="F1118" s="2">
        <v>1501.0</v>
      </c>
      <c r="G1118" s="2">
        <v>1876.0</v>
      </c>
      <c r="H1118" s="2" t="s">
        <v>5905</v>
      </c>
      <c r="I1118" s="2" t="s">
        <v>5905</v>
      </c>
      <c r="J1118" s="2" t="s">
        <v>6393</v>
      </c>
      <c r="K1118" s="2" t="s">
        <v>21157</v>
      </c>
      <c r="L1118" s="10" t="s">
        <v>21158</v>
      </c>
    </row>
    <row r="1119">
      <c r="A1119" s="2" t="s">
        <v>4463</v>
      </c>
      <c r="B1119" s="2" t="s">
        <v>21159</v>
      </c>
      <c r="C1119" s="2">
        <v>9.307313571E9</v>
      </c>
      <c r="D1119" s="2" t="s">
        <v>21160</v>
      </c>
      <c r="E1119" s="2">
        <v>223417.0</v>
      </c>
      <c r="F1119" s="2">
        <v>46.0</v>
      </c>
      <c r="G1119" s="2">
        <v>1973.0</v>
      </c>
      <c r="H1119" s="2" t="s">
        <v>5905</v>
      </c>
      <c r="I1119" s="2" t="s">
        <v>5906</v>
      </c>
      <c r="J1119" s="2" t="s">
        <v>6393</v>
      </c>
      <c r="K1119" s="2" t="s">
        <v>21161</v>
      </c>
    </row>
    <row r="1120">
      <c r="A1120" s="2" t="s">
        <v>4463</v>
      </c>
      <c r="B1120" s="2" t="s">
        <v>21162</v>
      </c>
      <c r="C1120" s="2">
        <v>1.201268222E9</v>
      </c>
      <c r="D1120" s="2" t="s">
        <v>21163</v>
      </c>
      <c r="E1120" s="2">
        <v>372421.0</v>
      </c>
      <c r="F1120" s="2">
        <v>3360.0</v>
      </c>
      <c r="G1120" s="2">
        <v>3918.0</v>
      </c>
      <c r="H1120" s="2" t="s">
        <v>5906</v>
      </c>
      <c r="I1120" s="2" t="s">
        <v>5905</v>
      </c>
      <c r="J1120" s="2" t="s">
        <v>6414</v>
      </c>
      <c r="K1120" s="2" t="s">
        <v>21164</v>
      </c>
      <c r="L1120" s="10" t="s">
        <v>21165</v>
      </c>
    </row>
    <row r="1121">
      <c r="A1121" s="2" t="s">
        <v>4417</v>
      </c>
      <c r="B1121" s="2" t="s">
        <v>21166</v>
      </c>
      <c r="C1121" s="2">
        <v>1.040258799E10</v>
      </c>
      <c r="D1121" s="2" t="s">
        <v>21167</v>
      </c>
      <c r="E1121" s="2">
        <v>12437.0</v>
      </c>
      <c r="F1121" s="2">
        <v>2233.0</v>
      </c>
      <c r="G1121" s="2">
        <v>598.0</v>
      </c>
      <c r="H1121" s="2" t="s">
        <v>5905</v>
      </c>
      <c r="I1121" s="2" t="s">
        <v>5906</v>
      </c>
      <c r="J1121" s="2" t="s">
        <v>5391</v>
      </c>
      <c r="K1121" s="2" t="s">
        <v>21168</v>
      </c>
      <c r="L1121" s="10" t="s">
        <v>21169</v>
      </c>
    </row>
    <row r="1122">
      <c r="A1122" s="2" t="s">
        <v>4417</v>
      </c>
      <c r="B1122" s="2" t="s">
        <v>21170</v>
      </c>
      <c r="C1122" s="2">
        <v>5.0555362704E10</v>
      </c>
      <c r="D1122" s="2" t="s">
        <v>21171</v>
      </c>
      <c r="E1122" s="2">
        <v>10550.0</v>
      </c>
      <c r="F1122" s="2">
        <v>3106.0</v>
      </c>
      <c r="G1122" s="2">
        <v>743.0</v>
      </c>
      <c r="H1122" s="2" t="s">
        <v>5905</v>
      </c>
      <c r="I1122" s="2" t="s">
        <v>5906</v>
      </c>
      <c r="J1122" s="2" t="s">
        <v>5391</v>
      </c>
      <c r="K1122" s="2" t="s">
        <v>21172</v>
      </c>
    </row>
    <row r="1123">
      <c r="A1123" s="2" t="s">
        <v>4417</v>
      </c>
      <c r="B1123" s="2" t="s">
        <v>21173</v>
      </c>
      <c r="C1123" s="2">
        <v>2.23461077E8</v>
      </c>
      <c r="D1123" s="2" t="s">
        <v>21174</v>
      </c>
      <c r="E1123" s="2">
        <v>44303.0</v>
      </c>
      <c r="F1123" s="2">
        <v>4921.0</v>
      </c>
      <c r="G1123" s="2">
        <v>3618.0</v>
      </c>
      <c r="H1123" s="2" t="s">
        <v>5905</v>
      </c>
      <c r="I1123" s="2" t="s">
        <v>5906</v>
      </c>
      <c r="J1123" s="2" t="s">
        <v>6166</v>
      </c>
      <c r="K1123" s="2" t="s">
        <v>21175</v>
      </c>
      <c r="L1123" s="10" t="s">
        <v>21176</v>
      </c>
    </row>
    <row r="1124">
      <c r="A1124" s="2" t="s">
        <v>4417</v>
      </c>
      <c r="B1124" s="2" t="s">
        <v>21177</v>
      </c>
      <c r="C1124" s="2">
        <v>7.0518754131E10</v>
      </c>
      <c r="D1124" s="2" t="s">
        <v>21178</v>
      </c>
      <c r="E1124" s="2">
        <v>231419.0</v>
      </c>
      <c r="F1124" s="2">
        <v>14.0</v>
      </c>
      <c r="G1124" s="2">
        <v>79.0</v>
      </c>
      <c r="H1124" s="2" t="s">
        <v>5905</v>
      </c>
      <c r="I1124" s="2" t="s">
        <v>5905</v>
      </c>
      <c r="J1124" s="2" t="s">
        <v>6002</v>
      </c>
      <c r="K1124" s="2" t="s">
        <v>21179</v>
      </c>
      <c r="L1124" s="10" t="s">
        <v>21180</v>
      </c>
    </row>
    <row r="1125">
      <c r="A1125" s="2" t="s">
        <v>4417</v>
      </c>
      <c r="B1125" s="2" t="s">
        <v>21181</v>
      </c>
      <c r="C1125" s="2">
        <v>2.07094635E8</v>
      </c>
      <c r="D1125" s="2" t="s">
        <v>21182</v>
      </c>
      <c r="E1125" s="2">
        <v>11722.0</v>
      </c>
      <c r="F1125" s="2">
        <v>607.0</v>
      </c>
      <c r="G1125" s="2">
        <v>4636.0</v>
      </c>
      <c r="H1125" s="2" t="s">
        <v>5905</v>
      </c>
      <c r="I1125" s="2" t="s">
        <v>5906</v>
      </c>
      <c r="J1125" s="2" t="s">
        <v>16399</v>
      </c>
      <c r="K1125" s="2" t="s">
        <v>21183</v>
      </c>
      <c r="L1125" s="10" t="s">
        <v>21184</v>
      </c>
    </row>
    <row r="1126">
      <c r="A1126" s="2" t="s">
        <v>4635</v>
      </c>
      <c r="B1126" s="2" t="s">
        <v>21185</v>
      </c>
      <c r="C1126" s="2">
        <v>7.589836429E9</v>
      </c>
      <c r="D1126" s="2" t="s">
        <v>21186</v>
      </c>
      <c r="E1126" s="2">
        <v>102815.0</v>
      </c>
      <c r="F1126" s="2">
        <v>835.0</v>
      </c>
      <c r="G1126" s="2">
        <v>650.0</v>
      </c>
      <c r="H1126" s="2" t="s">
        <v>5905</v>
      </c>
      <c r="I1126" s="2" t="s">
        <v>5905</v>
      </c>
      <c r="J1126" s="2" t="s">
        <v>5959</v>
      </c>
      <c r="K1126" s="2" t="s">
        <v>21187</v>
      </c>
      <c r="L1126" s="10" t="s">
        <v>21188</v>
      </c>
    </row>
    <row r="1127">
      <c r="A1127" s="2" t="s">
        <v>4635</v>
      </c>
      <c r="B1127" s="2" t="s">
        <v>21189</v>
      </c>
      <c r="C1127" s="2">
        <v>2.6320338E8</v>
      </c>
      <c r="D1127" s="2" t="s">
        <v>21190</v>
      </c>
      <c r="E1127" s="2">
        <v>10960.0</v>
      </c>
      <c r="F1127" s="2">
        <v>812.0</v>
      </c>
      <c r="G1127" s="2">
        <v>1824.0</v>
      </c>
      <c r="H1127" s="2" t="s">
        <v>5905</v>
      </c>
      <c r="I1127" s="2" t="s">
        <v>5905</v>
      </c>
      <c r="K1127" s="2" t="s">
        <v>21191</v>
      </c>
      <c r="L1127" s="10" t="s">
        <v>21192</v>
      </c>
    </row>
    <row r="1128">
      <c r="A1128" s="2" t="s">
        <v>4635</v>
      </c>
      <c r="B1128" s="2" t="s">
        <v>21193</v>
      </c>
      <c r="C1128" s="2">
        <v>6.0001822745E10</v>
      </c>
      <c r="D1128" s="2" t="s">
        <v>21194</v>
      </c>
      <c r="E1128" s="2">
        <v>11355.0</v>
      </c>
      <c r="F1128" s="2">
        <v>50.0</v>
      </c>
      <c r="G1128" s="2">
        <v>107.0</v>
      </c>
      <c r="H1128" s="2" t="s">
        <v>5905</v>
      </c>
      <c r="I1128" s="2" t="s">
        <v>5906</v>
      </c>
      <c r="J1128" s="2" t="s">
        <v>6124</v>
      </c>
      <c r="K1128" s="2" t="s">
        <v>21195</v>
      </c>
    </row>
    <row r="1129">
      <c r="A1129" s="2" t="s">
        <v>4635</v>
      </c>
      <c r="B1129" s="2" t="s">
        <v>21196</v>
      </c>
      <c r="C1129" s="2">
        <v>1.442961114E9</v>
      </c>
      <c r="D1129" s="2" t="s">
        <v>21197</v>
      </c>
      <c r="E1129" s="2">
        <v>81530.0</v>
      </c>
      <c r="F1129" s="2">
        <v>819.0</v>
      </c>
      <c r="G1129" s="2">
        <v>594.0</v>
      </c>
      <c r="H1129" s="2" t="s">
        <v>5906</v>
      </c>
      <c r="I1129" s="2" t="s">
        <v>5906</v>
      </c>
      <c r="J1129" s="2" t="s">
        <v>5492</v>
      </c>
      <c r="K1129" s="2" t="s">
        <v>21198</v>
      </c>
      <c r="L1129" s="10" t="s">
        <v>21199</v>
      </c>
    </row>
    <row r="1130">
      <c r="A1130" s="2" t="s">
        <v>4635</v>
      </c>
      <c r="B1130" s="2" t="s">
        <v>21200</v>
      </c>
      <c r="C1130" s="2">
        <v>2.18206578E8</v>
      </c>
      <c r="D1130" s="2" t="s">
        <v>21201</v>
      </c>
      <c r="E1130" s="2">
        <v>687939.0</v>
      </c>
      <c r="F1130" s="2">
        <v>1314.0</v>
      </c>
      <c r="G1130" s="2">
        <v>708.0</v>
      </c>
      <c r="H1130" s="2" t="s">
        <v>5906</v>
      </c>
      <c r="I1130" s="2" t="s">
        <v>5905</v>
      </c>
      <c r="J1130" s="2" t="s">
        <v>7620</v>
      </c>
      <c r="K1130" s="2" t="s">
        <v>21202</v>
      </c>
    </row>
    <row r="1131">
      <c r="A1131" s="2" t="s">
        <v>4475</v>
      </c>
      <c r="B1131" s="10" t="s">
        <v>21203</v>
      </c>
      <c r="C1131" s="2">
        <v>8.060043352E9</v>
      </c>
      <c r="D1131" s="2" t="s">
        <v>21204</v>
      </c>
      <c r="E1131" s="2">
        <v>2175294.0</v>
      </c>
      <c r="F1131" s="2">
        <v>1009.0</v>
      </c>
      <c r="G1131" s="2">
        <v>6971.0</v>
      </c>
      <c r="H1131" s="2" t="s">
        <v>5906</v>
      </c>
      <c r="I1131" s="2" t="s">
        <v>5905</v>
      </c>
      <c r="J1131" s="2" t="s">
        <v>5911</v>
      </c>
      <c r="K1131" s="2" t="s">
        <v>21205</v>
      </c>
    </row>
    <row r="1132">
      <c r="A1132" s="2" t="s">
        <v>4475</v>
      </c>
      <c r="B1132" s="2" t="s">
        <v>21206</v>
      </c>
      <c r="C1132" s="2">
        <v>8.772042769E9</v>
      </c>
      <c r="D1132" s="2" t="s">
        <v>21207</v>
      </c>
      <c r="E1132" s="2">
        <v>812347.0</v>
      </c>
      <c r="F1132" s="2">
        <v>427.0</v>
      </c>
      <c r="G1132" s="2">
        <v>1984.0</v>
      </c>
      <c r="H1132" s="2" t="s">
        <v>5905</v>
      </c>
      <c r="I1132" s="2" t="s">
        <v>5905</v>
      </c>
      <c r="J1132" s="2" t="s">
        <v>5993</v>
      </c>
      <c r="K1132" s="2" t="s">
        <v>21208</v>
      </c>
    </row>
    <row r="1133">
      <c r="A1133" s="2" t="s">
        <v>4475</v>
      </c>
      <c r="B1133" s="2" t="s">
        <v>21209</v>
      </c>
      <c r="C1133" s="2">
        <v>1.580459826E9</v>
      </c>
      <c r="D1133" s="2" t="s">
        <v>21210</v>
      </c>
      <c r="E1133" s="2">
        <v>408924.0</v>
      </c>
      <c r="F1133" s="2">
        <v>1.0</v>
      </c>
      <c r="G1133" s="2">
        <v>2254.0</v>
      </c>
      <c r="H1133" s="2" t="s">
        <v>5905</v>
      </c>
      <c r="I1133" s="2" t="s">
        <v>5905</v>
      </c>
      <c r="J1133" s="2" t="s">
        <v>5561</v>
      </c>
    </row>
    <row r="1134">
      <c r="A1134" s="2" t="s">
        <v>4475</v>
      </c>
      <c r="B1134" s="2" t="s">
        <v>21211</v>
      </c>
      <c r="C1134" s="2">
        <v>1.895516E8</v>
      </c>
      <c r="D1134" s="10" t="s">
        <v>21212</v>
      </c>
      <c r="E1134" s="2">
        <v>403690.0</v>
      </c>
      <c r="F1134" s="2">
        <v>929.0</v>
      </c>
      <c r="G1134" s="2">
        <v>15378.0</v>
      </c>
      <c r="H1134" s="2" t="s">
        <v>5906</v>
      </c>
      <c r="I1134" s="2" t="s">
        <v>5906</v>
      </c>
      <c r="J1134" s="2" t="s">
        <v>5561</v>
      </c>
      <c r="K1134" s="2" t="s">
        <v>21213</v>
      </c>
      <c r="L1134" s="10" t="s">
        <v>21214</v>
      </c>
    </row>
    <row r="1135">
      <c r="A1135" s="2" t="s">
        <v>4475</v>
      </c>
      <c r="B1135" s="2" t="s">
        <v>21215</v>
      </c>
      <c r="C1135" s="2">
        <v>5.4633877678E10</v>
      </c>
      <c r="D1135" s="2" t="s">
        <v>21216</v>
      </c>
      <c r="E1135" s="2">
        <v>175667.0</v>
      </c>
      <c r="F1135" s="2">
        <v>101.0</v>
      </c>
      <c r="G1135" s="2">
        <v>1334.0</v>
      </c>
      <c r="H1135" s="2" t="s">
        <v>5905</v>
      </c>
      <c r="I1135" s="2" t="s">
        <v>5906</v>
      </c>
      <c r="K1135" s="2" t="s">
        <v>21217</v>
      </c>
    </row>
    <row r="1136">
      <c r="A1136" s="2" t="s">
        <v>4475</v>
      </c>
      <c r="B1136" s="2" t="s">
        <v>21218</v>
      </c>
      <c r="C1136" s="2">
        <v>5.3303640498E10</v>
      </c>
      <c r="D1136" s="2" t="s">
        <v>21219</v>
      </c>
      <c r="E1136" s="2">
        <v>2467695.0</v>
      </c>
      <c r="F1136" s="2">
        <v>32.0</v>
      </c>
      <c r="G1136" s="2">
        <v>1996.0</v>
      </c>
      <c r="H1136" s="2" t="s">
        <v>5905</v>
      </c>
      <c r="I1136" s="2" t="s">
        <v>5905</v>
      </c>
      <c r="J1136" s="2" t="s">
        <v>5911</v>
      </c>
      <c r="K1136" s="2" t="s">
        <v>21220</v>
      </c>
      <c r="L1136" s="10" t="s">
        <v>21221</v>
      </c>
    </row>
    <row r="1137">
      <c r="A1137" s="2" t="s">
        <v>4475</v>
      </c>
      <c r="B1137" s="2" t="s">
        <v>21222</v>
      </c>
      <c r="C1137" s="2">
        <v>6.0693444953E10</v>
      </c>
      <c r="D1137" s="2" t="s">
        <v>21223</v>
      </c>
      <c r="E1137" s="2">
        <v>171800.0</v>
      </c>
      <c r="F1137" s="2">
        <v>16.0</v>
      </c>
      <c r="G1137" s="2">
        <v>2839.0</v>
      </c>
      <c r="H1137" s="2" t="s">
        <v>5905</v>
      </c>
      <c r="I1137" s="2" t="s">
        <v>5905</v>
      </c>
      <c r="J1137" s="2" t="s">
        <v>5963</v>
      </c>
      <c r="K1137" s="2" t="s">
        <v>21224</v>
      </c>
      <c r="L1137" s="10" t="s">
        <v>21225</v>
      </c>
    </row>
    <row r="1138">
      <c r="A1138" s="2" t="s">
        <v>4475</v>
      </c>
      <c r="B1138" s="2" t="s">
        <v>21226</v>
      </c>
      <c r="C1138" s="2">
        <v>4.6330675548E10</v>
      </c>
      <c r="D1138" s="2" t="s">
        <v>21227</v>
      </c>
      <c r="E1138" s="2">
        <v>563190.0</v>
      </c>
      <c r="F1138" s="2">
        <v>49.0</v>
      </c>
      <c r="G1138" s="2">
        <v>1004.0</v>
      </c>
      <c r="H1138" s="2" t="s">
        <v>5905</v>
      </c>
      <c r="I1138" s="2" t="s">
        <v>5905</v>
      </c>
      <c r="J1138" s="2" t="s">
        <v>5561</v>
      </c>
      <c r="K1138" s="2" t="s">
        <v>21228</v>
      </c>
    </row>
    <row r="1139">
      <c r="A1139" s="2" t="s">
        <v>4475</v>
      </c>
      <c r="B1139" s="2" t="s">
        <v>21229</v>
      </c>
      <c r="C1139" s="2">
        <v>3.18928189E8</v>
      </c>
      <c r="D1139" s="2" t="s">
        <v>21230</v>
      </c>
      <c r="E1139" s="2">
        <v>82999.0</v>
      </c>
      <c r="F1139" s="2">
        <v>163.0</v>
      </c>
      <c r="G1139" s="2">
        <v>4120.0</v>
      </c>
      <c r="H1139" s="2" t="s">
        <v>5905</v>
      </c>
      <c r="I1139" s="2" t="s">
        <v>5906</v>
      </c>
      <c r="J1139" s="2" t="s">
        <v>6559</v>
      </c>
      <c r="K1139" s="2" t="s">
        <v>21231</v>
      </c>
      <c r="L1139" s="10" t="s">
        <v>21232</v>
      </c>
    </row>
    <row r="1140">
      <c r="A1140" s="2" t="s">
        <v>4475</v>
      </c>
      <c r="B1140" s="2" t="s">
        <v>21233</v>
      </c>
      <c r="C1140" s="2">
        <v>3.5002876E8</v>
      </c>
      <c r="D1140" s="2" t="s">
        <v>21234</v>
      </c>
      <c r="E1140" s="2">
        <v>1.2140292E7</v>
      </c>
      <c r="F1140" s="2">
        <v>1747.0</v>
      </c>
      <c r="G1140" s="2">
        <v>37.0</v>
      </c>
      <c r="H1140" s="2" t="s">
        <v>5906</v>
      </c>
      <c r="I1140" s="2" t="s">
        <v>5906</v>
      </c>
      <c r="K1140" s="2" t="s">
        <v>21235</v>
      </c>
      <c r="L1140" s="10" t="s">
        <v>21236</v>
      </c>
    </row>
    <row r="1141">
      <c r="A1141" s="2" t="s">
        <v>4475</v>
      </c>
      <c r="B1141" s="2" t="s">
        <v>21237</v>
      </c>
      <c r="C1141" s="2">
        <v>4.8505962449E10</v>
      </c>
      <c r="D1141" s="2" t="s">
        <v>21238</v>
      </c>
      <c r="E1141" s="2">
        <v>36741.0</v>
      </c>
      <c r="F1141" s="2">
        <v>844.0</v>
      </c>
      <c r="G1141" s="2">
        <v>905.0</v>
      </c>
      <c r="H1141" s="2" t="s">
        <v>5905</v>
      </c>
      <c r="I1141" s="2" t="s">
        <v>5905</v>
      </c>
      <c r="J1141" s="2" t="s">
        <v>21239</v>
      </c>
      <c r="K1141" s="2" t="s">
        <v>21240</v>
      </c>
      <c r="L1141" s="10" t="s">
        <v>21241</v>
      </c>
    </row>
    <row r="1142">
      <c r="A1142" s="2" t="s">
        <v>4475</v>
      </c>
      <c r="B1142" s="2" t="s">
        <v>21242</v>
      </c>
      <c r="C1142" s="2">
        <v>5.378493397E9</v>
      </c>
      <c r="D1142" s="2" t="s">
        <v>21243</v>
      </c>
      <c r="E1142" s="2">
        <v>615558.0</v>
      </c>
      <c r="F1142" s="2">
        <v>995.0</v>
      </c>
      <c r="G1142" s="2">
        <v>7111.0</v>
      </c>
      <c r="H1142" s="2" t="s">
        <v>5905</v>
      </c>
      <c r="I1142" s="2" t="s">
        <v>5906</v>
      </c>
      <c r="K1142" s="2" t="s">
        <v>21244</v>
      </c>
    </row>
    <row r="1143">
      <c r="A1143" s="2" t="s">
        <v>4475</v>
      </c>
      <c r="B1143" s="2" t="s">
        <v>21245</v>
      </c>
      <c r="C1143" s="2">
        <v>9.80505357E8</v>
      </c>
      <c r="D1143" s="2" t="s">
        <v>21246</v>
      </c>
      <c r="E1143" s="2">
        <v>4.5358156E7</v>
      </c>
      <c r="F1143" s="2">
        <v>1598.0</v>
      </c>
      <c r="G1143" s="2">
        <v>122580.0</v>
      </c>
      <c r="H1143" s="2" t="s">
        <v>5906</v>
      </c>
      <c r="I1143" s="2" t="s">
        <v>5906</v>
      </c>
      <c r="K1143" s="2" t="s">
        <v>21247</v>
      </c>
      <c r="L1143" s="10" t="s">
        <v>21248</v>
      </c>
    </row>
    <row r="1144">
      <c r="A1144" s="2" t="s">
        <v>4434</v>
      </c>
      <c r="B1144" s="2" t="s">
        <v>21249</v>
      </c>
      <c r="C1144" s="2">
        <v>9.85721573E8</v>
      </c>
      <c r="D1144" s="2" t="s">
        <v>21250</v>
      </c>
      <c r="E1144" s="2">
        <v>837245.0</v>
      </c>
      <c r="F1144" s="2">
        <v>840.0</v>
      </c>
      <c r="G1144" s="2">
        <v>6394.0</v>
      </c>
      <c r="H1144" s="2" t="s">
        <v>5906</v>
      </c>
      <c r="I1144" s="2" t="s">
        <v>5906</v>
      </c>
      <c r="K1144" s="2" t="s">
        <v>21251</v>
      </c>
      <c r="L1144" s="10" t="s">
        <v>21252</v>
      </c>
    </row>
    <row r="1145">
      <c r="A1145" s="2" t="s">
        <v>4434</v>
      </c>
      <c r="B1145" s="2" t="s">
        <v>21253</v>
      </c>
      <c r="C1145" s="2">
        <v>1.606977794E9</v>
      </c>
      <c r="D1145" s="2" t="s">
        <v>21254</v>
      </c>
      <c r="E1145" s="2">
        <v>37539.0</v>
      </c>
      <c r="F1145" s="2">
        <v>241.0</v>
      </c>
      <c r="G1145" s="2">
        <v>3137.0</v>
      </c>
      <c r="H1145" s="2" t="s">
        <v>5905</v>
      </c>
      <c r="I1145" s="2" t="s">
        <v>5906</v>
      </c>
      <c r="K1145" s="2" t="s">
        <v>21255</v>
      </c>
      <c r="L1145" s="10" t="s">
        <v>21256</v>
      </c>
    </row>
    <row r="1146">
      <c r="A1146" s="2" t="s">
        <v>4434</v>
      </c>
      <c r="B1146" s="2" t="s">
        <v>21257</v>
      </c>
      <c r="C1146" s="2">
        <v>1.48755175E9</v>
      </c>
      <c r="D1146" s="2" t="s">
        <v>21258</v>
      </c>
      <c r="E1146" s="2">
        <v>66067.0</v>
      </c>
      <c r="F1146" s="2">
        <v>1357.0</v>
      </c>
      <c r="G1146" s="2">
        <v>2388.0</v>
      </c>
      <c r="H1146" s="2" t="s">
        <v>5905</v>
      </c>
      <c r="I1146" s="2" t="s">
        <v>5906</v>
      </c>
      <c r="J1146" s="2" t="s">
        <v>21259</v>
      </c>
      <c r="K1146" s="2" t="s">
        <v>21260</v>
      </c>
      <c r="L1146" s="10" t="s">
        <v>21261</v>
      </c>
    </row>
    <row r="1147">
      <c r="A1147" s="2" t="s">
        <v>4434</v>
      </c>
      <c r="B1147" s="2" t="s">
        <v>21262</v>
      </c>
      <c r="C1147" s="2">
        <v>2.69984731E8</v>
      </c>
      <c r="D1147" s="2" t="s">
        <v>21263</v>
      </c>
      <c r="E1147" s="2">
        <v>742693.0</v>
      </c>
      <c r="F1147" s="2">
        <v>728.0</v>
      </c>
      <c r="G1147" s="2">
        <v>10107.0</v>
      </c>
      <c r="H1147" s="2" t="s">
        <v>5906</v>
      </c>
      <c r="I1147" s="2" t="s">
        <v>5906</v>
      </c>
      <c r="K1147" s="2" t="s">
        <v>21264</v>
      </c>
      <c r="L1147" s="10" t="s">
        <v>21265</v>
      </c>
    </row>
    <row r="1148">
      <c r="A1148" s="2" t="s">
        <v>4541</v>
      </c>
      <c r="B1148" s="2" t="s">
        <v>21266</v>
      </c>
      <c r="C1148" s="2">
        <v>5.1511023687E10</v>
      </c>
      <c r="D1148" s="2" t="s">
        <v>21267</v>
      </c>
      <c r="E1148" s="2">
        <v>11114.0</v>
      </c>
      <c r="F1148" s="2">
        <v>3661.0</v>
      </c>
      <c r="G1148" s="2">
        <v>45.0</v>
      </c>
      <c r="H1148" s="2" t="s">
        <v>5905</v>
      </c>
      <c r="I1148" s="2" t="s">
        <v>5906</v>
      </c>
      <c r="J1148" s="2" t="s">
        <v>7296</v>
      </c>
      <c r="K1148" s="2" t="s">
        <v>21268</v>
      </c>
    </row>
    <row r="1149">
      <c r="A1149" s="2" t="s">
        <v>4541</v>
      </c>
      <c r="B1149" s="2" t="s">
        <v>4541</v>
      </c>
      <c r="C1149" s="2">
        <v>8.109474539E9</v>
      </c>
      <c r="D1149" s="2" t="s">
        <v>21269</v>
      </c>
      <c r="E1149" s="2">
        <v>57333.0</v>
      </c>
      <c r="F1149" s="2">
        <v>0.0</v>
      </c>
      <c r="G1149" s="2">
        <v>13.0</v>
      </c>
      <c r="H1149" s="2" t="s">
        <v>5905</v>
      </c>
      <c r="I1149" s="2" t="s">
        <v>5906</v>
      </c>
      <c r="J1149" s="2" t="s">
        <v>5959</v>
      </c>
      <c r="K1149" s="2" t="s">
        <v>21270</v>
      </c>
    </row>
    <row r="1150">
      <c r="A1150" s="2" t="s">
        <v>4541</v>
      </c>
      <c r="B1150" s="2" t="s">
        <v>21271</v>
      </c>
      <c r="C1150" s="2">
        <v>7.79905766E8</v>
      </c>
      <c r="D1150" s="2" t="s">
        <v>21272</v>
      </c>
      <c r="E1150" s="2">
        <v>23854.0</v>
      </c>
      <c r="F1150" s="2">
        <v>1977.0</v>
      </c>
      <c r="G1150" s="2">
        <v>3844.0</v>
      </c>
      <c r="H1150" s="2" t="s">
        <v>5905</v>
      </c>
      <c r="I1150" s="2" t="s">
        <v>5906</v>
      </c>
      <c r="J1150" s="2" t="s">
        <v>7155</v>
      </c>
      <c r="K1150" s="2" t="s">
        <v>21273</v>
      </c>
      <c r="L1150" s="10" t="s">
        <v>21274</v>
      </c>
    </row>
    <row r="1151">
      <c r="A1151" s="2" t="s">
        <v>4541</v>
      </c>
      <c r="B1151" s="2" t="s">
        <v>21275</v>
      </c>
      <c r="C1151" s="2">
        <v>1.990342238E9</v>
      </c>
      <c r="D1151" s="2" t="s">
        <v>21276</v>
      </c>
      <c r="E1151" s="2">
        <v>19674.0</v>
      </c>
      <c r="F1151" s="2">
        <v>435.0</v>
      </c>
      <c r="G1151" s="2">
        <v>1042.0</v>
      </c>
      <c r="H1151" s="2" t="s">
        <v>5905</v>
      </c>
      <c r="I1151" s="2" t="s">
        <v>5906</v>
      </c>
      <c r="J1151" s="2" t="s">
        <v>7296</v>
      </c>
      <c r="K1151" s="2" t="s">
        <v>21277</v>
      </c>
      <c r="L1151" s="10" t="s">
        <v>21278</v>
      </c>
    </row>
    <row r="1152">
      <c r="A1152" s="2" t="s">
        <v>4541</v>
      </c>
      <c r="B1152" s="2" t="s">
        <v>21279</v>
      </c>
      <c r="C1152" s="2">
        <v>1.270472719E9</v>
      </c>
      <c r="D1152" s="2" t="s">
        <v>21280</v>
      </c>
      <c r="E1152" s="2">
        <v>30140.0</v>
      </c>
      <c r="F1152" s="2">
        <v>9.0</v>
      </c>
      <c r="G1152" s="2">
        <v>2469.0</v>
      </c>
      <c r="H1152" s="2" t="s">
        <v>5906</v>
      </c>
      <c r="I1152" s="2" t="s">
        <v>5905</v>
      </c>
      <c r="J1152" s="2" t="s">
        <v>7296</v>
      </c>
      <c r="K1152" s="2" t="s">
        <v>21281</v>
      </c>
      <c r="L1152" s="10" t="s">
        <v>21282</v>
      </c>
    </row>
    <row r="1153">
      <c r="A1153" s="2" t="s">
        <v>4541</v>
      </c>
      <c r="B1153" s="2" t="s">
        <v>21283</v>
      </c>
      <c r="C1153" s="2">
        <v>4.136854914E9</v>
      </c>
      <c r="D1153" s="2" t="s">
        <v>21284</v>
      </c>
      <c r="E1153" s="2">
        <v>36462.0</v>
      </c>
      <c r="F1153" s="2">
        <v>3.0</v>
      </c>
      <c r="G1153" s="2">
        <v>709.0</v>
      </c>
      <c r="H1153" s="2" t="s">
        <v>5905</v>
      </c>
      <c r="I1153" s="2" t="s">
        <v>5906</v>
      </c>
      <c r="J1153" s="2" t="s">
        <v>6166</v>
      </c>
      <c r="K1153" s="2" t="s">
        <v>21285</v>
      </c>
      <c r="L1153" s="10" t="s">
        <v>21286</v>
      </c>
    </row>
    <row r="1154">
      <c r="A1154" s="2" t="s">
        <v>4541</v>
      </c>
      <c r="B1154" s="2" t="s">
        <v>21287</v>
      </c>
      <c r="C1154" s="2">
        <v>4.5689809539E10</v>
      </c>
      <c r="D1154" s="2" t="s">
        <v>21288</v>
      </c>
      <c r="E1154" s="2">
        <v>321332.0</v>
      </c>
      <c r="F1154" s="2">
        <v>125.0</v>
      </c>
      <c r="G1154" s="2">
        <v>929.0</v>
      </c>
      <c r="H1154" s="2" t="s">
        <v>5905</v>
      </c>
      <c r="I1154" s="2" t="s">
        <v>5906</v>
      </c>
      <c r="J1154" s="2" t="s">
        <v>8911</v>
      </c>
      <c r="K1154" s="2" t="s">
        <v>21289</v>
      </c>
    </row>
    <row r="1155">
      <c r="A1155" s="2" t="s">
        <v>4541</v>
      </c>
      <c r="B1155" s="2" t="s">
        <v>21290</v>
      </c>
      <c r="C1155" s="2">
        <v>2.860325071E9</v>
      </c>
      <c r="D1155" s="2" t="s">
        <v>21291</v>
      </c>
      <c r="E1155" s="2">
        <v>258031.0</v>
      </c>
      <c r="F1155" s="2">
        <v>133.0</v>
      </c>
      <c r="G1155" s="2">
        <v>160.0</v>
      </c>
      <c r="H1155" s="2" t="s">
        <v>5906</v>
      </c>
      <c r="I1155" s="2" t="s">
        <v>5905</v>
      </c>
      <c r="K1155" s="2" t="s">
        <v>21292</v>
      </c>
    </row>
    <row r="1156">
      <c r="A1156" s="2" t="s">
        <v>4541</v>
      </c>
      <c r="B1156" s="2" t="s">
        <v>21293</v>
      </c>
      <c r="C1156" s="2">
        <v>2.327664E8</v>
      </c>
      <c r="D1156" s="2" t="s">
        <v>21294</v>
      </c>
      <c r="E1156" s="2">
        <v>954473.0</v>
      </c>
      <c r="F1156" s="2">
        <v>947.0</v>
      </c>
      <c r="G1156" s="2">
        <v>2605.0</v>
      </c>
      <c r="H1156" s="2" t="s">
        <v>5906</v>
      </c>
      <c r="I1156" s="2" t="s">
        <v>5906</v>
      </c>
      <c r="J1156" s="2" t="s">
        <v>6856</v>
      </c>
      <c r="K1156" s="2" t="s">
        <v>21295</v>
      </c>
      <c r="L1156" s="10" t="s">
        <v>21296</v>
      </c>
    </row>
    <row r="1157">
      <c r="A1157" s="2" t="s">
        <v>4700</v>
      </c>
      <c r="B1157" s="2" t="s">
        <v>21297</v>
      </c>
      <c r="C1157" s="2">
        <v>3.7814311665E10</v>
      </c>
      <c r="D1157" s="2" t="s">
        <v>21298</v>
      </c>
      <c r="E1157" s="2">
        <v>157325.0</v>
      </c>
      <c r="F1157" s="2">
        <v>271.0</v>
      </c>
      <c r="G1157" s="2">
        <v>439.0</v>
      </c>
      <c r="H1157" s="2" t="s">
        <v>5905</v>
      </c>
      <c r="I1157" s="2" t="s">
        <v>5905</v>
      </c>
      <c r="J1157" s="2" t="s">
        <v>5959</v>
      </c>
      <c r="K1157" s="2" t="s">
        <v>21299</v>
      </c>
      <c r="L1157" s="10" t="s">
        <v>21300</v>
      </c>
    </row>
    <row r="1158">
      <c r="A1158" s="2" t="s">
        <v>4700</v>
      </c>
      <c r="B1158" s="2" t="s">
        <v>21301</v>
      </c>
      <c r="C1158" s="2">
        <v>6.5012808849E10</v>
      </c>
      <c r="D1158" s="2" t="s">
        <v>21302</v>
      </c>
      <c r="E1158" s="2">
        <v>14382.0</v>
      </c>
      <c r="F1158" s="2">
        <v>6.0</v>
      </c>
      <c r="G1158" s="2">
        <v>203.0</v>
      </c>
      <c r="H1158" s="2" t="s">
        <v>5905</v>
      </c>
      <c r="I1158" s="2" t="s">
        <v>5905</v>
      </c>
      <c r="J1158" s="2" t="s">
        <v>6027</v>
      </c>
      <c r="K1158" s="2" t="s">
        <v>21303</v>
      </c>
      <c r="L1158" s="10" t="s">
        <v>21304</v>
      </c>
    </row>
    <row r="1159">
      <c r="A1159" s="2" t="s">
        <v>4700</v>
      </c>
      <c r="B1159" s="2" t="s">
        <v>21305</v>
      </c>
      <c r="C1159" s="2">
        <v>4.1108881586E10</v>
      </c>
      <c r="D1159" s="2" t="s">
        <v>21306</v>
      </c>
      <c r="E1159" s="2">
        <v>11768.0</v>
      </c>
      <c r="F1159" s="2">
        <v>2564.0</v>
      </c>
      <c r="G1159" s="2">
        <v>1231.0</v>
      </c>
      <c r="H1159" s="2" t="s">
        <v>5905</v>
      </c>
      <c r="I1159" s="2" t="s">
        <v>5905</v>
      </c>
      <c r="J1159" s="2" t="s">
        <v>6393</v>
      </c>
      <c r="K1159" s="2" t="s">
        <v>21307</v>
      </c>
    </row>
    <row r="1160">
      <c r="A1160" s="2" t="s">
        <v>4747</v>
      </c>
      <c r="B1160" s="2" t="s">
        <v>21308</v>
      </c>
      <c r="C1160" s="2">
        <v>3.68546112E9</v>
      </c>
      <c r="D1160" s="2" t="s">
        <v>21309</v>
      </c>
      <c r="E1160" s="2">
        <v>108692.0</v>
      </c>
      <c r="F1160" s="2">
        <v>2060.0</v>
      </c>
      <c r="G1160" s="2">
        <v>2657.0</v>
      </c>
      <c r="H1160" s="2" t="s">
        <v>5905</v>
      </c>
      <c r="I1160" s="2" t="s">
        <v>5905</v>
      </c>
      <c r="J1160" s="2" t="s">
        <v>5959</v>
      </c>
      <c r="K1160" s="2" t="s">
        <v>21310</v>
      </c>
      <c r="L1160" s="10" t="s">
        <v>21311</v>
      </c>
    </row>
    <row r="1161">
      <c r="A1161" s="2" t="s">
        <v>4747</v>
      </c>
      <c r="B1161" s="2" t="s">
        <v>21312</v>
      </c>
      <c r="C1161" s="2">
        <v>6.045781852E9</v>
      </c>
      <c r="D1161" s="2" t="s">
        <v>21313</v>
      </c>
      <c r="E1161" s="2">
        <v>26068.0</v>
      </c>
      <c r="F1161" s="2">
        <v>1081.0</v>
      </c>
      <c r="G1161" s="2">
        <v>1829.0</v>
      </c>
      <c r="H1161" s="2" t="s">
        <v>5905</v>
      </c>
      <c r="I1161" s="2" t="s">
        <v>5906</v>
      </c>
      <c r="J1161" s="2" t="s">
        <v>6166</v>
      </c>
      <c r="K1161" s="2" t="s">
        <v>21314</v>
      </c>
      <c r="L1161" s="10" t="s">
        <v>21315</v>
      </c>
    </row>
    <row r="1162">
      <c r="A1162" s="2" t="s">
        <v>4747</v>
      </c>
      <c r="B1162" s="2" t="s">
        <v>21316</v>
      </c>
      <c r="C1162" s="2">
        <v>4.6985461E9</v>
      </c>
      <c r="D1162" s="2" t="s">
        <v>21317</v>
      </c>
      <c r="E1162" s="2">
        <v>35819.0</v>
      </c>
      <c r="F1162" s="2">
        <v>588.0</v>
      </c>
      <c r="G1162" s="2">
        <v>985.0</v>
      </c>
      <c r="H1162" s="2" t="s">
        <v>5905</v>
      </c>
      <c r="I1162" s="2" t="s">
        <v>5906</v>
      </c>
      <c r="J1162" s="2" t="s">
        <v>5959</v>
      </c>
      <c r="K1162" s="2" t="s">
        <v>21318</v>
      </c>
      <c r="L1162" s="10" t="s">
        <v>21319</v>
      </c>
    </row>
    <row r="1163">
      <c r="A1163" s="2" t="s">
        <v>4703</v>
      </c>
      <c r="B1163" s="2" t="s">
        <v>21320</v>
      </c>
      <c r="C1163" s="2">
        <v>7.60897583E9</v>
      </c>
      <c r="D1163" s="2" t="s">
        <v>21321</v>
      </c>
      <c r="E1163" s="2">
        <v>319648.0</v>
      </c>
      <c r="F1163" s="2">
        <v>2143.0</v>
      </c>
      <c r="G1163" s="2">
        <v>2783.0</v>
      </c>
      <c r="H1163" s="2" t="s">
        <v>5905</v>
      </c>
      <c r="I1163" s="2" t="s">
        <v>5906</v>
      </c>
      <c r="J1163" s="2" t="s">
        <v>5391</v>
      </c>
      <c r="K1163" s="2" t="s">
        <v>21322</v>
      </c>
      <c r="L1163" s="10" t="s">
        <v>21323</v>
      </c>
    </row>
    <row r="1164">
      <c r="A1164" s="2" t="s">
        <v>4703</v>
      </c>
      <c r="B1164" s="10" t="s">
        <v>21324</v>
      </c>
      <c r="C1164" s="2">
        <v>5.5754692504E10</v>
      </c>
      <c r="D1164" s="2" t="s">
        <v>21325</v>
      </c>
      <c r="E1164" s="2">
        <v>73480.0</v>
      </c>
      <c r="F1164" s="2">
        <v>123.0</v>
      </c>
      <c r="G1164" s="2">
        <v>1041.0</v>
      </c>
      <c r="H1164" s="2" t="s">
        <v>5906</v>
      </c>
      <c r="I1164" s="2" t="s">
        <v>5906</v>
      </c>
      <c r="J1164" s="2" t="s">
        <v>5391</v>
      </c>
      <c r="K1164" s="2" t="s">
        <v>21326</v>
      </c>
      <c r="L1164" s="10" t="s">
        <v>21327</v>
      </c>
    </row>
    <row r="1165">
      <c r="A1165" s="2" t="s">
        <v>4703</v>
      </c>
      <c r="B1165" s="2" t="s">
        <v>21328</v>
      </c>
      <c r="C1165" s="2">
        <v>5.9227795532E10</v>
      </c>
      <c r="D1165" s="2" t="s">
        <v>21329</v>
      </c>
      <c r="E1165" s="2">
        <v>449082.0</v>
      </c>
      <c r="F1165" s="2">
        <v>1695.0</v>
      </c>
      <c r="G1165" s="2">
        <v>879.0</v>
      </c>
      <c r="H1165" s="2" t="s">
        <v>5906</v>
      </c>
      <c r="I1165" s="2" t="s">
        <v>5905</v>
      </c>
      <c r="J1165" s="2" t="s">
        <v>6161</v>
      </c>
      <c r="K1165" s="2" t="s">
        <v>21330</v>
      </c>
      <c r="L1165" s="10" t="s">
        <v>21331</v>
      </c>
    </row>
    <row r="1166">
      <c r="A1166" s="2" t="s">
        <v>4703</v>
      </c>
      <c r="B1166" s="2" t="s">
        <v>21332</v>
      </c>
      <c r="C1166" s="2">
        <v>4.8617716872E10</v>
      </c>
      <c r="D1166" s="2" t="s">
        <v>21333</v>
      </c>
      <c r="E1166" s="2">
        <v>65588.0</v>
      </c>
      <c r="F1166" s="2">
        <v>478.0</v>
      </c>
      <c r="G1166" s="2">
        <v>177.0</v>
      </c>
      <c r="H1166" s="2" t="s">
        <v>5905</v>
      </c>
      <c r="I1166" s="2" t="s">
        <v>5906</v>
      </c>
      <c r="J1166" s="2" t="s">
        <v>21334</v>
      </c>
      <c r="K1166" s="2" t="s">
        <v>21335</v>
      </c>
    </row>
    <row r="1167">
      <c r="A1167" s="2" t="s">
        <v>4703</v>
      </c>
      <c r="B1167" s="2" t="s">
        <v>21336</v>
      </c>
      <c r="C1167" s="2">
        <v>1.494298834E9</v>
      </c>
      <c r="D1167" s="2" t="s">
        <v>21337</v>
      </c>
      <c r="E1167" s="2">
        <v>45315.0</v>
      </c>
      <c r="F1167" s="2">
        <v>843.0</v>
      </c>
      <c r="G1167" s="2">
        <v>1707.0</v>
      </c>
      <c r="H1167" s="2" t="s">
        <v>5905</v>
      </c>
      <c r="I1167" s="2" t="s">
        <v>5906</v>
      </c>
      <c r="J1167" s="2" t="s">
        <v>6161</v>
      </c>
      <c r="K1167" s="2" t="s">
        <v>21338</v>
      </c>
      <c r="L1167" s="10" t="s">
        <v>21339</v>
      </c>
    </row>
    <row r="1168">
      <c r="A1168" s="2" t="s">
        <v>4703</v>
      </c>
      <c r="B1168" s="2" t="s">
        <v>21340</v>
      </c>
      <c r="C1168" s="2">
        <v>3.7511594164E10</v>
      </c>
      <c r="D1168" s="2" t="s">
        <v>21341</v>
      </c>
      <c r="E1168" s="2">
        <v>2463652.0</v>
      </c>
      <c r="F1168" s="2">
        <v>7336.0</v>
      </c>
      <c r="G1168" s="2">
        <v>703.0</v>
      </c>
      <c r="H1168" s="2" t="s">
        <v>5906</v>
      </c>
      <c r="I1168" s="2" t="s">
        <v>5905</v>
      </c>
      <c r="J1168" s="2" t="s">
        <v>6161</v>
      </c>
      <c r="K1168" s="2" t="s">
        <v>21342</v>
      </c>
      <c r="L1168" s="10" t="s">
        <v>21343</v>
      </c>
    </row>
    <row r="1169">
      <c r="A1169" s="2" t="s">
        <v>4703</v>
      </c>
      <c r="B1169" s="2" t="s">
        <v>21344</v>
      </c>
      <c r="C1169" s="2">
        <v>1.459719886E9</v>
      </c>
      <c r="D1169" s="2" t="s">
        <v>21345</v>
      </c>
      <c r="E1169" s="2">
        <v>1448598.0</v>
      </c>
      <c r="F1169" s="2">
        <v>30.0</v>
      </c>
      <c r="G1169" s="2">
        <v>4184.0</v>
      </c>
      <c r="H1169" s="2" t="s">
        <v>5905</v>
      </c>
      <c r="I1169" s="2" t="s">
        <v>5905</v>
      </c>
      <c r="J1169" s="2" t="s">
        <v>5561</v>
      </c>
      <c r="K1169" s="2" t="s">
        <v>21346</v>
      </c>
    </row>
    <row r="1170">
      <c r="A1170" s="2" t="s">
        <v>4703</v>
      </c>
      <c r="B1170" s="2" t="s">
        <v>21347</v>
      </c>
      <c r="C1170" s="2">
        <v>6.1541348522E10</v>
      </c>
      <c r="D1170" s="2" t="s">
        <v>21348</v>
      </c>
      <c r="E1170" s="2">
        <v>64891.0</v>
      </c>
      <c r="F1170" s="2">
        <v>531.0</v>
      </c>
      <c r="G1170" s="2">
        <v>125.0</v>
      </c>
      <c r="H1170" s="2" t="s">
        <v>5905</v>
      </c>
      <c r="I1170" s="2" t="s">
        <v>5905</v>
      </c>
      <c r="J1170" s="2" t="s">
        <v>6161</v>
      </c>
      <c r="K1170" s="2" t="s">
        <v>21349</v>
      </c>
    </row>
    <row r="1171">
      <c r="A1171" s="2" t="s">
        <v>4703</v>
      </c>
      <c r="B1171" s="2" t="s">
        <v>21350</v>
      </c>
      <c r="C1171" s="2">
        <v>3.9399373078E10</v>
      </c>
      <c r="D1171" s="2" t="s">
        <v>21351</v>
      </c>
      <c r="E1171" s="2">
        <v>173661.0</v>
      </c>
      <c r="F1171" s="2">
        <v>3994.0</v>
      </c>
      <c r="G1171" s="2">
        <v>4626.0</v>
      </c>
      <c r="H1171" s="2" t="s">
        <v>5905</v>
      </c>
      <c r="I1171" s="2" t="s">
        <v>5905</v>
      </c>
      <c r="J1171" s="2" t="s">
        <v>5993</v>
      </c>
      <c r="K1171" s="2" t="s">
        <v>21352</v>
      </c>
    </row>
    <row r="1172">
      <c r="A1172" s="2" t="s">
        <v>4703</v>
      </c>
      <c r="B1172" s="2" t="s">
        <v>21353</v>
      </c>
      <c r="C1172" s="2">
        <v>2.8331388651E10</v>
      </c>
      <c r="D1172" s="2" t="s">
        <v>21354</v>
      </c>
      <c r="E1172" s="2">
        <v>266418.0</v>
      </c>
      <c r="F1172" s="2">
        <v>24.0</v>
      </c>
      <c r="G1172" s="2">
        <v>3708.0</v>
      </c>
      <c r="H1172" s="2" t="s">
        <v>5905</v>
      </c>
      <c r="I1172" s="2" t="s">
        <v>5906</v>
      </c>
      <c r="J1172" s="2" t="s">
        <v>5391</v>
      </c>
      <c r="K1172" s="2" t="s">
        <v>21355</v>
      </c>
      <c r="L1172" s="10" t="s">
        <v>21356</v>
      </c>
    </row>
    <row r="1173">
      <c r="A1173" s="2" t="s">
        <v>4703</v>
      </c>
      <c r="B1173" s="2" t="s">
        <v>21357</v>
      </c>
      <c r="C1173" s="2">
        <v>5.869122481E9</v>
      </c>
      <c r="D1173" s="2" t="s">
        <v>21358</v>
      </c>
      <c r="E1173" s="2">
        <v>46877.0</v>
      </c>
      <c r="F1173" s="2">
        <v>10.0</v>
      </c>
      <c r="G1173" s="2">
        <v>1055.0</v>
      </c>
      <c r="H1173" s="2" t="s">
        <v>5905</v>
      </c>
      <c r="I1173" s="2" t="s">
        <v>5906</v>
      </c>
      <c r="J1173" s="2" t="s">
        <v>5391</v>
      </c>
      <c r="K1173" s="2" t="s">
        <v>21359</v>
      </c>
      <c r="L1173" s="10" t="s">
        <v>21360</v>
      </c>
    </row>
    <row r="1174">
      <c r="A1174" s="2" t="s">
        <v>4703</v>
      </c>
      <c r="B1174" s="2" t="s">
        <v>21361</v>
      </c>
      <c r="C1174" s="2">
        <v>2.5253477E8</v>
      </c>
      <c r="D1174" s="2" t="s">
        <v>21362</v>
      </c>
      <c r="E1174" s="2">
        <v>7874753.0</v>
      </c>
      <c r="F1174" s="2">
        <v>1.0</v>
      </c>
      <c r="G1174" s="2">
        <v>8461.0</v>
      </c>
      <c r="H1174" s="2" t="s">
        <v>5906</v>
      </c>
      <c r="I1174" s="2" t="s">
        <v>5906</v>
      </c>
      <c r="J1174" s="2" t="s">
        <v>5963</v>
      </c>
      <c r="K1174" s="2" t="s">
        <v>21363</v>
      </c>
    </row>
    <row r="1175">
      <c r="A1175" s="2" t="s">
        <v>4703</v>
      </c>
      <c r="B1175" s="2" t="s">
        <v>21364</v>
      </c>
      <c r="C1175" s="2">
        <v>2.0442830175E10</v>
      </c>
      <c r="D1175" s="2" t="s">
        <v>21365</v>
      </c>
      <c r="E1175" s="2">
        <v>726567.0</v>
      </c>
      <c r="F1175" s="2">
        <v>1131.0</v>
      </c>
      <c r="G1175" s="2">
        <v>1250.0</v>
      </c>
      <c r="H1175" s="2" t="s">
        <v>5906</v>
      </c>
      <c r="I1175" s="2" t="s">
        <v>5905</v>
      </c>
      <c r="J1175" s="2" t="s">
        <v>5492</v>
      </c>
      <c r="K1175" s="2" t="s">
        <v>21366</v>
      </c>
      <c r="L1175" s="10" t="s">
        <v>21367</v>
      </c>
    </row>
    <row r="1176">
      <c r="A1176" s="2" t="s">
        <v>4703</v>
      </c>
      <c r="B1176" s="2" t="s">
        <v>21368</v>
      </c>
      <c r="C1176" s="2">
        <v>4.854673481E9</v>
      </c>
      <c r="D1176" s="2" t="s">
        <v>21369</v>
      </c>
      <c r="E1176" s="2">
        <v>497329.0</v>
      </c>
      <c r="F1176" s="2">
        <v>754.0</v>
      </c>
      <c r="G1176" s="2">
        <v>1429.0</v>
      </c>
      <c r="H1176" s="2" t="s">
        <v>5906</v>
      </c>
      <c r="I1176" s="2" t="s">
        <v>5905</v>
      </c>
      <c r="J1176" s="2" t="s">
        <v>5492</v>
      </c>
      <c r="K1176" s="2" t="s">
        <v>21370</v>
      </c>
      <c r="L1176" s="10" t="s">
        <v>21371</v>
      </c>
    </row>
    <row r="1177">
      <c r="A1177" s="2" t="s">
        <v>4703</v>
      </c>
      <c r="B1177" s="2" t="s">
        <v>21372</v>
      </c>
      <c r="C1177" s="2">
        <v>4.8013634014E10</v>
      </c>
      <c r="D1177" s="2" t="s">
        <v>21351</v>
      </c>
      <c r="E1177" s="2">
        <v>1196122.0</v>
      </c>
      <c r="F1177" s="2">
        <v>2595.0</v>
      </c>
      <c r="G1177" s="2">
        <v>2612.0</v>
      </c>
      <c r="H1177" s="2" t="s">
        <v>5905</v>
      </c>
      <c r="I1177" s="2" t="s">
        <v>5905</v>
      </c>
      <c r="J1177" s="2" t="s">
        <v>8998</v>
      </c>
      <c r="K1177" s="2" t="s">
        <v>21373</v>
      </c>
      <c r="L1177" s="10" t="s">
        <v>21374</v>
      </c>
    </row>
    <row r="1178">
      <c r="A1178" s="2" t="s">
        <v>4703</v>
      </c>
      <c r="B1178" s="2" t="s">
        <v>21375</v>
      </c>
      <c r="C1178" s="2">
        <v>2.021087267E9</v>
      </c>
      <c r="D1178" s="2" t="s">
        <v>21376</v>
      </c>
      <c r="E1178" s="2">
        <v>57292.0</v>
      </c>
      <c r="F1178" s="2">
        <v>2399.0</v>
      </c>
      <c r="G1178" s="2">
        <v>2049.0</v>
      </c>
      <c r="H1178" s="2" t="s">
        <v>5905</v>
      </c>
      <c r="I1178" s="2" t="s">
        <v>5906</v>
      </c>
      <c r="J1178" s="2" t="s">
        <v>6161</v>
      </c>
      <c r="K1178" s="2" t="s">
        <v>21377</v>
      </c>
      <c r="L1178" s="10" t="s">
        <v>21378</v>
      </c>
    </row>
    <row r="1179">
      <c r="A1179" s="2" t="s">
        <v>4703</v>
      </c>
      <c r="B1179" s="2" t="s">
        <v>21379</v>
      </c>
      <c r="C1179" s="2">
        <v>4.777649148E9</v>
      </c>
      <c r="D1179" s="2" t="s">
        <v>21380</v>
      </c>
      <c r="E1179" s="2">
        <v>979147.0</v>
      </c>
      <c r="F1179" s="2">
        <v>514.0</v>
      </c>
      <c r="G1179" s="2">
        <v>1500.0</v>
      </c>
      <c r="H1179" s="2" t="s">
        <v>5906</v>
      </c>
      <c r="I1179" s="2" t="s">
        <v>5905</v>
      </c>
      <c r="J1179" s="2" t="s">
        <v>5959</v>
      </c>
      <c r="K1179" s="2" t="s">
        <v>21381</v>
      </c>
      <c r="L1179" s="10" t="s">
        <v>21382</v>
      </c>
    </row>
    <row r="1180">
      <c r="A1180" s="2" t="s">
        <v>4703</v>
      </c>
      <c r="B1180" s="2" t="s">
        <v>21383</v>
      </c>
      <c r="C1180" s="2">
        <v>1.278951104E9</v>
      </c>
      <c r="D1180" s="2" t="s">
        <v>21384</v>
      </c>
      <c r="E1180" s="2">
        <v>548078.0</v>
      </c>
      <c r="F1180" s="2">
        <v>261.0</v>
      </c>
      <c r="G1180" s="2">
        <v>1008.0</v>
      </c>
      <c r="H1180" s="2" t="s">
        <v>5906</v>
      </c>
      <c r="I1180" s="2" t="s">
        <v>5905</v>
      </c>
      <c r="J1180" s="2" t="s">
        <v>6161</v>
      </c>
      <c r="K1180" s="2" t="s">
        <v>21385</v>
      </c>
      <c r="L1180" s="10" t="s">
        <v>21386</v>
      </c>
    </row>
    <row r="1181">
      <c r="A1181" s="2" t="s">
        <v>4703</v>
      </c>
      <c r="B1181" s="2" t="s">
        <v>21387</v>
      </c>
      <c r="C1181" s="2">
        <v>7.295799866E9</v>
      </c>
      <c r="D1181" s="2" t="s">
        <v>21388</v>
      </c>
      <c r="E1181" s="2">
        <v>33385.0</v>
      </c>
      <c r="F1181" s="2">
        <v>3665.0</v>
      </c>
      <c r="G1181" s="2">
        <v>2469.0</v>
      </c>
      <c r="H1181" s="2" t="s">
        <v>5905</v>
      </c>
      <c r="I1181" s="2" t="s">
        <v>5906</v>
      </c>
      <c r="J1181" s="2" t="s">
        <v>7677</v>
      </c>
      <c r="K1181" s="2" t="s">
        <v>21389</v>
      </c>
      <c r="L1181" s="10" t="s">
        <v>21390</v>
      </c>
    </row>
    <row r="1182">
      <c r="A1182" s="2" t="s">
        <v>4703</v>
      </c>
      <c r="B1182" s="2" t="s">
        <v>21391</v>
      </c>
      <c r="C1182" s="2">
        <v>1.187825293E9</v>
      </c>
      <c r="D1182" s="2" t="s">
        <v>21392</v>
      </c>
      <c r="E1182" s="2">
        <v>61444.0</v>
      </c>
      <c r="F1182" s="2">
        <v>1071.0</v>
      </c>
      <c r="G1182" s="2">
        <v>1794.0</v>
      </c>
      <c r="H1182" s="2" t="s">
        <v>5905</v>
      </c>
      <c r="I1182" s="2" t="s">
        <v>5905</v>
      </c>
      <c r="J1182" s="2" t="s">
        <v>6161</v>
      </c>
      <c r="K1182" s="2" t="s">
        <v>21393</v>
      </c>
      <c r="L1182" s="10" t="s">
        <v>21394</v>
      </c>
    </row>
    <row r="1183">
      <c r="A1183" s="2" t="s">
        <v>4624</v>
      </c>
      <c r="B1183" s="2" t="s">
        <v>21395</v>
      </c>
      <c r="C1183" s="2">
        <v>6.4763503562E10</v>
      </c>
      <c r="D1183" s="2" t="s">
        <v>21396</v>
      </c>
      <c r="E1183" s="2">
        <v>50250.0</v>
      </c>
      <c r="F1183" s="2">
        <v>4.0</v>
      </c>
      <c r="G1183" s="2">
        <v>299.0</v>
      </c>
      <c r="H1183" s="2" t="s">
        <v>5905</v>
      </c>
      <c r="I1183" s="2" t="s">
        <v>5905</v>
      </c>
      <c r="J1183" s="2" t="s">
        <v>5959</v>
      </c>
      <c r="K1183" s="2" t="s">
        <v>21397</v>
      </c>
    </row>
    <row r="1184">
      <c r="A1184" s="2" t="s">
        <v>4624</v>
      </c>
      <c r="B1184" s="2" t="s">
        <v>21398</v>
      </c>
      <c r="C1184" s="2">
        <v>7.0410650354E10</v>
      </c>
      <c r="D1184" s="2" t="s">
        <v>21399</v>
      </c>
      <c r="E1184" s="2">
        <v>10001.0</v>
      </c>
      <c r="F1184" s="2">
        <v>1.0</v>
      </c>
      <c r="G1184" s="2">
        <v>1.0</v>
      </c>
      <c r="H1184" s="2" t="s">
        <v>5905</v>
      </c>
      <c r="I1184" s="2" t="s">
        <v>5905</v>
      </c>
      <c r="J1184" s="2" t="s">
        <v>9793</v>
      </c>
      <c r="K1184" s="2" t="s">
        <v>21400</v>
      </c>
    </row>
    <row r="1185">
      <c r="A1185" s="2" t="s">
        <v>4624</v>
      </c>
      <c r="B1185" s="2" t="s">
        <v>21401</v>
      </c>
      <c r="C1185" s="2">
        <v>3.552145046E9</v>
      </c>
      <c r="D1185" s="2" t="s">
        <v>21402</v>
      </c>
      <c r="E1185" s="2">
        <v>12254.0</v>
      </c>
      <c r="F1185" s="2">
        <v>1.0</v>
      </c>
      <c r="G1185" s="2">
        <v>258.0</v>
      </c>
      <c r="H1185" s="2" t="s">
        <v>5905</v>
      </c>
      <c r="I1185" s="2" t="s">
        <v>5906</v>
      </c>
      <c r="J1185" s="2" t="s">
        <v>6002</v>
      </c>
      <c r="K1185" s="2" t="s">
        <v>21403</v>
      </c>
      <c r="L1185" s="10" t="s">
        <v>21404</v>
      </c>
    </row>
    <row r="1186">
      <c r="A1186" s="2" t="s">
        <v>4624</v>
      </c>
      <c r="B1186" s="2" t="s">
        <v>21405</v>
      </c>
      <c r="C1186" s="2">
        <v>2.10206822E8</v>
      </c>
      <c r="D1186" s="2" t="s">
        <v>21406</v>
      </c>
      <c r="E1186" s="2">
        <v>1468168.0</v>
      </c>
      <c r="F1186" s="2">
        <v>4477.0</v>
      </c>
      <c r="G1186" s="2">
        <v>3738.0</v>
      </c>
      <c r="H1186" s="2" t="s">
        <v>5906</v>
      </c>
      <c r="I1186" s="2" t="s">
        <v>5905</v>
      </c>
      <c r="J1186" s="2" t="s">
        <v>9793</v>
      </c>
      <c r="K1186" s="2" t="s">
        <v>21407</v>
      </c>
      <c r="L1186" s="10" t="s">
        <v>21408</v>
      </c>
    </row>
    <row r="1187">
      <c r="A1187" s="2" t="s">
        <v>4638</v>
      </c>
      <c r="B1187" s="2" t="s">
        <v>21409</v>
      </c>
      <c r="C1187" s="2">
        <v>2.4734476E7</v>
      </c>
      <c r="D1187" s="2" t="s">
        <v>21410</v>
      </c>
      <c r="E1187" s="2">
        <v>217983.0</v>
      </c>
      <c r="F1187" s="2">
        <v>18.0</v>
      </c>
      <c r="G1187" s="2">
        <v>9620.0</v>
      </c>
      <c r="H1187" s="2" t="s">
        <v>5906</v>
      </c>
      <c r="I1187" s="2" t="s">
        <v>5906</v>
      </c>
      <c r="J1187" s="2" t="s">
        <v>21411</v>
      </c>
      <c r="K1187" s="2" t="s">
        <v>21412</v>
      </c>
      <c r="L1187" s="10" t="s">
        <v>21413</v>
      </c>
    </row>
    <row r="1188">
      <c r="A1188" s="2" t="s">
        <v>4638</v>
      </c>
      <c r="B1188" s="2" t="s">
        <v>21414</v>
      </c>
      <c r="C1188" s="2">
        <v>1.7944492513E10</v>
      </c>
      <c r="D1188" s="2" t="s">
        <v>21415</v>
      </c>
      <c r="E1188" s="2">
        <v>77280.0</v>
      </c>
      <c r="F1188" s="2">
        <v>143.0</v>
      </c>
      <c r="G1188" s="2">
        <v>1464.0</v>
      </c>
      <c r="H1188" s="2" t="s">
        <v>5905</v>
      </c>
      <c r="I1188" s="2" t="s">
        <v>5906</v>
      </c>
      <c r="J1188" s="2" t="s">
        <v>6161</v>
      </c>
      <c r="K1188" s="2" t="s">
        <v>21416</v>
      </c>
      <c r="L1188" s="10" t="s">
        <v>21417</v>
      </c>
    </row>
    <row r="1189">
      <c r="A1189" s="2" t="s">
        <v>4638</v>
      </c>
      <c r="B1189" s="2" t="s">
        <v>21418</v>
      </c>
      <c r="C1189" s="2">
        <v>6.8304337827E10</v>
      </c>
      <c r="D1189" s="2" t="s">
        <v>21419</v>
      </c>
      <c r="E1189" s="2">
        <v>16944.0</v>
      </c>
      <c r="F1189" s="2">
        <v>18.0</v>
      </c>
      <c r="G1189" s="2">
        <v>162.0</v>
      </c>
      <c r="H1189" s="2" t="s">
        <v>5906</v>
      </c>
      <c r="I1189" s="2" t="s">
        <v>5905</v>
      </c>
      <c r="J1189" s="2" t="s">
        <v>5959</v>
      </c>
      <c r="K1189" s="2" t="s">
        <v>21420</v>
      </c>
      <c r="L1189" s="10" t="s">
        <v>21421</v>
      </c>
    </row>
    <row r="1190">
      <c r="A1190" s="2" t="s">
        <v>4638</v>
      </c>
      <c r="B1190" s="2" t="s">
        <v>21422</v>
      </c>
      <c r="C1190" s="2">
        <v>4.157668627E9</v>
      </c>
      <c r="D1190" s="2" t="s">
        <v>21423</v>
      </c>
      <c r="E1190" s="2">
        <v>82966.0</v>
      </c>
      <c r="F1190" s="2">
        <v>41.0</v>
      </c>
      <c r="G1190" s="2">
        <v>354.0</v>
      </c>
      <c r="H1190" s="2" t="s">
        <v>5905</v>
      </c>
      <c r="I1190" s="2" t="s">
        <v>5905</v>
      </c>
      <c r="J1190" s="2" t="s">
        <v>5959</v>
      </c>
      <c r="K1190" s="2" t="s">
        <v>21424</v>
      </c>
      <c r="L1190" s="10" t="s">
        <v>21425</v>
      </c>
    </row>
    <row r="1191">
      <c r="A1191" s="2" t="s">
        <v>4638</v>
      </c>
      <c r="B1191" s="2" t="s">
        <v>21426</v>
      </c>
      <c r="C1191" s="2">
        <v>3.6010052E7</v>
      </c>
      <c r="D1191" s="2" t="s">
        <v>21427</v>
      </c>
      <c r="E1191" s="2">
        <v>745056.0</v>
      </c>
      <c r="F1191" s="2">
        <v>301.0</v>
      </c>
      <c r="G1191" s="2">
        <v>2076.0</v>
      </c>
      <c r="H1191" s="2" t="s">
        <v>5905</v>
      </c>
      <c r="I1191" s="2" t="s">
        <v>5905</v>
      </c>
      <c r="J1191" s="2" t="s">
        <v>11797</v>
      </c>
      <c r="K1191" s="2" t="s">
        <v>21428</v>
      </c>
    </row>
    <row r="1192">
      <c r="A1192" s="2" t="s">
        <v>4638</v>
      </c>
      <c r="B1192" s="2" t="s">
        <v>21429</v>
      </c>
      <c r="C1192" s="2">
        <v>1.680577128E9</v>
      </c>
      <c r="D1192" s="2" t="s">
        <v>21430</v>
      </c>
      <c r="E1192" s="2">
        <v>79648.0</v>
      </c>
      <c r="F1192" s="2">
        <v>486.0</v>
      </c>
      <c r="G1192" s="2">
        <v>896.0</v>
      </c>
      <c r="H1192" s="2" t="s">
        <v>5905</v>
      </c>
      <c r="I1192" s="2" t="s">
        <v>5906</v>
      </c>
      <c r="J1192" s="2" t="s">
        <v>6161</v>
      </c>
      <c r="K1192" s="2" t="s">
        <v>21431</v>
      </c>
      <c r="L1192" s="10" t="s">
        <v>21432</v>
      </c>
    </row>
    <row r="1193">
      <c r="A1193" s="2" t="s">
        <v>4644</v>
      </c>
      <c r="B1193" s="2" t="s">
        <v>21433</v>
      </c>
      <c r="C1193" s="2">
        <v>6.1228201708E10</v>
      </c>
      <c r="D1193" s="2" t="s">
        <v>21434</v>
      </c>
      <c r="E1193" s="2">
        <v>444123.0</v>
      </c>
      <c r="F1193" s="2">
        <v>482.0</v>
      </c>
      <c r="G1193" s="2">
        <v>752.0</v>
      </c>
      <c r="H1193" s="2" t="s">
        <v>5906</v>
      </c>
      <c r="I1193" s="2" t="s">
        <v>5905</v>
      </c>
      <c r="J1193" s="2" t="s">
        <v>5391</v>
      </c>
      <c r="K1193" s="2" t="s">
        <v>21435</v>
      </c>
      <c r="L1193" s="10" t="s">
        <v>21436</v>
      </c>
    </row>
    <row r="1194">
      <c r="A1194" s="2" t="s">
        <v>4644</v>
      </c>
      <c r="B1194" s="2" t="s">
        <v>21437</v>
      </c>
      <c r="C1194" s="2">
        <v>4.7894439189E10</v>
      </c>
      <c r="D1194" s="2" t="s">
        <v>21438</v>
      </c>
      <c r="E1194" s="2">
        <v>49241.0</v>
      </c>
      <c r="F1194" s="2">
        <v>2.0</v>
      </c>
      <c r="G1194" s="2">
        <v>402.0</v>
      </c>
      <c r="H1194" s="2" t="s">
        <v>5905</v>
      </c>
      <c r="I1194" s="2" t="s">
        <v>5905</v>
      </c>
      <c r="J1194" s="2" t="s">
        <v>6002</v>
      </c>
      <c r="K1194" s="2" t="s">
        <v>21439</v>
      </c>
      <c r="L1194" s="10" t="s">
        <v>21440</v>
      </c>
    </row>
    <row r="1195">
      <c r="A1195" s="2" t="s">
        <v>4644</v>
      </c>
      <c r="B1195" s="2" t="s">
        <v>21441</v>
      </c>
      <c r="C1195" s="2">
        <v>4.5010514535E10</v>
      </c>
      <c r="D1195" s="2" t="s">
        <v>21442</v>
      </c>
      <c r="E1195" s="2">
        <v>368555.0</v>
      </c>
      <c r="F1195" s="2">
        <v>735.0</v>
      </c>
      <c r="G1195" s="2">
        <v>716.0</v>
      </c>
      <c r="H1195" s="2" t="s">
        <v>5905</v>
      </c>
      <c r="I1195" s="2" t="s">
        <v>5905</v>
      </c>
      <c r="J1195" s="2" t="s">
        <v>5963</v>
      </c>
      <c r="K1195" s="2" t="s">
        <v>21443</v>
      </c>
      <c r="L1195" s="10" t="s">
        <v>21444</v>
      </c>
    </row>
    <row r="1196">
      <c r="A1196" s="2" t="s">
        <v>4644</v>
      </c>
      <c r="B1196" s="2" t="s">
        <v>18666</v>
      </c>
      <c r="C1196" s="2">
        <v>2.83628115E8</v>
      </c>
      <c r="D1196" s="2" t="s">
        <v>18667</v>
      </c>
      <c r="E1196" s="2">
        <v>943596.0</v>
      </c>
      <c r="F1196" s="2">
        <v>2506.0</v>
      </c>
      <c r="G1196" s="2">
        <v>2718.0</v>
      </c>
      <c r="H1196" s="2" t="s">
        <v>5906</v>
      </c>
      <c r="I1196" s="2" t="s">
        <v>5905</v>
      </c>
      <c r="J1196" s="2" t="s">
        <v>5492</v>
      </c>
      <c r="K1196" s="2" t="s">
        <v>18668</v>
      </c>
      <c r="L1196" s="10" t="s">
        <v>18669</v>
      </c>
    </row>
    <row r="1197">
      <c r="A1197" s="2" t="s">
        <v>4644</v>
      </c>
      <c r="B1197" s="2" t="s">
        <v>21445</v>
      </c>
      <c r="C1197" s="2">
        <v>6.7136457222E10</v>
      </c>
      <c r="D1197" s="2" t="s">
        <v>21446</v>
      </c>
      <c r="E1197" s="2">
        <v>332548.0</v>
      </c>
      <c r="F1197" s="2">
        <v>72.0</v>
      </c>
      <c r="G1197" s="2">
        <v>843.0</v>
      </c>
      <c r="H1197" s="2" t="s">
        <v>5906</v>
      </c>
      <c r="I1197" s="2" t="s">
        <v>5905</v>
      </c>
      <c r="J1197" s="2" t="s">
        <v>5959</v>
      </c>
      <c r="K1197" s="2" t="s">
        <v>21447</v>
      </c>
      <c r="L1197" s="10" t="s">
        <v>21448</v>
      </c>
    </row>
    <row r="1198">
      <c r="A1198" s="2" t="s">
        <v>4644</v>
      </c>
      <c r="B1198" s="2" t="s">
        <v>21449</v>
      </c>
      <c r="C1198" s="2">
        <v>5.6678538238E10</v>
      </c>
      <c r="D1198" s="2" t="s">
        <v>21450</v>
      </c>
      <c r="E1198" s="2">
        <v>38938.0</v>
      </c>
      <c r="F1198" s="2">
        <v>310.0</v>
      </c>
      <c r="G1198" s="2">
        <v>570.0</v>
      </c>
      <c r="H1198" s="2" t="s">
        <v>5905</v>
      </c>
      <c r="I1198" s="2" t="s">
        <v>5906</v>
      </c>
      <c r="J1198" s="2" t="s">
        <v>6161</v>
      </c>
      <c r="K1198" s="2" t="s">
        <v>21451</v>
      </c>
      <c r="L1198" s="10" t="s">
        <v>21452</v>
      </c>
    </row>
    <row r="1199">
      <c r="A1199" s="2" t="s">
        <v>4644</v>
      </c>
      <c r="B1199" s="2" t="s">
        <v>21453</v>
      </c>
      <c r="C1199" s="2">
        <v>8.566919777E9</v>
      </c>
      <c r="D1199" s="2" t="s">
        <v>21454</v>
      </c>
      <c r="E1199" s="2">
        <v>119234.0</v>
      </c>
      <c r="F1199" s="2">
        <v>3539.0</v>
      </c>
      <c r="G1199" s="2">
        <v>2068.0</v>
      </c>
      <c r="H1199" s="2" t="s">
        <v>5906</v>
      </c>
      <c r="I1199" s="2" t="s">
        <v>5906</v>
      </c>
      <c r="J1199" s="2" t="s">
        <v>5391</v>
      </c>
      <c r="K1199" s="2" t="s">
        <v>21455</v>
      </c>
      <c r="L1199" s="10" t="s">
        <v>21456</v>
      </c>
    </row>
    <row r="1200">
      <c r="A1200" s="2" t="s">
        <v>4644</v>
      </c>
      <c r="B1200" s="2" t="s">
        <v>21457</v>
      </c>
      <c r="C1200" s="2">
        <v>5.7174529688E10</v>
      </c>
      <c r="D1200" s="2" t="s">
        <v>21458</v>
      </c>
      <c r="E1200" s="2">
        <v>99145.0</v>
      </c>
      <c r="F1200" s="2">
        <v>611.0</v>
      </c>
      <c r="G1200" s="2">
        <v>2013.0</v>
      </c>
      <c r="H1200" s="2" t="s">
        <v>5905</v>
      </c>
      <c r="I1200" s="2" t="s">
        <v>5905</v>
      </c>
      <c r="J1200" s="2" t="s">
        <v>6002</v>
      </c>
      <c r="K1200" s="2" t="s">
        <v>21459</v>
      </c>
      <c r="L1200" s="10" t="s">
        <v>21460</v>
      </c>
    </row>
    <row r="1201">
      <c r="A1201" s="2" t="s">
        <v>4644</v>
      </c>
      <c r="B1201" s="2" t="s">
        <v>21461</v>
      </c>
      <c r="C1201" s="2">
        <v>2.1653307384E10</v>
      </c>
      <c r="D1201" s="2" t="s">
        <v>21462</v>
      </c>
      <c r="E1201" s="2">
        <v>893692.0</v>
      </c>
      <c r="F1201" s="2">
        <v>93.0</v>
      </c>
      <c r="G1201" s="2">
        <v>2609.0</v>
      </c>
      <c r="H1201" s="2" t="s">
        <v>5905</v>
      </c>
      <c r="I1201" s="2" t="s">
        <v>5906</v>
      </c>
      <c r="J1201" s="2" t="s">
        <v>6161</v>
      </c>
      <c r="K1201" s="2" t="s">
        <v>21463</v>
      </c>
      <c r="L1201" s="10" t="s">
        <v>21464</v>
      </c>
    </row>
    <row r="1202">
      <c r="A1202" s="2" t="s">
        <v>4644</v>
      </c>
      <c r="B1202" s="2" t="s">
        <v>21465</v>
      </c>
      <c r="C1202" s="2">
        <v>2.838383894E10</v>
      </c>
      <c r="D1202" s="2" t="s">
        <v>21442</v>
      </c>
      <c r="E1202" s="2">
        <v>42549.0</v>
      </c>
      <c r="F1202" s="2">
        <v>698.0</v>
      </c>
      <c r="G1202" s="2">
        <v>581.0</v>
      </c>
      <c r="H1202" s="2" t="s">
        <v>5905</v>
      </c>
      <c r="I1202" s="2" t="s">
        <v>5905</v>
      </c>
      <c r="J1202" s="2" t="s">
        <v>6002</v>
      </c>
      <c r="K1202" s="2" t="s">
        <v>21466</v>
      </c>
      <c r="L1202" s="10" t="s">
        <v>21467</v>
      </c>
    </row>
    <row r="1203">
      <c r="A1203" s="2" t="s">
        <v>4644</v>
      </c>
      <c r="B1203" s="2" t="s">
        <v>21468</v>
      </c>
      <c r="C1203" s="2">
        <v>6.30205218E9</v>
      </c>
      <c r="D1203" s="2" t="s">
        <v>21469</v>
      </c>
      <c r="E1203" s="2">
        <v>108505.0</v>
      </c>
      <c r="F1203" s="2">
        <v>1577.0</v>
      </c>
      <c r="G1203" s="2">
        <v>1488.0</v>
      </c>
      <c r="H1203" s="2" t="s">
        <v>5906</v>
      </c>
      <c r="I1203" s="2" t="s">
        <v>5905</v>
      </c>
      <c r="J1203" s="2" t="s">
        <v>5391</v>
      </c>
      <c r="K1203" s="2" t="s">
        <v>21470</v>
      </c>
      <c r="L1203" s="10" t="s">
        <v>21471</v>
      </c>
    </row>
    <row r="1204">
      <c r="A1204" s="2" t="s">
        <v>13</v>
      </c>
      <c r="B1204" s="2" t="s">
        <v>21472</v>
      </c>
      <c r="C1204" s="2">
        <v>8.427393963E9</v>
      </c>
      <c r="D1204" s="2" t="s">
        <v>21473</v>
      </c>
      <c r="E1204" s="2">
        <v>2807765.0</v>
      </c>
      <c r="F1204" s="2">
        <v>29.0</v>
      </c>
      <c r="G1204" s="2">
        <v>364.0</v>
      </c>
      <c r="H1204" s="2" t="s">
        <v>5906</v>
      </c>
      <c r="I1204" s="2" t="s">
        <v>5905</v>
      </c>
      <c r="J1204" s="2" t="s">
        <v>9793</v>
      </c>
      <c r="K1204" s="2" t="s">
        <v>21474</v>
      </c>
      <c r="L1204" s="10" t="s">
        <v>21475</v>
      </c>
    </row>
    <row r="1205">
      <c r="A1205" s="2" t="s">
        <v>13</v>
      </c>
      <c r="B1205" s="2" t="s">
        <v>21021</v>
      </c>
      <c r="C1205" s="2">
        <v>2.23553054E8</v>
      </c>
      <c r="D1205" s="2" t="s">
        <v>21022</v>
      </c>
      <c r="E1205" s="2">
        <v>840236.0</v>
      </c>
      <c r="F1205" s="2">
        <v>705.0</v>
      </c>
      <c r="G1205" s="2">
        <v>4954.0</v>
      </c>
      <c r="H1205" s="2" t="s">
        <v>5906</v>
      </c>
      <c r="I1205" s="2" t="s">
        <v>5905</v>
      </c>
      <c r="J1205" s="2" t="s">
        <v>9793</v>
      </c>
      <c r="K1205" s="2" t="s">
        <v>21023</v>
      </c>
      <c r="L1205" s="10" t="s">
        <v>21024</v>
      </c>
    </row>
    <row r="1206">
      <c r="A1206" s="2" t="s">
        <v>13</v>
      </c>
      <c r="B1206" s="2" t="s">
        <v>17095</v>
      </c>
      <c r="C1206" s="2">
        <v>5.500550125E9</v>
      </c>
      <c r="D1206" s="2" t="s">
        <v>17096</v>
      </c>
      <c r="E1206" s="2">
        <v>6385612.0</v>
      </c>
      <c r="F1206" s="2">
        <v>10.0</v>
      </c>
      <c r="G1206" s="2">
        <v>3909.0</v>
      </c>
      <c r="H1206" s="2" t="s">
        <v>5906</v>
      </c>
      <c r="I1206" s="2" t="s">
        <v>5906</v>
      </c>
      <c r="K1206" s="2" t="s">
        <v>17097</v>
      </c>
    </row>
    <row r="1207">
      <c r="A1207" s="2" t="s">
        <v>13</v>
      </c>
      <c r="B1207" s="2" t="s">
        <v>21476</v>
      </c>
      <c r="C1207" s="2">
        <v>4.6118281569E10</v>
      </c>
      <c r="D1207" s="2" t="s">
        <v>21477</v>
      </c>
      <c r="E1207" s="2">
        <v>2070343.0</v>
      </c>
      <c r="F1207" s="2">
        <v>43.0</v>
      </c>
      <c r="G1207" s="2">
        <v>12900.0</v>
      </c>
      <c r="H1207" s="2" t="s">
        <v>5906</v>
      </c>
      <c r="I1207" s="2" t="s">
        <v>5905</v>
      </c>
      <c r="J1207" s="2" t="s">
        <v>7140</v>
      </c>
      <c r="K1207" s="2" t="s">
        <v>21478</v>
      </c>
      <c r="L1207" s="10" t="s">
        <v>21479</v>
      </c>
    </row>
    <row r="1208">
      <c r="A1208" s="2" t="s">
        <v>13</v>
      </c>
      <c r="B1208" s="2" t="s">
        <v>21480</v>
      </c>
      <c r="C1208" s="2">
        <v>7.49478045E8</v>
      </c>
      <c r="D1208" s="2" t="s">
        <v>21481</v>
      </c>
      <c r="E1208" s="2">
        <v>2413509.0</v>
      </c>
      <c r="F1208" s="2">
        <v>27.0</v>
      </c>
      <c r="G1208" s="2">
        <v>2283.0</v>
      </c>
      <c r="H1208" s="2" t="s">
        <v>5905</v>
      </c>
      <c r="I1208" s="2" t="s">
        <v>5905</v>
      </c>
      <c r="K1208" s="2" t="s">
        <v>21482</v>
      </c>
    </row>
    <row r="1209">
      <c r="A1209" s="2" t="s">
        <v>13</v>
      </c>
      <c r="B1209" s="2" t="s">
        <v>21483</v>
      </c>
      <c r="C1209" s="2">
        <v>5.1463553622E10</v>
      </c>
      <c r="D1209" s="2" t="s">
        <v>21484</v>
      </c>
      <c r="E1209" s="2">
        <v>186468.0</v>
      </c>
      <c r="F1209" s="2">
        <v>533.0</v>
      </c>
      <c r="G1209" s="2">
        <v>1053.0</v>
      </c>
      <c r="H1209" s="2" t="s">
        <v>5905</v>
      </c>
      <c r="I1209" s="2" t="s">
        <v>5905</v>
      </c>
      <c r="J1209" s="2" t="s">
        <v>21485</v>
      </c>
      <c r="K1209" s="2" t="s">
        <v>21486</v>
      </c>
      <c r="L1209" s="10" t="s">
        <v>21487</v>
      </c>
    </row>
    <row r="1210">
      <c r="A1210" s="2" t="s">
        <v>13</v>
      </c>
      <c r="B1210" s="2" t="s">
        <v>21488</v>
      </c>
      <c r="C1210" s="2">
        <v>5.527735E7</v>
      </c>
      <c r="D1210" s="2" t="s">
        <v>21489</v>
      </c>
      <c r="E1210" s="2">
        <v>775828.0</v>
      </c>
      <c r="F1210" s="2">
        <v>302.0</v>
      </c>
      <c r="G1210" s="2">
        <v>5351.0</v>
      </c>
      <c r="H1210" s="2" t="s">
        <v>5905</v>
      </c>
      <c r="I1210" s="2" t="s">
        <v>5905</v>
      </c>
      <c r="J1210" s="2" t="s">
        <v>9793</v>
      </c>
      <c r="K1210" s="2" t="s">
        <v>21490</v>
      </c>
      <c r="L1210" s="10" t="s">
        <v>21491</v>
      </c>
    </row>
    <row r="1211">
      <c r="A1211" s="2" t="s">
        <v>13</v>
      </c>
      <c r="B1211" s="2" t="s">
        <v>21492</v>
      </c>
      <c r="C1211" s="2">
        <v>6.164385655E10</v>
      </c>
      <c r="D1211" s="2" t="s">
        <v>21493</v>
      </c>
      <c r="E1211" s="2">
        <v>40175.0</v>
      </c>
      <c r="F1211" s="2">
        <v>852.0</v>
      </c>
      <c r="G1211" s="2">
        <v>317.0</v>
      </c>
      <c r="H1211" s="2" t="s">
        <v>5905</v>
      </c>
      <c r="I1211" s="2" t="s">
        <v>5905</v>
      </c>
      <c r="J1211" s="2" t="s">
        <v>17093</v>
      </c>
      <c r="K1211" s="2" t="s">
        <v>21494</v>
      </c>
    </row>
    <row r="1212">
      <c r="A1212" s="2" t="s">
        <v>13</v>
      </c>
      <c r="B1212" s="2" t="s">
        <v>21495</v>
      </c>
      <c r="C1212" s="2">
        <v>3.5838749617E10</v>
      </c>
      <c r="D1212" s="2" t="s">
        <v>21496</v>
      </c>
      <c r="E1212" s="2">
        <v>18656.0</v>
      </c>
      <c r="F1212" s="2">
        <v>2.0</v>
      </c>
      <c r="G1212" s="2">
        <v>129.0</v>
      </c>
      <c r="H1212" s="2" t="s">
        <v>5905</v>
      </c>
      <c r="I1212" s="2" t="s">
        <v>5906</v>
      </c>
      <c r="J1212" s="2" t="s">
        <v>5561</v>
      </c>
      <c r="K1212" s="2" t="s">
        <v>21497</v>
      </c>
    </row>
    <row r="1213">
      <c r="A1213" s="2" t="s">
        <v>13</v>
      </c>
      <c r="B1213" s="2" t="s">
        <v>21498</v>
      </c>
      <c r="C1213" s="2">
        <v>3.30004062E9</v>
      </c>
      <c r="D1213" s="2" t="s">
        <v>21499</v>
      </c>
      <c r="E1213" s="2">
        <v>519888.0</v>
      </c>
      <c r="F1213" s="2">
        <v>1.0</v>
      </c>
      <c r="G1213" s="2">
        <v>1193.0</v>
      </c>
      <c r="H1213" s="2" t="s">
        <v>5905</v>
      </c>
      <c r="I1213" s="2" t="s">
        <v>5906</v>
      </c>
      <c r="J1213" s="2" t="s">
        <v>12774</v>
      </c>
      <c r="K1213" s="2" t="s">
        <v>21500</v>
      </c>
    </row>
    <row r="1214">
      <c r="A1214" s="2" t="s">
        <v>13</v>
      </c>
      <c r="B1214" s="2" t="s">
        <v>21501</v>
      </c>
      <c r="C1214" s="2">
        <v>1.6272435092E10</v>
      </c>
      <c r="D1214" s="2" t="s">
        <v>21502</v>
      </c>
      <c r="E1214" s="2">
        <v>1602023.0</v>
      </c>
      <c r="F1214" s="2">
        <v>681.0</v>
      </c>
      <c r="G1214" s="2">
        <v>1562.0</v>
      </c>
      <c r="H1214" s="2" t="s">
        <v>5906</v>
      </c>
      <c r="I1214" s="2" t="s">
        <v>5905</v>
      </c>
      <c r="J1214" s="2" t="s">
        <v>5959</v>
      </c>
      <c r="K1214" s="2" t="s">
        <v>21503</v>
      </c>
      <c r="L1214" s="10" t="s">
        <v>21504</v>
      </c>
    </row>
    <row r="1215">
      <c r="A1215" s="2" t="s">
        <v>13</v>
      </c>
      <c r="B1215" s="2" t="s">
        <v>21505</v>
      </c>
      <c r="C1215" s="2">
        <v>6.6012384021E10</v>
      </c>
      <c r="D1215" s="2" t="s">
        <v>13</v>
      </c>
      <c r="E1215" s="2">
        <v>33682.0</v>
      </c>
      <c r="F1215" s="2">
        <v>28.0</v>
      </c>
      <c r="G1215" s="2">
        <v>462.0</v>
      </c>
      <c r="H1215" s="2" t="s">
        <v>5905</v>
      </c>
      <c r="I1215" s="2" t="s">
        <v>5905</v>
      </c>
      <c r="J1215" s="2" t="s">
        <v>7140</v>
      </c>
      <c r="K1215" s="2" t="s">
        <v>21506</v>
      </c>
    </row>
    <row r="1216">
      <c r="A1216" s="2" t="s">
        <v>4525</v>
      </c>
      <c r="B1216" s="2" t="s">
        <v>21507</v>
      </c>
      <c r="C1216" s="2">
        <v>6.82823013E8</v>
      </c>
      <c r="D1216" s="2" t="s">
        <v>21508</v>
      </c>
      <c r="E1216" s="2">
        <v>823048.0</v>
      </c>
      <c r="F1216" s="2">
        <v>717.0</v>
      </c>
      <c r="G1216" s="2">
        <v>417.0</v>
      </c>
      <c r="H1216" s="2" t="s">
        <v>5906</v>
      </c>
      <c r="I1216" s="2" t="s">
        <v>5905</v>
      </c>
      <c r="J1216" s="2" t="s">
        <v>5561</v>
      </c>
      <c r="K1216" s="2" t="s">
        <v>21509</v>
      </c>
      <c r="L1216" s="10" t="s">
        <v>21510</v>
      </c>
    </row>
    <row r="1217">
      <c r="A1217" s="2" t="s">
        <v>4525</v>
      </c>
      <c r="B1217" s="2" t="s">
        <v>21511</v>
      </c>
      <c r="C1217" s="2">
        <v>4.4063424571E10</v>
      </c>
      <c r="D1217" s="2" t="s">
        <v>21512</v>
      </c>
      <c r="E1217" s="2">
        <v>539848.0</v>
      </c>
      <c r="F1217" s="2">
        <v>7.0</v>
      </c>
      <c r="G1217" s="2">
        <v>818.0</v>
      </c>
      <c r="H1217" s="2" t="s">
        <v>5905</v>
      </c>
      <c r="I1217" s="2" t="s">
        <v>5905</v>
      </c>
      <c r="J1217" s="2" t="s">
        <v>5561</v>
      </c>
      <c r="K1217" s="2" t="s">
        <v>21513</v>
      </c>
    </row>
    <row r="1218">
      <c r="A1218" s="2" t="s">
        <v>4525</v>
      </c>
      <c r="B1218" s="2" t="s">
        <v>4525</v>
      </c>
      <c r="C1218" s="2">
        <v>2.033098951E9</v>
      </c>
      <c r="D1218" s="2" t="s">
        <v>21514</v>
      </c>
      <c r="E1218" s="2">
        <v>164277.0</v>
      </c>
      <c r="F1218" s="2">
        <v>381.0</v>
      </c>
      <c r="G1218" s="2">
        <v>1030.0</v>
      </c>
      <c r="H1218" s="2" t="s">
        <v>5905</v>
      </c>
      <c r="I1218" s="2" t="s">
        <v>5906</v>
      </c>
      <c r="J1218" s="2" t="s">
        <v>6032</v>
      </c>
      <c r="K1218" s="2" t="s">
        <v>21515</v>
      </c>
    </row>
    <row r="1219">
      <c r="A1219" s="2" t="s">
        <v>4525</v>
      </c>
      <c r="B1219" s="2" t="s">
        <v>21516</v>
      </c>
      <c r="C1219" s="2">
        <v>3.191336104E9</v>
      </c>
      <c r="D1219" s="2" t="s">
        <v>21517</v>
      </c>
      <c r="E1219" s="2">
        <v>31864.0</v>
      </c>
      <c r="F1219" s="2">
        <v>1856.0</v>
      </c>
      <c r="G1219" s="2">
        <v>1095.0</v>
      </c>
      <c r="H1219" s="2" t="s">
        <v>5905</v>
      </c>
      <c r="I1219" s="2" t="s">
        <v>5906</v>
      </c>
      <c r="J1219" s="2" t="s">
        <v>21518</v>
      </c>
      <c r="K1219" s="2" t="s">
        <v>21519</v>
      </c>
      <c r="L1219" s="10" t="s">
        <v>21520</v>
      </c>
    </row>
    <row r="1220">
      <c r="A1220" s="2" t="s">
        <v>4525</v>
      </c>
      <c r="B1220" s="2" t="s">
        <v>21521</v>
      </c>
      <c r="C1220" s="2">
        <v>3.22600837E8</v>
      </c>
      <c r="D1220" s="2" t="s">
        <v>21522</v>
      </c>
      <c r="E1220" s="2">
        <v>359491.0</v>
      </c>
      <c r="F1220" s="2">
        <v>40.0</v>
      </c>
      <c r="G1220" s="2">
        <v>10101.0</v>
      </c>
      <c r="H1220" s="2" t="s">
        <v>5905</v>
      </c>
      <c r="I1220" s="2" t="s">
        <v>5906</v>
      </c>
      <c r="J1220" s="2" t="s">
        <v>21523</v>
      </c>
      <c r="K1220" s="2" t="s">
        <v>21524</v>
      </c>
    </row>
    <row r="1221">
      <c r="A1221" s="2" t="s">
        <v>4525</v>
      </c>
      <c r="B1221" s="2" t="s">
        <v>21525</v>
      </c>
      <c r="C1221" s="2">
        <v>5.28379949E8</v>
      </c>
      <c r="D1221" s="2" t="s">
        <v>21526</v>
      </c>
      <c r="E1221" s="2">
        <v>33517.0</v>
      </c>
      <c r="F1221" s="2">
        <v>330.0</v>
      </c>
      <c r="G1221" s="2">
        <v>689.0</v>
      </c>
      <c r="H1221" s="2" t="s">
        <v>5905</v>
      </c>
      <c r="I1221" s="2" t="s">
        <v>5906</v>
      </c>
      <c r="K1221" s="2" t="s">
        <v>21527</v>
      </c>
      <c r="L1221" s="10" t="s">
        <v>21528</v>
      </c>
    </row>
    <row r="1222">
      <c r="A1222" s="2" t="s">
        <v>4525</v>
      </c>
      <c r="B1222" s="2" t="s">
        <v>21529</v>
      </c>
      <c r="C1222" s="2">
        <v>3.131165895E9</v>
      </c>
      <c r="D1222" s="2" t="s">
        <v>21530</v>
      </c>
      <c r="E1222" s="2">
        <v>298752.0</v>
      </c>
      <c r="F1222" s="2">
        <v>137.0</v>
      </c>
      <c r="G1222" s="2">
        <v>806.0</v>
      </c>
      <c r="H1222" s="2" t="s">
        <v>5905</v>
      </c>
      <c r="I1222" s="2" t="s">
        <v>5905</v>
      </c>
      <c r="J1222" s="2" t="s">
        <v>5959</v>
      </c>
      <c r="K1222" s="2" t="s">
        <v>21531</v>
      </c>
      <c r="L1222" s="10" t="s">
        <v>21532</v>
      </c>
    </row>
    <row r="1223">
      <c r="A1223" s="2" t="s">
        <v>4525</v>
      </c>
      <c r="B1223" s="2" t="s">
        <v>21533</v>
      </c>
      <c r="C1223" s="2">
        <v>8.033378663E9</v>
      </c>
      <c r="D1223" s="2" t="s">
        <v>21534</v>
      </c>
      <c r="E1223" s="2">
        <v>26949.0</v>
      </c>
      <c r="F1223" s="2">
        <v>1747.0</v>
      </c>
      <c r="G1223" s="2">
        <v>489.0</v>
      </c>
      <c r="H1223" s="2" t="s">
        <v>5906</v>
      </c>
      <c r="I1223" s="2" t="s">
        <v>5906</v>
      </c>
      <c r="J1223" s="2" t="s">
        <v>6559</v>
      </c>
      <c r="K1223" s="2" t="s">
        <v>21535</v>
      </c>
      <c r="L1223" s="10" t="s">
        <v>21536</v>
      </c>
    </row>
    <row r="1224">
      <c r="A1224" s="2" t="s">
        <v>4558</v>
      </c>
      <c r="B1224" s="2" t="s">
        <v>21537</v>
      </c>
      <c r="C1224" s="2">
        <v>1.731218113E9</v>
      </c>
      <c r="D1224" s="2" t="s">
        <v>21538</v>
      </c>
      <c r="E1224" s="2">
        <v>3232489.0</v>
      </c>
      <c r="F1224" s="2">
        <v>23.0</v>
      </c>
      <c r="G1224" s="2">
        <v>37536.0</v>
      </c>
      <c r="H1224" s="2" t="s">
        <v>5905</v>
      </c>
      <c r="I1224" s="2" t="s">
        <v>5905</v>
      </c>
      <c r="J1224" s="2" t="s">
        <v>6393</v>
      </c>
      <c r="K1224" s="2" t="s">
        <v>21539</v>
      </c>
    </row>
    <row r="1225">
      <c r="A1225" s="2" t="s">
        <v>4558</v>
      </c>
      <c r="B1225" s="2" t="s">
        <v>21540</v>
      </c>
      <c r="C1225" s="2">
        <v>7.305330577E9</v>
      </c>
      <c r="D1225" s="2" t="s">
        <v>21541</v>
      </c>
      <c r="E1225" s="2">
        <v>416936.0</v>
      </c>
      <c r="F1225" s="2">
        <v>641.0</v>
      </c>
      <c r="G1225" s="2">
        <v>2152.0</v>
      </c>
      <c r="H1225" s="2" t="s">
        <v>5905</v>
      </c>
      <c r="I1225" s="2" t="s">
        <v>5905</v>
      </c>
      <c r="J1225" s="2" t="s">
        <v>5959</v>
      </c>
      <c r="K1225" s="2" t="s">
        <v>21542</v>
      </c>
      <c r="L1225" s="10" t="s">
        <v>21543</v>
      </c>
    </row>
    <row r="1226">
      <c r="A1226" s="2" t="s">
        <v>4558</v>
      </c>
      <c r="B1226" s="2" t="s">
        <v>21544</v>
      </c>
      <c r="C1226" s="2">
        <v>4.120362048E9</v>
      </c>
      <c r="D1226" s="2" t="s">
        <v>21545</v>
      </c>
      <c r="E1226" s="2">
        <v>863934.0</v>
      </c>
      <c r="F1226" s="2">
        <v>375.0</v>
      </c>
      <c r="G1226" s="2">
        <v>3408.0</v>
      </c>
      <c r="H1226" s="2" t="s">
        <v>5905</v>
      </c>
      <c r="I1226" s="2" t="s">
        <v>5905</v>
      </c>
      <c r="J1226" s="2" t="s">
        <v>5959</v>
      </c>
      <c r="K1226" s="2" t="s">
        <v>21546</v>
      </c>
      <c r="L1226" s="10" t="s">
        <v>21547</v>
      </c>
    </row>
    <row r="1227">
      <c r="A1227" s="2" t="s">
        <v>4558</v>
      </c>
      <c r="B1227" s="2" t="s">
        <v>21548</v>
      </c>
      <c r="C1227" s="2">
        <v>5.4371750679E10</v>
      </c>
      <c r="D1227" s="2" t="s">
        <v>21549</v>
      </c>
      <c r="E1227" s="2">
        <v>150889.0</v>
      </c>
      <c r="F1227" s="2">
        <v>72.0</v>
      </c>
      <c r="G1227" s="2">
        <v>1095.0</v>
      </c>
      <c r="H1227" s="2" t="s">
        <v>5905</v>
      </c>
      <c r="I1227" s="2" t="s">
        <v>5905</v>
      </c>
      <c r="J1227" s="2" t="s">
        <v>5928</v>
      </c>
      <c r="K1227" s="2" t="s">
        <v>21550</v>
      </c>
    </row>
    <row r="1228">
      <c r="A1228" s="2" t="s">
        <v>4558</v>
      </c>
      <c r="B1228" s="2" t="s">
        <v>21551</v>
      </c>
      <c r="C1228" s="2">
        <v>5.6942984871E10</v>
      </c>
      <c r="D1228" s="2" t="s">
        <v>21552</v>
      </c>
      <c r="E1228" s="2">
        <v>1728919.0</v>
      </c>
      <c r="F1228" s="2">
        <v>119.0</v>
      </c>
      <c r="G1228" s="2">
        <v>3522.0</v>
      </c>
      <c r="H1228" s="2" t="s">
        <v>5906</v>
      </c>
      <c r="I1228" s="2" t="s">
        <v>5905</v>
      </c>
      <c r="J1228" s="2" t="s">
        <v>5561</v>
      </c>
      <c r="K1228" s="2" t="s">
        <v>21553</v>
      </c>
    </row>
    <row r="1229">
      <c r="A1229" s="2" t="s">
        <v>4558</v>
      </c>
      <c r="B1229" s="2" t="s">
        <v>4558</v>
      </c>
      <c r="C1229" s="2">
        <v>1.67190531E9</v>
      </c>
      <c r="D1229" s="2" t="s">
        <v>21545</v>
      </c>
      <c r="E1229" s="2">
        <v>3472135.0</v>
      </c>
      <c r="F1229" s="2">
        <v>599.0</v>
      </c>
      <c r="G1229" s="2">
        <v>13530.0</v>
      </c>
      <c r="H1229" s="2" t="s">
        <v>5905</v>
      </c>
      <c r="I1229" s="2" t="s">
        <v>5905</v>
      </c>
      <c r="J1229" s="2" t="s">
        <v>5928</v>
      </c>
      <c r="K1229" s="2" t="s">
        <v>21554</v>
      </c>
      <c r="L1229" s="10" t="s">
        <v>21555</v>
      </c>
    </row>
    <row r="1230">
      <c r="A1230" s="2" t="s">
        <v>4558</v>
      </c>
      <c r="B1230" s="2" t="s">
        <v>17339</v>
      </c>
      <c r="C1230" s="2">
        <v>6.3998590425E10</v>
      </c>
      <c r="D1230" s="2" t="s">
        <v>17340</v>
      </c>
      <c r="E1230" s="2">
        <v>2021568.0</v>
      </c>
      <c r="F1230" s="2">
        <v>105.0</v>
      </c>
      <c r="G1230" s="2">
        <v>777.0</v>
      </c>
      <c r="H1230" s="2" t="s">
        <v>5905</v>
      </c>
      <c r="I1230" s="2" t="s">
        <v>5906</v>
      </c>
      <c r="J1230" s="2" t="s">
        <v>6882</v>
      </c>
      <c r="K1230" s="2" t="s">
        <v>17341</v>
      </c>
      <c r="L1230" s="10" t="s">
        <v>17342</v>
      </c>
    </row>
    <row r="1231">
      <c r="A1231" s="2" t="s">
        <v>4558</v>
      </c>
      <c r="B1231" s="2" t="s">
        <v>21556</v>
      </c>
      <c r="C1231" s="2">
        <v>4.7282104795E10</v>
      </c>
      <c r="D1231" s="2" t="s">
        <v>21557</v>
      </c>
      <c r="E1231" s="2">
        <v>2416925.0</v>
      </c>
      <c r="F1231" s="2">
        <v>91.0</v>
      </c>
      <c r="G1231" s="2">
        <v>469.0</v>
      </c>
      <c r="H1231" s="2" t="s">
        <v>5906</v>
      </c>
      <c r="I1231" s="2" t="s">
        <v>5905</v>
      </c>
      <c r="J1231" s="2" t="s">
        <v>6414</v>
      </c>
      <c r="K1231" s="2" t="s">
        <v>21558</v>
      </c>
      <c r="L1231" s="10" t="s">
        <v>21559</v>
      </c>
    </row>
    <row r="1232">
      <c r="A1232" s="2" t="s">
        <v>4558</v>
      </c>
      <c r="B1232" s="2" t="s">
        <v>21560</v>
      </c>
      <c r="C1232" s="2">
        <v>4.4504766387E10</v>
      </c>
      <c r="D1232" s="2" t="s">
        <v>21561</v>
      </c>
      <c r="E1232" s="2">
        <v>45990.0</v>
      </c>
      <c r="F1232" s="2">
        <v>1191.0</v>
      </c>
      <c r="G1232" s="2">
        <v>249.0</v>
      </c>
      <c r="H1232" s="2" t="s">
        <v>5905</v>
      </c>
      <c r="I1232" s="2" t="s">
        <v>5905</v>
      </c>
      <c r="J1232" s="2" t="s">
        <v>5959</v>
      </c>
      <c r="K1232" s="2" t="s">
        <v>21562</v>
      </c>
    </row>
    <row r="1233">
      <c r="A1233" s="2" t="s">
        <v>4558</v>
      </c>
      <c r="B1233" s="2" t="s">
        <v>21563</v>
      </c>
      <c r="C1233" s="2">
        <v>1.127047873E9</v>
      </c>
      <c r="D1233" s="2" t="s">
        <v>21564</v>
      </c>
      <c r="E1233" s="2">
        <v>3789808.0</v>
      </c>
      <c r="F1233" s="2">
        <v>43.0</v>
      </c>
      <c r="G1233" s="2">
        <v>214.0</v>
      </c>
      <c r="H1233" s="2" t="s">
        <v>5905</v>
      </c>
      <c r="I1233" s="2" t="s">
        <v>5905</v>
      </c>
      <c r="J1233" s="2" t="s">
        <v>8838</v>
      </c>
    </row>
    <row r="1234">
      <c r="A1234" s="2" t="s">
        <v>4558</v>
      </c>
      <c r="B1234" s="2" t="s">
        <v>21565</v>
      </c>
      <c r="C1234" s="2">
        <v>1.920438E7</v>
      </c>
      <c r="D1234" s="2" t="s">
        <v>21566</v>
      </c>
      <c r="E1234" s="2">
        <v>3862449.0</v>
      </c>
      <c r="F1234" s="2">
        <v>653.0</v>
      </c>
      <c r="G1234" s="2">
        <v>14379.0</v>
      </c>
      <c r="H1234" s="2" t="s">
        <v>5906</v>
      </c>
      <c r="I1234" s="2" t="s">
        <v>5906</v>
      </c>
      <c r="K1234" s="2" t="s">
        <v>21567</v>
      </c>
      <c r="L1234" s="10" t="s">
        <v>21568</v>
      </c>
    </row>
    <row r="1235">
      <c r="A1235" s="2" t="s">
        <v>4558</v>
      </c>
      <c r="B1235" s="2" t="s">
        <v>21569</v>
      </c>
      <c r="C1235" s="2">
        <v>7.102072485E9</v>
      </c>
      <c r="D1235" s="2" t="s">
        <v>21570</v>
      </c>
      <c r="E1235" s="2">
        <v>361778.0</v>
      </c>
      <c r="F1235" s="2">
        <v>729.0</v>
      </c>
      <c r="G1235" s="2">
        <v>2405.0</v>
      </c>
      <c r="H1235" s="2" t="s">
        <v>5905</v>
      </c>
      <c r="I1235" s="2" t="s">
        <v>5905</v>
      </c>
      <c r="J1235" s="2" t="s">
        <v>6393</v>
      </c>
      <c r="K1235" s="2" t="s">
        <v>21571</v>
      </c>
      <c r="L1235" s="10" t="s">
        <v>21572</v>
      </c>
    </row>
    <row r="1236">
      <c r="A1236" s="2" t="s">
        <v>4450</v>
      </c>
      <c r="B1236" s="2" t="s">
        <v>21573</v>
      </c>
      <c r="C1236" s="2">
        <v>5.3857024896E10</v>
      </c>
      <c r="D1236" s="2" t="s">
        <v>4450</v>
      </c>
      <c r="E1236" s="2">
        <v>31089.0</v>
      </c>
      <c r="F1236" s="2">
        <v>950.0</v>
      </c>
      <c r="G1236" s="2">
        <v>437.0</v>
      </c>
      <c r="H1236" s="2" t="s">
        <v>5905</v>
      </c>
      <c r="I1236" s="2" t="s">
        <v>5905</v>
      </c>
      <c r="J1236" s="2" t="s">
        <v>16494</v>
      </c>
      <c r="K1236" s="2" t="s">
        <v>21574</v>
      </c>
    </row>
    <row r="1237">
      <c r="A1237" s="2" t="s">
        <v>4450</v>
      </c>
      <c r="B1237" s="2" t="s">
        <v>21575</v>
      </c>
      <c r="C1237" s="2">
        <v>5.9412040912E10</v>
      </c>
      <c r="D1237" s="2" t="s">
        <v>21576</v>
      </c>
      <c r="E1237" s="2">
        <v>54142.0</v>
      </c>
      <c r="F1237" s="2">
        <v>106.0</v>
      </c>
      <c r="G1237" s="2">
        <v>1781.0</v>
      </c>
      <c r="H1237" s="2" t="s">
        <v>5905</v>
      </c>
      <c r="I1237" s="2" t="s">
        <v>5905</v>
      </c>
      <c r="J1237" s="2" t="s">
        <v>5928</v>
      </c>
      <c r="K1237" s="2" t="s">
        <v>21577</v>
      </c>
      <c r="L1237" s="10" t="s">
        <v>21578</v>
      </c>
    </row>
    <row r="1238">
      <c r="A1238" s="2" t="s">
        <v>4450</v>
      </c>
      <c r="B1238" s="2" t="s">
        <v>21579</v>
      </c>
      <c r="C1238" s="2">
        <v>4.7804285548E10</v>
      </c>
      <c r="D1238" s="2" t="s">
        <v>21580</v>
      </c>
      <c r="E1238" s="2">
        <v>43832.0</v>
      </c>
      <c r="F1238" s="2">
        <v>5.0</v>
      </c>
      <c r="G1238" s="2">
        <v>48.0</v>
      </c>
      <c r="H1238" s="2" t="s">
        <v>5905</v>
      </c>
      <c r="I1238" s="2" t="s">
        <v>5905</v>
      </c>
      <c r="J1238" s="2" t="s">
        <v>5492</v>
      </c>
      <c r="K1238" s="2" t="s">
        <v>21581</v>
      </c>
      <c r="L1238" s="10" t="s">
        <v>21582</v>
      </c>
    </row>
    <row r="1239">
      <c r="A1239" s="2" t="s">
        <v>4450</v>
      </c>
      <c r="B1239" s="2" t="s">
        <v>21583</v>
      </c>
      <c r="C1239" s="2">
        <v>6.68192005E9</v>
      </c>
      <c r="D1239" s="2" t="s">
        <v>21584</v>
      </c>
      <c r="E1239" s="2">
        <v>26512.0</v>
      </c>
      <c r="F1239" s="2">
        <v>543.0</v>
      </c>
      <c r="G1239" s="2">
        <v>516.0</v>
      </c>
      <c r="H1239" s="2" t="s">
        <v>5905</v>
      </c>
      <c r="I1239" s="2" t="s">
        <v>5906</v>
      </c>
      <c r="J1239" s="2" t="s">
        <v>5492</v>
      </c>
      <c r="K1239" s="2" t="s">
        <v>21585</v>
      </c>
      <c r="L1239" s="10" t="s">
        <v>21586</v>
      </c>
    </row>
    <row r="1240">
      <c r="A1240" s="2" t="s">
        <v>4480</v>
      </c>
      <c r="B1240" s="2" t="s">
        <v>21587</v>
      </c>
      <c r="C1240" s="2">
        <v>1.546327489E9</v>
      </c>
      <c r="D1240" s="2" t="s">
        <v>21588</v>
      </c>
      <c r="E1240" s="2">
        <v>114556.0</v>
      </c>
      <c r="F1240" s="2">
        <v>351.0</v>
      </c>
      <c r="G1240" s="2">
        <v>2741.0</v>
      </c>
      <c r="H1240" s="2" t="s">
        <v>5905</v>
      </c>
      <c r="I1240" s="2" t="s">
        <v>5906</v>
      </c>
      <c r="J1240" s="2" t="s">
        <v>5391</v>
      </c>
      <c r="K1240" s="2" t="s">
        <v>21589</v>
      </c>
      <c r="L1240" s="10" t="s">
        <v>21590</v>
      </c>
    </row>
    <row r="1241">
      <c r="A1241" s="2" t="s">
        <v>4480</v>
      </c>
      <c r="B1241" s="2" t="s">
        <v>21591</v>
      </c>
      <c r="C1241" s="2">
        <v>6.920161428E9</v>
      </c>
      <c r="D1241" s="2" t="s">
        <v>21592</v>
      </c>
      <c r="E1241" s="2">
        <v>729167.0</v>
      </c>
      <c r="F1241" s="2">
        <v>58.0</v>
      </c>
      <c r="G1241" s="2">
        <v>4969.0</v>
      </c>
      <c r="H1241" s="2" t="s">
        <v>5906</v>
      </c>
      <c r="I1241" s="2" t="s">
        <v>5906</v>
      </c>
      <c r="J1241" s="2" t="s">
        <v>5959</v>
      </c>
      <c r="K1241" s="2" t="s">
        <v>21593</v>
      </c>
      <c r="L1241" s="10" t="s">
        <v>21594</v>
      </c>
    </row>
    <row r="1242">
      <c r="A1242" s="2" t="s">
        <v>4480</v>
      </c>
      <c r="B1242" s="2" t="s">
        <v>21595</v>
      </c>
      <c r="C1242" s="2">
        <v>2.121667073E9</v>
      </c>
      <c r="D1242" s="2" t="s">
        <v>21596</v>
      </c>
      <c r="E1242" s="2">
        <v>50741.0</v>
      </c>
      <c r="F1242" s="2">
        <v>348.0</v>
      </c>
      <c r="G1242" s="2">
        <v>480.0</v>
      </c>
      <c r="H1242" s="2" t="s">
        <v>5906</v>
      </c>
      <c r="I1242" s="2" t="s">
        <v>5906</v>
      </c>
      <c r="J1242" s="2" t="s">
        <v>6027</v>
      </c>
      <c r="K1242" s="2" t="s">
        <v>21597</v>
      </c>
      <c r="L1242" s="10" t="s">
        <v>21598</v>
      </c>
    </row>
    <row r="1243">
      <c r="A1243" s="2" t="s">
        <v>4480</v>
      </c>
      <c r="B1243" s="2" t="s">
        <v>21599</v>
      </c>
      <c r="C1243" s="2">
        <v>6.2078429474E10</v>
      </c>
      <c r="E1243" s="2">
        <v>52761.0</v>
      </c>
      <c r="F1243" s="2">
        <v>4.0</v>
      </c>
      <c r="G1243" s="2">
        <v>183.0</v>
      </c>
      <c r="H1243" s="2" t="s">
        <v>5905</v>
      </c>
      <c r="I1243" s="2" t="s">
        <v>5906</v>
      </c>
      <c r="J1243" s="2" t="s">
        <v>5959</v>
      </c>
      <c r="K1243" s="2" t="s">
        <v>21600</v>
      </c>
    </row>
    <row r="1244">
      <c r="A1244" s="2" t="s">
        <v>4480</v>
      </c>
      <c r="B1244" s="2" t="s">
        <v>21601</v>
      </c>
      <c r="C1244" s="2">
        <v>8.264696501E9</v>
      </c>
      <c r="D1244" s="2" t="s">
        <v>21602</v>
      </c>
      <c r="E1244" s="2">
        <v>19291.0</v>
      </c>
      <c r="F1244" s="2">
        <v>570.0</v>
      </c>
      <c r="G1244" s="2">
        <v>870.0</v>
      </c>
      <c r="H1244" s="2" t="s">
        <v>5905</v>
      </c>
      <c r="I1244" s="2" t="s">
        <v>5906</v>
      </c>
      <c r="J1244" s="2" t="s">
        <v>5391</v>
      </c>
      <c r="K1244" s="2" t="s">
        <v>21603</v>
      </c>
      <c r="L1244" s="10" t="s">
        <v>21604</v>
      </c>
    </row>
    <row r="1245">
      <c r="A1245" s="2" t="s">
        <v>4480</v>
      </c>
      <c r="B1245" s="2" t="s">
        <v>21605</v>
      </c>
      <c r="C1245" s="2">
        <v>3.087534551E9</v>
      </c>
      <c r="D1245" s="2" t="s">
        <v>21606</v>
      </c>
      <c r="E1245" s="2">
        <v>32344.0</v>
      </c>
      <c r="F1245" s="2">
        <v>10.0</v>
      </c>
      <c r="G1245" s="2">
        <v>417.0</v>
      </c>
      <c r="H1245" s="2" t="s">
        <v>5905</v>
      </c>
      <c r="I1245" s="2" t="s">
        <v>5905</v>
      </c>
      <c r="J1245" s="2" t="s">
        <v>8878</v>
      </c>
      <c r="K1245" s="2" t="s">
        <v>21607</v>
      </c>
      <c r="L1245" s="10" t="s">
        <v>21608</v>
      </c>
    </row>
    <row r="1246">
      <c r="A1246" s="2" t="s">
        <v>4480</v>
      </c>
      <c r="B1246" s="2" t="s">
        <v>21609</v>
      </c>
      <c r="C1246" s="2">
        <v>2.1006544E7</v>
      </c>
      <c r="D1246" s="2" t="s">
        <v>21610</v>
      </c>
      <c r="E1246" s="2">
        <v>54066.0</v>
      </c>
      <c r="F1246" s="2">
        <v>1104.0</v>
      </c>
      <c r="G1246" s="2">
        <v>2512.0</v>
      </c>
      <c r="H1246" s="2" t="s">
        <v>5905</v>
      </c>
      <c r="I1246" s="2" t="s">
        <v>5905</v>
      </c>
      <c r="J1246" s="2" t="s">
        <v>5561</v>
      </c>
      <c r="K1246" s="2" t="s">
        <v>21611</v>
      </c>
      <c r="L1246" s="10" t="s">
        <v>21612</v>
      </c>
    </row>
    <row r="1247">
      <c r="A1247" s="2" t="s">
        <v>4480</v>
      </c>
      <c r="B1247" s="2" t="s">
        <v>21613</v>
      </c>
      <c r="C1247" s="2">
        <v>4.716117113E9</v>
      </c>
      <c r="D1247" s="2" t="s">
        <v>21614</v>
      </c>
      <c r="E1247" s="2">
        <v>36548.0</v>
      </c>
      <c r="F1247" s="2">
        <v>4861.0</v>
      </c>
      <c r="G1247" s="2">
        <v>1982.0</v>
      </c>
      <c r="H1247" s="2" t="s">
        <v>5906</v>
      </c>
      <c r="I1247" s="2" t="s">
        <v>5906</v>
      </c>
      <c r="J1247" s="2" t="s">
        <v>5959</v>
      </c>
      <c r="K1247" s="2" t="s">
        <v>21615</v>
      </c>
      <c r="L1247" s="10" t="s">
        <v>21616</v>
      </c>
    </row>
    <row r="1248">
      <c r="A1248" s="2" t="s">
        <v>4480</v>
      </c>
      <c r="B1248" s="2" t="s">
        <v>21617</v>
      </c>
      <c r="C1248" s="2">
        <v>3.27991192E8</v>
      </c>
      <c r="D1248" s="2" t="s">
        <v>21618</v>
      </c>
      <c r="E1248" s="2">
        <v>211554.0</v>
      </c>
      <c r="F1248" s="2">
        <v>448.0</v>
      </c>
      <c r="G1248" s="2">
        <v>6028.0</v>
      </c>
      <c r="H1248" s="2" t="s">
        <v>5906</v>
      </c>
      <c r="I1248" s="2" t="s">
        <v>5906</v>
      </c>
      <c r="J1248" s="2" t="s">
        <v>5911</v>
      </c>
      <c r="K1248" s="2" t="s">
        <v>21619</v>
      </c>
      <c r="L1248" s="10" t="s">
        <v>21620</v>
      </c>
    </row>
    <row r="1249">
      <c r="A1249" s="2" t="s">
        <v>4480</v>
      </c>
      <c r="B1249" s="2" t="s">
        <v>21621</v>
      </c>
      <c r="C1249" s="2">
        <v>6.486205087E9</v>
      </c>
      <c r="D1249" s="2" t="s">
        <v>21622</v>
      </c>
      <c r="E1249" s="2">
        <v>375723.0</v>
      </c>
      <c r="F1249" s="2">
        <v>0.0</v>
      </c>
      <c r="G1249" s="2">
        <v>2208.0</v>
      </c>
      <c r="H1249" s="2" t="s">
        <v>5906</v>
      </c>
      <c r="I1249" s="2" t="s">
        <v>5906</v>
      </c>
      <c r="J1249" s="2" t="s">
        <v>5561</v>
      </c>
      <c r="K1249" s="2" t="s">
        <v>21623</v>
      </c>
      <c r="L1249" s="10" t="s">
        <v>21624</v>
      </c>
    </row>
    <row r="1250">
      <c r="A1250" s="2" t="s">
        <v>4480</v>
      </c>
      <c r="B1250" s="2" t="s">
        <v>21625</v>
      </c>
      <c r="C1250" s="2">
        <v>3.70467744E8</v>
      </c>
      <c r="D1250" s="2" t="s">
        <v>21626</v>
      </c>
      <c r="E1250" s="2">
        <v>78176.0</v>
      </c>
      <c r="F1250" s="2">
        <v>781.0</v>
      </c>
      <c r="G1250" s="2">
        <v>592.0</v>
      </c>
      <c r="H1250" s="2" t="s">
        <v>5906</v>
      </c>
      <c r="I1250" s="2" t="s">
        <v>5906</v>
      </c>
      <c r="L1250" s="10" t="s">
        <v>21627</v>
      </c>
    </row>
    <row r="1251">
      <c r="A1251" s="2" t="s">
        <v>4480</v>
      </c>
      <c r="B1251" s="2" t="s">
        <v>21628</v>
      </c>
      <c r="C1251" s="2">
        <v>1.489219131E9</v>
      </c>
      <c r="D1251" s="2" t="s">
        <v>21629</v>
      </c>
      <c r="E1251" s="2">
        <v>12661.0</v>
      </c>
      <c r="F1251" s="2">
        <v>1817.0</v>
      </c>
      <c r="G1251" s="2">
        <v>779.0</v>
      </c>
      <c r="H1251" s="2" t="s">
        <v>5905</v>
      </c>
      <c r="I1251" s="2" t="s">
        <v>5906</v>
      </c>
      <c r="J1251" s="2" t="s">
        <v>4404</v>
      </c>
      <c r="K1251" s="2" t="s">
        <v>21630</v>
      </c>
      <c r="L1251" s="10" t="s">
        <v>21631</v>
      </c>
    </row>
    <row r="1252">
      <c r="A1252" s="2" t="s">
        <v>4480</v>
      </c>
      <c r="B1252" s="2" t="s">
        <v>21632</v>
      </c>
      <c r="C1252" s="2">
        <v>2.5222346199E10</v>
      </c>
      <c r="D1252" s="2" t="s">
        <v>21633</v>
      </c>
      <c r="E1252" s="2">
        <v>30952.0</v>
      </c>
      <c r="F1252" s="2">
        <v>107.0</v>
      </c>
      <c r="G1252" s="2">
        <v>677.0</v>
      </c>
      <c r="H1252" s="2" t="s">
        <v>5905</v>
      </c>
      <c r="I1252" s="2" t="s">
        <v>5905</v>
      </c>
      <c r="J1252" s="2" t="s">
        <v>5993</v>
      </c>
      <c r="K1252" s="2" t="s">
        <v>21634</v>
      </c>
      <c r="L1252" s="10" t="s">
        <v>21635</v>
      </c>
    </row>
    <row r="1253">
      <c r="A1253" s="2" t="s">
        <v>4480</v>
      </c>
      <c r="B1253" s="2" t="s">
        <v>21636</v>
      </c>
      <c r="C1253" s="2">
        <v>7.53145181E8</v>
      </c>
      <c r="D1253" s="2" t="s">
        <v>21637</v>
      </c>
      <c r="E1253" s="2">
        <v>114860.0</v>
      </c>
      <c r="F1253" s="2">
        <v>1114.0</v>
      </c>
      <c r="G1253" s="2">
        <v>11163.0</v>
      </c>
      <c r="H1253" s="2" t="s">
        <v>5905</v>
      </c>
      <c r="I1253" s="2" t="s">
        <v>5906</v>
      </c>
      <c r="J1253" s="2" t="s">
        <v>5907</v>
      </c>
      <c r="K1253" s="2" t="s">
        <v>21638</v>
      </c>
      <c r="L1253" s="10" t="s">
        <v>21639</v>
      </c>
    </row>
    <row r="1254">
      <c r="A1254" s="2" t="s">
        <v>4480</v>
      </c>
      <c r="B1254" s="2" t="s">
        <v>9181</v>
      </c>
      <c r="C1254" s="2">
        <v>1.90712515E8</v>
      </c>
      <c r="D1254" s="2" t="s">
        <v>5349</v>
      </c>
      <c r="E1254" s="2">
        <v>989975.0</v>
      </c>
      <c r="F1254" s="2">
        <v>602.0</v>
      </c>
      <c r="G1254" s="2">
        <v>17356.0</v>
      </c>
      <c r="H1254" s="2" t="s">
        <v>5906</v>
      </c>
      <c r="I1254" s="2" t="s">
        <v>5906</v>
      </c>
      <c r="K1254" s="2" t="s">
        <v>9182</v>
      </c>
      <c r="L1254" s="10" t="s">
        <v>9183</v>
      </c>
    </row>
    <row r="1255">
      <c r="A1255" s="2" t="s">
        <v>4480</v>
      </c>
      <c r="B1255" s="2" t="s">
        <v>21640</v>
      </c>
      <c r="C1255" s="2">
        <v>5.7147373559E10</v>
      </c>
      <c r="D1255" s="2" t="s">
        <v>21641</v>
      </c>
      <c r="E1255" s="2">
        <v>106416.0</v>
      </c>
      <c r="F1255" s="2">
        <v>294.0</v>
      </c>
      <c r="G1255" s="2">
        <v>316.0</v>
      </c>
      <c r="H1255" s="2" t="s">
        <v>5905</v>
      </c>
      <c r="I1255" s="2" t="s">
        <v>5905</v>
      </c>
      <c r="J1255" s="2" t="s">
        <v>5959</v>
      </c>
      <c r="L1255" s="10" t="s">
        <v>21642</v>
      </c>
    </row>
    <row r="1256">
      <c r="A1256" s="2" t="s">
        <v>4712</v>
      </c>
      <c r="B1256" s="2" t="s">
        <v>21643</v>
      </c>
      <c r="C1256" s="2">
        <v>8.202653915E9</v>
      </c>
      <c r="D1256" s="2" t="s">
        <v>21644</v>
      </c>
      <c r="E1256" s="2">
        <v>13429.0</v>
      </c>
      <c r="F1256" s="2">
        <v>61.0</v>
      </c>
      <c r="G1256" s="2">
        <v>105.0</v>
      </c>
      <c r="H1256" s="2" t="s">
        <v>5905</v>
      </c>
      <c r="I1256" s="2" t="s">
        <v>5906</v>
      </c>
      <c r="J1256" s="2" t="s">
        <v>4404</v>
      </c>
      <c r="K1256" s="2" t="s">
        <v>21645</v>
      </c>
    </row>
    <row r="1257">
      <c r="A1257" s="2" t="s">
        <v>4712</v>
      </c>
      <c r="B1257" s="2" t="s">
        <v>21646</v>
      </c>
      <c r="C1257" s="2">
        <v>6.5158165896E10</v>
      </c>
      <c r="D1257" s="2" t="s">
        <v>21647</v>
      </c>
      <c r="E1257" s="2">
        <v>18471.0</v>
      </c>
      <c r="F1257" s="2">
        <v>906.0</v>
      </c>
      <c r="G1257" s="2">
        <v>432.0</v>
      </c>
      <c r="H1257" s="2" t="s">
        <v>5905</v>
      </c>
      <c r="I1257" s="2" t="s">
        <v>5905</v>
      </c>
      <c r="J1257" s="2" t="s">
        <v>8615</v>
      </c>
      <c r="K1257" s="2" t="s">
        <v>21648</v>
      </c>
      <c r="L1257" s="10" t="s">
        <v>21649</v>
      </c>
    </row>
    <row r="1258">
      <c r="A1258" s="2" t="s">
        <v>4559</v>
      </c>
      <c r="B1258" s="2" t="s">
        <v>21650</v>
      </c>
      <c r="C1258" s="2">
        <v>7.307713004E9</v>
      </c>
      <c r="D1258" s="2" t="s">
        <v>21651</v>
      </c>
      <c r="E1258" s="2">
        <v>2225111.0</v>
      </c>
      <c r="F1258" s="2">
        <v>1471.0</v>
      </c>
      <c r="G1258" s="2">
        <v>1051.0</v>
      </c>
      <c r="H1258" s="2" t="s">
        <v>5906</v>
      </c>
      <c r="I1258" s="2" t="s">
        <v>5906</v>
      </c>
      <c r="J1258" s="2" t="s">
        <v>5963</v>
      </c>
      <c r="K1258" s="2" t="s">
        <v>21652</v>
      </c>
      <c r="L1258" s="10" t="s">
        <v>21653</v>
      </c>
    </row>
    <row r="1259">
      <c r="A1259" s="2" t="s">
        <v>4559</v>
      </c>
      <c r="B1259" s="2" t="s">
        <v>21654</v>
      </c>
      <c r="C1259" s="2">
        <v>3.93021549E9</v>
      </c>
      <c r="D1259" s="2" t="s">
        <v>21655</v>
      </c>
      <c r="E1259" s="2">
        <v>22525.0</v>
      </c>
      <c r="F1259" s="2">
        <v>7497.0</v>
      </c>
      <c r="G1259" s="2">
        <v>1268.0</v>
      </c>
      <c r="H1259" s="2" t="s">
        <v>5906</v>
      </c>
      <c r="I1259" s="2" t="s">
        <v>5905</v>
      </c>
      <c r="J1259" s="2" t="s">
        <v>5492</v>
      </c>
      <c r="K1259" s="2" t="s">
        <v>21656</v>
      </c>
    </row>
    <row r="1260">
      <c r="A1260" s="2" t="s">
        <v>4559</v>
      </c>
      <c r="B1260" s="2" t="s">
        <v>21657</v>
      </c>
      <c r="C1260" s="2">
        <v>5.5384779335E10</v>
      </c>
      <c r="D1260" s="2" t="s">
        <v>21658</v>
      </c>
      <c r="E1260" s="2">
        <v>364718.0</v>
      </c>
      <c r="F1260" s="2">
        <v>2.0</v>
      </c>
      <c r="G1260" s="2">
        <v>338.0</v>
      </c>
      <c r="H1260" s="2" t="s">
        <v>5905</v>
      </c>
      <c r="I1260" s="2" t="s">
        <v>5905</v>
      </c>
      <c r="J1260" s="2" t="s">
        <v>6414</v>
      </c>
      <c r="K1260" s="2" t="s">
        <v>21659</v>
      </c>
      <c r="L1260" s="10" t="s">
        <v>21660</v>
      </c>
    </row>
    <row r="1261">
      <c r="A1261" s="2" t="s">
        <v>4559</v>
      </c>
      <c r="B1261" s="2" t="s">
        <v>21661</v>
      </c>
      <c r="C1261" s="2">
        <v>5.1058986148E10</v>
      </c>
      <c r="D1261" s="2" t="s">
        <v>21662</v>
      </c>
      <c r="E1261" s="2">
        <v>685485.0</v>
      </c>
      <c r="F1261" s="2">
        <v>15.0</v>
      </c>
      <c r="G1261" s="2">
        <v>403.0</v>
      </c>
      <c r="H1261" s="2" t="s">
        <v>5905</v>
      </c>
      <c r="I1261" s="2" t="s">
        <v>5905</v>
      </c>
      <c r="J1261" s="2" t="s">
        <v>5959</v>
      </c>
      <c r="K1261" s="2" t="s">
        <v>21663</v>
      </c>
      <c r="L1261" s="10" t="s">
        <v>21664</v>
      </c>
    </row>
    <row r="1262">
      <c r="A1262" s="2" t="s">
        <v>4559</v>
      </c>
      <c r="B1262" s="2" t="s">
        <v>4559</v>
      </c>
      <c r="C1262" s="2">
        <v>3.50434543E8</v>
      </c>
      <c r="D1262" s="2" t="s">
        <v>5563</v>
      </c>
      <c r="E1262" s="2">
        <v>100984.0</v>
      </c>
      <c r="F1262" s="2">
        <v>635.0</v>
      </c>
      <c r="G1262" s="2">
        <v>396.0</v>
      </c>
      <c r="H1262" s="2" t="s">
        <v>5906</v>
      </c>
      <c r="I1262" s="2" t="s">
        <v>5906</v>
      </c>
      <c r="K1262" s="2" t="s">
        <v>9192</v>
      </c>
      <c r="L1262" s="10" t="s">
        <v>9193</v>
      </c>
    </row>
    <row r="1263">
      <c r="A1263" s="2" t="s">
        <v>4559</v>
      </c>
      <c r="B1263" s="2" t="s">
        <v>21665</v>
      </c>
      <c r="C1263" s="2">
        <v>2.872181676E9</v>
      </c>
      <c r="D1263" s="2" t="s">
        <v>21666</v>
      </c>
      <c r="E1263" s="2">
        <v>258882.0</v>
      </c>
      <c r="F1263" s="2">
        <v>1753.0</v>
      </c>
      <c r="G1263" s="2">
        <v>3343.0</v>
      </c>
      <c r="H1263" s="2" t="s">
        <v>5905</v>
      </c>
      <c r="I1263" s="2" t="s">
        <v>5906</v>
      </c>
      <c r="J1263" s="2" t="s">
        <v>6882</v>
      </c>
      <c r="K1263" s="2" t="s">
        <v>21667</v>
      </c>
      <c r="L1263" s="10" t="s">
        <v>21668</v>
      </c>
    </row>
    <row r="1264">
      <c r="A1264" s="2" t="s">
        <v>4559</v>
      </c>
      <c r="B1264" s="10" t="s">
        <v>21669</v>
      </c>
      <c r="C1264" s="2">
        <v>1.0717829863E10</v>
      </c>
      <c r="D1264" s="2" t="s">
        <v>21670</v>
      </c>
      <c r="E1264" s="2">
        <v>52071.0</v>
      </c>
      <c r="F1264" s="2">
        <v>7.0</v>
      </c>
      <c r="G1264" s="2">
        <v>64.0</v>
      </c>
      <c r="H1264" s="2" t="s">
        <v>5905</v>
      </c>
      <c r="I1264" s="2" t="s">
        <v>5906</v>
      </c>
      <c r="J1264" s="2" t="s">
        <v>6002</v>
      </c>
      <c r="K1264" s="2" t="s">
        <v>21671</v>
      </c>
      <c r="L1264" s="10" t="s">
        <v>21672</v>
      </c>
    </row>
    <row r="1265">
      <c r="A1265" s="2" t="s">
        <v>4559</v>
      </c>
      <c r="B1265" s="2" t="s">
        <v>9194</v>
      </c>
      <c r="C1265" s="2">
        <v>2.4322698224E10</v>
      </c>
      <c r="D1265" s="2" t="s">
        <v>9195</v>
      </c>
      <c r="E1265" s="2">
        <v>5208984.0</v>
      </c>
      <c r="F1265" s="2">
        <v>84.0</v>
      </c>
      <c r="G1265" s="2">
        <v>2275.0</v>
      </c>
      <c r="H1265" s="2" t="s">
        <v>5906</v>
      </c>
      <c r="I1265" s="2" t="s">
        <v>5905</v>
      </c>
      <c r="K1265" s="2" t="s">
        <v>9196</v>
      </c>
      <c r="L1265" s="10" t="s">
        <v>9197</v>
      </c>
    </row>
    <row r="1266">
      <c r="A1266" s="2" t="s">
        <v>4559</v>
      </c>
      <c r="B1266" s="2" t="s">
        <v>21673</v>
      </c>
      <c r="C1266" s="2">
        <v>8.334108729E9</v>
      </c>
      <c r="D1266" s="2" t="s">
        <v>21674</v>
      </c>
      <c r="E1266" s="2">
        <v>1995260.0</v>
      </c>
      <c r="F1266" s="2">
        <v>5.0</v>
      </c>
      <c r="G1266" s="2">
        <v>763.0</v>
      </c>
      <c r="H1266" s="2" t="s">
        <v>5906</v>
      </c>
      <c r="I1266" s="2" t="s">
        <v>5906</v>
      </c>
      <c r="J1266" s="2" t="s">
        <v>5391</v>
      </c>
      <c r="K1266" s="2" t="s">
        <v>21675</v>
      </c>
      <c r="L1266" s="10" t="s">
        <v>21676</v>
      </c>
    </row>
    <row r="1267">
      <c r="A1267" s="2" t="s">
        <v>4559</v>
      </c>
      <c r="B1267" s="2" t="s">
        <v>21677</v>
      </c>
      <c r="C1267" s="2">
        <v>3.12922176E8</v>
      </c>
      <c r="D1267" s="2" t="s">
        <v>21678</v>
      </c>
      <c r="E1267" s="2">
        <v>45562.0</v>
      </c>
      <c r="F1267" s="2">
        <v>1380.0</v>
      </c>
      <c r="G1267" s="2">
        <v>1160.0</v>
      </c>
      <c r="H1267" s="2" t="s">
        <v>5905</v>
      </c>
      <c r="I1267" s="2" t="s">
        <v>5906</v>
      </c>
      <c r="J1267" s="2" t="s">
        <v>5492</v>
      </c>
      <c r="K1267" s="2" t="s">
        <v>21679</v>
      </c>
      <c r="L1267" s="10" t="s">
        <v>21680</v>
      </c>
    </row>
    <row r="1268">
      <c r="A1268" s="2" t="s">
        <v>4570</v>
      </c>
      <c r="B1268" s="2" t="s">
        <v>21681</v>
      </c>
      <c r="C1268" s="2">
        <v>5.80737719E9</v>
      </c>
      <c r="D1268" s="2" t="s">
        <v>21682</v>
      </c>
      <c r="E1268" s="2">
        <v>16068.0</v>
      </c>
      <c r="F1268" s="2">
        <v>39.0</v>
      </c>
      <c r="G1268" s="2">
        <v>335.0</v>
      </c>
      <c r="H1268" s="2" t="s">
        <v>5905</v>
      </c>
      <c r="I1268" s="2" t="s">
        <v>5905</v>
      </c>
      <c r="K1268" s="2" t="s">
        <v>21683</v>
      </c>
      <c r="L1268" s="10" t="s">
        <v>21684</v>
      </c>
    </row>
    <row r="1269">
      <c r="A1269" s="2" t="s">
        <v>4570</v>
      </c>
      <c r="B1269" s="2" t="s">
        <v>21685</v>
      </c>
      <c r="C1269" s="2">
        <v>2.21114008E9</v>
      </c>
      <c r="D1269" s="2" t="s">
        <v>21686</v>
      </c>
      <c r="E1269" s="2">
        <v>2304433.0</v>
      </c>
      <c r="F1269" s="2">
        <v>460.0</v>
      </c>
      <c r="G1269" s="2">
        <v>7325.0</v>
      </c>
      <c r="H1269" s="2" t="s">
        <v>5906</v>
      </c>
      <c r="I1269" s="2" t="s">
        <v>5905</v>
      </c>
      <c r="J1269" s="2" t="s">
        <v>5928</v>
      </c>
      <c r="K1269" s="2" t="s">
        <v>21687</v>
      </c>
      <c r="L1269" s="10" t="s">
        <v>21688</v>
      </c>
    </row>
    <row r="1270">
      <c r="A1270" s="2" t="s">
        <v>4570</v>
      </c>
      <c r="B1270" s="2" t="s">
        <v>21689</v>
      </c>
      <c r="C1270" s="2">
        <v>3.74477788E8</v>
      </c>
      <c r="D1270" s="2" t="s">
        <v>21690</v>
      </c>
      <c r="E1270" s="2">
        <v>719571.0</v>
      </c>
      <c r="F1270" s="2">
        <v>8.0</v>
      </c>
      <c r="G1270" s="2">
        <v>453.0</v>
      </c>
      <c r="H1270" s="2" t="s">
        <v>5905</v>
      </c>
      <c r="I1270" s="2" t="s">
        <v>5905</v>
      </c>
      <c r="J1270" s="2" t="s">
        <v>5959</v>
      </c>
      <c r="K1270" s="2" t="s">
        <v>21691</v>
      </c>
      <c r="L1270" s="10" t="s">
        <v>21692</v>
      </c>
    </row>
    <row r="1271">
      <c r="A1271" s="2" t="s">
        <v>4570</v>
      </c>
      <c r="B1271" s="2" t="s">
        <v>21693</v>
      </c>
      <c r="C1271" s="2">
        <v>4.9359788136E10</v>
      </c>
      <c r="D1271" s="2" t="s">
        <v>21694</v>
      </c>
      <c r="E1271" s="2">
        <v>1103747.0</v>
      </c>
      <c r="F1271" s="2">
        <v>334.0</v>
      </c>
      <c r="G1271" s="2">
        <v>1341.0</v>
      </c>
      <c r="H1271" s="2" t="s">
        <v>5905</v>
      </c>
      <c r="I1271" s="2" t="s">
        <v>5905</v>
      </c>
      <c r="J1271" s="2" t="s">
        <v>5561</v>
      </c>
      <c r="K1271" s="2" t="s">
        <v>21695</v>
      </c>
    </row>
    <row r="1272">
      <c r="A1272" s="2" t="s">
        <v>4570</v>
      </c>
      <c r="B1272" s="2" t="s">
        <v>21696</v>
      </c>
      <c r="C1272" s="2">
        <v>6.480843241E9</v>
      </c>
      <c r="D1272" s="2" t="s">
        <v>21697</v>
      </c>
      <c r="E1272" s="2">
        <v>1205729.0</v>
      </c>
      <c r="F1272" s="2">
        <v>1529.0</v>
      </c>
      <c r="G1272" s="2">
        <v>6155.0</v>
      </c>
      <c r="H1272" s="2" t="s">
        <v>5906</v>
      </c>
      <c r="I1272" s="2" t="s">
        <v>5905</v>
      </c>
      <c r="J1272" s="2" t="s">
        <v>6161</v>
      </c>
      <c r="K1272" s="2" t="s">
        <v>21698</v>
      </c>
      <c r="L1272" s="10" t="s">
        <v>21699</v>
      </c>
    </row>
    <row r="1273">
      <c r="A1273" s="2" t="s">
        <v>4570</v>
      </c>
      <c r="B1273" s="2" t="s">
        <v>21700</v>
      </c>
      <c r="C1273" s="2">
        <v>4.6476248699E10</v>
      </c>
      <c r="D1273" s="2" t="s">
        <v>21701</v>
      </c>
      <c r="E1273" s="2">
        <v>443466.0</v>
      </c>
      <c r="F1273" s="2">
        <v>8.0</v>
      </c>
      <c r="G1273" s="2">
        <v>468.0</v>
      </c>
      <c r="H1273" s="2" t="s">
        <v>5906</v>
      </c>
      <c r="I1273" s="2" t="s">
        <v>5906</v>
      </c>
      <c r="J1273" s="2" t="s">
        <v>5561</v>
      </c>
      <c r="K1273" s="2" t="s">
        <v>21702</v>
      </c>
      <c r="L1273" s="10" t="s">
        <v>21703</v>
      </c>
    </row>
    <row r="1274">
      <c r="A1274" s="2" t="s">
        <v>4570</v>
      </c>
      <c r="B1274" s="2" t="s">
        <v>21704</v>
      </c>
      <c r="C1274" s="2">
        <v>3.4249029578E10</v>
      </c>
      <c r="D1274" s="2" t="s">
        <v>21705</v>
      </c>
      <c r="E1274" s="2">
        <v>1046909.0</v>
      </c>
      <c r="F1274" s="2">
        <v>98.0</v>
      </c>
      <c r="G1274" s="2">
        <v>1881.0</v>
      </c>
      <c r="H1274" s="2" t="s">
        <v>5906</v>
      </c>
      <c r="I1274" s="2" t="s">
        <v>5905</v>
      </c>
      <c r="J1274" s="2" t="s">
        <v>5911</v>
      </c>
      <c r="K1274" s="2" t="s">
        <v>21706</v>
      </c>
      <c r="L1274" s="10" t="s">
        <v>21707</v>
      </c>
    </row>
    <row r="1275">
      <c r="A1275" s="2" t="s">
        <v>4570</v>
      </c>
      <c r="B1275" s="2" t="s">
        <v>21708</v>
      </c>
      <c r="C1275" s="2">
        <v>5.795151407E9</v>
      </c>
      <c r="D1275" s="2" t="s">
        <v>21709</v>
      </c>
      <c r="E1275" s="2">
        <v>61901.0</v>
      </c>
      <c r="F1275" s="2">
        <v>94.0</v>
      </c>
      <c r="G1275" s="2">
        <v>86.0</v>
      </c>
      <c r="H1275" s="2" t="s">
        <v>5905</v>
      </c>
      <c r="I1275" s="2" t="s">
        <v>5906</v>
      </c>
      <c r="J1275" s="2" t="s">
        <v>5959</v>
      </c>
      <c r="K1275" s="2" t="s">
        <v>21710</v>
      </c>
      <c r="L1275" s="10" t="s">
        <v>21711</v>
      </c>
    </row>
    <row r="1276">
      <c r="A1276" s="2" t="s">
        <v>4570</v>
      </c>
      <c r="B1276" s="2" t="s">
        <v>21712</v>
      </c>
      <c r="C1276" s="2">
        <v>6.415667006E9</v>
      </c>
      <c r="D1276" s="2" t="s">
        <v>21713</v>
      </c>
      <c r="E1276" s="2">
        <v>649969.0</v>
      </c>
      <c r="F1276" s="2">
        <v>0.0</v>
      </c>
      <c r="G1276" s="2">
        <v>11742.0</v>
      </c>
      <c r="H1276" s="2" t="s">
        <v>5905</v>
      </c>
      <c r="I1276" s="2" t="s">
        <v>5905</v>
      </c>
      <c r="J1276" s="2" t="s">
        <v>21714</v>
      </c>
      <c r="K1276" s="2" t="s">
        <v>21715</v>
      </c>
      <c r="L1276" s="10" t="s">
        <v>21716</v>
      </c>
    </row>
    <row r="1277">
      <c r="A1277" s="2" t="s">
        <v>4570</v>
      </c>
      <c r="B1277" s="2" t="s">
        <v>21717</v>
      </c>
      <c r="C1277" s="2">
        <v>1.588414255E9</v>
      </c>
      <c r="D1277" s="2" t="s">
        <v>21718</v>
      </c>
      <c r="E1277" s="2">
        <v>569118.0</v>
      </c>
      <c r="F1277" s="2">
        <v>399.0</v>
      </c>
      <c r="G1277" s="2">
        <v>5048.0</v>
      </c>
      <c r="H1277" s="2" t="s">
        <v>5905</v>
      </c>
      <c r="I1277" s="2" t="s">
        <v>5905</v>
      </c>
      <c r="J1277" s="2" t="s">
        <v>5561</v>
      </c>
    </row>
    <row r="1278">
      <c r="A1278" s="2" t="s">
        <v>4570</v>
      </c>
      <c r="B1278" s="2" t="s">
        <v>21719</v>
      </c>
      <c r="C1278" s="2">
        <v>5.877634848E9</v>
      </c>
      <c r="D1278" s="2" t="s">
        <v>21720</v>
      </c>
      <c r="E1278" s="2">
        <v>363789.0</v>
      </c>
      <c r="F1278" s="2">
        <v>1874.0</v>
      </c>
      <c r="G1278" s="2">
        <v>2371.0</v>
      </c>
      <c r="H1278" s="2" t="s">
        <v>5905</v>
      </c>
      <c r="I1278" s="2" t="s">
        <v>5906</v>
      </c>
      <c r="J1278" s="2" t="s">
        <v>7689</v>
      </c>
      <c r="K1278" s="2" t="s">
        <v>21721</v>
      </c>
    </row>
    <row r="1279">
      <c r="A1279" s="2" t="s">
        <v>4681</v>
      </c>
      <c r="B1279" s="2" t="s">
        <v>21722</v>
      </c>
      <c r="C1279" s="2">
        <v>4.9163516478E10</v>
      </c>
      <c r="D1279" s="2" t="s">
        <v>21723</v>
      </c>
      <c r="E1279" s="2">
        <v>26979.0</v>
      </c>
      <c r="F1279" s="2">
        <v>17.0</v>
      </c>
      <c r="G1279" s="2">
        <v>158.0</v>
      </c>
      <c r="H1279" s="2" t="s">
        <v>5906</v>
      </c>
      <c r="I1279" s="2" t="s">
        <v>5905</v>
      </c>
      <c r="J1279" s="2" t="s">
        <v>5959</v>
      </c>
      <c r="K1279" s="2" t="s">
        <v>21724</v>
      </c>
    </row>
    <row r="1280">
      <c r="A1280" s="2" t="s">
        <v>4681</v>
      </c>
      <c r="B1280" s="2" t="s">
        <v>21725</v>
      </c>
      <c r="C1280" s="2">
        <v>8.36302634E9</v>
      </c>
      <c r="D1280" s="2" t="s">
        <v>21726</v>
      </c>
      <c r="E1280" s="2">
        <v>425461.0</v>
      </c>
      <c r="F1280" s="2">
        <v>7.0</v>
      </c>
      <c r="G1280" s="2">
        <v>4665.0</v>
      </c>
      <c r="H1280" s="2" t="s">
        <v>5905</v>
      </c>
      <c r="I1280" s="2" t="s">
        <v>5905</v>
      </c>
      <c r="J1280" s="2" t="s">
        <v>5968</v>
      </c>
      <c r="K1280" s="2" t="s">
        <v>21727</v>
      </c>
      <c r="L1280" s="10" t="s">
        <v>21728</v>
      </c>
    </row>
    <row r="1281">
      <c r="A1281" s="2" t="s">
        <v>4551</v>
      </c>
      <c r="B1281" s="2" t="s">
        <v>21729</v>
      </c>
      <c r="C1281" s="2">
        <v>1.6681401566E10</v>
      </c>
      <c r="D1281" s="2" t="s">
        <v>21730</v>
      </c>
      <c r="E1281" s="2">
        <v>44539.0</v>
      </c>
      <c r="F1281" s="2">
        <v>3861.0</v>
      </c>
      <c r="G1281" s="2">
        <v>685.0</v>
      </c>
      <c r="H1281" s="2" t="s">
        <v>5906</v>
      </c>
      <c r="I1281" s="2" t="s">
        <v>5905</v>
      </c>
      <c r="J1281" s="2" t="s">
        <v>8911</v>
      </c>
      <c r="K1281" s="2" t="s">
        <v>21731</v>
      </c>
      <c r="L1281" s="10" t="s">
        <v>21732</v>
      </c>
    </row>
    <row r="1282">
      <c r="A1282" s="2" t="s">
        <v>4551</v>
      </c>
      <c r="B1282" s="2" t="s">
        <v>21733</v>
      </c>
      <c r="C1282" s="2">
        <v>1.1156909448E10</v>
      </c>
      <c r="D1282" s="2" t="s">
        <v>21734</v>
      </c>
      <c r="E1282" s="2">
        <v>235321.0</v>
      </c>
      <c r="F1282" s="2">
        <v>2.0</v>
      </c>
      <c r="G1282" s="2">
        <v>1806.0</v>
      </c>
      <c r="H1282" s="2" t="s">
        <v>5905</v>
      </c>
      <c r="I1282" s="2" t="s">
        <v>5906</v>
      </c>
      <c r="J1282" s="2" t="s">
        <v>5959</v>
      </c>
      <c r="K1282" s="2" t="s">
        <v>21735</v>
      </c>
      <c r="L1282" s="10" t="s">
        <v>21736</v>
      </c>
    </row>
    <row r="1283">
      <c r="A1283" s="2" t="s">
        <v>4551</v>
      </c>
      <c r="B1283" s="2" t="s">
        <v>21737</v>
      </c>
      <c r="C1283" s="2">
        <v>5.1795732244E10</v>
      </c>
      <c r="D1283" s="2" t="s">
        <v>21738</v>
      </c>
      <c r="E1283" s="2">
        <v>275887.0</v>
      </c>
      <c r="F1283" s="2">
        <v>83.0</v>
      </c>
      <c r="G1283" s="2">
        <v>861.0</v>
      </c>
      <c r="H1283" s="2" t="s">
        <v>5906</v>
      </c>
      <c r="I1283" s="2" t="s">
        <v>5906</v>
      </c>
      <c r="J1283" s="2" t="s">
        <v>8911</v>
      </c>
      <c r="K1283" s="2" t="s">
        <v>21739</v>
      </c>
      <c r="L1283" s="10" t="s">
        <v>21740</v>
      </c>
    </row>
    <row r="1284">
      <c r="A1284" s="2" t="s">
        <v>4551</v>
      </c>
      <c r="B1284" s="2" t="s">
        <v>21741</v>
      </c>
      <c r="C1284" s="2">
        <v>1.419237E9</v>
      </c>
      <c r="D1284" s="2" t="s">
        <v>21742</v>
      </c>
      <c r="E1284" s="2">
        <v>1479693.0</v>
      </c>
      <c r="F1284" s="2">
        <v>1187.0</v>
      </c>
      <c r="G1284" s="2">
        <v>1100.0</v>
      </c>
      <c r="H1284" s="2" t="s">
        <v>5906</v>
      </c>
      <c r="I1284" s="2" t="s">
        <v>5906</v>
      </c>
      <c r="J1284" s="2" t="s">
        <v>21743</v>
      </c>
      <c r="K1284" s="2" t="s">
        <v>21744</v>
      </c>
      <c r="L1284" s="10" t="s">
        <v>21745</v>
      </c>
    </row>
    <row r="1285">
      <c r="A1285" s="2" t="s">
        <v>4551</v>
      </c>
      <c r="B1285" s="2" t="s">
        <v>21746</v>
      </c>
      <c r="C1285" s="2">
        <v>6.8650131222E10</v>
      </c>
      <c r="D1285" s="2" t="s">
        <v>21747</v>
      </c>
      <c r="E1285" s="2">
        <v>24689.0</v>
      </c>
      <c r="F1285" s="2">
        <v>1.0</v>
      </c>
      <c r="G1285" s="2">
        <v>60.0</v>
      </c>
      <c r="H1285" s="2" t="s">
        <v>5905</v>
      </c>
      <c r="I1285" s="2" t="s">
        <v>5905</v>
      </c>
      <c r="J1285" s="2" t="s">
        <v>5492</v>
      </c>
      <c r="L1285" s="10" t="s">
        <v>21748</v>
      </c>
    </row>
    <row r="1286">
      <c r="A1286" s="2" t="s">
        <v>4551</v>
      </c>
      <c r="B1286" s="2" t="s">
        <v>4551</v>
      </c>
      <c r="C1286" s="2">
        <v>3962207.0</v>
      </c>
      <c r="D1286" s="2" t="s">
        <v>21749</v>
      </c>
      <c r="E1286" s="2">
        <v>548760.0</v>
      </c>
      <c r="F1286" s="2">
        <v>59.0</v>
      </c>
      <c r="G1286" s="2">
        <v>1082.0</v>
      </c>
      <c r="H1286" s="2" t="s">
        <v>5906</v>
      </c>
      <c r="I1286" s="2" t="s">
        <v>5906</v>
      </c>
      <c r="J1286" s="2" t="s">
        <v>6414</v>
      </c>
      <c r="K1286" s="2" t="s">
        <v>21750</v>
      </c>
    </row>
    <row r="1287">
      <c r="A1287" s="2" t="s">
        <v>4551</v>
      </c>
      <c r="B1287" s="2" t="s">
        <v>21751</v>
      </c>
      <c r="C1287" s="2">
        <v>4.6585580684E10</v>
      </c>
      <c r="D1287" s="2" t="s">
        <v>21752</v>
      </c>
      <c r="E1287" s="2">
        <v>364496.0</v>
      </c>
      <c r="F1287" s="2">
        <v>49.0</v>
      </c>
      <c r="G1287" s="2">
        <v>237.0</v>
      </c>
      <c r="H1287" s="2" t="s">
        <v>5906</v>
      </c>
      <c r="I1287" s="2" t="s">
        <v>5905</v>
      </c>
      <c r="J1287" s="2" t="s">
        <v>21753</v>
      </c>
      <c r="K1287" s="12" t="s">
        <v>21754</v>
      </c>
      <c r="L1287" s="10" t="s">
        <v>21755</v>
      </c>
    </row>
    <row r="1288">
      <c r="A1288" s="2" t="s">
        <v>4551</v>
      </c>
      <c r="B1288" s="2" t="s">
        <v>21756</v>
      </c>
      <c r="C1288" s="2">
        <v>5.2364512089E10</v>
      </c>
      <c r="D1288" s="2" t="s">
        <v>21757</v>
      </c>
      <c r="E1288" s="2">
        <v>25642.0</v>
      </c>
      <c r="F1288" s="2">
        <v>213.0</v>
      </c>
      <c r="G1288" s="2">
        <v>203.0</v>
      </c>
      <c r="H1288" s="2" t="s">
        <v>5905</v>
      </c>
      <c r="I1288" s="2" t="s">
        <v>5906</v>
      </c>
      <c r="J1288" s="2" t="s">
        <v>12299</v>
      </c>
      <c r="K1288" s="12" t="s">
        <v>21758</v>
      </c>
      <c r="L1288" s="10" t="s">
        <v>21759</v>
      </c>
    </row>
    <row r="1289">
      <c r="A1289" s="2" t="s">
        <v>4551</v>
      </c>
      <c r="B1289" s="2" t="s">
        <v>21760</v>
      </c>
      <c r="C1289" s="2">
        <v>1.836455452E9</v>
      </c>
      <c r="D1289" s="2" t="s">
        <v>21761</v>
      </c>
      <c r="E1289" s="2">
        <v>2229286.0</v>
      </c>
      <c r="F1289" s="2">
        <v>757.0</v>
      </c>
      <c r="G1289" s="2">
        <v>6257.0</v>
      </c>
      <c r="H1289" s="2" t="s">
        <v>5905</v>
      </c>
      <c r="I1289" s="2" t="s">
        <v>5906</v>
      </c>
      <c r="J1289" s="2" t="s">
        <v>5561</v>
      </c>
      <c r="K1289" s="2" t="s">
        <v>21762</v>
      </c>
      <c r="L1289" s="10" t="s">
        <v>21763</v>
      </c>
    </row>
    <row r="1290">
      <c r="A1290" s="2" t="s">
        <v>4551</v>
      </c>
      <c r="B1290" s="2" t="s">
        <v>21764</v>
      </c>
      <c r="C1290" s="2">
        <v>2.328107499E9</v>
      </c>
      <c r="D1290" s="2" t="s">
        <v>21765</v>
      </c>
      <c r="E1290" s="2">
        <v>20385.0</v>
      </c>
      <c r="F1290" s="2">
        <v>303.0</v>
      </c>
      <c r="G1290" s="2">
        <v>129.0</v>
      </c>
      <c r="H1290" s="2" t="s">
        <v>5905</v>
      </c>
      <c r="I1290" s="2" t="s">
        <v>5906</v>
      </c>
      <c r="J1290" s="2" t="s">
        <v>17057</v>
      </c>
      <c r="K1290" s="12" t="s">
        <v>21766</v>
      </c>
    </row>
    <row r="1291">
      <c r="A1291" s="2" t="s">
        <v>4551</v>
      </c>
      <c r="B1291" s="2" t="s">
        <v>21767</v>
      </c>
      <c r="C1291" s="2">
        <v>1.0712581166E10</v>
      </c>
      <c r="D1291" s="2" t="s">
        <v>21768</v>
      </c>
      <c r="E1291" s="2">
        <v>1330105.0</v>
      </c>
      <c r="F1291" s="2">
        <v>60.0</v>
      </c>
      <c r="G1291" s="2">
        <v>3941.0</v>
      </c>
      <c r="H1291" s="2" t="s">
        <v>5906</v>
      </c>
      <c r="I1291" s="2" t="s">
        <v>5906</v>
      </c>
      <c r="J1291" s="2" t="s">
        <v>12299</v>
      </c>
      <c r="K1291" s="2" t="s">
        <v>21769</v>
      </c>
      <c r="L1291" s="10" t="s">
        <v>21770</v>
      </c>
    </row>
    <row r="1292">
      <c r="A1292" s="2" t="s">
        <v>4551</v>
      </c>
      <c r="B1292" s="2" t="s">
        <v>21771</v>
      </c>
      <c r="C1292" s="2">
        <v>6.1749900344E10</v>
      </c>
      <c r="D1292" s="2" t="s">
        <v>21772</v>
      </c>
      <c r="E1292" s="2">
        <v>177161.0</v>
      </c>
      <c r="F1292" s="2">
        <v>0.0</v>
      </c>
      <c r="G1292" s="2">
        <v>279.0</v>
      </c>
      <c r="H1292" s="2" t="s">
        <v>5906</v>
      </c>
      <c r="I1292" s="2" t="s">
        <v>5906</v>
      </c>
      <c r="J1292" s="2" t="s">
        <v>6166</v>
      </c>
      <c r="K1292" s="2" t="s">
        <v>21773</v>
      </c>
    </row>
    <row r="1293">
      <c r="A1293" s="2" t="s">
        <v>4551</v>
      </c>
      <c r="B1293" s="2" t="s">
        <v>21774</v>
      </c>
      <c r="C1293" s="2">
        <v>1.574762697E9</v>
      </c>
      <c r="D1293" s="2" t="s">
        <v>21775</v>
      </c>
      <c r="E1293" s="2">
        <v>100839.0</v>
      </c>
      <c r="F1293" s="2">
        <v>553.0</v>
      </c>
      <c r="G1293" s="2">
        <v>569.0</v>
      </c>
      <c r="H1293" s="2" t="s">
        <v>5906</v>
      </c>
      <c r="I1293" s="2" t="s">
        <v>5906</v>
      </c>
      <c r="J1293" s="2" t="s">
        <v>5959</v>
      </c>
      <c r="K1293" s="2" t="s">
        <v>21776</v>
      </c>
      <c r="L1293" s="10" t="s">
        <v>21777</v>
      </c>
    </row>
    <row r="1294">
      <c r="A1294" s="2" t="s">
        <v>4445</v>
      </c>
      <c r="B1294" s="2" t="s">
        <v>21778</v>
      </c>
      <c r="C1294" s="2">
        <v>1.992524033E9</v>
      </c>
      <c r="D1294" s="2" t="s">
        <v>21779</v>
      </c>
      <c r="E1294" s="2">
        <v>69233.0</v>
      </c>
      <c r="F1294" s="2">
        <v>5496.0</v>
      </c>
      <c r="G1294" s="2">
        <v>608.0</v>
      </c>
      <c r="H1294" s="2" t="s">
        <v>5905</v>
      </c>
      <c r="I1294" s="2" t="s">
        <v>5905</v>
      </c>
      <c r="J1294" s="2" t="s">
        <v>8518</v>
      </c>
      <c r="K1294" s="2" t="s">
        <v>21780</v>
      </c>
    </row>
    <row r="1295">
      <c r="A1295" s="2" t="s">
        <v>4445</v>
      </c>
      <c r="B1295" s="2" t="s">
        <v>21781</v>
      </c>
      <c r="C1295" s="2">
        <v>5.85027476E8</v>
      </c>
      <c r="D1295" s="2" t="s">
        <v>21782</v>
      </c>
      <c r="E1295" s="2">
        <v>535529.0</v>
      </c>
      <c r="F1295" s="2">
        <v>4.0</v>
      </c>
      <c r="G1295" s="2">
        <v>5241.0</v>
      </c>
      <c r="H1295" s="2" t="s">
        <v>5905</v>
      </c>
      <c r="I1295" s="2" t="s">
        <v>5905</v>
      </c>
      <c r="J1295" s="2" t="s">
        <v>5561</v>
      </c>
      <c r="K1295" s="2" t="s">
        <v>21783</v>
      </c>
      <c r="L1295" s="10" t="s">
        <v>21784</v>
      </c>
    </row>
    <row r="1296">
      <c r="A1296" s="2" t="s">
        <v>4445</v>
      </c>
      <c r="B1296" s="2" t="s">
        <v>21785</v>
      </c>
      <c r="C1296" s="2">
        <v>5.895402015E9</v>
      </c>
      <c r="D1296" s="2" t="s">
        <v>21786</v>
      </c>
      <c r="E1296" s="2">
        <v>60775.0</v>
      </c>
      <c r="F1296" s="2">
        <v>5.0</v>
      </c>
      <c r="G1296" s="2">
        <v>1850.0</v>
      </c>
      <c r="H1296" s="2" t="s">
        <v>5905</v>
      </c>
      <c r="I1296" s="2" t="s">
        <v>5906</v>
      </c>
      <c r="J1296" s="2" t="s">
        <v>6882</v>
      </c>
      <c r="K1296" s="2" t="s">
        <v>21787</v>
      </c>
      <c r="L1296" s="10" t="s">
        <v>21788</v>
      </c>
    </row>
    <row r="1297">
      <c r="A1297" s="2" t="s">
        <v>4445</v>
      </c>
      <c r="B1297" s="2" t="s">
        <v>21789</v>
      </c>
      <c r="C1297" s="2">
        <v>6.43943955E8</v>
      </c>
      <c r="D1297" s="2" t="s">
        <v>21790</v>
      </c>
      <c r="E1297" s="2">
        <v>30769.0</v>
      </c>
      <c r="F1297" s="2">
        <v>608.0</v>
      </c>
      <c r="G1297" s="2">
        <v>428.0</v>
      </c>
      <c r="H1297" s="2" t="s">
        <v>5906</v>
      </c>
      <c r="I1297" s="2" t="s">
        <v>5905</v>
      </c>
      <c r="J1297" s="2" t="s">
        <v>5959</v>
      </c>
      <c r="K1297" s="2" t="s">
        <v>21791</v>
      </c>
      <c r="L1297" s="10" t="s">
        <v>21792</v>
      </c>
    </row>
    <row r="1298">
      <c r="A1298" s="2" t="s">
        <v>4445</v>
      </c>
      <c r="B1298" s="2" t="s">
        <v>21793</v>
      </c>
      <c r="C1298" s="2">
        <v>3.02759046E8</v>
      </c>
      <c r="D1298" s="2" t="s">
        <v>21794</v>
      </c>
      <c r="E1298" s="2">
        <v>339898.0</v>
      </c>
      <c r="F1298" s="2">
        <v>1223.0</v>
      </c>
      <c r="G1298" s="2">
        <v>7576.0</v>
      </c>
      <c r="H1298" s="2" t="s">
        <v>5906</v>
      </c>
      <c r="I1298" s="2" t="s">
        <v>5905</v>
      </c>
      <c r="J1298" s="2" t="s">
        <v>7543</v>
      </c>
      <c r="K1298" s="2" t="s">
        <v>21795</v>
      </c>
      <c r="L1298" s="10" t="s">
        <v>21796</v>
      </c>
    </row>
    <row r="1299">
      <c r="A1299" s="2" t="s">
        <v>4447</v>
      </c>
      <c r="B1299" s="2" t="s">
        <v>21797</v>
      </c>
      <c r="C1299" s="2">
        <v>5.9834299665E10</v>
      </c>
      <c r="D1299" s="2" t="s">
        <v>21798</v>
      </c>
      <c r="E1299" s="2">
        <v>38211.0</v>
      </c>
      <c r="F1299" s="2">
        <v>131.0</v>
      </c>
      <c r="G1299" s="2">
        <v>835.0</v>
      </c>
      <c r="H1299" s="2" t="s">
        <v>5905</v>
      </c>
      <c r="I1299" s="2" t="s">
        <v>5905</v>
      </c>
      <c r="J1299" s="2" t="s">
        <v>6027</v>
      </c>
      <c r="K1299" s="2" t="s">
        <v>21799</v>
      </c>
      <c r="L1299" s="10" t="s">
        <v>21800</v>
      </c>
    </row>
    <row r="1300">
      <c r="A1300" s="2" t="s">
        <v>4447</v>
      </c>
      <c r="B1300" s="2" t="s">
        <v>21801</v>
      </c>
      <c r="C1300" s="2">
        <v>7.3076958041E10</v>
      </c>
      <c r="D1300" s="2" t="s">
        <v>21802</v>
      </c>
      <c r="E1300" s="2">
        <v>122434.0</v>
      </c>
      <c r="F1300" s="2">
        <v>4.0</v>
      </c>
      <c r="G1300" s="2">
        <v>155.0</v>
      </c>
      <c r="H1300" s="2" t="s">
        <v>5905</v>
      </c>
      <c r="I1300" s="2" t="s">
        <v>5905</v>
      </c>
      <c r="J1300" s="2" t="s">
        <v>5928</v>
      </c>
      <c r="K1300" s="2" t="s">
        <v>21803</v>
      </c>
      <c r="L1300" s="10" t="s">
        <v>21804</v>
      </c>
    </row>
    <row r="1301">
      <c r="A1301" s="2" t="s">
        <v>4447</v>
      </c>
      <c r="B1301" s="2" t="s">
        <v>21805</v>
      </c>
      <c r="C1301" s="2">
        <v>7.2097716861E10</v>
      </c>
      <c r="D1301" s="2" t="s">
        <v>21806</v>
      </c>
      <c r="E1301" s="2">
        <v>14511.0</v>
      </c>
      <c r="F1301" s="2">
        <v>0.0</v>
      </c>
      <c r="G1301" s="2">
        <v>61.0</v>
      </c>
      <c r="H1301" s="2" t="s">
        <v>5905</v>
      </c>
      <c r="I1301" s="2" t="s">
        <v>5905</v>
      </c>
      <c r="K1301" s="2" t="s">
        <v>21807</v>
      </c>
    </row>
    <row r="1302">
      <c r="A1302" s="2" t="s">
        <v>4493</v>
      </c>
      <c r="B1302" s="2" t="s">
        <v>21808</v>
      </c>
      <c r="C1302" s="2">
        <v>5.5578739943E10</v>
      </c>
      <c r="D1302" s="2" t="s">
        <v>21809</v>
      </c>
      <c r="E1302" s="2">
        <v>598190.0</v>
      </c>
      <c r="F1302" s="2">
        <v>65.0</v>
      </c>
      <c r="G1302" s="2">
        <v>781.0</v>
      </c>
      <c r="H1302" s="2" t="s">
        <v>5906</v>
      </c>
      <c r="I1302" s="2" t="s">
        <v>5905</v>
      </c>
      <c r="J1302" s="2" t="s">
        <v>5968</v>
      </c>
      <c r="K1302" s="2" t="s">
        <v>21810</v>
      </c>
      <c r="L1302" s="10" t="s">
        <v>21811</v>
      </c>
    </row>
    <row r="1303">
      <c r="A1303" s="2" t="s">
        <v>4493</v>
      </c>
      <c r="B1303" s="2" t="s">
        <v>21812</v>
      </c>
      <c r="C1303" s="2">
        <v>1.750838283E9</v>
      </c>
      <c r="D1303" s="2" t="s">
        <v>21813</v>
      </c>
      <c r="E1303" s="2">
        <v>716783.0</v>
      </c>
      <c r="F1303" s="2">
        <v>2.0</v>
      </c>
      <c r="G1303" s="2">
        <v>2599.0</v>
      </c>
      <c r="H1303" s="2" t="s">
        <v>5905</v>
      </c>
      <c r="I1303" s="2" t="s">
        <v>5906</v>
      </c>
      <c r="J1303" s="2" t="s">
        <v>5561</v>
      </c>
      <c r="K1303" s="2" t="s">
        <v>21814</v>
      </c>
    </row>
    <row r="1304">
      <c r="A1304" s="2" t="s">
        <v>4493</v>
      </c>
      <c r="B1304" s="2" t="s">
        <v>21815</v>
      </c>
      <c r="C1304" s="2">
        <v>9.904571742E9</v>
      </c>
      <c r="D1304" s="2" t="s">
        <v>21816</v>
      </c>
      <c r="E1304" s="2">
        <v>271764.0</v>
      </c>
      <c r="F1304" s="2">
        <v>0.0</v>
      </c>
      <c r="G1304" s="2">
        <v>1786.0</v>
      </c>
      <c r="H1304" s="2" t="s">
        <v>5905</v>
      </c>
      <c r="I1304" s="2" t="s">
        <v>5906</v>
      </c>
      <c r="J1304" s="2" t="s">
        <v>15546</v>
      </c>
      <c r="K1304" s="2" t="s">
        <v>21817</v>
      </c>
      <c r="L1304" s="10" t="s">
        <v>21818</v>
      </c>
    </row>
    <row r="1305">
      <c r="A1305" s="2" t="s">
        <v>4493</v>
      </c>
      <c r="B1305" s="2" t="s">
        <v>21819</v>
      </c>
      <c r="C1305" s="2">
        <v>5.563376726E9</v>
      </c>
      <c r="D1305" s="2" t="s">
        <v>21820</v>
      </c>
      <c r="E1305" s="2">
        <v>115685.0</v>
      </c>
      <c r="F1305" s="2">
        <v>27.0</v>
      </c>
      <c r="G1305" s="2">
        <v>78.0</v>
      </c>
      <c r="H1305" s="2" t="s">
        <v>5905</v>
      </c>
      <c r="I1305" s="2" t="s">
        <v>5906</v>
      </c>
      <c r="J1305" s="2" t="s">
        <v>21821</v>
      </c>
      <c r="K1305" s="2" t="s">
        <v>21822</v>
      </c>
      <c r="L1305" s="10" t="s">
        <v>21823</v>
      </c>
    </row>
    <row r="1306">
      <c r="A1306" s="2" t="s">
        <v>4438</v>
      </c>
      <c r="B1306" s="2" t="s">
        <v>21824</v>
      </c>
      <c r="C1306" s="2">
        <v>8.554849005E9</v>
      </c>
      <c r="D1306" s="2" t="s">
        <v>21825</v>
      </c>
      <c r="E1306" s="2">
        <v>11248.0</v>
      </c>
      <c r="F1306" s="2">
        <v>129.0</v>
      </c>
      <c r="G1306" s="2">
        <v>942.0</v>
      </c>
      <c r="H1306" s="2" t="s">
        <v>5905</v>
      </c>
      <c r="I1306" s="2" t="s">
        <v>5905</v>
      </c>
      <c r="J1306" s="2" t="s">
        <v>21826</v>
      </c>
      <c r="K1306" s="2" t="s">
        <v>21827</v>
      </c>
      <c r="L1306" s="10" t="s">
        <v>21828</v>
      </c>
    </row>
    <row r="1307">
      <c r="A1307" s="2" t="s">
        <v>4438</v>
      </c>
      <c r="B1307" s="2" t="s">
        <v>21829</v>
      </c>
      <c r="C1307" s="2">
        <v>5.08723215E8</v>
      </c>
      <c r="D1307" s="2" t="s">
        <v>21830</v>
      </c>
      <c r="E1307" s="2">
        <v>347749.0</v>
      </c>
      <c r="F1307" s="2">
        <v>5.0</v>
      </c>
      <c r="G1307" s="2">
        <v>989.0</v>
      </c>
      <c r="H1307" s="2" t="s">
        <v>5906</v>
      </c>
      <c r="I1307" s="2" t="s">
        <v>5905</v>
      </c>
      <c r="J1307" s="2" t="s">
        <v>4996</v>
      </c>
      <c r="K1307" s="2" t="s">
        <v>21831</v>
      </c>
      <c r="L1307" s="10" t="s">
        <v>21832</v>
      </c>
    </row>
    <row r="1308">
      <c r="A1308" s="2" t="s">
        <v>4438</v>
      </c>
      <c r="B1308" s="2" t="s">
        <v>21833</v>
      </c>
      <c r="C1308" s="2">
        <v>2.8979988E8</v>
      </c>
      <c r="D1308" s="2" t="s">
        <v>21834</v>
      </c>
      <c r="E1308" s="2">
        <v>999450.0</v>
      </c>
      <c r="F1308" s="2">
        <v>4029.0</v>
      </c>
      <c r="G1308" s="2">
        <v>6320.0</v>
      </c>
      <c r="H1308" s="2" t="s">
        <v>5906</v>
      </c>
      <c r="I1308" s="2" t="s">
        <v>5905</v>
      </c>
      <c r="J1308" s="2" t="s">
        <v>5391</v>
      </c>
      <c r="K1308" s="2" t="s">
        <v>21835</v>
      </c>
      <c r="L1308" s="10" t="s">
        <v>21836</v>
      </c>
    </row>
    <row r="1309">
      <c r="A1309" s="2" t="s">
        <v>4438</v>
      </c>
      <c r="B1309" s="2" t="s">
        <v>21837</v>
      </c>
      <c r="C1309" s="2">
        <v>2.008493285E9</v>
      </c>
      <c r="D1309" s="2" t="s">
        <v>21838</v>
      </c>
      <c r="E1309" s="2">
        <v>33154.0</v>
      </c>
      <c r="F1309" s="2">
        <v>65.0</v>
      </c>
      <c r="G1309" s="2">
        <v>530.0</v>
      </c>
      <c r="H1309" s="2" t="s">
        <v>5905</v>
      </c>
      <c r="I1309" s="2" t="s">
        <v>5906</v>
      </c>
      <c r="K1309" s="2" t="s">
        <v>21839</v>
      </c>
      <c r="L1309" s="10" t="s">
        <v>21840</v>
      </c>
    </row>
    <row r="1310">
      <c r="A1310" s="2" t="s">
        <v>4438</v>
      </c>
      <c r="B1310" s="2" t="s">
        <v>21841</v>
      </c>
      <c r="C1310" s="2">
        <v>9.243429769E9</v>
      </c>
      <c r="D1310" s="2" t="s">
        <v>21842</v>
      </c>
      <c r="E1310" s="2">
        <v>92597.0</v>
      </c>
      <c r="F1310" s="2">
        <v>1066.0</v>
      </c>
      <c r="G1310" s="2">
        <v>2187.0</v>
      </c>
      <c r="H1310" s="2" t="s">
        <v>5906</v>
      </c>
      <c r="I1310" s="2" t="s">
        <v>5905</v>
      </c>
      <c r="J1310" s="2" t="s">
        <v>5561</v>
      </c>
      <c r="K1310" s="2" t="s">
        <v>21843</v>
      </c>
      <c r="L1310" s="10" t="s">
        <v>21844</v>
      </c>
    </row>
    <row r="1311">
      <c r="A1311" s="2" t="s">
        <v>4438</v>
      </c>
      <c r="B1311" s="2" t="s">
        <v>21845</v>
      </c>
      <c r="C1311" s="2">
        <v>3.6662812182E10</v>
      </c>
      <c r="D1311" s="2" t="s">
        <v>21846</v>
      </c>
      <c r="E1311" s="2">
        <v>165741.0</v>
      </c>
      <c r="F1311" s="2">
        <v>7414.0</v>
      </c>
      <c r="G1311" s="2">
        <v>3104.0</v>
      </c>
      <c r="H1311" s="2" t="s">
        <v>5905</v>
      </c>
      <c r="I1311" s="2" t="s">
        <v>5905</v>
      </c>
      <c r="J1311" s="2" t="s">
        <v>5484</v>
      </c>
      <c r="K1311" s="2" t="s">
        <v>21847</v>
      </c>
    </row>
    <row r="1312">
      <c r="A1312" s="2" t="s">
        <v>4438</v>
      </c>
      <c r="B1312" s="2" t="s">
        <v>21848</v>
      </c>
      <c r="C1312" s="2">
        <v>2.280647211E9</v>
      </c>
      <c r="D1312" s="2" t="s">
        <v>21849</v>
      </c>
      <c r="E1312" s="2">
        <v>831828.0</v>
      </c>
      <c r="F1312" s="2">
        <v>1053.0</v>
      </c>
      <c r="G1312" s="2">
        <v>6302.0</v>
      </c>
      <c r="H1312" s="2" t="s">
        <v>5906</v>
      </c>
      <c r="I1312" s="2" t="s">
        <v>5905</v>
      </c>
      <c r="J1312" s="2" t="s">
        <v>5911</v>
      </c>
      <c r="K1312" s="2" t="s">
        <v>21850</v>
      </c>
      <c r="L1312" s="10" t="s">
        <v>21851</v>
      </c>
    </row>
    <row r="1313">
      <c r="A1313" s="2" t="s">
        <v>4438</v>
      </c>
      <c r="B1313" s="2" t="s">
        <v>21852</v>
      </c>
      <c r="C1313" s="2">
        <v>5.2781478217E10</v>
      </c>
      <c r="D1313" s="2" t="s">
        <v>21853</v>
      </c>
      <c r="E1313" s="2">
        <v>175241.0</v>
      </c>
      <c r="F1313" s="2">
        <v>2775.0</v>
      </c>
      <c r="G1313" s="2">
        <v>1166.0</v>
      </c>
      <c r="H1313" s="2" t="s">
        <v>5905</v>
      </c>
      <c r="I1313" s="2" t="s">
        <v>5905</v>
      </c>
      <c r="J1313" s="2" t="s">
        <v>5492</v>
      </c>
      <c r="K1313" s="2" t="s">
        <v>21854</v>
      </c>
      <c r="L1313" s="10" t="s">
        <v>21855</v>
      </c>
    </row>
    <row r="1314">
      <c r="A1314" s="2" t="s">
        <v>4438</v>
      </c>
      <c r="B1314" s="2" t="s">
        <v>21856</v>
      </c>
      <c r="C1314" s="2">
        <v>5.3127694377E10</v>
      </c>
      <c r="D1314" s="2" t="s">
        <v>21853</v>
      </c>
      <c r="E1314" s="2">
        <v>76569.0</v>
      </c>
      <c r="F1314" s="2">
        <v>2687.0</v>
      </c>
      <c r="G1314" s="2">
        <v>1214.0</v>
      </c>
      <c r="H1314" s="2" t="s">
        <v>5905</v>
      </c>
      <c r="I1314" s="2" t="s">
        <v>5905</v>
      </c>
      <c r="J1314" s="2" t="s">
        <v>5492</v>
      </c>
      <c r="K1314" s="2" t="s">
        <v>21854</v>
      </c>
      <c r="L1314" s="10" t="s">
        <v>21855</v>
      </c>
    </row>
    <row r="1315">
      <c r="A1315" s="2" t="s">
        <v>4438</v>
      </c>
      <c r="B1315" s="2" t="s">
        <v>21857</v>
      </c>
      <c r="C1315" s="2">
        <v>1.0435761614E10</v>
      </c>
      <c r="D1315" s="2" t="s">
        <v>4438</v>
      </c>
      <c r="E1315" s="2">
        <v>24588.0</v>
      </c>
      <c r="F1315" s="2">
        <v>7493.0</v>
      </c>
      <c r="G1315" s="2">
        <v>1145.0</v>
      </c>
      <c r="H1315" s="2" t="s">
        <v>5905</v>
      </c>
      <c r="I1315" s="2" t="s">
        <v>5905</v>
      </c>
      <c r="J1315" s="2" t="s">
        <v>4397</v>
      </c>
      <c r="K1315" s="2" t="s">
        <v>21858</v>
      </c>
    </row>
    <row r="1316">
      <c r="A1316" s="2" t="s">
        <v>4438</v>
      </c>
      <c r="B1316" s="2" t="s">
        <v>21859</v>
      </c>
      <c r="C1316" s="2">
        <v>5.3248855272E10</v>
      </c>
      <c r="D1316" s="2" t="s">
        <v>21860</v>
      </c>
      <c r="E1316" s="2">
        <v>10479.0</v>
      </c>
      <c r="F1316" s="2">
        <v>2471.0</v>
      </c>
      <c r="G1316" s="2">
        <v>235.0</v>
      </c>
      <c r="H1316" s="2" t="s">
        <v>5905</v>
      </c>
      <c r="I1316" s="2" t="s">
        <v>5906</v>
      </c>
      <c r="J1316" s="2" t="s">
        <v>21826</v>
      </c>
      <c r="K1316" s="2" t="s">
        <v>21861</v>
      </c>
      <c r="L1316" s="10" t="s">
        <v>21862</v>
      </c>
    </row>
    <row r="1317">
      <c r="A1317" s="2" t="s">
        <v>4565</v>
      </c>
      <c r="B1317" s="2" t="s">
        <v>21863</v>
      </c>
      <c r="C1317" s="2">
        <v>4.5337051158E10</v>
      </c>
      <c r="D1317" s="2" t="s">
        <v>21864</v>
      </c>
      <c r="E1317" s="2">
        <v>78624.0</v>
      </c>
      <c r="F1317" s="2">
        <v>190.0</v>
      </c>
      <c r="G1317" s="2">
        <v>324.0</v>
      </c>
      <c r="H1317" s="2" t="s">
        <v>5905</v>
      </c>
      <c r="I1317" s="2" t="s">
        <v>5906</v>
      </c>
      <c r="J1317" s="2" t="s">
        <v>5959</v>
      </c>
      <c r="K1317" s="2" t="s">
        <v>21865</v>
      </c>
      <c r="L1317" s="10" t="s">
        <v>21866</v>
      </c>
    </row>
    <row r="1318">
      <c r="A1318" s="2" t="s">
        <v>4565</v>
      </c>
      <c r="B1318" s="2" t="s">
        <v>21867</v>
      </c>
      <c r="C1318" s="2">
        <v>4.4489224626E10</v>
      </c>
      <c r="D1318" s="2" t="s">
        <v>21868</v>
      </c>
      <c r="E1318" s="2">
        <v>67661.0</v>
      </c>
      <c r="F1318" s="2">
        <v>687.0</v>
      </c>
      <c r="G1318" s="2">
        <v>673.0</v>
      </c>
      <c r="H1318" s="2" t="s">
        <v>5906</v>
      </c>
      <c r="I1318" s="2" t="s">
        <v>5906</v>
      </c>
      <c r="J1318" s="2" t="s">
        <v>5391</v>
      </c>
      <c r="K1318" s="2" t="s">
        <v>21869</v>
      </c>
      <c r="L1318" s="10" t="s">
        <v>21870</v>
      </c>
    </row>
    <row r="1319">
      <c r="A1319" s="2" t="s">
        <v>4565</v>
      </c>
      <c r="B1319" s="2" t="s">
        <v>21871</v>
      </c>
      <c r="C1319" s="2">
        <v>6.71765553E8</v>
      </c>
      <c r="D1319" s="2" t="s">
        <v>21872</v>
      </c>
      <c r="E1319" s="2">
        <v>84901.0</v>
      </c>
      <c r="F1319" s="2">
        <v>512.0</v>
      </c>
      <c r="G1319" s="2">
        <v>469.0</v>
      </c>
      <c r="H1319" s="2" t="s">
        <v>5905</v>
      </c>
      <c r="I1319" s="2" t="s">
        <v>5906</v>
      </c>
      <c r="J1319" s="2" t="s">
        <v>5959</v>
      </c>
      <c r="K1319" s="2" t="s">
        <v>21873</v>
      </c>
      <c r="L1319" s="10" t="s">
        <v>21874</v>
      </c>
    </row>
    <row r="1320">
      <c r="A1320" s="2" t="s">
        <v>4565</v>
      </c>
      <c r="B1320" s="2" t="s">
        <v>21875</v>
      </c>
      <c r="C1320" s="2">
        <v>5.858250653E9</v>
      </c>
      <c r="D1320" s="2" t="s">
        <v>21876</v>
      </c>
      <c r="E1320" s="2">
        <v>22729.0</v>
      </c>
      <c r="F1320" s="2">
        <v>387.0</v>
      </c>
      <c r="G1320" s="2">
        <v>826.0</v>
      </c>
      <c r="H1320" s="2" t="s">
        <v>5905</v>
      </c>
      <c r="I1320" s="2" t="s">
        <v>5906</v>
      </c>
      <c r="J1320" s="2" t="s">
        <v>4404</v>
      </c>
      <c r="K1320" s="2" t="s">
        <v>21877</v>
      </c>
      <c r="L1320" s="10" t="s">
        <v>21878</v>
      </c>
    </row>
    <row r="1321">
      <c r="A1321" s="2" t="s">
        <v>4565</v>
      </c>
      <c r="B1321" s="2" t="s">
        <v>21879</v>
      </c>
      <c r="C1321" s="2">
        <v>9.923696138E9</v>
      </c>
      <c r="E1321" s="2">
        <v>56956.0</v>
      </c>
      <c r="F1321" s="2">
        <v>20.0</v>
      </c>
      <c r="G1321" s="2">
        <v>142.0</v>
      </c>
      <c r="H1321" s="2" t="s">
        <v>5905</v>
      </c>
      <c r="I1321" s="2" t="s">
        <v>5906</v>
      </c>
      <c r="J1321" s="2" t="s">
        <v>5993</v>
      </c>
      <c r="K1321" s="2" t="s">
        <v>21880</v>
      </c>
      <c r="L1321" s="10" t="s">
        <v>21881</v>
      </c>
    </row>
    <row r="1322">
      <c r="A1322" s="2" t="s">
        <v>4565</v>
      </c>
      <c r="B1322" s="2" t="s">
        <v>21882</v>
      </c>
      <c r="C1322" s="2">
        <v>5.681783045E9</v>
      </c>
      <c r="D1322" s="2" t="s">
        <v>21883</v>
      </c>
      <c r="E1322" s="2">
        <v>17454.0</v>
      </c>
      <c r="F1322" s="2">
        <v>487.0</v>
      </c>
      <c r="G1322" s="2">
        <v>39.0</v>
      </c>
      <c r="H1322" s="2" t="s">
        <v>5905</v>
      </c>
      <c r="I1322" s="2" t="s">
        <v>5905</v>
      </c>
      <c r="K1322" s="2" t="s">
        <v>21884</v>
      </c>
      <c r="L1322" s="10" t="s">
        <v>21885</v>
      </c>
    </row>
    <row r="1323">
      <c r="A1323" s="2" t="s">
        <v>4565</v>
      </c>
      <c r="B1323" s="2" t="s">
        <v>21886</v>
      </c>
      <c r="C1323" s="2">
        <v>6.2415946306E10</v>
      </c>
      <c r="D1323" s="12" t="s">
        <v>21887</v>
      </c>
      <c r="E1323" s="2">
        <v>21094.0</v>
      </c>
      <c r="F1323" s="2">
        <v>284.0</v>
      </c>
      <c r="G1323" s="2">
        <v>179.0</v>
      </c>
      <c r="H1323" s="2" t="s">
        <v>5905</v>
      </c>
      <c r="I1323" s="2" t="s">
        <v>5905</v>
      </c>
      <c r="J1323" s="2" t="s">
        <v>10543</v>
      </c>
      <c r="K1323" s="12" t="s">
        <v>21888</v>
      </c>
      <c r="L1323" s="10" t="s">
        <v>21889</v>
      </c>
    </row>
    <row r="1324">
      <c r="A1324" s="2" t="s">
        <v>4565</v>
      </c>
      <c r="B1324" s="2" t="s">
        <v>21890</v>
      </c>
      <c r="C1324" s="2">
        <v>4.7659517323E10</v>
      </c>
      <c r="D1324" s="2" t="s">
        <v>21891</v>
      </c>
      <c r="E1324" s="2">
        <v>37973.0</v>
      </c>
      <c r="F1324" s="2">
        <v>1534.0</v>
      </c>
      <c r="G1324" s="2">
        <v>838.0</v>
      </c>
      <c r="H1324" s="2" t="s">
        <v>5905</v>
      </c>
      <c r="I1324" s="2" t="s">
        <v>5905</v>
      </c>
      <c r="J1324" s="2" t="s">
        <v>5993</v>
      </c>
      <c r="K1324" s="2" t="s">
        <v>21892</v>
      </c>
      <c r="L1324" s="10" t="s">
        <v>21893</v>
      </c>
    </row>
    <row r="1325">
      <c r="A1325" s="2" t="s">
        <v>4565</v>
      </c>
      <c r="B1325" s="2" t="s">
        <v>21894</v>
      </c>
      <c r="C1325" s="2">
        <v>1.8356471893E10</v>
      </c>
      <c r="D1325" s="2" t="s">
        <v>21895</v>
      </c>
      <c r="E1325" s="2">
        <v>12796.0</v>
      </c>
      <c r="F1325" s="2">
        <v>850.0</v>
      </c>
      <c r="G1325" s="2">
        <v>1034.0</v>
      </c>
      <c r="H1325" s="2" t="s">
        <v>5905</v>
      </c>
      <c r="I1325" s="2" t="s">
        <v>5905</v>
      </c>
      <c r="J1325" s="2" t="s">
        <v>6393</v>
      </c>
      <c r="K1325" s="2" t="s">
        <v>21896</v>
      </c>
      <c r="L1325" s="10" t="s">
        <v>21897</v>
      </c>
    </row>
    <row r="1326">
      <c r="A1326" s="2" t="s">
        <v>4565</v>
      </c>
      <c r="B1326" s="2" t="s">
        <v>21898</v>
      </c>
      <c r="C1326" s="2">
        <v>2.2567058032E10</v>
      </c>
      <c r="D1326" s="2" t="s">
        <v>21899</v>
      </c>
      <c r="E1326" s="2">
        <v>181625.0</v>
      </c>
      <c r="F1326" s="2">
        <v>1406.0</v>
      </c>
      <c r="G1326" s="2">
        <v>1312.0</v>
      </c>
      <c r="H1326" s="2" t="s">
        <v>5905</v>
      </c>
      <c r="I1326" s="2" t="s">
        <v>5905</v>
      </c>
      <c r="J1326" s="2" t="s">
        <v>4996</v>
      </c>
      <c r="K1326" s="2" t="s">
        <v>21900</v>
      </c>
      <c r="L1326" s="10" t="s">
        <v>21901</v>
      </c>
    </row>
    <row r="1327">
      <c r="A1327" s="2" t="s">
        <v>4565</v>
      </c>
      <c r="B1327" s="2" t="s">
        <v>21902</v>
      </c>
      <c r="C1327" s="2">
        <v>2.72595124E8</v>
      </c>
      <c r="D1327" s="2" t="s">
        <v>21903</v>
      </c>
      <c r="E1327" s="2">
        <v>45843.0</v>
      </c>
      <c r="F1327" s="2">
        <v>784.0</v>
      </c>
      <c r="G1327" s="2">
        <v>3340.0</v>
      </c>
      <c r="H1327" s="2" t="s">
        <v>5905</v>
      </c>
      <c r="I1327" s="2" t="s">
        <v>5905</v>
      </c>
      <c r="J1327" s="2" t="s">
        <v>6002</v>
      </c>
      <c r="K1327" s="2" t="s">
        <v>21904</v>
      </c>
      <c r="L1327" s="10" t="s">
        <v>21905</v>
      </c>
    </row>
    <row r="1328">
      <c r="A1328" s="2" t="s">
        <v>4478</v>
      </c>
      <c r="B1328" s="2" t="s">
        <v>21906</v>
      </c>
      <c r="C1328" s="2">
        <v>2.43162203E8</v>
      </c>
      <c r="D1328" s="2" t="s">
        <v>21907</v>
      </c>
      <c r="E1328" s="2">
        <v>126402.0</v>
      </c>
      <c r="F1328" s="2">
        <v>757.0</v>
      </c>
      <c r="G1328" s="2">
        <v>3670.0</v>
      </c>
      <c r="H1328" s="2" t="s">
        <v>5905</v>
      </c>
      <c r="I1328" s="2" t="s">
        <v>5906</v>
      </c>
      <c r="J1328" s="2" t="s">
        <v>5485</v>
      </c>
      <c r="K1328" s="2" t="s">
        <v>21908</v>
      </c>
      <c r="L1328" s="10" t="s">
        <v>21909</v>
      </c>
    </row>
    <row r="1329">
      <c r="A1329" s="2" t="s">
        <v>4437</v>
      </c>
      <c r="B1329" s="2" t="s">
        <v>21910</v>
      </c>
      <c r="C1329" s="2">
        <v>6.739246931E9</v>
      </c>
      <c r="D1329" s="2" t="s">
        <v>21911</v>
      </c>
      <c r="E1329" s="2">
        <v>1776472.0</v>
      </c>
      <c r="F1329" s="2">
        <v>784.0</v>
      </c>
      <c r="G1329" s="2">
        <v>7585.0</v>
      </c>
      <c r="H1329" s="2" t="s">
        <v>5906</v>
      </c>
      <c r="I1329" s="2" t="s">
        <v>5906</v>
      </c>
      <c r="J1329" s="2" t="s">
        <v>6068</v>
      </c>
      <c r="K1329" s="2" t="s">
        <v>21912</v>
      </c>
      <c r="L1329" s="10" t="s">
        <v>21913</v>
      </c>
    </row>
    <row r="1330">
      <c r="A1330" s="2" t="s">
        <v>4437</v>
      </c>
      <c r="B1330" s="2" t="s">
        <v>21914</v>
      </c>
      <c r="C1330" s="2">
        <v>3.107484288E9</v>
      </c>
      <c r="D1330" s="12" t="s">
        <v>21915</v>
      </c>
      <c r="E1330" s="2">
        <v>40613.0</v>
      </c>
      <c r="F1330" s="2">
        <v>21.0</v>
      </c>
      <c r="G1330" s="2">
        <v>116.0</v>
      </c>
      <c r="H1330" s="2" t="s">
        <v>5905</v>
      </c>
      <c r="I1330" s="2" t="s">
        <v>5905</v>
      </c>
      <c r="K1330" s="12" t="s">
        <v>21916</v>
      </c>
    </row>
    <row r="1331">
      <c r="A1331" s="2" t="s">
        <v>4437</v>
      </c>
      <c r="B1331" s="2" t="s">
        <v>21917</v>
      </c>
      <c r="C1331" s="2">
        <v>2.10603951E8</v>
      </c>
      <c r="D1331" s="2" t="s">
        <v>21918</v>
      </c>
      <c r="E1331" s="2">
        <v>1556857.0</v>
      </c>
      <c r="F1331" s="2">
        <v>1944.0</v>
      </c>
      <c r="G1331" s="2">
        <v>3527.0</v>
      </c>
      <c r="H1331" s="2" t="s">
        <v>5906</v>
      </c>
      <c r="I1331" s="2" t="s">
        <v>5905</v>
      </c>
      <c r="J1331" s="2" t="s">
        <v>8144</v>
      </c>
      <c r="K1331" s="2" t="s">
        <v>21919</v>
      </c>
      <c r="L1331" s="10" t="s">
        <v>21920</v>
      </c>
    </row>
    <row r="1332">
      <c r="A1332" s="2" t="s">
        <v>4437</v>
      </c>
      <c r="B1332" s="2" t="s">
        <v>21921</v>
      </c>
      <c r="C1332" s="2">
        <v>4.7878827083E10</v>
      </c>
      <c r="D1332" s="2" t="s">
        <v>21922</v>
      </c>
      <c r="E1332" s="2">
        <v>287977.0</v>
      </c>
      <c r="F1332" s="2">
        <v>6363.0</v>
      </c>
      <c r="G1332" s="2">
        <v>1365.0</v>
      </c>
      <c r="H1332" s="2" t="s">
        <v>5905</v>
      </c>
      <c r="I1332" s="2" t="s">
        <v>5905</v>
      </c>
      <c r="J1332" s="2" t="s">
        <v>6414</v>
      </c>
      <c r="K1332" s="2" t="s">
        <v>21923</v>
      </c>
      <c r="L1332" s="10" t="s">
        <v>21924</v>
      </c>
    </row>
    <row r="1333">
      <c r="A1333" s="2" t="s">
        <v>4437</v>
      </c>
      <c r="B1333" s="2" t="s">
        <v>21925</v>
      </c>
      <c r="C1333" s="2">
        <v>4.557909577E9</v>
      </c>
      <c r="D1333" s="2" t="s">
        <v>21926</v>
      </c>
      <c r="E1333" s="2">
        <v>746401.0</v>
      </c>
      <c r="F1333" s="2">
        <v>1677.0</v>
      </c>
      <c r="G1333" s="2">
        <v>931.0</v>
      </c>
      <c r="H1333" s="2" t="s">
        <v>5906</v>
      </c>
      <c r="I1333" s="2" t="s">
        <v>5905</v>
      </c>
      <c r="J1333" s="2" t="s">
        <v>8838</v>
      </c>
      <c r="K1333" s="2" t="s">
        <v>21927</v>
      </c>
      <c r="L1333" s="10" t="s">
        <v>21928</v>
      </c>
    </row>
    <row r="1334">
      <c r="A1334" s="2" t="s">
        <v>4437</v>
      </c>
      <c r="B1334" s="2" t="s">
        <v>21929</v>
      </c>
      <c r="C1334" s="2">
        <v>5.6352865165E10</v>
      </c>
      <c r="D1334" s="2" t="s">
        <v>21930</v>
      </c>
      <c r="E1334" s="2">
        <v>296157.0</v>
      </c>
      <c r="F1334" s="2">
        <v>36.0</v>
      </c>
      <c r="G1334" s="2">
        <v>271.0</v>
      </c>
      <c r="H1334" s="2" t="s">
        <v>5906</v>
      </c>
      <c r="I1334" s="2" t="s">
        <v>5905</v>
      </c>
      <c r="J1334" s="2" t="s">
        <v>14090</v>
      </c>
      <c r="K1334" s="2" t="s">
        <v>21931</v>
      </c>
      <c r="L1334" s="10" t="s">
        <v>21932</v>
      </c>
    </row>
    <row r="1335">
      <c r="A1335" s="2" t="s">
        <v>4437</v>
      </c>
      <c r="B1335" s="2" t="s">
        <v>21933</v>
      </c>
      <c r="C1335" s="2">
        <v>1.25316798E9</v>
      </c>
      <c r="D1335" s="2" t="s">
        <v>21934</v>
      </c>
      <c r="E1335" s="2">
        <v>11511.0</v>
      </c>
      <c r="F1335" s="2">
        <v>470.0</v>
      </c>
      <c r="G1335" s="2">
        <v>355.0</v>
      </c>
      <c r="H1335" s="2" t="s">
        <v>5906</v>
      </c>
      <c r="I1335" s="2" t="s">
        <v>5905</v>
      </c>
      <c r="K1335" s="2" t="s">
        <v>21935</v>
      </c>
      <c r="L1335" s="10" t="s">
        <v>21936</v>
      </c>
    </row>
    <row r="1336">
      <c r="A1336" s="2" t="s">
        <v>4437</v>
      </c>
      <c r="B1336" s="2" t="s">
        <v>21937</v>
      </c>
      <c r="C1336" s="2">
        <v>5.0716827173E10</v>
      </c>
      <c r="E1336" s="2">
        <v>130519.0</v>
      </c>
      <c r="F1336" s="2">
        <v>65.0</v>
      </c>
      <c r="G1336" s="2">
        <v>312.0</v>
      </c>
      <c r="H1336" s="2" t="s">
        <v>5905</v>
      </c>
      <c r="I1336" s="2" t="s">
        <v>5906</v>
      </c>
      <c r="J1336" s="2" t="s">
        <v>5928</v>
      </c>
      <c r="K1336" s="2" t="s">
        <v>21938</v>
      </c>
      <c r="L1336" s="10" t="s">
        <v>21939</v>
      </c>
    </row>
    <row r="1337">
      <c r="A1337" s="2" t="s">
        <v>4437</v>
      </c>
      <c r="B1337" s="2" t="s">
        <v>21940</v>
      </c>
      <c r="C1337" s="2">
        <v>3.4686569858E10</v>
      </c>
      <c r="D1337" s="2" t="s">
        <v>21941</v>
      </c>
      <c r="E1337" s="2">
        <v>44706.0</v>
      </c>
      <c r="F1337" s="2">
        <v>745.0</v>
      </c>
      <c r="G1337" s="2">
        <v>1738.0</v>
      </c>
      <c r="H1337" s="2" t="s">
        <v>5905</v>
      </c>
      <c r="I1337" s="2" t="s">
        <v>5905</v>
      </c>
      <c r="J1337" s="2" t="s">
        <v>5959</v>
      </c>
      <c r="K1337" s="2" t="s">
        <v>21942</v>
      </c>
      <c r="L1337" s="10" t="s">
        <v>21943</v>
      </c>
    </row>
    <row r="1338">
      <c r="A1338" s="2" t="s">
        <v>4443</v>
      </c>
      <c r="B1338" s="2" t="s">
        <v>21944</v>
      </c>
      <c r="C1338" s="2">
        <v>1.681176008E9</v>
      </c>
      <c r="D1338" s="2" t="s">
        <v>21945</v>
      </c>
      <c r="E1338" s="2">
        <v>126178.0</v>
      </c>
      <c r="F1338" s="2">
        <v>280.0</v>
      </c>
      <c r="G1338" s="2">
        <v>460.0</v>
      </c>
      <c r="H1338" s="2" t="s">
        <v>5905</v>
      </c>
      <c r="I1338" s="2" t="s">
        <v>5906</v>
      </c>
      <c r="K1338" s="2" t="s">
        <v>21946</v>
      </c>
    </row>
    <row r="1339">
      <c r="A1339" s="2" t="s">
        <v>4443</v>
      </c>
      <c r="B1339" s="2" t="s">
        <v>21947</v>
      </c>
      <c r="C1339" s="2">
        <v>1.725036521E9</v>
      </c>
      <c r="D1339" s="2" t="s">
        <v>21948</v>
      </c>
      <c r="E1339" s="2">
        <v>131325.0</v>
      </c>
      <c r="F1339" s="2">
        <v>682.0</v>
      </c>
      <c r="G1339" s="2">
        <v>1555.0</v>
      </c>
      <c r="H1339" s="2" t="s">
        <v>5906</v>
      </c>
      <c r="I1339" s="2" t="s">
        <v>5905</v>
      </c>
      <c r="J1339" s="2" t="s">
        <v>6414</v>
      </c>
      <c r="K1339" s="2" t="s">
        <v>21949</v>
      </c>
      <c r="L1339" s="10" t="s">
        <v>21950</v>
      </c>
    </row>
    <row r="1340">
      <c r="A1340" s="2" t="s">
        <v>4443</v>
      </c>
      <c r="B1340" s="2" t="s">
        <v>21951</v>
      </c>
      <c r="C1340" s="2">
        <v>1.0438916164E10</v>
      </c>
      <c r="D1340" s="2" t="s">
        <v>21952</v>
      </c>
      <c r="E1340" s="2">
        <v>409892.0</v>
      </c>
      <c r="F1340" s="2">
        <v>0.0</v>
      </c>
      <c r="G1340" s="2">
        <v>8437.0</v>
      </c>
      <c r="H1340" s="2" t="s">
        <v>5905</v>
      </c>
      <c r="I1340" s="2" t="s">
        <v>5906</v>
      </c>
      <c r="J1340" s="2" t="s">
        <v>7140</v>
      </c>
      <c r="K1340" s="2" t="s">
        <v>21953</v>
      </c>
      <c r="L1340" s="10" t="s">
        <v>21954</v>
      </c>
    </row>
    <row r="1341">
      <c r="A1341" s="2" t="s">
        <v>4443</v>
      </c>
      <c r="B1341" s="2" t="s">
        <v>21955</v>
      </c>
      <c r="C1341" s="2">
        <v>3.672846633E9</v>
      </c>
      <c r="D1341" s="2" t="s">
        <v>21956</v>
      </c>
      <c r="E1341" s="2">
        <v>423263.0</v>
      </c>
      <c r="F1341" s="2">
        <v>1106.0</v>
      </c>
      <c r="G1341" s="2">
        <v>465.0</v>
      </c>
      <c r="H1341" s="2" t="s">
        <v>5906</v>
      </c>
      <c r="I1341" s="2" t="s">
        <v>5905</v>
      </c>
      <c r="J1341" s="2" t="s">
        <v>6410</v>
      </c>
      <c r="K1341" s="2" t="s">
        <v>21957</v>
      </c>
      <c r="L1341" s="10" t="s">
        <v>21958</v>
      </c>
    </row>
    <row r="1342">
      <c r="A1342" s="2" t="s">
        <v>4443</v>
      </c>
      <c r="B1342" s="2" t="s">
        <v>21959</v>
      </c>
      <c r="C1342" s="2">
        <v>4.13635974E8</v>
      </c>
      <c r="D1342" s="2" t="s">
        <v>21960</v>
      </c>
      <c r="E1342" s="2">
        <v>1134225.0</v>
      </c>
      <c r="F1342" s="2">
        <v>866.0</v>
      </c>
      <c r="G1342" s="2">
        <v>1224.0</v>
      </c>
      <c r="H1342" s="2" t="s">
        <v>5906</v>
      </c>
      <c r="I1342" s="2" t="s">
        <v>5905</v>
      </c>
      <c r="J1342" s="2" t="s">
        <v>7140</v>
      </c>
      <c r="K1342" s="2" t="s">
        <v>21961</v>
      </c>
      <c r="L1342" s="10" t="s">
        <v>21962</v>
      </c>
    </row>
    <row r="1343">
      <c r="A1343" s="2" t="s">
        <v>4443</v>
      </c>
      <c r="B1343" s="2" t="s">
        <v>21963</v>
      </c>
      <c r="C1343" s="2">
        <v>1.2137170093E10</v>
      </c>
      <c r="D1343" s="2" t="s">
        <v>21964</v>
      </c>
      <c r="E1343" s="2">
        <v>226687.0</v>
      </c>
      <c r="F1343" s="2">
        <v>83.0</v>
      </c>
      <c r="G1343" s="2">
        <v>1911.0</v>
      </c>
      <c r="H1343" s="2" t="s">
        <v>5905</v>
      </c>
      <c r="I1343" s="2" t="s">
        <v>5906</v>
      </c>
      <c r="J1343" s="2" t="s">
        <v>6472</v>
      </c>
      <c r="K1343" s="2" t="s">
        <v>21965</v>
      </c>
      <c r="L1343" s="10" t="s">
        <v>21966</v>
      </c>
    </row>
    <row r="1344">
      <c r="A1344" s="2" t="s">
        <v>4443</v>
      </c>
      <c r="B1344" s="2" t="s">
        <v>21967</v>
      </c>
      <c r="C1344" s="2">
        <v>2.928549972E10</v>
      </c>
      <c r="D1344" s="2" t="s">
        <v>21967</v>
      </c>
      <c r="E1344" s="2">
        <v>102979.0</v>
      </c>
      <c r="F1344" s="2">
        <v>5.0</v>
      </c>
      <c r="G1344" s="2">
        <v>168.0</v>
      </c>
      <c r="H1344" s="2" t="s">
        <v>5905</v>
      </c>
      <c r="I1344" s="2" t="s">
        <v>5905</v>
      </c>
      <c r="J1344" s="2" t="s">
        <v>21968</v>
      </c>
      <c r="K1344" s="12" t="s">
        <v>21969</v>
      </c>
    </row>
    <row r="1345">
      <c r="A1345" s="2" t="s">
        <v>4443</v>
      </c>
      <c r="B1345" s="2" t="s">
        <v>21970</v>
      </c>
      <c r="C1345" s="2">
        <v>5.603750344E9</v>
      </c>
      <c r="D1345" s="2" t="s">
        <v>21971</v>
      </c>
      <c r="E1345" s="2">
        <v>612071.0</v>
      </c>
      <c r="F1345" s="2">
        <v>455.0</v>
      </c>
      <c r="G1345" s="2">
        <v>2520.0</v>
      </c>
      <c r="H1345" s="2" t="s">
        <v>5906</v>
      </c>
      <c r="I1345" s="2" t="s">
        <v>5906</v>
      </c>
      <c r="J1345" s="2" t="s">
        <v>6856</v>
      </c>
      <c r="K1345" s="2" t="s">
        <v>21972</v>
      </c>
      <c r="L1345" s="10" t="s">
        <v>21973</v>
      </c>
    </row>
    <row r="1346">
      <c r="A1346" s="2" t="s">
        <v>4443</v>
      </c>
      <c r="B1346" s="2" t="s">
        <v>21974</v>
      </c>
      <c r="C1346" s="2">
        <v>8.200647043E9</v>
      </c>
      <c r="D1346" s="2" t="s">
        <v>21975</v>
      </c>
      <c r="E1346" s="2">
        <v>1515077.0</v>
      </c>
      <c r="F1346" s="2">
        <v>76.0</v>
      </c>
      <c r="G1346" s="2">
        <v>9373.0</v>
      </c>
      <c r="H1346" s="2" t="s">
        <v>5905</v>
      </c>
      <c r="I1346" s="2" t="s">
        <v>5905</v>
      </c>
      <c r="J1346" s="2" t="s">
        <v>5492</v>
      </c>
      <c r="K1346" s="2" t="s">
        <v>21976</v>
      </c>
      <c r="L1346" s="10" t="s">
        <v>21977</v>
      </c>
    </row>
    <row r="1347">
      <c r="A1347" s="2" t="s">
        <v>4443</v>
      </c>
      <c r="B1347" s="2" t="s">
        <v>21978</v>
      </c>
      <c r="C1347" s="2">
        <v>1.027044775E10</v>
      </c>
      <c r="D1347" s="2" t="s">
        <v>21979</v>
      </c>
      <c r="E1347" s="2">
        <v>1253474.0</v>
      </c>
      <c r="F1347" s="2">
        <v>0.0</v>
      </c>
      <c r="G1347" s="2">
        <v>9748.0</v>
      </c>
      <c r="H1347" s="2" t="s">
        <v>5905</v>
      </c>
      <c r="I1347" s="2" t="s">
        <v>5906</v>
      </c>
      <c r="J1347" s="2" t="s">
        <v>6393</v>
      </c>
      <c r="K1347" s="2" t="s">
        <v>21980</v>
      </c>
      <c r="L1347" s="10" t="s">
        <v>21981</v>
      </c>
    </row>
    <row r="1348">
      <c r="A1348" s="2" t="s">
        <v>4443</v>
      </c>
      <c r="B1348" s="2" t="s">
        <v>21982</v>
      </c>
      <c r="C1348" s="2">
        <v>1.3558096115E10</v>
      </c>
      <c r="D1348" s="2" t="s">
        <v>21983</v>
      </c>
      <c r="E1348" s="2">
        <v>103923.0</v>
      </c>
      <c r="F1348" s="2">
        <v>8.0</v>
      </c>
      <c r="G1348" s="2">
        <v>770.0</v>
      </c>
      <c r="H1348" s="2" t="s">
        <v>5906</v>
      </c>
      <c r="I1348" s="2" t="s">
        <v>5905</v>
      </c>
      <c r="J1348" s="2" t="s">
        <v>9775</v>
      </c>
      <c r="K1348" s="2" t="s">
        <v>21984</v>
      </c>
      <c r="L1348" s="10" t="s">
        <v>21985</v>
      </c>
    </row>
    <row r="1349">
      <c r="A1349" s="2" t="s">
        <v>4443</v>
      </c>
      <c r="B1349" s="2" t="s">
        <v>21986</v>
      </c>
      <c r="C1349" s="2">
        <v>6.806198713E9</v>
      </c>
      <c r="D1349" s="2" t="s">
        <v>21987</v>
      </c>
      <c r="E1349" s="2">
        <v>3731355.0</v>
      </c>
      <c r="F1349" s="2">
        <v>3254.0</v>
      </c>
      <c r="G1349" s="2">
        <v>3558.0</v>
      </c>
      <c r="H1349" s="2" t="s">
        <v>5906</v>
      </c>
      <c r="I1349" s="2" t="s">
        <v>5905</v>
      </c>
      <c r="J1349" s="2" t="s">
        <v>5959</v>
      </c>
      <c r="K1349" s="2" t="s">
        <v>21988</v>
      </c>
      <c r="L1349" s="10" t="s">
        <v>21989</v>
      </c>
    </row>
    <row r="1350">
      <c r="A1350" s="2" t="s">
        <v>4443</v>
      </c>
      <c r="B1350" s="2" t="s">
        <v>21990</v>
      </c>
      <c r="C1350" s="2">
        <v>3.244901083E9</v>
      </c>
      <c r="D1350" s="2" t="s">
        <v>21991</v>
      </c>
      <c r="E1350" s="2">
        <v>123039.0</v>
      </c>
      <c r="F1350" s="2">
        <v>169.0</v>
      </c>
      <c r="G1350" s="2">
        <v>3884.0</v>
      </c>
      <c r="H1350" s="2" t="s">
        <v>5905</v>
      </c>
      <c r="I1350" s="2" t="s">
        <v>5905</v>
      </c>
      <c r="J1350" s="2" t="s">
        <v>9767</v>
      </c>
      <c r="K1350" s="2" t="s">
        <v>21992</v>
      </c>
      <c r="L1350" s="10" t="s">
        <v>21993</v>
      </c>
    </row>
    <row r="1351">
      <c r="A1351" s="2" t="s">
        <v>4443</v>
      </c>
      <c r="B1351" s="2" t="s">
        <v>21994</v>
      </c>
      <c r="C1351" s="2">
        <v>3.94473563E9</v>
      </c>
      <c r="D1351" s="2" t="s">
        <v>21995</v>
      </c>
      <c r="E1351" s="2">
        <v>165272.0</v>
      </c>
      <c r="F1351" s="2">
        <v>5542.0</v>
      </c>
      <c r="G1351" s="2">
        <v>5159.0</v>
      </c>
      <c r="H1351" s="2" t="s">
        <v>5905</v>
      </c>
      <c r="I1351" s="2" t="s">
        <v>5905</v>
      </c>
      <c r="J1351" s="2" t="s">
        <v>7140</v>
      </c>
      <c r="K1351" s="2" t="s">
        <v>21996</v>
      </c>
      <c r="L1351" s="10" t="s">
        <v>21997</v>
      </c>
    </row>
    <row r="1352">
      <c r="A1352" s="2" t="s">
        <v>4649</v>
      </c>
      <c r="B1352" s="2" t="s">
        <v>21998</v>
      </c>
      <c r="C1352" s="2">
        <v>1.0187477786E10</v>
      </c>
      <c r="D1352" s="2" t="s">
        <v>21999</v>
      </c>
      <c r="E1352" s="2">
        <v>113413.0</v>
      </c>
      <c r="F1352" s="2">
        <v>2426.0</v>
      </c>
      <c r="G1352" s="2">
        <v>2068.0</v>
      </c>
      <c r="H1352" s="2" t="s">
        <v>5906</v>
      </c>
      <c r="I1352" s="2" t="s">
        <v>5905</v>
      </c>
      <c r="J1352" s="2" t="s">
        <v>5959</v>
      </c>
      <c r="K1352" s="2" t="s">
        <v>22000</v>
      </c>
      <c r="L1352" s="10" t="s">
        <v>22001</v>
      </c>
    </row>
    <row r="1353">
      <c r="A1353" s="2" t="s">
        <v>4649</v>
      </c>
      <c r="B1353" s="2" t="s">
        <v>22002</v>
      </c>
      <c r="C1353" s="2">
        <v>1.419915749E9</v>
      </c>
      <c r="D1353" s="2" t="s">
        <v>22003</v>
      </c>
      <c r="E1353" s="2">
        <v>26151.0</v>
      </c>
      <c r="F1353" s="2">
        <v>4121.0</v>
      </c>
      <c r="G1353" s="2">
        <v>2644.0</v>
      </c>
      <c r="H1353" s="2" t="s">
        <v>5905</v>
      </c>
      <c r="I1353" s="2" t="s">
        <v>5906</v>
      </c>
      <c r="J1353" s="2" t="s">
        <v>8911</v>
      </c>
      <c r="K1353" s="2" t="s">
        <v>22004</v>
      </c>
      <c r="L1353" s="10" t="s">
        <v>22005</v>
      </c>
    </row>
    <row r="1354">
      <c r="A1354" s="2" t="s">
        <v>4649</v>
      </c>
      <c r="B1354" s="2" t="s">
        <v>22006</v>
      </c>
      <c r="C1354" s="2">
        <v>5.886188007E9</v>
      </c>
      <c r="D1354" s="2" t="s">
        <v>22007</v>
      </c>
      <c r="E1354" s="2">
        <v>1531003.0</v>
      </c>
      <c r="F1354" s="2">
        <v>363.0</v>
      </c>
      <c r="G1354" s="2">
        <v>1657.0</v>
      </c>
      <c r="H1354" s="2" t="s">
        <v>5906</v>
      </c>
      <c r="I1354" s="2" t="s">
        <v>5905</v>
      </c>
      <c r="J1354" s="2" t="s">
        <v>8719</v>
      </c>
      <c r="K1354" s="2" t="s">
        <v>22008</v>
      </c>
      <c r="L1354" s="10" t="s">
        <v>22009</v>
      </c>
    </row>
    <row r="1355">
      <c r="A1355" s="2" t="s">
        <v>4649</v>
      </c>
      <c r="B1355" s="2" t="s">
        <v>22010</v>
      </c>
      <c r="C1355" s="2">
        <v>6.089708309E10</v>
      </c>
      <c r="D1355" s="2" t="s">
        <v>22011</v>
      </c>
      <c r="E1355" s="2">
        <v>22870.0</v>
      </c>
      <c r="F1355" s="2">
        <v>1351.0</v>
      </c>
      <c r="G1355" s="2">
        <v>379.0</v>
      </c>
      <c r="H1355" s="2" t="s">
        <v>5906</v>
      </c>
      <c r="I1355" s="2" t="s">
        <v>5905</v>
      </c>
      <c r="J1355" s="2" t="s">
        <v>5959</v>
      </c>
      <c r="K1355" s="2" t="s">
        <v>22012</v>
      </c>
      <c r="L1355" s="10" t="s">
        <v>22013</v>
      </c>
    </row>
    <row r="1356">
      <c r="A1356" s="2" t="s">
        <v>4649</v>
      </c>
      <c r="B1356" s="2" t="s">
        <v>22014</v>
      </c>
      <c r="C1356" s="2">
        <v>5.840589321E10</v>
      </c>
      <c r="D1356" s="2" t="s">
        <v>22015</v>
      </c>
      <c r="E1356" s="2">
        <v>115714.0</v>
      </c>
      <c r="F1356" s="2">
        <v>6864.0</v>
      </c>
      <c r="G1356" s="2">
        <v>879.0</v>
      </c>
      <c r="H1356" s="2" t="s">
        <v>5906</v>
      </c>
      <c r="I1356" s="2" t="s">
        <v>5905</v>
      </c>
      <c r="J1356" s="2" t="s">
        <v>5959</v>
      </c>
      <c r="K1356" s="2" t="s">
        <v>22016</v>
      </c>
      <c r="L1356" s="10" t="s">
        <v>22017</v>
      </c>
    </row>
    <row r="1357">
      <c r="A1357" s="2" t="s">
        <v>4649</v>
      </c>
      <c r="B1357" s="2" t="s">
        <v>22018</v>
      </c>
      <c r="C1357" s="2">
        <v>6.534713739E10</v>
      </c>
      <c r="D1357" s="2" t="s">
        <v>22019</v>
      </c>
      <c r="E1357" s="2">
        <v>58056.0</v>
      </c>
      <c r="F1357" s="2">
        <v>576.0</v>
      </c>
      <c r="G1357" s="2">
        <v>300.0</v>
      </c>
      <c r="H1357" s="2" t="s">
        <v>5905</v>
      </c>
      <c r="I1357" s="2" t="s">
        <v>5905</v>
      </c>
      <c r="J1357" s="2" t="s">
        <v>5959</v>
      </c>
      <c r="K1357" s="2" t="s">
        <v>22020</v>
      </c>
      <c r="L1357" s="10" t="s">
        <v>22021</v>
      </c>
    </row>
    <row r="1358">
      <c r="A1358" s="2" t="s">
        <v>4649</v>
      </c>
      <c r="B1358" s="2" t="s">
        <v>22022</v>
      </c>
      <c r="C1358" s="2">
        <v>9.891192476E9</v>
      </c>
      <c r="D1358" s="2" t="s">
        <v>22023</v>
      </c>
      <c r="E1358" s="2">
        <v>21149.0</v>
      </c>
      <c r="F1358" s="2">
        <v>2229.0</v>
      </c>
      <c r="G1358" s="2">
        <v>506.0</v>
      </c>
      <c r="H1358" s="2" t="s">
        <v>5905</v>
      </c>
      <c r="I1358" s="2" t="s">
        <v>5905</v>
      </c>
      <c r="J1358" s="2" t="s">
        <v>5959</v>
      </c>
      <c r="K1358" s="2" t="s">
        <v>22024</v>
      </c>
      <c r="L1358" s="10" t="s">
        <v>22025</v>
      </c>
    </row>
    <row r="1359">
      <c r="A1359" s="2" t="s">
        <v>4649</v>
      </c>
      <c r="B1359" s="2" t="s">
        <v>22026</v>
      </c>
      <c r="C1359" s="2">
        <v>2.952983797E9</v>
      </c>
      <c r="D1359" s="2" t="s">
        <v>22027</v>
      </c>
      <c r="E1359" s="2">
        <v>110112.0</v>
      </c>
      <c r="F1359" s="2">
        <v>992.0</v>
      </c>
      <c r="G1359" s="2">
        <v>2759.0</v>
      </c>
      <c r="H1359" s="2" t="s">
        <v>5905</v>
      </c>
      <c r="I1359" s="2" t="s">
        <v>5906</v>
      </c>
      <c r="J1359" s="2" t="s">
        <v>5492</v>
      </c>
      <c r="K1359" s="2" t="s">
        <v>22028</v>
      </c>
      <c r="L1359" s="10" t="s">
        <v>22029</v>
      </c>
    </row>
    <row r="1360">
      <c r="A1360" s="2" t="s">
        <v>4516</v>
      </c>
      <c r="B1360" s="2" t="s">
        <v>22030</v>
      </c>
      <c r="C1360" s="2">
        <v>3.7359665428E10</v>
      </c>
      <c r="D1360" s="2" t="s">
        <v>22031</v>
      </c>
      <c r="E1360" s="2">
        <v>2926535.0</v>
      </c>
      <c r="F1360" s="2">
        <v>1630.0</v>
      </c>
      <c r="G1360" s="2">
        <v>2091.0</v>
      </c>
      <c r="H1360" s="2" t="s">
        <v>5905</v>
      </c>
      <c r="I1360" s="2" t="s">
        <v>5905</v>
      </c>
      <c r="J1360" s="2" t="s">
        <v>5561</v>
      </c>
      <c r="K1360" s="2" t="s">
        <v>22032</v>
      </c>
      <c r="L1360" s="10" t="s">
        <v>22033</v>
      </c>
    </row>
    <row r="1361">
      <c r="A1361" s="2" t="s">
        <v>4516</v>
      </c>
      <c r="B1361" s="2" t="s">
        <v>22034</v>
      </c>
      <c r="C1361" s="2">
        <v>5.4108648021E10</v>
      </c>
      <c r="D1361" s="2" t="s">
        <v>22035</v>
      </c>
      <c r="E1361" s="2">
        <v>311914.0</v>
      </c>
      <c r="F1361" s="2">
        <v>289.0</v>
      </c>
      <c r="G1361" s="2">
        <v>176.0</v>
      </c>
      <c r="H1361" s="2" t="s">
        <v>5905</v>
      </c>
      <c r="I1361" s="2" t="s">
        <v>5905</v>
      </c>
      <c r="J1361" s="2" t="s">
        <v>6393</v>
      </c>
      <c r="K1361" s="12" t="s">
        <v>22036</v>
      </c>
      <c r="L1361" s="10" t="s">
        <v>22037</v>
      </c>
    </row>
    <row r="1362">
      <c r="A1362" s="2" t="s">
        <v>4516</v>
      </c>
      <c r="B1362" s="2" t="s">
        <v>22038</v>
      </c>
      <c r="C1362" s="2">
        <v>1.916042194E9</v>
      </c>
      <c r="D1362" s="2" t="s">
        <v>22039</v>
      </c>
      <c r="E1362" s="2">
        <v>285096.0</v>
      </c>
      <c r="F1362" s="2">
        <v>397.0</v>
      </c>
      <c r="G1362" s="2">
        <v>7469.0</v>
      </c>
      <c r="H1362" s="2" t="s">
        <v>5905</v>
      </c>
      <c r="I1362" s="2" t="s">
        <v>5906</v>
      </c>
      <c r="K1362" s="2" t="s">
        <v>22040</v>
      </c>
      <c r="L1362" s="10" t="s">
        <v>22041</v>
      </c>
    </row>
    <row r="1363">
      <c r="A1363" s="2" t="s">
        <v>4516</v>
      </c>
      <c r="B1363" s="2" t="s">
        <v>22042</v>
      </c>
      <c r="C1363" s="2">
        <v>5.0730908641E10</v>
      </c>
      <c r="D1363" s="2" t="s">
        <v>22043</v>
      </c>
      <c r="E1363" s="2">
        <v>167359.0</v>
      </c>
      <c r="F1363" s="2">
        <v>844.0</v>
      </c>
      <c r="G1363" s="2">
        <v>776.0</v>
      </c>
      <c r="H1363" s="2" t="s">
        <v>5905</v>
      </c>
      <c r="I1363" s="2" t="s">
        <v>5906</v>
      </c>
      <c r="J1363" s="2" t="s">
        <v>22044</v>
      </c>
      <c r="K1363" s="12" t="s">
        <v>22045</v>
      </c>
      <c r="L1363" s="10" t="s">
        <v>22046</v>
      </c>
    </row>
    <row r="1364">
      <c r="A1364" s="2" t="s">
        <v>4701</v>
      </c>
      <c r="B1364" s="2" t="s">
        <v>22047</v>
      </c>
      <c r="C1364" s="2">
        <v>3.656765444E9</v>
      </c>
      <c r="D1364" s="2" t="s">
        <v>22048</v>
      </c>
      <c r="E1364" s="2">
        <v>63957.0</v>
      </c>
      <c r="F1364" s="2">
        <v>1405.0</v>
      </c>
      <c r="G1364" s="2">
        <v>1651.0</v>
      </c>
      <c r="H1364" s="2" t="s">
        <v>5906</v>
      </c>
      <c r="I1364" s="2" t="s">
        <v>5906</v>
      </c>
      <c r="J1364" s="2" t="s">
        <v>5561</v>
      </c>
      <c r="K1364" s="2" t="s">
        <v>22049</v>
      </c>
      <c r="L1364" s="10" t="s">
        <v>22050</v>
      </c>
    </row>
    <row r="1365">
      <c r="A1365" s="2" t="s">
        <v>4701</v>
      </c>
      <c r="B1365" s="2" t="s">
        <v>22051</v>
      </c>
      <c r="C1365" s="2">
        <v>1.558356199E9</v>
      </c>
      <c r="D1365" s="2" t="s">
        <v>22052</v>
      </c>
      <c r="E1365" s="2">
        <v>13432.0</v>
      </c>
      <c r="F1365" s="2">
        <v>5013.0</v>
      </c>
      <c r="G1365" s="2">
        <v>1522.0</v>
      </c>
      <c r="H1365" s="2" t="s">
        <v>5905</v>
      </c>
      <c r="I1365" s="2" t="s">
        <v>5906</v>
      </c>
      <c r="K1365" s="2" t="s">
        <v>22053</v>
      </c>
      <c r="L1365" s="10" t="s">
        <v>22054</v>
      </c>
    </row>
    <row r="1366">
      <c r="A1366" s="2" t="s">
        <v>4701</v>
      </c>
      <c r="B1366" s="2" t="s">
        <v>22055</v>
      </c>
      <c r="C1366" s="2">
        <v>3.4632440678E10</v>
      </c>
      <c r="D1366" s="2" t="s">
        <v>22056</v>
      </c>
      <c r="E1366" s="2">
        <v>140113.0</v>
      </c>
      <c r="F1366" s="2">
        <v>145.0</v>
      </c>
      <c r="G1366" s="2">
        <v>1331.0</v>
      </c>
      <c r="H1366" s="2" t="s">
        <v>5905</v>
      </c>
      <c r="I1366" s="2" t="s">
        <v>5906</v>
      </c>
      <c r="J1366" s="2" t="s">
        <v>6393</v>
      </c>
      <c r="K1366" s="2" t="s">
        <v>22057</v>
      </c>
      <c r="L1366" s="10" t="s">
        <v>22058</v>
      </c>
    </row>
    <row r="1367">
      <c r="A1367" s="2" t="s">
        <v>4701</v>
      </c>
      <c r="B1367" s="2" t="s">
        <v>22059</v>
      </c>
      <c r="C1367" s="2">
        <v>1.1804375729E10</v>
      </c>
      <c r="D1367" s="2" t="s">
        <v>22060</v>
      </c>
      <c r="E1367" s="2">
        <v>73442.0</v>
      </c>
      <c r="F1367" s="2">
        <v>1320.0</v>
      </c>
      <c r="G1367" s="2">
        <v>928.0</v>
      </c>
      <c r="H1367" s="2" t="s">
        <v>5906</v>
      </c>
      <c r="I1367" s="2" t="s">
        <v>5906</v>
      </c>
      <c r="J1367" s="2" t="s">
        <v>5391</v>
      </c>
      <c r="K1367" s="2" t="s">
        <v>22061</v>
      </c>
      <c r="L1367" s="10" t="s">
        <v>22062</v>
      </c>
    </row>
    <row r="1368">
      <c r="A1368" s="2" t="s">
        <v>4522</v>
      </c>
      <c r="B1368" s="2" t="s">
        <v>22063</v>
      </c>
      <c r="C1368" s="2">
        <v>2.1846876893E10</v>
      </c>
      <c r="D1368" s="2" t="s">
        <v>22064</v>
      </c>
      <c r="E1368" s="2">
        <v>570784.0</v>
      </c>
      <c r="F1368" s="2">
        <v>18.0</v>
      </c>
      <c r="G1368" s="2">
        <v>3140.0</v>
      </c>
      <c r="H1368" s="2" t="s">
        <v>5905</v>
      </c>
      <c r="I1368" s="2" t="s">
        <v>5906</v>
      </c>
      <c r="J1368" s="2" t="s">
        <v>4404</v>
      </c>
      <c r="K1368" s="2" t="s">
        <v>22065</v>
      </c>
    </row>
    <row r="1369">
      <c r="A1369" s="2" t="s">
        <v>4522</v>
      </c>
      <c r="B1369" s="2" t="s">
        <v>22066</v>
      </c>
      <c r="C1369" s="2">
        <v>6.0620935794E10</v>
      </c>
      <c r="D1369" s="2" t="s">
        <v>22067</v>
      </c>
      <c r="E1369" s="2">
        <v>12190.0</v>
      </c>
      <c r="F1369" s="2">
        <v>2.0</v>
      </c>
      <c r="G1369" s="2">
        <v>9.0</v>
      </c>
      <c r="H1369" s="2" t="s">
        <v>5905</v>
      </c>
      <c r="I1369" s="2" t="s">
        <v>5905</v>
      </c>
      <c r="K1369" s="2" t="s">
        <v>22068</v>
      </c>
      <c r="L1369" s="10" t="s">
        <v>22069</v>
      </c>
    </row>
    <row r="1370">
      <c r="A1370" s="2" t="s">
        <v>4522</v>
      </c>
      <c r="B1370" s="2" t="s">
        <v>22070</v>
      </c>
      <c r="C1370" s="2">
        <v>6.302331297E10</v>
      </c>
      <c r="D1370" s="2" t="s">
        <v>22071</v>
      </c>
      <c r="E1370" s="2">
        <v>55229.0</v>
      </c>
      <c r="F1370" s="2">
        <v>58.0</v>
      </c>
      <c r="G1370" s="2">
        <v>505.0</v>
      </c>
      <c r="H1370" s="2" t="s">
        <v>5906</v>
      </c>
      <c r="I1370" s="2" t="s">
        <v>5905</v>
      </c>
      <c r="J1370" s="2" t="s">
        <v>8604</v>
      </c>
      <c r="K1370" s="2" t="s">
        <v>22072</v>
      </c>
      <c r="L1370" s="10" t="s">
        <v>22073</v>
      </c>
    </row>
    <row r="1371">
      <c r="A1371" s="2" t="s">
        <v>4522</v>
      </c>
      <c r="B1371" s="2" t="s">
        <v>22074</v>
      </c>
      <c r="C1371" s="2">
        <v>1.426941823E9</v>
      </c>
      <c r="D1371" s="2" t="s">
        <v>22075</v>
      </c>
      <c r="E1371" s="2">
        <v>168071.0</v>
      </c>
      <c r="F1371" s="2">
        <v>129.0</v>
      </c>
      <c r="G1371" s="2">
        <v>5339.0</v>
      </c>
      <c r="H1371" s="2" t="s">
        <v>5905</v>
      </c>
      <c r="I1371" s="2" t="s">
        <v>5905</v>
      </c>
      <c r="J1371" s="2" t="s">
        <v>5561</v>
      </c>
      <c r="K1371" s="2" t="s">
        <v>22076</v>
      </c>
      <c r="L1371" s="10" t="s">
        <v>22077</v>
      </c>
    </row>
    <row r="1372">
      <c r="A1372" s="2" t="s">
        <v>4522</v>
      </c>
      <c r="B1372" s="2" t="s">
        <v>22078</v>
      </c>
      <c r="C1372" s="2">
        <v>6.2302528983E10</v>
      </c>
      <c r="D1372" s="2" t="s">
        <v>22079</v>
      </c>
      <c r="E1372" s="2">
        <v>212642.0</v>
      </c>
      <c r="F1372" s="2">
        <v>2.0</v>
      </c>
      <c r="G1372" s="2">
        <v>186.0</v>
      </c>
      <c r="H1372" s="2" t="s">
        <v>5905</v>
      </c>
      <c r="I1372" s="2" t="s">
        <v>5905</v>
      </c>
      <c r="J1372" s="2" t="s">
        <v>5959</v>
      </c>
      <c r="K1372" s="2" t="s">
        <v>22080</v>
      </c>
    </row>
    <row r="1373">
      <c r="A1373" s="2" t="s">
        <v>4522</v>
      </c>
      <c r="B1373" s="2" t="s">
        <v>22081</v>
      </c>
      <c r="C1373" s="2">
        <v>1.500467266E9</v>
      </c>
      <c r="D1373" s="2" t="s">
        <v>22082</v>
      </c>
      <c r="E1373" s="2">
        <v>120523.0</v>
      </c>
      <c r="F1373" s="2">
        <v>2729.0</v>
      </c>
      <c r="G1373" s="2">
        <v>756.0</v>
      </c>
      <c r="H1373" s="2" t="s">
        <v>5906</v>
      </c>
      <c r="I1373" s="2" t="s">
        <v>5905</v>
      </c>
      <c r="J1373" s="2" t="s">
        <v>17323</v>
      </c>
      <c r="K1373" s="2" t="s">
        <v>22083</v>
      </c>
      <c r="L1373" s="10" t="s">
        <v>22084</v>
      </c>
    </row>
    <row r="1374">
      <c r="A1374" s="2" t="s">
        <v>4522</v>
      </c>
      <c r="B1374" s="2" t="s">
        <v>22085</v>
      </c>
      <c r="C1374" s="2">
        <v>5.5471205447E10</v>
      </c>
      <c r="D1374" s="2" t="s">
        <v>22086</v>
      </c>
      <c r="E1374" s="2">
        <v>31880.0</v>
      </c>
      <c r="F1374" s="2">
        <v>38.0</v>
      </c>
      <c r="G1374" s="2">
        <v>32.0</v>
      </c>
      <c r="H1374" s="2" t="s">
        <v>5905</v>
      </c>
      <c r="I1374" s="2" t="s">
        <v>5905</v>
      </c>
      <c r="J1374" s="2" t="s">
        <v>5561</v>
      </c>
      <c r="K1374" s="2" t="s">
        <v>22087</v>
      </c>
    </row>
    <row r="1375">
      <c r="A1375" s="2" t="s">
        <v>4522</v>
      </c>
      <c r="B1375" s="2" t="s">
        <v>22088</v>
      </c>
      <c r="C1375" s="2">
        <v>5.6573995934E10</v>
      </c>
      <c r="D1375" s="2" t="s">
        <v>22089</v>
      </c>
      <c r="E1375" s="2">
        <v>12616.0</v>
      </c>
      <c r="F1375" s="2">
        <v>2.0</v>
      </c>
      <c r="G1375" s="2">
        <v>660.0</v>
      </c>
      <c r="H1375" s="2" t="s">
        <v>5905</v>
      </c>
      <c r="I1375" s="2" t="s">
        <v>5906</v>
      </c>
      <c r="J1375" s="2" t="s">
        <v>18599</v>
      </c>
      <c r="K1375" s="2" t="s">
        <v>22090</v>
      </c>
      <c r="L1375" s="10" t="s">
        <v>22091</v>
      </c>
    </row>
    <row r="1376">
      <c r="A1376" s="2" t="s">
        <v>4522</v>
      </c>
      <c r="B1376" s="2" t="s">
        <v>22092</v>
      </c>
      <c r="C1376" s="2">
        <v>5.2543102547E10</v>
      </c>
      <c r="D1376" s="2" t="s">
        <v>22093</v>
      </c>
      <c r="E1376" s="2">
        <v>22003.0</v>
      </c>
      <c r="F1376" s="2">
        <v>59.0</v>
      </c>
      <c r="G1376" s="2">
        <v>28.0</v>
      </c>
      <c r="H1376" s="2" t="s">
        <v>5905</v>
      </c>
      <c r="I1376" s="2" t="s">
        <v>5905</v>
      </c>
      <c r="K1376" s="2" t="s">
        <v>22094</v>
      </c>
    </row>
    <row r="1377">
      <c r="A1377" s="2" t="s">
        <v>4522</v>
      </c>
      <c r="B1377" s="2" t="s">
        <v>22095</v>
      </c>
      <c r="C1377" s="2">
        <v>1.5023081459E10</v>
      </c>
      <c r="D1377" s="2" t="s">
        <v>22096</v>
      </c>
      <c r="E1377" s="2">
        <v>130145.0</v>
      </c>
      <c r="F1377" s="2">
        <v>1.0</v>
      </c>
      <c r="G1377" s="2">
        <v>211.0</v>
      </c>
      <c r="H1377" s="2" t="s">
        <v>5906</v>
      </c>
      <c r="I1377" s="2" t="s">
        <v>5905</v>
      </c>
      <c r="J1377" s="2" t="s">
        <v>5959</v>
      </c>
      <c r="K1377" s="2" t="s">
        <v>22097</v>
      </c>
    </row>
    <row r="1378">
      <c r="A1378" s="2" t="s">
        <v>4522</v>
      </c>
      <c r="B1378" s="2" t="s">
        <v>22098</v>
      </c>
      <c r="C1378" s="2">
        <v>4.86118576E10</v>
      </c>
      <c r="D1378" s="2" t="s">
        <v>22099</v>
      </c>
      <c r="E1378" s="2">
        <v>505298.0</v>
      </c>
      <c r="F1378" s="2">
        <v>6.0</v>
      </c>
      <c r="G1378" s="2">
        <v>441.0</v>
      </c>
      <c r="H1378" s="2" t="s">
        <v>5905</v>
      </c>
      <c r="I1378" s="2" t="s">
        <v>5905</v>
      </c>
      <c r="J1378" s="2" t="s">
        <v>5928</v>
      </c>
      <c r="K1378" s="2" t="s">
        <v>22100</v>
      </c>
      <c r="L1378" s="10" t="s">
        <v>22101</v>
      </c>
    </row>
    <row r="1379">
      <c r="A1379" s="2" t="s">
        <v>4449</v>
      </c>
      <c r="B1379" s="2" t="s">
        <v>22102</v>
      </c>
      <c r="C1379" s="2">
        <v>1.415675082E9</v>
      </c>
      <c r="D1379" s="2" t="s">
        <v>22103</v>
      </c>
      <c r="E1379" s="2">
        <v>15328.0</v>
      </c>
      <c r="F1379" s="2">
        <v>900.0</v>
      </c>
      <c r="G1379" s="2">
        <v>2343.0</v>
      </c>
      <c r="H1379" s="2" t="s">
        <v>5905</v>
      </c>
      <c r="I1379" s="2" t="s">
        <v>5906</v>
      </c>
      <c r="J1379" s="2" t="s">
        <v>5959</v>
      </c>
      <c r="K1379" s="2" t="s">
        <v>22104</v>
      </c>
      <c r="L1379" s="10" t="s">
        <v>22105</v>
      </c>
    </row>
    <row r="1380">
      <c r="A1380" s="2" t="s">
        <v>4449</v>
      </c>
      <c r="B1380" s="2" t="s">
        <v>22106</v>
      </c>
      <c r="C1380" s="2">
        <v>1.714071113E9</v>
      </c>
      <c r="D1380" s="2" t="s">
        <v>22107</v>
      </c>
      <c r="E1380" s="2">
        <v>1074806.0</v>
      </c>
      <c r="F1380" s="2">
        <v>71.0</v>
      </c>
      <c r="G1380" s="2">
        <v>3310.0</v>
      </c>
      <c r="H1380" s="2" t="s">
        <v>5906</v>
      </c>
      <c r="I1380" s="2" t="s">
        <v>5905</v>
      </c>
      <c r="J1380" s="2" t="s">
        <v>6699</v>
      </c>
      <c r="K1380" s="2" t="s">
        <v>22108</v>
      </c>
      <c r="L1380" s="10" t="s">
        <v>22109</v>
      </c>
    </row>
    <row r="1381">
      <c r="A1381" s="2" t="s">
        <v>4449</v>
      </c>
      <c r="B1381" s="2" t="s">
        <v>22110</v>
      </c>
      <c r="C1381" s="2">
        <v>4.013315925E9</v>
      </c>
      <c r="D1381" s="2" t="s">
        <v>22111</v>
      </c>
      <c r="E1381" s="2">
        <v>21942.0</v>
      </c>
      <c r="F1381" s="2">
        <v>1009.0</v>
      </c>
      <c r="G1381" s="2">
        <v>261.0</v>
      </c>
      <c r="H1381" s="2" t="s">
        <v>5905</v>
      </c>
      <c r="I1381" s="2" t="s">
        <v>5905</v>
      </c>
      <c r="J1381" s="2" t="s">
        <v>7620</v>
      </c>
      <c r="K1381" s="2" t="s">
        <v>22112</v>
      </c>
      <c r="L1381" s="10" t="s">
        <v>22113</v>
      </c>
    </row>
    <row r="1382">
      <c r="A1382" s="2" t="s">
        <v>4449</v>
      </c>
      <c r="B1382" s="2" t="s">
        <v>22114</v>
      </c>
      <c r="C1382" s="2">
        <v>4.8178086682E10</v>
      </c>
      <c r="D1382" s="2" t="s">
        <v>22115</v>
      </c>
      <c r="E1382" s="2">
        <v>96369.0</v>
      </c>
      <c r="F1382" s="2">
        <v>117.0</v>
      </c>
      <c r="G1382" s="2">
        <v>848.0</v>
      </c>
      <c r="H1382" s="2" t="s">
        <v>5905</v>
      </c>
      <c r="I1382" s="2" t="s">
        <v>5906</v>
      </c>
      <c r="J1382" s="2" t="s">
        <v>5959</v>
      </c>
      <c r="K1382" s="2" t="s">
        <v>22116</v>
      </c>
    </row>
    <row r="1383">
      <c r="A1383" s="2" t="s">
        <v>4449</v>
      </c>
      <c r="B1383" s="2" t="s">
        <v>22117</v>
      </c>
      <c r="C1383" s="2">
        <v>1.3543327495E10</v>
      </c>
      <c r="D1383" s="2" t="s">
        <v>22118</v>
      </c>
      <c r="E1383" s="2">
        <v>11446.0</v>
      </c>
      <c r="F1383" s="2">
        <v>1.0</v>
      </c>
      <c r="G1383" s="2">
        <v>60.0</v>
      </c>
      <c r="H1383" s="2" t="s">
        <v>5905</v>
      </c>
      <c r="I1383" s="2" t="s">
        <v>5906</v>
      </c>
      <c r="J1383" s="2" t="s">
        <v>16494</v>
      </c>
      <c r="K1383" s="12" t="s">
        <v>22119</v>
      </c>
    </row>
    <row r="1384">
      <c r="A1384" s="2" t="s">
        <v>4449</v>
      </c>
      <c r="B1384" s="2" t="s">
        <v>22120</v>
      </c>
      <c r="C1384" s="2">
        <v>1.64374707E9</v>
      </c>
      <c r="D1384" s="12" t="s">
        <v>22121</v>
      </c>
      <c r="E1384" s="2">
        <v>54485.0</v>
      </c>
      <c r="F1384" s="2">
        <v>2.0</v>
      </c>
      <c r="G1384" s="2">
        <v>219.0</v>
      </c>
      <c r="H1384" s="2" t="s">
        <v>5905</v>
      </c>
      <c r="I1384" s="2" t="s">
        <v>5905</v>
      </c>
      <c r="J1384" s="2" t="s">
        <v>6472</v>
      </c>
      <c r="K1384" s="12" t="s">
        <v>22122</v>
      </c>
    </row>
    <row r="1385">
      <c r="A1385" s="2" t="s">
        <v>4529</v>
      </c>
      <c r="B1385" s="2" t="s">
        <v>22123</v>
      </c>
      <c r="C1385" s="2">
        <v>2.0280138045E10</v>
      </c>
      <c r="D1385" s="2" t="s">
        <v>22124</v>
      </c>
      <c r="E1385" s="2">
        <v>1361976.0</v>
      </c>
      <c r="F1385" s="2">
        <v>835.0</v>
      </c>
      <c r="G1385" s="2">
        <v>1999.0</v>
      </c>
      <c r="H1385" s="2" t="s">
        <v>5905</v>
      </c>
      <c r="I1385" s="2" t="s">
        <v>5905</v>
      </c>
      <c r="J1385" s="2" t="s">
        <v>9008</v>
      </c>
      <c r="K1385" s="2" t="s">
        <v>22125</v>
      </c>
      <c r="L1385" s="10" t="s">
        <v>22126</v>
      </c>
    </row>
    <row r="1386">
      <c r="A1386" s="2" t="s">
        <v>4529</v>
      </c>
      <c r="B1386" s="2" t="s">
        <v>22127</v>
      </c>
      <c r="C1386" s="2">
        <v>3.32269796E8</v>
      </c>
      <c r="D1386" s="2" t="s">
        <v>22128</v>
      </c>
      <c r="E1386" s="2">
        <v>149724.0</v>
      </c>
      <c r="F1386" s="2">
        <v>1807.0</v>
      </c>
      <c r="G1386" s="2">
        <v>2113.0</v>
      </c>
      <c r="H1386" s="2" t="s">
        <v>5905</v>
      </c>
      <c r="I1386" s="2" t="s">
        <v>5905</v>
      </c>
      <c r="J1386" s="2" t="s">
        <v>9008</v>
      </c>
      <c r="K1386" s="2" t="s">
        <v>22129</v>
      </c>
      <c r="L1386" s="10" t="s">
        <v>22130</v>
      </c>
    </row>
    <row r="1387">
      <c r="A1387" s="2" t="s">
        <v>4529</v>
      </c>
      <c r="B1387" s="2" t="s">
        <v>22131</v>
      </c>
      <c r="C1387" s="2">
        <v>1.664922478E9</v>
      </c>
      <c r="D1387" s="2" t="s">
        <v>22132</v>
      </c>
      <c r="E1387" s="2">
        <v>2152184.0</v>
      </c>
      <c r="F1387" s="2">
        <v>685.0</v>
      </c>
      <c r="G1387" s="2">
        <v>4244.0</v>
      </c>
      <c r="H1387" s="2" t="s">
        <v>5905</v>
      </c>
      <c r="I1387" s="2" t="s">
        <v>5905</v>
      </c>
      <c r="J1387" s="2" t="s">
        <v>7620</v>
      </c>
      <c r="K1387" s="2" t="s">
        <v>22133</v>
      </c>
      <c r="L1387" s="10" t="s">
        <v>22134</v>
      </c>
    </row>
    <row r="1388">
      <c r="A1388" s="2" t="s">
        <v>4529</v>
      </c>
      <c r="B1388" s="2" t="s">
        <v>22135</v>
      </c>
      <c r="C1388" s="2">
        <v>3.2211855425E10</v>
      </c>
      <c r="D1388" s="2" t="s">
        <v>22136</v>
      </c>
      <c r="E1388" s="2">
        <v>1109856.0</v>
      </c>
      <c r="F1388" s="2">
        <v>718.0</v>
      </c>
      <c r="G1388" s="2">
        <v>258.0</v>
      </c>
      <c r="H1388" s="2" t="s">
        <v>5906</v>
      </c>
      <c r="I1388" s="2" t="s">
        <v>5905</v>
      </c>
      <c r="J1388" s="2" t="s">
        <v>22137</v>
      </c>
      <c r="K1388" s="2" t="s">
        <v>22138</v>
      </c>
      <c r="L1388" s="10" t="s">
        <v>22139</v>
      </c>
    </row>
    <row r="1389">
      <c r="A1389" s="2" t="s">
        <v>4529</v>
      </c>
      <c r="B1389" s="2" t="s">
        <v>22140</v>
      </c>
      <c r="C1389" s="2">
        <v>7.030173398E9</v>
      </c>
      <c r="D1389" s="2" t="s">
        <v>22141</v>
      </c>
      <c r="E1389" s="2">
        <v>767260.0</v>
      </c>
      <c r="F1389" s="2">
        <v>20.0</v>
      </c>
      <c r="G1389" s="2">
        <v>2331.0</v>
      </c>
      <c r="H1389" s="2" t="s">
        <v>5905</v>
      </c>
      <c r="I1389" s="2" t="s">
        <v>5906</v>
      </c>
      <c r="J1389" s="2" t="s">
        <v>5968</v>
      </c>
      <c r="K1389" s="2" t="s">
        <v>22142</v>
      </c>
      <c r="L1389" s="10" t="s">
        <v>22143</v>
      </c>
    </row>
    <row r="1390">
      <c r="A1390" s="2" t="s">
        <v>4529</v>
      </c>
      <c r="B1390" s="2" t="s">
        <v>22144</v>
      </c>
      <c r="C1390" s="2">
        <v>8.940925542E9</v>
      </c>
      <c r="D1390" s="2" t="s">
        <v>22145</v>
      </c>
      <c r="E1390" s="2">
        <v>273647.0</v>
      </c>
      <c r="F1390" s="2">
        <v>500.0</v>
      </c>
      <c r="G1390" s="2">
        <v>886.0</v>
      </c>
      <c r="H1390" s="2" t="s">
        <v>5905</v>
      </c>
      <c r="I1390" s="2" t="s">
        <v>5905</v>
      </c>
      <c r="J1390" s="2" t="s">
        <v>5928</v>
      </c>
      <c r="K1390" s="2" t="s">
        <v>22146</v>
      </c>
      <c r="L1390" s="10" t="s">
        <v>22147</v>
      </c>
    </row>
    <row r="1391">
      <c r="A1391" s="2" t="s">
        <v>4529</v>
      </c>
      <c r="B1391" s="2" t="s">
        <v>22148</v>
      </c>
      <c r="C1391" s="2">
        <v>3.412401598E9</v>
      </c>
      <c r="D1391" s="2" t="s">
        <v>22149</v>
      </c>
      <c r="E1391" s="2">
        <v>1530935.0</v>
      </c>
      <c r="F1391" s="2">
        <v>71.0</v>
      </c>
      <c r="G1391" s="2">
        <v>520.0</v>
      </c>
      <c r="H1391" s="2" t="s">
        <v>5905</v>
      </c>
      <c r="I1391" s="2" t="s">
        <v>5905</v>
      </c>
      <c r="J1391" s="2" t="s">
        <v>5928</v>
      </c>
      <c r="K1391" s="2" t="s">
        <v>22150</v>
      </c>
    </row>
    <row r="1392">
      <c r="A1392" s="2" t="s">
        <v>4529</v>
      </c>
      <c r="B1392" s="2" t="s">
        <v>22151</v>
      </c>
      <c r="C1392" s="2">
        <v>3.516499018E9</v>
      </c>
      <c r="D1392" s="2" t="s">
        <v>22152</v>
      </c>
      <c r="E1392" s="2">
        <v>14552.0</v>
      </c>
      <c r="F1392" s="2">
        <v>1059.0</v>
      </c>
      <c r="G1392" s="2">
        <v>3654.0</v>
      </c>
      <c r="H1392" s="2" t="s">
        <v>5905</v>
      </c>
      <c r="I1392" s="2" t="s">
        <v>5906</v>
      </c>
      <c r="J1392" s="2" t="s">
        <v>16773</v>
      </c>
      <c r="K1392" s="2" t="s">
        <v>22153</v>
      </c>
      <c r="L1392" s="10" t="s">
        <v>22154</v>
      </c>
    </row>
    <row r="1393">
      <c r="A1393" s="2" t="s">
        <v>4529</v>
      </c>
      <c r="B1393" s="2" t="s">
        <v>22155</v>
      </c>
      <c r="C1393" s="2">
        <v>9.07182289E9</v>
      </c>
      <c r="D1393" s="2" t="s">
        <v>22156</v>
      </c>
      <c r="E1393" s="2">
        <v>12308.0</v>
      </c>
      <c r="F1393" s="2">
        <v>363.0</v>
      </c>
      <c r="G1393" s="2">
        <v>735.0</v>
      </c>
      <c r="H1393" s="2" t="s">
        <v>5905</v>
      </c>
      <c r="I1393" s="2" t="s">
        <v>5906</v>
      </c>
      <c r="J1393" s="2" t="s">
        <v>5993</v>
      </c>
      <c r="K1393" s="2" t="s">
        <v>22157</v>
      </c>
      <c r="L1393" s="10" t="s">
        <v>22158</v>
      </c>
    </row>
    <row r="1394">
      <c r="A1394" s="2" t="s">
        <v>4529</v>
      </c>
      <c r="B1394" s="2" t="s">
        <v>22159</v>
      </c>
      <c r="C1394" s="2">
        <v>4.144235505E9</v>
      </c>
      <c r="D1394" s="2" t="s">
        <v>22160</v>
      </c>
      <c r="E1394" s="2">
        <v>53449.0</v>
      </c>
      <c r="F1394" s="2">
        <v>864.0</v>
      </c>
      <c r="G1394" s="2">
        <v>97.0</v>
      </c>
      <c r="H1394" s="2" t="s">
        <v>5905</v>
      </c>
      <c r="I1394" s="2" t="s">
        <v>5906</v>
      </c>
      <c r="J1394" s="2" t="s">
        <v>22137</v>
      </c>
      <c r="K1394" s="12" t="s">
        <v>22161</v>
      </c>
    </row>
    <row r="1395">
      <c r="A1395" s="2" t="s">
        <v>4529</v>
      </c>
      <c r="B1395" s="2" t="s">
        <v>22162</v>
      </c>
      <c r="C1395" s="2">
        <v>1.427412246E9</v>
      </c>
      <c r="D1395" s="12" t="s">
        <v>22163</v>
      </c>
      <c r="E1395" s="2">
        <v>117772.0</v>
      </c>
      <c r="F1395" s="2">
        <v>7225.0</v>
      </c>
      <c r="G1395" s="2">
        <v>1041.0</v>
      </c>
      <c r="H1395" s="2" t="s">
        <v>5905</v>
      </c>
      <c r="I1395" s="2" t="s">
        <v>5905</v>
      </c>
      <c r="J1395" s="2" t="s">
        <v>6002</v>
      </c>
      <c r="K1395" s="12" t="s">
        <v>22164</v>
      </c>
      <c r="L1395" s="10" t="s">
        <v>22165</v>
      </c>
    </row>
    <row r="1396">
      <c r="A1396" s="2" t="s">
        <v>4529</v>
      </c>
      <c r="B1396" s="2" t="s">
        <v>22166</v>
      </c>
      <c r="C1396" s="2">
        <v>5.46416994E8</v>
      </c>
      <c r="D1396" s="2" t="s">
        <v>22167</v>
      </c>
      <c r="E1396" s="2">
        <v>67712.0</v>
      </c>
      <c r="F1396" s="2">
        <v>3090.0</v>
      </c>
      <c r="G1396" s="2">
        <v>420.0</v>
      </c>
      <c r="H1396" s="2" t="s">
        <v>5905</v>
      </c>
      <c r="I1396" s="2" t="s">
        <v>5905</v>
      </c>
      <c r="K1396" s="2" t="s">
        <v>22168</v>
      </c>
      <c r="L1396" s="10" t="s">
        <v>22169</v>
      </c>
    </row>
    <row r="1397">
      <c r="A1397" s="2" t="s">
        <v>4529</v>
      </c>
      <c r="B1397" s="2" t="s">
        <v>22170</v>
      </c>
      <c r="C1397" s="2">
        <v>4.4701910151E10</v>
      </c>
      <c r="D1397" s="2" t="s">
        <v>22171</v>
      </c>
      <c r="E1397" s="2">
        <v>65963.0</v>
      </c>
      <c r="F1397" s="2">
        <v>11.0</v>
      </c>
      <c r="G1397" s="2">
        <v>96.0</v>
      </c>
      <c r="H1397" s="2" t="s">
        <v>5905</v>
      </c>
      <c r="I1397" s="2" t="s">
        <v>5906</v>
      </c>
      <c r="J1397" s="2" t="s">
        <v>7296</v>
      </c>
      <c r="K1397" s="2" t="s">
        <v>22172</v>
      </c>
      <c r="L1397" s="10" t="s">
        <v>22173</v>
      </c>
    </row>
    <row r="1398">
      <c r="A1398" s="2" t="s">
        <v>4557</v>
      </c>
      <c r="B1398" s="2" t="s">
        <v>4557</v>
      </c>
      <c r="C1398" s="2">
        <v>5.2417395295E10</v>
      </c>
      <c r="D1398" s="2" t="s">
        <v>22174</v>
      </c>
      <c r="E1398" s="2">
        <v>27772.0</v>
      </c>
      <c r="F1398" s="2">
        <v>11.0</v>
      </c>
      <c r="G1398" s="2">
        <v>0.0</v>
      </c>
      <c r="H1398" s="2" t="s">
        <v>5905</v>
      </c>
      <c r="I1398" s="2" t="s">
        <v>5905</v>
      </c>
      <c r="K1398" s="2" t="s">
        <v>22175</v>
      </c>
      <c r="L1398" s="10" t="s">
        <v>22176</v>
      </c>
    </row>
    <row r="1399">
      <c r="A1399" s="2" t="s">
        <v>4557</v>
      </c>
      <c r="B1399" s="2" t="s">
        <v>22177</v>
      </c>
      <c r="C1399" s="2">
        <v>3.08249587E8</v>
      </c>
      <c r="D1399" s="2" t="s">
        <v>22178</v>
      </c>
      <c r="E1399" s="2">
        <v>1101590.0</v>
      </c>
      <c r="F1399" s="2">
        <v>1471.0</v>
      </c>
      <c r="G1399" s="2">
        <v>4435.0</v>
      </c>
      <c r="H1399" s="2" t="s">
        <v>5906</v>
      </c>
      <c r="I1399" s="2" t="s">
        <v>5906</v>
      </c>
      <c r="J1399" s="2" t="s">
        <v>10219</v>
      </c>
      <c r="K1399" s="2" t="s">
        <v>22179</v>
      </c>
      <c r="L1399" s="10" t="s">
        <v>22180</v>
      </c>
    </row>
    <row r="1400">
      <c r="A1400" s="2" t="s">
        <v>4557</v>
      </c>
      <c r="B1400" s="2" t="s">
        <v>22181</v>
      </c>
      <c r="C1400" s="2">
        <v>6.274772147E9</v>
      </c>
      <c r="D1400" s="2" t="s">
        <v>22182</v>
      </c>
      <c r="E1400" s="2">
        <v>1000009.0</v>
      </c>
      <c r="F1400" s="2">
        <v>15.0</v>
      </c>
      <c r="G1400" s="2">
        <v>157.0</v>
      </c>
      <c r="H1400" s="2" t="s">
        <v>5905</v>
      </c>
      <c r="I1400" s="2" t="s">
        <v>5906</v>
      </c>
      <c r="J1400" s="2" t="s">
        <v>5561</v>
      </c>
      <c r="K1400" s="2" t="s">
        <v>22183</v>
      </c>
    </row>
    <row r="1401">
      <c r="A1401" s="2" t="s">
        <v>4557</v>
      </c>
      <c r="B1401" s="2" t="s">
        <v>22184</v>
      </c>
      <c r="C1401" s="2">
        <v>1.98498117E8</v>
      </c>
      <c r="D1401" s="2" t="s">
        <v>22185</v>
      </c>
      <c r="E1401" s="2">
        <v>108508.0</v>
      </c>
      <c r="F1401" s="2">
        <v>1232.0</v>
      </c>
      <c r="G1401" s="2">
        <v>3648.0</v>
      </c>
      <c r="H1401" s="2" t="s">
        <v>5906</v>
      </c>
      <c r="I1401" s="2" t="s">
        <v>5905</v>
      </c>
      <c r="J1401" s="2" t="s">
        <v>5959</v>
      </c>
      <c r="K1401" s="2" t="s">
        <v>22186</v>
      </c>
      <c r="L1401" s="10" t="s">
        <v>22187</v>
      </c>
    </row>
    <row r="1402">
      <c r="A1402" s="2" t="s">
        <v>4557</v>
      </c>
      <c r="B1402" s="2" t="s">
        <v>22188</v>
      </c>
      <c r="C1402" s="2">
        <v>9.263729726E9</v>
      </c>
      <c r="D1402" s="2" t="s">
        <v>22189</v>
      </c>
      <c r="E1402" s="2">
        <v>275795.0</v>
      </c>
      <c r="F1402" s="2">
        <v>169.0</v>
      </c>
      <c r="G1402" s="2">
        <v>5572.0</v>
      </c>
      <c r="H1402" s="2" t="s">
        <v>5905</v>
      </c>
      <c r="I1402" s="2" t="s">
        <v>5905</v>
      </c>
      <c r="J1402" s="2" t="s">
        <v>13634</v>
      </c>
      <c r="K1402" s="2" t="s">
        <v>22190</v>
      </c>
      <c r="L1402" s="10" t="s">
        <v>22191</v>
      </c>
    </row>
    <row r="1403">
      <c r="A1403" s="2" t="s">
        <v>4621</v>
      </c>
      <c r="B1403" s="2" t="s">
        <v>22192</v>
      </c>
      <c r="C1403" s="2">
        <v>1.753487941E9</v>
      </c>
      <c r="D1403" s="2" t="s">
        <v>22193</v>
      </c>
      <c r="E1403" s="2">
        <v>17821.0</v>
      </c>
      <c r="F1403" s="2">
        <v>299.0</v>
      </c>
      <c r="G1403" s="2">
        <v>776.0</v>
      </c>
      <c r="H1403" s="2" t="s">
        <v>5906</v>
      </c>
      <c r="I1403" s="2" t="s">
        <v>5906</v>
      </c>
      <c r="J1403" s="2" t="s">
        <v>10543</v>
      </c>
      <c r="K1403" s="2" t="s">
        <v>22194</v>
      </c>
      <c r="L1403" s="10" t="s">
        <v>22195</v>
      </c>
    </row>
    <row r="1404">
      <c r="A1404" s="2" t="s">
        <v>4621</v>
      </c>
      <c r="B1404" s="2" t="s">
        <v>22196</v>
      </c>
      <c r="C1404" s="2">
        <v>6.34691805E9</v>
      </c>
      <c r="D1404" s="2" t="s">
        <v>22197</v>
      </c>
      <c r="E1404" s="2">
        <v>96999.0</v>
      </c>
      <c r="F1404" s="2">
        <v>170.0</v>
      </c>
      <c r="G1404" s="2">
        <v>1878.0</v>
      </c>
      <c r="H1404" s="2" t="s">
        <v>5905</v>
      </c>
      <c r="I1404" s="2" t="s">
        <v>5906</v>
      </c>
      <c r="J1404" s="2" t="s">
        <v>5491</v>
      </c>
      <c r="K1404" s="2" t="s">
        <v>22198</v>
      </c>
      <c r="L1404" s="10" t="s">
        <v>22199</v>
      </c>
    </row>
    <row r="1405">
      <c r="A1405" s="2" t="s">
        <v>4621</v>
      </c>
      <c r="B1405" s="2" t="s">
        <v>22200</v>
      </c>
      <c r="C1405" s="2">
        <v>5.78371986E9</v>
      </c>
      <c r="D1405" s="2" t="s">
        <v>22201</v>
      </c>
      <c r="E1405" s="2">
        <v>609223.0</v>
      </c>
      <c r="F1405" s="2">
        <v>5005.0</v>
      </c>
      <c r="G1405" s="2">
        <v>684.0</v>
      </c>
      <c r="H1405" s="2" t="s">
        <v>5906</v>
      </c>
      <c r="I1405" s="2" t="s">
        <v>5905</v>
      </c>
      <c r="J1405" s="2" t="s">
        <v>9848</v>
      </c>
      <c r="K1405" s="2" t="s">
        <v>22202</v>
      </c>
      <c r="L1405" s="10" t="s">
        <v>22203</v>
      </c>
    </row>
    <row r="1406">
      <c r="A1406" s="2" t="s">
        <v>4621</v>
      </c>
      <c r="B1406" s="2" t="s">
        <v>22204</v>
      </c>
      <c r="C1406" s="2">
        <v>7.965225145E9</v>
      </c>
      <c r="D1406" s="2" t="s">
        <v>22205</v>
      </c>
      <c r="E1406" s="2">
        <v>21508.0</v>
      </c>
      <c r="F1406" s="2">
        <v>132.0</v>
      </c>
      <c r="G1406" s="2">
        <v>18.0</v>
      </c>
      <c r="H1406" s="2" t="s">
        <v>5906</v>
      </c>
      <c r="I1406" s="2" t="s">
        <v>5905</v>
      </c>
      <c r="J1406" s="2" t="s">
        <v>6414</v>
      </c>
      <c r="K1406" s="2" t="s">
        <v>22206</v>
      </c>
      <c r="L1406" s="10" t="s">
        <v>22207</v>
      </c>
    </row>
    <row r="1407">
      <c r="A1407" s="2" t="s">
        <v>4621</v>
      </c>
      <c r="B1407" s="2" t="s">
        <v>22208</v>
      </c>
      <c r="C1407" s="2">
        <v>5.2159765339E10</v>
      </c>
      <c r="D1407" s="2" t="s">
        <v>22209</v>
      </c>
      <c r="E1407" s="2">
        <v>279849.0</v>
      </c>
      <c r="F1407" s="2">
        <v>65.0</v>
      </c>
      <c r="G1407" s="2">
        <v>1395.0</v>
      </c>
      <c r="H1407" s="2" t="s">
        <v>5906</v>
      </c>
      <c r="I1407" s="2" t="s">
        <v>5906</v>
      </c>
      <c r="J1407" s="2" t="s">
        <v>6002</v>
      </c>
      <c r="K1407" s="2" t="s">
        <v>22210</v>
      </c>
      <c r="L1407" s="10" t="s">
        <v>22211</v>
      </c>
    </row>
    <row r="1408">
      <c r="A1408" s="2" t="s">
        <v>4621</v>
      </c>
      <c r="B1408" s="2" t="s">
        <v>22212</v>
      </c>
      <c r="C1408" s="2">
        <v>4.4405749393E10</v>
      </c>
      <c r="D1408" s="2" t="s">
        <v>22213</v>
      </c>
      <c r="E1408" s="2">
        <v>153985.0</v>
      </c>
      <c r="F1408" s="2">
        <v>154.0</v>
      </c>
      <c r="G1408" s="2">
        <v>139.0</v>
      </c>
      <c r="H1408" s="2" t="s">
        <v>5905</v>
      </c>
      <c r="I1408" s="2" t="s">
        <v>5906</v>
      </c>
      <c r="J1408" s="2" t="s">
        <v>15546</v>
      </c>
      <c r="K1408" s="2" t="s">
        <v>22214</v>
      </c>
      <c r="L1408" s="10" t="s">
        <v>22215</v>
      </c>
    </row>
    <row r="1409">
      <c r="A1409" s="2" t="s">
        <v>4621</v>
      </c>
      <c r="B1409" s="2" t="s">
        <v>22216</v>
      </c>
      <c r="C1409" s="2">
        <v>5.3481932674E10</v>
      </c>
      <c r="D1409" s="2" t="s">
        <v>22217</v>
      </c>
      <c r="E1409" s="2">
        <v>79863.0</v>
      </c>
      <c r="F1409" s="2">
        <v>1011.0</v>
      </c>
      <c r="G1409" s="2">
        <v>1373.0</v>
      </c>
      <c r="H1409" s="2" t="s">
        <v>5906</v>
      </c>
      <c r="I1409" s="2" t="s">
        <v>5906</v>
      </c>
      <c r="J1409" s="2" t="s">
        <v>10543</v>
      </c>
      <c r="K1409" s="2" t="s">
        <v>22218</v>
      </c>
      <c r="L1409" s="10" t="s">
        <v>22219</v>
      </c>
    </row>
    <row r="1410">
      <c r="A1410" s="2" t="s">
        <v>3767</v>
      </c>
      <c r="B1410" s="2" t="s">
        <v>22220</v>
      </c>
      <c r="C1410" s="2">
        <v>5.951640912E9</v>
      </c>
      <c r="D1410" s="2" t="s">
        <v>22221</v>
      </c>
      <c r="E1410" s="2">
        <v>279681.0</v>
      </c>
      <c r="F1410" s="2">
        <v>93.0</v>
      </c>
      <c r="G1410" s="2">
        <v>2275.0</v>
      </c>
      <c r="H1410" s="2" t="s">
        <v>5905</v>
      </c>
      <c r="I1410" s="2" t="s">
        <v>5905</v>
      </c>
      <c r="J1410" s="2" t="s">
        <v>5561</v>
      </c>
      <c r="K1410" s="2" t="s">
        <v>22222</v>
      </c>
    </row>
    <row r="1411">
      <c r="A1411" s="2" t="s">
        <v>3767</v>
      </c>
      <c r="B1411" s="2" t="s">
        <v>22223</v>
      </c>
      <c r="C1411" s="2">
        <v>8.567848869E9</v>
      </c>
      <c r="D1411" s="2" t="s">
        <v>22224</v>
      </c>
      <c r="E1411" s="2">
        <v>300245.0</v>
      </c>
      <c r="F1411" s="2">
        <v>36.0</v>
      </c>
      <c r="G1411" s="2">
        <v>3434.0</v>
      </c>
      <c r="H1411" s="2" t="s">
        <v>5906</v>
      </c>
      <c r="I1411" s="2" t="s">
        <v>5905</v>
      </c>
      <c r="J1411" s="2" t="s">
        <v>8615</v>
      </c>
      <c r="K1411" s="2" t="s">
        <v>22225</v>
      </c>
      <c r="L1411" s="10" t="s">
        <v>22226</v>
      </c>
    </row>
    <row r="1412">
      <c r="A1412" s="2" t="s">
        <v>3767</v>
      </c>
      <c r="B1412" s="2" t="s">
        <v>22227</v>
      </c>
      <c r="C1412" s="2">
        <v>2.1849612039E10</v>
      </c>
      <c r="D1412" s="2" t="s">
        <v>22228</v>
      </c>
      <c r="E1412" s="2">
        <v>34334.0</v>
      </c>
      <c r="F1412" s="2">
        <v>73.0</v>
      </c>
      <c r="G1412" s="2">
        <v>2155.0</v>
      </c>
      <c r="H1412" s="2" t="s">
        <v>5906</v>
      </c>
      <c r="I1412" s="2" t="s">
        <v>5906</v>
      </c>
      <c r="J1412" s="2" t="s">
        <v>8615</v>
      </c>
      <c r="K1412" s="12" t="s">
        <v>22229</v>
      </c>
      <c r="L1412" s="10" t="s">
        <v>22230</v>
      </c>
    </row>
    <row r="1413">
      <c r="A1413" s="2" t="s">
        <v>3767</v>
      </c>
      <c r="B1413" s="2" t="s">
        <v>22231</v>
      </c>
      <c r="C1413" s="2">
        <v>1.0230248139E10</v>
      </c>
      <c r="D1413" s="2" t="s">
        <v>22232</v>
      </c>
      <c r="E1413" s="2">
        <v>44516.0</v>
      </c>
      <c r="F1413" s="2">
        <v>156.0</v>
      </c>
      <c r="G1413" s="2">
        <v>6021.0</v>
      </c>
      <c r="H1413" s="2" t="s">
        <v>5906</v>
      </c>
      <c r="I1413" s="2" t="s">
        <v>5906</v>
      </c>
      <c r="J1413" s="2" t="s">
        <v>8615</v>
      </c>
      <c r="K1413" s="2" t="s">
        <v>22233</v>
      </c>
      <c r="L1413" s="10" t="s">
        <v>22234</v>
      </c>
    </row>
    <row r="1414">
      <c r="A1414" s="2" t="s">
        <v>3767</v>
      </c>
      <c r="B1414" s="2" t="s">
        <v>22235</v>
      </c>
      <c r="C1414" s="2">
        <v>2.92864121E8</v>
      </c>
      <c r="D1414" s="2" t="s">
        <v>22236</v>
      </c>
      <c r="E1414" s="2">
        <v>4642976.0</v>
      </c>
      <c r="F1414" s="2">
        <v>1042.0</v>
      </c>
      <c r="G1414" s="2">
        <v>2960.0</v>
      </c>
      <c r="H1414" s="2" t="s">
        <v>5906</v>
      </c>
      <c r="I1414" s="2" t="s">
        <v>5906</v>
      </c>
      <c r="K1414" s="2" t="s">
        <v>22237</v>
      </c>
      <c r="L1414" s="10" t="s">
        <v>22238</v>
      </c>
    </row>
    <row r="1415">
      <c r="A1415" s="2" t="s">
        <v>3767</v>
      </c>
      <c r="B1415" s="2" t="s">
        <v>22239</v>
      </c>
      <c r="C1415" s="2">
        <v>4.16906741E8</v>
      </c>
      <c r="D1415" s="2" t="s">
        <v>22240</v>
      </c>
      <c r="E1415" s="2">
        <v>873153.0</v>
      </c>
      <c r="F1415" s="2">
        <v>207.0</v>
      </c>
      <c r="G1415" s="2">
        <v>5946.0</v>
      </c>
      <c r="H1415" s="2" t="s">
        <v>5906</v>
      </c>
      <c r="I1415" s="2" t="s">
        <v>5905</v>
      </c>
      <c r="J1415" s="2" t="s">
        <v>10778</v>
      </c>
      <c r="K1415" s="2" t="s">
        <v>22241</v>
      </c>
      <c r="L1415" s="10" t="s">
        <v>22242</v>
      </c>
    </row>
    <row r="1416">
      <c r="A1416" s="2" t="s">
        <v>3767</v>
      </c>
      <c r="B1416" s="2" t="s">
        <v>22243</v>
      </c>
      <c r="C1416" s="2">
        <v>8.039101305E9</v>
      </c>
      <c r="D1416" s="2" t="s">
        <v>22244</v>
      </c>
      <c r="E1416" s="2">
        <v>42321.0</v>
      </c>
      <c r="F1416" s="2">
        <v>22.0</v>
      </c>
      <c r="G1416" s="2">
        <v>1542.0</v>
      </c>
      <c r="H1416" s="2" t="s">
        <v>5906</v>
      </c>
      <c r="I1416" s="2" t="s">
        <v>5906</v>
      </c>
      <c r="K1416" s="2" t="s">
        <v>22245</v>
      </c>
      <c r="L1416" s="10" t="s">
        <v>22246</v>
      </c>
    </row>
    <row r="1417">
      <c r="A1417" s="2" t="s">
        <v>3767</v>
      </c>
      <c r="B1417" s="2" t="s">
        <v>22247</v>
      </c>
      <c r="C1417" s="2">
        <v>7.942687554E9</v>
      </c>
      <c r="D1417" s="2" t="s">
        <v>22248</v>
      </c>
      <c r="E1417" s="2">
        <v>100571.0</v>
      </c>
      <c r="F1417" s="2">
        <v>91.0</v>
      </c>
      <c r="G1417" s="2">
        <v>3475.0</v>
      </c>
      <c r="H1417" s="2" t="s">
        <v>5906</v>
      </c>
      <c r="I1417" s="2" t="s">
        <v>5906</v>
      </c>
      <c r="J1417" s="2" t="s">
        <v>10778</v>
      </c>
      <c r="K1417" s="2" t="s">
        <v>22249</v>
      </c>
      <c r="L1417" s="10" t="s">
        <v>22250</v>
      </c>
    </row>
    <row r="1418">
      <c r="A1418" s="2" t="s">
        <v>3767</v>
      </c>
      <c r="B1418" s="2" t="s">
        <v>22251</v>
      </c>
      <c r="C1418" s="2">
        <v>5.2200312487E10</v>
      </c>
      <c r="D1418" s="2" t="s">
        <v>22252</v>
      </c>
      <c r="E1418" s="2">
        <v>13818.0</v>
      </c>
      <c r="F1418" s="2">
        <v>9.0</v>
      </c>
      <c r="G1418" s="2">
        <v>1065.0</v>
      </c>
      <c r="H1418" s="2" t="s">
        <v>5906</v>
      </c>
      <c r="I1418" s="2" t="s">
        <v>5906</v>
      </c>
      <c r="J1418" s="2" t="s">
        <v>8615</v>
      </c>
      <c r="K1418" s="2" t="s">
        <v>22253</v>
      </c>
      <c r="L1418" s="10" t="s">
        <v>22254</v>
      </c>
    </row>
    <row r="1419">
      <c r="A1419" s="2" t="s">
        <v>3767</v>
      </c>
      <c r="B1419" s="2" t="s">
        <v>22255</v>
      </c>
      <c r="C1419" s="2">
        <v>2.286878359E9</v>
      </c>
      <c r="D1419" s="2" t="s">
        <v>22256</v>
      </c>
      <c r="E1419" s="2">
        <v>248049.0</v>
      </c>
      <c r="F1419" s="2">
        <v>54.0</v>
      </c>
      <c r="G1419" s="2">
        <v>3315.0</v>
      </c>
      <c r="H1419" s="2" t="s">
        <v>5906</v>
      </c>
      <c r="I1419" s="2" t="s">
        <v>5906</v>
      </c>
      <c r="J1419" s="2" t="s">
        <v>22257</v>
      </c>
      <c r="K1419" s="2" t="s">
        <v>22258</v>
      </c>
      <c r="L1419" s="10" t="s">
        <v>22259</v>
      </c>
    </row>
    <row r="1420">
      <c r="A1420" s="2" t="s">
        <v>3767</v>
      </c>
      <c r="B1420" s="2" t="s">
        <v>22260</v>
      </c>
      <c r="C1420" s="2">
        <v>1.498797108E9</v>
      </c>
      <c r="D1420" s="2" t="s">
        <v>22261</v>
      </c>
      <c r="E1420" s="2">
        <v>70013.0</v>
      </c>
      <c r="F1420" s="2">
        <v>153.0</v>
      </c>
      <c r="G1420" s="2">
        <v>2775.0</v>
      </c>
      <c r="H1420" s="2" t="s">
        <v>5906</v>
      </c>
      <c r="I1420" s="2" t="s">
        <v>5906</v>
      </c>
      <c r="J1420" s="2" t="s">
        <v>6002</v>
      </c>
      <c r="K1420" s="2" t="s">
        <v>22262</v>
      </c>
    </row>
    <row r="1421">
      <c r="A1421" s="2" t="s">
        <v>3767</v>
      </c>
      <c r="B1421" s="2" t="s">
        <v>22263</v>
      </c>
      <c r="C1421" s="2">
        <v>6.6145454327E10</v>
      </c>
      <c r="D1421" s="2" t="s">
        <v>22264</v>
      </c>
      <c r="E1421" s="2">
        <v>10265.0</v>
      </c>
      <c r="F1421" s="2">
        <v>797.0</v>
      </c>
      <c r="G1421" s="2">
        <v>990.0</v>
      </c>
      <c r="H1421" s="2" t="s">
        <v>5905</v>
      </c>
      <c r="I1421" s="2" t="s">
        <v>5905</v>
      </c>
      <c r="J1421" s="2" t="s">
        <v>5561</v>
      </c>
      <c r="K1421" s="2" t="s">
        <v>22265</v>
      </c>
      <c r="L1421" s="10" t="s">
        <v>22266</v>
      </c>
    </row>
    <row r="1422">
      <c r="A1422" s="2" t="s">
        <v>3767</v>
      </c>
      <c r="B1422" s="2" t="s">
        <v>22267</v>
      </c>
      <c r="C1422" s="2">
        <v>8.00434439E9</v>
      </c>
      <c r="D1422" s="2" t="s">
        <v>22268</v>
      </c>
      <c r="E1422" s="2">
        <v>463878.0</v>
      </c>
      <c r="F1422" s="2">
        <v>152.0</v>
      </c>
      <c r="G1422" s="2">
        <v>6448.0</v>
      </c>
      <c r="H1422" s="2" t="s">
        <v>5906</v>
      </c>
      <c r="I1422" s="2" t="s">
        <v>5906</v>
      </c>
      <c r="K1422" s="2" t="s">
        <v>22269</v>
      </c>
    </row>
    <row r="1423">
      <c r="A1423" s="2" t="s">
        <v>3767</v>
      </c>
      <c r="B1423" s="2" t="s">
        <v>22270</v>
      </c>
      <c r="C1423" s="2">
        <v>1.98157804E9</v>
      </c>
      <c r="D1423" s="2" t="s">
        <v>22271</v>
      </c>
      <c r="E1423" s="2">
        <v>332565.0</v>
      </c>
      <c r="F1423" s="2">
        <v>10.0</v>
      </c>
      <c r="G1423" s="2">
        <v>2665.0</v>
      </c>
      <c r="H1423" s="2" t="s">
        <v>5906</v>
      </c>
      <c r="I1423" s="2" t="s">
        <v>5906</v>
      </c>
      <c r="K1423" s="2" t="s">
        <v>22272</v>
      </c>
      <c r="L1423" s="10" t="s">
        <v>22273</v>
      </c>
    </row>
    <row r="1424">
      <c r="A1424" s="2" t="s">
        <v>3767</v>
      </c>
      <c r="B1424" s="2" t="s">
        <v>22274</v>
      </c>
      <c r="C1424" s="2">
        <v>2.1472673756E10</v>
      </c>
      <c r="D1424" s="2" t="s">
        <v>22275</v>
      </c>
      <c r="E1424" s="2">
        <v>411257.0</v>
      </c>
      <c r="F1424" s="2">
        <v>25.0</v>
      </c>
      <c r="G1424" s="2">
        <v>2117.0</v>
      </c>
      <c r="H1424" s="2" t="s">
        <v>5906</v>
      </c>
      <c r="I1424" s="2" t="s">
        <v>5906</v>
      </c>
      <c r="J1424" s="2" t="s">
        <v>8615</v>
      </c>
      <c r="K1424" s="2" t="s">
        <v>22276</v>
      </c>
      <c r="L1424" s="10" t="s">
        <v>22277</v>
      </c>
    </row>
    <row r="1425">
      <c r="A1425" s="2" t="s">
        <v>3767</v>
      </c>
      <c r="B1425" s="2" t="s">
        <v>22278</v>
      </c>
      <c r="C1425" s="2">
        <v>8.35684957E9</v>
      </c>
      <c r="D1425" s="2" t="s">
        <v>22279</v>
      </c>
      <c r="E1425" s="2">
        <v>29786.0</v>
      </c>
      <c r="F1425" s="2">
        <v>69.0</v>
      </c>
      <c r="G1425" s="2">
        <v>2163.0</v>
      </c>
      <c r="H1425" s="2" t="s">
        <v>5906</v>
      </c>
      <c r="I1425" s="2" t="s">
        <v>5906</v>
      </c>
      <c r="J1425" s="2" t="s">
        <v>8615</v>
      </c>
      <c r="K1425" s="2" t="s">
        <v>22280</v>
      </c>
      <c r="L1425" s="10" t="s">
        <v>22281</v>
      </c>
    </row>
    <row r="1426">
      <c r="A1426" s="2" t="s">
        <v>4582</v>
      </c>
      <c r="B1426" s="2" t="s">
        <v>22282</v>
      </c>
      <c r="C1426" s="2">
        <v>3.871465555E9</v>
      </c>
      <c r="D1426" s="2" t="s">
        <v>22283</v>
      </c>
      <c r="E1426" s="2">
        <v>1025318.0</v>
      </c>
      <c r="F1426" s="2">
        <v>3.0</v>
      </c>
      <c r="G1426" s="2">
        <v>1938.0</v>
      </c>
      <c r="H1426" s="2" t="s">
        <v>5905</v>
      </c>
      <c r="I1426" s="2" t="s">
        <v>5905</v>
      </c>
      <c r="K1426" s="2" t="s">
        <v>22284</v>
      </c>
    </row>
    <row r="1427">
      <c r="A1427" s="2" t="s">
        <v>4582</v>
      </c>
      <c r="B1427" s="2" t="s">
        <v>22285</v>
      </c>
      <c r="C1427" s="2">
        <v>5.48544425E9</v>
      </c>
      <c r="E1427" s="2">
        <v>459120.0</v>
      </c>
      <c r="F1427" s="2">
        <v>91.0</v>
      </c>
      <c r="G1427" s="2">
        <v>450.0</v>
      </c>
      <c r="H1427" s="2" t="s">
        <v>5905</v>
      </c>
      <c r="I1427" s="2" t="s">
        <v>5905</v>
      </c>
      <c r="J1427" s="2" t="s">
        <v>5959</v>
      </c>
      <c r="K1427" s="2" t="s">
        <v>22286</v>
      </c>
    </row>
    <row r="1428">
      <c r="A1428" s="2" t="s">
        <v>4582</v>
      </c>
      <c r="B1428" s="10" t="s">
        <v>22287</v>
      </c>
      <c r="C1428" s="2">
        <v>2.594965102E9</v>
      </c>
      <c r="D1428" s="2" t="s">
        <v>22288</v>
      </c>
      <c r="E1428" s="2">
        <v>59513.0</v>
      </c>
      <c r="F1428" s="2">
        <v>37.0</v>
      </c>
      <c r="G1428" s="2">
        <v>3106.0</v>
      </c>
      <c r="H1428" s="2" t="s">
        <v>5905</v>
      </c>
      <c r="I1428" s="2" t="s">
        <v>5905</v>
      </c>
      <c r="J1428" s="2" t="s">
        <v>5391</v>
      </c>
      <c r="K1428" s="2" t="s">
        <v>22289</v>
      </c>
      <c r="L1428" s="10" t="s">
        <v>22290</v>
      </c>
    </row>
    <row r="1429">
      <c r="A1429" s="2" t="s">
        <v>4582</v>
      </c>
      <c r="B1429" s="2" t="s">
        <v>22291</v>
      </c>
      <c r="C1429" s="2">
        <v>7.309011237E10</v>
      </c>
      <c r="D1429" s="2" t="s">
        <v>22292</v>
      </c>
      <c r="E1429" s="2">
        <v>57437.0</v>
      </c>
      <c r="F1429" s="2">
        <v>6.0</v>
      </c>
      <c r="G1429" s="2">
        <v>264.0</v>
      </c>
      <c r="H1429" s="2" t="s">
        <v>5905</v>
      </c>
      <c r="I1429" s="2" t="s">
        <v>5905</v>
      </c>
      <c r="J1429" s="2" t="s">
        <v>5959</v>
      </c>
      <c r="K1429" s="2" t="s">
        <v>22293</v>
      </c>
    </row>
    <row r="1430">
      <c r="A1430" s="2" t="s">
        <v>4698</v>
      </c>
      <c r="B1430" s="2" t="s">
        <v>22294</v>
      </c>
      <c r="C1430" s="2">
        <v>4.8728627905E10</v>
      </c>
      <c r="D1430" s="2" t="s">
        <v>22295</v>
      </c>
      <c r="E1430" s="2">
        <v>19352.0</v>
      </c>
      <c r="F1430" s="2">
        <v>2.0</v>
      </c>
      <c r="G1430" s="2">
        <v>678.0</v>
      </c>
      <c r="H1430" s="2" t="s">
        <v>5905</v>
      </c>
      <c r="I1430" s="2" t="s">
        <v>5906</v>
      </c>
      <c r="J1430" s="2" t="s">
        <v>6027</v>
      </c>
      <c r="K1430" s="2" t="s">
        <v>22296</v>
      </c>
      <c r="L1430" s="10" t="s">
        <v>22297</v>
      </c>
    </row>
    <row r="1431">
      <c r="A1431" s="2" t="s">
        <v>4698</v>
      </c>
      <c r="B1431" s="2" t="s">
        <v>22298</v>
      </c>
      <c r="C1431" s="2">
        <v>1.431159041E9</v>
      </c>
      <c r="D1431" s="2" t="s">
        <v>22299</v>
      </c>
      <c r="E1431" s="2">
        <v>39237.0</v>
      </c>
      <c r="F1431" s="2">
        <v>3525.0</v>
      </c>
      <c r="G1431" s="2">
        <v>2208.0</v>
      </c>
      <c r="H1431" s="2" t="s">
        <v>5905</v>
      </c>
      <c r="I1431" s="2" t="s">
        <v>5906</v>
      </c>
      <c r="K1431" s="2" t="s">
        <v>22300</v>
      </c>
      <c r="L1431" s="10" t="s">
        <v>22301</v>
      </c>
    </row>
    <row r="1432">
      <c r="A1432" s="2" t="s">
        <v>4698</v>
      </c>
      <c r="B1432" s="2" t="s">
        <v>22302</v>
      </c>
      <c r="C1432" s="2">
        <v>1.1317527792E10</v>
      </c>
      <c r="D1432" s="2" t="s">
        <v>22303</v>
      </c>
      <c r="E1432" s="2">
        <v>26985.0</v>
      </c>
      <c r="F1432" s="2">
        <v>113.0</v>
      </c>
      <c r="G1432" s="2">
        <v>173.0</v>
      </c>
      <c r="H1432" s="2" t="s">
        <v>5905</v>
      </c>
      <c r="I1432" s="2" t="s">
        <v>5906</v>
      </c>
      <c r="J1432" s="2" t="s">
        <v>5928</v>
      </c>
      <c r="K1432" s="2" t="s">
        <v>22304</v>
      </c>
    </row>
    <row r="1433">
      <c r="A1433" s="2" t="s">
        <v>4698</v>
      </c>
      <c r="B1433" s="2" t="s">
        <v>22305</v>
      </c>
      <c r="C1433" s="2">
        <v>6.689448961E9</v>
      </c>
      <c r="D1433" s="2" t="s">
        <v>22306</v>
      </c>
      <c r="E1433" s="2">
        <v>10299.0</v>
      </c>
      <c r="F1433" s="2">
        <v>1.0</v>
      </c>
      <c r="G1433" s="2">
        <v>2821.0</v>
      </c>
      <c r="H1433" s="2" t="s">
        <v>5905</v>
      </c>
      <c r="I1433" s="2" t="s">
        <v>5906</v>
      </c>
      <c r="J1433" s="2" t="s">
        <v>6699</v>
      </c>
      <c r="K1433" s="2" t="s">
        <v>22307</v>
      </c>
    </row>
    <row r="1434">
      <c r="A1434" s="2" t="s">
        <v>4549</v>
      </c>
      <c r="B1434" s="2" t="s">
        <v>22308</v>
      </c>
      <c r="C1434" s="2">
        <v>4.240878066E9</v>
      </c>
      <c r="D1434" s="2" t="s">
        <v>22309</v>
      </c>
      <c r="E1434" s="2">
        <v>1163360.0</v>
      </c>
      <c r="F1434" s="2">
        <v>1.0</v>
      </c>
      <c r="G1434" s="2">
        <v>7352.0</v>
      </c>
      <c r="H1434" s="2" t="s">
        <v>5906</v>
      </c>
      <c r="I1434" s="2" t="s">
        <v>5906</v>
      </c>
      <c r="J1434" s="2" t="s">
        <v>5963</v>
      </c>
      <c r="K1434" s="2" t="s">
        <v>22310</v>
      </c>
      <c r="L1434" s="10" t="s">
        <v>22311</v>
      </c>
    </row>
    <row r="1435">
      <c r="A1435" s="2" t="s">
        <v>4549</v>
      </c>
      <c r="B1435" s="2" t="s">
        <v>22312</v>
      </c>
      <c r="C1435" s="2">
        <v>4.7331336583E10</v>
      </c>
      <c r="D1435" s="2" t="s">
        <v>22313</v>
      </c>
      <c r="E1435" s="2">
        <v>36679.0</v>
      </c>
      <c r="F1435" s="2">
        <v>7.0</v>
      </c>
      <c r="G1435" s="2">
        <v>100.0</v>
      </c>
      <c r="H1435" s="2" t="s">
        <v>5906</v>
      </c>
      <c r="I1435" s="2" t="s">
        <v>5906</v>
      </c>
      <c r="J1435" s="2" t="s">
        <v>6027</v>
      </c>
      <c r="K1435" s="2" t="s">
        <v>22314</v>
      </c>
      <c r="L1435" s="10" t="s">
        <v>22315</v>
      </c>
    </row>
    <row r="1436">
      <c r="A1436" s="2" t="s">
        <v>4549</v>
      </c>
      <c r="B1436" s="2" t="s">
        <v>22316</v>
      </c>
      <c r="C1436" s="2">
        <v>2.247663134E9</v>
      </c>
      <c r="D1436" s="2" t="s">
        <v>22317</v>
      </c>
      <c r="E1436" s="2">
        <v>163350.0</v>
      </c>
      <c r="F1436" s="2">
        <v>1002.0</v>
      </c>
      <c r="G1436" s="2">
        <v>380.0</v>
      </c>
      <c r="H1436" s="2" t="s">
        <v>5906</v>
      </c>
      <c r="I1436" s="2" t="s">
        <v>5905</v>
      </c>
      <c r="J1436" s="2" t="s">
        <v>5993</v>
      </c>
      <c r="K1436" s="2" t="s">
        <v>22318</v>
      </c>
      <c r="L1436" s="10" t="s">
        <v>22319</v>
      </c>
    </row>
    <row r="1437">
      <c r="A1437" s="2" t="s">
        <v>4549</v>
      </c>
      <c r="B1437" s="2" t="s">
        <v>22320</v>
      </c>
      <c r="C1437" s="2">
        <v>3.08142667E8</v>
      </c>
      <c r="D1437" s="2" t="s">
        <v>22321</v>
      </c>
      <c r="E1437" s="2">
        <v>584495.0</v>
      </c>
      <c r="F1437" s="2">
        <v>516.0</v>
      </c>
      <c r="G1437" s="2">
        <v>668.0</v>
      </c>
      <c r="H1437" s="2" t="s">
        <v>5906</v>
      </c>
      <c r="I1437" s="2" t="s">
        <v>5906</v>
      </c>
      <c r="J1437" s="2" t="s">
        <v>4996</v>
      </c>
      <c r="K1437" s="2" t="s">
        <v>22322</v>
      </c>
      <c r="L1437" s="10" t="s">
        <v>22323</v>
      </c>
    </row>
    <row r="1438">
      <c r="A1438" s="2" t="s">
        <v>4549</v>
      </c>
      <c r="B1438" s="2" t="s">
        <v>22324</v>
      </c>
      <c r="C1438" s="2">
        <v>5.27407471E8</v>
      </c>
      <c r="D1438" s="2" t="s">
        <v>22325</v>
      </c>
      <c r="E1438" s="2">
        <v>1.0500276E7</v>
      </c>
      <c r="F1438" s="2">
        <v>1930.0</v>
      </c>
      <c r="G1438" s="2">
        <v>590.0</v>
      </c>
      <c r="H1438" s="2" t="s">
        <v>5906</v>
      </c>
      <c r="I1438" s="2" t="s">
        <v>5906</v>
      </c>
      <c r="J1438" s="2" t="s">
        <v>4404</v>
      </c>
      <c r="K1438" s="2" t="s">
        <v>22326</v>
      </c>
    </row>
    <row r="1439">
      <c r="A1439" s="2" t="s">
        <v>4549</v>
      </c>
      <c r="B1439" s="2" t="s">
        <v>22327</v>
      </c>
      <c r="C1439" s="2">
        <v>3.5772870331E10</v>
      </c>
      <c r="D1439" s="2" t="s">
        <v>22328</v>
      </c>
      <c r="E1439" s="2">
        <v>31456.0</v>
      </c>
      <c r="F1439" s="2">
        <v>1063.0</v>
      </c>
      <c r="G1439" s="2">
        <v>537.0</v>
      </c>
      <c r="H1439" s="2" t="s">
        <v>5905</v>
      </c>
      <c r="I1439" s="2" t="s">
        <v>5906</v>
      </c>
      <c r="J1439" s="2" t="s">
        <v>7613</v>
      </c>
      <c r="K1439" s="2" t="s">
        <v>22329</v>
      </c>
      <c r="L1439" s="10" t="s">
        <v>22330</v>
      </c>
    </row>
    <row r="1440">
      <c r="A1440" s="2" t="s">
        <v>4549</v>
      </c>
      <c r="B1440" s="2" t="s">
        <v>4549</v>
      </c>
      <c r="C1440" s="2">
        <v>3.27771661E8</v>
      </c>
      <c r="D1440" s="2" t="s">
        <v>22331</v>
      </c>
      <c r="E1440" s="2">
        <v>2960972.0</v>
      </c>
      <c r="F1440" s="2">
        <v>2265.0</v>
      </c>
      <c r="G1440" s="2">
        <v>8935.0</v>
      </c>
      <c r="H1440" s="2" t="s">
        <v>5906</v>
      </c>
      <c r="I1440" s="2" t="s">
        <v>5906</v>
      </c>
      <c r="J1440" s="2" t="s">
        <v>5911</v>
      </c>
      <c r="K1440" s="2" t="s">
        <v>22332</v>
      </c>
      <c r="L1440" s="10" t="s">
        <v>22333</v>
      </c>
    </row>
    <row r="1441">
      <c r="A1441" s="2" t="s">
        <v>4549</v>
      </c>
      <c r="B1441" s="2" t="s">
        <v>22334</v>
      </c>
      <c r="C1441" s="2">
        <v>4.475197304E9</v>
      </c>
      <c r="D1441" s="2" t="s">
        <v>22335</v>
      </c>
      <c r="E1441" s="2">
        <v>2557735.0</v>
      </c>
      <c r="F1441" s="2">
        <v>4733.0</v>
      </c>
      <c r="G1441" s="2">
        <v>18816.0</v>
      </c>
      <c r="H1441" s="2" t="s">
        <v>5906</v>
      </c>
      <c r="I1441" s="2" t="s">
        <v>5906</v>
      </c>
      <c r="J1441" s="2" t="s">
        <v>5561</v>
      </c>
      <c r="K1441" s="2" t="s">
        <v>22336</v>
      </c>
      <c r="L1441" s="10" t="s">
        <v>22337</v>
      </c>
    </row>
    <row r="1442">
      <c r="A1442" s="2" t="s">
        <v>4549</v>
      </c>
      <c r="B1442" s="2" t="s">
        <v>22338</v>
      </c>
      <c r="C1442" s="2">
        <v>6.0760278253E10</v>
      </c>
      <c r="D1442" s="2" t="s">
        <v>22339</v>
      </c>
      <c r="E1442" s="2">
        <v>369462.0</v>
      </c>
      <c r="F1442" s="2">
        <v>13.0</v>
      </c>
      <c r="G1442" s="2">
        <v>2220.0</v>
      </c>
      <c r="H1442" s="2" t="s">
        <v>5905</v>
      </c>
      <c r="I1442" s="2" t="s">
        <v>5905</v>
      </c>
      <c r="J1442" s="2" t="s">
        <v>5492</v>
      </c>
      <c r="K1442" s="2" t="s">
        <v>22340</v>
      </c>
      <c r="L1442" s="10" t="s">
        <v>22341</v>
      </c>
    </row>
    <row r="1443">
      <c r="A1443" s="2" t="s">
        <v>4549</v>
      </c>
      <c r="B1443" s="2" t="s">
        <v>22342</v>
      </c>
      <c r="C1443" s="2">
        <v>2.775971656E10</v>
      </c>
      <c r="D1443" s="2" t="s">
        <v>22343</v>
      </c>
      <c r="E1443" s="2">
        <v>20065.0</v>
      </c>
      <c r="F1443" s="2">
        <v>650.0</v>
      </c>
      <c r="G1443" s="2">
        <v>255.0</v>
      </c>
      <c r="H1443" s="2" t="s">
        <v>5905</v>
      </c>
      <c r="I1443" s="2" t="s">
        <v>5906</v>
      </c>
      <c r="K1443" s="2" t="s">
        <v>22344</v>
      </c>
      <c r="L1443" s="10" t="s">
        <v>22345</v>
      </c>
    </row>
    <row r="1444">
      <c r="A1444" s="2" t="s">
        <v>4549</v>
      </c>
      <c r="B1444" s="2" t="s">
        <v>22346</v>
      </c>
      <c r="C1444" s="2">
        <v>1.1121471429E10</v>
      </c>
      <c r="D1444" s="2" t="s">
        <v>22347</v>
      </c>
      <c r="E1444" s="2">
        <v>159969.0</v>
      </c>
      <c r="F1444" s="2">
        <v>166.0</v>
      </c>
      <c r="G1444" s="2">
        <v>2322.0</v>
      </c>
      <c r="H1444" s="2" t="s">
        <v>5905</v>
      </c>
      <c r="I1444" s="2" t="s">
        <v>5906</v>
      </c>
      <c r="J1444" s="2" t="s">
        <v>5492</v>
      </c>
      <c r="K1444" s="2" t="s">
        <v>22348</v>
      </c>
      <c r="L1444" s="10" t="s">
        <v>22349</v>
      </c>
    </row>
    <row r="1445">
      <c r="A1445" s="2" t="s">
        <v>4549</v>
      </c>
      <c r="B1445" s="2" t="s">
        <v>22350</v>
      </c>
      <c r="C1445" s="2">
        <v>1.833334325E9</v>
      </c>
      <c r="D1445" s="2" t="s">
        <v>22351</v>
      </c>
      <c r="E1445" s="2">
        <v>2807920.0</v>
      </c>
      <c r="F1445" s="2">
        <v>2081.0</v>
      </c>
      <c r="G1445" s="2">
        <v>10858.0</v>
      </c>
      <c r="H1445" s="2" t="s">
        <v>5906</v>
      </c>
      <c r="I1445" s="2" t="s">
        <v>5906</v>
      </c>
      <c r="J1445" s="2" t="s">
        <v>5959</v>
      </c>
      <c r="K1445" s="2" t="s">
        <v>22352</v>
      </c>
      <c r="L1445" s="10" t="s">
        <v>22353</v>
      </c>
    </row>
    <row r="1446">
      <c r="A1446" s="2" t="s">
        <v>4549</v>
      </c>
      <c r="B1446" s="2" t="s">
        <v>22354</v>
      </c>
      <c r="C1446" s="2">
        <v>3.50583568E8</v>
      </c>
      <c r="D1446" s="2" t="s">
        <v>22355</v>
      </c>
      <c r="E1446" s="2">
        <v>272888.0</v>
      </c>
      <c r="F1446" s="2">
        <v>0.0</v>
      </c>
      <c r="G1446" s="2">
        <v>36.0</v>
      </c>
      <c r="H1446" s="2" t="s">
        <v>5905</v>
      </c>
      <c r="I1446" s="2" t="s">
        <v>5906</v>
      </c>
      <c r="K1446" s="2" t="s">
        <v>22356</v>
      </c>
      <c r="L1446" s="10" t="s">
        <v>22357</v>
      </c>
    </row>
    <row r="1447">
      <c r="A1447" s="2" t="s">
        <v>4549</v>
      </c>
      <c r="B1447" s="2" t="s">
        <v>22358</v>
      </c>
      <c r="C1447" s="2">
        <v>4.97074429E8</v>
      </c>
      <c r="D1447" s="2" t="s">
        <v>22359</v>
      </c>
      <c r="E1447" s="2">
        <v>1699205.0</v>
      </c>
      <c r="F1447" s="2">
        <v>3170.0</v>
      </c>
      <c r="G1447" s="2">
        <v>5897.0</v>
      </c>
      <c r="H1447" s="2" t="s">
        <v>5906</v>
      </c>
      <c r="I1447" s="2" t="s">
        <v>5906</v>
      </c>
      <c r="J1447" s="2" t="s">
        <v>8911</v>
      </c>
      <c r="K1447" s="2" t="s">
        <v>22360</v>
      </c>
      <c r="L1447" s="10" t="s">
        <v>22361</v>
      </c>
    </row>
    <row r="1448">
      <c r="A1448" s="2" t="s">
        <v>4546</v>
      </c>
      <c r="B1448" s="2" t="s">
        <v>22362</v>
      </c>
      <c r="C1448" s="2">
        <v>3.40465464E8</v>
      </c>
      <c r="D1448" s="2" t="s">
        <v>22363</v>
      </c>
      <c r="E1448" s="2">
        <v>14471.0</v>
      </c>
      <c r="F1448" s="2">
        <v>1640.0</v>
      </c>
      <c r="G1448" s="2">
        <v>932.0</v>
      </c>
      <c r="H1448" s="2" t="s">
        <v>5905</v>
      </c>
      <c r="I1448" s="2" t="s">
        <v>5905</v>
      </c>
      <c r="J1448" s="2" t="s">
        <v>9016</v>
      </c>
      <c r="K1448" s="2" t="s">
        <v>22364</v>
      </c>
      <c r="L1448" s="10" t="s">
        <v>22365</v>
      </c>
    </row>
    <row r="1449">
      <c r="A1449" s="2" t="s">
        <v>4546</v>
      </c>
      <c r="B1449" s="2" t="s">
        <v>22366</v>
      </c>
      <c r="C1449" s="2">
        <v>1.149957999E9</v>
      </c>
      <c r="D1449" s="2" t="s">
        <v>22367</v>
      </c>
      <c r="E1449" s="2">
        <v>633646.0</v>
      </c>
      <c r="F1449" s="2">
        <v>131.0</v>
      </c>
      <c r="G1449" s="2">
        <v>2112.0</v>
      </c>
      <c r="H1449" s="2" t="s">
        <v>5906</v>
      </c>
      <c r="I1449" s="2" t="s">
        <v>5906</v>
      </c>
      <c r="J1449" s="2" t="s">
        <v>6124</v>
      </c>
      <c r="K1449" s="2" t="s">
        <v>22368</v>
      </c>
      <c r="L1449" s="10" t="s">
        <v>22369</v>
      </c>
    </row>
    <row r="1450">
      <c r="A1450" s="2" t="s">
        <v>4546</v>
      </c>
      <c r="B1450" s="2" t="s">
        <v>13085</v>
      </c>
      <c r="C1450" s="2">
        <v>4.6781993E7</v>
      </c>
      <c r="D1450" s="2" t="s">
        <v>13086</v>
      </c>
      <c r="E1450" s="2">
        <v>1297253.0</v>
      </c>
      <c r="F1450" s="2">
        <v>343.0</v>
      </c>
      <c r="G1450" s="2">
        <v>12188.0</v>
      </c>
      <c r="H1450" s="2" t="s">
        <v>5906</v>
      </c>
      <c r="I1450" s="2" t="s">
        <v>5906</v>
      </c>
      <c r="K1450" s="2" t="s">
        <v>13087</v>
      </c>
      <c r="L1450" s="10" t="s">
        <v>13088</v>
      </c>
    </row>
    <row r="1451">
      <c r="A1451" s="2" t="s">
        <v>4546</v>
      </c>
      <c r="B1451" s="2" t="s">
        <v>22370</v>
      </c>
      <c r="C1451" s="2">
        <v>9.195162585E9</v>
      </c>
      <c r="D1451" s="2" t="s">
        <v>22371</v>
      </c>
      <c r="E1451" s="2">
        <v>17328.0</v>
      </c>
      <c r="F1451" s="2">
        <v>913.0</v>
      </c>
      <c r="G1451" s="2">
        <v>1655.0</v>
      </c>
      <c r="H1451" s="2" t="s">
        <v>5905</v>
      </c>
      <c r="I1451" s="2" t="s">
        <v>5906</v>
      </c>
      <c r="J1451" s="2" t="s">
        <v>5963</v>
      </c>
      <c r="K1451" s="2" t="s">
        <v>22372</v>
      </c>
      <c r="L1451" s="10" t="s">
        <v>22373</v>
      </c>
    </row>
    <row r="1452">
      <c r="A1452" s="2" t="s">
        <v>4546</v>
      </c>
      <c r="B1452" s="2" t="s">
        <v>22374</v>
      </c>
      <c r="C1452" s="2">
        <v>1.4418256E7</v>
      </c>
      <c r="D1452" s="2" t="s">
        <v>22375</v>
      </c>
      <c r="E1452" s="2">
        <v>1321906.0</v>
      </c>
      <c r="F1452" s="2">
        <v>369.0</v>
      </c>
      <c r="G1452" s="2">
        <v>11781.0</v>
      </c>
      <c r="H1452" s="2" t="s">
        <v>5906</v>
      </c>
      <c r="I1452" s="2" t="s">
        <v>5906</v>
      </c>
      <c r="K1452" s="2" t="s">
        <v>22376</v>
      </c>
      <c r="L1452" s="10" t="s">
        <v>22377</v>
      </c>
    </row>
    <row r="1453">
      <c r="A1453" s="2" t="s">
        <v>4546</v>
      </c>
      <c r="B1453" s="2" t="s">
        <v>22378</v>
      </c>
      <c r="C1453" s="2">
        <v>4.6782831E7</v>
      </c>
      <c r="D1453" s="2" t="s">
        <v>22379</v>
      </c>
      <c r="E1453" s="2">
        <v>5326012.0</v>
      </c>
      <c r="F1453" s="2">
        <v>106.0</v>
      </c>
      <c r="G1453" s="2">
        <v>17554.0</v>
      </c>
      <c r="H1453" s="2" t="s">
        <v>5906</v>
      </c>
      <c r="I1453" s="2" t="s">
        <v>5906</v>
      </c>
      <c r="K1453" s="2" t="s">
        <v>22380</v>
      </c>
      <c r="L1453" s="10" t="s">
        <v>22381</v>
      </c>
    </row>
    <row r="1454">
      <c r="A1454" s="2" t="s">
        <v>4546</v>
      </c>
      <c r="B1454" s="2" t="s">
        <v>22382</v>
      </c>
      <c r="C1454" s="2">
        <v>1.535177779E9</v>
      </c>
      <c r="D1454" s="2" t="s">
        <v>22383</v>
      </c>
      <c r="E1454" s="2">
        <v>1257179.0</v>
      </c>
      <c r="F1454" s="2">
        <v>756.0</v>
      </c>
      <c r="G1454" s="2">
        <v>13258.0</v>
      </c>
      <c r="H1454" s="2" t="s">
        <v>5906</v>
      </c>
      <c r="I1454" s="2" t="s">
        <v>5906</v>
      </c>
      <c r="K1454" s="2" t="s">
        <v>22384</v>
      </c>
      <c r="L1454" s="10" t="s">
        <v>22385</v>
      </c>
    </row>
    <row r="1455">
      <c r="A1455" s="2" t="s">
        <v>4546</v>
      </c>
      <c r="B1455" s="2" t="s">
        <v>22386</v>
      </c>
      <c r="C1455" s="2">
        <v>1.6917874E7</v>
      </c>
      <c r="D1455" s="2" t="s">
        <v>22387</v>
      </c>
      <c r="E1455" s="2">
        <v>2.5242491E7</v>
      </c>
      <c r="F1455" s="2">
        <v>93.0</v>
      </c>
      <c r="G1455" s="2">
        <v>15826.0</v>
      </c>
      <c r="H1455" s="2" t="s">
        <v>5906</v>
      </c>
      <c r="I1455" s="2" t="s">
        <v>5906</v>
      </c>
      <c r="K1455" s="2" t="s">
        <v>22388</v>
      </c>
      <c r="L1455" s="10" t="s">
        <v>22389</v>
      </c>
    </row>
    <row r="1456">
      <c r="A1456" s="2" t="s">
        <v>4546</v>
      </c>
      <c r="B1456" s="2" t="s">
        <v>9571</v>
      </c>
      <c r="C1456" s="2">
        <v>2.35457544E8</v>
      </c>
      <c r="D1456" s="2" t="s">
        <v>5467</v>
      </c>
      <c r="E1456" s="2">
        <v>1242028.0</v>
      </c>
      <c r="F1456" s="2">
        <v>521.0</v>
      </c>
      <c r="G1456" s="2">
        <v>14005.0</v>
      </c>
      <c r="H1456" s="2" t="s">
        <v>5906</v>
      </c>
      <c r="I1456" s="2" t="s">
        <v>5906</v>
      </c>
      <c r="J1456" s="2" t="s">
        <v>5907</v>
      </c>
      <c r="K1456" s="2" t="s">
        <v>9572</v>
      </c>
      <c r="L1456" s="10" t="s">
        <v>9573</v>
      </c>
    </row>
    <row r="1457">
      <c r="A1457" s="2" t="s">
        <v>4546</v>
      </c>
      <c r="B1457" s="2" t="s">
        <v>22390</v>
      </c>
      <c r="C1457" s="2">
        <v>3.306148276E9</v>
      </c>
      <c r="D1457" s="2" t="s">
        <v>22391</v>
      </c>
      <c r="E1457" s="2">
        <v>228399.0</v>
      </c>
      <c r="F1457" s="2">
        <v>10.0</v>
      </c>
      <c r="G1457" s="2">
        <v>4764.0</v>
      </c>
      <c r="H1457" s="2" t="s">
        <v>5906</v>
      </c>
      <c r="I1457" s="2" t="s">
        <v>5906</v>
      </c>
      <c r="K1457" s="2" t="s">
        <v>22392</v>
      </c>
      <c r="L1457" s="10" t="s">
        <v>22393</v>
      </c>
    </row>
    <row r="1458">
      <c r="A1458" s="2" t="s">
        <v>4546</v>
      </c>
      <c r="B1458" s="2" t="s">
        <v>22394</v>
      </c>
      <c r="C1458" s="2">
        <v>1.3751697E7</v>
      </c>
      <c r="D1458" s="2" t="s">
        <v>22395</v>
      </c>
      <c r="E1458" s="2">
        <v>1.3552349E7</v>
      </c>
      <c r="F1458" s="2">
        <v>5360.0</v>
      </c>
      <c r="G1458" s="2">
        <v>6.0</v>
      </c>
      <c r="H1458" s="2" t="s">
        <v>5906</v>
      </c>
      <c r="I1458" s="2" t="s">
        <v>5906</v>
      </c>
      <c r="J1458" s="2" t="s">
        <v>6124</v>
      </c>
      <c r="K1458" s="2" t="s">
        <v>22396</v>
      </c>
    </row>
    <row r="1459">
      <c r="A1459" s="2" t="s">
        <v>4546</v>
      </c>
      <c r="B1459" s="2" t="s">
        <v>22397</v>
      </c>
      <c r="C1459" s="2">
        <v>5.2406508693E10</v>
      </c>
      <c r="D1459" s="2" t="s">
        <v>22398</v>
      </c>
      <c r="E1459" s="2">
        <v>134418.0</v>
      </c>
      <c r="F1459" s="2">
        <v>2610.0</v>
      </c>
      <c r="G1459" s="2">
        <v>794.0</v>
      </c>
      <c r="H1459" s="2" t="s">
        <v>5906</v>
      </c>
      <c r="I1459" s="2" t="s">
        <v>5905</v>
      </c>
      <c r="J1459" s="2" t="s">
        <v>5391</v>
      </c>
      <c r="K1459" s="2" t="s">
        <v>22399</v>
      </c>
    </row>
    <row r="1460">
      <c r="A1460" s="2" t="s">
        <v>4546</v>
      </c>
      <c r="B1460" s="2" t="s">
        <v>22400</v>
      </c>
      <c r="C1460" s="2">
        <v>7.081399495E9</v>
      </c>
      <c r="D1460" s="2" t="s">
        <v>22401</v>
      </c>
      <c r="E1460" s="2">
        <v>547217.0</v>
      </c>
      <c r="F1460" s="2">
        <v>105.0</v>
      </c>
      <c r="G1460" s="2">
        <v>4716.0</v>
      </c>
      <c r="H1460" s="2" t="s">
        <v>5906</v>
      </c>
      <c r="I1460" s="2" t="s">
        <v>5906</v>
      </c>
      <c r="K1460" s="2" t="s">
        <v>22402</v>
      </c>
      <c r="L1460" s="10" t="s">
        <v>22403</v>
      </c>
    </row>
    <row r="1461">
      <c r="A1461" s="2" t="s">
        <v>4546</v>
      </c>
      <c r="B1461" s="2" t="s">
        <v>22404</v>
      </c>
      <c r="C1461" s="2">
        <v>1.98850174E8</v>
      </c>
      <c r="D1461" s="2" t="s">
        <v>22405</v>
      </c>
      <c r="E1461" s="2">
        <v>1868856.0</v>
      </c>
      <c r="F1461" s="2">
        <v>289.0</v>
      </c>
      <c r="G1461" s="2">
        <v>6315.0</v>
      </c>
      <c r="H1461" s="2" t="s">
        <v>5906</v>
      </c>
      <c r="I1461" s="2" t="s">
        <v>5906</v>
      </c>
      <c r="J1461" s="2" t="s">
        <v>15448</v>
      </c>
      <c r="K1461" s="2" t="s">
        <v>22406</v>
      </c>
      <c r="L1461" s="10" t="s">
        <v>22407</v>
      </c>
    </row>
    <row r="1462">
      <c r="A1462" s="2" t="s">
        <v>4460</v>
      </c>
      <c r="B1462" s="2" t="s">
        <v>22408</v>
      </c>
      <c r="C1462" s="2">
        <v>6.5912997437E10</v>
      </c>
      <c r="D1462" s="2" t="s">
        <v>22409</v>
      </c>
      <c r="E1462" s="2">
        <v>21029.0</v>
      </c>
      <c r="F1462" s="2">
        <v>3.0</v>
      </c>
      <c r="G1462" s="2">
        <v>67.0</v>
      </c>
      <c r="H1462" s="2" t="s">
        <v>5905</v>
      </c>
      <c r="I1462" s="2" t="s">
        <v>5905</v>
      </c>
      <c r="J1462" s="2" t="s">
        <v>7296</v>
      </c>
      <c r="K1462" s="2" t="s">
        <v>22410</v>
      </c>
      <c r="L1462" s="10" t="s">
        <v>22411</v>
      </c>
    </row>
    <row r="1463">
      <c r="A1463" s="2" t="s">
        <v>4460</v>
      </c>
      <c r="B1463" s="2" t="s">
        <v>22412</v>
      </c>
      <c r="C1463" s="2">
        <v>3.07799879E8</v>
      </c>
      <c r="D1463" s="2" t="s">
        <v>22413</v>
      </c>
      <c r="E1463" s="2">
        <v>1529187.0</v>
      </c>
      <c r="F1463" s="2">
        <v>0.0</v>
      </c>
      <c r="G1463" s="2">
        <v>5796.0</v>
      </c>
      <c r="H1463" s="2" t="s">
        <v>5905</v>
      </c>
      <c r="I1463" s="2" t="s">
        <v>5905</v>
      </c>
      <c r="J1463" s="2" t="s">
        <v>7931</v>
      </c>
      <c r="K1463" s="2" t="s">
        <v>22414</v>
      </c>
    </row>
    <row r="1464">
      <c r="A1464" s="2" t="s">
        <v>4460</v>
      </c>
      <c r="B1464" s="2" t="s">
        <v>22415</v>
      </c>
      <c r="C1464" s="2">
        <v>5.505111115E9</v>
      </c>
      <c r="D1464" s="2" t="s">
        <v>22416</v>
      </c>
      <c r="E1464" s="2">
        <v>837269.0</v>
      </c>
      <c r="F1464" s="2">
        <v>5.0</v>
      </c>
      <c r="G1464" s="2">
        <v>3065.0</v>
      </c>
      <c r="H1464" s="2" t="s">
        <v>5906</v>
      </c>
      <c r="I1464" s="2" t="s">
        <v>5906</v>
      </c>
      <c r="J1464" s="2" t="s">
        <v>13953</v>
      </c>
      <c r="K1464" s="2" t="s">
        <v>22417</v>
      </c>
      <c r="L1464" s="10" t="s">
        <v>22418</v>
      </c>
    </row>
    <row r="1465">
      <c r="A1465" s="2" t="s">
        <v>4460</v>
      </c>
      <c r="B1465" s="2" t="s">
        <v>22419</v>
      </c>
      <c r="C1465" s="2">
        <v>1.635910459E9</v>
      </c>
      <c r="D1465" s="2" t="s">
        <v>22420</v>
      </c>
      <c r="E1465" s="2">
        <v>740744.0</v>
      </c>
      <c r="F1465" s="2">
        <v>990.0</v>
      </c>
      <c r="G1465" s="2">
        <v>7705.0</v>
      </c>
      <c r="H1465" s="2" t="s">
        <v>5906</v>
      </c>
      <c r="I1465" s="2" t="s">
        <v>5906</v>
      </c>
      <c r="K1465" s="2" t="s">
        <v>22421</v>
      </c>
      <c r="L1465" s="10" t="s">
        <v>22422</v>
      </c>
    </row>
    <row r="1466">
      <c r="A1466" s="2" t="s">
        <v>4460</v>
      </c>
      <c r="B1466" s="2" t="s">
        <v>22423</v>
      </c>
      <c r="C1466" s="2">
        <v>8.42947444E8</v>
      </c>
      <c r="D1466" s="2" t="s">
        <v>22424</v>
      </c>
      <c r="E1466" s="2">
        <v>1288636.0</v>
      </c>
      <c r="F1466" s="2">
        <v>1095.0</v>
      </c>
      <c r="G1466" s="2">
        <v>8221.0</v>
      </c>
      <c r="H1466" s="2" t="s">
        <v>5905</v>
      </c>
      <c r="I1466" s="2" t="s">
        <v>5905</v>
      </c>
      <c r="J1466" s="2" t="s">
        <v>11797</v>
      </c>
      <c r="K1466" s="2" t="s">
        <v>22425</v>
      </c>
    </row>
    <row r="1467">
      <c r="A1467" s="2" t="s">
        <v>4460</v>
      </c>
      <c r="B1467" s="2" t="s">
        <v>22426</v>
      </c>
      <c r="C1467" s="2">
        <v>1.3922175E7</v>
      </c>
      <c r="D1467" s="2" t="s">
        <v>22427</v>
      </c>
      <c r="E1467" s="2">
        <v>1754919.0</v>
      </c>
      <c r="F1467" s="2">
        <v>4886.0</v>
      </c>
      <c r="G1467" s="2">
        <v>4895.0</v>
      </c>
      <c r="H1467" s="2" t="s">
        <v>5906</v>
      </c>
      <c r="I1467" s="2" t="s">
        <v>5905</v>
      </c>
      <c r="J1467" s="2" t="s">
        <v>6414</v>
      </c>
      <c r="K1467" s="2" t="s">
        <v>22428</v>
      </c>
      <c r="L1467" s="10" t="s">
        <v>22429</v>
      </c>
    </row>
    <row r="1468">
      <c r="A1468" s="2" t="s">
        <v>4460</v>
      </c>
      <c r="B1468" s="2" t="s">
        <v>22430</v>
      </c>
      <c r="C1468" s="2">
        <v>5.45303515E8</v>
      </c>
      <c r="D1468" s="2" t="s">
        <v>22431</v>
      </c>
      <c r="E1468" s="2">
        <v>1474246.0</v>
      </c>
      <c r="F1468" s="2">
        <v>1744.0</v>
      </c>
      <c r="G1468" s="2">
        <v>13101.0</v>
      </c>
      <c r="H1468" s="2" t="s">
        <v>5906</v>
      </c>
      <c r="I1468" s="2" t="s">
        <v>5906</v>
      </c>
      <c r="J1468" s="2" t="s">
        <v>5907</v>
      </c>
      <c r="K1468" s="2" t="s">
        <v>22432</v>
      </c>
      <c r="L1468" s="10" t="s">
        <v>22433</v>
      </c>
    </row>
    <row r="1469">
      <c r="A1469" s="2" t="s">
        <v>4460</v>
      </c>
      <c r="B1469" s="2" t="s">
        <v>22434</v>
      </c>
      <c r="C1469" s="2">
        <v>6.2091115E8</v>
      </c>
      <c r="D1469" s="2" t="s">
        <v>22435</v>
      </c>
      <c r="E1469" s="2">
        <v>3515081.0</v>
      </c>
      <c r="F1469" s="2">
        <v>417.0</v>
      </c>
      <c r="G1469" s="2">
        <v>3782.0</v>
      </c>
      <c r="H1469" s="2" t="s">
        <v>5905</v>
      </c>
      <c r="I1469" s="2" t="s">
        <v>5905</v>
      </c>
      <c r="J1469" s="2" t="s">
        <v>5391</v>
      </c>
      <c r="K1469" s="2" t="s">
        <v>22436</v>
      </c>
    </row>
    <row r="1470">
      <c r="A1470" s="2" t="s">
        <v>4460</v>
      </c>
      <c r="B1470" s="2" t="s">
        <v>22437</v>
      </c>
      <c r="C1470" s="2">
        <v>1.529183749E9</v>
      </c>
      <c r="D1470" s="2" t="s">
        <v>22438</v>
      </c>
      <c r="E1470" s="2">
        <v>941599.0</v>
      </c>
      <c r="F1470" s="2">
        <v>1749.0</v>
      </c>
      <c r="G1470" s="2">
        <v>5249.0</v>
      </c>
      <c r="H1470" s="2" t="s">
        <v>5905</v>
      </c>
      <c r="I1470" s="2" t="s">
        <v>5906</v>
      </c>
      <c r="J1470" s="2" t="s">
        <v>11797</v>
      </c>
      <c r="K1470" s="2" t="s">
        <v>22439</v>
      </c>
    </row>
    <row r="1471">
      <c r="A1471" s="2" t="s">
        <v>4460</v>
      </c>
      <c r="B1471" s="2" t="s">
        <v>22440</v>
      </c>
      <c r="C1471" s="2">
        <v>2.6488567E8</v>
      </c>
      <c r="D1471" s="2" t="s">
        <v>22441</v>
      </c>
      <c r="E1471" s="2">
        <v>3043421.0</v>
      </c>
      <c r="F1471" s="2">
        <v>1807.0</v>
      </c>
      <c r="G1471" s="2">
        <v>8032.0</v>
      </c>
      <c r="H1471" s="2" t="s">
        <v>5905</v>
      </c>
      <c r="I1471" s="2" t="s">
        <v>5905</v>
      </c>
      <c r="J1471" s="2" t="s">
        <v>5959</v>
      </c>
      <c r="K1471" s="2" t="s">
        <v>22442</v>
      </c>
      <c r="L1471" s="10" t="s">
        <v>22443</v>
      </c>
    </row>
    <row r="1472">
      <c r="A1472" s="2" t="s">
        <v>4460</v>
      </c>
      <c r="B1472" s="2" t="s">
        <v>22444</v>
      </c>
      <c r="C1472" s="2">
        <v>2.05034291E8</v>
      </c>
      <c r="D1472" s="2" t="s">
        <v>22445</v>
      </c>
      <c r="E1472" s="2">
        <v>106473.0</v>
      </c>
      <c r="F1472" s="2">
        <v>1910.0</v>
      </c>
      <c r="G1472" s="2">
        <v>4963.0</v>
      </c>
      <c r="H1472" s="2" t="s">
        <v>5906</v>
      </c>
      <c r="I1472" s="2" t="s">
        <v>5906</v>
      </c>
      <c r="J1472" s="2" t="s">
        <v>5911</v>
      </c>
      <c r="K1472" s="2" t="s">
        <v>22446</v>
      </c>
      <c r="L1472" s="10" t="s">
        <v>22447</v>
      </c>
    </row>
    <row r="1473">
      <c r="A1473" s="2" t="s">
        <v>4460</v>
      </c>
      <c r="B1473" s="2" t="s">
        <v>22448</v>
      </c>
      <c r="C1473" s="2">
        <v>5.0691022637E10</v>
      </c>
      <c r="D1473" s="2" t="s">
        <v>22449</v>
      </c>
      <c r="E1473" s="2">
        <v>12486.0</v>
      </c>
      <c r="F1473" s="2">
        <v>635.0</v>
      </c>
      <c r="G1473" s="2">
        <v>59.0</v>
      </c>
      <c r="H1473" s="2" t="s">
        <v>5906</v>
      </c>
      <c r="I1473" s="2" t="s">
        <v>5905</v>
      </c>
      <c r="J1473" s="2" t="s">
        <v>8455</v>
      </c>
      <c r="K1473" s="2" t="s">
        <v>22450</v>
      </c>
      <c r="L1473" s="10" t="s">
        <v>22451</v>
      </c>
    </row>
    <row r="1474">
      <c r="A1474" s="2" t="s">
        <v>4460</v>
      </c>
      <c r="B1474" s="2" t="s">
        <v>22452</v>
      </c>
      <c r="C1474" s="2">
        <v>1.816274429E9</v>
      </c>
      <c r="D1474" s="2" t="s">
        <v>22453</v>
      </c>
      <c r="E1474" s="2">
        <v>87271.0</v>
      </c>
      <c r="F1474" s="2">
        <v>3.0</v>
      </c>
      <c r="G1474" s="2">
        <v>140.0</v>
      </c>
      <c r="H1474" s="2" t="s">
        <v>5906</v>
      </c>
      <c r="I1474" s="2" t="s">
        <v>5906</v>
      </c>
      <c r="J1474" s="2" t="s">
        <v>5963</v>
      </c>
      <c r="K1474" s="2" t="s">
        <v>22454</v>
      </c>
      <c r="L1474" s="10" t="s">
        <v>22455</v>
      </c>
    </row>
    <row r="1475">
      <c r="A1475" s="2" t="s">
        <v>4460</v>
      </c>
      <c r="B1475" s="2" t="s">
        <v>22456</v>
      </c>
      <c r="C1475" s="2">
        <v>3.285800988E9</v>
      </c>
      <c r="D1475" s="2" t="s">
        <v>22457</v>
      </c>
      <c r="E1475" s="2">
        <v>177957.0</v>
      </c>
      <c r="F1475" s="2">
        <v>59.0</v>
      </c>
      <c r="G1475" s="2">
        <v>1323.0</v>
      </c>
      <c r="H1475" s="2" t="s">
        <v>5905</v>
      </c>
      <c r="I1475" s="2" t="s">
        <v>5905</v>
      </c>
      <c r="J1475" s="2" t="s">
        <v>5480</v>
      </c>
      <c r="K1475" s="2" t="s">
        <v>22458</v>
      </c>
    </row>
    <row r="1476">
      <c r="A1476" s="2" t="s">
        <v>4595</v>
      </c>
      <c r="B1476" s="2" t="s">
        <v>22459</v>
      </c>
      <c r="C1476" s="2">
        <v>1.50722769E9</v>
      </c>
      <c r="D1476" s="2" t="s">
        <v>22460</v>
      </c>
      <c r="E1476" s="2">
        <v>27580.0</v>
      </c>
      <c r="F1476" s="2">
        <v>4538.0</v>
      </c>
      <c r="G1476" s="2">
        <v>2126.0</v>
      </c>
      <c r="H1476" s="2" t="s">
        <v>5905</v>
      </c>
      <c r="I1476" s="2" t="s">
        <v>5906</v>
      </c>
      <c r="J1476" s="2" t="s">
        <v>5391</v>
      </c>
      <c r="K1476" s="2" t="s">
        <v>22461</v>
      </c>
      <c r="L1476" s="10" t="s">
        <v>22462</v>
      </c>
    </row>
    <row r="1477">
      <c r="A1477" s="2" t="s">
        <v>4595</v>
      </c>
      <c r="B1477" s="2" t="s">
        <v>22463</v>
      </c>
      <c r="C1477" s="2">
        <v>3.0990729574E10</v>
      </c>
      <c r="D1477" s="2" t="s">
        <v>22464</v>
      </c>
      <c r="E1477" s="2">
        <v>324102.0</v>
      </c>
      <c r="F1477" s="2">
        <v>980.0</v>
      </c>
      <c r="G1477" s="2">
        <v>444.0</v>
      </c>
      <c r="H1477" s="2" t="s">
        <v>5906</v>
      </c>
      <c r="I1477" s="2" t="s">
        <v>5905</v>
      </c>
      <c r="J1477" s="2" t="s">
        <v>6393</v>
      </c>
      <c r="K1477" s="2" t="s">
        <v>22465</v>
      </c>
      <c r="L1477" s="10" t="s">
        <v>22466</v>
      </c>
    </row>
    <row r="1478">
      <c r="A1478" s="2" t="s">
        <v>4595</v>
      </c>
      <c r="B1478" s="2" t="s">
        <v>22467</v>
      </c>
      <c r="C1478" s="2">
        <v>4.873661088E9</v>
      </c>
      <c r="D1478" s="2" t="s">
        <v>22468</v>
      </c>
      <c r="E1478" s="2">
        <v>98740.0</v>
      </c>
      <c r="F1478" s="2">
        <v>4136.0</v>
      </c>
      <c r="G1478" s="2">
        <v>1657.0</v>
      </c>
      <c r="H1478" s="2" t="s">
        <v>5906</v>
      </c>
      <c r="I1478" s="2" t="s">
        <v>5906</v>
      </c>
      <c r="J1478" s="2" t="s">
        <v>6414</v>
      </c>
      <c r="K1478" s="2" t="s">
        <v>22469</v>
      </c>
      <c r="L1478" s="10" t="s">
        <v>22470</v>
      </c>
    </row>
    <row r="1479">
      <c r="A1479" s="2" t="s">
        <v>4595</v>
      </c>
      <c r="B1479" s="2" t="s">
        <v>22471</v>
      </c>
      <c r="C1479" s="2">
        <v>5.3708099034E10</v>
      </c>
      <c r="D1479" s="2" t="s">
        <v>22472</v>
      </c>
      <c r="E1479" s="2">
        <v>229649.0</v>
      </c>
      <c r="F1479" s="2">
        <v>7.0</v>
      </c>
      <c r="G1479" s="2">
        <v>669.0</v>
      </c>
      <c r="H1479" s="2" t="s">
        <v>5906</v>
      </c>
      <c r="I1479" s="2" t="s">
        <v>5905</v>
      </c>
      <c r="J1479" s="2" t="s">
        <v>5959</v>
      </c>
      <c r="K1479" s="2" t="s">
        <v>22473</v>
      </c>
    </row>
    <row r="1480">
      <c r="A1480" s="2" t="s">
        <v>4595</v>
      </c>
      <c r="B1480" s="2" t="s">
        <v>22474</v>
      </c>
      <c r="C1480" s="2">
        <v>2.192562977E9</v>
      </c>
      <c r="D1480" s="2" t="s">
        <v>22475</v>
      </c>
      <c r="E1480" s="2">
        <v>685716.0</v>
      </c>
      <c r="F1480" s="2">
        <v>1760.0</v>
      </c>
      <c r="G1480" s="2">
        <v>3739.0</v>
      </c>
      <c r="H1480" s="2" t="s">
        <v>5905</v>
      </c>
      <c r="I1480" s="2" t="s">
        <v>5906</v>
      </c>
      <c r="J1480" s="2" t="s">
        <v>5959</v>
      </c>
      <c r="K1480" s="2" t="s">
        <v>22476</v>
      </c>
    </row>
    <row r="1481">
      <c r="A1481" s="2" t="s">
        <v>4595</v>
      </c>
      <c r="B1481" s="2" t="s">
        <v>22477</v>
      </c>
      <c r="C1481" s="2">
        <v>5.1721032372E10</v>
      </c>
      <c r="D1481" s="2" t="s">
        <v>22478</v>
      </c>
      <c r="E1481" s="2">
        <v>368213.0</v>
      </c>
      <c r="F1481" s="2">
        <v>125.0</v>
      </c>
      <c r="G1481" s="2">
        <v>871.0</v>
      </c>
      <c r="H1481" s="2" t="s">
        <v>5906</v>
      </c>
      <c r="I1481" s="2" t="s">
        <v>5906</v>
      </c>
      <c r="J1481" s="2" t="s">
        <v>5959</v>
      </c>
      <c r="K1481" s="2" t="s">
        <v>22479</v>
      </c>
      <c r="L1481" s="10" t="s">
        <v>22480</v>
      </c>
    </row>
    <row r="1482">
      <c r="A1482" s="2" t="s">
        <v>4595</v>
      </c>
      <c r="B1482" s="2" t="s">
        <v>22481</v>
      </c>
      <c r="C1482" s="2">
        <v>5.02597566E8</v>
      </c>
      <c r="D1482" s="2" t="s">
        <v>22482</v>
      </c>
      <c r="E1482" s="2">
        <v>301347.0</v>
      </c>
      <c r="F1482" s="2">
        <v>45.0</v>
      </c>
      <c r="G1482" s="2">
        <v>988.0</v>
      </c>
      <c r="H1482" s="2" t="s">
        <v>5905</v>
      </c>
      <c r="I1482" s="2" t="s">
        <v>5905</v>
      </c>
      <c r="J1482" s="2" t="s">
        <v>5492</v>
      </c>
      <c r="K1482" s="2" t="s">
        <v>22483</v>
      </c>
      <c r="L1482" s="10" t="s">
        <v>22484</v>
      </c>
    </row>
    <row r="1483">
      <c r="A1483" s="2" t="s">
        <v>4595</v>
      </c>
      <c r="B1483" s="2" t="s">
        <v>22485</v>
      </c>
      <c r="C1483" s="2">
        <v>6.616105402E9</v>
      </c>
      <c r="D1483" s="2" t="s">
        <v>22486</v>
      </c>
      <c r="E1483" s="2">
        <v>48724.0</v>
      </c>
      <c r="F1483" s="2">
        <v>1633.0</v>
      </c>
      <c r="G1483" s="2">
        <v>142.0</v>
      </c>
      <c r="H1483" s="2" t="s">
        <v>5905</v>
      </c>
      <c r="I1483" s="2" t="s">
        <v>5906</v>
      </c>
      <c r="J1483" s="2" t="s">
        <v>22487</v>
      </c>
      <c r="K1483" s="2" t="s">
        <v>22488</v>
      </c>
      <c r="L1483" s="10" t="s">
        <v>22489</v>
      </c>
    </row>
    <row r="1484">
      <c r="A1484" s="2" t="s">
        <v>4595</v>
      </c>
      <c r="B1484" s="2" t="s">
        <v>22490</v>
      </c>
      <c r="C1484" s="2">
        <v>4.6840497505E10</v>
      </c>
      <c r="D1484" s="2" t="s">
        <v>22491</v>
      </c>
      <c r="E1484" s="2">
        <v>28939.0</v>
      </c>
      <c r="F1484" s="2">
        <v>338.0</v>
      </c>
      <c r="G1484" s="2">
        <v>695.0</v>
      </c>
      <c r="H1484" s="2" t="s">
        <v>5905</v>
      </c>
      <c r="I1484" s="2" t="s">
        <v>5906</v>
      </c>
      <c r="J1484" s="2" t="s">
        <v>5959</v>
      </c>
      <c r="K1484" s="2" t="s">
        <v>22492</v>
      </c>
      <c r="L1484" s="10" t="s">
        <v>22493</v>
      </c>
    </row>
    <row r="1485">
      <c r="A1485" s="2" t="s">
        <v>4595</v>
      </c>
      <c r="B1485" s="2" t="s">
        <v>22494</v>
      </c>
      <c r="C1485" s="2">
        <v>9.38585121E9</v>
      </c>
      <c r="D1485" s="2" t="s">
        <v>22495</v>
      </c>
      <c r="E1485" s="2">
        <v>614763.0</v>
      </c>
      <c r="F1485" s="2">
        <v>5.0</v>
      </c>
      <c r="G1485" s="2">
        <v>1748.0</v>
      </c>
      <c r="H1485" s="2" t="s">
        <v>5905</v>
      </c>
      <c r="I1485" s="2" t="s">
        <v>5905</v>
      </c>
      <c r="J1485" s="2" t="s">
        <v>5492</v>
      </c>
      <c r="K1485" s="2" t="s">
        <v>22496</v>
      </c>
    </row>
    <row r="1486">
      <c r="A1486" s="2" t="s">
        <v>4595</v>
      </c>
      <c r="B1486" s="2" t="s">
        <v>22440</v>
      </c>
      <c r="C1486" s="2">
        <v>2.6488567E8</v>
      </c>
      <c r="D1486" s="2" t="s">
        <v>22441</v>
      </c>
      <c r="E1486" s="2">
        <v>3043414.0</v>
      </c>
      <c r="F1486" s="2">
        <v>1808.0</v>
      </c>
      <c r="G1486" s="2">
        <v>8032.0</v>
      </c>
      <c r="H1486" s="2" t="s">
        <v>5905</v>
      </c>
      <c r="I1486" s="2" t="s">
        <v>5905</v>
      </c>
      <c r="J1486" s="2" t="s">
        <v>5959</v>
      </c>
      <c r="K1486" s="2" t="s">
        <v>22442</v>
      </c>
      <c r="L1486" s="10" t="s">
        <v>22443</v>
      </c>
    </row>
    <row r="1487">
      <c r="A1487" s="2" t="s">
        <v>4595</v>
      </c>
      <c r="B1487" s="2" t="s">
        <v>22497</v>
      </c>
      <c r="C1487" s="2">
        <v>3.76385975E8</v>
      </c>
      <c r="D1487" s="2" t="s">
        <v>22498</v>
      </c>
      <c r="E1487" s="2">
        <v>20174.0</v>
      </c>
      <c r="F1487" s="2">
        <v>3274.0</v>
      </c>
      <c r="G1487" s="2">
        <v>3046.0</v>
      </c>
      <c r="H1487" s="2" t="s">
        <v>5905</v>
      </c>
      <c r="I1487" s="2" t="s">
        <v>5905</v>
      </c>
      <c r="J1487" s="2" t="s">
        <v>5391</v>
      </c>
      <c r="K1487" s="2" t="s">
        <v>22499</v>
      </c>
      <c r="L1487" s="10" t="s">
        <v>22500</v>
      </c>
    </row>
    <row r="1488">
      <c r="A1488" s="2" t="s">
        <v>4595</v>
      </c>
      <c r="B1488" s="2" t="s">
        <v>22501</v>
      </c>
      <c r="C1488" s="2">
        <v>5.5828911984E10</v>
      </c>
      <c r="D1488" s="2" t="s">
        <v>22502</v>
      </c>
      <c r="E1488" s="2">
        <v>58091.0</v>
      </c>
      <c r="F1488" s="2">
        <v>52.0</v>
      </c>
      <c r="G1488" s="2">
        <v>112.0</v>
      </c>
      <c r="H1488" s="2" t="s">
        <v>5906</v>
      </c>
      <c r="I1488" s="2" t="s">
        <v>5905</v>
      </c>
      <c r="J1488" s="2" t="s">
        <v>7431</v>
      </c>
      <c r="K1488" s="2" t="s">
        <v>22503</v>
      </c>
      <c r="L1488" s="10" t="s">
        <v>22504</v>
      </c>
    </row>
    <row r="1489">
      <c r="A1489" s="2" t="s">
        <v>4595</v>
      </c>
      <c r="B1489" s="2" t="s">
        <v>22505</v>
      </c>
      <c r="C1489" s="2">
        <v>3.43956778E8</v>
      </c>
      <c r="D1489" s="2" t="s">
        <v>22506</v>
      </c>
      <c r="E1489" s="2">
        <v>43872.0</v>
      </c>
      <c r="F1489" s="2">
        <v>2986.0</v>
      </c>
      <c r="G1489" s="2">
        <v>3800.0</v>
      </c>
      <c r="H1489" s="2" t="s">
        <v>5905</v>
      </c>
      <c r="I1489" s="2" t="s">
        <v>5905</v>
      </c>
      <c r="J1489" s="2" t="s">
        <v>7431</v>
      </c>
      <c r="K1489" s="2" t="s">
        <v>22507</v>
      </c>
      <c r="L1489" s="10" t="s">
        <v>22508</v>
      </c>
    </row>
    <row r="1490">
      <c r="A1490" s="2" t="s">
        <v>1339</v>
      </c>
      <c r="B1490" s="2" t="s">
        <v>22509</v>
      </c>
      <c r="C1490" s="2">
        <v>9.670990202E9</v>
      </c>
      <c r="D1490" s="2" t="s">
        <v>22510</v>
      </c>
      <c r="E1490" s="2">
        <v>264780.0</v>
      </c>
      <c r="F1490" s="2">
        <v>2.0</v>
      </c>
      <c r="G1490" s="2">
        <v>516.0</v>
      </c>
      <c r="H1490" s="2" t="s">
        <v>5905</v>
      </c>
      <c r="I1490" s="2" t="s">
        <v>5905</v>
      </c>
      <c r="J1490" s="2" t="s">
        <v>5561</v>
      </c>
      <c r="K1490" s="2" t="s">
        <v>22511</v>
      </c>
      <c r="L1490" s="10" t="s">
        <v>22512</v>
      </c>
    </row>
    <row r="1491">
      <c r="A1491" s="2" t="s">
        <v>1339</v>
      </c>
      <c r="B1491" s="2" t="s">
        <v>22513</v>
      </c>
      <c r="C1491" s="2">
        <v>2.7790688603E10</v>
      </c>
      <c r="D1491" s="2" t="s">
        <v>22514</v>
      </c>
      <c r="E1491" s="2">
        <v>106585.0</v>
      </c>
      <c r="F1491" s="2">
        <v>461.0</v>
      </c>
      <c r="G1491" s="2">
        <v>137.0</v>
      </c>
      <c r="H1491" s="2" t="s">
        <v>5905</v>
      </c>
      <c r="I1491" s="2" t="s">
        <v>5905</v>
      </c>
      <c r="J1491" s="2" t="s">
        <v>5968</v>
      </c>
      <c r="K1491" s="2" t="s">
        <v>22515</v>
      </c>
      <c r="L1491" s="10" t="s">
        <v>22516</v>
      </c>
    </row>
    <row r="1492">
      <c r="A1492" s="2" t="s">
        <v>1339</v>
      </c>
      <c r="B1492" s="2" t="s">
        <v>22517</v>
      </c>
      <c r="C1492" s="2">
        <v>4.0486143601E10</v>
      </c>
      <c r="D1492" s="2" t="s">
        <v>22518</v>
      </c>
      <c r="E1492" s="2">
        <v>48847.0</v>
      </c>
      <c r="F1492" s="2">
        <v>319.0</v>
      </c>
      <c r="G1492" s="2">
        <v>561.0</v>
      </c>
      <c r="H1492" s="2" t="s">
        <v>5905</v>
      </c>
      <c r="I1492" s="2" t="s">
        <v>5905</v>
      </c>
      <c r="J1492" s="2" t="s">
        <v>13634</v>
      </c>
      <c r="K1492" s="2" t="s">
        <v>22519</v>
      </c>
      <c r="L1492" s="10" t="s">
        <v>22520</v>
      </c>
    </row>
    <row r="1493">
      <c r="A1493" s="2" t="s">
        <v>1339</v>
      </c>
      <c r="B1493" s="2" t="s">
        <v>22521</v>
      </c>
      <c r="C1493" s="2">
        <v>1.1468739846E10</v>
      </c>
      <c r="D1493" s="2" t="s">
        <v>22522</v>
      </c>
      <c r="E1493" s="2">
        <v>192868.0</v>
      </c>
      <c r="F1493" s="2">
        <v>43.0</v>
      </c>
      <c r="G1493" s="2">
        <v>1187.0</v>
      </c>
      <c r="H1493" s="2" t="s">
        <v>5905</v>
      </c>
      <c r="I1493" s="2" t="s">
        <v>5906</v>
      </c>
      <c r="J1493" s="2" t="s">
        <v>12284</v>
      </c>
      <c r="K1493" s="2" t="s">
        <v>22523</v>
      </c>
      <c r="L1493" s="10" t="s">
        <v>22524</v>
      </c>
    </row>
    <row r="1494">
      <c r="A1494" s="2" t="s">
        <v>4662</v>
      </c>
      <c r="B1494" s="2" t="s">
        <v>22525</v>
      </c>
      <c r="C1494" s="2">
        <v>5.56516755E8</v>
      </c>
      <c r="D1494" s="2" t="s">
        <v>22526</v>
      </c>
      <c r="E1494" s="2">
        <v>25279.0</v>
      </c>
      <c r="F1494" s="2">
        <v>1616.0</v>
      </c>
      <c r="G1494" s="2">
        <v>1794.0</v>
      </c>
      <c r="H1494" s="2" t="s">
        <v>5905</v>
      </c>
      <c r="I1494" s="2" t="s">
        <v>5906</v>
      </c>
      <c r="J1494" s="2" t="s">
        <v>5993</v>
      </c>
      <c r="K1494" s="2" t="s">
        <v>22527</v>
      </c>
      <c r="L1494" s="10" t="s">
        <v>22528</v>
      </c>
    </row>
    <row r="1495">
      <c r="A1495" s="2" t="s">
        <v>4662</v>
      </c>
      <c r="B1495" s="2" t="s">
        <v>22529</v>
      </c>
      <c r="C1495" s="2">
        <v>2.19093862E8</v>
      </c>
      <c r="D1495" s="2" t="s">
        <v>22530</v>
      </c>
      <c r="E1495" s="2">
        <v>683449.0</v>
      </c>
      <c r="F1495" s="2">
        <v>696.0</v>
      </c>
      <c r="G1495" s="2">
        <v>3561.0</v>
      </c>
      <c r="H1495" s="2" t="s">
        <v>5906</v>
      </c>
      <c r="I1495" s="2" t="s">
        <v>5906</v>
      </c>
      <c r="J1495" s="2" t="s">
        <v>5492</v>
      </c>
      <c r="K1495" s="2" t="s">
        <v>22531</v>
      </c>
    </row>
    <row r="1496">
      <c r="A1496" s="2" t="s">
        <v>4662</v>
      </c>
      <c r="B1496" s="2" t="s">
        <v>22532</v>
      </c>
      <c r="C1496" s="2">
        <v>2.365405879E9</v>
      </c>
      <c r="D1496" s="2" t="s">
        <v>22533</v>
      </c>
      <c r="E1496" s="2">
        <v>24055.0</v>
      </c>
      <c r="F1496" s="2">
        <v>1065.0</v>
      </c>
      <c r="G1496" s="2">
        <v>587.0</v>
      </c>
      <c r="H1496" s="2" t="s">
        <v>5905</v>
      </c>
      <c r="I1496" s="2" t="s">
        <v>5905</v>
      </c>
      <c r="J1496" s="2" t="s">
        <v>7414</v>
      </c>
      <c r="K1496" s="2" t="s">
        <v>22534</v>
      </c>
    </row>
    <row r="1497">
      <c r="A1497" s="2" t="s">
        <v>4662</v>
      </c>
      <c r="B1497" s="2" t="s">
        <v>22535</v>
      </c>
      <c r="C1497" s="2">
        <v>3.057080643E9</v>
      </c>
      <c r="D1497" s="2" t="s">
        <v>22536</v>
      </c>
      <c r="E1497" s="2">
        <v>19164.0</v>
      </c>
      <c r="F1497" s="2">
        <v>4539.0</v>
      </c>
      <c r="G1497" s="2">
        <v>699.0</v>
      </c>
      <c r="H1497" s="2" t="s">
        <v>5905</v>
      </c>
      <c r="I1497" s="2" t="s">
        <v>5905</v>
      </c>
      <c r="J1497" s="2" t="s">
        <v>14778</v>
      </c>
      <c r="K1497" s="2" t="s">
        <v>22537</v>
      </c>
    </row>
    <row r="1498">
      <c r="A1498" s="2" t="s">
        <v>4662</v>
      </c>
      <c r="B1498" s="2" t="s">
        <v>22538</v>
      </c>
      <c r="C1498" s="2">
        <v>5.69251239E9</v>
      </c>
      <c r="D1498" s="2" t="s">
        <v>22539</v>
      </c>
      <c r="E1498" s="2">
        <v>23369.0</v>
      </c>
      <c r="F1498" s="2">
        <v>1181.0</v>
      </c>
      <c r="G1498" s="2">
        <v>1320.0</v>
      </c>
      <c r="H1498" s="2" t="s">
        <v>5906</v>
      </c>
      <c r="I1498" s="2" t="s">
        <v>5905</v>
      </c>
      <c r="J1498" s="2" t="s">
        <v>14778</v>
      </c>
      <c r="K1498" s="2" t="s">
        <v>22540</v>
      </c>
    </row>
    <row r="1499">
      <c r="A1499" s="2" t="s">
        <v>4662</v>
      </c>
      <c r="B1499" s="2" t="s">
        <v>22541</v>
      </c>
      <c r="C1499" s="2">
        <v>1.505887434E9</v>
      </c>
      <c r="D1499" s="2" t="s">
        <v>22542</v>
      </c>
      <c r="E1499" s="2">
        <v>14417.0</v>
      </c>
      <c r="F1499" s="2">
        <v>2897.0</v>
      </c>
      <c r="G1499" s="2">
        <v>1147.0</v>
      </c>
      <c r="H1499" s="2" t="s">
        <v>5905</v>
      </c>
      <c r="I1499" s="2" t="s">
        <v>5905</v>
      </c>
      <c r="J1499" s="2" t="s">
        <v>5993</v>
      </c>
      <c r="K1499" s="2" t="s">
        <v>22543</v>
      </c>
    </row>
    <row r="1500">
      <c r="A1500" s="2" t="s">
        <v>4662</v>
      </c>
      <c r="B1500" s="2" t="s">
        <v>22544</v>
      </c>
      <c r="C1500" s="2">
        <v>4.6737829315E10</v>
      </c>
      <c r="D1500" s="2" t="s">
        <v>22545</v>
      </c>
      <c r="E1500" s="2">
        <v>300018.0</v>
      </c>
      <c r="F1500" s="2">
        <v>450.0</v>
      </c>
      <c r="G1500" s="2">
        <v>480.0</v>
      </c>
      <c r="H1500" s="2" t="s">
        <v>5906</v>
      </c>
      <c r="I1500" s="2" t="s">
        <v>5905</v>
      </c>
      <c r="J1500" s="2" t="s">
        <v>5993</v>
      </c>
      <c r="K1500" s="2" t="s">
        <v>22546</v>
      </c>
      <c r="L1500" s="10" t="s">
        <v>22547</v>
      </c>
    </row>
    <row r="1501">
      <c r="A1501" s="2" t="s">
        <v>4662</v>
      </c>
      <c r="B1501" s="2" t="s">
        <v>22548</v>
      </c>
      <c r="C1501" s="2">
        <v>6.0830117037E10</v>
      </c>
      <c r="D1501" s="2" t="s">
        <v>22549</v>
      </c>
      <c r="E1501" s="2">
        <v>96038.0</v>
      </c>
      <c r="F1501" s="2">
        <v>1.0</v>
      </c>
      <c r="G1501" s="2">
        <v>159.0</v>
      </c>
      <c r="H1501" s="2" t="s">
        <v>5905</v>
      </c>
      <c r="I1501" s="2" t="s">
        <v>5905</v>
      </c>
      <c r="J1501" s="2" t="s">
        <v>7414</v>
      </c>
      <c r="K1501" s="2" t="s">
        <v>22550</v>
      </c>
      <c r="L1501" s="10" t="s">
        <v>22551</v>
      </c>
    </row>
    <row r="1502">
      <c r="A1502" s="2" t="s">
        <v>4662</v>
      </c>
      <c r="B1502" s="2" t="s">
        <v>14904</v>
      </c>
      <c r="C1502" s="2">
        <v>2.3379226E7</v>
      </c>
      <c r="D1502" s="2" t="s">
        <v>14905</v>
      </c>
      <c r="E1502" s="2">
        <v>3942037.0</v>
      </c>
      <c r="F1502" s="2">
        <v>2172.0</v>
      </c>
      <c r="G1502" s="2">
        <v>102.0</v>
      </c>
      <c r="H1502" s="2" t="s">
        <v>5906</v>
      </c>
      <c r="I1502" s="2" t="s">
        <v>5905</v>
      </c>
      <c r="J1502" s="2" t="s">
        <v>5993</v>
      </c>
      <c r="K1502" s="2" t="s">
        <v>14906</v>
      </c>
      <c r="L1502" s="10" t="s">
        <v>14907</v>
      </c>
    </row>
    <row r="1503">
      <c r="A1503" s="2" t="s">
        <v>4662</v>
      </c>
      <c r="B1503" s="2" t="s">
        <v>22552</v>
      </c>
      <c r="C1503" s="2">
        <v>2.09682342E8</v>
      </c>
      <c r="D1503" s="2" t="s">
        <v>22553</v>
      </c>
      <c r="E1503" s="2">
        <v>253437.0</v>
      </c>
      <c r="F1503" s="2">
        <v>6889.0</v>
      </c>
      <c r="G1503" s="2">
        <v>1526.0</v>
      </c>
      <c r="H1503" s="2" t="s">
        <v>5906</v>
      </c>
      <c r="I1503" s="2" t="s">
        <v>5905</v>
      </c>
      <c r="J1503" s="2" t="s">
        <v>14778</v>
      </c>
      <c r="K1503" s="2" t="s">
        <v>22554</v>
      </c>
    </row>
    <row r="1504">
      <c r="A1504" s="2" t="s">
        <v>4662</v>
      </c>
      <c r="B1504" s="2" t="s">
        <v>22555</v>
      </c>
      <c r="C1504" s="2">
        <v>1.615108574E9</v>
      </c>
      <c r="D1504" s="2" t="s">
        <v>22556</v>
      </c>
      <c r="E1504" s="2">
        <v>718689.0</v>
      </c>
      <c r="F1504" s="2">
        <v>1909.0</v>
      </c>
      <c r="G1504" s="2">
        <v>1879.0</v>
      </c>
      <c r="H1504" s="2" t="s">
        <v>5905</v>
      </c>
      <c r="I1504" s="2" t="s">
        <v>5906</v>
      </c>
      <c r="J1504" s="2" t="s">
        <v>5993</v>
      </c>
      <c r="K1504" s="12" t="s">
        <v>22557</v>
      </c>
      <c r="L1504" s="10" t="s">
        <v>22558</v>
      </c>
    </row>
    <row r="1505">
      <c r="A1505" s="2" t="s">
        <v>4662</v>
      </c>
      <c r="B1505" s="2" t="s">
        <v>22559</v>
      </c>
      <c r="C1505" s="2">
        <v>4.99856153E8</v>
      </c>
      <c r="D1505" s="2" t="s">
        <v>22560</v>
      </c>
      <c r="E1505" s="2">
        <v>21266.0</v>
      </c>
      <c r="F1505" s="2">
        <v>3044.0</v>
      </c>
      <c r="G1505" s="2">
        <v>2853.0</v>
      </c>
      <c r="H1505" s="2" t="s">
        <v>5905</v>
      </c>
      <c r="I1505" s="2" t="s">
        <v>5906</v>
      </c>
      <c r="J1505" s="2" t="s">
        <v>5391</v>
      </c>
      <c r="K1505" s="2" t="s">
        <v>22561</v>
      </c>
    </row>
    <row r="1506">
      <c r="A1506" s="2" t="s">
        <v>4662</v>
      </c>
      <c r="B1506" s="2" t="s">
        <v>22562</v>
      </c>
      <c r="C1506" s="2">
        <v>1.7310872E7</v>
      </c>
      <c r="D1506" s="2" t="s">
        <v>22563</v>
      </c>
      <c r="E1506" s="2">
        <v>1592236.0</v>
      </c>
      <c r="F1506" s="2">
        <v>7251.0</v>
      </c>
      <c r="G1506" s="2">
        <v>11553.0</v>
      </c>
      <c r="H1506" s="2" t="s">
        <v>5906</v>
      </c>
      <c r="I1506" s="2" t="s">
        <v>5906</v>
      </c>
      <c r="J1506" s="2" t="s">
        <v>6414</v>
      </c>
      <c r="K1506" s="2" t="s">
        <v>22564</v>
      </c>
      <c r="L1506" s="10" t="s">
        <v>22565</v>
      </c>
    </row>
    <row r="1507">
      <c r="A1507" s="2" t="s">
        <v>4548</v>
      </c>
      <c r="B1507" s="2" t="s">
        <v>22566</v>
      </c>
      <c r="C1507" s="2">
        <v>3.04756838E8</v>
      </c>
      <c r="D1507" s="2" t="s">
        <v>22567</v>
      </c>
      <c r="E1507" s="2">
        <v>221448.0</v>
      </c>
      <c r="F1507" s="2">
        <v>99.0</v>
      </c>
      <c r="G1507" s="2">
        <v>2631.0</v>
      </c>
      <c r="H1507" s="2" t="s">
        <v>5906</v>
      </c>
      <c r="I1507" s="2" t="s">
        <v>5906</v>
      </c>
      <c r="K1507" s="2" t="s">
        <v>22568</v>
      </c>
      <c r="L1507" s="10" t="s">
        <v>22569</v>
      </c>
    </row>
    <row r="1508">
      <c r="A1508" s="2" t="s">
        <v>4548</v>
      </c>
      <c r="B1508" s="2" t="s">
        <v>22570</v>
      </c>
      <c r="C1508" s="2">
        <v>2.5513276925E10</v>
      </c>
      <c r="D1508" s="2" t="s">
        <v>22571</v>
      </c>
      <c r="E1508" s="2">
        <v>31307.0</v>
      </c>
      <c r="F1508" s="2">
        <v>37.0</v>
      </c>
      <c r="G1508" s="2">
        <v>828.0</v>
      </c>
      <c r="H1508" s="2" t="s">
        <v>5905</v>
      </c>
      <c r="I1508" s="2" t="s">
        <v>5906</v>
      </c>
      <c r="J1508" s="2" t="s">
        <v>22572</v>
      </c>
      <c r="K1508" s="2" t="s">
        <v>22573</v>
      </c>
      <c r="L1508" s="10" t="s">
        <v>22574</v>
      </c>
    </row>
    <row r="1509">
      <c r="A1509" s="2" t="s">
        <v>4548</v>
      </c>
      <c r="B1509" s="2" t="s">
        <v>22575</v>
      </c>
      <c r="C1509" s="2">
        <v>1.442472017E9</v>
      </c>
      <c r="D1509" s="2" t="s">
        <v>22576</v>
      </c>
      <c r="E1509" s="2">
        <v>484301.0</v>
      </c>
      <c r="F1509" s="2">
        <v>400.0</v>
      </c>
      <c r="G1509" s="2">
        <v>2328.0</v>
      </c>
      <c r="H1509" s="2" t="s">
        <v>5906</v>
      </c>
      <c r="I1509" s="2" t="s">
        <v>5906</v>
      </c>
      <c r="J1509" s="2" t="s">
        <v>17821</v>
      </c>
      <c r="K1509" s="2" t="s">
        <v>22577</v>
      </c>
      <c r="L1509" s="10" t="s">
        <v>22578</v>
      </c>
    </row>
    <row r="1510">
      <c r="A1510" s="2" t="s">
        <v>4548</v>
      </c>
      <c r="B1510" s="2" t="s">
        <v>22579</v>
      </c>
      <c r="C1510" s="2">
        <v>2.5722781E7</v>
      </c>
      <c r="D1510" s="2" t="s">
        <v>22580</v>
      </c>
      <c r="E1510" s="2">
        <v>354561.0</v>
      </c>
      <c r="F1510" s="2">
        <v>515.0</v>
      </c>
      <c r="G1510" s="2">
        <v>3548.0</v>
      </c>
      <c r="H1510" s="2" t="s">
        <v>5906</v>
      </c>
      <c r="I1510" s="2" t="s">
        <v>5906</v>
      </c>
      <c r="K1510" s="2" t="s">
        <v>22581</v>
      </c>
      <c r="L1510" s="10" t="s">
        <v>22582</v>
      </c>
    </row>
    <row r="1511">
      <c r="A1511" s="2" t="s">
        <v>4548</v>
      </c>
      <c r="B1511" s="2" t="s">
        <v>4548</v>
      </c>
      <c r="C1511" s="2">
        <v>1.507278089E9</v>
      </c>
      <c r="D1511" s="2" t="s">
        <v>22583</v>
      </c>
      <c r="E1511" s="2">
        <v>778457.0</v>
      </c>
      <c r="F1511" s="2">
        <v>0.0</v>
      </c>
      <c r="G1511" s="2">
        <v>429.0</v>
      </c>
      <c r="H1511" s="2" t="s">
        <v>5906</v>
      </c>
      <c r="I1511" s="2" t="s">
        <v>5905</v>
      </c>
      <c r="J1511" s="2" t="s">
        <v>8911</v>
      </c>
      <c r="K1511" s="2" t="s">
        <v>22584</v>
      </c>
    </row>
    <row r="1512">
      <c r="A1512" s="2" t="s">
        <v>4548</v>
      </c>
      <c r="B1512" s="2" t="s">
        <v>22585</v>
      </c>
      <c r="C1512" s="2">
        <v>5.7229383218E10</v>
      </c>
      <c r="D1512" s="2" t="s">
        <v>22586</v>
      </c>
      <c r="E1512" s="2">
        <v>176532.0</v>
      </c>
      <c r="F1512" s="2">
        <v>6339.0</v>
      </c>
      <c r="G1512" s="2">
        <v>172.0</v>
      </c>
      <c r="H1512" s="2" t="s">
        <v>5905</v>
      </c>
      <c r="I1512" s="2" t="s">
        <v>5905</v>
      </c>
      <c r="J1512" s="2" t="s">
        <v>5561</v>
      </c>
      <c r="K1512" s="2" t="s">
        <v>22587</v>
      </c>
      <c r="L1512" s="10" t="s">
        <v>22588</v>
      </c>
    </row>
    <row r="1513">
      <c r="A1513" s="2" t="s">
        <v>4548</v>
      </c>
      <c r="B1513" s="2" t="s">
        <v>22589</v>
      </c>
      <c r="C1513" s="2">
        <v>5.572777255E9</v>
      </c>
      <c r="D1513" s="2" t="s">
        <v>22590</v>
      </c>
      <c r="E1513" s="2">
        <v>476745.0</v>
      </c>
      <c r="F1513" s="2">
        <v>374.0</v>
      </c>
      <c r="G1513" s="2">
        <v>7729.0</v>
      </c>
      <c r="H1513" s="2" t="s">
        <v>5906</v>
      </c>
      <c r="I1513" s="2" t="s">
        <v>5906</v>
      </c>
      <c r="J1513" s="2" t="s">
        <v>5561</v>
      </c>
      <c r="K1513" s="2" t="s">
        <v>22591</v>
      </c>
      <c r="L1513" s="10" t="s">
        <v>22592</v>
      </c>
    </row>
    <row r="1514">
      <c r="A1514" s="2" t="s">
        <v>4548</v>
      </c>
      <c r="B1514" s="2" t="s">
        <v>22593</v>
      </c>
      <c r="C1514" s="2">
        <v>4.9959639433E10</v>
      </c>
      <c r="D1514" s="2" t="s">
        <v>22594</v>
      </c>
      <c r="E1514" s="2">
        <v>11024.0</v>
      </c>
      <c r="F1514" s="2">
        <v>1577.0</v>
      </c>
      <c r="G1514" s="2">
        <v>313.0</v>
      </c>
      <c r="H1514" s="2" t="s">
        <v>5906</v>
      </c>
      <c r="I1514" s="2" t="s">
        <v>5905</v>
      </c>
      <c r="J1514" s="2" t="s">
        <v>5959</v>
      </c>
      <c r="K1514" s="2" t="s">
        <v>22595</v>
      </c>
      <c r="L1514" s="10" t="s">
        <v>22596</v>
      </c>
    </row>
    <row r="1515">
      <c r="A1515" s="2" t="s">
        <v>4548</v>
      </c>
      <c r="B1515" s="2" t="s">
        <v>22597</v>
      </c>
      <c r="C1515" s="2">
        <v>2.153821597E9</v>
      </c>
      <c r="D1515" s="2" t="s">
        <v>22598</v>
      </c>
      <c r="E1515" s="2">
        <v>11845.0</v>
      </c>
      <c r="F1515" s="2">
        <v>6815.0</v>
      </c>
      <c r="G1515" s="2">
        <v>1106.0</v>
      </c>
      <c r="H1515" s="2" t="s">
        <v>5905</v>
      </c>
      <c r="I1515" s="2" t="s">
        <v>5906</v>
      </c>
      <c r="J1515" s="2" t="s">
        <v>11797</v>
      </c>
      <c r="K1515" s="2" t="s">
        <v>22599</v>
      </c>
      <c r="L1515" s="10" t="s">
        <v>22600</v>
      </c>
    </row>
    <row r="1516">
      <c r="A1516" s="2" t="s">
        <v>4548</v>
      </c>
      <c r="B1516" s="2" t="s">
        <v>22601</v>
      </c>
      <c r="C1516" s="2">
        <v>8.740448007E9</v>
      </c>
      <c r="D1516" s="2" t="s">
        <v>22602</v>
      </c>
      <c r="E1516" s="2">
        <v>15470.0</v>
      </c>
      <c r="F1516" s="2">
        <v>743.0</v>
      </c>
      <c r="G1516" s="2">
        <v>716.0</v>
      </c>
      <c r="H1516" s="2" t="s">
        <v>5906</v>
      </c>
      <c r="I1516" s="2" t="s">
        <v>5905</v>
      </c>
      <c r="J1516" s="2" t="s">
        <v>7431</v>
      </c>
      <c r="K1516" s="2" t="s">
        <v>22603</v>
      </c>
      <c r="L1516" s="10" t="s">
        <v>22604</v>
      </c>
    </row>
    <row r="1517">
      <c r="A1517" s="2" t="s">
        <v>4548</v>
      </c>
      <c r="B1517" s="2" t="s">
        <v>22605</v>
      </c>
      <c r="C1517" s="2">
        <v>4.5373113229E10</v>
      </c>
      <c r="D1517" s="2" t="s">
        <v>22606</v>
      </c>
      <c r="E1517" s="2">
        <v>26813.0</v>
      </c>
      <c r="F1517" s="2">
        <v>50.0</v>
      </c>
      <c r="G1517" s="2">
        <v>615.0</v>
      </c>
      <c r="H1517" s="2" t="s">
        <v>5906</v>
      </c>
      <c r="I1517" s="2" t="s">
        <v>5905</v>
      </c>
      <c r="J1517" s="2" t="s">
        <v>22487</v>
      </c>
      <c r="K1517" s="2" t="s">
        <v>22607</v>
      </c>
      <c r="L1517" s="10" t="s">
        <v>22608</v>
      </c>
    </row>
    <row r="1518">
      <c r="A1518" s="2" t="s">
        <v>4548</v>
      </c>
      <c r="B1518" s="2" t="s">
        <v>22609</v>
      </c>
      <c r="C1518" s="2">
        <v>2.9178869268E10</v>
      </c>
      <c r="D1518" s="2" t="s">
        <v>22610</v>
      </c>
      <c r="E1518" s="2">
        <v>215557.0</v>
      </c>
      <c r="F1518" s="2">
        <v>180.0</v>
      </c>
      <c r="G1518" s="2">
        <v>415.0</v>
      </c>
      <c r="H1518" s="2" t="s">
        <v>5905</v>
      </c>
      <c r="I1518" s="2" t="s">
        <v>5906</v>
      </c>
      <c r="J1518" s="2" t="s">
        <v>17821</v>
      </c>
      <c r="K1518" s="2" t="s">
        <v>22611</v>
      </c>
      <c r="L1518" s="10" t="s">
        <v>22612</v>
      </c>
    </row>
    <row r="1519">
      <c r="A1519" s="2" t="s">
        <v>4548</v>
      </c>
      <c r="B1519" s="2" t="s">
        <v>22613</v>
      </c>
      <c r="C1519" s="2">
        <v>1.455484853E9</v>
      </c>
      <c r="D1519" s="2" t="s">
        <v>22614</v>
      </c>
      <c r="E1519" s="2">
        <v>206332.0</v>
      </c>
      <c r="F1519" s="2">
        <v>72.0</v>
      </c>
      <c r="G1519" s="2">
        <v>588.0</v>
      </c>
      <c r="H1519" s="2" t="s">
        <v>5906</v>
      </c>
      <c r="I1519" s="2" t="s">
        <v>5906</v>
      </c>
      <c r="J1519" s="2" t="s">
        <v>22615</v>
      </c>
      <c r="K1519" s="2" t="s">
        <v>22616</v>
      </c>
      <c r="L1519" s="10" t="s">
        <v>22617</v>
      </c>
    </row>
    <row r="1520">
      <c r="A1520" s="2" t="s">
        <v>4548</v>
      </c>
      <c r="B1520" s="2" t="s">
        <v>22618</v>
      </c>
      <c r="C1520" s="2">
        <v>5.6142220321E10</v>
      </c>
      <c r="D1520" s="2" t="s">
        <v>22619</v>
      </c>
      <c r="E1520" s="2">
        <v>38397.0</v>
      </c>
      <c r="F1520" s="2">
        <v>64.0</v>
      </c>
      <c r="G1520" s="2">
        <v>325.0</v>
      </c>
      <c r="H1520" s="2" t="s">
        <v>5906</v>
      </c>
      <c r="I1520" s="2" t="s">
        <v>5906</v>
      </c>
      <c r="J1520" s="2" t="s">
        <v>17821</v>
      </c>
      <c r="K1520" s="2" t="s">
        <v>22620</v>
      </c>
      <c r="L1520" s="10" t="s">
        <v>22621</v>
      </c>
    </row>
    <row r="1521">
      <c r="A1521" s="2" t="s">
        <v>4548</v>
      </c>
      <c r="B1521" s="2" t="s">
        <v>22622</v>
      </c>
      <c r="C1521" s="2">
        <v>1.84371821E8</v>
      </c>
      <c r="D1521" s="2" t="s">
        <v>22623</v>
      </c>
      <c r="E1521" s="2">
        <v>522370.0</v>
      </c>
      <c r="F1521" s="2">
        <v>444.0</v>
      </c>
      <c r="G1521" s="2">
        <v>8033.0</v>
      </c>
      <c r="H1521" s="2" t="s">
        <v>5906</v>
      </c>
      <c r="I1521" s="2" t="s">
        <v>5906</v>
      </c>
      <c r="J1521" s="2" t="s">
        <v>22624</v>
      </c>
      <c r="K1521" s="2" t="s">
        <v>22625</v>
      </c>
      <c r="L1521" s="10" t="s">
        <v>22626</v>
      </c>
    </row>
    <row r="1522">
      <c r="A1522" s="2" t="s">
        <v>4548</v>
      </c>
      <c r="B1522" s="2" t="s">
        <v>22627</v>
      </c>
      <c r="C1522" s="2">
        <v>2.48975837E8</v>
      </c>
      <c r="D1522" s="2" t="s">
        <v>22628</v>
      </c>
      <c r="E1522" s="2">
        <v>171898.0</v>
      </c>
      <c r="F1522" s="2">
        <v>1686.0</v>
      </c>
      <c r="G1522" s="2">
        <v>2438.0</v>
      </c>
      <c r="H1522" s="2" t="s">
        <v>5906</v>
      </c>
      <c r="I1522" s="2" t="s">
        <v>5906</v>
      </c>
      <c r="K1522" s="2" t="s">
        <v>22629</v>
      </c>
      <c r="L1522" s="10" t="s">
        <v>22630</v>
      </c>
    </row>
    <row r="1523">
      <c r="A1523" s="2" t="s">
        <v>4548</v>
      </c>
      <c r="B1523" s="2" t="s">
        <v>22631</v>
      </c>
      <c r="C1523" s="2">
        <v>7.137324026E9</v>
      </c>
      <c r="D1523" s="2" t="s">
        <v>22632</v>
      </c>
      <c r="E1523" s="2">
        <v>143271.0</v>
      </c>
      <c r="F1523" s="2">
        <v>318.0</v>
      </c>
      <c r="G1523" s="2">
        <v>628.0</v>
      </c>
      <c r="H1523" s="2" t="s">
        <v>5905</v>
      </c>
      <c r="I1523" s="2" t="s">
        <v>5905</v>
      </c>
      <c r="J1523" s="2" t="s">
        <v>22572</v>
      </c>
      <c r="K1523" s="2" t="s">
        <v>22633</v>
      </c>
      <c r="L1523" s="10" t="s">
        <v>22634</v>
      </c>
    </row>
    <row r="1524">
      <c r="A1524" s="2" t="s">
        <v>4419</v>
      </c>
      <c r="B1524" s="2" t="s">
        <v>22635</v>
      </c>
      <c r="C1524" s="2">
        <v>1.5884673E7</v>
      </c>
      <c r="D1524" s="2" t="s">
        <v>22636</v>
      </c>
      <c r="E1524" s="2">
        <v>469508.0</v>
      </c>
      <c r="F1524" s="2">
        <v>2599.0</v>
      </c>
      <c r="G1524" s="2">
        <v>3142.0</v>
      </c>
      <c r="H1524" s="2" t="s">
        <v>5906</v>
      </c>
      <c r="I1524" s="2" t="s">
        <v>5905</v>
      </c>
      <c r="J1524" s="2" t="s">
        <v>5968</v>
      </c>
      <c r="K1524" s="2" t="s">
        <v>22637</v>
      </c>
      <c r="L1524" s="10" t="s">
        <v>22638</v>
      </c>
    </row>
    <row r="1525">
      <c r="A1525" s="2" t="s">
        <v>4419</v>
      </c>
      <c r="B1525" s="2" t="s">
        <v>22639</v>
      </c>
      <c r="C1525" s="2">
        <v>4.88643051E8</v>
      </c>
      <c r="D1525" s="2" t="s">
        <v>22640</v>
      </c>
      <c r="E1525" s="2">
        <v>385779.0</v>
      </c>
      <c r="F1525" s="2">
        <v>215.0</v>
      </c>
      <c r="G1525" s="2">
        <v>1815.0</v>
      </c>
      <c r="H1525" s="2" t="s">
        <v>5906</v>
      </c>
      <c r="I1525" s="2" t="s">
        <v>5906</v>
      </c>
      <c r="J1525" s="2" t="s">
        <v>7405</v>
      </c>
      <c r="K1525" s="2" t="s">
        <v>22641</v>
      </c>
      <c r="L1525" s="10" t="s">
        <v>22642</v>
      </c>
    </row>
    <row r="1526">
      <c r="A1526" s="2" t="s">
        <v>4419</v>
      </c>
      <c r="B1526" s="2" t="s">
        <v>22643</v>
      </c>
      <c r="C1526" s="2">
        <v>6.24173776E8</v>
      </c>
      <c r="D1526" s="2" t="s">
        <v>22644</v>
      </c>
      <c r="E1526" s="2">
        <v>396703.0</v>
      </c>
      <c r="F1526" s="2">
        <v>155.0</v>
      </c>
      <c r="G1526" s="2">
        <v>2655.0</v>
      </c>
      <c r="H1526" s="2" t="s">
        <v>5906</v>
      </c>
      <c r="I1526" s="2" t="s">
        <v>5906</v>
      </c>
      <c r="K1526" s="2" t="s">
        <v>22645</v>
      </c>
      <c r="L1526" s="10" t="s">
        <v>22646</v>
      </c>
    </row>
    <row r="1527">
      <c r="A1527" s="2" t="s">
        <v>4419</v>
      </c>
      <c r="B1527" s="2" t="s">
        <v>22647</v>
      </c>
      <c r="C1527" s="2">
        <v>1.570364965E9</v>
      </c>
      <c r="D1527" s="2" t="s">
        <v>22648</v>
      </c>
      <c r="E1527" s="2">
        <v>46250.0</v>
      </c>
      <c r="F1527" s="2">
        <v>140.0</v>
      </c>
      <c r="G1527" s="2">
        <v>5152.0</v>
      </c>
      <c r="H1527" s="2" t="s">
        <v>5905</v>
      </c>
      <c r="I1527" s="2" t="s">
        <v>5906</v>
      </c>
      <c r="J1527" s="2" t="s">
        <v>8479</v>
      </c>
      <c r="K1527" s="2" t="s">
        <v>22649</v>
      </c>
      <c r="L1527" s="10" t="s">
        <v>22650</v>
      </c>
    </row>
    <row r="1528">
      <c r="A1528" s="2" t="s">
        <v>4419</v>
      </c>
      <c r="B1528" s="2" t="s">
        <v>22651</v>
      </c>
      <c r="C1528" s="2">
        <v>1.087773491E9</v>
      </c>
      <c r="D1528" s="2" t="s">
        <v>22652</v>
      </c>
      <c r="E1528" s="2">
        <v>904204.0</v>
      </c>
      <c r="F1528" s="2">
        <v>313.0</v>
      </c>
      <c r="G1528" s="2">
        <v>1278.0</v>
      </c>
      <c r="H1528" s="2" t="s">
        <v>5905</v>
      </c>
      <c r="I1528" s="2" t="s">
        <v>5905</v>
      </c>
      <c r="J1528" s="2" t="s">
        <v>8144</v>
      </c>
      <c r="K1528" s="2" t="s">
        <v>22653</v>
      </c>
      <c r="L1528" s="10" t="s">
        <v>22654</v>
      </c>
    </row>
    <row r="1529">
      <c r="A1529" s="2" t="s">
        <v>4419</v>
      </c>
      <c r="B1529" s="2" t="s">
        <v>22655</v>
      </c>
      <c r="C1529" s="2">
        <v>5.27962285E8</v>
      </c>
      <c r="D1529" s="2" t="s">
        <v>22656</v>
      </c>
      <c r="E1529" s="2">
        <v>450887.0</v>
      </c>
      <c r="F1529" s="2">
        <v>628.0</v>
      </c>
      <c r="G1529" s="2">
        <v>3181.0</v>
      </c>
      <c r="H1529" s="2" t="s">
        <v>5906</v>
      </c>
      <c r="I1529" s="2" t="s">
        <v>5906</v>
      </c>
      <c r="J1529" s="2" t="s">
        <v>7405</v>
      </c>
      <c r="K1529" s="2" t="s">
        <v>22657</v>
      </c>
      <c r="L1529" s="10" t="s">
        <v>22658</v>
      </c>
    </row>
    <row r="1530">
      <c r="A1530" s="2" t="s">
        <v>4419</v>
      </c>
      <c r="B1530" s="2" t="s">
        <v>22659</v>
      </c>
      <c r="C1530" s="2">
        <v>2.65999041E8</v>
      </c>
      <c r="D1530" s="2" t="s">
        <v>22660</v>
      </c>
      <c r="E1530" s="2">
        <v>73310.0</v>
      </c>
      <c r="F1530" s="2">
        <v>1928.0</v>
      </c>
      <c r="G1530" s="2">
        <v>1536.0</v>
      </c>
      <c r="H1530" s="2" t="s">
        <v>5906</v>
      </c>
      <c r="I1530" s="2" t="s">
        <v>5905</v>
      </c>
      <c r="K1530" s="2" t="s">
        <v>22661</v>
      </c>
    </row>
    <row r="1531">
      <c r="A1531" s="2" t="s">
        <v>4419</v>
      </c>
      <c r="B1531" s="2" t="s">
        <v>22662</v>
      </c>
      <c r="C1531" s="2">
        <v>6.5859028059E10</v>
      </c>
      <c r="D1531" s="2" t="s">
        <v>22663</v>
      </c>
      <c r="E1531" s="2">
        <v>140861.0</v>
      </c>
      <c r="F1531" s="2">
        <v>7.0</v>
      </c>
      <c r="G1531" s="2">
        <v>60.0</v>
      </c>
      <c r="H1531" s="2" t="s">
        <v>5906</v>
      </c>
      <c r="I1531" s="2" t="s">
        <v>5906</v>
      </c>
      <c r="J1531" s="2" t="s">
        <v>6027</v>
      </c>
      <c r="K1531" s="2" t="s">
        <v>22664</v>
      </c>
      <c r="L1531" s="10" t="s">
        <v>22665</v>
      </c>
    </row>
    <row r="1532">
      <c r="A1532" s="2" t="s">
        <v>4419</v>
      </c>
      <c r="B1532" s="2" t="s">
        <v>22666</v>
      </c>
      <c r="C1532" s="2">
        <v>2.293330211E9</v>
      </c>
      <c r="D1532" s="2" t="s">
        <v>22667</v>
      </c>
      <c r="E1532" s="2">
        <v>154194.0</v>
      </c>
      <c r="F1532" s="2">
        <v>122.0</v>
      </c>
      <c r="G1532" s="2">
        <v>199.0</v>
      </c>
      <c r="H1532" s="2" t="s">
        <v>5905</v>
      </c>
      <c r="I1532" s="2" t="s">
        <v>5906</v>
      </c>
      <c r="J1532" s="2" t="s">
        <v>6002</v>
      </c>
      <c r="K1532" s="2" t="s">
        <v>22668</v>
      </c>
      <c r="L1532" s="10" t="s">
        <v>22669</v>
      </c>
    </row>
    <row r="1533">
      <c r="A1533" s="2" t="s">
        <v>4419</v>
      </c>
      <c r="B1533" s="2" t="s">
        <v>22670</v>
      </c>
      <c r="C1533" s="2">
        <v>1.005633042E9</v>
      </c>
      <c r="D1533" s="2" t="s">
        <v>22671</v>
      </c>
      <c r="E1533" s="2">
        <v>260149.0</v>
      </c>
      <c r="F1533" s="2">
        <v>83.0</v>
      </c>
      <c r="G1533" s="2">
        <v>4989.0</v>
      </c>
      <c r="H1533" s="2" t="s">
        <v>5906</v>
      </c>
      <c r="I1533" s="2" t="s">
        <v>5906</v>
      </c>
      <c r="J1533" s="2" t="s">
        <v>21259</v>
      </c>
      <c r="K1533" s="2" t="s">
        <v>22672</v>
      </c>
      <c r="L1533" s="10" t="s">
        <v>22673</v>
      </c>
    </row>
    <row r="1534">
      <c r="A1534" s="2" t="s">
        <v>4419</v>
      </c>
      <c r="B1534" s="2" t="s">
        <v>22674</v>
      </c>
      <c r="C1534" s="2">
        <v>2.05069693E8</v>
      </c>
      <c r="D1534" s="2" t="s">
        <v>22675</v>
      </c>
      <c r="E1534" s="2">
        <v>37592.0</v>
      </c>
      <c r="F1534" s="2">
        <v>228.0</v>
      </c>
      <c r="G1534" s="2">
        <v>4156.0</v>
      </c>
      <c r="H1534" s="2" t="s">
        <v>5905</v>
      </c>
      <c r="I1534" s="2" t="s">
        <v>5906</v>
      </c>
      <c r="J1534" s="2" t="s">
        <v>11977</v>
      </c>
      <c r="K1534" s="2" t="s">
        <v>22676</v>
      </c>
      <c r="L1534" s="10" t="s">
        <v>22677</v>
      </c>
    </row>
    <row r="1535">
      <c r="A1535" s="2" t="s">
        <v>4419</v>
      </c>
      <c r="B1535" s="2" t="s">
        <v>22678</v>
      </c>
      <c r="C1535" s="2">
        <v>4.9998907E8</v>
      </c>
      <c r="D1535" s="2" t="s">
        <v>22679</v>
      </c>
      <c r="E1535" s="2">
        <v>480320.0</v>
      </c>
      <c r="F1535" s="2">
        <v>273.0</v>
      </c>
      <c r="G1535" s="2">
        <v>4279.0</v>
      </c>
      <c r="H1535" s="2" t="s">
        <v>5906</v>
      </c>
      <c r="I1535" s="2" t="s">
        <v>5906</v>
      </c>
      <c r="J1535" s="2" t="s">
        <v>4397</v>
      </c>
      <c r="K1535" s="2" t="s">
        <v>22680</v>
      </c>
      <c r="L1535" s="10" t="s">
        <v>22681</v>
      </c>
    </row>
    <row r="1536">
      <c r="A1536" s="2" t="s">
        <v>4419</v>
      </c>
      <c r="B1536" s="2" t="s">
        <v>22682</v>
      </c>
      <c r="C1536" s="2">
        <v>5.843487E8</v>
      </c>
      <c r="D1536" s="2" t="s">
        <v>22683</v>
      </c>
      <c r="E1536" s="2">
        <v>38234.0</v>
      </c>
      <c r="F1536" s="2">
        <v>610.0</v>
      </c>
      <c r="G1536" s="2">
        <v>3359.0</v>
      </c>
      <c r="H1536" s="2" t="s">
        <v>5905</v>
      </c>
      <c r="I1536" s="2" t="s">
        <v>5906</v>
      </c>
      <c r="J1536" s="2" t="s">
        <v>7405</v>
      </c>
      <c r="K1536" s="2" t="s">
        <v>22684</v>
      </c>
      <c r="L1536" s="10" t="s">
        <v>22685</v>
      </c>
    </row>
    <row r="1537">
      <c r="A1537" s="2" t="s">
        <v>4419</v>
      </c>
      <c r="B1537" s="2" t="s">
        <v>22686</v>
      </c>
      <c r="C1537" s="2">
        <v>5.23903362E8</v>
      </c>
      <c r="D1537" s="2" t="s">
        <v>22687</v>
      </c>
      <c r="E1537" s="2">
        <v>829371.0</v>
      </c>
      <c r="F1537" s="2">
        <v>60.0</v>
      </c>
      <c r="G1537" s="2">
        <v>1729.0</v>
      </c>
      <c r="H1537" s="2" t="s">
        <v>5906</v>
      </c>
      <c r="I1537" s="2" t="s">
        <v>5906</v>
      </c>
      <c r="K1537" s="2" t="s">
        <v>22688</v>
      </c>
      <c r="L1537" s="10" t="s">
        <v>22689</v>
      </c>
    </row>
    <row r="1538">
      <c r="A1538" s="2" t="s">
        <v>4419</v>
      </c>
      <c r="B1538" s="2" t="s">
        <v>22690</v>
      </c>
      <c r="C1538" s="2">
        <v>1.5451588E7</v>
      </c>
      <c r="D1538" s="2" t="s">
        <v>22691</v>
      </c>
      <c r="E1538" s="2">
        <v>43796.0</v>
      </c>
      <c r="F1538" s="2">
        <v>683.0</v>
      </c>
      <c r="G1538" s="2">
        <v>3188.0</v>
      </c>
      <c r="H1538" s="2" t="s">
        <v>5905</v>
      </c>
      <c r="I1538" s="2" t="s">
        <v>5906</v>
      </c>
      <c r="J1538" s="2" t="s">
        <v>5561</v>
      </c>
      <c r="K1538" s="2" t="s">
        <v>22692</v>
      </c>
      <c r="L1538" s="10" t="s">
        <v>22693</v>
      </c>
    </row>
    <row r="1539">
      <c r="A1539" s="2" t="s">
        <v>4498</v>
      </c>
      <c r="B1539" s="2" t="s">
        <v>22694</v>
      </c>
      <c r="C1539" s="2">
        <v>5.85149448E10</v>
      </c>
      <c r="D1539" s="2" t="s">
        <v>22695</v>
      </c>
      <c r="E1539" s="2">
        <v>46627.0</v>
      </c>
      <c r="F1539" s="2">
        <v>57.0</v>
      </c>
      <c r="G1539" s="2">
        <v>97.0</v>
      </c>
      <c r="H1539" s="2" t="s">
        <v>5905</v>
      </c>
      <c r="I1539" s="2" t="s">
        <v>5906</v>
      </c>
      <c r="J1539" s="2" t="s">
        <v>7059</v>
      </c>
      <c r="K1539" s="2" t="s">
        <v>22696</v>
      </c>
      <c r="L1539" s="10" t="s">
        <v>22697</v>
      </c>
    </row>
    <row r="1540">
      <c r="A1540" s="2" t="s">
        <v>4498</v>
      </c>
      <c r="B1540" s="2" t="s">
        <v>22698</v>
      </c>
      <c r="C1540" s="2">
        <v>4.92760817E10</v>
      </c>
      <c r="D1540" s="2" t="s">
        <v>22699</v>
      </c>
      <c r="E1540" s="2">
        <v>158464.0</v>
      </c>
      <c r="F1540" s="2">
        <v>71.0</v>
      </c>
      <c r="G1540" s="2">
        <v>579.0</v>
      </c>
      <c r="H1540" s="2" t="s">
        <v>5906</v>
      </c>
      <c r="I1540" s="2" t="s">
        <v>5905</v>
      </c>
      <c r="J1540" s="2" t="s">
        <v>5391</v>
      </c>
      <c r="K1540" s="2" t="s">
        <v>22700</v>
      </c>
      <c r="L1540" s="10" t="s">
        <v>22701</v>
      </c>
    </row>
    <row r="1541">
      <c r="A1541" s="2" t="s">
        <v>4498</v>
      </c>
      <c r="B1541" s="2" t="s">
        <v>22702</v>
      </c>
      <c r="C1541" s="2">
        <v>1.56811766E9</v>
      </c>
      <c r="D1541" s="2" t="s">
        <v>22703</v>
      </c>
      <c r="E1541" s="2">
        <v>1452165.0</v>
      </c>
      <c r="F1541" s="2">
        <v>3.0</v>
      </c>
      <c r="G1541" s="2">
        <v>12612.0</v>
      </c>
      <c r="H1541" s="2" t="s">
        <v>5905</v>
      </c>
      <c r="I1541" s="2" t="s">
        <v>5906</v>
      </c>
      <c r="J1541" s="2" t="s">
        <v>5391</v>
      </c>
      <c r="K1541" s="2" t="s">
        <v>22704</v>
      </c>
      <c r="L1541" s="10" t="s">
        <v>22705</v>
      </c>
    </row>
    <row r="1542">
      <c r="A1542" s="2" t="s">
        <v>4498</v>
      </c>
      <c r="B1542" s="2" t="s">
        <v>4498</v>
      </c>
      <c r="C1542" s="2">
        <v>1.240630721E9</v>
      </c>
      <c r="D1542" s="2" t="s">
        <v>22706</v>
      </c>
      <c r="E1542" s="2">
        <v>49500.0</v>
      </c>
      <c r="F1542" s="2">
        <v>7.0</v>
      </c>
      <c r="G1542" s="2">
        <v>11.0</v>
      </c>
      <c r="H1542" s="2" t="s">
        <v>5906</v>
      </c>
      <c r="I1542" s="2" t="s">
        <v>5906</v>
      </c>
      <c r="J1542" s="2" t="s">
        <v>7059</v>
      </c>
      <c r="K1542" s="2" t="s">
        <v>22707</v>
      </c>
    </row>
    <row r="1543">
      <c r="A1543" s="2" t="s">
        <v>4498</v>
      </c>
      <c r="B1543" s="2" t="s">
        <v>22708</v>
      </c>
      <c r="C1543" s="2">
        <v>4.958011218E10</v>
      </c>
      <c r="D1543" s="2" t="s">
        <v>22709</v>
      </c>
      <c r="E1543" s="2">
        <v>1651862.0</v>
      </c>
      <c r="F1543" s="2">
        <v>562.0</v>
      </c>
      <c r="G1543" s="2">
        <v>869.0</v>
      </c>
      <c r="H1543" s="2" t="s">
        <v>5906</v>
      </c>
      <c r="I1543" s="2" t="s">
        <v>5905</v>
      </c>
      <c r="J1543" s="2" t="s">
        <v>6414</v>
      </c>
      <c r="K1543" s="2" t="s">
        <v>22710</v>
      </c>
      <c r="L1543" s="10" t="s">
        <v>22711</v>
      </c>
    </row>
    <row r="1544">
      <c r="A1544" s="2" t="s">
        <v>4498</v>
      </c>
      <c r="B1544" s="10" t="s">
        <v>22712</v>
      </c>
      <c r="C1544" s="2">
        <v>1.0494839759E10</v>
      </c>
      <c r="D1544" s="2" t="s">
        <v>22713</v>
      </c>
      <c r="E1544" s="2">
        <v>1910310.0</v>
      </c>
      <c r="F1544" s="2">
        <v>15.0</v>
      </c>
      <c r="G1544" s="2">
        <v>2929.0</v>
      </c>
      <c r="H1544" s="2" t="s">
        <v>5905</v>
      </c>
      <c r="I1544" s="2" t="s">
        <v>5906</v>
      </c>
      <c r="K1544" s="2" t="s">
        <v>22714</v>
      </c>
    </row>
    <row r="1545">
      <c r="A1545" s="2" t="s">
        <v>4498</v>
      </c>
      <c r="B1545" s="10" t="s">
        <v>22715</v>
      </c>
      <c r="C1545" s="2">
        <v>4.9261698E9</v>
      </c>
      <c r="D1545" s="2" t="s">
        <v>22716</v>
      </c>
      <c r="E1545" s="2">
        <v>1586815.0</v>
      </c>
      <c r="F1545" s="2">
        <v>26.0</v>
      </c>
      <c r="G1545" s="2">
        <v>25178.0</v>
      </c>
      <c r="H1545" s="2" t="s">
        <v>5906</v>
      </c>
      <c r="I1545" s="2" t="s">
        <v>5905</v>
      </c>
      <c r="J1545" s="2" t="s">
        <v>5948</v>
      </c>
      <c r="K1545" s="2" t="s">
        <v>22717</v>
      </c>
      <c r="L1545" s="10" t="s">
        <v>22718</v>
      </c>
    </row>
    <row r="1546">
      <c r="A1546" s="2" t="s">
        <v>4498</v>
      </c>
      <c r="B1546" s="2" t="s">
        <v>22719</v>
      </c>
      <c r="C1546" s="2">
        <v>6.6854144414E10</v>
      </c>
      <c r="D1546" s="2" t="s">
        <v>22720</v>
      </c>
      <c r="E1546" s="2">
        <v>12569.0</v>
      </c>
      <c r="F1546" s="2">
        <v>112.0</v>
      </c>
      <c r="G1546" s="2">
        <v>177.0</v>
      </c>
      <c r="H1546" s="2" t="s">
        <v>5905</v>
      </c>
      <c r="I1546" s="2" t="s">
        <v>5905</v>
      </c>
      <c r="J1546" s="2" t="s">
        <v>5959</v>
      </c>
      <c r="K1546" s="2" t="s">
        <v>22721</v>
      </c>
      <c r="L1546" s="10" t="s">
        <v>22722</v>
      </c>
    </row>
    <row r="1547">
      <c r="A1547" s="2" t="s">
        <v>4498</v>
      </c>
      <c r="B1547" s="2" t="s">
        <v>18173</v>
      </c>
      <c r="C1547" s="2">
        <v>6.2128921313E10</v>
      </c>
      <c r="D1547" s="2" t="s">
        <v>18174</v>
      </c>
      <c r="E1547" s="2">
        <v>1166936.0</v>
      </c>
      <c r="F1547" s="2">
        <v>0.0</v>
      </c>
      <c r="G1547" s="2">
        <v>479.0</v>
      </c>
      <c r="H1547" s="2" t="s">
        <v>5906</v>
      </c>
      <c r="I1547" s="2" t="s">
        <v>5906</v>
      </c>
      <c r="J1547" s="2" t="s">
        <v>7059</v>
      </c>
      <c r="K1547" s="2" t="s">
        <v>18175</v>
      </c>
      <c r="L1547" s="10" t="s">
        <v>18176</v>
      </c>
    </row>
    <row r="1548">
      <c r="A1548" s="2" t="s">
        <v>4677</v>
      </c>
      <c r="B1548" s="2" t="s">
        <v>22723</v>
      </c>
      <c r="C1548" s="2">
        <v>6.1115553502E10</v>
      </c>
      <c r="D1548" s="2" t="s">
        <v>22724</v>
      </c>
      <c r="E1548" s="2">
        <v>29603.0</v>
      </c>
      <c r="F1548" s="2">
        <v>1.0</v>
      </c>
      <c r="G1548" s="2">
        <v>122.0</v>
      </c>
      <c r="H1548" s="2" t="s">
        <v>5905</v>
      </c>
      <c r="I1548" s="2" t="s">
        <v>5905</v>
      </c>
      <c r="J1548" s="2" t="s">
        <v>5959</v>
      </c>
      <c r="K1548" s="2" t="s">
        <v>22725</v>
      </c>
    </row>
    <row r="1549">
      <c r="A1549" s="2" t="s">
        <v>4677</v>
      </c>
      <c r="B1549" s="2" t="s">
        <v>22726</v>
      </c>
      <c r="C1549" s="2">
        <v>4.4903938884E10</v>
      </c>
      <c r="D1549" s="2" t="s">
        <v>22727</v>
      </c>
      <c r="E1549" s="2">
        <v>16212.0</v>
      </c>
      <c r="F1549" s="2">
        <v>113.0</v>
      </c>
      <c r="G1549" s="2">
        <v>113.0</v>
      </c>
      <c r="H1549" s="2" t="s">
        <v>5905</v>
      </c>
      <c r="I1549" s="2" t="s">
        <v>5906</v>
      </c>
      <c r="J1549" s="2" t="s">
        <v>6393</v>
      </c>
      <c r="K1549" s="2" t="s">
        <v>22728</v>
      </c>
    </row>
    <row r="1550">
      <c r="A1550" s="2" t="s">
        <v>4677</v>
      </c>
      <c r="B1550" s="2" t="s">
        <v>22729</v>
      </c>
      <c r="C1550" s="2">
        <v>4.4364855591E10</v>
      </c>
      <c r="D1550" s="2" t="s">
        <v>22730</v>
      </c>
      <c r="E1550" s="2">
        <v>123345.0</v>
      </c>
      <c r="F1550" s="2">
        <v>7.0</v>
      </c>
      <c r="G1550" s="2">
        <v>1946.0</v>
      </c>
      <c r="H1550" s="2" t="s">
        <v>5905</v>
      </c>
      <c r="I1550" s="2" t="s">
        <v>5905</v>
      </c>
      <c r="J1550" s="2" t="s">
        <v>5391</v>
      </c>
      <c r="K1550" s="2" t="s">
        <v>22731</v>
      </c>
      <c r="L1550" s="10" t="s">
        <v>22732</v>
      </c>
    </row>
    <row r="1551">
      <c r="A1551" s="2" t="s">
        <v>4677</v>
      </c>
      <c r="B1551" s="2" t="s">
        <v>22733</v>
      </c>
      <c r="C1551" s="2">
        <v>2.44143075E8</v>
      </c>
      <c r="D1551" s="2" t="s">
        <v>22734</v>
      </c>
      <c r="E1551" s="2">
        <v>181445.0</v>
      </c>
      <c r="F1551" s="2">
        <v>605.0</v>
      </c>
      <c r="G1551" s="2">
        <v>1991.0</v>
      </c>
      <c r="H1551" s="2" t="s">
        <v>5906</v>
      </c>
      <c r="I1551" s="2" t="s">
        <v>5906</v>
      </c>
      <c r="J1551" s="2" t="s">
        <v>5391</v>
      </c>
      <c r="K1551" s="2" t="s">
        <v>22735</v>
      </c>
      <c r="L1551" s="10" t="s">
        <v>22736</v>
      </c>
    </row>
    <row r="1552">
      <c r="A1552" s="2" t="s">
        <v>4587</v>
      </c>
      <c r="B1552" s="2" t="s">
        <v>22737</v>
      </c>
      <c r="C1552" s="2">
        <v>3.169984962E9</v>
      </c>
      <c r="D1552" s="2" t="s">
        <v>22738</v>
      </c>
      <c r="E1552" s="2">
        <v>14560.0</v>
      </c>
      <c r="F1552" s="2">
        <v>152.0</v>
      </c>
      <c r="G1552" s="2">
        <v>52.0</v>
      </c>
      <c r="H1552" s="2" t="s">
        <v>5905</v>
      </c>
      <c r="I1552" s="2" t="s">
        <v>5905</v>
      </c>
      <c r="J1552" s="2" t="s">
        <v>5959</v>
      </c>
      <c r="K1552" s="2" t="s">
        <v>22739</v>
      </c>
      <c r="L1552" s="10" t="s">
        <v>22740</v>
      </c>
    </row>
    <row r="1553">
      <c r="A1553" s="2" t="s">
        <v>4587</v>
      </c>
      <c r="B1553" s="2" t="s">
        <v>22741</v>
      </c>
      <c r="C1553" s="2">
        <v>3.29971975E8</v>
      </c>
      <c r="D1553" s="2" t="s">
        <v>22742</v>
      </c>
      <c r="E1553" s="2">
        <v>3349251.0</v>
      </c>
      <c r="F1553" s="2">
        <v>0.0</v>
      </c>
      <c r="G1553" s="2">
        <v>2838.0</v>
      </c>
      <c r="H1553" s="2" t="s">
        <v>5906</v>
      </c>
      <c r="I1553" s="2" t="s">
        <v>5905</v>
      </c>
      <c r="J1553" s="2" t="s">
        <v>4996</v>
      </c>
      <c r="K1553" s="2" t="s">
        <v>22743</v>
      </c>
    </row>
    <row r="1554">
      <c r="A1554" s="2" t="s">
        <v>4587</v>
      </c>
      <c r="B1554" s="2" t="s">
        <v>22744</v>
      </c>
      <c r="C1554" s="2">
        <v>4.8901452495E10</v>
      </c>
      <c r="D1554" s="2" t="s">
        <v>22745</v>
      </c>
      <c r="E1554" s="2">
        <v>385707.0</v>
      </c>
      <c r="F1554" s="2">
        <v>98.0</v>
      </c>
      <c r="G1554" s="2">
        <v>622.0</v>
      </c>
      <c r="H1554" s="2" t="s">
        <v>5905</v>
      </c>
      <c r="I1554" s="2" t="s">
        <v>5905</v>
      </c>
      <c r="J1554" s="2" t="s">
        <v>6393</v>
      </c>
      <c r="K1554" s="2" t="s">
        <v>22746</v>
      </c>
      <c r="L1554" s="10" t="s">
        <v>22747</v>
      </c>
    </row>
    <row r="1555">
      <c r="A1555" s="2" t="s">
        <v>4587</v>
      </c>
      <c r="B1555" s="2" t="s">
        <v>22748</v>
      </c>
      <c r="C1555" s="2">
        <v>3.702300047E9</v>
      </c>
      <c r="E1555" s="2">
        <v>832229.0</v>
      </c>
      <c r="F1555" s="2">
        <v>4379.0</v>
      </c>
      <c r="G1555" s="2">
        <v>2702.0</v>
      </c>
      <c r="H1555" s="2" t="s">
        <v>5905</v>
      </c>
      <c r="I1555" s="2" t="s">
        <v>5905</v>
      </c>
      <c r="J1555" s="2" t="s">
        <v>5492</v>
      </c>
      <c r="K1555" s="2" t="s">
        <v>22749</v>
      </c>
    </row>
    <row r="1556">
      <c r="A1556" s="2" t="s">
        <v>4587</v>
      </c>
      <c r="B1556" s="2" t="s">
        <v>22750</v>
      </c>
      <c r="C1556" s="2">
        <v>8.567432031E9</v>
      </c>
      <c r="D1556" s="2" t="s">
        <v>22751</v>
      </c>
      <c r="E1556" s="2">
        <v>18265.0</v>
      </c>
      <c r="F1556" s="2">
        <v>161.0</v>
      </c>
      <c r="G1556" s="2">
        <v>842.0</v>
      </c>
      <c r="H1556" s="2" t="s">
        <v>5905</v>
      </c>
      <c r="I1556" s="2" t="s">
        <v>5906</v>
      </c>
      <c r="K1556" s="2" t="s">
        <v>22752</v>
      </c>
      <c r="L1556" s="10" t="s">
        <v>22753</v>
      </c>
    </row>
    <row r="1557">
      <c r="A1557" s="2" t="s">
        <v>4587</v>
      </c>
      <c r="B1557" s="2" t="s">
        <v>22754</v>
      </c>
      <c r="C1557" s="2">
        <v>1.6364564248E10</v>
      </c>
      <c r="D1557" s="2" t="s">
        <v>22755</v>
      </c>
      <c r="E1557" s="2">
        <v>666152.0</v>
      </c>
      <c r="F1557" s="2">
        <v>1303.0</v>
      </c>
      <c r="G1557" s="2">
        <v>2834.0</v>
      </c>
      <c r="H1557" s="2" t="s">
        <v>5905</v>
      </c>
      <c r="I1557" s="2" t="s">
        <v>5905</v>
      </c>
      <c r="J1557" s="2" t="s">
        <v>5928</v>
      </c>
      <c r="K1557" s="2" t="s">
        <v>22756</v>
      </c>
      <c r="L1557" s="10" t="s">
        <v>20981</v>
      </c>
    </row>
    <row r="1558">
      <c r="A1558" s="2" t="s">
        <v>4587</v>
      </c>
      <c r="B1558" s="2" t="s">
        <v>22757</v>
      </c>
      <c r="C1558" s="2">
        <v>2.216945733E9</v>
      </c>
      <c r="D1558" s="2" t="s">
        <v>22758</v>
      </c>
      <c r="E1558" s="2">
        <v>427893.0</v>
      </c>
      <c r="F1558" s="2">
        <v>399.0</v>
      </c>
      <c r="G1558" s="2">
        <v>2991.0</v>
      </c>
      <c r="H1558" s="2" t="s">
        <v>5905</v>
      </c>
      <c r="I1558" s="2" t="s">
        <v>5905</v>
      </c>
      <c r="J1558" s="2" t="s">
        <v>5959</v>
      </c>
      <c r="K1558" s="2" t="s">
        <v>22759</v>
      </c>
      <c r="L1558" s="10" t="s">
        <v>22760</v>
      </c>
    </row>
    <row r="1559">
      <c r="A1559" s="2" t="s">
        <v>4587</v>
      </c>
      <c r="B1559" s="2" t="s">
        <v>22761</v>
      </c>
      <c r="C1559" s="2">
        <v>5.1481314895E10</v>
      </c>
      <c r="D1559" s="2" t="s">
        <v>22762</v>
      </c>
      <c r="E1559" s="2">
        <v>124683.0</v>
      </c>
      <c r="F1559" s="2">
        <v>84.0</v>
      </c>
      <c r="G1559" s="2">
        <v>265.0</v>
      </c>
      <c r="H1559" s="2" t="s">
        <v>5906</v>
      </c>
      <c r="I1559" s="2" t="s">
        <v>5905</v>
      </c>
      <c r="J1559" s="2" t="s">
        <v>5391</v>
      </c>
      <c r="K1559" s="2" t="s">
        <v>22763</v>
      </c>
      <c r="L1559" s="10" t="s">
        <v>22764</v>
      </c>
    </row>
    <row r="1560">
      <c r="A1560" s="2" t="s">
        <v>4587</v>
      </c>
      <c r="B1560" s="2" t="s">
        <v>22765</v>
      </c>
      <c r="C1560" s="2">
        <v>1.80947558E9</v>
      </c>
      <c r="D1560" s="2" t="s">
        <v>22766</v>
      </c>
      <c r="E1560" s="2">
        <v>184936.0</v>
      </c>
      <c r="F1560" s="2">
        <v>247.0</v>
      </c>
      <c r="G1560" s="2">
        <v>996.0</v>
      </c>
      <c r="H1560" s="2" t="s">
        <v>5905</v>
      </c>
      <c r="I1560" s="2" t="s">
        <v>5906</v>
      </c>
      <c r="K1560" s="2" t="s">
        <v>22767</v>
      </c>
      <c r="L1560" s="10" t="s">
        <v>22768</v>
      </c>
    </row>
    <row r="1561">
      <c r="A1561" s="2" t="s">
        <v>4587</v>
      </c>
      <c r="B1561" s="2" t="s">
        <v>22769</v>
      </c>
      <c r="C1561" s="2">
        <v>5.9789195574E10</v>
      </c>
      <c r="D1561" s="2" t="s">
        <v>22770</v>
      </c>
      <c r="E1561" s="2">
        <v>39390.0</v>
      </c>
      <c r="F1561" s="2">
        <v>3318.0</v>
      </c>
      <c r="G1561" s="2">
        <v>1255.0</v>
      </c>
      <c r="H1561" s="2" t="s">
        <v>5905</v>
      </c>
      <c r="I1561" s="2" t="s">
        <v>5906</v>
      </c>
      <c r="J1561" s="2" t="s">
        <v>22771</v>
      </c>
      <c r="K1561" s="2" t="s">
        <v>22772</v>
      </c>
      <c r="L1561" s="10" t="s">
        <v>22773</v>
      </c>
    </row>
    <row r="1562">
      <c r="A1562" s="2" t="s">
        <v>4587</v>
      </c>
      <c r="B1562" s="2" t="s">
        <v>22774</v>
      </c>
      <c r="C1562" s="2">
        <v>3.4674961435E10</v>
      </c>
      <c r="D1562" s="2" t="s">
        <v>22775</v>
      </c>
      <c r="E1562" s="2">
        <v>212041.0</v>
      </c>
      <c r="F1562" s="2">
        <v>1.0</v>
      </c>
      <c r="G1562" s="2">
        <v>2663.0</v>
      </c>
      <c r="H1562" s="2" t="s">
        <v>5905</v>
      </c>
      <c r="I1562" s="2" t="s">
        <v>5905</v>
      </c>
      <c r="J1562" s="2" t="s">
        <v>7140</v>
      </c>
      <c r="K1562" s="2" t="s">
        <v>22776</v>
      </c>
    </row>
    <row r="1563">
      <c r="A1563" s="2" t="s">
        <v>4587</v>
      </c>
      <c r="B1563" s="2" t="s">
        <v>22777</v>
      </c>
      <c r="C1563" s="2">
        <v>1.584551E7</v>
      </c>
      <c r="D1563" s="2" t="s">
        <v>22778</v>
      </c>
      <c r="E1563" s="2">
        <v>140380.0</v>
      </c>
      <c r="F1563" s="2">
        <v>3147.0</v>
      </c>
      <c r="G1563" s="2">
        <v>6146.0</v>
      </c>
      <c r="H1563" s="2" t="s">
        <v>5906</v>
      </c>
      <c r="I1563" s="2" t="s">
        <v>5905</v>
      </c>
      <c r="J1563" s="2" t="s">
        <v>5959</v>
      </c>
      <c r="K1563" s="2" t="s">
        <v>22779</v>
      </c>
      <c r="L1563" s="10" t="s">
        <v>22780</v>
      </c>
    </row>
    <row r="1564">
      <c r="A1564" s="2" t="s">
        <v>4587</v>
      </c>
      <c r="B1564" s="2" t="s">
        <v>22781</v>
      </c>
      <c r="C1564" s="2">
        <v>4.3843799729E10</v>
      </c>
      <c r="D1564" s="2" t="s">
        <v>22782</v>
      </c>
      <c r="E1564" s="2">
        <v>54769.0</v>
      </c>
      <c r="F1564" s="2">
        <v>966.0</v>
      </c>
      <c r="G1564" s="2">
        <v>957.0</v>
      </c>
      <c r="H1564" s="2" t="s">
        <v>5906</v>
      </c>
      <c r="I1564" s="2" t="s">
        <v>5905</v>
      </c>
      <c r="J1564" s="2" t="s">
        <v>5959</v>
      </c>
      <c r="K1564" s="2" t="s">
        <v>22783</v>
      </c>
      <c r="L1564" s="10" t="s">
        <v>22784</v>
      </c>
    </row>
    <row r="1565">
      <c r="A1565" s="2" t="s">
        <v>4587</v>
      </c>
      <c r="B1565" s="2" t="s">
        <v>22785</v>
      </c>
      <c r="C1565" s="2">
        <v>1.995130621E9</v>
      </c>
      <c r="D1565" s="2" t="s">
        <v>22786</v>
      </c>
      <c r="E1565" s="2">
        <v>1424544.0</v>
      </c>
      <c r="F1565" s="2">
        <v>3807.0</v>
      </c>
      <c r="G1565" s="2">
        <v>2546.0</v>
      </c>
      <c r="H1565" s="2" t="s">
        <v>5906</v>
      </c>
      <c r="I1565" s="2" t="s">
        <v>5905</v>
      </c>
      <c r="J1565" s="2" t="s">
        <v>6856</v>
      </c>
      <c r="K1565" s="2" t="s">
        <v>22787</v>
      </c>
      <c r="L1565" s="10" t="s">
        <v>22788</v>
      </c>
    </row>
    <row r="1566">
      <c r="A1566" s="2" t="s">
        <v>4587</v>
      </c>
      <c r="B1566" s="2" t="s">
        <v>21078</v>
      </c>
      <c r="C1566" s="2">
        <v>3.036238149E9</v>
      </c>
      <c r="D1566" s="2" t="s">
        <v>21079</v>
      </c>
      <c r="E1566" s="2">
        <v>322620.0</v>
      </c>
      <c r="F1566" s="2">
        <v>857.0</v>
      </c>
      <c r="G1566" s="2">
        <v>834.0</v>
      </c>
      <c r="H1566" s="2" t="s">
        <v>5906</v>
      </c>
      <c r="I1566" s="2" t="s">
        <v>5906</v>
      </c>
      <c r="J1566" s="2" t="s">
        <v>12774</v>
      </c>
      <c r="K1566" s="2" t="s">
        <v>21080</v>
      </c>
      <c r="L1566" s="10" t="s">
        <v>21081</v>
      </c>
    </row>
    <row r="1567">
      <c r="A1567" s="2" t="s">
        <v>4422</v>
      </c>
      <c r="B1567" s="2" t="s">
        <v>22789</v>
      </c>
      <c r="C1567" s="2">
        <v>1.722135901E9</v>
      </c>
      <c r="D1567" s="2" t="s">
        <v>22790</v>
      </c>
      <c r="E1567" s="2">
        <v>75248.0</v>
      </c>
      <c r="F1567" s="2">
        <v>641.0</v>
      </c>
      <c r="G1567" s="2">
        <v>3907.0</v>
      </c>
      <c r="H1567" s="2" t="s">
        <v>5905</v>
      </c>
      <c r="I1567" s="2" t="s">
        <v>5906</v>
      </c>
      <c r="K1567" s="2" t="s">
        <v>22791</v>
      </c>
      <c r="L1567" s="10" t="s">
        <v>22792</v>
      </c>
    </row>
    <row r="1568">
      <c r="A1568" s="2" t="s">
        <v>4422</v>
      </c>
      <c r="B1568" s="2" t="s">
        <v>22793</v>
      </c>
      <c r="C1568" s="2">
        <v>4.9120968647E10</v>
      </c>
      <c r="D1568" s="2" t="s">
        <v>22794</v>
      </c>
      <c r="E1568" s="2">
        <v>1371897.0</v>
      </c>
      <c r="F1568" s="2">
        <v>1.0</v>
      </c>
      <c r="G1568" s="2">
        <v>2278.0</v>
      </c>
      <c r="H1568" s="2" t="s">
        <v>5906</v>
      </c>
      <c r="I1568" s="2" t="s">
        <v>5905</v>
      </c>
      <c r="J1568" s="2" t="s">
        <v>22795</v>
      </c>
      <c r="K1568" s="2" t="s">
        <v>22796</v>
      </c>
    </row>
    <row r="1569">
      <c r="A1569" s="2" t="s">
        <v>4422</v>
      </c>
      <c r="B1569" s="2" t="s">
        <v>22797</v>
      </c>
      <c r="C1569" s="2">
        <v>4.8770799242E10</v>
      </c>
      <c r="D1569" s="2" t="s">
        <v>22798</v>
      </c>
      <c r="E1569" s="2">
        <v>208374.0</v>
      </c>
      <c r="F1569" s="2">
        <v>75.0</v>
      </c>
      <c r="G1569" s="2">
        <v>305.0</v>
      </c>
      <c r="H1569" s="2" t="s">
        <v>5906</v>
      </c>
      <c r="I1569" s="2" t="s">
        <v>5905</v>
      </c>
      <c r="J1569" s="2" t="s">
        <v>5561</v>
      </c>
      <c r="K1569" s="2" t="s">
        <v>22799</v>
      </c>
      <c r="L1569" s="10" t="s">
        <v>22800</v>
      </c>
    </row>
    <row r="1570">
      <c r="A1570" s="2" t="s">
        <v>4422</v>
      </c>
      <c r="B1570" s="2" t="s">
        <v>22801</v>
      </c>
      <c r="C1570" s="2">
        <v>1.8694528E8</v>
      </c>
      <c r="D1570" s="2" t="s">
        <v>22802</v>
      </c>
      <c r="E1570" s="2">
        <v>250571.0</v>
      </c>
      <c r="F1570" s="2">
        <v>30.0</v>
      </c>
      <c r="G1570" s="2">
        <v>278.0</v>
      </c>
      <c r="H1570" s="2" t="s">
        <v>5905</v>
      </c>
      <c r="I1570" s="2" t="s">
        <v>5905</v>
      </c>
      <c r="J1570" s="2" t="s">
        <v>5561</v>
      </c>
      <c r="K1570" s="2" t="s">
        <v>22803</v>
      </c>
      <c r="L1570" s="10" t="s">
        <v>22804</v>
      </c>
    </row>
    <row r="1571">
      <c r="A1571" s="2" t="s">
        <v>4422</v>
      </c>
      <c r="B1571" s="2" t="s">
        <v>22805</v>
      </c>
      <c r="C1571" s="2">
        <v>1.6213066982E10</v>
      </c>
      <c r="D1571" s="2" t="s">
        <v>22806</v>
      </c>
      <c r="E1571" s="2">
        <v>11079.0</v>
      </c>
      <c r="F1571" s="2">
        <v>224.0</v>
      </c>
      <c r="G1571" s="2">
        <v>547.0</v>
      </c>
      <c r="H1571" s="2" t="s">
        <v>5905</v>
      </c>
      <c r="I1571" s="2" t="s">
        <v>5906</v>
      </c>
      <c r="J1571" s="2" t="s">
        <v>5518</v>
      </c>
      <c r="K1571" s="2" t="s">
        <v>22807</v>
      </c>
      <c r="L1571" s="10" t="s">
        <v>22808</v>
      </c>
    </row>
    <row r="1572">
      <c r="A1572" s="2" t="s">
        <v>4422</v>
      </c>
      <c r="B1572" s="2" t="s">
        <v>22809</v>
      </c>
      <c r="C1572" s="2">
        <v>6.2401488662E10</v>
      </c>
      <c r="D1572" s="2" t="s">
        <v>22810</v>
      </c>
      <c r="E1572" s="2">
        <v>28886.0</v>
      </c>
      <c r="F1572" s="2">
        <v>236.0</v>
      </c>
      <c r="G1572" s="2">
        <v>406.0</v>
      </c>
      <c r="H1572" s="2" t="s">
        <v>5905</v>
      </c>
      <c r="I1572" s="2" t="s">
        <v>5905</v>
      </c>
      <c r="J1572" s="2" t="s">
        <v>5928</v>
      </c>
      <c r="K1572" s="2" t="s">
        <v>22811</v>
      </c>
    </row>
    <row r="1573">
      <c r="A1573" s="2" t="s">
        <v>4422</v>
      </c>
      <c r="B1573" s="2" t="s">
        <v>22812</v>
      </c>
      <c r="C1573" s="2">
        <v>8.730409841E9</v>
      </c>
      <c r="D1573" s="2" t="s">
        <v>22813</v>
      </c>
      <c r="E1573" s="2">
        <v>2176383.0</v>
      </c>
      <c r="F1573" s="2">
        <v>603.0</v>
      </c>
      <c r="G1573" s="2">
        <v>3998.0</v>
      </c>
      <c r="H1573" s="2" t="s">
        <v>5906</v>
      </c>
      <c r="I1573" s="2" t="s">
        <v>5905</v>
      </c>
      <c r="J1573" s="2" t="s">
        <v>6002</v>
      </c>
      <c r="K1573" s="2" t="s">
        <v>22814</v>
      </c>
      <c r="L1573" s="10" t="s">
        <v>22815</v>
      </c>
    </row>
    <row r="1574">
      <c r="A1574" s="2" t="s">
        <v>4422</v>
      </c>
      <c r="B1574" s="2" t="s">
        <v>22816</v>
      </c>
      <c r="C1574" s="2">
        <v>2.6203517225E10</v>
      </c>
      <c r="D1574" s="12" t="s">
        <v>22817</v>
      </c>
      <c r="E1574" s="2">
        <v>76568.0</v>
      </c>
      <c r="F1574" s="2">
        <v>4.0</v>
      </c>
      <c r="G1574" s="2">
        <v>622.0</v>
      </c>
      <c r="H1574" s="2" t="s">
        <v>5905</v>
      </c>
      <c r="I1574" s="2" t="s">
        <v>5906</v>
      </c>
      <c r="J1574" s="2" t="s">
        <v>22795</v>
      </c>
      <c r="K1574" s="12" t="s">
        <v>22818</v>
      </c>
      <c r="L1574" s="10" t="s">
        <v>22819</v>
      </c>
    </row>
    <row r="1575">
      <c r="A1575" s="2" t="s">
        <v>4422</v>
      </c>
      <c r="B1575" s="2" t="s">
        <v>22820</v>
      </c>
      <c r="C1575" s="2">
        <v>4.7016893949E10</v>
      </c>
      <c r="D1575" s="12" t="s">
        <v>22821</v>
      </c>
      <c r="E1575" s="2">
        <v>66163.0</v>
      </c>
      <c r="F1575" s="2">
        <v>26.0</v>
      </c>
      <c r="G1575" s="2">
        <v>87.0</v>
      </c>
      <c r="H1575" s="2" t="s">
        <v>5905</v>
      </c>
      <c r="I1575" s="2" t="s">
        <v>5905</v>
      </c>
      <c r="J1575" s="2" t="s">
        <v>10543</v>
      </c>
      <c r="K1575" s="12" t="s">
        <v>22822</v>
      </c>
    </row>
    <row r="1576">
      <c r="A1576" s="2" t="s">
        <v>4422</v>
      </c>
      <c r="B1576" s="2" t="s">
        <v>22823</v>
      </c>
      <c r="C1576" s="2">
        <v>4.8072977401E10</v>
      </c>
      <c r="D1576" s="2" t="s">
        <v>22824</v>
      </c>
      <c r="E1576" s="2">
        <v>37861.0</v>
      </c>
      <c r="F1576" s="2">
        <v>0.0</v>
      </c>
      <c r="G1576" s="2">
        <v>1339.0</v>
      </c>
      <c r="H1576" s="2" t="s">
        <v>5906</v>
      </c>
      <c r="I1576" s="2" t="s">
        <v>5906</v>
      </c>
      <c r="J1576" s="2" t="s">
        <v>8843</v>
      </c>
      <c r="K1576" s="2" t="s">
        <v>22825</v>
      </c>
      <c r="L1576" s="10" t="s">
        <v>22826</v>
      </c>
    </row>
    <row r="1577">
      <c r="A1577" s="2" t="s">
        <v>4422</v>
      </c>
      <c r="B1577" s="2" t="s">
        <v>22827</v>
      </c>
      <c r="C1577" s="2">
        <v>6.8895864655E10</v>
      </c>
      <c r="D1577" s="2" t="s">
        <v>22828</v>
      </c>
      <c r="E1577" s="2">
        <v>42102.0</v>
      </c>
      <c r="F1577" s="2">
        <v>5.0</v>
      </c>
      <c r="G1577" s="2">
        <v>529.0</v>
      </c>
      <c r="H1577" s="2" t="s">
        <v>5906</v>
      </c>
      <c r="I1577" s="2" t="s">
        <v>5906</v>
      </c>
      <c r="J1577" s="2" t="s">
        <v>22795</v>
      </c>
      <c r="K1577" s="2" t="s">
        <v>22829</v>
      </c>
      <c r="L1577" s="10" t="s">
        <v>22830</v>
      </c>
    </row>
    <row r="1578">
      <c r="A1578" s="2" t="s">
        <v>4422</v>
      </c>
      <c r="B1578" s="2" t="s">
        <v>22831</v>
      </c>
      <c r="C1578" s="2">
        <v>4.0986166199E10</v>
      </c>
      <c r="D1578" s="2" t="s">
        <v>22832</v>
      </c>
      <c r="E1578" s="2">
        <v>351731.0</v>
      </c>
      <c r="F1578" s="2">
        <v>2.0</v>
      </c>
      <c r="G1578" s="2">
        <v>1112.0</v>
      </c>
      <c r="H1578" s="2" t="s">
        <v>5906</v>
      </c>
      <c r="I1578" s="2" t="s">
        <v>5905</v>
      </c>
      <c r="J1578" s="2" t="s">
        <v>7140</v>
      </c>
      <c r="K1578" s="2" t="s">
        <v>22833</v>
      </c>
      <c r="L1578" s="10" t="s">
        <v>22834</v>
      </c>
    </row>
    <row r="1579">
      <c r="A1579" s="2" t="s">
        <v>4422</v>
      </c>
      <c r="B1579" s="2" t="s">
        <v>22835</v>
      </c>
      <c r="C1579" s="2">
        <v>5.1122369296E10</v>
      </c>
      <c r="D1579" s="2" t="s">
        <v>22836</v>
      </c>
      <c r="E1579" s="2">
        <v>28531.0</v>
      </c>
      <c r="F1579" s="2">
        <v>31.0</v>
      </c>
      <c r="G1579" s="2">
        <v>725.0</v>
      </c>
      <c r="H1579" s="2" t="s">
        <v>5905</v>
      </c>
      <c r="I1579" s="2" t="s">
        <v>5905</v>
      </c>
      <c r="J1579" s="2" t="s">
        <v>22795</v>
      </c>
      <c r="K1579" s="2" t="s">
        <v>22837</v>
      </c>
      <c r="L1579" s="10" t="s">
        <v>22838</v>
      </c>
    </row>
    <row r="1580">
      <c r="A1580" s="2" t="s">
        <v>4422</v>
      </c>
      <c r="B1580" s="2" t="s">
        <v>22839</v>
      </c>
      <c r="C1580" s="2">
        <v>1.6272443786E10</v>
      </c>
      <c r="D1580" s="2" t="s">
        <v>22840</v>
      </c>
      <c r="E1580" s="2">
        <v>131595.0</v>
      </c>
      <c r="F1580" s="2">
        <v>0.0</v>
      </c>
      <c r="G1580" s="2">
        <v>1026.0</v>
      </c>
      <c r="H1580" s="2" t="s">
        <v>5905</v>
      </c>
      <c r="I1580" s="2" t="s">
        <v>5905</v>
      </c>
      <c r="J1580" s="2" t="s">
        <v>5959</v>
      </c>
      <c r="K1580" s="2" t="s">
        <v>22841</v>
      </c>
    </row>
    <row r="1581">
      <c r="A1581" s="2" t="s">
        <v>4467</v>
      </c>
      <c r="B1581" s="2" t="s">
        <v>22842</v>
      </c>
      <c r="C1581" s="2">
        <v>5.483681633E10</v>
      </c>
      <c r="D1581" s="2" t="s">
        <v>22843</v>
      </c>
      <c r="E1581" s="2">
        <v>44115.0</v>
      </c>
      <c r="F1581" s="2">
        <v>57.0</v>
      </c>
      <c r="G1581" s="2">
        <v>1092.0</v>
      </c>
      <c r="H1581" s="2" t="s">
        <v>5905</v>
      </c>
      <c r="I1581" s="2" t="s">
        <v>5905</v>
      </c>
      <c r="J1581" s="2" t="s">
        <v>6166</v>
      </c>
      <c r="K1581" s="2" t="s">
        <v>22844</v>
      </c>
    </row>
    <row r="1582">
      <c r="A1582" s="2" t="s">
        <v>4467</v>
      </c>
      <c r="B1582" s="2" t="s">
        <v>22845</v>
      </c>
      <c r="C1582" s="2">
        <v>2.0238764401E10</v>
      </c>
      <c r="D1582" s="2" t="s">
        <v>22846</v>
      </c>
      <c r="E1582" s="2">
        <v>47668.0</v>
      </c>
      <c r="F1582" s="2">
        <v>0.0</v>
      </c>
      <c r="G1582" s="2">
        <v>1014.0</v>
      </c>
      <c r="H1582" s="2" t="s">
        <v>5906</v>
      </c>
      <c r="I1582" s="2" t="s">
        <v>5906</v>
      </c>
      <c r="J1582" s="2" t="s">
        <v>5963</v>
      </c>
      <c r="K1582" s="2" t="s">
        <v>22847</v>
      </c>
      <c r="L1582" s="10" t="s">
        <v>22848</v>
      </c>
    </row>
    <row r="1583">
      <c r="A1583" s="2" t="s">
        <v>4467</v>
      </c>
      <c r="B1583" s="2" t="s">
        <v>22849</v>
      </c>
      <c r="C1583" s="2">
        <v>3.3741058964E10</v>
      </c>
      <c r="D1583" s="2" t="s">
        <v>22850</v>
      </c>
      <c r="E1583" s="2">
        <v>34182.0</v>
      </c>
      <c r="F1583" s="2">
        <v>1.0</v>
      </c>
      <c r="G1583" s="2">
        <v>315.0</v>
      </c>
      <c r="H1583" s="2" t="s">
        <v>5905</v>
      </c>
      <c r="I1583" s="2" t="s">
        <v>5905</v>
      </c>
      <c r="J1583" s="2" t="s">
        <v>5518</v>
      </c>
      <c r="K1583" s="2" t="s">
        <v>22851</v>
      </c>
    </row>
    <row r="1584">
      <c r="A1584" s="2" t="s">
        <v>4467</v>
      </c>
      <c r="B1584" s="2" t="s">
        <v>22852</v>
      </c>
      <c r="C1584" s="2">
        <v>5.931864443E9</v>
      </c>
      <c r="D1584" s="2" t="s">
        <v>22853</v>
      </c>
      <c r="E1584" s="2">
        <v>785929.0</v>
      </c>
      <c r="F1584" s="2">
        <v>2887.0</v>
      </c>
      <c r="G1584" s="2">
        <v>347.0</v>
      </c>
      <c r="H1584" s="2" t="s">
        <v>5905</v>
      </c>
      <c r="I1584" s="2" t="s">
        <v>5906</v>
      </c>
      <c r="J1584" s="2" t="s">
        <v>8245</v>
      </c>
      <c r="K1584" s="2" t="s">
        <v>22854</v>
      </c>
      <c r="L1584" s="10" t="s">
        <v>22855</v>
      </c>
    </row>
    <row r="1585">
      <c r="A1585" s="2" t="s">
        <v>4467</v>
      </c>
      <c r="B1585" s="2" t="s">
        <v>4467</v>
      </c>
      <c r="C1585" s="2">
        <v>4.15896514E9</v>
      </c>
      <c r="D1585" s="2" t="s">
        <v>22856</v>
      </c>
      <c r="E1585" s="2">
        <v>379482.0</v>
      </c>
      <c r="F1585" s="2">
        <v>83.0</v>
      </c>
      <c r="G1585" s="2">
        <v>81.0</v>
      </c>
      <c r="H1585" s="2" t="s">
        <v>5905</v>
      </c>
      <c r="I1585" s="2" t="s">
        <v>5905</v>
      </c>
      <c r="J1585" s="2" t="s">
        <v>6166</v>
      </c>
      <c r="K1585" s="2" t="s">
        <v>22857</v>
      </c>
      <c r="L1585" s="10" t="s">
        <v>22858</v>
      </c>
    </row>
    <row r="1586">
      <c r="A1586" s="2" t="s">
        <v>4467</v>
      </c>
      <c r="B1586" s="2" t="s">
        <v>22859</v>
      </c>
      <c r="C1586" s="2">
        <v>3.6291509171E10</v>
      </c>
      <c r="D1586" s="2" t="s">
        <v>22860</v>
      </c>
      <c r="E1586" s="2">
        <v>28428.0</v>
      </c>
      <c r="F1586" s="2">
        <v>3324.0</v>
      </c>
      <c r="G1586" s="2">
        <v>1099.0</v>
      </c>
      <c r="H1586" s="2" t="s">
        <v>5905</v>
      </c>
      <c r="I1586" s="2" t="s">
        <v>5906</v>
      </c>
      <c r="J1586" s="2" t="s">
        <v>22861</v>
      </c>
      <c r="K1586" s="2" t="s">
        <v>22862</v>
      </c>
    </row>
    <row r="1587">
      <c r="A1587" s="2" t="s">
        <v>4467</v>
      </c>
      <c r="B1587" s="2" t="s">
        <v>22863</v>
      </c>
      <c r="C1587" s="2">
        <v>4.15552477E8</v>
      </c>
      <c r="D1587" s="2" t="s">
        <v>22864</v>
      </c>
      <c r="E1587" s="2">
        <v>158317.0</v>
      </c>
      <c r="F1587" s="2">
        <v>2645.0</v>
      </c>
      <c r="G1587" s="2">
        <v>497.0</v>
      </c>
      <c r="H1587" s="2" t="s">
        <v>5906</v>
      </c>
      <c r="I1587" s="2" t="s">
        <v>5905</v>
      </c>
      <c r="J1587" s="2" t="s">
        <v>5959</v>
      </c>
      <c r="K1587" s="2" t="s">
        <v>22865</v>
      </c>
      <c r="L1587" s="10" t="s">
        <v>22866</v>
      </c>
    </row>
    <row r="1588">
      <c r="A1588" s="2" t="s">
        <v>4467</v>
      </c>
      <c r="B1588" s="2" t="s">
        <v>22867</v>
      </c>
      <c r="C1588" s="2">
        <v>3.7714474212E10</v>
      </c>
      <c r="D1588" s="2" t="s">
        <v>22868</v>
      </c>
      <c r="E1588" s="2">
        <v>78176.0</v>
      </c>
      <c r="F1588" s="2">
        <v>118.0</v>
      </c>
      <c r="G1588" s="2">
        <v>915.0</v>
      </c>
      <c r="H1588" s="2" t="s">
        <v>5905</v>
      </c>
      <c r="I1588" s="2" t="s">
        <v>5906</v>
      </c>
      <c r="J1588" s="2" t="s">
        <v>6166</v>
      </c>
      <c r="K1588" s="12" t="s">
        <v>22869</v>
      </c>
      <c r="L1588" s="10" t="s">
        <v>22870</v>
      </c>
    </row>
    <row r="1589">
      <c r="A1589" s="2" t="s">
        <v>4467</v>
      </c>
      <c r="B1589" s="2" t="s">
        <v>22871</v>
      </c>
      <c r="C1589" s="2">
        <v>2.178630247E9</v>
      </c>
      <c r="D1589" s="2" t="s">
        <v>22872</v>
      </c>
      <c r="E1589" s="2">
        <v>94147.0</v>
      </c>
      <c r="F1589" s="2">
        <v>4.0</v>
      </c>
      <c r="G1589" s="2">
        <v>1057.0</v>
      </c>
      <c r="H1589" s="2" t="s">
        <v>5906</v>
      </c>
      <c r="I1589" s="2" t="s">
        <v>5906</v>
      </c>
      <c r="J1589" s="2" t="s">
        <v>6166</v>
      </c>
      <c r="K1589" s="2" t="s">
        <v>22873</v>
      </c>
      <c r="L1589" s="10" t="s">
        <v>22874</v>
      </c>
    </row>
    <row r="1590">
      <c r="A1590" s="2" t="s">
        <v>4467</v>
      </c>
      <c r="B1590" s="2" t="s">
        <v>22875</v>
      </c>
      <c r="C1590" s="2">
        <v>6.2451453217E10</v>
      </c>
      <c r="D1590" s="2" t="s">
        <v>22876</v>
      </c>
      <c r="E1590" s="2">
        <v>158612.0</v>
      </c>
      <c r="F1590" s="2">
        <v>129.0</v>
      </c>
      <c r="G1590" s="2">
        <v>535.0</v>
      </c>
      <c r="H1590" s="2" t="s">
        <v>5905</v>
      </c>
      <c r="I1590" s="2" t="s">
        <v>5906</v>
      </c>
      <c r="J1590" s="2" t="s">
        <v>5963</v>
      </c>
      <c r="K1590" s="2" t="s">
        <v>22877</v>
      </c>
    </row>
    <row r="1591">
      <c r="A1591" s="2" t="s">
        <v>4467</v>
      </c>
      <c r="B1591" s="2" t="s">
        <v>22878</v>
      </c>
      <c r="C1591" s="2">
        <v>5.8337644843E10</v>
      </c>
      <c r="D1591" s="2" t="s">
        <v>22879</v>
      </c>
      <c r="E1591" s="2">
        <v>37254.0</v>
      </c>
      <c r="F1591" s="2">
        <v>4.0</v>
      </c>
      <c r="G1591" s="2">
        <v>1404.0</v>
      </c>
      <c r="H1591" s="2" t="s">
        <v>5905</v>
      </c>
      <c r="I1591" s="2" t="s">
        <v>5905</v>
      </c>
      <c r="J1591" s="2" t="s">
        <v>5963</v>
      </c>
      <c r="K1591" s="2" t="s">
        <v>22880</v>
      </c>
      <c r="L1591" s="10" t="s">
        <v>22881</v>
      </c>
    </row>
    <row r="1592">
      <c r="A1592" s="2" t="s">
        <v>4467</v>
      </c>
      <c r="B1592" s="2" t="s">
        <v>22882</v>
      </c>
      <c r="C1592" s="2">
        <v>2.010468693E9</v>
      </c>
      <c r="D1592" s="2" t="s">
        <v>22883</v>
      </c>
      <c r="E1592" s="2">
        <v>20012.0</v>
      </c>
      <c r="F1592" s="2">
        <v>763.0</v>
      </c>
      <c r="G1592" s="2">
        <v>1848.0</v>
      </c>
      <c r="H1592" s="2" t="s">
        <v>5905</v>
      </c>
      <c r="I1592" s="2" t="s">
        <v>5906</v>
      </c>
      <c r="J1592" s="2" t="s">
        <v>6166</v>
      </c>
      <c r="K1592" s="2" t="s">
        <v>22884</v>
      </c>
      <c r="L1592" s="10" t="s">
        <v>22885</v>
      </c>
    </row>
    <row r="1593">
      <c r="A1593" s="2" t="s">
        <v>4467</v>
      </c>
      <c r="B1593" s="2" t="s">
        <v>22886</v>
      </c>
      <c r="C1593" s="2">
        <v>6.856797209E10</v>
      </c>
      <c r="D1593" s="12" t="s">
        <v>22887</v>
      </c>
      <c r="E1593" s="2">
        <v>16039.0</v>
      </c>
      <c r="F1593" s="2">
        <v>2.0</v>
      </c>
      <c r="G1593" s="2">
        <v>248.0</v>
      </c>
      <c r="H1593" s="2" t="s">
        <v>5905</v>
      </c>
      <c r="I1593" s="2" t="s">
        <v>5906</v>
      </c>
      <c r="J1593" s="2" t="s">
        <v>6166</v>
      </c>
      <c r="K1593" s="12" t="s">
        <v>22888</v>
      </c>
    </row>
    <row r="1594">
      <c r="A1594" s="2" t="s">
        <v>4764</v>
      </c>
      <c r="B1594" s="2" t="s">
        <v>22889</v>
      </c>
      <c r="C1594" s="2">
        <v>1.0931672977E10</v>
      </c>
      <c r="D1594" s="2" t="s">
        <v>22890</v>
      </c>
      <c r="E1594" s="2">
        <v>642569.0</v>
      </c>
      <c r="F1594" s="2">
        <v>4.0</v>
      </c>
      <c r="G1594" s="2">
        <v>1436.0</v>
      </c>
      <c r="H1594" s="2" t="s">
        <v>5905</v>
      </c>
      <c r="I1594" s="2" t="s">
        <v>5906</v>
      </c>
      <c r="J1594" s="2" t="s">
        <v>7140</v>
      </c>
      <c r="K1594" s="2" t="s">
        <v>22891</v>
      </c>
      <c r="L1594" s="10" t="s">
        <v>22892</v>
      </c>
    </row>
    <row r="1595">
      <c r="A1595" s="2" t="s">
        <v>4764</v>
      </c>
      <c r="B1595" s="2" t="s">
        <v>22893</v>
      </c>
      <c r="C1595" s="2">
        <v>8.497875612E9</v>
      </c>
      <c r="D1595" s="2" t="s">
        <v>22894</v>
      </c>
      <c r="E1595" s="2">
        <v>1137339.0</v>
      </c>
      <c r="F1595" s="2">
        <v>176.0</v>
      </c>
      <c r="G1595" s="2">
        <v>1614.0</v>
      </c>
      <c r="H1595" s="2" t="s">
        <v>5905</v>
      </c>
      <c r="I1595" s="2" t="s">
        <v>5905</v>
      </c>
      <c r="J1595" s="2" t="s">
        <v>5561</v>
      </c>
      <c r="K1595" s="2" t="s">
        <v>22895</v>
      </c>
      <c r="L1595" s="10" t="s">
        <v>22896</v>
      </c>
    </row>
    <row r="1596">
      <c r="A1596" s="2" t="s">
        <v>4764</v>
      </c>
      <c r="B1596" s="2" t="s">
        <v>22897</v>
      </c>
      <c r="C1596" s="2">
        <v>3.965775551E9</v>
      </c>
      <c r="D1596" s="2" t="s">
        <v>22898</v>
      </c>
      <c r="E1596" s="2">
        <v>814341.0</v>
      </c>
      <c r="F1596" s="2">
        <v>610.0</v>
      </c>
      <c r="G1596" s="2">
        <v>7264.0</v>
      </c>
      <c r="H1596" s="2" t="s">
        <v>5905</v>
      </c>
      <c r="I1596" s="2" t="s">
        <v>5906</v>
      </c>
      <c r="J1596" s="2" t="s">
        <v>5561</v>
      </c>
      <c r="K1596" s="2" t="s">
        <v>22899</v>
      </c>
      <c r="L1596" s="10" t="s">
        <v>22900</v>
      </c>
    </row>
    <row r="1597">
      <c r="A1597" s="2" t="s">
        <v>4764</v>
      </c>
      <c r="B1597" s="2" t="s">
        <v>22901</v>
      </c>
      <c r="C1597" s="2">
        <v>1.9281299433E10</v>
      </c>
      <c r="D1597" s="2" t="s">
        <v>22902</v>
      </c>
      <c r="E1597" s="2">
        <v>1575511.0</v>
      </c>
      <c r="F1597" s="2">
        <v>66.0</v>
      </c>
      <c r="G1597" s="2">
        <v>2071.0</v>
      </c>
      <c r="H1597" s="2" t="s">
        <v>5905</v>
      </c>
      <c r="I1597" s="2" t="s">
        <v>5905</v>
      </c>
      <c r="J1597" s="2" t="s">
        <v>6393</v>
      </c>
      <c r="K1597" s="2" t="s">
        <v>22903</v>
      </c>
      <c r="L1597" s="10" t="s">
        <v>22904</v>
      </c>
    </row>
    <row r="1598">
      <c r="A1598" s="2" t="s">
        <v>4764</v>
      </c>
      <c r="B1598" s="2" t="s">
        <v>22905</v>
      </c>
      <c r="C1598" s="2">
        <v>5.6492739064E10</v>
      </c>
      <c r="D1598" s="2" t="s">
        <v>22906</v>
      </c>
      <c r="E1598" s="2">
        <v>960613.0</v>
      </c>
      <c r="F1598" s="2">
        <v>1831.0</v>
      </c>
      <c r="G1598" s="2">
        <v>2909.0</v>
      </c>
      <c r="H1598" s="2" t="s">
        <v>5905</v>
      </c>
      <c r="I1598" s="2" t="s">
        <v>5906</v>
      </c>
      <c r="J1598" s="2" t="s">
        <v>16525</v>
      </c>
      <c r="K1598" s="2" t="s">
        <v>22907</v>
      </c>
    </row>
    <row r="1599">
      <c r="A1599" s="2" t="s">
        <v>4764</v>
      </c>
      <c r="B1599" s="2" t="s">
        <v>22908</v>
      </c>
      <c r="C1599" s="2">
        <v>2.491661189E9</v>
      </c>
      <c r="D1599" s="2" t="s">
        <v>22909</v>
      </c>
      <c r="E1599" s="2">
        <v>291739.0</v>
      </c>
      <c r="F1599" s="2">
        <v>806.0</v>
      </c>
      <c r="G1599" s="2">
        <v>4252.0</v>
      </c>
      <c r="H1599" s="2" t="s">
        <v>5906</v>
      </c>
      <c r="I1599" s="2" t="s">
        <v>5906</v>
      </c>
      <c r="K1599" s="2" t="s">
        <v>22910</v>
      </c>
      <c r="L1599" s="10" t="s">
        <v>22911</v>
      </c>
    </row>
    <row r="1600">
      <c r="A1600" s="2" t="s">
        <v>4764</v>
      </c>
      <c r="B1600" s="2" t="s">
        <v>22912</v>
      </c>
      <c r="C1600" s="2">
        <v>2.0904388E10</v>
      </c>
      <c r="D1600" s="2" t="s">
        <v>22913</v>
      </c>
      <c r="E1600" s="2">
        <v>133074.0</v>
      </c>
      <c r="F1600" s="2">
        <v>358.0</v>
      </c>
      <c r="G1600" s="2">
        <v>1374.0</v>
      </c>
      <c r="H1600" s="2" t="s">
        <v>5906</v>
      </c>
      <c r="I1600" s="2" t="s">
        <v>5906</v>
      </c>
      <c r="J1600" s="2" t="s">
        <v>6745</v>
      </c>
      <c r="K1600" s="2" t="s">
        <v>22914</v>
      </c>
      <c r="L1600" s="10" t="s">
        <v>22915</v>
      </c>
    </row>
    <row r="1601">
      <c r="A1601" s="2" t="s">
        <v>4764</v>
      </c>
      <c r="B1601" s="2" t="s">
        <v>22916</v>
      </c>
      <c r="C1601" s="2">
        <v>4.7878274125E10</v>
      </c>
      <c r="D1601" s="2" t="s">
        <v>22917</v>
      </c>
      <c r="E1601" s="2">
        <v>1116620.0</v>
      </c>
      <c r="F1601" s="2">
        <v>4001.0</v>
      </c>
      <c r="G1601" s="2">
        <v>4466.0</v>
      </c>
      <c r="H1601" s="2" t="s">
        <v>5905</v>
      </c>
      <c r="I1601" s="2" t="s">
        <v>5906</v>
      </c>
      <c r="J1601" s="2" t="s">
        <v>5561</v>
      </c>
      <c r="K1601" s="2" t="s">
        <v>22918</v>
      </c>
    </row>
    <row r="1602">
      <c r="A1602" s="2" t="s">
        <v>4764</v>
      </c>
      <c r="B1602" s="2" t="s">
        <v>22919</v>
      </c>
      <c r="C1602" s="2">
        <v>4.7685753056E10</v>
      </c>
      <c r="D1602" s="2" t="s">
        <v>22920</v>
      </c>
      <c r="E1602" s="2">
        <v>2048849.0</v>
      </c>
      <c r="F1602" s="2">
        <v>34.0</v>
      </c>
      <c r="G1602" s="2">
        <v>2709.0</v>
      </c>
      <c r="H1602" s="2" t="s">
        <v>5905</v>
      </c>
      <c r="I1602" s="2" t="s">
        <v>5905</v>
      </c>
      <c r="J1602" s="2" t="s">
        <v>5948</v>
      </c>
      <c r="K1602" s="2" t="s">
        <v>22921</v>
      </c>
    </row>
    <row r="1603">
      <c r="A1603" s="2" t="s">
        <v>4764</v>
      </c>
      <c r="B1603" s="2" t="s">
        <v>22922</v>
      </c>
      <c r="C1603" s="2">
        <v>5.58306845E8</v>
      </c>
      <c r="D1603" s="2" t="s">
        <v>22923</v>
      </c>
      <c r="E1603" s="2">
        <v>223044.0</v>
      </c>
      <c r="F1603" s="2">
        <v>460.0</v>
      </c>
      <c r="G1603" s="2">
        <v>1784.0</v>
      </c>
      <c r="H1603" s="2" t="s">
        <v>5906</v>
      </c>
      <c r="I1603" s="2" t="s">
        <v>5906</v>
      </c>
      <c r="K1603" s="2" t="s">
        <v>22924</v>
      </c>
      <c r="L1603" s="10" t="s">
        <v>22925</v>
      </c>
    </row>
    <row r="1604">
      <c r="A1604" s="2" t="s">
        <v>4764</v>
      </c>
      <c r="B1604" s="2" t="s">
        <v>22926</v>
      </c>
      <c r="C1604" s="2">
        <v>5.1123844273E10</v>
      </c>
      <c r="D1604" s="2" t="s">
        <v>22927</v>
      </c>
      <c r="E1604" s="2">
        <v>191530.0</v>
      </c>
      <c r="F1604" s="2">
        <v>10.0</v>
      </c>
      <c r="G1604" s="2">
        <v>695.0</v>
      </c>
      <c r="H1604" s="2" t="s">
        <v>5905</v>
      </c>
      <c r="I1604" s="2" t="s">
        <v>5906</v>
      </c>
      <c r="J1604" s="2" t="s">
        <v>16525</v>
      </c>
      <c r="K1604" s="2" t="s">
        <v>22928</v>
      </c>
      <c r="L1604" s="10" t="s">
        <v>22929</v>
      </c>
    </row>
    <row r="1605">
      <c r="A1605" s="2" t="s">
        <v>4764</v>
      </c>
      <c r="B1605" s="2" t="s">
        <v>22930</v>
      </c>
      <c r="C1605" s="2">
        <v>6.2245170928E10</v>
      </c>
      <c r="D1605" s="2" t="s">
        <v>22931</v>
      </c>
      <c r="E1605" s="2">
        <v>110935.0</v>
      </c>
      <c r="F1605" s="2">
        <v>42.0</v>
      </c>
      <c r="G1605" s="2">
        <v>567.0</v>
      </c>
      <c r="H1605" s="2" t="s">
        <v>5905</v>
      </c>
      <c r="I1605" s="2" t="s">
        <v>5906</v>
      </c>
      <c r="J1605" s="2" t="s">
        <v>16525</v>
      </c>
      <c r="K1605" s="2" t="s">
        <v>22932</v>
      </c>
      <c r="L1605" s="10" t="s">
        <v>22933</v>
      </c>
    </row>
    <row r="1606">
      <c r="A1606" s="2" t="s">
        <v>4764</v>
      </c>
      <c r="B1606" s="2" t="s">
        <v>22934</v>
      </c>
      <c r="C1606" s="2">
        <v>8.429701316E9</v>
      </c>
      <c r="D1606" s="2" t="s">
        <v>22935</v>
      </c>
      <c r="E1606" s="2">
        <v>79339.0</v>
      </c>
      <c r="F1606" s="2">
        <v>92.0</v>
      </c>
      <c r="G1606" s="2">
        <v>2140.0</v>
      </c>
      <c r="H1606" s="2" t="s">
        <v>5905</v>
      </c>
      <c r="I1606" s="2" t="s">
        <v>5906</v>
      </c>
      <c r="J1606" s="2" t="s">
        <v>16525</v>
      </c>
      <c r="K1606" s="2" t="s">
        <v>22936</v>
      </c>
      <c r="L1606" s="10" t="s">
        <v>22937</v>
      </c>
    </row>
    <row r="1607">
      <c r="A1607" s="2" t="s">
        <v>4764</v>
      </c>
      <c r="B1607" s="2" t="s">
        <v>22938</v>
      </c>
      <c r="C1607" s="2">
        <v>5.6521780015E10</v>
      </c>
      <c r="D1607" s="2" t="s">
        <v>22939</v>
      </c>
      <c r="E1607" s="2">
        <v>174221.0</v>
      </c>
      <c r="F1607" s="2">
        <v>6.0</v>
      </c>
      <c r="G1607" s="2">
        <v>230.0</v>
      </c>
      <c r="H1607" s="2" t="s">
        <v>5906</v>
      </c>
      <c r="I1607" s="2" t="s">
        <v>5905</v>
      </c>
      <c r="J1607" s="2" t="s">
        <v>5959</v>
      </c>
      <c r="K1607" s="2" t="s">
        <v>22940</v>
      </c>
    </row>
    <row r="1608">
      <c r="A1608" s="2" t="s">
        <v>4764</v>
      </c>
      <c r="B1608" s="2" t="s">
        <v>22941</v>
      </c>
      <c r="C1608" s="2">
        <v>4.1080475913E10</v>
      </c>
      <c r="D1608" s="2" t="s">
        <v>22942</v>
      </c>
      <c r="E1608" s="2">
        <v>384069.0</v>
      </c>
      <c r="F1608" s="2">
        <v>4157.0</v>
      </c>
      <c r="G1608" s="2">
        <v>459.0</v>
      </c>
      <c r="H1608" s="2" t="s">
        <v>5905</v>
      </c>
      <c r="I1608" s="2" t="s">
        <v>5905</v>
      </c>
      <c r="J1608" s="2" t="s">
        <v>5561</v>
      </c>
      <c r="K1608" s="2" t="s">
        <v>22943</v>
      </c>
    </row>
    <row r="1609">
      <c r="A1609" s="2" t="s">
        <v>4764</v>
      </c>
      <c r="B1609" s="2" t="s">
        <v>22944</v>
      </c>
      <c r="C1609" s="2">
        <v>8.701338755E9</v>
      </c>
      <c r="D1609" s="2" t="s">
        <v>22945</v>
      </c>
      <c r="E1609" s="2">
        <v>2322829.0</v>
      </c>
      <c r="F1609" s="2">
        <v>373.0</v>
      </c>
      <c r="G1609" s="2">
        <v>2060.0</v>
      </c>
      <c r="H1609" s="2" t="s">
        <v>5906</v>
      </c>
      <c r="I1609" s="2" t="s">
        <v>5906</v>
      </c>
      <c r="J1609" s="2" t="s">
        <v>5561</v>
      </c>
      <c r="K1609" s="2" t="s">
        <v>22946</v>
      </c>
    </row>
    <row r="1610">
      <c r="A1610" s="2" t="s">
        <v>4764</v>
      </c>
      <c r="B1610" s="2" t="s">
        <v>22947</v>
      </c>
      <c r="C1610" s="2">
        <v>8.086917764E9</v>
      </c>
      <c r="D1610" s="2" t="s">
        <v>22948</v>
      </c>
      <c r="E1610" s="2">
        <v>1115829.0</v>
      </c>
      <c r="F1610" s="2">
        <v>50.0</v>
      </c>
      <c r="G1610" s="2">
        <v>439.0</v>
      </c>
      <c r="H1610" s="2" t="s">
        <v>5905</v>
      </c>
      <c r="I1610" s="2" t="s">
        <v>5905</v>
      </c>
      <c r="J1610" s="2" t="s">
        <v>5959</v>
      </c>
      <c r="K1610" s="2" t="s">
        <v>22949</v>
      </c>
      <c r="L1610" s="10" t="s">
        <v>22950</v>
      </c>
    </row>
    <row r="1611">
      <c r="A1611" s="2" t="s">
        <v>4764</v>
      </c>
      <c r="B1611" s="2" t="s">
        <v>22951</v>
      </c>
      <c r="C1611" s="2">
        <v>4.9723671725E10</v>
      </c>
      <c r="D1611" s="2" t="s">
        <v>22952</v>
      </c>
      <c r="E1611" s="2">
        <v>62571.0</v>
      </c>
      <c r="F1611" s="2">
        <v>29.0</v>
      </c>
      <c r="G1611" s="2">
        <v>619.0</v>
      </c>
      <c r="H1611" s="2" t="s">
        <v>5905</v>
      </c>
      <c r="I1611" s="2" t="s">
        <v>5906</v>
      </c>
      <c r="J1611" s="2" t="s">
        <v>6887</v>
      </c>
      <c r="K1611" s="2" t="s">
        <v>22953</v>
      </c>
      <c r="L1611" s="10" t="s">
        <v>22954</v>
      </c>
    </row>
    <row r="1612">
      <c r="A1612" s="2" t="s">
        <v>4451</v>
      </c>
      <c r="B1612" s="2" t="s">
        <v>22955</v>
      </c>
      <c r="C1612" s="2">
        <v>6.241592846E10</v>
      </c>
      <c r="D1612" s="2" t="s">
        <v>22956</v>
      </c>
      <c r="E1612" s="2">
        <v>10478.0</v>
      </c>
      <c r="F1612" s="2">
        <v>0.0</v>
      </c>
      <c r="G1612" s="2">
        <v>338.0</v>
      </c>
      <c r="H1612" s="2" t="s">
        <v>5906</v>
      </c>
      <c r="I1612" s="2" t="s">
        <v>5905</v>
      </c>
      <c r="J1612" s="2" t="s">
        <v>6027</v>
      </c>
      <c r="K1612" s="2" t="s">
        <v>22957</v>
      </c>
      <c r="L1612" s="10" t="s">
        <v>22958</v>
      </c>
    </row>
    <row r="1613">
      <c r="A1613" s="2" t="s">
        <v>4451</v>
      </c>
      <c r="B1613" s="2" t="s">
        <v>22959</v>
      </c>
      <c r="C1613" s="2">
        <v>4.137946767E9</v>
      </c>
      <c r="D1613" s="2" t="s">
        <v>22960</v>
      </c>
      <c r="E1613" s="2">
        <v>684612.0</v>
      </c>
      <c r="F1613" s="2">
        <v>544.0</v>
      </c>
      <c r="G1613" s="2">
        <v>470.0</v>
      </c>
      <c r="H1613" s="2" t="s">
        <v>5906</v>
      </c>
      <c r="I1613" s="2" t="s">
        <v>5906</v>
      </c>
      <c r="J1613" s="2" t="s">
        <v>6393</v>
      </c>
      <c r="K1613" s="2" t="s">
        <v>22961</v>
      </c>
      <c r="L1613" s="10" t="s">
        <v>22962</v>
      </c>
    </row>
    <row r="1614">
      <c r="A1614" s="2" t="s">
        <v>4451</v>
      </c>
      <c r="B1614" s="2" t="s">
        <v>22963</v>
      </c>
      <c r="C1614" s="2">
        <v>4.8375556927E10</v>
      </c>
      <c r="D1614" s="2" t="s">
        <v>22964</v>
      </c>
      <c r="E1614" s="2">
        <v>49944.0</v>
      </c>
      <c r="F1614" s="2">
        <v>41.0</v>
      </c>
      <c r="G1614" s="2">
        <v>55.0</v>
      </c>
      <c r="H1614" s="2" t="s">
        <v>5905</v>
      </c>
      <c r="I1614" s="2" t="s">
        <v>5906</v>
      </c>
      <c r="J1614" s="2" t="s">
        <v>6027</v>
      </c>
      <c r="K1614" s="2" t="s">
        <v>22965</v>
      </c>
      <c r="L1614" s="10" t="s">
        <v>22966</v>
      </c>
    </row>
    <row r="1615">
      <c r="A1615" s="2" t="s">
        <v>4451</v>
      </c>
      <c r="B1615" s="2" t="s">
        <v>22967</v>
      </c>
      <c r="C1615" s="2">
        <v>5.00472669E8</v>
      </c>
      <c r="D1615" s="2" t="s">
        <v>22968</v>
      </c>
      <c r="E1615" s="2">
        <v>19491.0</v>
      </c>
      <c r="F1615" s="2">
        <v>833.0</v>
      </c>
      <c r="G1615" s="2">
        <v>213.0</v>
      </c>
      <c r="H1615" s="2" t="s">
        <v>5905</v>
      </c>
      <c r="I1615" s="2" t="s">
        <v>5906</v>
      </c>
      <c r="J1615" s="2" t="s">
        <v>6472</v>
      </c>
      <c r="K1615" s="2" t="s">
        <v>22969</v>
      </c>
    </row>
    <row r="1616">
      <c r="A1616" s="2" t="s">
        <v>4451</v>
      </c>
      <c r="B1616" s="2" t="s">
        <v>22970</v>
      </c>
      <c r="C1616" s="2">
        <v>8.545062208E9</v>
      </c>
      <c r="D1616" s="2" t="s">
        <v>22971</v>
      </c>
      <c r="E1616" s="2">
        <v>19188.0</v>
      </c>
      <c r="F1616" s="2">
        <v>972.0</v>
      </c>
      <c r="G1616" s="2">
        <v>391.0</v>
      </c>
      <c r="H1616" s="2" t="s">
        <v>5905</v>
      </c>
      <c r="I1616" s="2" t="s">
        <v>5905</v>
      </c>
      <c r="J1616" s="2" t="s">
        <v>5391</v>
      </c>
      <c r="K1616" s="2" t="s">
        <v>22972</v>
      </c>
      <c r="L1616" s="10" t="s">
        <v>22973</v>
      </c>
    </row>
    <row r="1617">
      <c r="A1617" s="2" t="s">
        <v>4687</v>
      </c>
      <c r="B1617" s="2" t="s">
        <v>22974</v>
      </c>
      <c r="C1617" s="2">
        <v>6.7707171341E10</v>
      </c>
      <c r="D1617" s="2" t="s">
        <v>22975</v>
      </c>
      <c r="E1617" s="2">
        <v>31598.0</v>
      </c>
      <c r="F1617" s="2">
        <v>805.0</v>
      </c>
      <c r="G1617" s="2">
        <v>250.0</v>
      </c>
      <c r="H1617" s="2" t="s">
        <v>5905</v>
      </c>
      <c r="I1617" s="2" t="s">
        <v>5906</v>
      </c>
      <c r="J1617" s="2" t="s">
        <v>5959</v>
      </c>
      <c r="K1617" s="2" t="s">
        <v>22976</v>
      </c>
      <c r="L1617" s="10" t="s">
        <v>22977</v>
      </c>
    </row>
    <row r="1618">
      <c r="A1618" s="2" t="s">
        <v>4687</v>
      </c>
      <c r="B1618" s="2" t="s">
        <v>22978</v>
      </c>
      <c r="C1618" s="2">
        <v>7.5784817356E10</v>
      </c>
      <c r="D1618" s="2" t="s">
        <v>22979</v>
      </c>
      <c r="E1618" s="2">
        <v>18865.0</v>
      </c>
      <c r="F1618" s="2">
        <v>55.0</v>
      </c>
      <c r="G1618" s="2">
        <v>31.0</v>
      </c>
      <c r="H1618" s="2" t="s">
        <v>5905</v>
      </c>
      <c r="I1618" s="2" t="s">
        <v>5905</v>
      </c>
      <c r="J1618" s="2" t="s">
        <v>12774</v>
      </c>
      <c r="K1618" s="2" t="s">
        <v>22980</v>
      </c>
      <c r="L1618" s="10" t="s">
        <v>22981</v>
      </c>
    </row>
    <row r="1619">
      <c r="A1619" s="2" t="s">
        <v>4572</v>
      </c>
      <c r="B1619" s="2" t="s">
        <v>22982</v>
      </c>
      <c r="C1619" s="2">
        <v>5.0655982475E10</v>
      </c>
      <c r="D1619" s="2" t="s">
        <v>22983</v>
      </c>
      <c r="E1619" s="2">
        <v>2036359.0</v>
      </c>
      <c r="F1619" s="2">
        <v>169.0</v>
      </c>
      <c r="G1619" s="2">
        <v>1539.0</v>
      </c>
      <c r="H1619" s="2" t="s">
        <v>5906</v>
      </c>
      <c r="I1619" s="2" t="s">
        <v>5905</v>
      </c>
      <c r="J1619" s="2" t="s">
        <v>12993</v>
      </c>
      <c r="K1619" s="2" t="s">
        <v>22984</v>
      </c>
    </row>
    <row r="1620">
      <c r="A1620" s="2" t="s">
        <v>4572</v>
      </c>
      <c r="B1620" s="2" t="s">
        <v>22985</v>
      </c>
      <c r="C1620" s="2">
        <v>5.348626155E9</v>
      </c>
      <c r="D1620" s="2" t="s">
        <v>22986</v>
      </c>
      <c r="E1620" s="2">
        <v>1894820.0</v>
      </c>
      <c r="F1620" s="2">
        <v>1.0</v>
      </c>
      <c r="G1620" s="2">
        <v>1351.0</v>
      </c>
      <c r="H1620" s="2" t="s">
        <v>5906</v>
      </c>
      <c r="I1620" s="2" t="s">
        <v>5905</v>
      </c>
      <c r="J1620" s="2" t="s">
        <v>17093</v>
      </c>
      <c r="K1620" s="2" t="s">
        <v>22987</v>
      </c>
    </row>
    <row r="1621">
      <c r="A1621" s="2" t="s">
        <v>4572</v>
      </c>
      <c r="B1621" s="2" t="s">
        <v>22988</v>
      </c>
      <c r="C1621" s="2">
        <v>3.0665972836E10</v>
      </c>
      <c r="D1621" s="2" t="s">
        <v>22989</v>
      </c>
      <c r="E1621" s="2">
        <v>5188679.0</v>
      </c>
      <c r="F1621" s="2">
        <v>834.0</v>
      </c>
      <c r="G1621" s="2">
        <v>1392.0</v>
      </c>
      <c r="H1621" s="2" t="s">
        <v>5906</v>
      </c>
      <c r="I1621" s="2" t="s">
        <v>5905</v>
      </c>
      <c r="J1621" s="2" t="s">
        <v>5968</v>
      </c>
      <c r="K1621" s="2" t="s">
        <v>22990</v>
      </c>
      <c r="L1621" s="10" t="s">
        <v>22991</v>
      </c>
    </row>
    <row r="1622">
      <c r="A1622" s="2" t="s">
        <v>4572</v>
      </c>
      <c r="B1622" s="2" t="s">
        <v>22992</v>
      </c>
      <c r="C1622" s="2">
        <v>5.6251322908E10</v>
      </c>
      <c r="D1622" s="2" t="s">
        <v>22993</v>
      </c>
      <c r="E1622" s="2">
        <v>167541.0</v>
      </c>
      <c r="F1622" s="2">
        <v>13.0</v>
      </c>
      <c r="G1622" s="2">
        <v>460.0</v>
      </c>
      <c r="H1622" s="2" t="s">
        <v>5905</v>
      </c>
      <c r="I1622" s="2" t="s">
        <v>5905</v>
      </c>
      <c r="J1622" s="2" t="s">
        <v>5561</v>
      </c>
      <c r="K1622" s="2" t="s">
        <v>22994</v>
      </c>
    </row>
    <row r="1623">
      <c r="A1623" s="2" t="s">
        <v>4572</v>
      </c>
      <c r="B1623" s="2" t="s">
        <v>4572</v>
      </c>
      <c r="C1623" s="2">
        <v>1.2134974482E10</v>
      </c>
      <c r="D1623" s="2" t="s">
        <v>22995</v>
      </c>
      <c r="E1623" s="2">
        <v>38619.0</v>
      </c>
      <c r="F1623" s="2">
        <v>7.0</v>
      </c>
      <c r="G1623" s="2">
        <v>183.0</v>
      </c>
      <c r="H1623" s="2" t="s">
        <v>5906</v>
      </c>
      <c r="I1623" s="2" t="s">
        <v>5906</v>
      </c>
      <c r="J1623" s="2" t="s">
        <v>5968</v>
      </c>
      <c r="K1623" s="2" t="s">
        <v>22996</v>
      </c>
      <c r="L1623" s="10" t="s">
        <v>22997</v>
      </c>
    </row>
    <row r="1624">
      <c r="A1624" s="2" t="s">
        <v>4572</v>
      </c>
      <c r="B1624" s="2" t="s">
        <v>22998</v>
      </c>
      <c r="C1624" s="2">
        <v>5.1333019126E10</v>
      </c>
      <c r="D1624" s="2" t="s">
        <v>22999</v>
      </c>
      <c r="E1624" s="2">
        <v>238133.0</v>
      </c>
      <c r="F1624" s="2">
        <v>62.0</v>
      </c>
      <c r="G1624" s="2">
        <v>3004.0</v>
      </c>
      <c r="H1624" s="2" t="s">
        <v>5905</v>
      </c>
      <c r="I1624" s="2" t="s">
        <v>5906</v>
      </c>
      <c r="J1624" s="2" t="s">
        <v>5491</v>
      </c>
      <c r="K1624" s="2" t="s">
        <v>23000</v>
      </c>
      <c r="L1624" s="10" t="s">
        <v>23001</v>
      </c>
    </row>
    <row r="1625">
      <c r="A1625" s="2" t="s">
        <v>4572</v>
      </c>
      <c r="B1625" s="2" t="s">
        <v>23002</v>
      </c>
      <c r="C1625" s="2">
        <v>7.0858929527E10</v>
      </c>
      <c r="D1625" s="2" t="s">
        <v>23003</v>
      </c>
      <c r="E1625" s="2">
        <v>254147.0</v>
      </c>
      <c r="F1625" s="2">
        <v>95.0</v>
      </c>
      <c r="G1625" s="2">
        <v>337.0</v>
      </c>
      <c r="H1625" s="2" t="s">
        <v>5905</v>
      </c>
      <c r="I1625" s="2" t="s">
        <v>5906</v>
      </c>
      <c r="J1625" s="2" t="s">
        <v>5391</v>
      </c>
      <c r="K1625" s="2" t="s">
        <v>23004</v>
      </c>
      <c r="L1625" s="10" t="s">
        <v>23005</v>
      </c>
    </row>
    <row r="1626">
      <c r="A1626" s="2" t="s">
        <v>4572</v>
      </c>
      <c r="B1626" s="2" t="s">
        <v>23006</v>
      </c>
      <c r="C1626" s="2">
        <v>1.632121917E9</v>
      </c>
      <c r="D1626" s="2" t="s">
        <v>23007</v>
      </c>
      <c r="E1626" s="2">
        <v>2427278.0</v>
      </c>
      <c r="F1626" s="2">
        <v>9.0</v>
      </c>
      <c r="G1626" s="2">
        <v>5466.0</v>
      </c>
      <c r="H1626" s="2" t="s">
        <v>5905</v>
      </c>
      <c r="I1626" s="2" t="s">
        <v>5906</v>
      </c>
      <c r="K1626" s="2" t="s">
        <v>23008</v>
      </c>
      <c r="L1626" s="10" t="s">
        <v>23009</v>
      </c>
    </row>
    <row r="1627">
      <c r="A1627" s="2" t="s">
        <v>4572</v>
      </c>
      <c r="B1627" s="2" t="s">
        <v>23010</v>
      </c>
      <c r="C1627" s="2">
        <v>5.4684042373E10</v>
      </c>
      <c r="D1627" s="2" t="s">
        <v>23011</v>
      </c>
      <c r="E1627" s="2">
        <v>657107.0</v>
      </c>
      <c r="F1627" s="2">
        <v>179.0</v>
      </c>
      <c r="G1627" s="2">
        <v>4317.0</v>
      </c>
      <c r="H1627" s="2" t="s">
        <v>5905</v>
      </c>
      <c r="I1627" s="2" t="s">
        <v>5906</v>
      </c>
      <c r="J1627" s="2" t="s">
        <v>6393</v>
      </c>
      <c r="K1627" s="2" t="s">
        <v>23012</v>
      </c>
    </row>
    <row r="1628">
      <c r="A1628" s="2" t="s">
        <v>4572</v>
      </c>
      <c r="B1628" s="2" t="s">
        <v>21704</v>
      </c>
      <c r="C1628" s="2">
        <v>3.4249029578E10</v>
      </c>
      <c r="D1628" s="2" t="s">
        <v>21705</v>
      </c>
      <c r="E1628" s="2">
        <v>1046910.0</v>
      </c>
      <c r="F1628" s="2">
        <v>98.0</v>
      </c>
      <c r="G1628" s="2">
        <v>1881.0</v>
      </c>
      <c r="H1628" s="2" t="s">
        <v>5906</v>
      </c>
      <c r="I1628" s="2" t="s">
        <v>5905</v>
      </c>
      <c r="J1628" s="2" t="s">
        <v>5911</v>
      </c>
      <c r="K1628" s="2" t="s">
        <v>21706</v>
      </c>
      <c r="L1628" s="10" t="s">
        <v>21707</v>
      </c>
    </row>
    <row r="1629">
      <c r="A1629" s="2" t="s">
        <v>4572</v>
      </c>
      <c r="B1629" s="2" t="s">
        <v>23013</v>
      </c>
      <c r="C1629" s="2">
        <v>5.8602422483E10</v>
      </c>
      <c r="D1629" s="2" t="s">
        <v>23014</v>
      </c>
      <c r="E1629" s="2">
        <v>1292358.0</v>
      </c>
      <c r="F1629" s="2">
        <v>31.0</v>
      </c>
      <c r="G1629" s="2">
        <v>1585.0</v>
      </c>
      <c r="H1629" s="2" t="s">
        <v>5906</v>
      </c>
      <c r="I1629" s="2" t="s">
        <v>5905</v>
      </c>
      <c r="J1629" s="2" t="s">
        <v>5959</v>
      </c>
      <c r="K1629" s="2" t="s">
        <v>23015</v>
      </c>
      <c r="L1629" s="10" t="s">
        <v>23016</v>
      </c>
    </row>
    <row r="1630">
      <c r="A1630" s="2" t="s">
        <v>4572</v>
      </c>
      <c r="B1630" s="2" t="s">
        <v>23017</v>
      </c>
      <c r="C1630" s="2">
        <v>8.214885229E9</v>
      </c>
      <c r="D1630" s="2" t="s">
        <v>23018</v>
      </c>
      <c r="E1630" s="2">
        <v>1.1108559E7</v>
      </c>
      <c r="F1630" s="2">
        <v>147.0</v>
      </c>
      <c r="G1630" s="2">
        <v>10668.0</v>
      </c>
      <c r="H1630" s="2" t="s">
        <v>5906</v>
      </c>
      <c r="I1630" s="2" t="s">
        <v>5906</v>
      </c>
      <c r="J1630" s="2" t="s">
        <v>5561</v>
      </c>
      <c r="K1630" s="2" t="s">
        <v>23019</v>
      </c>
      <c r="L1630" s="10" t="s">
        <v>23020</v>
      </c>
    </row>
    <row r="1631">
      <c r="A1631" s="2" t="s">
        <v>4572</v>
      </c>
      <c r="B1631" s="2" t="s">
        <v>23021</v>
      </c>
      <c r="C1631" s="2">
        <v>4.2969453324E10</v>
      </c>
      <c r="D1631" s="2" t="s">
        <v>22995</v>
      </c>
      <c r="E1631" s="2">
        <v>1249854.0</v>
      </c>
      <c r="F1631" s="2">
        <v>6.0</v>
      </c>
      <c r="G1631" s="2">
        <v>2553.0</v>
      </c>
      <c r="H1631" s="2" t="s">
        <v>5906</v>
      </c>
      <c r="I1631" s="2" t="s">
        <v>5905</v>
      </c>
      <c r="J1631" s="2" t="s">
        <v>4996</v>
      </c>
      <c r="K1631" s="2" t="s">
        <v>23022</v>
      </c>
      <c r="L1631" s="10" t="s">
        <v>19881</v>
      </c>
    </row>
    <row r="1632">
      <c r="A1632" s="2" t="s">
        <v>4572</v>
      </c>
      <c r="B1632" s="2" t="s">
        <v>23023</v>
      </c>
      <c r="C1632" s="2">
        <v>5.3835664449E10</v>
      </c>
      <c r="D1632" s="2" t="s">
        <v>23024</v>
      </c>
      <c r="E1632" s="2">
        <v>2487638.0</v>
      </c>
      <c r="F1632" s="2">
        <v>77.0</v>
      </c>
      <c r="G1632" s="2">
        <v>1218.0</v>
      </c>
      <c r="H1632" s="2" t="s">
        <v>5906</v>
      </c>
      <c r="I1632" s="2" t="s">
        <v>5906</v>
      </c>
      <c r="J1632" s="2" t="s">
        <v>5561</v>
      </c>
      <c r="K1632" s="2" t="s">
        <v>23025</v>
      </c>
      <c r="L1632" s="10" t="s">
        <v>23026</v>
      </c>
    </row>
    <row r="1633">
      <c r="A1633" s="2" t="s">
        <v>4572</v>
      </c>
      <c r="B1633" s="2" t="s">
        <v>23027</v>
      </c>
      <c r="C1633" s="2">
        <v>3.960258991E9</v>
      </c>
      <c r="D1633" s="2" t="s">
        <v>23028</v>
      </c>
      <c r="E1633" s="2">
        <v>918949.0</v>
      </c>
      <c r="F1633" s="2">
        <v>178.0</v>
      </c>
      <c r="G1633" s="2">
        <v>7688.0</v>
      </c>
      <c r="H1633" s="2" t="s">
        <v>5905</v>
      </c>
      <c r="I1633" s="2" t="s">
        <v>5905</v>
      </c>
      <c r="J1633" s="2" t="s">
        <v>23029</v>
      </c>
      <c r="K1633" s="2" t="s">
        <v>23030</v>
      </c>
      <c r="L1633" s="10" t="s">
        <v>23031</v>
      </c>
    </row>
    <row r="1634">
      <c r="A1634" s="2" t="s">
        <v>4572</v>
      </c>
      <c r="B1634" s="2" t="s">
        <v>23032</v>
      </c>
      <c r="C1634" s="2">
        <v>7.8011384E8</v>
      </c>
      <c r="D1634" s="2" t="s">
        <v>23033</v>
      </c>
      <c r="E1634" s="2">
        <v>1782837.0</v>
      </c>
      <c r="F1634" s="2">
        <v>23.0</v>
      </c>
      <c r="G1634" s="2">
        <v>3265.0</v>
      </c>
      <c r="H1634" s="2" t="s">
        <v>5905</v>
      </c>
      <c r="I1634" s="2" t="s">
        <v>5906</v>
      </c>
      <c r="J1634" s="2" t="s">
        <v>4996</v>
      </c>
      <c r="K1634" s="2" t="s">
        <v>23034</v>
      </c>
      <c r="L1634" s="10" t="s">
        <v>23035</v>
      </c>
    </row>
    <row r="1635">
      <c r="A1635" s="2" t="s">
        <v>4572</v>
      </c>
      <c r="B1635" s="2" t="s">
        <v>23036</v>
      </c>
      <c r="C1635" s="2">
        <v>4.8274727115E10</v>
      </c>
      <c r="D1635" s="2" t="s">
        <v>23037</v>
      </c>
      <c r="E1635" s="2">
        <v>531289.0</v>
      </c>
      <c r="F1635" s="2">
        <v>69.0</v>
      </c>
      <c r="G1635" s="2">
        <v>1672.0</v>
      </c>
      <c r="H1635" s="2" t="s">
        <v>5905</v>
      </c>
      <c r="I1635" s="2" t="s">
        <v>5905</v>
      </c>
      <c r="J1635" s="2" t="s">
        <v>4996</v>
      </c>
      <c r="K1635" s="2" t="s">
        <v>23038</v>
      </c>
    </row>
    <row r="1636">
      <c r="A1636" s="2" t="s">
        <v>4572</v>
      </c>
      <c r="B1636" s="2" t="s">
        <v>23039</v>
      </c>
      <c r="C1636" s="2">
        <v>5.7718991392E10</v>
      </c>
      <c r="D1636" s="2" t="s">
        <v>23040</v>
      </c>
      <c r="E1636" s="2">
        <v>896199.0</v>
      </c>
      <c r="F1636" s="2">
        <v>3.0</v>
      </c>
      <c r="G1636" s="2">
        <v>1313.0</v>
      </c>
      <c r="H1636" s="2" t="s">
        <v>5906</v>
      </c>
      <c r="I1636" s="2" t="s">
        <v>5905</v>
      </c>
      <c r="J1636" s="2" t="s">
        <v>7140</v>
      </c>
      <c r="K1636" s="2" t="s">
        <v>23041</v>
      </c>
      <c r="L1636" s="10" t="s">
        <v>23042</v>
      </c>
    </row>
    <row r="1637">
      <c r="A1637" s="2" t="s">
        <v>4572</v>
      </c>
      <c r="B1637" s="2" t="s">
        <v>23043</v>
      </c>
      <c r="C1637" s="2">
        <v>8.905708975E9</v>
      </c>
      <c r="D1637" s="2" t="s">
        <v>23044</v>
      </c>
      <c r="E1637" s="2">
        <v>213119.0</v>
      </c>
      <c r="F1637" s="2">
        <v>0.0</v>
      </c>
      <c r="G1637" s="2">
        <v>2644.0</v>
      </c>
      <c r="H1637" s="2" t="s">
        <v>5905</v>
      </c>
      <c r="I1637" s="2" t="s">
        <v>5905</v>
      </c>
      <c r="J1637" s="2" t="s">
        <v>5959</v>
      </c>
      <c r="K1637" s="2" t="s">
        <v>23045</v>
      </c>
    </row>
    <row r="1638">
      <c r="A1638" s="2" t="s">
        <v>4689</v>
      </c>
      <c r="B1638" s="2" t="s">
        <v>23046</v>
      </c>
      <c r="C1638" s="2">
        <v>7.3563460671E10</v>
      </c>
      <c r="D1638" s="2" t="s">
        <v>23047</v>
      </c>
      <c r="E1638" s="2">
        <v>10423.0</v>
      </c>
      <c r="F1638" s="2">
        <v>0.0</v>
      </c>
      <c r="G1638" s="2">
        <v>104.0</v>
      </c>
      <c r="H1638" s="2" t="s">
        <v>5905</v>
      </c>
      <c r="I1638" s="2" t="s">
        <v>5905</v>
      </c>
      <c r="J1638" s="2" t="s">
        <v>5561</v>
      </c>
      <c r="K1638" s="2" t="s">
        <v>23048</v>
      </c>
      <c r="L1638" s="10" t="s">
        <v>23049</v>
      </c>
    </row>
    <row r="1639">
      <c r="A1639" s="2" t="s">
        <v>4689</v>
      </c>
      <c r="B1639" s="2" t="s">
        <v>23050</v>
      </c>
      <c r="C1639" s="2">
        <v>4.9092248981E10</v>
      </c>
      <c r="D1639" s="2" t="s">
        <v>23047</v>
      </c>
      <c r="E1639" s="2">
        <v>101131.0</v>
      </c>
      <c r="F1639" s="2">
        <v>6.0</v>
      </c>
      <c r="G1639" s="2">
        <v>320.0</v>
      </c>
      <c r="H1639" s="2" t="s">
        <v>5905</v>
      </c>
      <c r="I1639" s="2" t="s">
        <v>5905</v>
      </c>
      <c r="J1639" s="2" t="s">
        <v>5928</v>
      </c>
      <c r="K1639" s="2" t="s">
        <v>23051</v>
      </c>
      <c r="L1639" s="10" t="s">
        <v>23052</v>
      </c>
    </row>
    <row r="1640">
      <c r="A1640" s="2" t="s">
        <v>4562</v>
      </c>
      <c r="B1640" s="2" t="s">
        <v>23053</v>
      </c>
      <c r="C1640" s="2">
        <v>3.4621234825E10</v>
      </c>
      <c r="D1640" s="12" t="s">
        <v>23054</v>
      </c>
      <c r="E1640" s="2">
        <v>120801.0</v>
      </c>
      <c r="F1640" s="2">
        <v>2.0</v>
      </c>
      <c r="G1640" s="2">
        <v>519.0</v>
      </c>
      <c r="H1640" s="2" t="s">
        <v>5905</v>
      </c>
      <c r="I1640" s="2" t="s">
        <v>5905</v>
      </c>
      <c r="J1640" s="2" t="s">
        <v>5492</v>
      </c>
      <c r="K1640" s="12" t="s">
        <v>23055</v>
      </c>
    </row>
    <row r="1641">
      <c r="A1641" s="2" t="s">
        <v>4562</v>
      </c>
      <c r="B1641" s="2" t="s">
        <v>4562</v>
      </c>
      <c r="C1641" s="2">
        <v>1.63977989E9</v>
      </c>
      <c r="D1641" s="2" t="s">
        <v>23056</v>
      </c>
      <c r="E1641" s="2">
        <v>554733.0</v>
      </c>
      <c r="F1641" s="2">
        <v>218.0</v>
      </c>
      <c r="G1641" s="2">
        <v>1380.0</v>
      </c>
      <c r="H1641" s="2" t="s">
        <v>5905</v>
      </c>
      <c r="I1641" s="2" t="s">
        <v>5906</v>
      </c>
      <c r="J1641" s="2" t="s">
        <v>5561</v>
      </c>
      <c r="K1641" s="2" t="s">
        <v>23057</v>
      </c>
      <c r="L1641" s="10" t="s">
        <v>23058</v>
      </c>
    </row>
    <row r="1642">
      <c r="A1642" s="2" t="s">
        <v>4562</v>
      </c>
      <c r="B1642" s="2" t="s">
        <v>23059</v>
      </c>
      <c r="C1642" s="2">
        <v>5.913592328E9</v>
      </c>
      <c r="D1642" s="2" t="s">
        <v>23056</v>
      </c>
      <c r="E1642" s="2">
        <v>51270.0</v>
      </c>
      <c r="F1642" s="2">
        <v>376.0</v>
      </c>
      <c r="G1642" s="2">
        <v>701.0</v>
      </c>
      <c r="H1642" s="2" t="s">
        <v>5905</v>
      </c>
      <c r="I1642" s="2" t="s">
        <v>5906</v>
      </c>
      <c r="J1642" s="2" t="s">
        <v>5561</v>
      </c>
      <c r="K1642" s="2" t="s">
        <v>23060</v>
      </c>
      <c r="L1642" s="10" t="s">
        <v>23061</v>
      </c>
    </row>
    <row r="1643">
      <c r="A1643" s="2" t="s">
        <v>4562</v>
      </c>
      <c r="B1643" s="2" t="s">
        <v>23062</v>
      </c>
      <c r="C1643" s="2">
        <v>1.854375358E10</v>
      </c>
      <c r="D1643" s="2" t="s">
        <v>23056</v>
      </c>
      <c r="E1643" s="2">
        <v>84330.0</v>
      </c>
      <c r="F1643" s="2">
        <v>2.0</v>
      </c>
      <c r="G1643" s="2">
        <v>122.0</v>
      </c>
      <c r="H1643" s="2" t="s">
        <v>5905</v>
      </c>
      <c r="I1643" s="2" t="s">
        <v>5906</v>
      </c>
      <c r="J1643" s="2" t="s">
        <v>6166</v>
      </c>
      <c r="K1643" s="2" t="s">
        <v>23063</v>
      </c>
      <c r="L1643" s="10" t="s">
        <v>23064</v>
      </c>
    </row>
    <row r="1644">
      <c r="A1644" s="2" t="s">
        <v>4562</v>
      </c>
      <c r="B1644" s="2" t="s">
        <v>23065</v>
      </c>
      <c r="C1644" s="2">
        <v>3.317895065E9</v>
      </c>
      <c r="D1644" s="2" t="s">
        <v>23066</v>
      </c>
      <c r="E1644" s="2">
        <v>307816.0</v>
      </c>
      <c r="F1644" s="2">
        <v>16.0</v>
      </c>
      <c r="G1644" s="2">
        <v>2350.0</v>
      </c>
      <c r="H1644" s="2" t="s">
        <v>5906</v>
      </c>
      <c r="I1644" s="2" t="s">
        <v>5906</v>
      </c>
      <c r="J1644" s="2" t="s">
        <v>5561</v>
      </c>
      <c r="K1644" s="2" t="s">
        <v>23067</v>
      </c>
      <c r="L1644" s="10" t="s">
        <v>23068</v>
      </c>
    </row>
    <row r="1645">
      <c r="A1645" s="2" t="s">
        <v>4562</v>
      </c>
      <c r="B1645" s="2" t="s">
        <v>23069</v>
      </c>
      <c r="C1645" s="2">
        <v>2.963161886E9</v>
      </c>
      <c r="D1645" s="2" t="s">
        <v>23070</v>
      </c>
      <c r="E1645" s="2">
        <v>1012090.0</v>
      </c>
      <c r="F1645" s="2">
        <v>0.0</v>
      </c>
      <c r="G1645" s="2">
        <v>5866.0</v>
      </c>
      <c r="H1645" s="2" t="s">
        <v>5905</v>
      </c>
      <c r="I1645" s="2" t="s">
        <v>5905</v>
      </c>
      <c r="J1645" s="2" t="s">
        <v>5959</v>
      </c>
      <c r="K1645" s="2" t="s">
        <v>23071</v>
      </c>
      <c r="L1645" s="10" t="s">
        <v>23072</v>
      </c>
    </row>
    <row r="1646">
      <c r="A1646" s="2" t="s">
        <v>4562</v>
      </c>
      <c r="B1646" s="2" t="s">
        <v>23073</v>
      </c>
      <c r="C1646" s="2">
        <v>5.4777975391E10</v>
      </c>
      <c r="D1646" s="2" t="s">
        <v>23074</v>
      </c>
      <c r="E1646" s="2">
        <v>236748.0</v>
      </c>
      <c r="F1646" s="2">
        <v>50.0</v>
      </c>
      <c r="G1646" s="2">
        <v>470.0</v>
      </c>
      <c r="H1646" s="2" t="s">
        <v>5905</v>
      </c>
      <c r="I1646" s="2" t="s">
        <v>5905</v>
      </c>
      <c r="J1646" s="2" t="s">
        <v>6393</v>
      </c>
      <c r="K1646" s="2" t="s">
        <v>23075</v>
      </c>
      <c r="L1646" s="10" t="s">
        <v>23076</v>
      </c>
    </row>
    <row r="1647">
      <c r="A1647" s="2" t="s">
        <v>4562</v>
      </c>
      <c r="B1647" s="2" t="s">
        <v>23077</v>
      </c>
      <c r="C1647" s="2">
        <v>1.7063278158E10</v>
      </c>
      <c r="D1647" s="2" t="s">
        <v>23078</v>
      </c>
      <c r="E1647" s="2">
        <v>119084.0</v>
      </c>
      <c r="F1647" s="2">
        <v>251.0</v>
      </c>
      <c r="G1647" s="2">
        <v>520.0</v>
      </c>
      <c r="H1647" s="2" t="s">
        <v>5905</v>
      </c>
      <c r="I1647" s="2" t="s">
        <v>5905</v>
      </c>
      <c r="J1647" s="2" t="s">
        <v>23079</v>
      </c>
      <c r="K1647" s="2" t="s">
        <v>23080</v>
      </c>
      <c r="L1647" s="10" t="s">
        <v>23081</v>
      </c>
    </row>
    <row r="1648">
      <c r="A1648" s="2" t="s">
        <v>4562</v>
      </c>
      <c r="B1648" s="2" t="s">
        <v>23082</v>
      </c>
      <c r="C1648" s="2">
        <v>3.162400079E9</v>
      </c>
      <c r="D1648" s="2" t="s">
        <v>23083</v>
      </c>
      <c r="E1648" s="2">
        <v>110024.0</v>
      </c>
      <c r="F1648" s="2">
        <v>329.0</v>
      </c>
      <c r="G1648" s="2">
        <v>744.0</v>
      </c>
      <c r="H1648" s="2" t="s">
        <v>5906</v>
      </c>
      <c r="I1648" s="2" t="s">
        <v>5906</v>
      </c>
      <c r="J1648" s="2" t="s">
        <v>19601</v>
      </c>
      <c r="K1648" s="2" t="s">
        <v>23084</v>
      </c>
      <c r="L1648" s="10" t="s">
        <v>23085</v>
      </c>
    </row>
    <row r="1649">
      <c r="A1649" s="2" t="s">
        <v>4562</v>
      </c>
      <c r="B1649" s="2" t="s">
        <v>23086</v>
      </c>
      <c r="C1649" s="2">
        <v>3.9774507106E10</v>
      </c>
      <c r="D1649" s="2" t="s">
        <v>23087</v>
      </c>
      <c r="E1649" s="2">
        <v>23404.0</v>
      </c>
      <c r="F1649" s="2">
        <v>1215.0</v>
      </c>
      <c r="G1649" s="2">
        <v>986.0</v>
      </c>
      <c r="H1649" s="2" t="s">
        <v>5905</v>
      </c>
      <c r="I1649" s="2" t="s">
        <v>5906</v>
      </c>
      <c r="J1649" s="2" t="s">
        <v>10543</v>
      </c>
      <c r="K1649" s="2" t="s">
        <v>23088</v>
      </c>
      <c r="L1649" s="10" t="s">
        <v>23089</v>
      </c>
    </row>
    <row r="1650">
      <c r="A1650" s="2" t="s">
        <v>4562</v>
      </c>
      <c r="B1650" s="2" t="s">
        <v>23090</v>
      </c>
      <c r="C1650" s="2">
        <v>2.10436933E9</v>
      </c>
      <c r="D1650" s="2" t="s">
        <v>23091</v>
      </c>
      <c r="E1650" s="2">
        <v>57192.0</v>
      </c>
      <c r="F1650" s="2">
        <v>14.0</v>
      </c>
      <c r="G1650" s="2">
        <v>1509.0</v>
      </c>
      <c r="H1650" s="2" t="s">
        <v>5905</v>
      </c>
      <c r="I1650" s="2" t="s">
        <v>5905</v>
      </c>
      <c r="K1650" s="2" t="s">
        <v>23092</v>
      </c>
    </row>
    <row r="1651">
      <c r="A1651" s="2" t="s">
        <v>4562</v>
      </c>
      <c r="B1651" s="2" t="s">
        <v>23093</v>
      </c>
      <c r="C1651" s="2">
        <v>6.047216094E9</v>
      </c>
      <c r="D1651" s="2" t="s">
        <v>23094</v>
      </c>
      <c r="E1651" s="2">
        <v>174824.0</v>
      </c>
      <c r="F1651" s="2">
        <v>611.0</v>
      </c>
      <c r="G1651" s="2">
        <v>640.0</v>
      </c>
      <c r="H1651" s="2" t="s">
        <v>5906</v>
      </c>
      <c r="I1651" s="2" t="s">
        <v>5906</v>
      </c>
      <c r="J1651" s="2" t="s">
        <v>5492</v>
      </c>
      <c r="K1651" s="2" t="s">
        <v>23095</v>
      </c>
      <c r="L1651" s="10" t="s">
        <v>23096</v>
      </c>
    </row>
    <row r="1652">
      <c r="A1652" s="2" t="s">
        <v>4562</v>
      </c>
      <c r="B1652" s="2" t="s">
        <v>23097</v>
      </c>
      <c r="C1652" s="2">
        <v>6.271770609E9</v>
      </c>
      <c r="D1652" s="2" t="s">
        <v>23098</v>
      </c>
      <c r="E1652" s="2">
        <v>165571.0</v>
      </c>
      <c r="F1652" s="2">
        <v>527.0</v>
      </c>
      <c r="G1652" s="2">
        <v>2466.0</v>
      </c>
      <c r="H1652" s="2" t="s">
        <v>5905</v>
      </c>
      <c r="I1652" s="2" t="s">
        <v>5905</v>
      </c>
      <c r="J1652" s="2" t="s">
        <v>4996</v>
      </c>
      <c r="K1652" s="2" t="s">
        <v>23099</v>
      </c>
      <c r="L1652" s="10" t="s">
        <v>23100</v>
      </c>
    </row>
    <row r="1653">
      <c r="A1653" s="2" t="s">
        <v>4562</v>
      </c>
      <c r="B1653" s="2" t="s">
        <v>23101</v>
      </c>
      <c r="C1653" s="2">
        <v>9.364292762E9</v>
      </c>
      <c r="D1653" s="2" t="s">
        <v>23056</v>
      </c>
      <c r="E1653" s="2">
        <v>26321.0</v>
      </c>
      <c r="F1653" s="2">
        <v>0.0</v>
      </c>
      <c r="G1653" s="2">
        <v>1.0</v>
      </c>
      <c r="H1653" s="2" t="s">
        <v>5905</v>
      </c>
      <c r="I1653" s="2" t="s">
        <v>5906</v>
      </c>
      <c r="J1653" s="2" t="s">
        <v>5959</v>
      </c>
      <c r="K1653" s="2" t="s">
        <v>23102</v>
      </c>
    </row>
    <row r="1654">
      <c r="A1654" s="2" t="s">
        <v>4642</v>
      </c>
      <c r="B1654" s="2" t="s">
        <v>23103</v>
      </c>
      <c r="C1654" s="2">
        <v>8.701346504E9</v>
      </c>
      <c r="D1654" s="2" t="s">
        <v>23104</v>
      </c>
      <c r="E1654" s="2">
        <v>12541.0</v>
      </c>
      <c r="F1654" s="2">
        <v>15.0</v>
      </c>
      <c r="G1654" s="2">
        <v>102.0</v>
      </c>
      <c r="H1654" s="2" t="s">
        <v>5905</v>
      </c>
      <c r="I1654" s="2" t="s">
        <v>5906</v>
      </c>
      <c r="J1654" s="2" t="s">
        <v>5968</v>
      </c>
      <c r="K1654" s="2" t="s">
        <v>23105</v>
      </c>
      <c r="L1654" s="10" t="s">
        <v>23106</v>
      </c>
    </row>
    <row r="1655">
      <c r="A1655" s="2" t="s">
        <v>3934</v>
      </c>
      <c r="B1655" s="2" t="s">
        <v>8081</v>
      </c>
      <c r="C1655" s="2">
        <v>9.155181033E9</v>
      </c>
      <c r="D1655" s="2" t="s">
        <v>8082</v>
      </c>
      <c r="E1655" s="2">
        <v>4704882.0</v>
      </c>
      <c r="F1655" s="2">
        <v>807.0</v>
      </c>
      <c r="G1655" s="2">
        <v>15624.0</v>
      </c>
      <c r="H1655" s="2" t="s">
        <v>5906</v>
      </c>
      <c r="I1655" s="2" t="s">
        <v>5906</v>
      </c>
      <c r="K1655" s="2" t="s">
        <v>8083</v>
      </c>
      <c r="L1655" s="10" t="s">
        <v>8084</v>
      </c>
    </row>
    <row r="1656">
      <c r="A1656" s="2" t="s">
        <v>3934</v>
      </c>
      <c r="B1656" s="2" t="s">
        <v>23107</v>
      </c>
      <c r="C1656" s="2">
        <v>3.893519199E10</v>
      </c>
      <c r="D1656" s="2" t="s">
        <v>23108</v>
      </c>
      <c r="E1656" s="2">
        <v>26783.0</v>
      </c>
      <c r="F1656" s="2">
        <v>1446.0</v>
      </c>
      <c r="G1656" s="2">
        <v>2034.0</v>
      </c>
      <c r="H1656" s="2" t="s">
        <v>5906</v>
      </c>
      <c r="I1656" s="2" t="s">
        <v>5906</v>
      </c>
      <c r="J1656" s="2" t="s">
        <v>6082</v>
      </c>
      <c r="K1656" s="2" t="s">
        <v>23109</v>
      </c>
    </row>
    <row r="1657">
      <c r="A1657" s="2" t="s">
        <v>3934</v>
      </c>
      <c r="B1657" s="2" t="s">
        <v>23110</v>
      </c>
      <c r="C1657" s="2">
        <v>6.5649983435E10</v>
      </c>
      <c r="D1657" s="2" t="s">
        <v>23111</v>
      </c>
      <c r="E1657" s="2">
        <v>73896.0</v>
      </c>
      <c r="F1657" s="2">
        <v>663.0</v>
      </c>
      <c r="G1657" s="2">
        <v>3886.0</v>
      </c>
      <c r="H1657" s="2" t="s">
        <v>5905</v>
      </c>
      <c r="I1657" s="2" t="s">
        <v>5906</v>
      </c>
      <c r="J1657" s="2" t="s">
        <v>5485</v>
      </c>
      <c r="K1657" s="2" t="s">
        <v>23112</v>
      </c>
    </row>
    <row r="1658">
      <c r="A1658" s="2" t="s">
        <v>3934</v>
      </c>
      <c r="B1658" s="2" t="s">
        <v>23113</v>
      </c>
      <c r="C1658" s="2">
        <v>1.692539253E9</v>
      </c>
      <c r="D1658" s="2" t="s">
        <v>23114</v>
      </c>
      <c r="E1658" s="2">
        <v>1490220.0</v>
      </c>
      <c r="F1658" s="2">
        <v>776.0</v>
      </c>
      <c r="G1658" s="2">
        <v>23344.0</v>
      </c>
      <c r="H1658" s="2" t="s">
        <v>5906</v>
      </c>
      <c r="I1658" s="2" t="s">
        <v>5906</v>
      </c>
      <c r="J1658" s="2" t="s">
        <v>5907</v>
      </c>
      <c r="K1658" s="2" t="s">
        <v>23115</v>
      </c>
      <c r="L1658" s="10" t="s">
        <v>23116</v>
      </c>
    </row>
    <row r="1659">
      <c r="A1659" s="2" t="s">
        <v>3934</v>
      </c>
      <c r="B1659" s="2" t="s">
        <v>23117</v>
      </c>
      <c r="C1659" s="2">
        <v>4.364307074E9</v>
      </c>
      <c r="D1659" s="2" t="s">
        <v>23118</v>
      </c>
      <c r="E1659" s="2">
        <v>87930.0</v>
      </c>
      <c r="F1659" s="2">
        <v>1061.0</v>
      </c>
      <c r="G1659" s="2">
        <v>9014.0</v>
      </c>
      <c r="H1659" s="2" t="s">
        <v>5905</v>
      </c>
      <c r="I1659" s="2" t="s">
        <v>5905</v>
      </c>
      <c r="J1659" s="2" t="s">
        <v>5480</v>
      </c>
      <c r="K1659" s="2" t="s">
        <v>23119</v>
      </c>
      <c r="L1659" s="10" t="s">
        <v>23120</v>
      </c>
    </row>
    <row r="1660">
      <c r="A1660" s="2" t="s">
        <v>3934</v>
      </c>
      <c r="B1660" s="2" t="s">
        <v>23121</v>
      </c>
      <c r="C1660" s="2">
        <v>1.249064182E9</v>
      </c>
      <c r="D1660" s="2" t="s">
        <v>23122</v>
      </c>
      <c r="E1660" s="2">
        <v>1406421.0</v>
      </c>
      <c r="F1660" s="2">
        <v>16.0</v>
      </c>
      <c r="G1660" s="2">
        <v>21393.0</v>
      </c>
      <c r="H1660" s="2" t="s">
        <v>5906</v>
      </c>
      <c r="I1660" s="2" t="s">
        <v>5906</v>
      </c>
      <c r="K1660" s="2" t="s">
        <v>23123</v>
      </c>
      <c r="L1660" s="10" t="s">
        <v>23124</v>
      </c>
    </row>
    <row r="1661">
      <c r="A1661" s="2" t="s">
        <v>3934</v>
      </c>
      <c r="B1661" s="2" t="s">
        <v>23125</v>
      </c>
      <c r="C1661" s="2">
        <v>4.9032931537E10</v>
      </c>
      <c r="D1661" s="2" t="s">
        <v>23126</v>
      </c>
      <c r="E1661" s="2">
        <v>30425.0</v>
      </c>
      <c r="F1661" s="2">
        <v>510.0</v>
      </c>
      <c r="G1661" s="2">
        <v>1718.0</v>
      </c>
      <c r="H1661" s="2" t="s">
        <v>5906</v>
      </c>
      <c r="I1661" s="2" t="s">
        <v>5905</v>
      </c>
      <c r="J1661" s="2" t="s">
        <v>5480</v>
      </c>
      <c r="K1661" s="2" t="s">
        <v>23127</v>
      </c>
    </row>
    <row r="1662">
      <c r="A1662" s="2" t="s">
        <v>3934</v>
      </c>
      <c r="B1662" s="2" t="s">
        <v>23128</v>
      </c>
      <c r="C1662" s="2">
        <v>1.029803219E9</v>
      </c>
      <c r="D1662" s="2" t="s">
        <v>23129</v>
      </c>
      <c r="E1662" s="2">
        <v>972833.0</v>
      </c>
      <c r="F1662" s="2">
        <v>170.0</v>
      </c>
      <c r="G1662" s="2">
        <v>19957.0</v>
      </c>
      <c r="H1662" s="2" t="s">
        <v>5905</v>
      </c>
      <c r="I1662" s="2" t="s">
        <v>5906</v>
      </c>
      <c r="J1662" s="2" t="s">
        <v>4397</v>
      </c>
      <c r="K1662" s="2" t="s">
        <v>23130</v>
      </c>
      <c r="L1662" s="10" t="s">
        <v>23131</v>
      </c>
    </row>
    <row r="1663">
      <c r="A1663" s="2" t="s">
        <v>3934</v>
      </c>
      <c r="B1663" s="2" t="s">
        <v>23132</v>
      </c>
      <c r="C1663" s="2">
        <v>2.127616206E9</v>
      </c>
      <c r="D1663" s="2" t="s">
        <v>23133</v>
      </c>
      <c r="E1663" s="2">
        <v>2343633.0</v>
      </c>
      <c r="F1663" s="2">
        <v>63.0</v>
      </c>
      <c r="G1663" s="2">
        <v>5685.0</v>
      </c>
      <c r="H1663" s="2" t="s">
        <v>5905</v>
      </c>
      <c r="I1663" s="2" t="s">
        <v>5906</v>
      </c>
      <c r="J1663" s="2" t="s">
        <v>4397</v>
      </c>
      <c r="K1663" s="2" t="s">
        <v>23134</v>
      </c>
      <c r="L1663" s="10" t="s">
        <v>23135</v>
      </c>
    </row>
    <row r="1664">
      <c r="A1664" s="2" t="s">
        <v>3934</v>
      </c>
      <c r="B1664" s="2" t="s">
        <v>23136</v>
      </c>
      <c r="C1664" s="2">
        <v>3.026381308E9</v>
      </c>
      <c r="D1664" s="2" t="s">
        <v>23137</v>
      </c>
      <c r="E1664" s="2">
        <v>440138.0</v>
      </c>
      <c r="F1664" s="2">
        <v>970.0</v>
      </c>
      <c r="G1664" s="2">
        <v>3704.0</v>
      </c>
      <c r="H1664" s="2" t="s">
        <v>5906</v>
      </c>
      <c r="I1664" s="2" t="s">
        <v>5905</v>
      </c>
      <c r="J1664" s="2" t="s">
        <v>5911</v>
      </c>
      <c r="K1664" s="2" t="s">
        <v>23138</v>
      </c>
      <c r="L1664" s="10" t="s">
        <v>23139</v>
      </c>
    </row>
    <row r="1665">
      <c r="A1665" s="2" t="s">
        <v>4469</v>
      </c>
      <c r="B1665" s="10" t="s">
        <v>23140</v>
      </c>
      <c r="C1665" s="2">
        <v>3.1630878232E10</v>
      </c>
      <c r="D1665" s="2" t="s">
        <v>23141</v>
      </c>
      <c r="E1665" s="2">
        <v>184142.0</v>
      </c>
      <c r="F1665" s="2">
        <v>458.0</v>
      </c>
      <c r="G1665" s="2">
        <v>117.0</v>
      </c>
      <c r="H1665" s="2" t="s">
        <v>5906</v>
      </c>
      <c r="I1665" s="2" t="s">
        <v>5905</v>
      </c>
      <c r="J1665" s="2" t="s">
        <v>5492</v>
      </c>
      <c r="K1665" s="2" t="s">
        <v>23142</v>
      </c>
      <c r="L1665" s="10" t="s">
        <v>23143</v>
      </c>
    </row>
    <row r="1666">
      <c r="A1666" s="2" t="s">
        <v>4469</v>
      </c>
      <c r="B1666" s="2" t="s">
        <v>23144</v>
      </c>
      <c r="C1666" s="2">
        <v>5.991817847E9</v>
      </c>
      <c r="D1666" s="2" t="s">
        <v>23145</v>
      </c>
      <c r="E1666" s="2">
        <v>67860.0</v>
      </c>
      <c r="F1666" s="2">
        <v>3709.0</v>
      </c>
      <c r="G1666" s="2">
        <v>5092.0</v>
      </c>
      <c r="H1666" s="2" t="s">
        <v>5906</v>
      </c>
      <c r="I1666" s="2" t="s">
        <v>5906</v>
      </c>
      <c r="J1666" s="2" t="s">
        <v>5391</v>
      </c>
      <c r="K1666" s="2" t="s">
        <v>23146</v>
      </c>
    </row>
    <row r="1667">
      <c r="A1667" s="2" t="s">
        <v>4469</v>
      </c>
      <c r="B1667" s="2" t="s">
        <v>23147</v>
      </c>
      <c r="C1667" s="2">
        <v>2.3674562E7</v>
      </c>
      <c r="D1667" s="2" t="s">
        <v>23148</v>
      </c>
      <c r="E1667" s="2">
        <v>2955137.0</v>
      </c>
      <c r="F1667" s="2">
        <v>1446.0</v>
      </c>
      <c r="G1667" s="2">
        <v>5778.0</v>
      </c>
      <c r="H1667" s="2" t="s">
        <v>5906</v>
      </c>
      <c r="I1667" s="2" t="s">
        <v>5906</v>
      </c>
      <c r="K1667" s="2" t="s">
        <v>23149</v>
      </c>
      <c r="L1667" s="10" t="s">
        <v>23150</v>
      </c>
    </row>
    <row r="1668">
      <c r="A1668" s="2" t="s">
        <v>4469</v>
      </c>
      <c r="B1668" s="2" t="s">
        <v>23151</v>
      </c>
      <c r="C1668" s="2">
        <v>1.735137555E9</v>
      </c>
      <c r="D1668" s="2" t="s">
        <v>23152</v>
      </c>
      <c r="E1668" s="2">
        <v>86303.0</v>
      </c>
      <c r="F1668" s="2">
        <v>442.0</v>
      </c>
      <c r="G1668" s="2">
        <v>6984.0</v>
      </c>
      <c r="H1668" s="2" t="s">
        <v>5905</v>
      </c>
      <c r="I1668" s="2" t="s">
        <v>5906</v>
      </c>
      <c r="J1668" s="2" t="s">
        <v>6023</v>
      </c>
      <c r="K1668" s="2" t="s">
        <v>23153</v>
      </c>
      <c r="L1668" s="10" t="s">
        <v>23154</v>
      </c>
    </row>
    <row r="1669">
      <c r="A1669" s="2" t="s">
        <v>4469</v>
      </c>
      <c r="B1669" s="2" t="s">
        <v>23155</v>
      </c>
      <c r="C1669" s="2">
        <v>3.59757767E8</v>
      </c>
      <c r="D1669" s="2" t="s">
        <v>23156</v>
      </c>
      <c r="E1669" s="2">
        <v>57605.0</v>
      </c>
      <c r="F1669" s="2">
        <v>162.0</v>
      </c>
      <c r="G1669" s="2">
        <v>394.0</v>
      </c>
      <c r="H1669" s="2" t="s">
        <v>5905</v>
      </c>
      <c r="I1669" s="2" t="s">
        <v>5906</v>
      </c>
      <c r="J1669" s="2" t="s">
        <v>6166</v>
      </c>
      <c r="K1669" s="2" t="s">
        <v>23157</v>
      </c>
      <c r="L1669" s="10" t="s">
        <v>23158</v>
      </c>
    </row>
    <row r="1670">
      <c r="A1670" s="2" t="s">
        <v>4469</v>
      </c>
      <c r="B1670" s="2" t="s">
        <v>23159</v>
      </c>
      <c r="C1670" s="2">
        <v>2.57987285E8</v>
      </c>
      <c r="D1670" s="2" t="s">
        <v>23160</v>
      </c>
      <c r="E1670" s="2">
        <v>140568.0</v>
      </c>
      <c r="F1670" s="2">
        <v>884.0</v>
      </c>
      <c r="G1670" s="2">
        <v>1434.0</v>
      </c>
      <c r="H1670" s="2" t="s">
        <v>5906</v>
      </c>
      <c r="I1670" s="2" t="s">
        <v>5905</v>
      </c>
      <c r="J1670" s="2" t="s">
        <v>6414</v>
      </c>
      <c r="K1670" s="2" t="s">
        <v>23161</v>
      </c>
      <c r="L1670" s="10" t="s">
        <v>23162</v>
      </c>
    </row>
    <row r="1671">
      <c r="A1671" s="2" t="s">
        <v>4469</v>
      </c>
      <c r="B1671" s="2" t="s">
        <v>23163</v>
      </c>
      <c r="C1671" s="2">
        <v>1.142967318E9</v>
      </c>
      <c r="D1671" s="2" t="s">
        <v>23164</v>
      </c>
      <c r="E1671" s="2">
        <v>38582.0</v>
      </c>
      <c r="F1671" s="2">
        <v>228.0</v>
      </c>
      <c r="G1671" s="2">
        <v>1206.0</v>
      </c>
      <c r="H1671" s="2" t="s">
        <v>5905</v>
      </c>
      <c r="I1671" s="2" t="s">
        <v>5905</v>
      </c>
      <c r="J1671" s="2" t="s">
        <v>5959</v>
      </c>
      <c r="K1671" s="2" t="s">
        <v>23165</v>
      </c>
    </row>
    <row r="1672">
      <c r="A1672" s="2" t="s">
        <v>4469</v>
      </c>
      <c r="B1672" s="2" t="s">
        <v>23166</v>
      </c>
      <c r="C1672" s="2">
        <v>1.85721739E8</v>
      </c>
      <c r="D1672" s="2" t="s">
        <v>23167</v>
      </c>
      <c r="E1672" s="2">
        <v>740646.0</v>
      </c>
      <c r="F1672" s="2">
        <v>1409.0</v>
      </c>
      <c r="G1672" s="2">
        <v>3736.0</v>
      </c>
      <c r="H1672" s="2" t="s">
        <v>5906</v>
      </c>
      <c r="I1672" s="2" t="s">
        <v>5905</v>
      </c>
      <c r="J1672" s="2" t="s">
        <v>5928</v>
      </c>
      <c r="K1672" s="2" t="s">
        <v>23168</v>
      </c>
      <c r="L1672" s="10" t="s">
        <v>23169</v>
      </c>
    </row>
    <row r="1673">
      <c r="A1673" s="2" t="s">
        <v>2191</v>
      </c>
      <c r="B1673" s="2" t="s">
        <v>23170</v>
      </c>
      <c r="C1673" s="2">
        <v>2.085115314E9</v>
      </c>
      <c r="D1673" s="2" t="s">
        <v>23171</v>
      </c>
      <c r="E1673" s="2">
        <v>221906.0</v>
      </c>
      <c r="F1673" s="2">
        <v>1038.0</v>
      </c>
      <c r="G1673" s="2">
        <v>2094.0</v>
      </c>
      <c r="H1673" s="2" t="s">
        <v>5906</v>
      </c>
      <c r="I1673" s="2" t="s">
        <v>5905</v>
      </c>
      <c r="J1673" s="2" t="s">
        <v>5959</v>
      </c>
      <c r="K1673" s="2" t="s">
        <v>23172</v>
      </c>
      <c r="L1673" s="10" t="s">
        <v>23173</v>
      </c>
    </row>
    <row r="1674">
      <c r="A1674" s="2" t="s">
        <v>2191</v>
      </c>
      <c r="B1674" s="2" t="s">
        <v>23174</v>
      </c>
      <c r="C1674" s="2">
        <v>2.56092281E8</v>
      </c>
      <c r="D1674" s="2" t="s">
        <v>23175</v>
      </c>
      <c r="E1674" s="2">
        <v>20662.0</v>
      </c>
      <c r="F1674" s="2">
        <v>1972.0</v>
      </c>
      <c r="G1674" s="2">
        <v>364.0</v>
      </c>
      <c r="H1674" s="2" t="s">
        <v>5905</v>
      </c>
      <c r="I1674" s="2" t="s">
        <v>5905</v>
      </c>
      <c r="J1674" s="2" t="s">
        <v>19622</v>
      </c>
      <c r="K1674" s="2" t="s">
        <v>23176</v>
      </c>
      <c r="L1674" s="10" t="s">
        <v>23177</v>
      </c>
    </row>
    <row r="1675">
      <c r="A1675" s="2" t="s">
        <v>2191</v>
      </c>
      <c r="B1675" s="2" t="s">
        <v>23178</v>
      </c>
      <c r="C1675" s="2">
        <v>6118814.0</v>
      </c>
      <c r="D1675" s="2" t="s">
        <v>23179</v>
      </c>
      <c r="E1675" s="2">
        <v>1571989.0</v>
      </c>
      <c r="F1675" s="2">
        <v>2115.0</v>
      </c>
      <c r="G1675" s="2">
        <v>2690.0</v>
      </c>
      <c r="H1675" s="2" t="s">
        <v>5906</v>
      </c>
      <c r="I1675" s="2" t="s">
        <v>5905</v>
      </c>
      <c r="J1675" s="2" t="s">
        <v>5959</v>
      </c>
      <c r="K1675" s="2" t="s">
        <v>23180</v>
      </c>
    </row>
    <row r="1676">
      <c r="A1676" s="2" t="s">
        <v>2191</v>
      </c>
      <c r="B1676" s="2" t="s">
        <v>23181</v>
      </c>
      <c r="C1676" s="2">
        <v>5.6557021082E10</v>
      </c>
      <c r="D1676" s="2" t="s">
        <v>23182</v>
      </c>
      <c r="E1676" s="2">
        <v>15182.0</v>
      </c>
      <c r="F1676" s="2">
        <v>307.0</v>
      </c>
      <c r="G1676" s="2">
        <v>438.0</v>
      </c>
      <c r="H1676" s="2" t="s">
        <v>5905</v>
      </c>
      <c r="I1676" s="2" t="s">
        <v>5906</v>
      </c>
      <c r="J1676" s="2" t="s">
        <v>12667</v>
      </c>
      <c r="K1676" s="2" t="s">
        <v>23183</v>
      </c>
      <c r="L1676" s="10" t="s">
        <v>23184</v>
      </c>
    </row>
    <row r="1677">
      <c r="A1677" s="2" t="s">
        <v>2191</v>
      </c>
      <c r="B1677" s="2" t="s">
        <v>23185</v>
      </c>
      <c r="C1677" s="2">
        <v>4.8622792785E10</v>
      </c>
      <c r="D1677" s="2" t="s">
        <v>23186</v>
      </c>
      <c r="E1677" s="2">
        <v>376747.0</v>
      </c>
      <c r="F1677" s="2">
        <v>959.0</v>
      </c>
      <c r="G1677" s="2">
        <v>754.0</v>
      </c>
      <c r="H1677" s="2" t="s">
        <v>5906</v>
      </c>
      <c r="I1677" s="2" t="s">
        <v>5905</v>
      </c>
      <c r="J1677" s="2" t="s">
        <v>5959</v>
      </c>
      <c r="K1677" s="2" t="s">
        <v>23187</v>
      </c>
      <c r="L1677" s="10" t="s">
        <v>23188</v>
      </c>
    </row>
    <row r="1678">
      <c r="A1678" s="2" t="s">
        <v>2191</v>
      </c>
      <c r="B1678" s="2" t="s">
        <v>23189</v>
      </c>
      <c r="C1678" s="2">
        <v>6.6778157854E10</v>
      </c>
      <c r="D1678" s="2" t="s">
        <v>23190</v>
      </c>
      <c r="E1678" s="2">
        <v>13005.0</v>
      </c>
      <c r="F1678" s="2">
        <v>204.0</v>
      </c>
      <c r="G1678" s="2">
        <v>29.0</v>
      </c>
      <c r="H1678" s="2" t="s">
        <v>5905</v>
      </c>
      <c r="I1678" s="2" t="s">
        <v>5905</v>
      </c>
      <c r="J1678" s="2" t="s">
        <v>5959</v>
      </c>
      <c r="K1678" s="2" t="s">
        <v>23191</v>
      </c>
      <c r="L1678" s="10" t="s">
        <v>23192</v>
      </c>
    </row>
    <row r="1679">
      <c r="A1679" s="2" t="s">
        <v>2191</v>
      </c>
      <c r="B1679" s="2" t="s">
        <v>23193</v>
      </c>
      <c r="C1679" s="2">
        <v>6.5815879818E10</v>
      </c>
      <c r="D1679" s="2" t="s">
        <v>23194</v>
      </c>
      <c r="E1679" s="2">
        <v>148950.0</v>
      </c>
      <c r="F1679" s="2">
        <v>343.0</v>
      </c>
      <c r="G1679" s="2">
        <v>262.0</v>
      </c>
      <c r="H1679" s="2" t="s">
        <v>5905</v>
      </c>
      <c r="I1679" s="2" t="s">
        <v>5905</v>
      </c>
      <c r="J1679" s="2" t="s">
        <v>16250</v>
      </c>
      <c r="K1679" s="2" t="s">
        <v>23195</v>
      </c>
      <c r="L1679" s="10" t="s">
        <v>23196</v>
      </c>
    </row>
    <row r="1680">
      <c r="A1680" s="2" t="s">
        <v>2191</v>
      </c>
      <c r="B1680" s="2" t="s">
        <v>23197</v>
      </c>
      <c r="C1680" s="2">
        <v>4.4726818308E10</v>
      </c>
      <c r="D1680" s="2" t="s">
        <v>23198</v>
      </c>
      <c r="E1680" s="2">
        <v>291964.0</v>
      </c>
      <c r="F1680" s="2">
        <v>348.0</v>
      </c>
      <c r="G1680" s="2">
        <v>1177.0</v>
      </c>
      <c r="H1680" s="2" t="s">
        <v>5905</v>
      </c>
      <c r="I1680" s="2" t="s">
        <v>5905</v>
      </c>
      <c r="J1680" s="2" t="s">
        <v>5959</v>
      </c>
      <c r="K1680" s="2" t="s">
        <v>23199</v>
      </c>
      <c r="L1680" s="10" t="s">
        <v>23200</v>
      </c>
    </row>
    <row r="1681">
      <c r="A1681" s="2" t="s">
        <v>2191</v>
      </c>
      <c r="B1681" s="2" t="s">
        <v>23201</v>
      </c>
      <c r="C1681" s="2">
        <v>5.7647810356E10</v>
      </c>
      <c r="D1681" s="2" t="s">
        <v>23202</v>
      </c>
      <c r="E1681" s="2">
        <v>30116.0</v>
      </c>
      <c r="F1681" s="2">
        <v>1385.0</v>
      </c>
      <c r="G1681" s="2">
        <v>1395.0</v>
      </c>
      <c r="H1681" s="2" t="s">
        <v>5906</v>
      </c>
      <c r="I1681" s="2" t="s">
        <v>5905</v>
      </c>
      <c r="J1681" s="2" t="s">
        <v>6393</v>
      </c>
      <c r="K1681" s="2" t="s">
        <v>23203</v>
      </c>
      <c r="L1681" s="10" t="s">
        <v>23204</v>
      </c>
    </row>
    <row r="1682">
      <c r="A1682" s="2" t="s">
        <v>2191</v>
      </c>
      <c r="B1682" s="2" t="s">
        <v>23205</v>
      </c>
      <c r="C1682" s="2">
        <v>1.731445455E9</v>
      </c>
      <c r="D1682" s="2" t="s">
        <v>23206</v>
      </c>
      <c r="E1682" s="2">
        <v>19052.0</v>
      </c>
      <c r="F1682" s="2">
        <v>3806.0</v>
      </c>
      <c r="G1682" s="2">
        <v>555.0</v>
      </c>
      <c r="H1682" s="2" t="s">
        <v>5905</v>
      </c>
      <c r="I1682" s="2" t="s">
        <v>5906</v>
      </c>
      <c r="K1682" s="2" t="s">
        <v>23207</v>
      </c>
      <c r="L1682" s="10" t="s">
        <v>23208</v>
      </c>
    </row>
    <row r="1683">
      <c r="A1683" s="2" t="s">
        <v>2191</v>
      </c>
      <c r="B1683" s="2" t="s">
        <v>23209</v>
      </c>
      <c r="C1683" s="2">
        <v>1.4585705E7</v>
      </c>
      <c r="D1683" s="2" t="s">
        <v>23210</v>
      </c>
      <c r="E1683" s="2">
        <v>11119.0</v>
      </c>
      <c r="F1683" s="2">
        <v>2907.0</v>
      </c>
      <c r="G1683" s="2">
        <v>13752.0</v>
      </c>
      <c r="H1683" s="2" t="s">
        <v>5906</v>
      </c>
      <c r="I1683" s="2" t="s">
        <v>5905</v>
      </c>
      <c r="J1683" s="2" t="s">
        <v>5959</v>
      </c>
      <c r="K1683" s="2" t="s">
        <v>23211</v>
      </c>
      <c r="L1683" s="10" t="s">
        <v>23212</v>
      </c>
    </row>
    <row r="1684">
      <c r="A1684" s="2" t="s">
        <v>2191</v>
      </c>
      <c r="B1684" s="2" t="s">
        <v>23213</v>
      </c>
      <c r="C1684" s="2">
        <v>4.6684712393E10</v>
      </c>
      <c r="D1684" s="2" t="s">
        <v>23214</v>
      </c>
      <c r="E1684" s="2">
        <v>249388.0</v>
      </c>
      <c r="F1684" s="2">
        <v>542.0</v>
      </c>
      <c r="G1684" s="2">
        <v>1937.0</v>
      </c>
      <c r="H1684" s="2" t="s">
        <v>5906</v>
      </c>
      <c r="I1684" s="2" t="s">
        <v>5906</v>
      </c>
      <c r="J1684" s="2" t="s">
        <v>5561</v>
      </c>
      <c r="K1684" s="2" t="s">
        <v>23215</v>
      </c>
      <c r="L1684" s="10" t="s">
        <v>23216</v>
      </c>
    </row>
    <row r="1685">
      <c r="A1685" s="2" t="s">
        <v>4732</v>
      </c>
      <c r="B1685" s="2" t="s">
        <v>23217</v>
      </c>
      <c r="C1685" s="2">
        <v>5.768532666E10</v>
      </c>
      <c r="D1685" s="2" t="s">
        <v>23218</v>
      </c>
      <c r="E1685" s="2">
        <v>169674.0</v>
      </c>
      <c r="F1685" s="2">
        <v>2873.0</v>
      </c>
      <c r="G1685" s="2">
        <v>617.0</v>
      </c>
      <c r="H1685" s="2" t="s">
        <v>5906</v>
      </c>
      <c r="I1685" s="2" t="s">
        <v>5905</v>
      </c>
      <c r="J1685" s="2" t="s">
        <v>5959</v>
      </c>
      <c r="K1685" s="2" t="s">
        <v>23219</v>
      </c>
      <c r="L1685" s="10" t="s">
        <v>23220</v>
      </c>
    </row>
    <row r="1686">
      <c r="A1686" s="2" t="s">
        <v>4732</v>
      </c>
      <c r="B1686" s="2" t="s">
        <v>23221</v>
      </c>
      <c r="C1686" s="2">
        <v>1.5951298E7</v>
      </c>
      <c r="D1686" s="2" t="s">
        <v>23222</v>
      </c>
      <c r="E1686" s="2">
        <v>275442.0</v>
      </c>
      <c r="F1686" s="2">
        <v>482.0</v>
      </c>
      <c r="G1686" s="2">
        <v>4935.0</v>
      </c>
      <c r="H1686" s="2" t="s">
        <v>5905</v>
      </c>
      <c r="I1686" s="2" t="s">
        <v>5905</v>
      </c>
      <c r="J1686" s="2" t="s">
        <v>5959</v>
      </c>
      <c r="K1686" s="2" t="s">
        <v>23223</v>
      </c>
      <c r="L1686" s="10" t="s">
        <v>23224</v>
      </c>
    </row>
    <row r="1687">
      <c r="A1687" s="2" t="s">
        <v>4732</v>
      </c>
      <c r="B1687" s="2" t="s">
        <v>23225</v>
      </c>
      <c r="C1687" s="2">
        <v>5.5829824085E10</v>
      </c>
      <c r="D1687" s="2" t="s">
        <v>23226</v>
      </c>
      <c r="E1687" s="2">
        <v>195972.0</v>
      </c>
      <c r="F1687" s="2">
        <v>350.0</v>
      </c>
      <c r="G1687" s="2">
        <v>412.0</v>
      </c>
      <c r="H1687" s="2" t="s">
        <v>5906</v>
      </c>
      <c r="I1687" s="2" t="s">
        <v>5905</v>
      </c>
      <c r="J1687" s="2" t="s">
        <v>6393</v>
      </c>
      <c r="K1687" s="2" t="s">
        <v>23227</v>
      </c>
      <c r="L1687" s="10" t="s">
        <v>23228</v>
      </c>
    </row>
    <row r="1688">
      <c r="A1688" s="2" t="s">
        <v>4732</v>
      </c>
      <c r="B1688" s="2" t="s">
        <v>23229</v>
      </c>
      <c r="C1688" s="2">
        <v>2.9486064E7</v>
      </c>
      <c r="D1688" s="2" t="s">
        <v>23230</v>
      </c>
      <c r="E1688" s="2">
        <v>341215.0</v>
      </c>
      <c r="F1688" s="2">
        <v>4415.0</v>
      </c>
      <c r="G1688" s="2">
        <v>2920.0</v>
      </c>
      <c r="H1688" s="2" t="s">
        <v>5906</v>
      </c>
      <c r="I1688" s="2" t="s">
        <v>5905</v>
      </c>
      <c r="J1688" s="2" t="s">
        <v>5959</v>
      </c>
      <c r="K1688" s="2" t="s">
        <v>23231</v>
      </c>
    </row>
    <row r="1689">
      <c r="A1689" s="2" t="s">
        <v>4640</v>
      </c>
      <c r="B1689" s="2" t="s">
        <v>23232</v>
      </c>
      <c r="C1689" s="2">
        <v>3.4972115693E10</v>
      </c>
      <c r="D1689" s="2" t="s">
        <v>23233</v>
      </c>
      <c r="E1689" s="2">
        <v>10388.0</v>
      </c>
      <c r="F1689" s="2">
        <v>201.0</v>
      </c>
      <c r="G1689" s="2">
        <v>128.0</v>
      </c>
      <c r="H1689" s="2" t="s">
        <v>5905</v>
      </c>
      <c r="I1689" s="2" t="s">
        <v>5905</v>
      </c>
      <c r="J1689" s="2" t="s">
        <v>12774</v>
      </c>
      <c r="K1689" s="2" t="s">
        <v>23234</v>
      </c>
      <c r="L1689" s="10" t="s">
        <v>23235</v>
      </c>
    </row>
    <row r="1690">
      <c r="A1690" s="2" t="s">
        <v>4640</v>
      </c>
      <c r="B1690" s="2" t="s">
        <v>23236</v>
      </c>
      <c r="C1690" s="2">
        <v>3.03058336E9</v>
      </c>
      <c r="D1690" s="2" t="s">
        <v>23237</v>
      </c>
      <c r="E1690" s="2">
        <v>16906.0</v>
      </c>
      <c r="F1690" s="2">
        <v>553.0</v>
      </c>
      <c r="G1690" s="2">
        <v>2094.0</v>
      </c>
      <c r="H1690" s="2" t="s">
        <v>5905</v>
      </c>
      <c r="I1690" s="2" t="s">
        <v>5906</v>
      </c>
      <c r="K1690" s="2" t="s">
        <v>23238</v>
      </c>
      <c r="L1690" s="10" t="s">
        <v>23239</v>
      </c>
    </row>
    <row r="1691">
      <c r="A1691" s="2" t="s">
        <v>4640</v>
      </c>
      <c r="B1691" s="2" t="s">
        <v>23240</v>
      </c>
      <c r="C1691" s="2">
        <v>2.5737302837E10</v>
      </c>
      <c r="D1691" s="2" t="s">
        <v>23241</v>
      </c>
      <c r="E1691" s="2">
        <v>21436.0</v>
      </c>
      <c r="F1691" s="2">
        <v>3005.0</v>
      </c>
      <c r="G1691" s="2">
        <v>1551.0</v>
      </c>
      <c r="H1691" s="2" t="s">
        <v>5905</v>
      </c>
      <c r="I1691" s="2" t="s">
        <v>5906</v>
      </c>
      <c r="J1691" s="2" t="s">
        <v>23242</v>
      </c>
      <c r="K1691" s="2" t="s">
        <v>23243</v>
      </c>
      <c r="L1691" s="10" t="s">
        <v>23244</v>
      </c>
    </row>
    <row r="1692">
      <c r="A1692" s="2" t="s">
        <v>4569</v>
      </c>
      <c r="B1692" s="2" t="s">
        <v>23245</v>
      </c>
      <c r="C1692" s="2">
        <v>1.79887618E8</v>
      </c>
      <c r="D1692" s="2" t="s">
        <v>23246</v>
      </c>
      <c r="E1692" s="2">
        <v>1.4046112E7</v>
      </c>
      <c r="F1692" s="2">
        <v>3.0</v>
      </c>
      <c r="G1692" s="2">
        <v>48264.0</v>
      </c>
      <c r="H1692" s="2" t="s">
        <v>5905</v>
      </c>
      <c r="I1692" s="2" t="s">
        <v>5905</v>
      </c>
      <c r="J1692" s="2" t="s">
        <v>5911</v>
      </c>
      <c r="K1692" s="2" t="s">
        <v>23247</v>
      </c>
    </row>
    <row r="1693">
      <c r="A1693" s="2" t="s">
        <v>4569</v>
      </c>
      <c r="B1693" s="2" t="s">
        <v>23248</v>
      </c>
      <c r="C1693" s="2">
        <v>3.995404298E9</v>
      </c>
      <c r="D1693" s="2" t="s">
        <v>23249</v>
      </c>
      <c r="E1693" s="2">
        <v>2336786.0</v>
      </c>
      <c r="F1693" s="2">
        <v>33.0</v>
      </c>
      <c r="G1693" s="2">
        <v>4982.0</v>
      </c>
      <c r="H1693" s="2" t="s">
        <v>5905</v>
      </c>
      <c r="I1693" s="2" t="s">
        <v>5906</v>
      </c>
      <c r="J1693" s="2" t="s">
        <v>5968</v>
      </c>
      <c r="K1693" s="2" t="s">
        <v>23250</v>
      </c>
    </row>
    <row r="1694">
      <c r="A1694" s="2" t="s">
        <v>4569</v>
      </c>
      <c r="B1694" s="2" t="s">
        <v>23251</v>
      </c>
      <c r="C1694" s="2">
        <v>5.8657573453E10</v>
      </c>
      <c r="D1694" s="2" t="s">
        <v>23252</v>
      </c>
      <c r="E1694" s="2">
        <v>34342.0</v>
      </c>
      <c r="F1694" s="2">
        <v>492.0</v>
      </c>
      <c r="G1694" s="2">
        <v>509.0</v>
      </c>
      <c r="H1694" s="2" t="s">
        <v>5905</v>
      </c>
      <c r="I1694" s="2" t="s">
        <v>5905</v>
      </c>
      <c r="J1694" s="2" t="s">
        <v>10543</v>
      </c>
      <c r="K1694" s="2" t="s">
        <v>23253</v>
      </c>
    </row>
    <row r="1695">
      <c r="A1695" s="2" t="s">
        <v>4569</v>
      </c>
      <c r="B1695" s="2" t="s">
        <v>15905</v>
      </c>
      <c r="C1695" s="2">
        <v>3.6214889E7</v>
      </c>
      <c r="D1695" s="2" t="s">
        <v>15906</v>
      </c>
      <c r="E1695" s="2">
        <v>1271675.0</v>
      </c>
      <c r="F1695" s="2">
        <v>99.0</v>
      </c>
      <c r="G1695" s="2">
        <v>11878.0</v>
      </c>
      <c r="H1695" s="2" t="s">
        <v>5905</v>
      </c>
      <c r="I1695" s="2" t="s">
        <v>5906</v>
      </c>
      <c r="K1695" s="2" t="s">
        <v>15907</v>
      </c>
      <c r="L1695" s="10" t="s">
        <v>15908</v>
      </c>
    </row>
    <row r="1696">
      <c r="A1696" s="2" t="s">
        <v>4569</v>
      </c>
      <c r="B1696" s="2" t="s">
        <v>23254</v>
      </c>
      <c r="C1696" s="2">
        <v>5.4768303632E10</v>
      </c>
      <c r="D1696" s="2" t="s">
        <v>23255</v>
      </c>
      <c r="E1696" s="2">
        <v>1249596.0</v>
      </c>
      <c r="F1696" s="2">
        <v>9.0</v>
      </c>
      <c r="G1696" s="2">
        <v>1417.0</v>
      </c>
      <c r="H1696" s="2" t="s">
        <v>5905</v>
      </c>
      <c r="I1696" s="2" t="s">
        <v>5905</v>
      </c>
      <c r="J1696" s="2" t="s">
        <v>5561</v>
      </c>
      <c r="K1696" s="2" t="s">
        <v>23256</v>
      </c>
    </row>
    <row r="1697">
      <c r="A1697" s="2" t="s">
        <v>4569</v>
      </c>
      <c r="B1697" s="2" t="s">
        <v>23257</v>
      </c>
      <c r="C1697" s="2">
        <v>5.464938339E9</v>
      </c>
      <c r="D1697" s="2" t="s">
        <v>23258</v>
      </c>
      <c r="E1697" s="2">
        <v>2259463.0</v>
      </c>
      <c r="F1697" s="2">
        <v>78.0</v>
      </c>
      <c r="G1697" s="2">
        <v>9184.0</v>
      </c>
      <c r="H1697" s="2" t="s">
        <v>5905</v>
      </c>
      <c r="I1697" s="2" t="s">
        <v>5905</v>
      </c>
      <c r="J1697" s="2" t="s">
        <v>5959</v>
      </c>
      <c r="K1697" s="2" t="s">
        <v>23259</v>
      </c>
    </row>
    <row r="1698">
      <c r="A1698" s="2" t="s">
        <v>4569</v>
      </c>
      <c r="B1698" s="2" t="s">
        <v>23260</v>
      </c>
      <c r="C1698" s="2">
        <v>6.8974528891E10</v>
      </c>
      <c r="D1698" s="2" t="s">
        <v>23261</v>
      </c>
      <c r="E1698" s="2">
        <v>508527.0</v>
      </c>
      <c r="F1698" s="2">
        <v>6.0</v>
      </c>
      <c r="G1698" s="2">
        <v>273.0</v>
      </c>
      <c r="H1698" s="2" t="s">
        <v>5906</v>
      </c>
      <c r="I1698" s="2" t="s">
        <v>5905</v>
      </c>
      <c r="J1698" s="2" t="s">
        <v>5959</v>
      </c>
      <c r="K1698" s="2" t="s">
        <v>23262</v>
      </c>
      <c r="L1698" s="10" t="s">
        <v>23263</v>
      </c>
    </row>
    <row r="1699">
      <c r="A1699" s="2" t="s">
        <v>4569</v>
      </c>
      <c r="B1699" s="2" t="s">
        <v>23264</v>
      </c>
      <c r="C1699" s="2">
        <v>8.52883747E8</v>
      </c>
      <c r="D1699" s="2" t="s">
        <v>23265</v>
      </c>
      <c r="E1699" s="2">
        <v>1327385.0</v>
      </c>
      <c r="F1699" s="2">
        <v>819.0</v>
      </c>
      <c r="G1699" s="2">
        <v>5709.0</v>
      </c>
      <c r="H1699" s="2" t="s">
        <v>5905</v>
      </c>
      <c r="I1699" s="2" t="s">
        <v>5905</v>
      </c>
      <c r="J1699" s="2" t="s">
        <v>5928</v>
      </c>
      <c r="K1699" s="2" t="s">
        <v>23266</v>
      </c>
      <c r="L1699" s="10" t="s">
        <v>23267</v>
      </c>
    </row>
    <row r="1700">
      <c r="A1700" s="2" t="s">
        <v>4569</v>
      </c>
      <c r="B1700" s="2" t="s">
        <v>23268</v>
      </c>
      <c r="C1700" s="2">
        <v>4.90564502E10</v>
      </c>
      <c r="D1700" s="2" t="s">
        <v>23269</v>
      </c>
      <c r="E1700" s="2">
        <v>1418079.0</v>
      </c>
      <c r="F1700" s="2">
        <v>1.0</v>
      </c>
      <c r="G1700" s="2">
        <v>609.0</v>
      </c>
      <c r="H1700" s="2" t="s">
        <v>5906</v>
      </c>
      <c r="I1700" s="2" t="s">
        <v>5906</v>
      </c>
      <c r="J1700" s="2" t="s">
        <v>5561</v>
      </c>
      <c r="K1700" s="2" t="s">
        <v>23270</v>
      </c>
      <c r="L1700" s="10" t="s">
        <v>23271</v>
      </c>
    </row>
    <row r="1701">
      <c r="A1701" s="2" t="s">
        <v>4569</v>
      </c>
      <c r="B1701" s="2" t="s">
        <v>23272</v>
      </c>
      <c r="C1701" s="2">
        <v>6.2013962228E10</v>
      </c>
      <c r="D1701" s="2" t="s">
        <v>23273</v>
      </c>
      <c r="E1701" s="2">
        <v>104650.0</v>
      </c>
      <c r="F1701" s="2">
        <v>22.0</v>
      </c>
      <c r="G1701" s="2">
        <v>651.0</v>
      </c>
      <c r="H1701" s="2" t="s">
        <v>5905</v>
      </c>
      <c r="I1701" s="2" t="s">
        <v>5905</v>
      </c>
      <c r="J1701" s="2" t="s">
        <v>5968</v>
      </c>
      <c r="K1701" s="2" t="s">
        <v>23274</v>
      </c>
    </row>
    <row r="1702">
      <c r="A1702" s="2" t="s">
        <v>4569</v>
      </c>
      <c r="B1702" s="2" t="s">
        <v>23275</v>
      </c>
      <c r="C1702" s="2">
        <v>5.256597846E10</v>
      </c>
      <c r="D1702" s="2" t="s">
        <v>23276</v>
      </c>
      <c r="E1702" s="2">
        <v>3339033.0</v>
      </c>
      <c r="F1702" s="2">
        <v>0.0</v>
      </c>
      <c r="G1702" s="2">
        <v>4167.0</v>
      </c>
      <c r="H1702" s="2" t="s">
        <v>5905</v>
      </c>
      <c r="I1702" s="2" t="s">
        <v>5905</v>
      </c>
      <c r="J1702" s="2" t="s">
        <v>5928</v>
      </c>
      <c r="K1702" s="2" t="s">
        <v>23277</v>
      </c>
    </row>
    <row r="1703">
      <c r="A1703" s="2" t="s">
        <v>4569</v>
      </c>
      <c r="B1703" s="2" t="s">
        <v>23278</v>
      </c>
      <c r="C1703" s="2">
        <v>1.335017175E9</v>
      </c>
      <c r="D1703" s="2" t="s">
        <v>23279</v>
      </c>
      <c r="E1703" s="2">
        <v>1433300.0</v>
      </c>
      <c r="F1703" s="2">
        <v>41.0</v>
      </c>
      <c r="G1703" s="2">
        <v>5118.0</v>
      </c>
      <c r="H1703" s="2" t="s">
        <v>5906</v>
      </c>
      <c r="I1703" s="2" t="s">
        <v>5906</v>
      </c>
      <c r="J1703" s="2" t="s">
        <v>8843</v>
      </c>
      <c r="K1703" s="2" t="s">
        <v>23280</v>
      </c>
      <c r="L1703" s="10" t="s">
        <v>23281</v>
      </c>
    </row>
    <row r="1704">
      <c r="A1704" s="2" t="s">
        <v>4569</v>
      </c>
      <c r="B1704" s="2" t="s">
        <v>23282</v>
      </c>
      <c r="C1704" s="2">
        <v>1.561676549E9</v>
      </c>
      <c r="D1704" s="2" t="s">
        <v>23283</v>
      </c>
      <c r="E1704" s="2">
        <v>2524469.0</v>
      </c>
      <c r="F1704" s="2">
        <v>368.0</v>
      </c>
      <c r="G1704" s="2">
        <v>8889.0</v>
      </c>
      <c r="H1704" s="2" t="s">
        <v>5906</v>
      </c>
      <c r="I1704" s="2" t="s">
        <v>5906</v>
      </c>
      <c r="J1704" s="2" t="s">
        <v>5391</v>
      </c>
      <c r="K1704" s="2" t="s">
        <v>23284</v>
      </c>
      <c r="L1704" s="10" t="s">
        <v>23285</v>
      </c>
    </row>
    <row r="1705">
      <c r="A1705" s="2" t="s">
        <v>4569</v>
      </c>
      <c r="B1705" s="2" t="s">
        <v>23286</v>
      </c>
      <c r="C1705" s="2">
        <v>5.1433152E10</v>
      </c>
      <c r="D1705" s="2" t="s">
        <v>23287</v>
      </c>
      <c r="E1705" s="2">
        <v>1376513.0</v>
      </c>
      <c r="F1705" s="2">
        <v>3.0</v>
      </c>
      <c r="G1705" s="2">
        <v>295.0</v>
      </c>
      <c r="H1705" s="2" t="s">
        <v>5905</v>
      </c>
      <c r="I1705" s="2" t="s">
        <v>5905</v>
      </c>
      <c r="J1705" s="2" t="s">
        <v>12993</v>
      </c>
      <c r="K1705" s="2" t="s">
        <v>23288</v>
      </c>
      <c r="L1705" s="10" t="s">
        <v>23289</v>
      </c>
    </row>
    <row r="1706">
      <c r="A1706" s="2" t="s">
        <v>4569</v>
      </c>
      <c r="B1706" s="2" t="s">
        <v>23290</v>
      </c>
      <c r="C1706" s="2">
        <v>5.9166130851E10</v>
      </c>
      <c r="D1706" s="2" t="s">
        <v>23291</v>
      </c>
      <c r="E1706" s="2">
        <v>1612630.0</v>
      </c>
      <c r="F1706" s="2">
        <v>41.0</v>
      </c>
      <c r="G1706" s="2">
        <v>2549.0</v>
      </c>
      <c r="H1706" s="2" t="s">
        <v>5905</v>
      </c>
      <c r="I1706" s="2" t="s">
        <v>5905</v>
      </c>
      <c r="J1706" s="2" t="s">
        <v>5561</v>
      </c>
      <c r="K1706" s="2" t="s">
        <v>23292</v>
      </c>
    </row>
    <row r="1707">
      <c r="A1707" s="2" t="s">
        <v>4569</v>
      </c>
      <c r="B1707" s="2" t="s">
        <v>23293</v>
      </c>
      <c r="C1707" s="2">
        <v>5.4494934496E10</v>
      </c>
      <c r="D1707" s="2" t="s">
        <v>23294</v>
      </c>
      <c r="E1707" s="2">
        <v>1423039.0</v>
      </c>
      <c r="F1707" s="2">
        <v>10.0</v>
      </c>
      <c r="G1707" s="2">
        <v>3550.0</v>
      </c>
      <c r="H1707" s="2" t="s">
        <v>5906</v>
      </c>
      <c r="I1707" s="2" t="s">
        <v>5905</v>
      </c>
      <c r="J1707" s="2" t="s">
        <v>5391</v>
      </c>
      <c r="K1707" s="2" t="s">
        <v>23295</v>
      </c>
    </row>
    <row r="1708">
      <c r="A1708" s="2" t="s">
        <v>853</v>
      </c>
      <c r="B1708" s="2" t="s">
        <v>23296</v>
      </c>
      <c r="C1708" s="2">
        <v>2.9683554E7</v>
      </c>
      <c r="D1708" s="2" t="s">
        <v>23297</v>
      </c>
      <c r="E1708" s="2">
        <v>42019.0</v>
      </c>
      <c r="F1708" s="2">
        <v>3576.0</v>
      </c>
      <c r="G1708" s="2">
        <v>1501.0</v>
      </c>
      <c r="H1708" s="2" t="s">
        <v>5905</v>
      </c>
      <c r="I1708" s="2" t="s">
        <v>5905</v>
      </c>
      <c r="J1708" s="2" t="s">
        <v>6393</v>
      </c>
      <c r="K1708" s="2" t="s">
        <v>23298</v>
      </c>
      <c r="L1708" s="10" t="s">
        <v>23299</v>
      </c>
    </row>
    <row r="1709">
      <c r="A1709" s="2" t="s">
        <v>853</v>
      </c>
      <c r="B1709" s="2" t="s">
        <v>23300</v>
      </c>
      <c r="C1709" s="2">
        <v>7.4793751514E10</v>
      </c>
      <c r="D1709" s="2" t="s">
        <v>23301</v>
      </c>
      <c r="E1709" s="2">
        <v>14252.0</v>
      </c>
      <c r="F1709" s="2">
        <v>4.0</v>
      </c>
      <c r="G1709" s="2">
        <v>65.0</v>
      </c>
      <c r="H1709" s="2" t="s">
        <v>5905</v>
      </c>
      <c r="I1709" s="2" t="s">
        <v>5905</v>
      </c>
      <c r="J1709" s="2" t="s">
        <v>5968</v>
      </c>
      <c r="K1709" s="2" t="s">
        <v>23302</v>
      </c>
    </row>
    <row r="1710">
      <c r="A1710" s="2" t="s">
        <v>853</v>
      </c>
      <c r="B1710" s="2" t="s">
        <v>23303</v>
      </c>
      <c r="C1710" s="2">
        <v>1.257169034E9</v>
      </c>
      <c r="D1710" s="2" t="s">
        <v>23304</v>
      </c>
      <c r="E1710" s="2">
        <v>36514.0</v>
      </c>
      <c r="F1710" s="2">
        <v>430.0</v>
      </c>
      <c r="G1710" s="2">
        <v>2154.0</v>
      </c>
      <c r="H1710" s="2" t="s">
        <v>5906</v>
      </c>
      <c r="I1710" s="2" t="s">
        <v>5906</v>
      </c>
      <c r="J1710" s="2" t="s">
        <v>6027</v>
      </c>
      <c r="K1710" s="2" t="s">
        <v>23305</v>
      </c>
      <c r="L1710" s="10" t="s">
        <v>23306</v>
      </c>
    </row>
    <row r="1711">
      <c r="A1711" s="2" t="s">
        <v>853</v>
      </c>
      <c r="B1711" s="2" t="s">
        <v>23307</v>
      </c>
      <c r="C1711" s="2">
        <v>2.8423657167E10</v>
      </c>
      <c r="D1711" s="2" t="s">
        <v>23308</v>
      </c>
      <c r="E1711" s="2">
        <v>12507.0</v>
      </c>
      <c r="F1711" s="2">
        <v>884.0</v>
      </c>
      <c r="G1711" s="2">
        <v>212.0</v>
      </c>
      <c r="H1711" s="2" t="s">
        <v>5906</v>
      </c>
      <c r="I1711" s="2" t="s">
        <v>5905</v>
      </c>
      <c r="J1711" s="2" t="s">
        <v>12774</v>
      </c>
      <c r="K1711" s="2" t="s">
        <v>23309</v>
      </c>
      <c r="L1711" s="10" t="s">
        <v>23310</v>
      </c>
    </row>
    <row r="1712">
      <c r="A1712" s="2" t="s">
        <v>853</v>
      </c>
      <c r="B1712" s="2" t="s">
        <v>23311</v>
      </c>
      <c r="C1712" s="2">
        <v>4.71921901E8</v>
      </c>
      <c r="D1712" s="2" t="s">
        <v>23312</v>
      </c>
      <c r="E1712" s="2">
        <v>16788.0</v>
      </c>
      <c r="F1712" s="2">
        <v>1086.0</v>
      </c>
      <c r="G1712" s="2">
        <v>1049.0</v>
      </c>
      <c r="H1712" s="2" t="s">
        <v>5905</v>
      </c>
      <c r="I1712" s="2" t="s">
        <v>5906</v>
      </c>
      <c r="J1712" s="2" t="s">
        <v>8518</v>
      </c>
      <c r="K1712" s="2" t="s">
        <v>23313</v>
      </c>
      <c r="L1712" s="10" t="s">
        <v>23314</v>
      </c>
    </row>
    <row r="1713">
      <c r="A1713" s="2" t="s">
        <v>853</v>
      </c>
      <c r="B1713" s="2" t="s">
        <v>23315</v>
      </c>
      <c r="C1713" s="2">
        <v>5.1232452217E10</v>
      </c>
      <c r="D1713" s="2" t="s">
        <v>23316</v>
      </c>
      <c r="E1713" s="2">
        <v>213385.0</v>
      </c>
      <c r="F1713" s="2">
        <v>2.0</v>
      </c>
      <c r="G1713" s="2">
        <v>475.0</v>
      </c>
      <c r="H1713" s="2" t="s">
        <v>5905</v>
      </c>
      <c r="I1713" s="2" t="s">
        <v>5905</v>
      </c>
      <c r="J1713" s="2" t="s">
        <v>5492</v>
      </c>
      <c r="K1713" s="2" t="s">
        <v>23317</v>
      </c>
      <c r="L1713" s="10" t="s">
        <v>23318</v>
      </c>
    </row>
    <row r="1714">
      <c r="A1714" s="2" t="s">
        <v>853</v>
      </c>
      <c r="B1714" s="2" t="s">
        <v>23319</v>
      </c>
      <c r="C1714" s="2">
        <v>8.6067499E9</v>
      </c>
      <c r="D1714" s="2" t="s">
        <v>23320</v>
      </c>
      <c r="E1714" s="2">
        <v>33722.0</v>
      </c>
      <c r="F1714" s="2">
        <v>4122.0</v>
      </c>
      <c r="G1714" s="2">
        <v>708.0</v>
      </c>
      <c r="H1714" s="2" t="s">
        <v>5905</v>
      </c>
      <c r="I1714" s="2" t="s">
        <v>5906</v>
      </c>
      <c r="J1714" s="2" t="s">
        <v>7431</v>
      </c>
      <c r="K1714" s="2" t="s">
        <v>23321</v>
      </c>
      <c r="L1714" s="10" t="s">
        <v>23322</v>
      </c>
    </row>
    <row r="1715">
      <c r="A1715" s="2" t="s">
        <v>853</v>
      </c>
      <c r="B1715" s="2" t="s">
        <v>23323</v>
      </c>
      <c r="C1715" s="2">
        <v>2.2592665546E10</v>
      </c>
      <c r="D1715" s="2" t="s">
        <v>23324</v>
      </c>
      <c r="E1715" s="2">
        <v>80003.0</v>
      </c>
      <c r="F1715" s="2">
        <v>151.0</v>
      </c>
      <c r="G1715" s="2">
        <v>1118.0</v>
      </c>
      <c r="H1715" s="2" t="s">
        <v>5905</v>
      </c>
      <c r="I1715" s="2" t="s">
        <v>5906</v>
      </c>
      <c r="J1715" s="2" t="s">
        <v>5561</v>
      </c>
      <c r="K1715" s="2" t="s">
        <v>23325</v>
      </c>
    </row>
    <row r="1716">
      <c r="A1716" s="2" t="s">
        <v>853</v>
      </c>
      <c r="B1716" s="2" t="s">
        <v>23326</v>
      </c>
      <c r="C1716" s="2">
        <v>2.9937068E7</v>
      </c>
      <c r="D1716" s="2" t="s">
        <v>23327</v>
      </c>
      <c r="E1716" s="2">
        <v>58991.0</v>
      </c>
      <c r="F1716" s="2">
        <v>552.0</v>
      </c>
      <c r="G1716" s="2">
        <v>4315.0</v>
      </c>
      <c r="H1716" s="2" t="s">
        <v>5905</v>
      </c>
      <c r="I1716" s="2" t="s">
        <v>5906</v>
      </c>
      <c r="J1716" s="2" t="s">
        <v>5993</v>
      </c>
      <c r="K1716" s="2" t="s">
        <v>23328</v>
      </c>
      <c r="L1716" s="10" t="s">
        <v>23329</v>
      </c>
    </row>
    <row r="1717">
      <c r="A1717" s="2" t="s">
        <v>4609</v>
      </c>
      <c r="B1717" s="2" t="s">
        <v>23330</v>
      </c>
      <c r="C1717" s="2">
        <v>7.20039766E8</v>
      </c>
      <c r="D1717" s="2" t="s">
        <v>23331</v>
      </c>
      <c r="E1717" s="2">
        <v>62855.0</v>
      </c>
      <c r="F1717" s="2">
        <v>278.0</v>
      </c>
      <c r="G1717" s="2">
        <v>4242.0</v>
      </c>
      <c r="H1717" s="2" t="s">
        <v>5906</v>
      </c>
      <c r="I1717" s="2" t="s">
        <v>5906</v>
      </c>
      <c r="J1717" s="2" t="s">
        <v>23332</v>
      </c>
      <c r="K1717" s="2" t="s">
        <v>23333</v>
      </c>
      <c r="L1717" s="10" t="s">
        <v>23334</v>
      </c>
    </row>
    <row r="1718">
      <c r="A1718" s="2" t="s">
        <v>4609</v>
      </c>
      <c r="B1718" s="2" t="s">
        <v>23335</v>
      </c>
      <c r="C1718" s="2">
        <v>6.944217704E9</v>
      </c>
      <c r="D1718" s="12" t="s">
        <v>23336</v>
      </c>
      <c r="E1718" s="2">
        <v>10215.0</v>
      </c>
      <c r="F1718" s="2">
        <v>147.0</v>
      </c>
      <c r="G1718" s="2">
        <v>67.0</v>
      </c>
      <c r="H1718" s="2" t="s">
        <v>5905</v>
      </c>
      <c r="I1718" s="2" t="s">
        <v>5906</v>
      </c>
      <c r="K1718" s="12" t="s">
        <v>23337</v>
      </c>
    </row>
    <row r="1719">
      <c r="A1719" s="2" t="s">
        <v>4756</v>
      </c>
      <c r="B1719" s="2" t="s">
        <v>23338</v>
      </c>
      <c r="C1719" s="2">
        <v>6.7389465677E10</v>
      </c>
      <c r="D1719" s="2" t="s">
        <v>23339</v>
      </c>
      <c r="E1719" s="2">
        <v>10963.0</v>
      </c>
      <c r="F1719" s="2">
        <v>0.0</v>
      </c>
      <c r="G1719" s="2">
        <v>583.0</v>
      </c>
      <c r="H1719" s="2" t="s">
        <v>5906</v>
      </c>
      <c r="I1719" s="2" t="s">
        <v>5905</v>
      </c>
      <c r="J1719" s="2" t="s">
        <v>6124</v>
      </c>
      <c r="K1719" s="2" t="s">
        <v>23340</v>
      </c>
    </row>
    <row r="1720">
      <c r="A1720" s="2" t="s">
        <v>4756</v>
      </c>
      <c r="B1720" s="2" t="s">
        <v>23341</v>
      </c>
      <c r="C1720" s="2">
        <v>2.173726041E9</v>
      </c>
      <c r="D1720" s="2" t="s">
        <v>23342</v>
      </c>
      <c r="E1720" s="2">
        <v>716095.0</v>
      </c>
      <c r="F1720" s="2">
        <v>0.0</v>
      </c>
      <c r="G1720" s="2">
        <v>5972.0</v>
      </c>
      <c r="H1720" s="2" t="s">
        <v>5905</v>
      </c>
      <c r="I1720" s="2" t="s">
        <v>5906</v>
      </c>
      <c r="J1720" s="2" t="s">
        <v>6124</v>
      </c>
      <c r="K1720" s="2" t="s">
        <v>23343</v>
      </c>
    </row>
    <row r="1721">
      <c r="A1721" s="2" t="s">
        <v>4756</v>
      </c>
      <c r="B1721" s="2" t="s">
        <v>23344</v>
      </c>
      <c r="C1721" s="2">
        <v>5.4347178777E10</v>
      </c>
      <c r="D1721" s="2" t="s">
        <v>23345</v>
      </c>
      <c r="E1721" s="2">
        <v>23185.0</v>
      </c>
      <c r="F1721" s="2">
        <v>41.0</v>
      </c>
      <c r="G1721" s="2">
        <v>320.0</v>
      </c>
      <c r="H1721" s="2" t="s">
        <v>5905</v>
      </c>
      <c r="I1721" s="2" t="s">
        <v>5906</v>
      </c>
      <c r="J1721" s="2" t="s">
        <v>6124</v>
      </c>
      <c r="K1721" s="12" t="s">
        <v>23346</v>
      </c>
    </row>
    <row r="1722">
      <c r="A1722" s="2" t="s">
        <v>4667</v>
      </c>
      <c r="B1722" s="2" t="s">
        <v>23347</v>
      </c>
      <c r="C1722" s="2">
        <v>6.8262145379E10</v>
      </c>
      <c r="D1722" s="2" t="s">
        <v>23348</v>
      </c>
      <c r="E1722" s="2">
        <v>115174.0</v>
      </c>
      <c r="F1722" s="2">
        <v>5.0</v>
      </c>
      <c r="G1722" s="2">
        <v>203.0</v>
      </c>
      <c r="H1722" s="2" t="s">
        <v>5905</v>
      </c>
      <c r="I1722" s="2" t="s">
        <v>5905</v>
      </c>
      <c r="J1722" s="2" t="s">
        <v>6628</v>
      </c>
      <c r="K1722" s="2" t="s">
        <v>23349</v>
      </c>
    </row>
    <row r="1723">
      <c r="A1723" s="2" t="s">
        <v>4608</v>
      </c>
      <c r="B1723" s="2" t="s">
        <v>23350</v>
      </c>
      <c r="C1723" s="2">
        <v>5.0916217546E10</v>
      </c>
      <c r="D1723" s="2" t="s">
        <v>23351</v>
      </c>
      <c r="E1723" s="2">
        <v>280673.0</v>
      </c>
      <c r="F1723" s="2">
        <v>1622.0</v>
      </c>
      <c r="G1723" s="2">
        <v>782.0</v>
      </c>
      <c r="H1723" s="2" t="s">
        <v>5905</v>
      </c>
      <c r="I1723" s="2" t="s">
        <v>5906</v>
      </c>
      <c r="J1723" s="2" t="s">
        <v>5968</v>
      </c>
      <c r="K1723" s="2" t="s">
        <v>23352</v>
      </c>
      <c r="L1723" s="10" t="s">
        <v>23353</v>
      </c>
    </row>
    <row r="1724">
      <c r="A1724" s="2" t="s">
        <v>4608</v>
      </c>
      <c r="B1724" s="2" t="s">
        <v>23354</v>
      </c>
      <c r="C1724" s="2">
        <v>5.675379968E10</v>
      </c>
      <c r="D1724" s="2" t="s">
        <v>23355</v>
      </c>
      <c r="E1724" s="2">
        <v>19587.0</v>
      </c>
      <c r="F1724" s="2">
        <v>106.0</v>
      </c>
      <c r="G1724" s="2">
        <v>910.0</v>
      </c>
      <c r="H1724" s="2" t="s">
        <v>5905</v>
      </c>
      <c r="I1724" s="2" t="s">
        <v>5906</v>
      </c>
      <c r="J1724" s="2" t="s">
        <v>4996</v>
      </c>
      <c r="K1724" s="2" t="s">
        <v>23356</v>
      </c>
      <c r="L1724" s="10" t="s">
        <v>23357</v>
      </c>
    </row>
    <row r="1725">
      <c r="A1725" s="2" t="s">
        <v>4608</v>
      </c>
      <c r="B1725" s="2" t="s">
        <v>23358</v>
      </c>
      <c r="C1725" s="2">
        <v>1.995831186E9</v>
      </c>
      <c r="D1725" s="2" t="s">
        <v>23359</v>
      </c>
      <c r="E1725" s="2">
        <v>219858.0</v>
      </c>
      <c r="F1725" s="2">
        <v>1910.0</v>
      </c>
      <c r="G1725" s="2">
        <v>4067.0</v>
      </c>
      <c r="H1725" s="2" t="s">
        <v>5906</v>
      </c>
      <c r="I1725" s="2" t="s">
        <v>5905</v>
      </c>
      <c r="K1725" s="2" t="s">
        <v>23360</v>
      </c>
      <c r="L1725" s="10" t="s">
        <v>23361</v>
      </c>
    </row>
    <row r="1726">
      <c r="A1726" s="2" t="s">
        <v>4608</v>
      </c>
      <c r="B1726" s="2" t="s">
        <v>23362</v>
      </c>
      <c r="C1726" s="2">
        <v>2.108703014E9</v>
      </c>
      <c r="D1726" s="2" t="s">
        <v>23363</v>
      </c>
      <c r="E1726" s="2">
        <v>56996.0</v>
      </c>
      <c r="F1726" s="2">
        <v>3631.0</v>
      </c>
      <c r="G1726" s="2">
        <v>250.0</v>
      </c>
      <c r="H1726" s="2" t="s">
        <v>5906</v>
      </c>
      <c r="I1726" s="2" t="s">
        <v>5905</v>
      </c>
      <c r="J1726" s="2" t="s">
        <v>6124</v>
      </c>
      <c r="K1726" s="12" t="s">
        <v>23364</v>
      </c>
      <c r="L1726" s="10" t="s">
        <v>23365</v>
      </c>
    </row>
    <row r="1727">
      <c r="A1727" s="2" t="s">
        <v>4608</v>
      </c>
      <c r="B1727" s="2" t="s">
        <v>23366</v>
      </c>
      <c r="C1727" s="2">
        <v>5.2768867039E10</v>
      </c>
      <c r="D1727" s="2" t="s">
        <v>23367</v>
      </c>
      <c r="E1727" s="2">
        <v>32779.0</v>
      </c>
      <c r="F1727" s="2">
        <v>24.0</v>
      </c>
      <c r="G1727" s="2">
        <v>1057.0</v>
      </c>
      <c r="H1727" s="2" t="s">
        <v>5905</v>
      </c>
      <c r="I1727" s="2" t="s">
        <v>5906</v>
      </c>
      <c r="J1727" s="2" t="s">
        <v>23368</v>
      </c>
      <c r="K1727" s="2" t="s">
        <v>23369</v>
      </c>
      <c r="L1727" s="10" t="s">
        <v>23357</v>
      </c>
    </row>
    <row r="1728">
      <c r="A1728" s="2" t="s">
        <v>4608</v>
      </c>
      <c r="B1728" s="2" t="s">
        <v>23370</v>
      </c>
      <c r="C1728" s="2">
        <v>3.379051259E10</v>
      </c>
      <c r="D1728" s="2" t="s">
        <v>23371</v>
      </c>
      <c r="E1728" s="2">
        <v>92881.0</v>
      </c>
      <c r="F1728" s="2">
        <v>445.0</v>
      </c>
      <c r="G1728" s="2">
        <v>408.0</v>
      </c>
      <c r="H1728" s="2" t="s">
        <v>5905</v>
      </c>
      <c r="I1728" s="2" t="s">
        <v>5905</v>
      </c>
      <c r="J1728" s="2" t="s">
        <v>12921</v>
      </c>
      <c r="K1728" s="2" t="s">
        <v>23372</v>
      </c>
    </row>
    <row r="1729">
      <c r="A1729" s="2" t="s">
        <v>4608</v>
      </c>
      <c r="B1729" s="2" t="s">
        <v>23373</v>
      </c>
      <c r="C1729" s="2">
        <v>1.646928574E9</v>
      </c>
      <c r="D1729" s="2" t="s">
        <v>23374</v>
      </c>
      <c r="E1729" s="2">
        <v>277027.0</v>
      </c>
      <c r="F1729" s="2">
        <v>306.0</v>
      </c>
      <c r="G1729" s="2">
        <v>3194.0</v>
      </c>
      <c r="H1729" s="2" t="s">
        <v>5905</v>
      </c>
      <c r="I1729" s="2" t="s">
        <v>5906</v>
      </c>
      <c r="K1729" s="2" t="s">
        <v>23375</v>
      </c>
      <c r="L1729" s="10" t="s">
        <v>23376</v>
      </c>
    </row>
    <row r="1730">
      <c r="A1730" s="2" t="s">
        <v>4473</v>
      </c>
      <c r="B1730" s="2" t="s">
        <v>23377</v>
      </c>
      <c r="C1730" s="2">
        <v>2.22725794E9</v>
      </c>
      <c r="D1730" s="2" t="s">
        <v>23378</v>
      </c>
      <c r="E1730" s="2">
        <v>1107522.0</v>
      </c>
      <c r="F1730" s="2">
        <v>410.0</v>
      </c>
      <c r="G1730" s="2">
        <v>4191.0</v>
      </c>
      <c r="H1730" s="2" t="s">
        <v>5906</v>
      </c>
      <c r="I1730" s="2" t="s">
        <v>5905</v>
      </c>
      <c r="J1730" s="2" t="s">
        <v>5928</v>
      </c>
      <c r="K1730" s="2" t="s">
        <v>23379</v>
      </c>
      <c r="L1730" s="10" t="s">
        <v>23380</v>
      </c>
    </row>
    <row r="1731">
      <c r="A1731" s="2" t="s">
        <v>4473</v>
      </c>
      <c r="B1731" s="2" t="s">
        <v>23381</v>
      </c>
      <c r="C1731" s="2">
        <v>3.1859581E7</v>
      </c>
      <c r="E1731" s="2">
        <v>11761.0</v>
      </c>
      <c r="F1731" s="2">
        <v>1211.0</v>
      </c>
      <c r="G1731" s="2">
        <v>320.0</v>
      </c>
      <c r="H1731" s="2" t="s">
        <v>5905</v>
      </c>
      <c r="I1731" s="2" t="s">
        <v>5905</v>
      </c>
      <c r="J1731" s="2" t="s">
        <v>6393</v>
      </c>
      <c r="K1731" s="2" t="s">
        <v>23382</v>
      </c>
    </row>
    <row r="1732">
      <c r="A1732" s="2" t="s">
        <v>4473</v>
      </c>
      <c r="B1732" s="2" t="s">
        <v>23383</v>
      </c>
      <c r="C1732" s="2">
        <v>6.9266447817E10</v>
      </c>
      <c r="D1732" s="2" t="s">
        <v>23384</v>
      </c>
      <c r="E1732" s="2">
        <v>115996.0</v>
      </c>
      <c r="F1732" s="2">
        <v>5.0</v>
      </c>
      <c r="G1732" s="2">
        <v>69.0</v>
      </c>
      <c r="H1732" s="2" t="s">
        <v>5905</v>
      </c>
      <c r="I1732" s="2" t="s">
        <v>5905</v>
      </c>
      <c r="J1732" s="2" t="s">
        <v>7140</v>
      </c>
      <c r="K1732" s="2" t="s">
        <v>23385</v>
      </c>
      <c r="L1732" s="10" t="s">
        <v>23386</v>
      </c>
    </row>
    <row r="1733">
      <c r="A1733" s="2" t="s">
        <v>4527</v>
      </c>
      <c r="B1733" s="2" t="s">
        <v>9928</v>
      </c>
      <c r="C1733" s="2">
        <v>5.5987478435E10</v>
      </c>
      <c r="D1733" s="2" t="s">
        <v>4528</v>
      </c>
      <c r="E1733" s="2">
        <v>2581312.0</v>
      </c>
      <c r="F1733" s="2">
        <v>2.0</v>
      </c>
      <c r="G1733" s="2">
        <v>424.0</v>
      </c>
      <c r="H1733" s="2" t="s">
        <v>5905</v>
      </c>
      <c r="I1733" s="2" t="s">
        <v>5905</v>
      </c>
      <c r="J1733" s="2" t="s">
        <v>7620</v>
      </c>
      <c r="K1733" s="2" t="s">
        <v>9929</v>
      </c>
    </row>
    <row r="1734">
      <c r="A1734" s="2" t="s">
        <v>4527</v>
      </c>
      <c r="B1734" s="2" t="s">
        <v>23387</v>
      </c>
      <c r="C1734" s="2">
        <v>5.669900059E10</v>
      </c>
      <c r="D1734" s="2" t="s">
        <v>4527</v>
      </c>
      <c r="E1734" s="2">
        <v>765951.0</v>
      </c>
      <c r="F1734" s="2">
        <v>1.0</v>
      </c>
      <c r="G1734" s="2">
        <v>2431.0</v>
      </c>
      <c r="H1734" s="2" t="s">
        <v>5905</v>
      </c>
      <c r="I1734" s="2" t="s">
        <v>5905</v>
      </c>
      <c r="J1734" s="2" t="s">
        <v>5959</v>
      </c>
      <c r="K1734" s="2" t="s">
        <v>23388</v>
      </c>
    </row>
    <row r="1735">
      <c r="A1735" s="2" t="s">
        <v>4527</v>
      </c>
      <c r="B1735" s="2" t="s">
        <v>9935</v>
      </c>
      <c r="C1735" s="2">
        <v>4.9144251241E10</v>
      </c>
      <c r="D1735" s="2" t="s">
        <v>4528</v>
      </c>
      <c r="E1735" s="2">
        <v>6717029.0</v>
      </c>
      <c r="F1735" s="2">
        <v>3.0</v>
      </c>
      <c r="G1735" s="2">
        <v>1212.0</v>
      </c>
      <c r="H1735" s="2" t="s">
        <v>5905</v>
      </c>
      <c r="I1735" s="2" t="s">
        <v>5905</v>
      </c>
      <c r="J1735" s="2" t="s">
        <v>5928</v>
      </c>
      <c r="K1735" s="2" t="s">
        <v>9936</v>
      </c>
      <c r="L1735" s="10" t="s">
        <v>9937</v>
      </c>
    </row>
    <row r="1736">
      <c r="A1736" s="2" t="s">
        <v>4527</v>
      </c>
      <c r="B1736" s="2" t="s">
        <v>4527</v>
      </c>
      <c r="C1736" s="2">
        <v>3.998316794E9</v>
      </c>
      <c r="D1736" s="2" t="s">
        <v>4528</v>
      </c>
      <c r="E1736" s="2">
        <v>1.0660379E7</v>
      </c>
      <c r="F1736" s="2">
        <v>0.0</v>
      </c>
      <c r="G1736" s="2">
        <v>8295.0</v>
      </c>
      <c r="H1736" s="2" t="s">
        <v>5905</v>
      </c>
      <c r="I1736" s="2" t="s">
        <v>5906</v>
      </c>
      <c r="J1736" s="2" t="s">
        <v>4996</v>
      </c>
      <c r="K1736" s="2" t="s">
        <v>9938</v>
      </c>
    </row>
    <row r="1737">
      <c r="A1737" s="2" t="s">
        <v>4527</v>
      </c>
      <c r="B1737" s="2" t="s">
        <v>23389</v>
      </c>
      <c r="C1737" s="2">
        <v>5.2134436764E10</v>
      </c>
      <c r="D1737" s="2" t="s">
        <v>23390</v>
      </c>
      <c r="E1737" s="2">
        <v>11388.0</v>
      </c>
      <c r="F1737" s="2">
        <v>10.0</v>
      </c>
      <c r="G1737" s="2">
        <v>176.0</v>
      </c>
      <c r="H1737" s="2" t="s">
        <v>5905</v>
      </c>
      <c r="I1737" s="2" t="s">
        <v>5905</v>
      </c>
      <c r="J1737" s="2" t="s">
        <v>6393</v>
      </c>
      <c r="K1737" s="2" t="s">
        <v>23391</v>
      </c>
    </row>
    <row r="1738">
      <c r="A1738" s="2" t="s">
        <v>4527</v>
      </c>
      <c r="B1738" s="2" t="s">
        <v>23392</v>
      </c>
      <c r="C1738" s="2">
        <v>5.3259685429E10</v>
      </c>
      <c r="D1738" s="2" t="s">
        <v>23393</v>
      </c>
      <c r="E1738" s="2">
        <v>123987.0</v>
      </c>
      <c r="F1738" s="2">
        <v>6.0</v>
      </c>
      <c r="G1738" s="2">
        <v>293.0</v>
      </c>
      <c r="H1738" s="2" t="s">
        <v>5905</v>
      </c>
      <c r="I1738" s="2" t="s">
        <v>5905</v>
      </c>
      <c r="J1738" s="2" t="s">
        <v>4412</v>
      </c>
      <c r="K1738" s="2" t="s">
        <v>23394</v>
      </c>
      <c r="L1738" s="10" t="s">
        <v>23395</v>
      </c>
    </row>
    <row r="1739">
      <c r="A1739" s="2" t="s">
        <v>4527</v>
      </c>
      <c r="B1739" s="2" t="s">
        <v>9939</v>
      </c>
      <c r="C1739" s="2">
        <v>4.540025284E9</v>
      </c>
      <c r="D1739" s="2" t="s">
        <v>9940</v>
      </c>
      <c r="E1739" s="2">
        <v>7255394.0</v>
      </c>
      <c r="F1739" s="2">
        <v>974.0</v>
      </c>
      <c r="G1739" s="2">
        <v>2874.0</v>
      </c>
      <c r="H1739" s="2" t="s">
        <v>5906</v>
      </c>
      <c r="I1739" s="2" t="s">
        <v>5906</v>
      </c>
      <c r="J1739" s="2" t="s">
        <v>6393</v>
      </c>
      <c r="K1739" s="2" t="s">
        <v>9941</v>
      </c>
      <c r="L1739" s="10" t="s">
        <v>9942</v>
      </c>
    </row>
    <row r="1740">
      <c r="A1740" s="2" t="s">
        <v>4527</v>
      </c>
      <c r="B1740" s="2" t="s">
        <v>23396</v>
      </c>
      <c r="C1740" s="2">
        <v>5.3224297672E10</v>
      </c>
      <c r="D1740" s="2" t="s">
        <v>23397</v>
      </c>
      <c r="E1740" s="2">
        <v>2691580.0</v>
      </c>
      <c r="F1740" s="2">
        <v>4.0</v>
      </c>
      <c r="G1740" s="2">
        <v>229.0</v>
      </c>
      <c r="H1740" s="2" t="s">
        <v>5906</v>
      </c>
      <c r="I1740" s="2" t="s">
        <v>5906</v>
      </c>
      <c r="J1740" s="2" t="s">
        <v>20510</v>
      </c>
      <c r="K1740" s="2" t="s">
        <v>23398</v>
      </c>
      <c r="L1740" s="10" t="s">
        <v>23399</v>
      </c>
    </row>
    <row r="1741">
      <c r="A1741" s="2" t="s">
        <v>4527</v>
      </c>
      <c r="B1741" s="2" t="s">
        <v>23400</v>
      </c>
      <c r="C1741" s="2">
        <v>3226279.0</v>
      </c>
      <c r="D1741" s="2" t="s">
        <v>23401</v>
      </c>
      <c r="E1741" s="2">
        <v>959408.0</v>
      </c>
      <c r="F1741" s="2">
        <v>597.0</v>
      </c>
      <c r="G1741" s="2">
        <v>4027.0</v>
      </c>
      <c r="H1741" s="2" t="s">
        <v>5906</v>
      </c>
      <c r="I1741" s="2" t="s">
        <v>5906</v>
      </c>
      <c r="K1741" s="2" t="s">
        <v>23402</v>
      </c>
      <c r="L1741" s="10" t="s">
        <v>23403</v>
      </c>
    </row>
    <row r="1742">
      <c r="A1742" s="2" t="s">
        <v>4527</v>
      </c>
      <c r="B1742" s="2" t="s">
        <v>23404</v>
      </c>
      <c r="C1742" s="2">
        <v>5.1526115647E10</v>
      </c>
      <c r="D1742" s="2" t="s">
        <v>23405</v>
      </c>
      <c r="E1742" s="2">
        <v>88956.0</v>
      </c>
      <c r="F1742" s="2">
        <v>179.0</v>
      </c>
      <c r="G1742" s="2">
        <v>284.0</v>
      </c>
      <c r="H1742" s="2" t="s">
        <v>5905</v>
      </c>
      <c r="I1742" s="2" t="s">
        <v>5906</v>
      </c>
      <c r="J1742" s="2" t="s">
        <v>7620</v>
      </c>
      <c r="K1742" s="2" t="s">
        <v>23406</v>
      </c>
    </row>
    <row r="1743">
      <c r="A1743" s="2" t="s">
        <v>4527</v>
      </c>
      <c r="B1743" s="2" t="s">
        <v>9948</v>
      </c>
      <c r="C1743" s="2">
        <v>6.935441531E9</v>
      </c>
      <c r="D1743" s="2" t="s">
        <v>9949</v>
      </c>
      <c r="E1743" s="2">
        <v>1.0429423E7</v>
      </c>
      <c r="F1743" s="2">
        <v>1.0</v>
      </c>
      <c r="G1743" s="2">
        <v>2947.0</v>
      </c>
      <c r="H1743" s="2" t="s">
        <v>5906</v>
      </c>
      <c r="I1743" s="2" t="s">
        <v>5905</v>
      </c>
      <c r="J1743" s="2" t="s">
        <v>5959</v>
      </c>
      <c r="K1743" s="2" t="s">
        <v>9950</v>
      </c>
      <c r="L1743" s="10" t="s">
        <v>9951</v>
      </c>
    </row>
    <row r="1744">
      <c r="A1744" s="2" t="s">
        <v>4527</v>
      </c>
      <c r="B1744" s="2" t="s">
        <v>9952</v>
      </c>
      <c r="C1744" s="2">
        <v>3.9812597879E10</v>
      </c>
      <c r="D1744" s="2" t="s">
        <v>9953</v>
      </c>
      <c r="E1744" s="2">
        <v>2908252.0</v>
      </c>
      <c r="F1744" s="2">
        <v>0.0</v>
      </c>
      <c r="G1744" s="2">
        <v>6085.0</v>
      </c>
      <c r="H1744" s="2" t="s">
        <v>5905</v>
      </c>
      <c r="I1744" s="2" t="s">
        <v>5905</v>
      </c>
      <c r="J1744" s="2" t="s">
        <v>9954</v>
      </c>
      <c r="K1744" s="2" t="s">
        <v>23407</v>
      </c>
      <c r="L1744" s="10" t="s">
        <v>23408</v>
      </c>
    </row>
    <row r="1745">
      <c r="A1745" s="2" t="s">
        <v>4527</v>
      </c>
      <c r="B1745" s="2" t="s">
        <v>23409</v>
      </c>
      <c r="C1745" s="2">
        <v>4.1662587145E10</v>
      </c>
      <c r="D1745" s="2" t="s">
        <v>23410</v>
      </c>
      <c r="E1745" s="2">
        <v>4765105.0</v>
      </c>
      <c r="F1745" s="2">
        <v>883.0</v>
      </c>
      <c r="G1745" s="2">
        <v>3305.0</v>
      </c>
      <c r="H1745" s="2" t="s">
        <v>5905</v>
      </c>
      <c r="I1745" s="2" t="s">
        <v>5905</v>
      </c>
      <c r="J1745" s="2" t="s">
        <v>5561</v>
      </c>
      <c r="K1745" s="2" t="s">
        <v>23411</v>
      </c>
      <c r="L1745" s="10" t="s">
        <v>23412</v>
      </c>
    </row>
    <row r="1746">
      <c r="A1746" s="2" t="s">
        <v>4773</v>
      </c>
      <c r="B1746" s="2" t="s">
        <v>23413</v>
      </c>
      <c r="C1746" s="2">
        <v>1.3440967603E10</v>
      </c>
      <c r="D1746" s="2" t="s">
        <v>23414</v>
      </c>
      <c r="E1746" s="2">
        <v>114497.0</v>
      </c>
      <c r="F1746" s="2">
        <v>255.0</v>
      </c>
      <c r="G1746" s="2">
        <v>8953.0</v>
      </c>
      <c r="H1746" s="2" t="s">
        <v>5905</v>
      </c>
      <c r="I1746" s="2" t="s">
        <v>5905</v>
      </c>
      <c r="J1746" s="2" t="s">
        <v>5480</v>
      </c>
      <c r="K1746" s="2" t="s">
        <v>23415</v>
      </c>
    </row>
    <row r="1747">
      <c r="A1747" s="2" t="s">
        <v>4773</v>
      </c>
      <c r="B1747" s="2" t="s">
        <v>23416</v>
      </c>
      <c r="C1747" s="2">
        <v>4.0491485942E10</v>
      </c>
      <c r="D1747" s="2" t="s">
        <v>23417</v>
      </c>
      <c r="E1747" s="2">
        <v>999675.0</v>
      </c>
      <c r="F1747" s="2">
        <v>1.0</v>
      </c>
      <c r="G1747" s="2">
        <v>1408.0</v>
      </c>
      <c r="H1747" s="2" t="s">
        <v>5906</v>
      </c>
      <c r="I1747" s="2" t="s">
        <v>5905</v>
      </c>
      <c r="J1747" s="2" t="s">
        <v>5561</v>
      </c>
      <c r="K1747" s="2" t="s">
        <v>23418</v>
      </c>
    </row>
    <row r="1748">
      <c r="A1748" s="2" t="s">
        <v>4633</v>
      </c>
      <c r="B1748" s="2" t="s">
        <v>23419</v>
      </c>
      <c r="C1748" s="2">
        <v>7.089558984E9</v>
      </c>
      <c r="D1748" s="2" t="s">
        <v>23420</v>
      </c>
      <c r="E1748" s="2">
        <v>61547.0</v>
      </c>
      <c r="F1748" s="2">
        <v>2621.0</v>
      </c>
      <c r="G1748" s="2">
        <v>5203.0</v>
      </c>
      <c r="H1748" s="2" t="s">
        <v>5905</v>
      </c>
      <c r="I1748" s="2" t="s">
        <v>5906</v>
      </c>
      <c r="J1748" s="2" t="s">
        <v>6166</v>
      </c>
      <c r="K1748" s="2" t="s">
        <v>23421</v>
      </c>
      <c r="L1748" s="10" t="s">
        <v>23422</v>
      </c>
    </row>
    <row r="1749">
      <c r="A1749" s="2" t="s">
        <v>4633</v>
      </c>
      <c r="B1749" s="2" t="s">
        <v>23423</v>
      </c>
      <c r="C1749" s="2">
        <v>4.8992996095E10</v>
      </c>
      <c r="D1749" s="2" t="s">
        <v>4633</v>
      </c>
      <c r="E1749" s="2">
        <v>17839.0</v>
      </c>
      <c r="F1749" s="2">
        <v>116.0</v>
      </c>
      <c r="G1749" s="2">
        <v>704.0</v>
      </c>
      <c r="H1749" s="2" t="s">
        <v>5905</v>
      </c>
      <c r="I1749" s="2" t="s">
        <v>5905</v>
      </c>
      <c r="J1749" s="2" t="s">
        <v>5561</v>
      </c>
      <c r="K1749" s="2" t="s">
        <v>23424</v>
      </c>
    </row>
    <row r="1750">
      <c r="A1750" s="2" t="s">
        <v>4633</v>
      </c>
      <c r="B1750" s="2" t="s">
        <v>23425</v>
      </c>
      <c r="C1750" s="2">
        <v>1.345049062E9</v>
      </c>
      <c r="D1750" s="2" t="s">
        <v>23426</v>
      </c>
      <c r="E1750" s="2">
        <v>182391.0</v>
      </c>
      <c r="F1750" s="2">
        <v>209.0</v>
      </c>
      <c r="G1750" s="2">
        <v>5464.0</v>
      </c>
      <c r="H1750" s="2" t="s">
        <v>5905</v>
      </c>
      <c r="I1750" s="2" t="s">
        <v>5906</v>
      </c>
      <c r="K1750" s="2" t="s">
        <v>23427</v>
      </c>
      <c r="L1750" s="10" t="s">
        <v>23428</v>
      </c>
    </row>
    <row r="1751">
      <c r="A1751" s="2" t="s">
        <v>4633</v>
      </c>
      <c r="B1751" s="2" t="s">
        <v>23429</v>
      </c>
      <c r="C1751" s="2">
        <v>6.4595589131E10</v>
      </c>
      <c r="D1751" s="2" t="s">
        <v>23430</v>
      </c>
      <c r="E1751" s="2">
        <v>13552.0</v>
      </c>
      <c r="F1751" s="2">
        <v>7433.0</v>
      </c>
      <c r="G1751" s="2">
        <v>328.0</v>
      </c>
      <c r="H1751" s="2" t="s">
        <v>5905</v>
      </c>
      <c r="I1751" s="2" t="s">
        <v>5905</v>
      </c>
      <c r="J1751" s="2" t="s">
        <v>5928</v>
      </c>
      <c r="K1751" s="2" t="s">
        <v>23431</v>
      </c>
    </row>
    <row r="1752">
      <c r="A1752" s="2" t="s">
        <v>4720</v>
      </c>
      <c r="B1752" s="2" t="s">
        <v>23432</v>
      </c>
      <c r="C1752" s="2">
        <v>3.9213976526E10</v>
      </c>
      <c r="D1752" s="2" t="s">
        <v>23433</v>
      </c>
      <c r="E1752" s="2">
        <v>43194.0</v>
      </c>
      <c r="F1752" s="2">
        <v>496.0</v>
      </c>
      <c r="G1752" s="2">
        <v>185.0</v>
      </c>
      <c r="H1752" s="2" t="s">
        <v>5905</v>
      </c>
      <c r="I1752" s="2" t="s">
        <v>5905</v>
      </c>
      <c r="J1752" s="2" t="s">
        <v>5928</v>
      </c>
      <c r="K1752" s="2" t="s">
        <v>23434</v>
      </c>
      <c r="L1752" s="10" t="s">
        <v>23435</v>
      </c>
    </row>
    <row r="1753">
      <c r="A1753" s="2" t="s">
        <v>4720</v>
      </c>
      <c r="B1753" s="2" t="s">
        <v>23436</v>
      </c>
      <c r="C1753" s="2">
        <v>4.898906597E9</v>
      </c>
      <c r="D1753" s="2" t="s">
        <v>23437</v>
      </c>
      <c r="E1753" s="2">
        <v>52207.0</v>
      </c>
      <c r="F1753" s="2">
        <v>2135.0</v>
      </c>
      <c r="G1753" s="2">
        <v>1368.0</v>
      </c>
      <c r="H1753" s="2" t="s">
        <v>5905</v>
      </c>
      <c r="I1753" s="2" t="s">
        <v>5906</v>
      </c>
      <c r="J1753" s="2" t="s">
        <v>11481</v>
      </c>
      <c r="K1753" s="2" t="s">
        <v>23438</v>
      </c>
      <c r="L1753" s="10" t="s">
        <v>23439</v>
      </c>
    </row>
    <row r="1754">
      <c r="A1754" s="2" t="s">
        <v>4666</v>
      </c>
      <c r="B1754" s="2" t="s">
        <v>23440</v>
      </c>
      <c r="C1754" s="2">
        <v>8.63396332E8</v>
      </c>
      <c r="D1754" s="2" t="s">
        <v>23441</v>
      </c>
      <c r="E1754" s="2">
        <v>12227.0</v>
      </c>
      <c r="F1754" s="2">
        <v>881.0</v>
      </c>
      <c r="G1754" s="2">
        <v>523.0</v>
      </c>
      <c r="H1754" s="2" t="s">
        <v>5906</v>
      </c>
      <c r="I1754" s="2" t="s">
        <v>5905</v>
      </c>
      <c r="J1754" s="2" t="s">
        <v>7140</v>
      </c>
      <c r="K1754" s="2" t="s">
        <v>23442</v>
      </c>
      <c r="L1754" s="10" t="s">
        <v>23443</v>
      </c>
    </row>
    <row r="1755">
      <c r="A1755" s="2" t="s">
        <v>4666</v>
      </c>
      <c r="B1755" s="2" t="s">
        <v>23444</v>
      </c>
      <c r="C1755" s="2">
        <v>1.649022821E9</v>
      </c>
      <c r="D1755" s="2" t="s">
        <v>23445</v>
      </c>
      <c r="E1755" s="2">
        <v>194261.0</v>
      </c>
      <c r="F1755" s="2">
        <v>3084.0</v>
      </c>
      <c r="G1755" s="2">
        <v>1227.0</v>
      </c>
      <c r="H1755" s="2" t="s">
        <v>5905</v>
      </c>
      <c r="I1755" s="2" t="s">
        <v>5906</v>
      </c>
      <c r="J1755" s="2" t="s">
        <v>6321</v>
      </c>
      <c r="K1755" s="2" t="s">
        <v>23446</v>
      </c>
    </row>
    <row r="1756">
      <c r="A1756" s="2" t="s">
        <v>4610</v>
      </c>
      <c r="B1756" s="2" t="s">
        <v>23447</v>
      </c>
      <c r="C1756" s="2">
        <v>1.98310037E8</v>
      </c>
      <c r="D1756" s="2" t="s">
        <v>23448</v>
      </c>
      <c r="E1756" s="2">
        <v>15464.0</v>
      </c>
      <c r="F1756" s="2">
        <v>1724.0</v>
      </c>
      <c r="G1756" s="2">
        <v>517.0</v>
      </c>
      <c r="H1756" s="2" t="s">
        <v>5905</v>
      </c>
      <c r="I1756" s="2" t="s">
        <v>5906</v>
      </c>
      <c r="J1756" s="2" t="s">
        <v>5993</v>
      </c>
      <c r="K1756" s="2" t="s">
        <v>23449</v>
      </c>
    </row>
    <row r="1757">
      <c r="A1757" s="2" t="s">
        <v>4610</v>
      </c>
      <c r="B1757" s="2" t="s">
        <v>23450</v>
      </c>
      <c r="C1757" s="2">
        <v>4.839080619E10</v>
      </c>
      <c r="D1757" s="2" t="s">
        <v>23451</v>
      </c>
      <c r="E1757" s="2">
        <v>135021.0</v>
      </c>
      <c r="F1757" s="2">
        <v>0.0</v>
      </c>
      <c r="G1757" s="2">
        <v>400.0</v>
      </c>
      <c r="H1757" s="2" t="s">
        <v>5906</v>
      </c>
      <c r="I1757" s="2" t="s">
        <v>5905</v>
      </c>
      <c r="J1757" s="2" t="s">
        <v>6321</v>
      </c>
      <c r="K1757" s="2" t="s">
        <v>23452</v>
      </c>
    </row>
    <row r="1758">
      <c r="A1758" s="2" t="s">
        <v>4610</v>
      </c>
      <c r="B1758" s="2" t="s">
        <v>23453</v>
      </c>
      <c r="C1758" s="2">
        <v>5.72159785E8</v>
      </c>
      <c r="D1758" s="2" t="s">
        <v>23454</v>
      </c>
      <c r="E1758" s="2">
        <v>1084212.0</v>
      </c>
      <c r="F1758" s="2">
        <v>2381.0</v>
      </c>
      <c r="G1758" s="2">
        <v>4820.0</v>
      </c>
      <c r="H1758" s="2" t="s">
        <v>5905</v>
      </c>
      <c r="I1758" s="2" t="s">
        <v>5905</v>
      </c>
      <c r="J1758" s="2" t="s">
        <v>5492</v>
      </c>
      <c r="K1758" s="2" t="s">
        <v>23455</v>
      </c>
      <c r="L1758" s="10" t="s">
        <v>23456</v>
      </c>
    </row>
    <row r="1759">
      <c r="A1759" s="2" t="s">
        <v>4610</v>
      </c>
      <c r="B1759" s="2" t="s">
        <v>23457</v>
      </c>
      <c r="C1759" s="2">
        <v>1632182.0</v>
      </c>
      <c r="D1759" s="2" t="s">
        <v>23458</v>
      </c>
      <c r="E1759" s="2">
        <v>23510.0</v>
      </c>
      <c r="F1759" s="2">
        <v>4726.0</v>
      </c>
      <c r="G1759" s="2">
        <v>7901.0</v>
      </c>
      <c r="H1759" s="2" t="s">
        <v>5905</v>
      </c>
      <c r="I1759" s="2" t="s">
        <v>5906</v>
      </c>
      <c r="J1759" s="2" t="s">
        <v>5480</v>
      </c>
      <c r="K1759" s="2" t="s">
        <v>23459</v>
      </c>
      <c r="L1759" s="10" t="s">
        <v>23460</v>
      </c>
    </row>
    <row r="1760">
      <c r="A1760" s="2" t="s">
        <v>4545</v>
      </c>
      <c r="B1760" s="2" t="s">
        <v>23461</v>
      </c>
      <c r="C1760" s="2">
        <v>2.42598499E8</v>
      </c>
      <c r="D1760" s="2" t="s">
        <v>23462</v>
      </c>
      <c r="E1760" s="2">
        <v>1.2859289E7</v>
      </c>
      <c r="F1760" s="2">
        <v>578.0</v>
      </c>
      <c r="G1760" s="2">
        <v>5811.0</v>
      </c>
      <c r="H1760" s="2" t="s">
        <v>5906</v>
      </c>
      <c r="I1760" s="2" t="s">
        <v>5905</v>
      </c>
      <c r="J1760" s="2" t="s">
        <v>16238</v>
      </c>
      <c r="K1760" s="2" t="s">
        <v>23463</v>
      </c>
      <c r="L1760" s="10" t="s">
        <v>23464</v>
      </c>
    </row>
    <row r="1761">
      <c r="A1761" s="2" t="s">
        <v>4545</v>
      </c>
      <c r="B1761" s="2" t="s">
        <v>23465</v>
      </c>
      <c r="C1761" s="2">
        <v>1.92301204E8</v>
      </c>
      <c r="D1761" s="2" t="s">
        <v>23466</v>
      </c>
      <c r="E1761" s="2">
        <v>1.2602488E7</v>
      </c>
      <c r="F1761" s="2">
        <v>1461.0</v>
      </c>
      <c r="G1761" s="2">
        <v>2535.0</v>
      </c>
      <c r="H1761" s="2" t="s">
        <v>5906</v>
      </c>
      <c r="I1761" s="2" t="s">
        <v>5906</v>
      </c>
      <c r="K1761" s="2" t="s">
        <v>23467</v>
      </c>
      <c r="L1761" s="10" t="s">
        <v>23468</v>
      </c>
    </row>
    <row r="1762">
      <c r="A1762" s="2" t="s">
        <v>4545</v>
      </c>
      <c r="B1762" s="2" t="s">
        <v>23469</v>
      </c>
      <c r="C1762" s="2">
        <v>5.0927135E7</v>
      </c>
      <c r="D1762" s="2" t="s">
        <v>23470</v>
      </c>
      <c r="E1762" s="2">
        <v>1811804.0</v>
      </c>
      <c r="F1762" s="2">
        <v>611.0</v>
      </c>
      <c r="G1762" s="2">
        <v>11320.0</v>
      </c>
      <c r="H1762" s="2" t="s">
        <v>5906</v>
      </c>
      <c r="I1762" s="2" t="s">
        <v>5906</v>
      </c>
      <c r="J1762" s="2" t="s">
        <v>8479</v>
      </c>
      <c r="K1762" s="2" t="s">
        <v>23471</v>
      </c>
      <c r="L1762" s="10" t="s">
        <v>23472</v>
      </c>
    </row>
    <row r="1763">
      <c r="A1763" s="2" t="s">
        <v>4545</v>
      </c>
      <c r="B1763" s="2" t="s">
        <v>23473</v>
      </c>
      <c r="C1763" s="2">
        <v>1483611.0</v>
      </c>
      <c r="D1763" s="2" t="s">
        <v>23474</v>
      </c>
      <c r="E1763" s="2">
        <v>1504407.0</v>
      </c>
      <c r="F1763" s="2">
        <v>3390.0</v>
      </c>
      <c r="G1763" s="2">
        <v>2091.0</v>
      </c>
      <c r="H1763" s="2" t="s">
        <v>5906</v>
      </c>
      <c r="I1763" s="2" t="s">
        <v>5906</v>
      </c>
      <c r="J1763" s="2" t="s">
        <v>5959</v>
      </c>
      <c r="K1763" s="2" t="s">
        <v>23475</v>
      </c>
      <c r="L1763" s="10" t="s">
        <v>23476</v>
      </c>
    </row>
    <row r="1764">
      <c r="A1764" s="2" t="s">
        <v>4545</v>
      </c>
      <c r="B1764" s="2" t="s">
        <v>23477</v>
      </c>
      <c r="C1764" s="2">
        <v>4.151334978E9</v>
      </c>
      <c r="D1764" s="2" t="s">
        <v>23478</v>
      </c>
      <c r="E1764" s="2">
        <v>2937318.0</v>
      </c>
      <c r="F1764" s="2">
        <v>6584.0</v>
      </c>
      <c r="G1764" s="2">
        <v>18834.0</v>
      </c>
      <c r="H1764" s="2" t="s">
        <v>5906</v>
      </c>
      <c r="I1764" s="2" t="s">
        <v>5906</v>
      </c>
      <c r="J1764" s="2" t="s">
        <v>5561</v>
      </c>
      <c r="K1764" s="2" t="s">
        <v>23479</v>
      </c>
      <c r="L1764" s="10" t="s">
        <v>23480</v>
      </c>
    </row>
    <row r="1765">
      <c r="A1765" s="2" t="s">
        <v>4545</v>
      </c>
      <c r="B1765" s="2" t="s">
        <v>23481</v>
      </c>
      <c r="C1765" s="2">
        <v>4.17519217E8</v>
      </c>
      <c r="D1765" s="2" t="s">
        <v>23482</v>
      </c>
      <c r="E1765" s="2">
        <v>765604.0</v>
      </c>
      <c r="F1765" s="2">
        <v>423.0</v>
      </c>
      <c r="G1765" s="2">
        <v>12507.0</v>
      </c>
      <c r="H1765" s="2" t="s">
        <v>5906</v>
      </c>
      <c r="I1765" s="2" t="s">
        <v>5906</v>
      </c>
      <c r="J1765" s="2" t="s">
        <v>8479</v>
      </c>
      <c r="K1765" s="2" t="s">
        <v>23483</v>
      </c>
      <c r="L1765" s="10" t="s">
        <v>23484</v>
      </c>
    </row>
    <row r="1766">
      <c r="A1766" s="2" t="s">
        <v>4545</v>
      </c>
      <c r="B1766" s="2" t="s">
        <v>23485</v>
      </c>
      <c r="C1766" s="2">
        <v>1.66234175E9</v>
      </c>
      <c r="D1766" s="2" t="s">
        <v>23486</v>
      </c>
      <c r="E1766" s="2">
        <v>313190.0</v>
      </c>
      <c r="F1766" s="2">
        <v>1.0</v>
      </c>
      <c r="G1766" s="2">
        <v>1297.0</v>
      </c>
      <c r="H1766" s="2" t="s">
        <v>5905</v>
      </c>
      <c r="I1766" s="2" t="s">
        <v>5905</v>
      </c>
      <c r="J1766" s="2" t="s">
        <v>5959</v>
      </c>
      <c r="K1766" s="2" t="s">
        <v>23487</v>
      </c>
    </row>
    <row r="1767">
      <c r="A1767" s="2" t="s">
        <v>4545</v>
      </c>
      <c r="B1767" s="2" t="s">
        <v>10202</v>
      </c>
      <c r="C1767" s="2">
        <v>1.3787113E7</v>
      </c>
      <c r="D1767" s="2" t="s">
        <v>10203</v>
      </c>
      <c r="E1767" s="2">
        <v>8834734.0</v>
      </c>
      <c r="F1767" s="2">
        <v>150.0</v>
      </c>
      <c r="G1767" s="2">
        <v>14516.0</v>
      </c>
      <c r="H1767" s="2" t="s">
        <v>5906</v>
      </c>
      <c r="I1767" s="2" t="s">
        <v>5906</v>
      </c>
      <c r="K1767" s="2" t="s">
        <v>10204</v>
      </c>
      <c r="L1767" s="10" t="s">
        <v>10205</v>
      </c>
    </row>
    <row r="1768">
      <c r="A1768" s="2" t="s">
        <v>4545</v>
      </c>
      <c r="B1768" s="2" t="s">
        <v>23488</v>
      </c>
      <c r="C1768" s="2">
        <v>5.38571725E8</v>
      </c>
      <c r="D1768" s="2" t="s">
        <v>23489</v>
      </c>
      <c r="E1768" s="2">
        <v>2192316.0</v>
      </c>
      <c r="F1768" s="2">
        <v>765.0</v>
      </c>
      <c r="G1768" s="2">
        <v>5145.0</v>
      </c>
      <c r="H1768" s="2" t="s">
        <v>5906</v>
      </c>
      <c r="I1768" s="2" t="s">
        <v>5906</v>
      </c>
      <c r="J1768" s="2" t="s">
        <v>5561</v>
      </c>
      <c r="K1768" s="2" t="s">
        <v>23490</v>
      </c>
      <c r="L1768" s="10" t="s">
        <v>23491</v>
      </c>
    </row>
    <row r="1769">
      <c r="A1769" s="2" t="s">
        <v>4545</v>
      </c>
      <c r="B1769" s="2" t="s">
        <v>23492</v>
      </c>
      <c r="C1769" s="2">
        <v>2.61763943E8</v>
      </c>
      <c r="D1769" s="2" t="s">
        <v>23493</v>
      </c>
      <c r="E1769" s="2">
        <v>2828740.0</v>
      </c>
      <c r="F1769" s="2">
        <v>244.0</v>
      </c>
      <c r="G1769" s="2">
        <v>12848.0</v>
      </c>
      <c r="H1769" s="2" t="s">
        <v>5906</v>
      </c>
      <c r="I1769" s="2" t="s">
        <v>5906</v>
      </c>
      <c r="K1769" s="2" t="s">
        <v>23494</v>
      </c>
      <c r="L1769" s="10" t="s">
        <v>23495</v>
      </c>
    </row>
    <row r="1770">
      <c r="A1770" s="2" t="s">
        <v>4545</v>
      </c>
      <c r="B1770" s="2" t="s">
        <v>23496</v>
      </c>
      <c r="C1770" s="2">
        <v>2.1842935E7</v>
      </c>
      <c r="D1770" s="2" t="s">
        <v>23497</v>
      </c>
      <c r="E1770" s="2">
        <v>1236453.0</v>
      </c>
      <c r="F1770" s="2">
        <v>148.0</v>
      </c>
      <c r="G1770" s="2">
        <v>13342.0</v>
      </c>
      <c r="H1770" s="2" t="s">
        <v>5906</v>
      </c>
      <c r="I1770" s="2" t="s">
        <v>5906</v>
      </c>
      <c r="K1770" s="2" t="s">
        <v>23498</v>
      </c>
      <c r="L1770" s="10" t="s">
        <v>23499</v>
      </c>
    </row>
    <row r="1771">
      <c r="A1771" s="2" t="s">
        <v>4545</v>
      </c>
      <c r="B1771" s="2" t="s">
        <v>23500</v>
      </c>
      <c r="C1771" s="2">
        <v>2122607.0</v>
      </c>
      <c r="D1771" s="2" t="s">
        <v>23501</v>
      </c>
      <c r="E1771" s="2">
        <v>4609493.0</v>
      </c>
      <c r="F1771" s="2">
        <v>308.0</v>
      </c>
      <c r="G1771" s="2">
        <v>17451.0</v>
      </c>
      <c r="H1771" s="2" t="s">
        <v>5906</v>
      </c>
      <c r="I1771" s="2" t="s">
        <v>5906</v>
      </c>
      <c r="K1771" s="2" t="s">
        <v>23502</v>
      </c>
      <c r="L1771" s="10" t="s">
        <v>23503</v>
      </c>
    </row>
    <row r="1772">
      <c r="A1772" s="2" t="s">
        <v>4545</v>
      </c>
      <c r="B1772" s="2" t="s">
        <v>23504</v>
      </c>
      <c r="C1772" s="2">
        <v>2.1723588E7</v>
      </c>
      <c r="D1772" s="2" t="s">
        <v>23505</v>
      </c>
      <c r="E1772" s="2">
        <v>2336434.0</v>
      </c>
      <c r="F1772" s="2">
        <v>631.0</v>
      </c>
      <c r="G1772" s="2">
        <v>14317.0</v>
      </c>
      <c r="H1772" s="2" t="s">
        <v>5906</v>
      </c>
      <c r="I1772" s="2" t="s">
        <v>5906</v>
      </c>
      <c r="J1772" s="2" t="s">
        <v>5518</v>
      </c>
      <c r="K1772" s="2" t="s">
        <v>23506</v>
      </c>
      <c r="L1772" s="10" t="s">
        <v>23507</v>
      </c>
    </row>
    <row r="1773">
      <c r="A1773" s="2" t="s">
        <v>4545</v>
      </c>
      <c r="B1773" s="2" t="s">
        <v>23508</v>
      </c>
      <c r="C1773" s="2">
        <v>2.25193095E8</v>
      </c>
      <c r="D1773" s="2" t="s">
        <v>23509</v>
      </c>
      <c r="E1773" s="2">
        <v>1941609.0</v>
      </c>
      <c r="F1773" s="2">
        <v>316.0</v>
      </c>
      <c r="G1773" s="2">
        <v>49899.0</v>
      </c>
      <c r="H1773" s="2" t="s">
        <v>5906</v>
      </c>
      <c r="I1773" s="2" t="s">
        <v>5906</v>
      </c>
      <c r="K1773" s="2" t="s">
        <v>23510</v>
      </c>
      <c r="L1773" s="10" t="s">
        <v>23511</v>
      </c>
    </row>
    <row r="1774">
      <c r="A1774" s="2" t="s">
        <v>4545</v>
      </c>
      <c r="B1774" s="2" t="s">
        <v>23512</v>
      </c>
      <c r="C1774" s="2">
        <v>1.5703955E7</v>
      </c>
      <c r="D1774" s="2" t="s">
        <v>23513</v>
      </c>
      <c r="E1774" s="2">
        <v>1398493.0</v>
      </c>
      <c r="F1774" s="2">
        <v>152.0</v>
      </c>
      <c r="G1774" s="2">
        <v>12692.0</v>
      </c>
      <c r="H1774" s="2" t="s">
        <v>5906</v>
      </c>
      <c r="I1774" s="2" t="s">
        <v>5906</v>
      </c>
      <c r="K1774" s="2" t="s">
        <v>23514</v>
      </c>
      <c r="L1774" s="10" t="s">
        <v>23515</v>
      </c>
    </row>
    <row r="1775">
      <c r="A1775" s="2" t="s">
        <v>4545</v>
      </c>
      <c r="B1775" s="2" t="s">
        <v>12132</v>
      </c>
      <c r="C1775" s="2">
        <v>1.624593034E9</v>
      </c>
      <c r="D1775" s="2" t="s">
        <v>5269</v>
      </c>
      <c r="E1775" s="2">
        <v>1.9425655E7</v>
      </c>
      <c r="F1775" s="2">
        <v>619.0</v>
      </c>
      <c r="G1775" s="2">
        <v>21833.0</v>
      </c>
      <c r="H1775" s="2" t="s">
        <v>5906</v>
      </c>
      <c r="I1775" s="2" t="s">
        <v>5906</v>
      </c>
      <c r="K1775" s="2" t="s">
        <v>12133</v>
      </c>
      <c r="L1775" s="10" t="s">
        <v>12134</v>
      </c>
    </row>
    <row r="1776">
      <c r="A1776" s="2" t="s">
        <v>4545</v>
      </c>
      <c r="B1776" s="2" t="s">
        <v>23516</v>
      </c>
      <c r="C1776" s="2">
        <v>4.09064094E8</v>
      </c>
      <c r="D1776" s="2" t="s">
        <v>23517</v>
      </c>
      <c r="E1776" s="2">
        <v>587359.0</v>
      </c>
      <c r="F1776" s="2">
        <v>515.0</v>
      </c>
      <c r="G1776" s="2">
        <v>2582.0</v>
      </c>
      <c r="H1776" s="2" t="s">
        <v>5906</v>
      </c>
      <c r="I1776" s="2" t="s">
        <v>5906</v>
      </c>
      <c r="J1776" s="2" t="s">
        <v>5391</v>
      </c>
      <c r="K1776" s="2" t="s">
        <v>23518</v>
      </c>
      <c r="L1776" s="10" t="s">
        <v>23519</v>
      </c>
    </row>
    <row r="1777">
      <c r="A1777" s="2" t="s">
        <v>4545</v>
      </c>
      <c r="B1777" s="2" t="s">
        <v>23520</v>
      </c>
      <c r="C1777" s="2">
        <v>1.3336763E7</v>
      </c>
      <c r="D1777" s="2" t="s">
        <v>23521</v>
      </c>
      <c r="E1777" s="2">
        <v>1.2991439E7</v>
      </c>
      <c r="F1777" s="2">
        <v>117.0</v>
      </c>
      <c r="G1777" s="2">
        <v>2434.0</v>
      </c>
      <c r="H1777" s="2" t="s">
        <v>5906</v>
      </c>
      <c r="I1777" s="2" t="s">
        <v>5906</v>
      </c>
      <c r="K1777" s="2" t="s">
        <v>23522</v>
      </c>
      <c r="L1777" s="10" t="s">
        <v>23523</v>
      </c>
    </row>
    <row r="1778">
      <c r="A1778" s="2" t="s">
        <v>4545</v>
      </c>
      <c r="B1778" s="2" t="s">
        <v>23524</v>
      </c>
      <c r="C1778" s="2">
        <v>4.675759E7</v>
      </c>
      <c r="D1778" s="2" t="s">
        <v>23525</v>
      </c>
      <c r="E1778" s="2">
        <v>4137104.0</v>
      </c>
      <c r="F1778" s="2">
        <v>317.0</v>
      </c>
      <c r="G1778" s="2">
        <v>7122.0</v>
      </c>
      <c r="H1778" s="2" t="s">
        <v>5906</v>
      </c>
      <c r="I1778" s="2" t="s">
        <v>5906</v>
      </c>
      <c r="J1778" s="2" t="s">
        <v>5391</v>
      </c>
      <c r="K1778" s="2" t="s">
        <v>23526</v>
      </c>
      <c r="L1778" s="10" t="s">
        <v>23527</v>
      </c>
    </row>
    <row r="1779">
      <c r="A1779" s="2" t="s">
        <v>4501</v>
      </c>
      <c r="B1779" s="2" t="s">
        <v>23528</v>
      </c>
      <c r="C1779" s="2">
        <v>7.195992981E9</v>
      </c>
      <c r="D1779" s="2" t="s">
        <v>23529</v>
      </c>
      <c r="E1779" s="2">
        <v>496479.0</v>
      </c>
      <c r="F1779" s="2">
        <v>2168.0</v>
      </c>
      <c r="G1779" s="2">
        <v>3895.0</v>
      </c>
      <c r="H1779" s="2" t="s">
        <v>5905</v>
      </c>
      <c r="I1779" s="2" t="s">
        <v>5906</v>
      </c>
      <c r="J1779" s="2" t="s">
        <v>5480</v>
      </c>
      <c r="K1779" s="2" t="s">
        <v>23530</v>
      </c>
    </row>
    <row r="1780">
      <c r="A1780" s="2" t="s">
        <v>4501</v>
      </c>
      <c r="B1780" s="2" t="s">
        <v>23531</v>
      </c>
      <c r="C1780" s="2">
        <v>4.5967686843E10</v>
      </c>
      <c r="D1780" s="2" t="s">
        <v>23532</v>
      </c>
      <c r="E1780" s="2">
        <v>1099156.0</v>
      </c>
      <c r="F1780" s="2">
        <v>0.0</v>
      </c>
      <c r="G1780" s="2">
        <v>1469.0</v>
      </c>
      <c r="H1780" s="2" t="s">
        <v>5905</v>
      </c>
      <c r="I1780" s="2" t="s">
        <v>5906</v>
      </c>
      <c r="J1780" s="2" t="s">
        <v>5907</v>
      </c>
      <c r="K1780" s="2" t="s">
        <v>23533</v>
      </c>
      <c r="L1780" s="10" t="s">
        <v>23534</v>
      </c>
    </row>
    <row r="1781">
      <c r="A1781" s="2" t="s">
        <v>4501</v>
      </c>
      <c r="B1781" s="2" t="s">
        <v>23535</v>
      </c>
      <c r="C1781" s="2">
        <v>7.536899917E9</v>
      </c>
      <c r="D1781" s="2" t="s">
        <v>23536</v>
      </c>
      <c r="E1781" s="2">
        <v>181706.0</v>
      </c>
      <c r="F1781" s="2">
        <v>2051.0</v>
      </c>
      <c r="G1781" s="2">
        <v>11838.0</v>
      </c>
      <c r="H1781" s="2" t="s">
        <v>5905</v>
      </c>
      <c r="I1781" s="2" t="s">
        <v>5906</v>
      </c>
      <c r="J1781" s="2" t="s">
        <v>10630</v>
      </c>
      <c r="K1781" s="2" t="s">
        <v>23537</v>
      </c>
      <c r="L1781" s="10" t="s">
        <v>23538</v>
      </c>
    </row>
    <row r="1782">
      <c r="A1782" s="2" t="s">
        <v>4501</v>
      </c>
      <c r="B1782" s="2" t="s">
        <v>23539</v>
      </c>
      <c r="C1782" s="2">
        <v>5.141226264E9</v>
      </c>
      <c r="D1782" s="2" t="s">
        <v>23540</v>
      </c>
      <c r="E1782" s="2">
        <v>18607.0</v>
      </c>
      <c r="F1782" s="2">
        <v>0.0</v>
      </c>
      <c r="G1782" s="2">
        <v>116.0</v>
      </c>
      <c r="H1782" s="2" t="s">
        <v>5905</v>
      </c>
      <c r="I1782" s="2" t="s">
        <v>5905</v>
      </c>
      <c r="J1782" s="2" t="s">
        <v>5561</v>
      </c>
      <c r="K1782" s="2" t="s">
        <v>23541</v>
      </c>
      <c r="L1782" s="10" t="s">
        <v>23542</v>
      </c>
    </row>
    <row r="1783">
      <c r="A1783" s="2" t="s">
        <v>4501</v>
      </c>
      <c r="B1783" s="2" t="s">
        <v>23543</v>
      </c>
      <c r="C1783" s="2">
        <v>3.7469197684E10</v>
      </c>
      <c r="D1783" s="2" t="s">
        <v>23544</v>
      </c>
      <c r="E1783" s="2">
        <v>232055.0</v>
      </c>
      <c r="F1783" s="2">
        <v>623.0</v>
      </c>
      <c r="G1783" s="2">
        <v>858.0</v>
      </c>
      <c r="H1783" s="2" t="s">
        <v>5906</v>
      </c>
      <c r="I1783" s="2" t="s">
        <v>5906</v>
      </c>
      <c r="J1783" s="2" t="s">
        <v>4404</v>
      </c>
      <c r="K1783" s="2" t="s">
        <v>23545</v>
      </c>
      <c r="L1783" s="10" t="s">
        <v>23546</v>
      </c>
    </row>
    <row r="1784">
      <c r="A1784" s="2" t="s">
        <v>4501</v>
      </c>
      <c r="B1784" s="2" t="s">
        <v>23547</v>
      </c>
      <c r="C1784" s="2">
        <v>4.7223193689E10</v>
      </c>
      <c r="D1784" s="2" t="s">
        <v>23548</v>
      </c>
      <c r="E1784" s="2">
        <v>1212669.0</v>
      </c>
      <c r="F1784" s="2">
        <v>130.0</v>
      </c>
      <c r="G1784" s="2">
        <v>235.0</v>
      </c>
      <c r="H1784" s="2" t="s">
        <v>5906</v>
      </c>
      <c r="I1784" s="2" t="s">
        <v>5906</v>
      </c>
      <c r="J1784" s="2" t="s">
        <v>5561</v>
      </c>
      <c r="K1784" s="2" t="s">
        <v>23549</v>
      </c>
      <c r="L1784" s="10" t="s">
        <v>23550</v>
      </c>
    </row>
    <row r="1785">
      <c r="A1785" s="2" t="s">
        <v>4501</v>
      </c>
      <c r="B1785" s="2" t="s">
        <v>23551</v>
      </c>
      <c r="C1785" s="2">
        <v>6.909693375E9</v>
      </c>
      <c r="D1785" s="2" t="s">
        <v>23552</v>
      </c>
      <c r="E1785" s="2">
        <v>21838.0</v>
      </c>
      <c r="F1785" s="2">
        <v>1213.0</v>
      </c>
      <c r="G1785" s="2">
        <v>39.0</v>
      </c>
      <c r="H1785" s="2" t="s">
        <v>5905</v>
      </c>
      <c r="I1785" s="2" t="s">
        <v>5905</v>
      </c>
      <c r="J1785" s="2" t="s">
        <v>8982</v>
      </c>
      <c r="K1785" s="2" t="s">
        <v>23553</v>
      </c>
      <c r="L1785" s="10" t="s">
        <v>23554</v>
      </c>
    </row>
    <row r="1786">
      <c r="A1786" s="2" t="s">
        <v>4501</v>
      </c>
      <c r="B1786" s="2" t="s">
        <v>23555</v>
      </c>
      <c r="C1786" s="2">
        <v>5.8564071245E10</v>
      </c>
      <c r="E1786" s="2">
        <v>45812.0</v>
      </c>
      <c r="F1786" s="2">
        <v>12.0</v>
      </c>
      <c r="G1786" s="2">
        <v>702.0</v>
      </c>
      <c r="H1786" s="2" t="s">
        <v>5905</v>
      </c>
      <c r="I1786" s="2" t="s">
        <v>5905</v>
      </c>
      <c r="J1786" s="2" t="s">
        <v>5928</v>
      </c>
    </row>
    <row r="1787">
      <c r="A1787" s="2" t="s">
        <v>4501</v>
      </c>
      <c r="B1787" s="2" t="s">
        <v>23556</v>
      </c>
      <c r="C1787" s="2">
        <v>4.6646012239E10</v>
      </c>
      <c r="D1787" s="2" t="s">
        <v>23557</v>
      </c>
      <c r="E1787" s="2">
        <v>1065657.0</v>
      </c>
      <c r="F1787" s="2">
        <v>18.0</v>
      </c>
      <c r="G1787" s="2">
        <v>2194.0</v>
      </c>
      <c r="H1787" s="2" t="s">
        <v>5905</v>
      </c>
      <c r="I1787" s="2" t="s">
        <v>5906</v>
      </c>
      <c r="J1787" s="2" t="s">
        <v>5968</v>
      </c>
      <c r="K1787" s="2" t="s">
        <v>23558</v>
      </c>
    </row>
    <row r="1788">
      <c r="A1788" s="2" t="s">
        <v>4533</v>
      </c>
      <c r="B1788" s="2" t="s">
        <v>4533</v>
      </c>
      <c r="C1788" s="2">
        <v>3.31002398E8</v>
      </c>
      <c r="D1788" s="2" t="s">
        <v>23559</v>
      </c>
      <c r="E1788" s="2">
        <v>845662.0</v>
      </c>
      <c r="F1788" s="2">
        <v>413.0</v>
      </c>
      <c r="G1788" s="2">
        <v>2419.0</v>
      </c>
      <c r="H1788" s="2" t="s">
        <v>5905</v>
      </c>
      <c r="I1788" s="2" t="s">
        <v>5906</v>
      </c>
      <c r="J1788" s="2" t="s">
        <v>5561</v>
      </c>
      <c r="K1788" s="2" t="s">
        <v>23560</v>
      </c>
      <c r="L1788" s="10" t="s">
        <v>23561</v>
      </c>
    </row>
    <row r="1789">
      <c r="A1789" s="2" t="s">
        <v>4474</v>
      </c>
      <c r="B1789" s="2" t="s">
        <v>23562</v>
      </c>
      <c r="C1789" s="2">
        <v>2.26096164E9</v>
      </c>
      <c r="D1789" s="2" t="s">
        <v>23563</v>
      </c>
      <c r="E1789" s="2">
        <v>15316.0</v>
      </c>
      <c r="F1789" s="2">
        <v>47.0</v>
      </c>
      <c r="G1789" s="2">
        <v>801.0</v>
      </c>
      <c r="H1789" s="2" t="s">
        <v>5905</v>
      </c>
      <c r="I1789" s="2" t="s">
        <v>5905</v>
      </c>
      <c r="J1789" s="2" t="s">
        <v>7414</v>
      </c>
      <c r="K1789" s="2" t="s">
        <v>23564</v>
      </c>
    </row>
    <row r="1790">
      <c r="A1790" s="2" t="s">
        <v>4474</v>
      </c>
      <c r="B1790" s="2" t="s">
        <v>23565</v>
      </c>
      <c r="C1790" s="2">
        <v>2.29401084E8</v>
      </c>
      <c r="D1790" s="2" t="s">
        <v>23566</v>
      </c>
      <c r="E1790" s="2">
        <v>262046.0</v>
      </c>
      <c r="F1790" s="2">
        <v>6420.0</v>
      </c>
      <c r="G1790" s="2">
        <v>5084.0</v>
      </c>
      <c r="H1790" s="2" t="s">
        <v>5906</v>
      </c>
      <c r="I1790" s="2" t="s">
        <v>5906</v>
      </c>
      <c r="J1790" s="2" t="s">
        <v>7140</v>
      </c>
      <c r="K1790" s="2" t="s">
        <v>23567</v>
      </c>
      <c r="L1790" s="10" t="s">
        <v>23568</v>
      </c>
    </row>
    <row r="1791">
      <c r="A1791" s="2" t="s">
        <v>4474</v>
      </c>
      <c r="B1791" s="10" t="s">
        <v>23569</v>
      </c>
      <c r="C1791" s="2">
        <v>4.5564103421E10</v>
      </c>
      <c r="D1791" s="2" t="s">
        <v>23570</v>
      </c>
      <c r="E1791" s="2">
        <v>45783.0</v>
      </c>
      <c r="F1791" s="2">
        <v>201.0</v>
      </c>
      <c r="G1791" s="2">
        <v>216.0</v>
      </c>
      <c r="H1791" s="2" t="s">
        <v>5906</v>
      </c>
      <c r="I1791" s="2" t="s">
        <v>5906</v>
      </c>
      <c r="J1791" s="2" t="s">
        <v>7414</v>
      </c>
      <c r="K1791" s="2" t="s">
        <v>23571</v>
      </c>
    </row>
    <row r="1792">
      <c r="A1792" s="2" t="s">
        <v>4474</v>
      </c>
      <c r="B1792" s="2" t="s">
        <v>23572</v>
      </c>
      <c r="C1792" s="2">
        <v>6.3927042605E10</v>
      </c>
      <c r="D1792" s="2" t="s">
        <v>23573</v>
      </c>
      <c r="E1792" s="2">
        <v>10914.0</v>
      </c>
      <c r="F1792" s="2">
        <v>25.0</v>
      </c>
      <c r="G1792" s="2">
        <v>200.0</v>
      </c>
      <c r="H1792" s="2" t="s">
        <v>5905</v>
      </c>
      <c r="I1792" s="2" t="s">
        <v>5906</v>
      </c>
      <c r="J1792" s="2" t="s">
        <v>7414</v>
      </c>
      <c r="K1792" s="2" t="s">
        <v>23574</v>
      </c>
      <c r="L1792" s="10" t="s">
        <v>23575</v>
      </c>
    </row>
    <row r="1793">
      <c r="A1793" s="2" t="s">
        <v>4474</v>
      </c>
      <c r="B1793" s="2" t="s">
        <v>23576</v>
      </c>
      <c r="C1793" s="2">
        <v>6.1900122994E10</v>
      </c>
      <c r="D1793" s="2" t="s">
        <v>23573</v>
      </c>
      <c r="E1793" s="2">
        <v>80467.0</v>
      </c>
      <c r="F1793" s="2">
        <v>29.0</v>
      </c>
      <c r="G1793" s="2">
        <v>33.0</v>
      </c>
      <c r="H1793" s="2" t="s">
        <v>5905</v>
      </c>
      <c r="I1793" s="2" t="s">
        <v>5905</v>
      </c>
      <c r="J1793" s="2" t="s">
        <v>7414</v>
      </c>
      <c r="K1793" s="2" t="s">
        <v>23577</v>
      </c>
    </row>
    <row r="1794">
      <c r="A1794" s="2" t="s">
        <v>4643</v>
      </c>
      <c r="B1794" s="2" t="s">
        <v>23578</v>
      </c>
      <c r="C1794" s="2">
        <v>3.642468959E9</v>
      </c>
      <c r="D1794" s="2" t="s">
        <v>23579</v>
      </c>
      <c r="E1794" s="2">
        <v>12698.0</v>
      </c>
      <c r="F1794" s="2">
        <v>732.0</v>
      </c>
      <c r="G1794" s="2">
        <v>816.0</v>
      </c>
      <c r="H1794" s="2" t="s">
        <v>5905</v>
      </c>
      <c r="I1794" s="2" t="s">
        <v>5906</v>
      </c>
      <c r="J1794" s="2" t="s">
        <v>23580</v>
      </c>
      <c r="K1794" s="2" t="s">
        <v>23581</v>
      </c>
      <c r="L1794" s="10" t="s">
        <v>23582</v>
      </c>
    </row>
    <row r="1795">
      <c r="A1795" s="2" t="s">
        <v>4643</v>
      </c>
      <c r="B1795" s="2" t="s">
        <v>23583</v>
      </c>
      <c r="C1795" s="2">
        <v>2.01985138E8</v>
      </c>
      <c r="D1795" s="2" t="s">
        <v>23584</v>
      </c>
      <c r="E1795" s="2">
        <v>1402994.0</v>
      </c>
      <c r="F1795" s="2">
        <v>1319.0</v>
      </c>
      <c r="G1795" s="2">
        <v>3229.0</v>
      </c>
      <c r="H1795" s="2" t="s">
        <v>5906</v>
      </c>
      <c r="I1795" s="2" t="s">
        <v>5905</v>
      </c>
      <c r="J1795" s="2" t="s">
        <v>6393</v>
      </c>
      <c r="K1795" s="2" t="s">
        <v>23585</v>
      </c>
      <c r="L1795" s="10" t="s">
        <v>23586</v>
      </c>
    </row>
    <row r="1796">
      <c r="A1796" s="2" t="s">
        <v>4643</v>
      </c>
      <c r="B1796" s="2" t="s">
        <v>21433</v>
      </c>
      <c r="C1796" s="2">
        <v>6.1228201708E10</v>
      </c>
      <c r="D1796" s="2" t="s">
        <v>21434</v>
      </c>
      <c r="E1796" s="2">
        <v>444123.0</v>
      </c>
      <c r="F1796" s="2">
        <v>482.0</v>
      </c>
      <c r="G1796" s="2">
        <v>752.0</v>
      </c>
      <c r="H1796" s="2" t="s">
        <v>5906</v>
      </c>
      <c r="I1796" s="2" t="s">
        <v>5905</v>
      </c>
      <c r="J1796" s="2" t="s">
        <v>5391</v>
      </c>
      <c r="K1796" s="2" t="s">
        <v>21435</v>
      </c>
      <c r="L1796" s="10" t="s">
        <v>21436</v>
      </c>
    </row>
    <row r="1797">
      <c r="A1797" s="2" t="s">
        <v>4643</v>
      </c>
      <c r="B1797" s="2" t="s">
        <v>18666</v>
      </c>
      <c r="C1797" s="2">
        <v>2.83628115E8</v>
      </c>
      <c r="D1797" s="2" t="s">
        <v>18667</v>
      </c>
      <c r="E1797" s="2">
        <v>943595.0</v>
      </c>
      <c r="F1797" s="2">
        <v>2506.0</v>
      </c>
      <c r="G1797" s="2">
        <v>2718.0</v>
      </c>
      <c r="H1797" s="2" t="s">
        <v>5906</v>
      </c>
      <c r="I1797" s="2" t="s">
        <v>5905</v>
      </c>
      <c r="J1797" s="2" t="s">
        <v>5492</v>
      </c>
      <c r="K1797" s="2" t="s">
        <v>18668</v>
      </c>
      <c r="L1797" s="10" t="s">
        <v>18669</v>
      </c>
    </row>
    <row r="1798">
      <c r="A1798" s="2" t="s">
        <v>4643</v>
      </c>
      <c r="B1798" s="2" t="s">
        <v>21445</v>
      </c>
      <c r="C1798" s="2">
        <v>6.7136457222E10</v>
      </c>
      <c r="D1798" s="2" t="s">
        <v>21446</v>
      </c>
      <c r="E1798" s="2">
        <v>332548.0</v>
      </c>
      <c r="F1798" s="2">
        <v>72.0</v>
      </c>
      <c r="G1798" s="2">
        <v>843.0</v>
      </c>
      <c r="H1798" s="2" t="s">
        <v>5906</v>
      </c>
      <c r="I1798" s="2" t="s">
        <v>5905</v>
      </c>
      <c r="J1798" s="2" t="s">
        <v>5959</v>
      </c>
      <c r="K1798" s="2" t="s">
        <v>21447</v>
      </c>
      <c r="L1798" s="10" t="s">
        <v>21448</v>
      </c>
    </row>
    <row r="1799">
      <c r="A1799" s="2" t="s">
        <v>4643</v>
      </c>
      <c r="B1799" s="2" t="s">
        <v>23587</v>
      </c>
      <c r="C1799" s="2">
        <v>6.046028901E10</v>
      </c>
      <c r="D1799" s="2" t="s">
        <v>23588</v>
      </c>
      <c r="E1799" s="2">
        <v>44156.0</v>
      </c>
      <c r="F1799" s="2">
        <v>387.0</v>
      </c>
      <c r="G1799" s="2">
        <v>364.0</v>
      </c>
      <c r="H1799" s="2" t="s">
        <v>5905</v>
      </c>
      <c r="I1799" s="2" t="s">
        <v>5905</v>
      </c>
      <c r="J1799" s="2" t="s">
        <v>6745</v>
      </c>
      <c r="K1799" s="2" t="s">
        <v>23589</v>
      </c>
      <c r="L1799" s="10" t="s">
        <v>23590</v>
      </c>
    </row>
    <row r="1800">
      <c r="A1800" s="2" t="s">
        <v>4643</v>
      </c>
      <c r="B1800" s="2" t="s">
        <v>21453</v>
      </c>
      <c r="C1800" s="2">
        <v>8.566919777E9</v>
      </c>
      <c r="D1800" s="2" t="s">
        <v>21454</v>
      </c>
      <c r="E1800" s="2">
        <v>119234.0</v>
      </c>
      <c r="F1800" s="2">
        <v>3539.0</v>
      </c>
      <c r="G1800" s="2">
        <v>2068.0</v>
      </c>
      <c r="H1800" s="2" t="s">
        <v>5906</v>
      </c>
      <c r="I1800" s="2" t="s">
        <v>5906</v>
      </c>
      <c r="J1800" s="2" t="s">
        <v>5391</v>
      </c>
      <c r="K1800" s="2" t="s">
        <v>21455</v>
      </c>
      <c r="L1800" s="10" t="s">
        <v>21456</v>
      </c>
    </row>
    <row r="1801">
      <c r="A1801" s="2" t="s">
        <v>4643</v>
      </c>
      <c r="B1801" s="2" t="s">
        <v>23591</v>
      </c>
      <c r="C1801" s="2">
        <v>2.07898247E8</v>
      </c>
      <c r="D1801" s="2" t="s">
        <v>23592</v>
      </c>
      <c r="E1801" s="2">
        <v>410289.0</v>
      </c>
      <c r="F1801" s="2">
        <v>135.0</v>
      </c>
      <c r="G1801" s="2">
        <v>2784.0</v>
      </c>
      <c r="H1801" s="2" t="s">
        <v>5906</v>
      </c>
      <c r="I1801" s="2" t="s">
        <v>5905</v>
      </c>
      <c r="J1801" s="2" t="s">
        <v>19601</v>
      </c>
      <c r="K1801" s="2" t="s">
        <v>23593</v>
      </c>
      <c r="L1801" s="10" t="s">
        <v>23594</v>
      </c>
    </row>
    <row r="1802">
      <c r="A1802" s="2" t="s">
        <v>4643</v>
      </c>
      <c r="B1802" s="2" t="s">
        <v>23595</v>
      </c>
      <c r="C1802" s="2">
        <v>4.9361204597E10</v>
      </c>
      <c r="D1802" s="2" t="s">
        <v>23596</v>
      </c>
      <c r="E1802" s="2">
        <v>306944.0</v>
      </c>
      <c r="F1802" s="2">
        <v>152.0</v>
      </c>
      <c r="G1802" s="2">
        <v>719.0</v>
      </c>
      <c r="H1802" s="2" t="s">
        <v>5906</v>
      </c>
      <c r="I1802" s="2" t="s">
        <v>5905</v>
      </c>
      <c r="J1802" s="2" t="s">
        <v>5959</v>
      </c>
      <c r="K1802" s="2" t="s">
        <v>23597</v>
      </c>
      <c r="L1802" s="10" t="s">
        <v>23598</v>
      </c>
    </row>
    <row r="1803">
      <c r="A1803" s="2" t="s">
        <v>4643</v>
      </c>
      <c r="B1803" s="2" t="s">
        <v>21461</v>
      </c>
      <c r="C1803" s="2">
        <v>2.1653307384E10</v>
      </c>
      <c r="D1803" s="2" t="s">
        <v>21462</v>
      </c>
      <c r="E1803" s="2">
        <v>893692.0</v>
      </c>
      <c r="F1803" s="2">
        <v>93.0</v>
      </c>
      <c r="G1803" s="2">
        <v>2609.0</v>
      </c>
      <c r="H1803" s="2" t="s">
        <v>5905</v>
      </c>
      <c r="I1803" s="2" t="s">
        <v>5906</v>
      </c>
      <c r="J1803" s="2" t="s">
        <v>6161</v>
      </c>
      <c r="K1803" s="2" t="s">
        <v>21463</v>
      </c>
      <c r="L1803" s="10" t="s">
        <v>21464</v>
      </c>
    </row>
    <row r="1804">
      <c r="A1804" s="2" t="s">
        <v>4643</v>
      </c>
      <c r="B1804" s="2" t="s">
        <v>23599</v>
      </c>
      <c r="C1804" s="2">
        <v>3.106386257E9</v>
      </c>
      <c r="D1804" s="2" t="s">
        <v>23600</v>
      </c>
      <c r="E1804" s="2">
        <v>644499.0</v>
      </c>
      <c r="F1804" s="2">
        <v>62.0</v>
      </c>
      <c r="G1804" s="2">
        <v>1310.0</v>
      </c>
      <c r="H1804" s="2" t="s">
        <v>5906</v>
      </c>
      <c r="I1804" s="2" t="s">
        <v>5906</v>
      </c>
      <c r="J1804" s="2" t="s">
        <v>11797</v>
      </c>
      <c r="K1804" s="2" t="s">
        <v>23601</v>
      </c>
      <c r="L1804" s="10" t="s">
        <v>23602</v>
      </c>
    </row>
    <row r="1805">
      <c r="A1805" s="2" t="s">
        <v>4643</v>
      </c>
      <c r="B1805" s="2" t="s">
        <v>23603</v>
      </c>
      <c r="C1805" s="2">
        <v>5162610.0</v>
      </c>
      <c r="D1805" s="2" t="s">
        <v>23604</v>
      </c>
      <c r="E1805" s="2">
        <v>1.1897365E7</v>
      </c>
      <c r="F1805" s="2">
        <v>124.0</v>
      </c>
      <c r="G1805" s="2">
        <v>4343.0</v>
      </c>
      <c r="H1805" s="2" t="s">
        <v>5906</v>
      </c>
      <c r="I1805" s="2" t="s">
        <v>5906</v>
      </c>
      <c r="K1805" s="2" t="s">
        <v>23605</v>
      </c>
      <c r="L1805" s="10" t="s">
        <v>23606</v>
      </c>
    </row>
    <row r="1806">
      <c r="A1806" s="2" t="s">
        <v>4706</v>
      </c>
      <c r="B1806" s="2" t="s">
        <v>23607</v>
      </c>
      <c r="C1806" s="2">
        <v>7.41572255E9</v>
      </c>
      <c r="D1806" s="2" t="s">
        <v>23608</v>
      </c>
      <c r="E1806" s="2">
        <v>404449.0</v>
      </c>
      <c r="F1806" s="2">
        <v>798.0</v>
      </c>
      <c r="G1806" s="2">
        <v>1096.0</v>
      </c>
      <c r="H1806" s="2" t="s">
        <v>5906</v>
      </c>
      <c r="I1806" s="2" t="s">
        <v>5905</v>
      </c>
      <c r="J1806" s="2" t="s">
        <v>5959</v>
      </c>
      <c r="K1806" s="2" t="s">
        <v>23609</v>
      </c>
      <c r="L1806" s="10" t="s">
        <v>23610</v>
      </c>
    </row>
    <row r="1807">
      <c r="A1807" s="2" t="s">
        <v>4706</v>
      </c>
      <c r="B1807" s="2" t="s">
        <v>23611</v>
      </c>
      <c r="C1807" s="2">
        <v>8.705950088E9</v>
      </c>
      <c r="D1807" s="2" t="s">
        <v>23612</v>
      </c>
      <c r="E1807" s="2">
        <v>841717.0</v>
      </c>
      <c r="F1807" s="2">
        <v>728.0</v>
      </c>
      <c r="G1807" s="2">
        <v>1807.0</v>
      </c>
      <c r="H1807" s="2" t="s">
        <v>5906</v>
      </c>
      <c r="I1807" s="2" t="s">
        <v>5905</v>
      </c>
      <c r="J1807" s="2" t="s">
        <v>5391</v>
      </c>
      <c r="K1807" s="2" t="s">
        <v>23613</v>
      </c>
      <c r="L1807" s="10" t="s">
        <v>23614</v>
      </c>
    </row>
    <row r="1808">
      <c r="A1808" s="2" t="s">
        <v>4706</v>
      </c>
      <c r="B1808" s="2" t="s">
        <v>23615</v>
      </c>
      <c r="C1808" s="2">
        <v>4.5889410198E10</v>
      </c>
      <c r="D1808" s="2" t="s">
        <v>23616</v>
      </c>
      <c r="E1808" s="2">
        <v>37234.0</v>
      </c>
      <c r="F1808" s="2">
        <v>241.0</v>
      </c>
      <c r="G1808" s="2">
        <v>1141.0</v>
      </c>
      <c r="H1808" s="2" t="s">
        <v>5905</v>
      </c>
      <c r="I1808" s="2" t="s">
        <v>5906</v>
      </c>
      <c r="J1808" s="2" t="s">
        <v>6002</v>
      </c>
      <c r="K1808" s="2" t="s">
        <v>23617</v>
      </c>
      <c r="L1808" s="10" t="s">
        <v>23618</v>
      </c>
    </row>
    <row r="1809">
      <c r="A1809" s="2" t="s">
        <v>4706</v>
      </c>
      <c r="B1809" s="2" t="s">
        <v>23619</v>
      </c>
      <c r="C1809" s="2">
        <v>1.0364755604E10</v>
      </c>
      <c r="D1809" s="2" t="s">
        <v>23620</v>
      </c>
      <c r="E1809" s="2">
        <v>138315.0</v>
      </c>
      <c r="F1809" s="2">
        <v>181.0</v>
      </c>
      <c r="G1809" s="2">
        <v>507.0</v>
      </c>
      <c r="H1809" s="2" t="s">
        <v>5906</v>
      </c>
      <c r="I1809" s="2" t="s">
        <v>5905</v>
      </c>
      <c r="J1809" s="2" t="s">
        <v>5959</v>
      </c>
      <c r="K1809" s="2" t="s">
        <v>23621</v>
      </c>
      <c r="L1809" s="10" t="s">
        <v>23622</v>
      </c>
    </row>
    <row r="1810">
      <c r="A1810" s="2" t="s">
        <v>4634</v>
      </c>
      <c r="B1810" s="2" t="s">
        <v>23623</v>
      </c>
      <c r="C1810" s="2">
        <v>4.35764222E9</v>
      </c>
      <c r="D1810" s="2" t="s">
        <v>23624</v>
      </c>
      <c r="E1810" s="2">
        <v>1719046.0</v>
      </c>
      <c r="F1810" s="2">
        <v>309.0</v>
      </c>
      <c r="G1810" s="2">
        <v>2425.0</v>
      </c>
      <c r="H1810" s="2" t="s">
        <v>5906</v>
      </c>
      <c r="I1810" s="2" t="s">
        <v>5906</v>
      </c>
      <c r="J1810" s="2" t="s">
        <v>6393</v>
      </c>
      <c r="K1810" s="2" t="s">
        <v>23625</v>
      </c>
      <c r="L1810" s="10" t="s">
        <v>23626</v>
      </c>
    </row>
    <row r="1811">
      <c r="A1811" s="2" t="s">
        <v>4634</v>
      </c>
      <c r="B1811" s="2" t="s">
        <v>23627</v>
      </c>
      <c r="C1811" s="2">
        <v>7.2795852389E10</v>
      </c>
      <c r="D1811" s="2" t="s">
        <v>23628</v>
      </c>
      <c r="E1811" s="2">
        <v>73822.0</v>
      </c>
      <c r="F1811" s="2">
        <v>27.0</v>
      </c>
      <c r="G1811" s="2">
        <v>751.0</v>
      </c>
      <c r="H1811" s="2" t="s">
        <v>5905</v>
      </c>
      <c r="I1811" s="2" t="s">
        <v>5905</v>
      </c>
      <c r="J1811" s="2" t="s">
        <v>5959</v>
      </c>
      <c r="K1811" s="2" t="s">
        <v>23629</v>
      </c>
      <c r="L1811" s="10" t="s">
        <v>23630</v>
      </c>
    </row>
    <row r="1812">
      <c r="A1812" s="2" t="s">
        <v>4634</v>
      </c>
      <c r="B1812" s="2" t="s">
        <v>23631</v>
      </c>
      <c r="C1812" s="2">
        <v>1.7344589E7</v>
      </c>
      <c r="D1812" s="2" t="s">
        <v>23632</v>
      </c>
      <c r="E1812" s="2">
        <v>47249.0</v>
      </c>
      <c r="F1812" s="2">
        <v>2584.0</v>
      </c>
      <c r="G1812" s="2">
        <v>1990.0</v>
      </c>
      <c r="H1812" s="2" t="s">
        <v>5906</v>
      </c>
      <c r="I1812" s="2" t="s">
        <v>5905</v>
      </c>
      <c r="J1812" s="2" t="s">
        <v>5959</v>
      </c>
      <c r="K1812" s="2" t="s">
        <v>23633</v>
      </c>
      <c r="L1812" s="10" t="s">
        <v>23634</v>
      </c>
    </row>
    <row r="1813">
      <c r="A1813" s="2" t="s">
        <v>4634</v>
      </c>
      <c r="B1813" s="2" t="s">
        <v>23635</v>
      </c>
      <c r="C1813" s="2">
        <v>6.673811536E9</v>
      </c>
      <c r="D1813" s="2" t="s">
        <v>23636</v>
      </c>
      <c r="E1813" s="2">
        <v>210857.0</v>
      </c>
      <c r="F1813" s="2">
        <v>1516.0</v>
      </c>
      <c r="G1813" s="2">
        <v>1250.0</v>
      </c>
      <c r="H1813" s="2" t="s">
        <v>5906</v>
      </c>
      <c r="I1813" s="2" t="s">
        <v>5906</v>
      </c>
      <c r="J1813" s="2" t="s">
        <v>23637</v>
      </c>
      <c r="K1813" s="2" t="s">
        <v>23638</v>
      </c>
      <c r="L1813" s="10" t="s">
        <v>23639</v>
      </c>
    </row>
    <row r="1814">
      <c r="A1814" s="2" t="s">
        <v>4634</v>
      </c>
      <c r="B1814" s="2" t="s">
        <v>23640</v>
      </c>
      <c r="C1814" s="2">
        <v>2.155196028E9</v>
      </c>
      <c r="D1814" s="2" t="s">
        <v>23641</v>
      </c>
      <c r="E1814" s="2">
        <v>486376.0</v>
      </c>
      <c r="F1814" s="2">
        <v>579.0</v>
      </c>
      <c r="G1814" s="2">
        <v>4164.0</v>
      </c>
      <c r="H1814" s="2" t="s">
        <v>5905</v>
      </c>
      <c r="I1814" s="2" t="s">
        <v>5905</v>
      </c>
      <c r="J1814" s="2" t="s">
        <v>5561</v>
      </c>
      <c r="K1814" s="2" t="s">
        <v>23642</v>
      </c>
    </row>
    <row r="1815">
      <c r="A1815" s="2" t="s">
        <v>4634</v>
      </c>
      <c r="B1815" s="2" t="s">
        <v>23643</v>
      </c>
      <c r="C1815" s="2">
        <v>3.0860177997E10</v>
      </c>
      <c r="D1815" s="2" t="s">
        <v>23644</v>
      </c>
      <c r="E1815" s="2">
        <v>233051.0</v>
      </c>
      <c r="F1815" s="2">
        <v>778.0</v>
      </c>
      <c r="G1815" s="2">
        <v>698.0</v>
      </c>
      <c r="H1815" s="2" t="s">
        <v>5905</v>
      </c>
      <c r="I1815" s="2" t="s">
        <v>5905</v>
      </c>
      <c r="J1815" s="2" t="s">
        <v>5959</v>
      </c>
      <c r="K1815" s="2" t="s">
        <v>23645</v>
      </c>
    </row>
    <row r="1816">
      <c r="A1816" s="2" t="s">
        <v>4634</v>
      </c>
      <c r="B1816" s="2" t="s">
        <v>23646</v>
      </c>
      <c r="C1816" s="2">
        <v>8.725675877E9</v>
      </c>
      <c r="D1816" s="2" t="s">
        <v>23647</v>
      </c>
      <c r="E1816" s="2">
        <v>2376997.0</v>
      </c>
      <c r="F1816" s="2">
        <v>80.0</v>
      </c>
      <c r="G1816" s="2">
        <v>1541.0</v>
      </c>
      <c r="H1816" s="2" t="s">
        <v>5906</v>
      </c>
      <c r="I1816" s="2" t="s">
        <v>5905</v>
      </c>
      <c r="J1816" s="2" t="s">
        <v>5561</v>
      </c>
      <c r="K1816" s="2" t="s">
        <v>23648</v>
      </c>
      <c r="L1816" s="10" t="s">
        <v>23649</v>
      </c>
    </row>
    <row r="1817">
      <c r="A1817" s="2" t="s">
        <v>4634</v>
      </c>
      <c r="B1817" s="2" t="s">
        <v>23650</v>
      </c>
      <c r="C1817" s="2">
        <v>2.304127122E9</v>
      </c>
      <c r="D1817" s="2" t="s">
        <v>23651</v>
      </c>
      <c r="E1817" s="2">
        <v>28406.0</v>
      </c>
      <c r="F1817" s="2">
        <v>890.0</v>
      </c>
      <c r="G1817" s="2">
        <v>1879.0</v>
      </c>
      <c r="H1817" s="2" t="s">
        <v>5905</v>
      </c>
      <c r="I1817" s="2" t="s">
        <v>5906</v>
      </c>
      <c r="J1817" s="2" t="s">
        <v>6002</v>
      </c>
      <c r="K1817" s="2" t="s">
        <v>23652</v>
      </c>
      <c r="L1817" s="10" t="s">
        <v>23653</v>
      </c>
    </row>
    <row r="1818">
      <c r="A1818" s="2" t="s">
        <v>4634</v>
      </c>
      <c r="B1818" s="2" t="s">
        <v>23654</v>
      </c>
      <c r="C1818" s="2">
        <v>5.4140197418E10</v>
      </c>
      <c r="D1818" s="2" t="s">
        <v>23655</v>
      </c>
      <c r="E1818" s="2">
        <v>102172.0</v>
      </c>
      <c r="F1818" s="2">
        <v>50.0</v>
      </c>
      <c r="G1818" s="2">
        <v>249.0</v>
      </c>
      <c r="H1818" s="2" t="s">
        <v>5905</v>
      </c>
      <c r="I1818" s="2" t="s">
        <v>5905</v>
      </c>
      <c r="J1818" s="2" t="s">
        <v>5492</v>
      </c>
      <c r="K1818" s="2" t="s">
        <v>23656</v>
      </c>
      <c r="L1818" s="10" t="s">
        <v>23657</v>
      </c>
    </row>
    <row r="1819">
      <c r="A1819" s="2" t="s">
        <v>4634</v>
      </c>
      <c r="B1819" s="2" t="s">
        <v>23658</v>
      </c>
      <c r="C1819" s="2">
        <v>1.72306042E9</v>
      </c>
      <c r="D1819" s="2" t="s">
        <v>23659</v>
      </c>
      <c r="E1819" s="2">
        <v>257855.0</v>
      </c>
      <c r="F1819" s="2">
        <v>1082.0</v>
      </c>
      <c r="G1819" s="2">
        <v>2103.0</v>
      </c>
      <c r="H1819" s="2" t="s">
        <v>5906</v>
      </c>
      <c r="I1819" s="2" t="s">
        <v>5906</v>
      </c>
      <c r="J1819" s="2" t="s">
        <v>7431</v>
      </c>
      <c r="K1819" s="2" t="s">
        <v>23660</v>
      </c>
      <c r="L1819" s="10" t="s">
        <v>23661</v>
      </c>
    </row>
    <row r="1820">
      <c r="A1820" s="2" t="s">
        <v>4634</v>
      </c>
      <c r="B1820" s="2" t="s">
        <v>23662</v>
      </c>
      <c r="C1820" s="2">
        <v>6.1382309686E10</v>
      </c>
      <c r="D1820" s="2" t="s">
        <v>23663</v>
      </c>
      <c r="E1820" s="2">
        <v>2504530.0</v>
      </c>
      <c r="F1820" s="2">
        <v>7.0</v>
      </c>
      <c r="G1820" s="2">
        <v>243.0</v>
      </c>
      <c r="H1820" s="2" t="s">
        <v>5905</v>
      </c>
      <c r="I1820" s="2" t="s">
        <v>5905</v>
      </c>
      <c r="J1820" s="2" t="s">
        <v>5959</v>
      </c>
      <c r="K1820" s="2" t="s">
        <v>23664</v>
      </c>
      <c r="L1820" s="10" t="s">
        <v>23665</v>
      </c>
    </row>
    <row r="1821">
      <c r="A1821" s="2" t="s">
        <v>4634</v>
      </c>
      <c r="B1821" s="2" t="s">
        <v>23666</v>
      </c>
      <c r="C1821" s="2">
        <v>1.60472298E9</v>
      </c>
      <c r="D1821" s="2" t="s">
        <v>23667</v>
      </c>
      <c r="E1821" s="2">
        <v>464613.0</v>
      </c>
      <c r="F1821" s="2">
        <v>602.0</v>
      </c>
      <c r="G1821" s="2">
        <v>2364.0</v>
      </c>
      <c r="H1821" s="2" t="s">
        <v>5905</v>
      </c>
      <c r="I1821" s="2" t="s">
        <v>5906</v>
      </c>
      <c r="J1821" s="2" t="s">
        <v>7431</v>
      </c>
      <c r="K1821" s="2" t="s">
        <v>23668</v>
      </c>
      <c r="L1821" s="10" t="s">
        <v>23669</v>
      </c>
    </row>
    <row r="1822">
      <c r="A1822" s="2" t="s">
        <v>4634</v>
      </c>
      <c r="B1822" s="2" t="s">
        <v>23670</v>
      </c>
      <c r="C1822" s="2">
        <v>4.5468739921E10</v>
      </c>
      <c r="D1822" s="2" t="s">
        <v>23671</v>
      </c>
      <c r="E1822" s="2">
        <v>324211.0</v>
      </c>
      <c r="F1822" s="2">
        <v>1001.0</v>
      </c>
      <c r="G1822" s="2">
        <v>446.0</v>
      </c>
      <c r="H1822" s="2" t="s">
        <v>5906</v>
      </c>
      <c r="I1822" s="2" t="s">
        <v>5906</v>
      </c>
      <c r="J1822" s="2" t="s">
        <v>5959</v>
      </c>
      <c r="K1822" s="2" t="s">
        <v>23672</v>
      </c>
      <c r="L1822" s="10" t="s">
        <v>23673</v>
      </c>
    </row>
    <row r="1823">
      <c r="A1823" s="2" t="s">
        <v>4444</v>
      </c>
      <c r="B1823" s="2" t="s">
        <v>4444</v>
      </c>
      <c r="C1823" s="2">
        <v>2531092.0</v>
      </c>
      <c r="D1823" s="2" t="s">
        <v>23674</v>
      </c>
      <c r="E1823" s="2">
        <v>192960.0</v>
      </c>
      <c r="F1823" s="2">
        <v>6696.0</v>
      </c>
      <c r="G1823" s="2">
        <v>4558.0</v>
      </c>
      <c r="H1823" s="2" t="s">
        <v>5905</v>
      </c>
      <c r="I1823" s="2" t="s">
        <v>5906</v>
      </c>
      <c r="K1823" s="2" t="s">
        <v>23675</v>
      </c>
    </row>
    <row r="1824">
      <c r="A1824" s="2" t="s">
        <v>4444</v>
      </c>
      <c r="B1824" s="2" t="s">
        <v>23676</v>
      </c>
      <c r="C1824" s="2">
        <v>3.408653794E9</v>
      </c>
      <c r="D1824" s="2" t="s">
        <v>23677</v>
      </c>
      <c r="E1824" s="2">
        <v>46922.0</v>
      </c>
      <c r="F1824" s="2">
        <v>129.0</v>
      </c>
      <c r="G1824" s="2">
        <v>3283.0</v>
      </c>
      <c r="H1824" s="2" t="s">
        <v>5905</v>
      </c>
      <c r="I1824" s="2" t="s">
        <v>5906</v>
      </c>
      <c r="K1824" s="2" t="s">
        <v>23678</v>
      </c>
      <c r="L1824" s="10" t="s">
        <v>23679</v>
      </c>
    </row>
    <row r="1825">
      <c r="A1825" s="2" t="s">
        <v>4444</v>
      </c>
      <c r="B1825" s="2" t="s">
        <v>23680</v>
      </c>
      <c r="C1825" s="2">
        <v>4.75211728E8</v>
      </c>
      <c r="D1825" s="2" t="s">
        <v>23681</v>
      </c>
      <c r="E1825" s="2">
        <v>120745.0</v>
      </c>
      <c r="F1825" s="2">
        <v>636.0</v>
      </c>
      <c r="G1825" s="2">
        <v>1283.0</v>
      </c>
      <c r="H1825" s="2" t="s">
        <v>5906</v>
      </c>
      <c r="I1825" s="2" t="s">
        <v>5906</v>
      </c>
      <c r="K1825" s="2" t="s">
        <v>23682</v>
      </c>
      <c r="L1825" s="10" t="s">
        <v>23683</v>
      </c>
    </row>
    <row r="1826">
      <c r="A1826" s="2" t="s">
        <v>4444</v>
      </c>
      <c r="B1826" s="2" t="s">
        <v>23684</v>
      </c>
      <c r="C1826" s="2">
        <v>5.8772775538E10</v>
      </c>
      <c r="D1826" s="2" t="s">
        <v>23685</v>
      </c>
      <c r="E1826" s="2">
        <v>48743.0</v>
      </c>
      <c r="F1826" s="2">
        <v>495.0</v>
      </c>
      <c r="G1826" s="2">
        <v>271.0</v>
      </c>
      <c r="H1826" s="2" t="s">
        <v>5905</v>
      </c>
      <c r="I1826" s="2" t="s">
        <v>5906</v>
      </c>
      <c r="J1826" s="2" t="s">
        <v>5968</v>
      </c>
      <c r="K1826" s="2" t="s">
        <v>23686</v>
      </c>
      <c r="L1826" s="10" t="s">
        <v>23687</v>
      </c>
    </row>
    <row r="1827">
      <c r="A1827" s="2" t="s">
        <v>4444</v>
      </c>
      <c r="B1827" s="2" t="s">
        <v>23688</v>
      </c>
      <c r="C1827" s="2">
        <v>3.9820756E7</v>
      </c>
      <c r="D1827" s="2" t="s">
        <v>23689</v>
      </c>
      <c r="E1827" s="2">
        <v>376058.0</v>
      </c>
      <c r="F1827" s="2">
        <v>1305.0</v>
      </c>
      <c r="G1827" s="2">
        <v>13886.0</v>
      </c>
      <c r="H1827" s="2" t="s">
        <v>5906</v>
      </c>
      <c r="I1827" s="2" t="s">
        <v>5906</v>
      </c>
      <c r="J1827" s="2" t="s">
        <v>12774</v>
      </c>
      <c r="K1827" s="2" t="s">
        <v>23690</v>
      </c>
      <c r="L1827" s="10" t="s">
        <v>23691</v>
      </c>
    </row>
    <row r="1828">
      <c r="A1828" s="2" t="s">
        <v>4444</v>
      </c>
      <c r="B1828" s="2" t="s">
        <v>23692</v>
      </c>
      <c r="C1828" s="2">
        <v>3.7381759384E10</v>
      </c>
      <c r="D1828" s="2" t="s">
        <v>23692</v>
      </c>
      <c r="E1828" s="2">
        <v>105377.0</v>
      </c>
      <c r="F1828" s="2">
        <v>481.0</v>
      </c>
      <c r="G1828" s="2">
        <v>225.0</v>
      </c>
      <c r="H1828" s="2" t="s">
        <v>5905</v>
      </c>
      <c r="I1828" s="2" t="s">
        <v>5905</v>
      </c>
      <c r="J1828" s="2" t="s">
        <v>5993</v>
      </c>
      <c r="K1828" s="2" t="s">
        <v>23693</v>
      </c>
      <c r="L1828" s="10" t="s">
        <v>23694</v>
      </c>
    </row>
    <row r="1829">
      <c r="A1829" s="2" t="s">
        <v>4444</v>
      </c>
      <c r="B1829" s="2" t="s">
        <v>23695</v>
      </c>
      <c r="C1829" s="2">
        <v>1.125853061E9</v>
      </c>
      <c r="D1829" s="2" t="s">
        <v>23696</v>
      </c>
      <c r="E1829" s="2">
        <v>475992.0</v>
      </c>
      <c r="F1829" s="2">
        <v>1304.0</v>
      </c>
      <c r="G1829" s="2">
        <v>3065.0</v>
      </c>
      <c r="H1829" s="2" t="s">
        <v>5906</v>
      </c>
      <c r="I1829" s="2" t="s">
        <v>5906</v>
      </c>
      <c r="J1829" s="2" t="s">
        <v>5492</v>
      </c>
      <c r="K1829" s="2" t="s">
        <v>23697</v>
      </c>
      <c r="L1829" s="10" t="s">
        <v>23698</v>
      </c>
    </row>
    <row r="1830">
      <c r="A1830" s="2" t="s">
        <v>4444</v>
      </c>
      <c r="B1830" s="2" t="s">
        <v>23699</v>
      </c>
      <c r="C1830" s="2">
        <v>5.2266382033E10</v>
      </c>
      <c r="D1830" s="2" t="s">
        <v>23700</v>
      </c>
      <c r="E1830" s="2">
        <v>81888.0</v>
      </c>
      <c r="F1830" s="2">
        <v>718.0</v>
      </c>
      <c r="G1830" s="2">
        <v>51.0</v>
      </c>
      <c r="H1830" s="2" t="s">
        <v>5905</v>
      </c>
      <c r="I1830" s="2" t="s">
        <v>5905</v>
      </c>
      <c r="J1830" s="2" t="s">
        <v>6354</v>
      </c>
      <c r="K1830" s="2" t="s">
        <v>23701</v>
      </c>
    </row>
    <row r="1831">
      <c r="A1831" s="2" t="s">
        <v>4444</v>
      </c>
      <c r="B1831" s="2" t="s">
        <v>23702</v>
      </c>
      <c r="C1831" s="2">
        <v>1.750513735E9</v>
      </c>
      <c r="D1831" s="2" t="s">
        <v>23703</v>
      </c>
      <c r="E1831" s="2">
        <v>211649.0</v>
      </c>
      <c r="F1831" s="2">
        <v>1166.0</v>
      </c>
      <c r="G1831" s="2">
        <v>2199.0</v>
      </c>
      <c r="H1831" s="2" t="s">
        <v>5905</v>
      </c>
      <c r="I1831" s="2" t="s">
        <v>5906</v>
      </c>
      <c r="K1831" s="2" t="s">
        <v>23704</v>
      </c>
      <c r="L1831" s="10" t="s">
        <v>23705</v>
      </c>
    </row>
    <row r="1832">
      <c r="A1832" s="2" t="s">
        <v>2184</v>
      </c>
      <c r="B1832" s="10" t="s">
        <v>23706</v>
      </c>
      <c r="C1832" s="2">
        <v>3.9766320876E10</v>
      </c>
      <c r="D1832" s="2" t="s">
        <v>23707</v>
      </c>
      <c r="E1832" s="2">
        <v>99484.0</v>
      </c>
      <c r="F1832" s="2">
        <v>865.0</v>
      </c>
      <c r="G1832" s="2">
        <v>648.0</v>
      </c>
      <c r="H1832" s="2" t="s">
        <v>5905</v>
      </c>
      <c r="I1832" s="2" t="s">
        <v>5905</v>
      </c>
      <c r="J1832" s="2" t="s">
        <v>15546</v>
      </c>
      <c r="K1832" s="2" t="s">
        <v>23708</v>
      </c>
    </row>
    <row r="1833">
      <c r="A1833" s="2" t="s">
        <v>2184</v>
      </c>
      <c r="B1833" s="2" t="s">
        <v>23709</v>
      </c>
      <c r="C1833" s="2">
        <v>1.2314280219E10</v>
      </c>
      <c r="D1833" s="2" t="s">
        <v>23710</v>
      </c>
      <c r="E1833" s="2">
        <v>12506.0</v>
      </c>
      <c r="F1833" s="2">
        <v>62.0</v>
      </c>
      <c r="G1833" s="2">
        <v>218.0</v>
      </c>
      <c r="H1833" s="2" t="s">
        <v>5905</v>
      </c>
      <c r="I1833" s="2" t="s">
        <v>5905</v>
      </c>
      <c r="J1833" s="2" t="s">
        <v>5968</v>
      </c>
      <c r="K1833" s="2" t="s">
        <v>23711</v>
      </c>
    </row>
    <row r="1834">
      <c r="A1834" s="2" t="s">
        <v>2184</v>
      </c>
      <c r="B1834" s="2" t="s">
        <v>23712</v>
      </c>
      <c r="C1834" s="2">
        <v>7.5273587304E10</v>
      </c>
      <c r="D1834" s="2" t="s">
        <v>23713</v>
      </c>
      <c r="E1834" s="2">
        <v>14792.0</v>
      </c>
      <c r="F1834" s="2">
        <v>2.0</v>
      </c>
      <c r="G1834" s="2">
        <v>144.0</v>
      </c>
      <c r="H1834" s="2" t="s">
        <v>5905</v>
      </c>
      <c r="I1834" s="2" t="s">
        <v>5905</v>
      </c>
      <c r="J1834" s="2" t="s">
        <v>16250</v>
      </c>
      <c r="K1834" s="2" t="s">
        <v>23714</v>
      </c>
      <c r="L1834" s="10" t="s">
        <v>23715</v>
      </c>
    </row>
    <row r="1835">
      <c r="A1835" s="2" t="s">
        <v>4439</v>
      </c>
      <c r="B1835" s="2" t="s">
        <v>23716</v>
      </c>
      <c r="C1835" s="2">
        <v>2.66741757E8</v>
      </c>
      <c r="D1835" s="2" t="s">
        <v>23717</v>
      </c>
      <c r="E1835" s="2">
        <v>2551469.0</v>
      </c>
      <c r="F1835" s="2">
        <v>3892.0</v>
      </c>
      <c r="G1835" s="2">
        <v>2106.0</v>
      </c>
      <c r="H1835" s="2" t="s">
        <v>5906</v>
      </c>
      <c r="I1835" s="2" t="s">
        <v>5906</v>
      </c>
      <c r="J1835" s="2" t="s">
        <v>8144</v>
      </c>
      <c r="K1835" s="2" t="s">
        <v>23718</v>
      </c>
      <c r="L1835" s="10" t="s">
        <v>23719</v>
      </c>
    </row>
    <row r="1836">
      <c r="A1836" s="2" t="s">
        <v>4439</v>
      </c>
      <c r="B1836" s="2" t="s">
        <v>23720</v>
      </c>
      <c r="C1836" s="2">
        <v>2.290782744E9</v>
      </c>
      <c r="D1836" s="2" t="s">
        <v>23721</v>
      </c>
      <c r="E1836" s="2">
        <v>1654442.0</v>
      </c>
      <c r="F1836" s="2">
        <v>67.0</v>
      </c>
      <c r="G1836" s="2">
        <v>1274.0</v>
      </c>
      <c r="H1836" s="2" t="s">
        <v>5906</v>
      </c>
      <c r="I1836" s="2" t="s">
        <v>5905</v>
      </c>
      <c r="J1836" s="2" t="s">
        <v>4397</v>
      </c>
      <c r="K1836" s="2" t="s">
        <v>23722</v>
      </c>
      <c r="L1836" s="10" t="s">
        <v>23723</v>
      </c>
    </row>
    <row r="1837">
      <c r="A1837" s="2" t="s">
        <v>4439</v>
      </c>
      <c r="B1837" s="2" t="s">
        <v>23724</v>
      </c>
      <c r="C1837" s="2">
        <v>3.8958600693E10</v>
      </c>
      <c r="D1837" s="2" t="s">
        <v>4439</v>
      </c>
      <c r="E1837" s="2">
        <v>296099.0</v>
      </c>
      <c r="F1837" s="2">
        <v>7.0</v>
      </c>
      <c r="G1837" s="2">
        <v>765.0</v>
      </c>
      <c r="H1837" s="2" t="s">
        <v>5905</v>
      </c>
      <c r="I1837" s="2" t="s">
        <v>5905</v>
      </c>
      <c r="J1837" s="2" t="s">
        <v>5492</v>
      </c>
      <c r="K1837" s="2" t="s">
        <v>23725</v>
      </c>
      <c r="L1837" s="10" t="s">
        <v>23726</v>
      </c>
    </row>
    <row r="1838">
      <c r="A1838" s="2" t="s">
        <v>4439</v>
      </c>
      <c r="B1838" s="2" t="s">
        <v>23727</v>
      </c>
      <c r="C1838" s="2">
        <v>5.442140475E9</v>
      </c>
      <c r="D1838" s="2" t="s">
        <v>23728</v>
      </c>
      <c r="E1838" s="2">
        <v>783034.0</v>
      </c>
      <c r="F1838" s="2">
        <v>1562.0</v>
      </c>
      <c r="G1838" s="2">
        <v>428.0</v>
      </c>
      <c r="H1838" s="2" t="s">
        <v>5905</v>
      </c>
      <c r="I1838" s="2" t="s">
        <v>5906</v>
      </c>
      <c r="J1838" s="2" t="s">
        <v>8144</v>
      </c>
      <c r="K1838" s="2" t="s">
        <v>23729</v>
      </c>
      <c r="L1838" s="10" t="s">
        <v>23730</v>
      </c>
    </row>
    <row r="1839">
      <c r="A1839" s="2" t="s">
        <v>4439</v>
      </c>
      <c r="B1839" s="2" t="s">
        <v>23731</v>
      </c>
      <c r="C1839" s="2">
        <v>6.407518389E9</v>
      </c>
      <c r="D1839" s="2" t="s">
        <v>23732</v>
      </c>
      <c r="E1839" s="2">
        <v>521361.0</v>
      </c>
      <c r="F1839" s="2">
        <v>1812.0</v>
      </c>
      <c r="G1839" s="2">
        <v>1868.0</v>
      </c>
      <c r="H1839" s="2" t="s">
        <v>5906</v>
      </c>
      <c r="I1839" s="2" t="s">
        <v>5905</v>
      </c>
      <c r="J1839" s="2" t="s">
        <v>5928</v>
      </c>
      <c r="K1839" s="2" t="s">
        <v>23733</v>
      </c>
      <c r="L1839" s="10" t="s">
        <v>23734</v>
      </c>
    </row>
    <row r="1840">
      <c r="A1840" s="2" t="s">
        <v>4439</v>
      </c>
      <c r="B1840" s="2" t="s">
        <v>23735</v>
      </c>
      <c r="C1840" s="2">
        <v>4.5181687479E10</v>
      </c>
      <c r="D1840" s="2" t="s">
        <v>23736</v>
      </c>
      <c r="E1840" s="2">
        <v>416960.0</v>
      </c>
      <c r="F1840" s="2">
        <v>462.0</v>
      </c>
      <c r="G1840" s="2">
        <v>1753.0</v>
      </c>
      <c r="H1840" s="2" t="s">
        <v>5905</v>
      </c>
      <c r="I1840" s="2" t="s">
        <v>5905</v>
      </c>
      <c r="J1840" s="2" t="s">
        <v>5561</v>
      </c>
      <c r="K1840" s="2" t="s">
        <v>23737</v>
      </c>
      <c r="L1840" s="10" t="s">
        <v>23738</v>
      </c>
    </row>
    <row r="1841">
      <c r="A1841" s="2" t="s">
        <v>4439</v>
      </c>
      <c r="B1841" s="2" t="s">
        <v>23739</v>
      </c>
      <c r="C1841" s="2">
        <v>4.7182894626E10</v>
      </c>
      <c r="D1841" s="2" t="s">
        <v>23740</v>
      </c>
      <c r="E1841" s="2">
        <v>85909.0</v>
      </c>
      <c r="F1841" s="2">
        <v>6292.0</v>
      </c>
      <c r="G1841" s="2">
        <v>1951.0</v>
      </c>
      <c r="H1841" s="2" t="s">
        <v>5905</v>
      </c>
      <c r="I1841" s="2" t="s">
        <v>5905</v>
      </c>
      <c r="J1841" s="2" t="s">
        <v>5959</v>
      </c>
      <c r="K1841" s="2" t="s">
        <v>23741</v>
      </c>
      <c r="L1841" s="10" t="s">
        <v>23742</v>
      </c>
    </row>
    <row r="1842">
      <c r="A1842" s="2" t="s">
        <v>4439</v>
      </c>
      <c r="B1842" s="2" t="s">
        <v>23743</v>
      </c>
      <c r="C1842" s="2">
        <v>1.78690876E9</v>
      </c>
      <c r="D1842" s="2" t="s">
        <v>23744</v>
      </c>
      <c r="E1842" s="2">
        <v>25587.0</v>
      </c>
      <c r="F1842" s="2">
        <v>71.0</v>
      </c>
      <c r="G1842" s="2">
        <v>618.0</v>
      </c>
      <c r="H1842" s="2" t="s">
        <v>5905</v>
      </c>
      <c r="I1842" s="2" t="s">
        <v>5905</v>
      </c>
      <c r="J1842" s="2" t="s">
        <v>23745</v>
      </c>
      <c r="K1842" s="2" t="s">
        <v>23746</v>
      </c>
      <c r="L1842" s="10" t="s">
        <v>23747</v>
      </c>
    </row>
    <row r="1843">
      <c r="A1843" s="2" t="s">
        <v>4439</v>
      </c>
      <c r="B1843" s="2" t="s">
        <v>23748</v>
      </c>
      <c r="C1843" s="2">
        <v>4.5467772665E10</v>
      </c>
      <c r="D1843" s="2" t="s">
        <v>23749</v>
      </c>
      <c r="E1843" s="2">
        <v>143760.0</v>
      </c>
      <c r="F1843" s="2">
        <v>46.0</v>
      </c>
      <c r="G1843" s="2">
        <v>51.0</v>
      </c>
      <c r="H1843" s="2" t="s">
        <v>5906</v>
      </c>
      <c r="I1843" s="2" t="s">
        <v>5906</v>
      </c>
      <c r="J1843" s="2" t="s">
        <v>10778</v>
      </c>
      <c r="K1843" s="2" t="s">
        <v>23750</v>
      </c>
      <c r="L1843" s="10" t="s">
        <v>23751</v>
      </c>
    </row>
    <row r="1844">
      <c r="A1844" s="2" t="s">
        <v>4439</v>
      </c>
      <c r="B1844" s="2" t="s">
        <v>23752</v>
      </c>
      <c r="C1844" s="2">
        <v>2.628351E7</v>
      </c>
      <c r="D1844" s="2" t="s">
        <v>23753</v>
      </c>
      <c r="E1844" s="2">
        <v>820128.0</v>
      </c>
      <c r="F1844" s="2">
        <v>3125.0</v>
      </c>
      <c r="G1844" s="2">
        <v>3077.0</v>
      </c>
      <c r="H1844" s="2" t="s">
        <v>5906</v>
      </c>
      <c r="I1844" s="2" t="s">
        <v>5905</v>
      </c>
      <c r="J1844" s="2" t="s">
        <v>5993</v>
      </c>
      <c r="K1844" s="2" t="s">
        <v>23754</v>
      </c>
      <c r="L1844" s="10" t="s">
        <v>23755</v>
      </c>
    </row>
    <row r="1845">
      <c r="A1845" s="2" t="s">
        <v>4439</v>
      </c>
      <c r="B1845" s="2" t="s">
        <v>23756</v>
      </c>
      <c r="C1845" s="2">
        <v>2.135233579E9</v>
      </c>
      <c r="D1845" s="2" t="s">
        <v>23757</v>
      </c>
      <c r="E1845" s="2">
        <v>94007.0</v>
      </c>
      <c r="F1845" s="2">
        <v>9.0</v>
      </c>
      <c r="G1845" s="2">
        <v>204.0</v>
      </c>
      <c r="H1845" s="2" t="s">
        <v>5905</v>
      </c>
      <c r="I1845" s="2" t="s">
        <v>5906</v>
      </c>
      <c r="J1845" s="2" t="s">
        <v>15448</v>
      </c>
      <c r="K1845" s="2" t="s">
        <v>23758</v>
      </c>
      <c r="L1845" s="10" t="s">
        <v>23759</v>
      </c>
    </row>
    <row r="1846">
      <c r="A1846" s="2" t="s">
        <v>4679</v>
      </c>
      <c r="B1846" s="2" t="s">
        <v>23760</v>
      </c>
      <c r="C1846" s="2">
        <v>6.7524370538E10</v>
      </c>
      <c r="D1846" s="2" t="s">
        <v>23761</v>
      </c>
      <c r="E1846" s="2">
        <v>75944.0</v>
      </c>
      <c r="F1846" s="2">
        <v>0.0</v>
      </c>
      <c r="G1846" s="2">
        <v>396.0</v>
      </c>
      <c r="H1846" s="2" t="s">
        <v>5905</v>
      </c>
      <c r="I1846" s="2" t="s">
        <v>5905</v>
      </c>
      <c r="J1846" s="2" t="s">
        <v>5959</v>
      </c>
      <c r="K1846" s="2" t="s">
        <v>23762</v>
      </c>
      <c r="L1846" s="10" t="s">
        <v>23763</v>
      </c>
    </row>
    <row r="1847">
      <c r="A1847" s="2" t="s">
        <v>4679</v>
      </c>
      <c r="B1847" s="2" t="s">
        <v>23764</v>
      </c>
      <c r="C1847" s="2">
        <v>6.3936902023E10</v>
      </c>
      <c r="D1847" s="2" t="s">
        <v>23765</v>
      </c>
      <c r="E1847" s="2">
        <v>194903.0</v>
      </c>
      <c r="F1847" s="2">
        <v>310.0</v>
      </c>
      <c r="G1847" s="2">
        <v>1908.0</v>
      </c>
      <c r="H1847" s="2" t="s">
        <v>5906</v>
      </c>
      <c r="I1847" s="2" t="s">
        <v>5905</v>
      </c>
      <c r="J1847" s="2" t="s">
        <v>5959</v>
      </c>
      <c r="K1847" s="2" t="s">
        <v>23766</v>
      </c>
      <c r="L1847" s="10" t="s">
        <v>23767</v>
      </c>
    </row>
    <row r="1848">
      <c r="A1848" s="2" t="s">
        <v>4679</v>
      </c>
      <c r="B1848" s="2" t="s">
        <v>23768</v>
      </c>
      <c r="C1848" s="2">
        <v>9.425888592E9</v>
      </c>
      <c r="D1848" s="2" t="s">
        <v>23769</v>
      </c>
      <c r="E1848" s="2">
        <v>45214.0</v>
      </c>
      <c r="F1848" s="2">
        <v>313.0</v>
      </c>
      <c r="G1848" s="2">
        <v>224.0</v>
      </c>
      <c r="H1848" s="2" t="s">
        <v>5906</v>
      </c>
      <c r="I1848" s="2" t="s">
        <v>5905</v>
      </c>
      <c r="J1848" s="2" t="s">
        <v>5492</v>
      </c>
      <c r="K1848" s="2" t="s">
        <v>23770</v>
      </c>
    </row>
    <row r="1849">
      <c r="A1849" s="2" t="s">
        <v>4679</v>
      </c>
      <c r="B1849" s="2" t="s">
        <v>23771</v>
      </c>
      <c r="C1849" s="2">
        <v>2.8897280073E10</v>
      </c>
      <c r="D1849" s="2" t="s">
        <v>23772</v>
      </c>
      <c r="E1849" s="2">
        <v>102198.0</v>
      </c>
      <c r="F1849" s="2">
        <v>58.0</v>
      </c>
      <c r="G1849" s="2">
        <v>541.0</v>
      </c>
      <c r="H1849" s="2" t="s">
        <v>5905</v>
      </c>
      <c r="I1849" s="2" t="s">
        <v>5905</v>
      </c>
      <c r="J1849" s="2" t="s">
        <v>8013</v>
      </c>
      <c r="K1849" s="2" t="s">
        <v>23773</v>
      </c>
      <c r="L1849" s="10" t="s">
        <v>23774</v>
      </c>
    </row>
    <row r="1850">
      <c r="A1850" s="2" t="s">
        <v>4679</v>
      </c>
      <c r="B1850" s="2" t="s">
        <v>23775</v>
      </c>
      <c r="C1850" s="2">
        <v>6.4181795705E10</v>
      </c>
      <c r="D1850" s="2" t="s">
        <v>23776</v>
      </c>
      <c r="E1850" s="2">
        <v>28482.0</v>
      </c>
      <c r="F1850" s="2">
        <v>83.0</v>
      </c>
      <c r="G1850" s="2">
        <v>492.0</v>
      </c>
      <c r="H1850" s="2" t="s">
        <v>5905</v>
      </c>
      <c r="I1850" s="2" t="s">
        <v>5905</v>
      </c>
      <c r="J1850" s="2" t="s">
        <v>5959</v>
      </c>
      <c r="K1850" s="2" t="s">
        <v>23777</v>
      </c>
      <c r="L1850" s="10" t="s">
        <v>23778</v>
      </c>
    </row>
    <row r="1851">
      <c r="A1851" s="2" t="s">
        <v>4679</v>
      </c>
      <c r="B1851" s="2" t="s">
        <v>23779</v>
      </c>
      <c r="C1851" s="2">
        <v>5.958016019E10</v>
      </c>
      <c r="D1851" s="2" t="s">
        <v>23780</v>
      </c>
      <c r="E1851" s="2">
        <v>339831.0</v>
      </c>
      <c r="F1851" s="2">
        <v>331.0</v>
      </c>
      <c r="G1851" s="2">
        <v>1354.0</v>
      </c>
      <c r="H1851" s="2" t="s">
        <v>5906</v>
      </c>
      <c r="I1851" s="2" t="s">
        <v>5905</v>
      </c>
      <c r="J1851" s="2" t="s">
        <v>5959</v>
      </c>
      <c r="K1851" s="2" t="s">
        <v>23781</v>
      </c>
      <c r="L1851" s="10" t="s">
        <v>23782</v>
      </c>
    </row>
    <row r="1852">
      <c r="A1852" s="2" t="s">
        <v>4679</v>
      </c>
      <c r="B1852" s="10" t="s">
        <v>23783</v>
      </c>
      <c r="C1852" s="2">
        <v>5.6809007739E10</v>
      </c>
      <c r="D1852" s="2" t="s">
        <v>23784</v>
      </c>
      <c r="E1852" s="2">
        <v>12914.0</v>
      </c>
      <c r="F1852" s="2">
        <v>0.0</v>
      </c>
      <c r="G1852" s="2">
        <v>136.0</v>
      </c>
      <c r="H1852" s="2" t="s">
        <v>5905</v>
      </c>
      <c r="I1852" s="2" t="s">
        <v>5905</v>
      </c>
      <c r="J1852" s="2" t="s">
        <v>5963</v>
      </c>
      <c r="K1852" s="2" t="s">
        <v>23785</v>
      </c>
      <c r="L1852" s="10" t="s">
        <v>23786</v>
      </c>
    </row>
    <row r="1853">
      <c r="A1853" s="2" t="s">
        <v>3724</v>
      </c>
      <c r="B1853" s="2" t="s">
        <v>23787</v>
      </c>
      <c r="C1853" s="2">
        <v>2.194412793E9</v>
      </c>
      <c r="D1853" s="2" t="s">
        <v>23788</v>
      </c>
      <c r="E1853" s="2">
        <v>123143.0</v>
      </c>
      <c r="F1853" s="2">
        <v>104.0</v>
      </c>
      <c r="G1853" s="2">
        <v>696.0</v>
      </c>
      <c r="H1853" s="2" t="s">
        <v>5905</v>
      </c>
      <c r="I1853" s="2" t="s">
        <v>5906</v>
      </c>
      <c r="J1853" s="2" t="s">
        <v>5963</v>
      </c>
      <c r="K1853" s="12" t="s">
        <v>23789</v>
      </c>
      <c r="L1853" s="10" t="s">
        <v>23790</v>
      </c>
    </row>
    <row r="1854">
      <c r="A1854" s="2" t="s">
        <v>3724</v>
      </c>
      <c r="B1854" s="2" t="s">
        <v>23791</v>
      </c>
      <c r="C1854" s="2">
        <v>4.62955758E8</v>
      </c>
      <c r="D1854" s="2" t="s">
        <v>23792</v>
      </c>
      <c r="E1854" s="2">
        <v>914372.0</v>
      </c>
      <c r="F1854" s="2">
        <v>30.0</v>
      </c>
      <c r="G1854" s="2">
        <v>2946.0</v>
      </c>
      <c r="H1854" s="2" t="s">
        <v>5906</v>
      </c>
      <c r="I1854" s="2" t="s">
        <v>5905</v>
      </c>
      <c r="J1854" s="2" t="s">
        <v>8615</v>
      </c>
      <c r="K1854" s="2" t="s">
        <v>23793</v>
      </c>
      <c r="L1854" s="10" t="s">
        <v>23794</v>
      </c>
    </row>
    <row r="1855">
      <c r="A1855" s="2" t="s">
        <v>3724</v>
      </c>
      <c r="B1855" s="2" t="s">
        <v>23795</v>
      </c>
      <c r="C1855" s="2">
        <v>5.44438421E9</v>
      </c>
      <c r="D1855" s="2" t="s">
        <v>23796</v>
      </c>
      <c r="E1855" s="2">
        <v>696045.0</v>
      </c>
      <c r="F1855" s="2">
        <v>636.0</v>
      </c>
      <c r="G1855" s="2">
        <v>17944.0</v>
      </c>
      <c r="H1855" s="2" t="s">
        <v>5905</v>
      </c>
      <c r="I1855" s="2" t="s">
        <v>5905</v>
      </c>
      <c r="J1855" s="2" t="s">
        <v>10778</v>
      </c>
      <c r="K1855" s="2" t="s">
        <v>23797</v>
      </c>
    </row>
    <row r="1856">
      <c r="A1856" s="2" t="s">
        <v>3724</v>
      </c>
      <c r="B1856" s="2" t="s">
        <v>23798</v>
      </c>
      <c r="C1856" s="2">
        <v>2.1757664057E10</v>
      </c>
      <c r="D1856" s="2" t="s">
        <v>23799</v>
      </c>
      <c r="E1856" s="2">
        <v>38419.0</v>
      </c>
      <c r="F1856" s="2">
        <v>54.0</v>
      </c>
      <c r="G1856" s="2">
        <v>2058.0</v>
      </c>
      <c r="H1856" s="2" t="s">
        <v>5905</v>
      </c>
      <c r="I1856" s="2" t="s">
        <v>5906</v>
      </c>
      <c r="J1856" s="2" t="s">
        <v>6002</v>
      </c>
      <c r="K1856" s="12" t="s">
        <v>23800</v>
      </c>
      <c r="L1856" s="10" t="s">
        <v>23801</v>
      </c>
    </row>
    <row r="1857">
      <c r="A1857" s="2" t="s">
        <v>4134</v>
      </c>
      <c r="B1857" s="2" t="s">
        <v>23802</v>
      </c>
      <c r="C1857" s="2">
        <v>4.5187956883E10</v>
      </c>
      <c r="D1857" s="2" t="s">
        <v>23803</v>
      </c>
      <c r="E1857" s="2">
        <v>590077.0</v>
      </c>
      <c r="F1857" s="2">
        <v>386.0</v>
      </c>
      <c r="G1857" s="2">
        <v>2166.0</v>
      </c>
      <c r="H1857" s="2" t="s">
        <v>5906</v>
      </c>
      <c r="I1857" s="2" t="s">
        <v>5905</v>
      </c>
      <c r="J1857" s="2" t="s">
        <v>5391</v>
      </c>
      <c r="K1857" s="2" t="s">
        <v>23804</v>
      </c>
      <c r="L1857" s="10" t="s">
        <v>23805</v>
      </c>
    </row>
    <row r="1858">
      <c r="A1858" s="2" t="s">
        <v>4134</v>
      </c>
      <c r="B1858" s="2" t="s">
        <v>23806</v>
      </c>
      <c r="C1858" s="2">
        <v>6.5189314499E10</v>
      </c>
      <c r="D1858" s="2" t="s">
        <v>23806</v>
      </c>
      <c r="E1858" s="2">
        <v>25920.0</v>
      </c>
      <c r="F1858" s="2">
        <v>1.0</v>
      </c>
      <c r="G1858" s="2">
        <v>157.0</v>
      </c>
      <c r="H1858" s="2" t="s">
        <v>5905</v>
      </c>
      <c r="I1858" s="2" t="s">
        <v>5906</v>
      </c>
      <c r="J1858" s="2" t="s">
        <v>5963</v>
      </c>
      <c r="K1858" s="2" t="s">
        <v>23807</v>
      </c>
      <c r="L1858" s="10" t="s">
        <v>23808</v>
      </c>
    </row>
    <row r="1859">
      <c r="A1859" s="2" t="s">
        <v>4134</v>
      </c>
      <c r="B1859" s="2" t="s">
        <v>23809</v>
      </c>
      <c r="C1859" s="2">
        <v>1.824292229E9</v>
      </c>
      <c r="D1859" s="2" t="s">
        <v>23810</v>
      </c>
      <c r="E1859" s="2">
        <v>716904.0</v>
      </c>
      <c r="F1859" s="2">
        <v>170.0</v>
      </c>
      <c r="G1859" s="2">
        <v>94.0</v>
      </c>
      <c r="H1859" s="2" t="s">
        <v>5905</v>
      </c>
      <c r="I1859" s="2" t="s">
        <v>5906</v>
      </c>
      <c r="J1859" s="2" t="s">
        <v>23811</v>
      </c>
      <c r="K1859" s="2" t="s">
        <v>23812</v>
      </c>
      <c r="L1859" s="10" t="s">
        <v>23813</v>
      </c>
    </row>
    <row r="1860">
      <c r="A1860" s="2" t="s">
        <v>4134</v>
      </c>
      <c r="B1860" s="2" t="s">
        <v>23814</v>
      </c>
      <c r="C1860" s="2">
        <v>5.4633877361E10</v>
      </c>
      <c r="D1860" s="2" t="s">
        <v>23815</v>
      </c>
      <c r="E1860" s="2">
        <v>51208.0</v>
      </c>
      <c r="F1860" s="2">
        <v>6.0</v>
      </c>
      <c r="G1860" s="2">
        <v>556.0</v>
      </c>
      <c r="H1860" s="2" t="s">
        <v>5906</v>
      </c>
      <c r="I1860" s="2" t="s">
        <v>5905</v>
      </c>
      <c r="J1860" s="2" t="s">
        <v>5963</v>
      </c>
      <c r="K1860" s="2" t="s">
        <v>23816</v>
      </c>
      <c r="L1860" s="10" t="s">
        <v>23817</v>
      </c>
    </row>
    <row r="1861">
      <c r="A1861" s="2" t="s">
        <v>4134</v>
      </c>
      <c r="B1861" s="10" t="s">
        <v>23818</v>
      </c>
      <c r="C1861" s="2">
        <v>8.5529669E9</v>
      </c>
      <c r="D1861" s="2" t="s">
        <v>23819</v>
      </c>
      <c r="E1861" s="2">
        <v>55309.0</v>
      </c>
      <c r="F1861" s="2">
        <v>95.0</v>
      </c>
      <c r="G1861" s="2">
        <v>890.0</v>
      </c>
      <c r="H1861" s="2" t="s">
        <v>5905</v>
      </c>
      <c r="I1861" s="2" t="s">
        <v>5906</v>
      </c>
      <c r="J1861" s="2" t="s">
        <v>23820</v>
      </c>
      <c r="K1861" s="2" t="s">
        <v>23821</v>
      </c>
      <c r="L1861" s="10" t="s">
        <v>23822</v>
      </c>
    </row>
    <row r="1862">
      <c r="A1862" s="2" t="s">
        <v>4134</v>
      </c>
      <c r="B1862" s="2" t="s">
        <v>23823</v>
      </c>
      <c r="C1862" s="2">
        <v>7.422289492E9</v>
      </c>
      <c r="D1862" s="2" t="s">
        <v>23824</v>
      </c>
      <c r="E1862" s="2">
        <v>638954.0</v>
      </c>
      <c r="F1862" s="2">
        <v>20.0</v>
      </c>
      <c r="G1862" s="2">
        <v>523.0</v>
      </c>
      <c r="H1862" s="2" t="s">
        <v>5906</v>
      </c>
      <c r="I1862" s="2" t="s">
        <v>5906</v>
      </c>
      <c r="J1862" s="2" t="s">
        <v>6002</v>
      </c>
      <c r="K1862" s="2" t="s">
        <v>23825</v>
      </c>
      <c r="L1862" s="10" t="s">
        <v>23826</v>
      </c>
    </row>
    <row r="1863">
      <c r="A1863" s="2" t="s">
        <v>4134</v>
      </c>
      <c r="B1863" s="2" t="s">
        <v>23827</v>
      </c>
      <c r="C1863" s="2">
        <v>5.696599374E9</v>
      </c>
      <c r="D1863" s="2" t="s">
        <v>23828</v>
      </c>
      <c r="E1863" s="2">
        <v>16373.0</v>
      </c>
      <c r="F1863" s="2">
        <v>485.0</v>
      </c>
      <c r="G1863" s="2">
        <v>48.0</v>
      </c>
      <c r="H1863" s="2" t="s">
        <v>5905</v>
      </c>
      <c r="I1863" s="2" t="s">
        <v>5905</v>
      </c>
      <c r="J1863" s="2" t="s">
        <v>7140</v>
      </c>
      <c r="K1863" s="2" t="s">
        <v>23829</v>
      </c>
      <c r="L1863" s="10" t="s">
        <v>23830</v>
      </c>
    </row>
    <row r="1864">
      <c r="A1864" s="2" t="s">
        <v>4134</v>
      </c>
      <c r="B1864" s="2" t="s">
        <v>23831</v>
      </c>
      <c r="C1864" s="2">
        <v>3.020794632E9</v>
      </c>
      <c r="D1864" s="2" t="s">
        <v>23832</v>
      </c>
      <c r="E1864" s="2">
        <v>85059.0</v>
      </c>
      <c r="F1864" s="2">
        <v>1.0</v>
      </c>
      <c r="G1864" s="2">
        <v>1013.0</v>
      </c>
      <c r="H1864" s="2" t="s">
        <v>5905</v>
      </c>
      <c r="I1864" s="2" t="s">
        <v>5906</v>
      </c>
      <c r="J1864" s="2" t="s">
        <v>5391</v>
      </c>
      <c r="K1864" s="2" t="s">
        <v>23833</v>
      </c>
      <c r="L1864" s="10" t="s">
        <v>23834</v>
      </c>
    </row>
    <row r="1865">
      <c r="A1865" s="2" t="s">
        <v>4134</v>
      </c>
      <c r="B1865" s="2" t="s">
        <v>23835</v>
      </c>
      <c r="C1865" s="2">
        <v>3.8169525606E10</v>
      </c>
      <c r="D1865" s="2" t="s">
        <v>23836</v>
      </c>
      <c r="E1865" s="2">
        <v>86052.0</v>
      </c>
      <c r="F1865" s="2">
        <v>2080.0</v>
      </c>
      <c r="G1865" s="2">
        <v>444.0</v>
      </c>
      <c r="H1865" s="2" t="s">
        <v>5905</v>
      </c>
      <c r="I1865" s="2" t="s">
        <v>5905</v>
      </c>
      <c r="J1865" s="2" t="s">
        <v>5492</v>
      </c>
      <c r="K1865" s="2" t="s">
        <v>23837</v>
      </c>
      <c r="L1865" s="10" t="s">
        <v>23838</v>
      </c>
    </row>
    <row r="1866">
      <c r="A1866" s="2" t="s">
        <v>4134</v>
      </c>
      <c r="B1866" s="2" t="s">
        <v>23839</v>
      </c>
      <c r="C1866" s="2">
        <v>4.678962468E9</v>
      </c>
      <c r="D1866" s="2" t="s">
        <v>23840</v>
      </c>
      <c r="E1866" s="2">
        <v>477828.0</v>
      </c>
      <c r="F1866" s="2">
        <v>54.0</v>
      </c>
      <c r="G1866" s="2">
        <v>2731.0</v>
      </c>
      <c r="H1866" s="2" t="s">
        <v>5906</v>
      </c>
      <c r="I1866" s="2" t="s">
        <v>5906</v>
      </c>
      <c r="J1866" s="2" t="s">
        <v>7140</v>
      </c>
      <c r="K1866" s="2" t="s">
        <v>23841</v>
      </c>
      <c r="L1866" s="10" t="s">
        <v>23842</v>
      </c>
    </row>
    <row r="1867">
      <c r="A1867" s="2" t="s">
        <v>4134</v>
      </c>
      <c r="B1867" s="2" t="s">
        <v>23843</v>
      </c>
      <c r="C1867" s="2">
        <v>3.062781736E9</v>
      </c>
      <c r="D1867" s="2" t="s">
        <v>4914</v>
      </c>
      <c r="E1867" s="2">
        <v>617094.0</v>
      </c>
      <c r="F1867" s="2">
        <v>4.0</v>
      </c>
      <c r="G1867" s="2">
        <v>1483.0</v>
      </c>
      <c r="H1867" s="2" t="s">
        <v>5906</v>
      </c>
      <c r="I1867" s="2" t="s">
        <v>5906</v>
      </c>
      <c r="K1867" s="2" t="s">
        <v>23844</v>
      </c>
      <c r="L1867" s="10" t="s">
        <v>23845</v>
      </c>
    </row>
    <row r="1868">
      <c r="A1868" s="2" t="s">
        <v>4134</v>
      </c>
      <c r="B1868" s="2" t="s">
        <v>23846</v>
      </c>
      <c r="C1868" s="2">
        <v>2.22178701E8</v>
      </c>
      <c r="D1868" s="2" t="s">
        <v>23847</v>
      </c>
      <c r="E1868" s="2">
        <v>226342.0</v>
      </c>
      <c r="F1868" s="2">
        <v>1331.0</v>
      </c>
      <c r="G1868" s="2">
        <v>5146.0</v>
      </c>
      <c r="H1868" s="2" t="s">
        <v>5906</v>
      </c>
      <c r="I1868" s="2" t="s">
        <v>5906</v>
      </c>
      <c r="J1868" s="2" t="s">
        <v>5963</v>
      </c>
      <c r="K1868" s="2" t="s">
        <v>23848</v>
      </c>
      <c r="L1868" s="10" t="s">
        <v>23849</v>
      </c>
    </row>
    <row r="1869">
      <c r="A1869" s="2" t="s">
        <v>4617</v>
      </c>
      <c r="B1869" s="2" t="s">
        <v>23850</v>
      </c>
      <c r="C1869" s="2">
        <v>7.0060281356E10</v>
      </c>
      <c r="D1869" s="2" t="s">
        <v>23851</v>
      </c>
      <c r="E1869" s="2">
        <v>19906.0</v>
      </c>
      <c r="F1869" s="2">
        <v>2.0</v>
      </c>
      <c r="G1869" s="2">
        <v>137.0</v>
      </c>
      <c r="H1869" s="2" t="s">
        <v>5905</v>
      </c>
      <c r="I1869" s="2" t="s">
        <v>5905</v>
      </c>
      <c r="J1869" s="2" t="s">
        <v>6073</v>
      </c>
      <c r="K1869" s="2" t="s">
        <v>23852</v>
      </c>
    </row>
    <row r="1870">
      <c r="A1870" s="2" t="s">
        <v>4617</v>
      </c>
      <c r="B1870" s="2" t="s">
        <v>20218</v>
      </c>
      <c r="C1870" s="2">
        <v>1.489542298E10</v>
      </c>
      <c r="D1870" s="2" t="s">
        <v>20219</v>
      </c>
      <c r="E1870" s="2">
        <v>1048176.0</v>
      </c>
      <c r="F1870" s="2">
        <v>97.0</v>
      </c>
      <c r="G1870" s="2">
        <v>1239.0</v>
      </c>
      <c r="H1870" s="2" t="s">
        <v>5906</v>
      </c>
      <c r="I1870" s="2" t="s">
        <v>5905</v>
      </c>
      <c r="J1870" s="2" t="s">
        <v>6073</v>
      </c>
      <c r="K1870" s="2" t="s">
        <v>23853</v>
      </c>
      <c r="L1870" s="10" t="s">
        <v>23854</v>
      </c>
    </row>
    <row r="1871">
      <c r="A1871" s="2" t="s">
        <v>4617</v>
      </c>
      <c r="B1871" s="2" t="s">
        <v>23855</v>
      </c>
      <c r="C1871" s="2">
        <v>3.5407363852E10</v>
      </c>
      <c r="D1871" s="2" t="s">
        <v>23856</v>
      </c>
      <c r="E1871" s="2">
        <v>2652132.0</v>
      </c>
      <c r="F1871" s="2">
        <v>2382.0</v>
      </c>
      <c r="G1871" s="2">
        <v>526.0</v>
      </c>
      <c r="H1871" s="2" t="s">
        <v>5906</v>
      </c>
      <c r="I1871" s="2" t="s">
        <v>5905</v>
      </c>
      <c r="J1871" s="2" t="s">
        <v>5561</v>
      </c>
      <c r="K1871" s="2" t="s">
        <v>23857</v>
      </c>
      <c r="L1871" s="10" t="s">
        <v>23858</v>
      </c>
    </row>
    <row r="1872">
      <c r="A1872" s="2" t="s">
        <v>4617</v>
      </c>
      <c r="B1872" s="2" t="s">
        <v>23859</v>
      </c>
      <c r="C1872" s="2">
        <v>2.094659849E9</v>
      </c>
      <c r="D1872" s="2" t="s">
        <v>23860</v>
      </c>
      <c r="E1872" s="2">
        <v>360778.0</v>
      </c>
      <c r="F1872" s="2">
        <v>49.0</v>
      </c>
      <c r="G1872" s="2">
        <v>5605.0</v>
      </c>
      <c r="H1872" s="2" t="s">
        <v>5906</v>
      </c>
      <c r="I1872" s="2" t="s">
        <v>5906</v>
      </c>
      <c r="J1872" s="2" t="s">
        <v>5480</v>
      </c>
      <c r="K1872" s="2" t="s">
        <v>23861</v>
      </c>
      <c r="L1872" s="10" t="s">
        <v>23862</v>
      </c>
    </row>
    <row r="1873">
      <c r="A1873" s="2" t="s">
        <v>4617</v>
      </c>
      <c r="B1873" s="2" t="s">
        <v>23863</v>
      </c>
      <c r="C1873" s="2">
        <v>9.130938811E9</v>
      </c>
      <c r="D1873" s="2" t="s">
        <v>23864</v>
      </c>
      <c r="E1873" s="2">
        <v>495444.0</v>
      </c>
      <c r="F1873" s="2">
        <v>456.0</v>
      </c>
      <c r="G1873" s="2">
        <v>749.0</v>
      </c>
      <c r="H1873" s="2" t="s">
        <v>5906</v>
      </c>
      <c r="I1873" s="2" t="s">
        <v>5905</v>
      </c>
      <c r="J1873" s="2" t="s">
        <v>10543</v>
      </c>
      <c r="K1873" s="2" t="s">
        <v>23865</v>
      </c>
      <c r="L1873" s="10" t="s">
        <v>23866</v>
      </c>
    </row>
    <row r="1874">
      <c r="A1874" s="2" t="s">
        <v>4617</v>
      </c>
      <c r="B1874" s="2" t="s">
        <v>23867</v>
      </c>
      <c r="C1874" s="2">
        <v>4.025251477E9</v>
      </c>
      <c r="D1874" s="2" t="s">
        <v>23868</v>
      </c>
      <c r="E1874" s="2">
        <v>56944.0</v>
      </c>
      <c r="F1874" s="2">
        <v>276.0</v>
      </c>
      <c r="G1874" s="2">
        <v>436.0</v>
      </c>
      <c r="H1874" s="2" t="s">
        <v>5905</v>
      </c>
      <c r="I1874" s="2" t="s">
        <v>5905</v>
      </c>
      <c r="J1874" s="2" t="s">
        <v>5959</v>
      </c>
      <c r="K1874" s="2" t="s">
        <v>23869</v>
      </c>
      <c r="L1874" s="10" t="s">
        <v>23870</v>
      </c>
    </row>
    <row r="1875">
      <c r="A1875" s="2" t="s">
        <v>4617</v>
      </c>
      <c r="B1875" s="2" t="s">
        <v>23871</v>
      </c>
      <c r="C1875" s="2">
        <v>6.6481100612E10</v>
      </c>
      <c r="D1875" s="2" t="s">
        <v>23872</v>
      </c>
      <c r="E1875" s="2">
        <v>252776.0</v>
      </c>
      <c r="F1875" s="2">
        <v>56.0</v>
      </c>
      <c r="G1875" s="2">
        <v>260.0</v>
      </c>
      <c r="H1875" s="2" t="s">
        <v>5905</v>
      </c>
      <c r="I1875" s="2" t="s">
        <v>5905</v>
      </c>
      <c r="J1875" s="2" t="s">
        <v>5959</v>
      </c>
      <c r="K1875" s="2" t="s">
        <v>23873</v>
      </c>
      <c r="L1875" s="10" t="s">
        <v>23874</v>
      </c>
    </row>
    <row r="1876">
      <c r="A1876" s="2" t="s">
        <v>4617</v>
      </c>
      <c r="B1876" s="2" t="s">
        <v>23875</v>
      </c>
      <c r="C1876" s="2">
        <v>4.5855956442E10</v>
      </c>
      <c r="D1876" s="2" t="s">
        <v>23876</v>
      </c>
      <c r="E1876" s="2">
        <v>186086.0</v>
      </c>
      <c r="F1876" s="2">
        <v>367.0</v>
      </c>
      <c r="G1876" s="2">
        <v>1672.0</v>
      </c>
      <c r="H1876" s="2" t="s">
        <v>5905</v>
      </c>
      <c r="I1876" s="2" t="s">
        <v>5905</v>
      </c>
      <c r="K1876" s="2" t="s">
        <v>23877</v>
      </c>
    </row>
    <row r="1877">
      <c r="A1877" s="2" t="s">
        <v>4617</v>
      </c>
      <c r="B1877" s="2" t="s">
        <v>23878</v>
      </c>
      <c r="C1877" s="2">
        <v>2.554625E7</v>
      </c>
      <c r="D1877" s="2" t="s">
        <v>23879</v>
      </c>
      <c r="E1877" s="2">
        <v>202403.0</v>
      </c>
      <c r="F1877" s="2">
        <v>758.0</v>
      </c>
      <c r="G1877" s="2">
        <v>2106.0</v>
      </c>
      <c r="H1877" s="2" t="s">
        <v>5906</v>
      </c>
      <c r="I1877" s="2" t="s">
        <v>5905</v>
      </c>
      <c r="J1877" s="2" t="s">
        <v>6856</v>
      </c>
      <c r="K1877" s="2" t="s">
        <v>23880</v>
      </c>
      <c r="L1877" s="10" t="s">
        <v>23881</v>
      </c>
    </row>
    <row r="1878">
      <c r="A1878" s="2" t="s">
        <v>4617</v>
      </c>
      <c r="B1878" s="2" t="s">
        <v>23882</v>
      </c>
      <c r="C1878" s="2">
        <v>9.270264578E9</v>
      </c>
      <c r="D1878" s="2" t="s">
        <v>23883</v>
      </c>
      <c r="E1878" s="2">
        <v>687767.0</v>
      </c>
      <c r="F1878" s="2">
        <v>390.0</v>
      </c>
      <c r="G1878" s="2">
        <v>2068.0</v>
      </c>
      <c r="H1878" s="2" t="s">
        <v>5906</v>
      </c>
      <c r="I1878" s="2" t="s">
        <v>5906</v>
      </c>
      <c r="J1878" s="2" t="s">
        <v>6414</v>
      </c>
      <c r="K1878" s="2" t="s">
        <v>23884</v>
      </c>
      <c r="L1878" s="10" t="s">
        <v>23885</v>
      </c>
    </row>
    <row r="1879">
      <c r="A1879" s="2" t="s">
        <v>4617</v>
      </c>
      <c r="B1879" s="2" t="s">
        <v>23886</v>
      </c>
      <c r="C1879" s="2">
        <v>4.5788927613E10</v>
      </c>
      <c r="D1879" s="2" t="s">
        <v>23887</v>
      </c>
      <c r="E1879" s="2">
        <v>35474.0</v>
      </c>
      <c r="F1879" s="2">
        <v>399.0</v>
      </c>
      <c r="G1879" s="2">
        <v>1253.0</v>
      </c>
      <c r="H1879" s="2" t="s">
        <v>5906</v>
      </c>
      <c r="I1879" s="2" t="s">
        <v>5905</v>
      </c>
      <c r="J1879" s="2" t="s">
        <v>5561</v>
      </c>
      <c r="K1879" s="2" t="s">
        <v>23888</v>
      </c>
      <c r="L1879" s="10" t="s">
        <v>23889</v>
      </c>
    </row>
    <row r="1880">
      <c r="A1880" s="2" t="s">
        <v>4617</v>
      </c>
      <c r="B1880" s="2" t="s">
        <v>23890</v>
      </c>
      <c r="C1880" s="2">
        <v>1.233325795E9</v>
      </c>
      <c r="D1880" s="2" t="s">
        <v>23891</v>
      </c>
      <c r="E1880" s="2">
        <v>49827.0</v>
      </c>
      <c r="F1880" s="2">
        <v>201.0</v>
      </c>
      <c r="G1880" s="2">
        <v>979.0</v>
      </c>
      <c r="H1880" s="2" t="s">
        <v>5905</v>
      </c>
      <c r="I1880" s="2" t="s">
        <v>5906</v>
      </c>
      <c r="J1880" s="2" t="s">
        <v>9848</v>
      </c>
      <c r="K1880" s="2" t="s">
        <v>23892</v>
      </c>
      <c r="L1880" s="10" t="s">
        <v>23893</v>
      </c>
    </row>
    <row r="1881">
      <c r="A1881" s="2" t="s">
        <v>4617</v>
      </c>
      <c r="B1881" s="2" t="s">
        <v>23894</v>
      </c>
      <c r="C1881" s="2">
        <v>5.8370147392E10</v>
      </c>
      <c r="D1881" s="2" t="s">
        <v>23895</v>
      </c>
      <c r="E1881" s="2">
        <v>447158.0</v>
      </c>
      <c r="F1881" s="2">
        <v>139.0</v>
      </c>
      <c r="G1881" s="2">
        <v>768.0</v>
      </c>
      <c r="H1881" s="2" t="s">
        <v>5906</v>
      </c>
      <c r="I1881" s="2" t="s">
        <v>5905</v>
      </c>
      <c r="J1881" s="2" t="s">
        <v>6073</v>
      </c>
      <c r="K1881" s="2" t="s">
        <v>23896</v>
      </c>
    </row>
    <row r="1882">
      <c r="A1882" s="2" t="s">
        <v>4630</v>
      </c>
      <c r="B1882" s="2" t="s">
        <v>23897</v>
      </c>
      <c r="C1882" s="2">
        <v>5.2174857E7</v>
      </c>
      <c r="D1882" s="2" t="s">
        <v>23898</v>
      </c>
      <c r="E1882" s="2">
        <v>54565.0</v>
      </c>
      <c r="F1882" s="2">
        <v>1877.0</v>
      </c>
      <c r="G1882" s="2">
        <v>3693.0</v>
      </c>
      <c r="H1882" s="2" t="s">
        <v>5906</v>
      </c>
      <c r="I1882" s="2" t="s">
        <v>5905</v>
      </c>
      <c r="J1882" s="2" t="s">
        <v>13512</v>
      </c>
      <c r="K1882" s="2" t="s">
        <v>23899</v>
      </c>
      <c r="L1882" s="10" t="s">
        <v>23900</v>
      </c>
    </row>
    <row r="1883">
      <c r="A1883" s="2" t="s">
        <v>4630</v>
      </c>
      <c r="B1883" s="2" t="s">
        <v>23901</v>
      </c>
      <c r="C1883" s="2">
        <v>2.068936731E9</v>
      </c>
      <c r="D1883" s="2" t="s">
        <v>23902</v>
      </c>
      <c r="E1883" s="2">
        <v>11461.0</v>
      </c>
      <c r="F1883" s="2">
        <v>6680.0</v>
      </c>
      <c r="G1883" s="2">
        <v>1576.0</v>
      </c>
      <c r="H1883" s="2" t="s">
        <v>5906</v>
      </c>
      <c r="I1883" s="2" t="s">
        <v>5905</v>
      </c>
      <c r="J1883" s="2" t="s">
        <v>5959</v>
      </c>
      <c r="K1883" s="2" t="s">
        <v>23903</v>
      </c>
      <c r="L1883" s="10" t="s">
        <v>23904</v>
      </c>
    </row>
    <row r="1884">
      <c r="A1884" s="2" t="s">
        <v>4630</v>
      </c>
      <c r="B1884" s="2" t="s">
        <v>23905</v>
      </c>
      <c r="C1884" s="2">
        <v>1.1046454973E10</v>
      </c>
      <c r="D1884" s="2" t="s">
        <v>23906</v>
      </c>
      <c r="E1884" s="2">
        <v>23091.0</v>
      </c>
      <c r="F1884" s="2">
        <v>54.0</v>
      </c>
      <c r="G1884" s="2">
        <v>718.0</v>
      </c>
      <c r="H1884" s="2" t="s">
        <v>5905</v>
      </c>
      <c r="I1884" s="2" t="s">
        <v>5905</v>
      </c>
      <c r="J1884" s="2" t="s">
        <v>13512</v>
      </c>
      <c r="K1884" s="2" t="s">
        <v>23907</v>
      </c>
    </row>
    <row r="1885">
      <c r="A1885" s="2" t="s">
        <v>4630</v>
      </c>
      <c r="B1885" s="2" t="s">
        <v>23908</v>
      </c>
      <c r="C1885" s="2">
        <v>4.0417820815E10</v>
      </c>
      <c r="D1885" s="2" t="s">
        <v>23909</v>
      </c>
      <c r="E1885" s="2">
        <v>25504.0</v>
      </c>
      <c r="F1885" s="2">
        <v>2.0</v>
      </c>
      <c r="G1885" s="2">
        <v>2750.0</v>
      </c>
      <c r="H1885" s="2" t="s">
        <v>5905</v>
      </c>
      <c r="I1885" s="2" t="s">
        <v>5906</v>
      </c>
      <c r="J1885" s="2" t="s">
        <v>17266</v>
      </c>
      <c r="K1885" s="2" t="s">
        <v>23910</v>
      </c>
      <c r="L1885" s="10" t="s">
        <v>23911</v>
      </c>
    </row>
    <row r="1886">
      <c r="A1886" s="2" t="s">
        <v>4630</v>
      </c>
      <c r="B1886" s="2" t="s">
        <v>23912</v>
      </c>
      <c r="C1886" s="2">
        <v>3.437819933E9</v>
      </c>
      <c r="D1886" s="2" t="s">
        <v>23913</v>
      </c>
      <c r="E1886" s="2">
        <v>30414.0</v>
      </c>
      <c r="F1886" s="2">
        <v>34.0</v>
      </c>
      <c r="G1886" s="2">
        <v>261.0</v>
      </c>
      <c r="H1886" s="2" t="s">
        <v>5906</v>
      </c>
      <c r="I1886" s="2" t="s">
        <v>5906</v>
      </c>
      <c r="J1886" s="2" t="s">
        <v>13512</v>
      </c>
      <c r="K1886" s="2" t="s">
        <v>23914</v>
      </c>
      <c r="L1886" s="10" t="s">
        <v>23915</v>
      </c>
    </row>
    <row r="1887">
      <c r="A1887" s="2" t="s">
        <v>4630</v>
      </c>
      <c r="B1887" s="2" t="s">
        <v>23916</v>
      </c>
      <c r="C1887" s="2">
        <v>7.42555735E8</v>
      </c>
      <c r="D1887" s="2" t="s">
        <v>23917</v>
      </c>
      <c r="E1887" s="2">
        <v>19633.0</v>
      </c>
      <c r="F1887" s="2">
        <v>489.0</v>
      </c>
      <c r="G1887" s="2">
        <v>2561.0</v>
      </c>
      <c r="H1887" s="2" t="s">
        <v>5905</v>
      </c>
      <c r="I1887" s="2" t="s">
        <v>5905</v>
      </c>
      <c r="J1887" s="2" t="s">
        <v>19971</v>
      </c>
      <c r="K1887" s="2" t="s">
        <v>23918</v>
      </c>
    </row>
    <row r="1888">
      <c r="A1888" s="2" t="s">
        <v>4630</v>
      </c>
      <c r="B1888" s="2" t="s">
        <v>23919</v>
      </c>
      <c r="C1888" s="2">
        <v>6.1691590643E10</v>
      </c>
      <c r="D1888" s="2" t="s">
        <v>23920</v>
      </c>
      <c r="E1888" s="2">
        <v>241554.0</v>
      </c>
      <c r="F1888" s="2">
        <v>43.0</v>
      </c>
      <c r="G1888" s="2">
        <v>294.0</v>
      </c>
      <c r="H1888" s="2" t="s">
        <v>5905</v>
      </c>
      <c r="I1888" s="2" t="s">
        <v>5905</v>
      </c>
      <c r="J1888" s="2" t="s">
        <v>23921</v>
      </c>
      <c r="K1888" s="2" t="s">
        <v>23922</v>
      </c>
      <c r="L1888" s="10" t="s">
        <v>23923</v>
      </c>
    </row>
    <row r="1889">
      <c r="A1889" s="2" t="s">
        <v>4714</v>
      </c>
      <c r="B1889" s="2" t="s">
        <v>23924</v>
      </c>
      <c r="C1889" s="2">
        <v>6.9528042721E10</v>
      </c>
      <c r="D1889" s="2" t="s">
        <v>23925</v>
      </c>
      <c r="E1889" s="2">
        <v>58149.0</v>
      </c>
      <c r="F1889" s="2">
        <v>40.0</v>
      </c>
      <c r="G1889" s="2">
        <v>91.0</v>
      </c>
      <c r="H1889" s="2" t="s">
        <v>5905</v>
      </c>
      <c r="I1889" s="2" t="s">
        <v>5906</v>
      </c>
      <c r="J1889" s="2" t="s">
        <v>5963</v>
      </c>
      <c r="K1889" s="2" t="s">
        <v>23926</v>
      </c>
      <c r="L1889" s="10" t="s">
        <v>23927</v>
      </c>
    </row>
    <row r="1890">
      <c r="A1890" s="2" t="s">
        <v>4507</v>
      </c>
      <c r="B1890" s="2" t="s">
        <v>23928</v>
      </c>
      <c r="C1890" s="2">
        <v>4.6386038482E10</v>
      </c>
      <c r="D1890" s="2" t="s">
        <v>23929</v>
      </c>
      <c r="E1890" s="2">
        <v>2716465.0</v>
      </c>
      <c r="F1890" s="2">
        <v>1444.0</v>
      </c>
      <c r="G1890" s="2">
        <v>1163.0</v>
      </c>
      <c r="H1890" s="2" t="s">
        <v>5906</v>
      </c>
      <c r="I1890" s="2" t="s">
        <v>5905</v>
      </c>
      <c r="J1890" s="2" t="s">
        <v>7620</v>
      </c>
      <c r="K1890" s="2" t="s">
        <v>23930</v>
      </c>
      <c r="L1890" s="10" t="s">
        <v>23931</v>
      </c>
    </row>
    <row r="1891">
      <c r="A1891" s="2" t="s">
        <v>4507</v>
      </c>
      <c r="B1891" s="2" t="s">
        <v>23932</v>
      </c>
      <c r="C1891" s="2">
        <v>8.97981315E9</v>
      </c>
      <c r="D1891" s="2" t="s">
        <v>23933</v>
      </c>
      <c r="E1891" s="2">
        <v>373587.0</v>
      </c>
      <c r="F1891" s="2">
        <v>2276.0</v>
      </c>
      <c r="G1891" s="2">
        <v>1302.0</v>
      </c>
      <c r="H1891" s="2" t="s">
        <v>5905</v>
      </c>
      <c r="I1891" s="2" t="s">
        <v>5906</v>
      </c>
      <c r="J1891" s="2" t="s">
        <v>7620</v>
      </c>
      <c r="K1891" s="2" t="s">
        <v>23934</v>
      </c>
      <c r="L1891" s="10" t="s">
        <v>23935</v>
      </c>
    </row>
    <row r="1892">
      <c r="A1892" s="2" t="s">
        <v>4507</v>
      </c>
      <c r="B1892" s="2" t="s">
        <v>23936</v>
      </c>
      <c r="C1892" s="2">
        <v>8.25001989E9</v>
      </c>
      <c r="D1892" s="2" t="s">
        <v>23937</v>
      </c>
      <c r="E1892" s="2">
        <v>157801.0</v>
      </c>
      <c r="F1892" s="2">
        <v>5.0</v>
      </c>
      <c r="G1892" s="2">
        <v>531.0</v>
      </c>
      <c r="H1892" s="2" t="s">
        <v>5905</v>
      </c>
      <c r="I1892" s="2" t="s">
        <v>5905</v>
      </c>
      <c r="J1892" s="2" t="s">
        <v>7083</v>
      </c>
      <c r="K1892" s="2" t="s">
        <v>23938</v>
      </c>
    </row>
    <row r="1893">
      <c r="A1893" s="2" t="s">
        <v>4507</v>
      </c>
      <c r="B1893" s="2" t="s">
        <v>23939</v>
      </c>
      <c r="C1893" s="2">
        <v>5.2160427578E10</v>
      </c>
      <c r="D1893" s="2" t="s">
        <v>23940</v>
      </c>
      <c r="E1893" s="2">
        <v>1780167.0</v>
      </c>
      <c r="F1893" s="2">
        <v>94.0</v>
      </c>
      <c r="G1893" s="2">
        <v>626.0</v>
      </c>
      <c r="H1893" s="2" t="s">
        <v>5905</v>
      </c>
      <c r="I1893" s="2" t="s">
        <v>5905</v>
      </c>
      <c r="J1893" s="2" t="s">
        <v>5561</v>
      </c>
      <c r="K1893" s="2" t="s">
        <v>23941</v>
      </c>
    </row>
    <row r="1894">
      <c r="A1894" s="2" t="s">
        <v>4507</v>
      </c>
      <c r="B1894" s="2" t="s">
        <v>23942</v>
      </c>
      <c r="C1894" s="2">
        <v>7276037.0</v>
      </c>
      <c r="D1894" s="2" t="s">
        <v>23943</v>
      </c>
      <c r="E1894" s="2">
        <v>546415.0</v>
      </c>
      <c r="F1894" s="2">
        <v>3441019.0</v>
      </c>
      <c r="G1894" s="2">
        <v>101.0</v>
      </c>
      <c r="H1894" s="2" t="s">
        <v>5905</v>
      </c>
      <c r="I1894" s="2" t="s">
        <v>5905</v>
      </c>
      <c r="J1894" s="2" t="s">
        <v>5959</v>
      </c>
      <c r="K1894" s="2" t="s">
        <v>23944</v>
      </c>
    </row>
    <row r="1895">
      <c r="A1895" s="2" t="s">
        <v>4507</v>
      </c>
      <c r="B1895" s="2" t="s">
        <v>4507</v>
      </c>
      <c r="C1895" s="2">
        <v>1.375861045E9</v>
      </c>
      <c r="D1895" s="2" t="s">
        <v>23430</v>
      </c>
      <c r="E1895" s="2">
        <v>230851.0</v>
      </c>
      <c r="F1895" s="2">
        <v>192.0</v>
      </c>
      <c r="G1895" s="2">
        <v>477.0</v>
      </c>
      <c r="H1895" s="2" t="s">
        <v>5905</v>
      </c>
      <c r="I1895" s="2" t="s">
        <v>5906</v>
      </c>
      <c r="J1895" s="2" t="s">
        <v>23945</v>
      </c>
      <c r="K1895" s="2" t="s">
        <v>23946</v>
      </c>
    </row>
    <row r="1896">
      <c r="A1896" s="2" t="s">
        <v>4507</v>
      </c>
      <c r="B1896" s="2" t="s">
        <v>23947</v>
      </c>
      <c r="C1896" s="2">
        <v>4.064405529E9</v>
      </c>
      <c r="D1896" s="2" t="s">
        <v>23948</v>
      </c>
      <c r="E1896" s="2">
        <v>7838556.0</v>
      </c>
      <c r="F1896" s="2">
        <v>269.0</v>
      </c>
      <c r="G1896" s="2">
        <v>2201.0</v>
      </c>
      <c r="H1896" s="2" t="s">
        <v>5906</v>
      </c>
      <c r="I1896" s="2" t="s">
        <v>5906</v>
      </c>
      <c r="J1896" s="2" t="s">
        <v>6414</v>
      </c>
      <c r="K1896" s="2" t="s">
        <v>23949</v>
      </c>
      <c r="L1896" s="10" t="s">
        <v>23950</v>
      </c>
    </row>
    <row r="1897">
      <c r="A1897" s="2" t="s">
        <v>4728</v>
      </c>
      <c r="B1897" s="2" t="s">
        <v>23951</v>
      </c>
      <c r="C1897" s="2">
        <v>9.776045308E9</v>
      </c>
      <c r="D1897" s="2" t="s">
        <v>23952</v>
      </c>
      <c r="E1897" s="2">
        <v>95572.0</v>
      </c>
      <c r="F1897" s="2">
        <v>134.0</v>
      </c>
      <c r="G1897" s="2">
        <v>392.0</v>
      </c>
      <c r="H1897" s="2" t="s">
        <v>5905</v>
      </c>
      <c r="I1897" s="2" t="s">
        <v>5905</v>
      </c>
      <c r="J1897" s="2" t="s">
        <v>7347</v>
      </c>
      <c r="K1897" s="2" t="s">
        <v>23953</v>
      </c>
    </row>
    <row r="1898">
      <c r="A1898" s="2" t="s">
        <v>4482</v>
      </c>
      <c r="B1898" s="2" t="s">
        <v>23954</v>
      </c>
      <c r="C1898" s="2">
        <v>9.133415873E9</v>
      </c>
      <c r="D1898" s="2" t="s">
        <v>23955</v>
      </c>
      <c r="E1898" s="2">
        <v>8532056.0</v>
      </c>
      <c r="F1898" s="2">
        <v>1086.0</v>
      </c>
      <c r="G1898" s="2">
        <v>44.0</v>
      </c>
      <c r="H1898" s="2" t="s">
        <v>5906</v>
      </c>
      <c r="I1898" s="2" t="s">
        <v>5905</v>
      </c>
      <c r="J1898" s="2" t="s">
        <v>6628</v>
      </c>
      <c r="K1898" s="2" t="s">
        <v>23956</v>
      </c>
    </row>
    <row r="1899">
      <c r="A1899" s="2" t="s">
        <v>4482</v>
      </c>
      <c r="B1899" s="2" t="s">
        <v>23957</v>
      </c>
      <c r="C1899" s="2">
        <v>5.9953659752E10</v>
      </c>
      <c r="D1899" s="2" t="s">
        <v>23958</v>
      </c>
      <c r="E1899" s="2">
        <v>884969.0</v>
      </c>
      <c r="F1899" s="2">
        <v>38.0</v>
      </c>
      <c r="G1899" s="2">
        <v>1975.0</v>
      </c>
      <c r="H1899" s="2" t="s">
        <v>5905</v>
      </c>
      <c r="I1899" s="2" t="s">
        <v>5905</v>
      </c>
      <c r="J1899" s="2" t="s">
        <v>15546</v>
      </c>
      <c r="K1899" s="2" t="s">
        <v>23959</v>
      </c>
      <c r="L1899" s="10" t="s">
        <v>23960</v>
      </c>
    </row>
    <row r="1900">
      <c r="A1900" s="2" t="s">
        <v>4482</v>
      </c>
      <c r="B1900" s="2" t="s">
        <v>23961</v>
      </c>
      <c r="C1900" s="2">
        <v>7.085212407E10</v>
      </c>
      <c r="D1900" s="12" t="s">
        <v>23962</v>
      </c>
      <c r="E1900" s="2">
        <v>35607.0</v>
      </c>
      <c r="F1900" s="2">
        <v>68.0</v>
      </c>
      <c r="G1900" s="2">
        <v>33.0</v>
      </c>
      <c r="H1900" s="2" t="s">
        <v>5905</v>
      </c>
      <c r="I1900" s="2" t="s">
        <v>5905</v>
      </c>
      <c r="J1900" s="2" t="s">
        <v>6124</v>
      </c>
      <c r="L1900" s="10" t="s">
        <v>23963</v>
      </c>
    </row>
    <row r="1901">
      <c r="A1901" s="2" t="s">
        <v>4482</v>
      </c>
      <c r="B1901" s="2" t="s">
        <v>23964</v>
      </c>
      <c r="C1901" s="2">
        <v>4.8800523006E10</v>
      </c>
      <c r="D1901" s="2" t="s">
        <v>23965</v>
      </c>
      <c r="E1901" s="2">
        <v>402192.0</v>
      </c>
      <c r="F1901" s="2">
        <v>191.0</v>
      </c>
      <c r="G1901" s="2">
        <v>285.0</v>
      </c>
      <c r="H1901" s="2" t="s">
        <v>5905</v>
      </c>
      <c r="I1901" s="2" t="s">
        <v>5905</v>
      </c>
      <c r="J1901" s="2" t="s">
        <v>5959</v>
      </c>
      <c r="K1901" s="2" t="s">
        <v>23966</v>
      </c>
    </row>
    <row r="1902">
      <c r="A1902" s="2" t="s">
        <v>4482</v>
      </c>
      <c r="B1902" s="2" t="s">
        <v>23967</v>
      </c>
      <c r="C1902" s="2">
        <v>1.649086481E10</v>
      </c>
      <c r="D1902" s="2" t="s">
        <v>23968</v>
      </c>
      <c r="E1902" s="2">
        <v>37836.0</v>
      </c>
      <c r="F1902" s="2">
        <v>184.0</v>
      </c>
      <c r="G1902" s="2">
        <v>73.0</v>
      </c>
      <c r="H1902" s="2" t="s">
        <v>5905</v>
      </c>
      <c r="I1902" s="2" t="s">
        <v>5905</v>
      </c>
      <c r="J1902" s="2" t="s">
        <v>6628</v>
      </c>
      <c r="K1902" s="2" t="s">
        <v>23969</v>
      </c>
      <c r="L1902" s="10" t="s">
        <v>23970</v>
      </c>
    </row>
    <row r="1903">
      <c r="A1903" s="2" t="s">
        <v>4482</v>
      </c>
      <c r="B1903" s="2" t="s">
        <v>23971</v>
      </c>
      <c r="C1903" s="2">
        <v>5.5125204407E10</v>
      </c>
      <c r="D1903" s="2" t="s">
        <v>23972</v>
      </c>
      <c r="E1903" s="2">
        <v>225317.0</v>
      </c>
      <c r="F1903" s="2">
        <v>70.0</v>
      </c>
      <c r="G1903" s="2">
        <v>117.0</v>
      </c>
      <c r="H1903" s="2" t="s">
        <v>5905</v>
      </c>
      <c r="I1903" s="2" t="s">
        <v>5905</v>
      </c>
      <c r="J1903" s="2" t="s">
        <v>5993</v>
      </c>
      <c r="K1903" s="12" t="s">
        <v>23973</v>
      </c>
      <c r="L1903" s="10" t="s">
        <v>23974</v>
      </c>
    </row>
    <row r="1904">
      <c r="A1904" s="2" t="s">
        <v>4482</v>
      </c>
      <c r="B1904" s="2" t="s">
        <v>23975</v>
      </c>
      <c r="C1904" s="2">
        <v>4.8865531873E10</v>
      </c>
      <c r="D1904" s="2" t="s">
        <v>23976</v>
      </c>
      <c r="E1904" s="2">
        <v>1256422.0</v>
      </c>
      <c r="F1904" s="2">
        <v>256.0</v>
      </c>
      <c r="G1904" s="2">
        <v>93.0</v>
      </c>
      <c r="H1904" s="2" t="s">
        <v>5906</v>
      </c>
      <c r="I1904" s="2" t="s">
        <v>5905</v>
      </c>
      <c r="J1904" s="2" t="s">
        <v>5993</v>
      </c>
      <c r="K1904" s="2" t="s">
        <v>23977</v>
      </c>
      <c r="L1904" s="10" t="s">
        <v>23978</v>
      </c>
    </row>
    <row r="1905">
      <c r="A1905" s="2" t="s">
        <v>4482</v>
      </c>
      <c r="B1905" s="2" t="s">
        <v>23979</v>
      </c>
      <c r="C1905" s="2">
        <v>3.2420304355E10</v>
      </c>
      <c r="D1905" s="2" t="s">
        <v>23980</v>
      </c>
      <c r="E1905" s="2">
        <v>819638.0</v>
      </c>
      <c r="F1905" s="2">
        <v>20.0</v>
      </c>
      <c r="G1905" s="2">
        <v>324.0</v>
      </c>
      <c r="H1905" s="2" t="s">
        <v>5906</v>
      </c>
      <c r="I1905" s="2" t="s">
        <v>5905</v>
      </c>
      <c r="J1905" s="2" t="s">
        <v>5993</v>
      </c>
      <c r="K1905" s="2" t="s">
        <v>23981</v>
      </c>
      <c r="L1905" s="10" t="s">
        <v>23982</v>
      </c>
    </row>
    <row r="1906">
      <c r="A1906" s="2" t="s">
        <v>4482</v>
      </c>
      <c r="B1906" s="2" t="s">
        <v>23983</v>
      </c>
      <c r="C1906" s="2">
        <v>1.5941209472E10</v>
      </c>
      <c r="D1906" s="2" t="s">
        <v>23984</v>
      </c>
      <c r="E1906" s="2">
        <v>20876.0</v>
      </c>
      <c r="F1906" s="2">
        <v>1.0</v>
      </c>
      <c r="G1906" s="2">
        <v>512.0</v>
      </c>
      <c r="H1906" s="2" t="s">
        <v>5905</v>
      </c>
      <c r="I1906" s="2" t="s">
        <v>5906</v>
      </c>
      <c r="J1906" s="2" t="s">
        <v>6027</v>
      </c>
      <c r="K1906" s="2" t="s">
        <v>23985</v>
      </c>
      <c r="L1906" s="10" t="s">
        <v>23986</v>
      </c>
    </row>
    <row r="1907">
      <c r="A1907" s="2" t="s">
        <v>4482</v>
      </c>
      <c r="B1907" s="2" t="s">
        <v>23987</v>
      </c>
      <c r="C1907" s="2">
        <v>2.211163056E9</v>
      </c>
      <c r="D1907" s="2" t="s">
        <v>23988</v>
      </c>
      <c r="E1907" s="2">
        <v>471863.0</v>
      </c>
      <c r="F1907" s="2">
        <v>2223.0</v>
      </c>
      <c r="G1907" s="2">
        <v>1982.0</v>
      </c>
      <c r="H1907" s="2" t="s">
        <v>5905</v>
      </c>
      <c r="I1907" s="2" t="s">
        <v>5906</v>
      </c>
      <c r="J1907" s="2" t="s">
        <v>6002</v>
      </c>
      <c r="K1907" s="2" t="s">
        <v>23989</v>
      </c>
      <c r="L1907" s="10" t="s">
        <v>23990</v>
      </c>
    </row>
    <row r="1908">
      <c r="A1908" s="2" t="s">
        <v>4482</v>
      </c>
      <c r="B1908" s="2" t="s">
        <v>23991</v>
      </c>
      <c r="C1908" s="2">
        <v>1.820451372E9</v>
      </c>
      <c r="D1908" s="2" t="s">
        <v>23992</v>
      </c>
      <c r="E1908" s="2">
        <v>24839.0</v>
      </c>
      <c r="F1908" s="2">
        <v>1174.0</v>
      </c>
      <c r="G1908" s="2">
        <v>1952.0</v>
      </c>
      <c r="H1908" s="2" t="s">
        <v>5905</v>
      </c>
      <c r="I1908" s="2" t="s">
        <v>5906</v>
      </c>
      <c r="J1908" s="2" t="s">
        <v>6027</v>
      </c>
      <c r="K1908" s="2" t="s">
        <v>23993</v>
      </c>
      <c r="L1908" s="10" t="s">
        <v>23994</v>
      </c>
    </row>
    <row r="1909">
      <c r="A1909" s="2" t="s">
        <v>4482</v>
      </c>
      <c r="B1909" s="2" t="s">
        <v>23995</v>
      </c>
      <c r="C1909" s="2">
        <v>1.1703871468E10</v>
      </c>
      <c r="D1909" s="2" t="s">
        <v>23996</v>
      </c>
      <c r="E1909" s="2">
        <v>36951.0</v>
      </c>
      <c r="F1909" s="2">
        <v>1068.0</v>
      </c>
      <c r="G1909" s="2">
        <v>107.0</v>
      </c>
      <c r="H1909" s="2" t="s">
        <v>5905</v>
      </c>
      <c r="I1909" s="2" t="s">
        <v>5906</v>
      </c>
      <c r="J1909" s="2" t="s">
        <v>6393</v>
      </c>
      <c r="K1909" s="2" t="s">
        <v>23997</v>
      </c>
    </row>
    <row r="1910">
      <c r="A1910" s="2" t="s">
        <v>4482</v>
      </c>
      <c r="B1910" s="2" t="s">
        <v>23998</v>
      </c>
      <c r="C1910" s="2">
        <v>5.4621156005E10</v>
      </c>
      <c r="D1910" s="2" t="s">
        <v>23999</v>
      </c>
      <c r="E1910" s="2">
        <v>1215286.0</v>
      </c>
      <c r="F1910" s="2">
        <v>4.0</v>
      </c>
      <c r="G1910" s="2">
        <v>3009.0</v>
      </c>
      <c r="H1910" s="2" t="s">
        <v>5905</v>
      </c>
      <c r="I1910" s="2" t="s">
        <v>5906</v>
      </c>
      <c r="J1910" s="2" t="s">
        <v>6124</v>
      </c>
      <c r="K1910" s="2" t="s">
        <v>24000</v>
      </c>
      <c r="L1910" s="10" t="s">
        <v>23960</v>
      </c>
    </row>
    <row r="1911">
      <c r="A1911" s="2" t="s">
        <v>4653</v>
      </c>
      <c r="B1911" s="2" t="s">
        <v>24001</v>
      </c>
      <c r="C1911" s="2">
        <v>4.219254327E9</v>
      </c>
      <c r="D1911" s="2" t="s">
        <v>24002</v>
      </c>
      <c r="E1911" s="2">
        <v>318724.0</v>
      </c>
      <c r="F1911" s="2">
        <v>139.0</v>
      </c>
      <c r="G1911" s="2">
        <v>2786.0</v>
      </c>
      <c r="H1911" s="2" t="s">
        <v>5906</v>
      </c>
      <c r="I1911" s="2" t="s">
        <v>5906</v>
      </c>
      <c r="J1911" s="2" t="s">
        <v>6699</v>
      </c>
      <c r="K1911" s="2" t="s">
        <v>24003</v>
      </c>
      <c r="L1911" s="10" t="s">
        <v>24004</v>
      </c>
    </row>
    <row r="1912">
      <c r="A1912" s="2" t="s">
        <v>4653</v>
      </c>
      <c r="B1912" s="2" t="s">
        <v>16485</v>
      </c>
      <c r="C1912" s="2">
        <v>1.0175092967E10</v>
      </c>
      <c r="D1912" s="2" t="s">
        <v>16486</v>
      </c>
      <c r="E1912" s="2">
        <v>3996555.0</v>
      </c>
      <c r="F1912" s="2">
        <v>263.0</v>
      </c>
      <c r="G1912" s="2">
        <v>1875.0</v>
      </c>
      <c r="H1912" s="2" t="s">
        <v>5906</v>
      </c>
      <c r="I1912" s="2" t="s">
        <v>5905</v>
      </c>
      <c r="J1912" s="2" t="s">
        <v>5928</v>
      </c>
      <c r="K1912" s="2" t="s">
        <v>16487</v>
      </c>
      <c r="L1912" s="10" t="s">
        <v>16488</v>
      </c>
    </row>
    <row r="1913">
      <c r="A1913" s="2" t="s">
        <v>4653</v>
      </c>
      <c r="B1913" s="2" t="s">
        <v>24005</v>
      </c>
      <c r="C1913" s="2">
        <v>2.208946104E9</v>
      </c>
      <c r="D1913" s="2" t="s">
        <v>24006</v>
      </c>
      <c r="E1913" s="2">
        <v>453071.0</v>
      </c>
      <c r="F1913" s="2">
        <v>272.0</v>
      </c>
      <c r="G1913" s="2">
        <v>394.0</v>
      </c>
      <c r="H1913" s="2" t="s">
        <v>5905</v>
      </c>
      <c r="I1913" s="2" t="s">
        <v>5906</v>
      </c>
      <c r="J1913" s="2" t="s">
        <v>6393</v>
      </c>
      <c r="K1913" s="2" t="s">
        <v>24007</v>
      </c>
      <c r="L1913" s="10" t="s">
        <v>24008</v>
      </c>
    </row>
    <row r="1914">
      <c r="A1914" s="2" t="s">
        <v>4653</v>
      </c>
      <c r="B1914" s="2" t="s">
        <v>24009</v>
      </c>
      <c r="C1914" s="2">
        <v>8.907021723E9</v>
      </c>
      <c r="D1914" s="2" t="s">
        <v>24010</v>
      </c>
      <c r="E1914" s="2">
        <v>129233.0</v>
      </c>
      <c r="F1914" s="2">
        <v>340.0</v>
      </c>
      <c r="G1914" s="2">
        <v>244.0</v>
      </c>
      <c r="H1914" s="2" t="s">
        <v>5905</v>
      </c>
      <c r="I1914" s="2" t="s">
        <v>5906</v>
      </c>
      <c r="J1914" s="2" t="s">
        <v>6539</v>
      </c>
      <c r="K1914" s="2" t="s">
        <v>24011</v>
      </c>
      <c r="L1914" s="10" t="s">
        <v>24012</v>
      </c>
    </row>
    <row r="1915">
      <c r="A1915" s="2" t="s">
        <v>4653</v>
      </c>
      <c r="B1915" s="2" t="s">
        <v>24013</v>
      </c>
      <c r="C1915" s="2">
        <v>2.7224743464E10</v>
      </c>
      <c r="E1915" s="2">
        <v>48633.0</v>
      </c>
      <c r="F1915" s="2">
        <v>23.0</v>
      </c>
      <c r="G1915" s="2">
        <v>266.0</v>
      </c>
      <c r="H1915" s="2" t="s">
        <v>5905</v>
      </c>
      <c r="I1915" s="2" t="s">
        <v>5906</v>
      </c>
      <c r="J1915" s="2" t="s">
        <v>5561</v>
      </c>
      <c r="K1915" s="2" t="s">
        <v>24014</v>
      </c>
    </row>
    <row r="1916">
      <c r="A1916" s="2" t="s">
        <v>4653</v>
      </c>
      <c r="B1916" s="2" t="s">
        <v>24015</v>
      </c>
      <c r="C1916" s="2">
        <v>5.420644361E9</v>
      </c>
      <c r="D1916" s="2" t="s">
        <v>24016</v>
      </c>
      <c r="E1916" s="2">
        <v>51411.0</v>
      </c>
      <c r="F1916" s="2">
        <v>1246.0</v>
      </c>
      <c r="G1916" s="2">
        <v>1964.0</v>
      </c>
      <c r="H1916" s="2" t="s">
        <v>5905</v>
      </c>
      <c r="I1916" s="2" t="s">
        <v>5905</v>
      </c>
      <c r="J1916" s="2" t="s">
        <v>5491</v>
      </c>
      <c r="K1916" s="2" t="s">
        <v>24017</v>
      </c>
      <c r="L1916" s="10" t="s">
        <v>24018</v>
      </c>
    </row>
    <row r="1917">
      <c r="A1917" s="2" t="s">
        <v>4653</v>
      </c>
      <c r="B1917" s="2" t="s">
        <v>24019</v>
      </c>
      <c r="C1917" s="2">
        <v>3.9246335757E10</v>
      </c>
      <c r="D1917" s="2" t="s">
        <v>24020</v>
      </c>
      <c r="E1917" s="2">
        <v>55658.0</v>
      </c>
      <c r="F1917" s="2">
        <v>36.0</v>
      </c>
      <c r="G1917" s="2">
        <v>140.0</v>
      </c>
      <c r="H1917" s="2" t="s">
        <v>5905</v>
      </c>
      <c r="I1917" s="2" t="s">
        <v>5906</v>
      </c>
      <c r="J1917" s="2" t="s">
        <v>9767</v>
      </c>
      <c r="K1917" s="2" t="s">
        <v>24021</v>
      </c>
      <c r="L1917" s="10" t="s">
        <v>24022</v>
      </c>
    </row>
    <row r="1918">
      <c r="A1918" s="2" t="s">
        <v>4653</v>
      </c>
      <c r="B1918" s="2" t="s">
        <v>24023</v>
      </c>
      <c r="C1918" s="2">
        <v>6.92471798E9</v>
      </c>
      <c r="D1918" s="2" t="s">
        <v>24024</v>
      </c>
      <c r="E1918" s="2">
        <v>207096.0</v>
      </c>
      <c r="F1918" s="2">
        <v>521.0</v>
      </c>
      <c r="G1918" s="2">
        <v>2106.0</v>
      </c>
      <c r="H1918" s="2" t="s">
        <v>5906</v>
      </c>
      <c r="I1918" s="2" t="s">
        <v>5906</v>
      </c>
      <c r="K1918" s="2" t="s">
        <v>24025</v>
      </c>
      <c r="L1918" s="10" t="s">
        <v>24026</v>
      </c>
    </row>
    <row r="1919">
      <c r="A1919" s="2" t="s">
        <v>4653</v>
      </c>
      <c r="B1919" s="2" t="s">
        <v>24027</v>
      </c>
      <c r="C1919" s="2">
        <v>1.199865257E9</v>
      </c>
      <c r="D1919" s="2" t="s">
        <v>24028</v>
      </c>
      <c r="E1919" s="2">
        <v>1375019.0</v>
      </c>
      <c r="F1919" s="2">
        <v>2726.0</v>
      </c>
      <c r="G1919" s="2">
        <v>7428.0</v>
      </c>
      <c r="H1919" s="2" t="s">
        <v>5906</v>
      </c>
      <c r="I1919" s="2" t="s">
        <v>5906</v>
      </c>
      <c r="J1919" s="2" t="s">
        <v>5911</v>
      </c>
      <c r="K1919" s="2" t="s">
        <v>24029</v>
      </c>
      <c r="L1919" s="10" t="s">
        <v>24030</v>
      </c>
    </row>
    <row r="1920">
      <c r="A1920" s="2" t="s">
        <v>4653</v>
      </c>
      <c r="B1920" s="2" t="s">
        <v>24031</v>
      </c>
      <c r="C1920" s="2">
        <v>7.491162114E9</v>
      </c>
      <c r="D1920" s="2" t="s">
        <v>5880</v>
      </c>
      <c r="E1920" s="2">
        <v>237843.0</v>
      </c>
      <c r="F1920" s="2">
        <v>2073.0</v>
      </c>
      <c r="G1920" s="2">
        <v>1187.0</v>
      </c>
      <c r="H1920" s="2" t="s">
        <v>5905</v>
      </c>
      <c r="I1920" s="2" t="s">
        <v>5905</v>
      </c>
      <c r="J1920" s="2" t="s">
        <v>7140</v>
      </c>
      <c r="K1920" s="2" t="s">
        <v>24032</v>
      </c>
      <c r="L1920" s="10" t="s">
        <v>24033</v>
      </c>
    </row>
    <row r="1921">
      <c r="A1921" s="2" t="s">
        <v>4653</v>
      </c>
      <c r="B1921" s="2" t="s">
        <v>24034</v>
      </c>
      <c r="C1921" s="2">
        <v>1.88969097E8</v>
      </c>
      <c r="D1921" s="2" t="s">
        <v>24035</v>
      </c>
      <c r="E1921" s="2">
        <v>639595.0</v>
      </c>
      <c r="F1921" s="2">
        <v>4765.0</v>
      </c>
      <c r="G1921" s="2">
        <v>4116.0</v>
      </c>
      <c r="H1921" s="2" t="s">
        <v>5906</v>
      </c>
      <c r="I1921" s="2" t="s">
        <v>5905</v>
      </c>
      <c r="J1921" s="2" t="s">
        <v>5492</v>
      </c>
      <c r="K1921" s="2" t="s">
        <v>24036</v>
      </c>
      <c r="L1921" s="10" t="s">
        <v>24037</v>
      </c>
    </row>
    <row r="1922">
      <c r="A1922" s="2" t="s">
        <v>4653</v>
      </c>
      <c r="B1922" s="2" t="s">
        <v>24038</v>
      </c>
      <c r="C1922" s="2">
        <v>2.69239477E8</v>
      </c>
      <c r="D1922" s="2" t="s">
        <v>24039</v>
      </c>
      <c r="E1922" s="2">
        <v>1156288.0</v>
      </c>
      <c r="F1922" s="2">
        <v>602.0</v>
      </c>
      <c r="G1922" s="2">
        <v>3155.0</v>
      </c>
      <c r="H1922" s="2" t="s">
        <v>5906</v>
      </c>
      <c r="I1922" s="2" t="s">
        <v>5905</v>
      </c>
      <c r="J1922" s="2" t="s">
        <v>8719</v>
      </c>
      <c r="K1922" s="2" t="s">
        <v>24040</v>
      </c>
      <c r="L1922" s="10" t="s">
        <v>24041</v>
      </c>
    </row>
    <row r="1923">
      <c r="A1923" s="2" t="s">
        <v>4653</v>
      </c>
      <c r="B1923" s="2" t="s">
        <v>24042</v>
      </c>
      <c r="C1923" s="2">
        <v>1.696269636E9</v>
      </c>
      <c r="D1923" s="2" t="s">
        <v>24043</v>
      </c>
      <c r="E1923" s="2">
        <v>130894.0</v>
      </c>
      <c r="F1923" s="2">
        <v>1052.0</v>
      </c>
      <c r="G1923" s="2">
        <v>941.0</v>
      </c>
      <c r="H1923" s="2" t="s">
        <v>5905</v>
      </c>
      <c r="I1923" s="2" t="s">
        <v>5905</v>
      </c>
      <c r="J1923" s="2" t="s">
        <v>5959</v>
      </c>
      <c r="K1923" s="2" t="s">
        <v>24044</v>
      </c>
      <c r="L1923" s="10" t="s">
        <v>24045</v>
      </c>
    </row>
    <row r="1924">
      <c r="A1924" s="2" t="s">
        <v>4653</v>
      </c>
      <c r="B1924" s="2" t="s">
        <v>24046</v>
      </c>
      <c r="C1924" s="2">
        <v>4.8127093533E10</v>
      </c>
      <c r="D1924" s="2" t="s">
        <v>24047</v>
      </c>
      <c r="E1924" s="2">
        <v>78516.0</v>
      </c>
      <c r="F1924" s="2">
        <v>916.0</v>
      </c>
      <c r="G1924" s="2">
        <v>3619.0</v>
      </c>
      <c r="H1924" s="2" t="s">
        <v>5905</v>
      </c>
      <c r="I1924" s="2" t="s">
        <v>5905</v>
      </c>
      <c r="J1924" s="2" t="s">
        <v>6745</v>
      </c>
      <c r="K1924" s="2" t="s">
        <v>24048</v>
      </c>
      <c r="L1924" s="10" t="s">
        <v>24049</v>
      </c>
    </row>
    <row r="1925">
      <c r="A1925" s="2" t="s">
        <v>4653</v>
      </c>
      <c r="B1925" s="2" t="s">
        <v>24050</v>
      </c>
      <c r="C1925" s="2">
        <v>4.0592509674E10</v>
      </c>
      <c r="D1925" s="2" t="s">
        <v>24051</v>
      </c>
      <c r="E1925" s="2">
        <v>71505.0</v>
      </c>
      <c r="F1925" s="2">
        <v>32.0</v>
      </c>
      <c r="G1925" s="2">
        <v>1565.0</v>
      </c>
      <c r="H1925" s="2" t="s">
        <v>5905</v>
      </c>
      <c r="I1925" s="2" t="s">
        <v>5906</v>
      </c>
      <c r="J1925" s="2" t="s">
        <v>12030</v>
      </c>
      <c r="K1925" s="2" t="s">
        <v>24052</v>
      </c>
      <c r="L1925" s="10" t="s">
        <v>24053</v>
      </c>
    </row>
    <row r="1926">
      <c r="A1926" s="2" t="s">
        <v>4653</v>
      </c>
      <c r="B1926" s="2" t="s">
        <v>24054</v>
      </c>
      <c r="C1926" s="2">
        <v>1.491790761E9</v>
      </c>
      <c r="D1926" s="2" t="s">
        <v>24055</v>
      </c>
      <c r="E1926" s="2">
        <v>1601094.0</v>
      </c>
      <c r="F1926" s="2">
        <v>478.0</v>
      </c>
      <c r="G1926" s="2">
        <v>1196.0</v>
      </c>
      <c r="H1926" s="2" t="s">
        <v>5906</v>
      </c>
      <c r="I1926" s="2" t="s">
        <v>5905</v>
      </c>
      <c r="J1926" s="2" t="s">
        <v>7140</v>
      </c>
      <c r="K1926" s="2" t="s">
        <v>24056</v>
      </c>
      <c r="L1926" s="10" t="s">
        <v>24057</v>
      </c>
    </row>
    <row r="1927">
      <c r="A1927" s="2" t="s">
        <v>4653</v>
      </c>
      <c r="B1927" s="2" t="s">
        <v>24058</v>
      </c>
      <c r="C1927" s="2">
        <v>1.601541877E9</v>
      </c>
      <c r="D1927" s="2" t="s">
        <v>24059</v>
      </c>
      <c r="E1927" s="2">
        <v>810465.0</v>
      </c>
      <c r="F1927" s="2">
        <v>429.0</v>
      </c>
      <c r="G1927" s="2">
        <v>648.0</v>
      </c>
      <c r="H1927" s="2" t="s">
        <v>5906</v>
      </c>
      <c r="I1927" s="2" t="s">
        <v>5905</v>
      </c>
      <c r="J1927" s="2" t="s">
        <v>5968</v>
      </c>
      <c r="K1927" s="2" t="s">
        <v>24060</v>
      </c>
      <c r="L1927" s="10" t="s">
        <v>24061</v>
      </c>
    </row>
    <row r="1928">
      <c r="A1928" s="2" t="s">
        <v>4748</v>
      </c>
      <c r="B1928" s="2" t="s">
        <v>24062</v>
      </c>
      <c r="C1928" s="2">
        <v>7.024733257E9</v>
      </c>
      <c r="D1928" s="2" t="s">
        <v>24063</v>
      </c>
      <c r="E1928" s="2">
        <v>274535.0</v>
      </c>
      <c r="F1928" s="2">
        <v>792.0</v>
      </c>
      <c r="G1928" s="2">
        <v>770.0</v>
      </c>
      <c r="H1928" s="2" t="s">
        <v>5906</v>
      </c>
      <c r="I1928" s="2" t="s">
        <v>5905</v>
      </c>
      <c r="J1928" s="2" t="s">
        <v>6002</v>
      </c>
      <c r="K1928" s="2" t="s">
        <v>24064</v>
      </c>
      <c r="L1928" s="10" t="s">
        <v>24065</v>
      </c>
    </row>
    <row r="1929">
      <c r="A1929" s="2" t="s">
        <v>4748</v>
      </c>
      <c r="B1929" s="2" t="s">
        <v>24066</v>
      </c>
      <c r="C1929" s="2">
        <v>4.892655447E10</v>
      </c>
      <c r="D1929" s="2" t="s">
        <v>24067</v>
      </c>
      <c r="E1929" s="2">
        <v>61697.0</v>
      </c>
      <c r="F1929" s="2">
        <v>4067.0</v>
      </c>
      <c r="G1929" s="2">
        <v>9533.0</v>
      </c>
      <c r="H1929" s="2" t="s">
        <v>5905</v>
      </c>
      <c r="I1929" s="2" t="s">
        <v>5905</v>
      </c>
      <c r="J1929" s="2" t="s">
        <v>6472</v>
      </c>
      <c r="K1929" s="2" t="s">
        <v>24068</v>
      </c>
      <c r="L1929" s="10" t="s">
        <v>24069</v>
      </c>
    </row>
    <row r="1930">
      <c r="A1930" s="2" t="s">
        <v>4748</v>
      </c>
      <c r="B1930" s="2" t="s">
        <v>24070</v>
      </c>
      <c r="C1930" s="2">
        <v>5.565997375E9</v>
      </c>
      <c r="D1930" s="2" t="s">
        <v>24071</v>
      </c>
      <c r="E1930" s="2">
        <v>141469.0</v>
      </c>
      <c r="F1930" s="2">
        <v>1953.0</v>
      </c>
      <c r="G1930" s="2">
        <v>2125.0</v>
      </c>
      <c r="H1930" s="2" t="s">
        <v>5905</v>
      </c>
      <c r="I1930" s="2" t="s">
        <v>5905</v>
      </c>
      <c r="J1930" s="2" t="s">
        <v>5959</v>
      </c>
      <c r="K1930" s="2" t="s">
        <v>24072</v>
      </c>
      <c r="L1930" s="10" t="s">
        <v>24073</v>
      </c>
    </row>
    <row r="1931">
      <c r="A1931" s="2" t="s">
        <v>4748</v>
      </c>
      <c r="B1931" s="2" t="s">
        <v>24074</v>
      </c>
      <c r="C1931" s="2">
        <v>6.213419268E9</v>
      </c>
      <c r="D1931" s="2" t="s">
        <v>24075</v>
      </c>
      <c r="E1931" s="2">
        <v>16758.0</v>
      </c>
      <c r="F1931" s="2">
        <v>154.0</v>
      </c>
      <c r="G1931" s="2">
        <v>119.0</v>
      </c>
      <c r="H1931" s="2" t="s">
        <v>5905</v>
      </c>
      <c r="I1931" s="2" t="s">
        <v>5906</v>
      </c>
      <c r="J1931" s="2" t="s">
        <v>12774</v>
      </c>
      <c r="K1931" s="2" t="s">
        <v>24076</v>
      </c>
      <c r="L1931" s="10" t="s">
        <v>24077</v>
      </c>
    </row>
    <row r="1932">
      <c r="A1932" s="2" t="s">
        <v>4637</v>
      </c>
      <c r="B1932" s="2" t="s">
        <v>24078</v>
      </c>
      <c r="C1932" s="2">
        <v>1.3233418777E10</v>
      </c>
      <c r="D1932" s="2" t="s">
        <v>24079</v>
      </c>
      <c r="E1932" s="2">
        <v>99216.0</v>
      </c>
      <c r="F1932" s="2">
        <v>413.0</v>
      </c>
      <c r="G1932" s="2">
        <v>681.0</v>
      </c>
      <c r="H1932" s="2" t="s">
        <v>5905</v>
      </c>
      <c r="I1932" s="2" t="s">
        <v>5905</v>
      </c>
      <c r="J1932" s="2" t="s">
        <v>5959</v>
      </c>
      <c r="K1932" s="2" t="s">
        <v>24080</v>
      </c>
      <c r="L1932" s="10" t="s">
        <v>24081</v>
      </c>
    </row>
    <row r="1933">
      <c r="A1933" s="2" t="s">
        <v>4637</v>
      </c>
      <c r="B1933" s="2" t="s">
        <v>24082</v>
      </c>
      <c r="C1933" s="2">
        <v>5.3319141183E10</v>
      </c>
      <c r="D1933" s="2" t="s">
        <v>24083</v>
      </c>
      <c r="E1933" s="2">
        <v>260548.0</v>
      </c>
      <c r="F1933" s="2">
        <v>9.0</v>
      </c>
      <c r="G1933" s="2">
        <v>152.0</v>
      </c>
      <c r="H1933" s="2" t="s">
        <v>5905</v>
      </c>
      <c r="I1933" s="2" t="s">
        <v>5906</v>
      </c>
      <c r="J1933" s="2" t="s">
        <v>6002</v>
      </c>
      <c r="K1933" s="2" t="s">
        <v>24084</v>
      </c>
      <c r="L1933" s="10" t="s">
        <v>24085</v>
      </c>
    </row>
    <row r="1934">
      <c r="A1934" s="2" t="s">
        <v>4637</v>
      </c>
      <c r="B1934" s="2" t="s">
        <v>16683</v>
      </c>
      <c r="C1934" s="2">
        <v>3.505806472E9</v>
      </c>
      <c r="D1934" s="2" t="s">
        <v>16684</v>
      </c>
      <c r="E1934" s="2">
        <v>263740.0</v>
      </c>
      <c r="F1934" s="2">
        <v>69.0</v>
      </c>
      <c r="G1934" s="2">
        <v>1595.0</v>
      </c>
      <c r="H1934" s="2" t="s">
        <v>5905</v>
      </c>
      <c r="I1934" s="2" t="s">
        <v>5906</v>
      </c>
      <c r="J1934" s="2" t="s">
        <v>7140</v>
      </c>
      <c r="K1934" s="2" t="s">
        <v>16685</v>
      </c>
      <c r="L1934" s="10" t="s">
        <v>16686</v>
      </c>
    </row>
    <row r="1935">
      <c r="A1935" s="2" t="s">
        <v>4722</v>
      </c>
      <c r="B1935" s="2" t="s">
        <v>24086</v>
      </c>
      <c r="C1935" s="2">
        <v>6.872409936E9</v>
      </c>
      <c r="D1935" s="2" t="s">
        <v>24087</v>
      </c>
      <c r="E1935" s="2">
        <v>699244.0</v>
      </c>
      <c r="F1935" s="2">
        <v>97.0</v>
      </c>
      <c r="G1935" s="2">
        <v>2837.0</v>
      </c>
      <c r="H1935" s="2" t="s">
        <v>5905</v>
      </c>
      <c r="I1935" s="2" t="s">
        <v>5905</v>
      </c>
      <c r="J1935" s="2" t="s">
        <v>5928</v>
      </c>
      <c r="K1935" s="2" t="s">
        <v>24088</v>
      </c>
      <c r="L1935" s="10" t="s">
        <v>24089</v>
      </c>
    </row>
    <row r="1936">
      <c r="A1936" s="2" t="s">
        <v>4722</v>
      </c>
      <c r="B1936" s="2" t="s">
        <v>24090</v>
      </c>
      <c r="C1936" s="2">
        <v>3.971200257E9</v>
      </c>
      <c r="D1936" s="2" t="s">
        <v>24091</v>
      </c>
      <c r="E1936" s="2">
        <v>723399.0</v>
      </c>
      <c r="F1936" s="2">
        <v>986.0</v>
      </c>
      <c r="G1936" s="2">
        <v>3999.0</v>
      </c>
      <c r="H1936" s="2" t="s">
        <v>5905</v>
      </c>
      <c r="I1936" s="2" t="s">
        <v>5906</v>
      </c>
      <c r="K1936" s="2" t="s">
        <v>24092</v>
      </c>
      <c r="L1936" s="10" t="s">
        <v>24093</v>
      </c>
    </row>
    <row r="1937">
      <c r="A1937" s="2" t="s">
        <v>4722</v>
      </c>
      <c r="B1937" s="2" t="s">
        <v>24094</v>
      </c>
      <c r="C1937" s="2">
        <v>7.534495913E9</v>
      </c>
      <c r="D1937" s="2" t="s">
        <v>24095</v>
      </c>
      <c r="E1937" s="2">
        <v>341811.0</v>
      </c>
      <c r="F1937" s="2">
        <v>160.0</v>
      </c>
      <c r="G1937" s="2">
        <v>248.0</v>
      </c>
      <c r="H1937" s="2" t="s">
        <v>5905</v>
      </c>
      <c r="I1937" s="2" t="s">
        <v>5906</v>
      </c>
      <c r="J1937" s="2" t="s">
        <v>6393</v>
      </c>
      <c r="K1937" s="2" t="s">
        <v>24096</v>
      </c>
    </row>
    <row r="1938">
      <c r="A1938" s="2" t="s">
        <v>4722</v>
      </c>
      <c r="B1938" s="10" t="s">
        <v>24097</v>
      </c>
      <c r="C1938" s="2">
        <v>5.1026173327E10</v>
      </c>
      <c r="D1938" s="2" t="s">
        <v>24098</v>
      </c>
      <c r="E1938" s="2">
        <v>19859.0</v>
      </c>
      <c r="F1938" s="2">
        <v>2731.0</v>
      </c>
      <c r="G1938" s="2">
        <v>269.0</v>
      </c>
      <c r="H1938" s="2" t="s">
        <v>5905</v>
      </c>
      <c r="I1938" s="2" t="s">
        <v>5905</v>
      </c>
      <c r="J1938" s="2" t="s">
        <v>5959</v>
      </c>
      <c r="K1938" s="2" t="s">
        <v>24099</v>
      </c>
      <c r="L1938" s="10" t="s">
        <v>24100</v>
      </c>
    </row>
    <row r="1939">
      <c r="A1939" s="2" t="s">
        <v>4722</v>
      </c>
      <c r="B1939" s="2" t="s">
        <v>24101</v>
      </c>
      <c r="C1939" s="2">
        <v>4.6864123177E10</v>
      </c>
      <c r="D1939" s="2" t="s">
        <v>24102</v>
      </c>
      <c r="E1939" s="2">
        <v>23098.0</v>
      </c>
      <c r="F1939" s="2">
        <v>328.0</v>
      </c>
      <c r="G1939" s="2">
        <v>813.0</v>
      </c>
      <c r="H1939" s="2" t="s">
        <v>5905</v>
      </c>
      <c r="I1939" s="2" t="s">
        <v>5905</v>
      </c>
      <c r="J1939" s="2" t="s">
        <v>5561</v>
      </c>
      <c r="K1939" s="2" t="s">
        <v>24103</v>
      </c>
      <c r="L1939" s="10" t="s">
        <v>24104</v>
      </c>
    </row>
    <row r="1940">
      <c r="A1940" s="2" t="s">
        <v>4722</v>
      </c>
      <c r="B1940" s="2" t="s">
        <v>24105</v>
      </c>
      <c r="C1940" s="2">
        <v>4.7582884234E10</v>
      </c>
      <c r="D1940" s="2" t="s">
        <v>24095</v>
      </c>
      <c r="E1940" s="2">
        <v>35466.0</v>
      </c>
      <c r="F1940" s="2">
        <v>1079.0</v>
      </c>
      <c r="G1940" s="2">
        <v>158.0</v>
      </c>
      <c r="H1940" s="2" t="s">
        <v>5905</v>
      </c>
      <c r="I1940" s="2" t="s">
        <v>5905</v>
      </c>
      <c r="J1940" s="2" t="s">
        <v>11320</v>
      </c>
      <c r="K1940" s="2" t="s">
        <v>24106</v>
      </c>
    </row>
    <row r="1941">
      <c r="A1941" s="2" t="s">
        <v>4766</v>
      </c>
      <c r="B1941" s="2" t="s">
        <v>24107</v>
      </c>
      <c r="C1941" s="2">
        <v>5.900617351E9</v>
      </c>
      <c r="D1941" s="2" t="s">
        <v>24108</v>
      </c>
      <c r="E1941" s="2">
        <v>109833.0</v>
      </c>
      <c r="F1941" s="2">
        <v>31.0</v>
      </c>
      <c r="G1941" s="2">
        <v>275.0</v>
      </c>
      <c r="H1941" s="2" t="s">
        <v>5905</v>
      </c>
      <c r="I1941" s="2" t="s">
        <v>5906</v>
      </c>
      <c r="J1941" s="2" t="s">
        <v>6393</v>
      </c>
      <c r="K1941" s="2" t="s">
        <v>24109</v>
      </c>
      <c r="L1941" s="10" t="s">
        <v>24110</v>
      </c>
    </row>
    <row r="1942">
      <c r="A1942" s="2" t="s">
        <v>4766</v>
      </c>
      <c r="B1942" s="2" t="s">
        <v>24111</v>
      </c>
      <c r="C1942" s="2">
        <v>3.732984361E9</v>
      </c>
      <c r="D1942" s="2" t="s">
        <v>24108</v>
      </c>
      <c r="E1942" s="2">
        <v>360914.0</v>
      </c>
      <c r="F1942" s="2">
        <v>5112.0</v>
      </c>
      <c r="G1942" s="2">
        <v>21595.0</v>
      </c>
      <c r="H1942" s="2" t="s">
        <v>5905</v>
      </c>
      <c r="I1942" s="2" t="s">
        <v>5906</v>
      </c>
      <c r="J1942" s="2" t="s">
        <v>5561</v>
      </c>
      <c r="K1942" s="2" t="s">
        <v>24112</v>
      </c>
      <c r="L1942" s="10" t="s">
        <v>24113</v>
      </c>
    </row>
    <row r="1943">
      <c r="A1943" s="2" t="s">
        <v>4766</v>
      </c>
      <c r="B1943" s="2" t="s">
        <v>24114</v>
      </c>
      <c r="C1943" s="2">
        <v>1.4494371857E10</v>
      </c>
      <c r="D1943" s="2" t="s">
        <v>24108</v>
      </c>
      <c r="E1943" s="2">
        <v>118410.0</v>
      </c>
      <c r="F1943" s="2">
        <v>1504.0</v>
      </c>
      <c r="G1943" s="2">
        <v>13325.0</v>
      </c>
      <c r="H1943" s="2" t="s">
        <v>5905</v>
      </c>
      <c r="I1943" s="2" t="s">
        <v>5906</v>
      </c>
      <c r="J1943" s="2" t="s">
        <v>6393</v>
      </c>
      <c r="K1943" s="2" t="s">
        <v>24115</v>
      </c>
      <c r="L1943" s="10" t="s">
        <v>24116</v>
      </c>
    </row>
    <row r="1944">
      <c r="A1944" s="2" t="s">
        <v>4766</v>
      </c>
      <c r="B1944" s="2" t="s">
        <v>24117</v>
      </c>
      <c r="C1944" s="2">
        <v>4.9719160492E10</v>
      </c>
      <c r="D1944" s="2" t="s">
        <v>24108</v>
      </c>
      <c r="E1944" s="2">
        <v>44760.0</v>
      </c>
      <c r="F1944" s="2">
        <v>28.0</v>
      </c>
      <c r="G1944" s="2">
        <v>19.0</v>
      </c>
      <c r="H1944" s="2" t="s">
        <v>5905</v>
      </c>
      <c r="I1944" s="2" t="s">
        <v>5905</v>
      </c>
      <c r="J1944" s="2" t="s">
        <v>5959</v>
      </c>
      <c r="K1944" s="2" t="s">
        <v>24118</v>
      </c>
    </row>
    <row r="1945">
      <c r="A1945" s="2" t="s">
        <v>4691</v>
      </c>
      <c r="B1945" s="2" t="s">
        <v>24119</v>
      </c>
      <c r="C1945" s="2">
        <v>6.2038006357E10</v>
      </c>
      <c r="D1945" s="2" t="s">
        <v>24120</v>
      </c>
      <c r="E1945" s="2">
        <v>71264.0</v>
      </c>
      <c r="F1945" s="2">
        <v>10.0</v>
      </c>
      <c r="G1945" s="2">
        <v>264.0</v>
      </c>
      <c r="H1945" s="2" t="s">
        <v>5905</v>
      </c>
      <c r="I1945" s="2" t="s">
        <v>5905</v>
      </c>
      <c r="J1945" s="2" t="s">
        <v>5928</v>
      </c>
      <c r="K1945" s="2" t="s">
        <v>24121</v>
      </c>
      <c r="L1945" s="10" t="s">
        <v>24122</v>
      </c>
    </row>
    <row r="1946">
      <c r="A1946" s="2" t="s">
        <v>4691</v>
      </c>
      <c r="B1946" s="2" t="s">
        <v>24123</v>
      </c>
      <c r="C1946" s="2">
        <v>5.0177989154E10</v>
      </c>
      <c r="D1946" s="2" t="s">
        <v>24124</v>
      </c>
      <c r="E1946" s="2">
        <v>23143.0</v>
      </c>
      <c r="F1946" s="2">
        <v>7.0</v>
      </c>
      <c r="G1946" s="2">
        <v>618.0</v>
      </c>
      <c r="H1946" s="2" t="s">
        <v>5905</v>
      </c>
      <c r="I1946" s="2" t="s">
        <v>5905</v>
      </c>
      <c r="J1946" s="2" t="s">
        <v>5968</v>
      </c>
      <c r="K1946" s="2" t="s">
        <v>24125</v>
      </c>
    </row>
    <row r="1947">
      <c r="A1947" s="2" t="s">
        <v>4691</v>
      </c>
      <c r="B1947" s="2" t="s">
        <v>24126</v>
      </c>
      <c r="C1947" s="2">
        <v>6.907773118E10</v>
      </c>
      <c r="D1947" s="2" t="s">
        <v>4691</v>
      </c>
      <c r="E1947" s="2">
        <v>16108.0</v>
      </c>
      <c r="F1947" s="2">
        <v>0.0</v>
      </c>
      <c r="G1947" s="2">
        <v>7.0</v>
      </c>
      <c r="H1947" s="2" t="s">
        <v>5905</v>
      </c>
      <c r="I1947" s="2" t="s">
        <v>5905</v>
      </c>
      <c r="J1947" s="2" t="s">
        <v>5928</v>
      </c>
      <c r="K1947" s="2" t="s">
        <v>24127</v>
      </c>
    </row>
    <row r="1948">
      <c r="A1948" s="2" t="s">
        <v>4691</v>
      </c>
      <c r="B1948" s="2" t="s">
        <v>24128</v>
      </c>
      <c r="C1948" s="2">
        <v>7.47945601E10</v>
      </c>
      <c r="D1948" s="2" t="s">
        <v>4691</v>
      </c>
      <c r="E1948" s="2">
        <v>10784.0</v>
      </c>
      <c r="F1948" s="2">
        <v>0.0</v>
      </c>
      <c r="G1948" s="2">
        <v>607.0</v>
      </c>
      <c r="H1948" s="2" t="s">
        <v>5905</v>
      </c>
      <c r="I1948" s="2" t="s">
        <v>5905</v>
      </c>
      <c r="J1948" s="2" t="s">
        <v>5928</v>
      </c>
      <c r="K1948" s="2" t="s">
        <v>24129</v>
      </c>
    </row>
    <row r="1949">
      <c r="A1949" s="2" t="s">
        <v>4691</v>
      </c>
      <c r="B1949" s="2" t="s">
        <v>24130</v>
      </c>
      <c r="C1949" s="2">
        <v>1.389131879E9</v>
      </c>
      <c r="D1949" s="2" t="s">
        <v>24120</v>
      </c>
      <c r="E1949" s="2">
        <v>139807.0</v>
      </c>
      <c r="F1949" s="2">
        <v>405.0</v>
      </c>
      <c r="G1949" s="2">
        <v>63.0</v>
      </c>
      <c r="H1949" s="2" t="s">
        <v>5905</v>
      </c>
      <c r="I1949" s="2" t="s">
        <v>5905</v>
      </c>
      <c r="J1949" s="2" t="s">
        <v>5959</v>
      </c>
      <c r="K1949" s="2" t="s">
        <v>24131</v>
      </c>
    </row>
    <row r="1950">
      <c r="A1950" s="2" t="s">
        <v>4691</v>
      </c>
      <c r="B1950" s="10" t="s">
        <v>24132</v>
      </c>
      <c r="C1950" s="2">
        <v>1.836930925E9</v>
      </c>
      <c r="D1950" s="2" t="s">
        <v>24133</v>
      </c>
      <c r="E1950" s="2">
        <v>241142.0</v>
      </c>
      <c r="F1950" s="2">
        <v>150.0</v>
      </c>
      <c r="G1950" s="2">
        <v>5229.0</v>
      </c>
      <c r="H1950" s="2" t="s">
        <v>5905</v>
      </c>
      <c r="I1950" s="2" t="s">
        <v>5906</v>
      </c>
      <c r="J1950" s="2" t="s">
        <v>6002</v>
      </c>
      <c r="K1950" s="2" t="s">
        <v>24134</v>
      </c>
      <c r="L1950" s="10" t="s">
        <v>24135</v>
      </c>
    </row>
    <row r="1951">
      <c r="A1951" s="2" t="s">
        <v>4691</v>
      </c>
      <c r="B1951" s="2" t="s">
        <v>24136</v>
      </c>
      <c r="C1951" s="2">
        <v>1.585929041E9</v>
      </c>
      <c r="D1951" s="2" t="s">
        <v>24137</v>
      </c>
      <c r="E1951" s="2">
        <v>482816.0</v>
      </c>
      <c r="F1951" s="2">
        <v>221.0</v>
      </c>
      <c r="G1951" s="2">
        <v>1576.0</v>
      </c>
      <c r="H1951" s="2" t="s">
        <v>5906</v>
      </c>
      <c r="I1951" s="2" t="s">
        <v>5905</v>
      </c>
      <c r="J1951" s="2" t="s">
        <v>12993</v>
      </c>
      <c r="K1951" s="12" t="s">
        <v>24138</v>
      </c>
      <c r="L1951" s="10" t="s">
        <v>24139</v>
      </c>
    </row>
    <row r="1952">
      <c r="A1952" s="2" t="s">
        <v>4691</v>
      </c>
      <c r="B1952" s="2" t="s">
        <v>24140</v>
      </c>
      <c r="C1952" s="2">
        <v>2.054234218E9</v>
      </c>
      <c r="D1952" s="2" t="s">
        <v>24141</v>
      </c>
      <c r="E1952" s="2">
        <v>1865936.0</v>
      </c>
      <c r="F1952" s="2">
        <v>153.0</v>
      </c>
      <c r="G1952" s="2">
        <v>4069.0</v>
      </c>
      <c r="H1952" s="2" t="s">
        <v>5905</v>
      </c>
      <c r="I1952" s="2" t="s">
        <v>5906</v>
      </c>
      <c r="J1952" s="2" t="s">
        <v>13706</v>
      </c>
      <c r="K1952" s="2" t="s">
        <v>24142</v>
      </c>
      <c r="L1952" s="10" t="s">
        <v>24143</v>
      </c>
    </row>
    <row r="1953">
      <c r="A1953" s="2" t="s">
        <v>4691</v>
      </c>
      <c r="B1953" s="2" t="s">
        <v>24144</v>
      </c>
      <c r="C1953" s="2">
        <v>7.013474708E9</v>
      </c>
      <c r="D1953" s="2" t="s">
        <v>24145</v>
      </c>
      <c r="E1953" s="2">
        <v>14388.0</v>
      </c>
      <c r="F1953" s="2">
        <v>163.0</v>
      </c>
      <c r="G1953" s="2">
        <v>755.0</v>
      </c>
      <c r="H1953" s="2" t="s">
        <v>5906</v>
      </c>
      <c r="I1953" s="2" t="s">
        <v>5906</v>
      </c>
      <c r="J1953" s="2" t="s">
        <v>5391</v>
      </c>
      <c r="K1953" s="2" t="s">
        <v>24146</v>
      </c>
      <c r="L1953" s="10" t="s">
        <v>24147</v>
      </c>
    </row>
    <row r="1954">
      <c r="A1954" s="2" t="s">
        <v>4745</v>
      </c>
      <c r="B1954" s="2" t="s">
        <v>24148</v>
      </c>
      <c r="C1954" s="2">
        <v>6.31158763E9</v>
      </c>
      <c r="D1954" s="2" t="s">
        <v>24149</v>
      </c>
      <c r="E1954" s="2">
        <v>15420.0</v>
      </c>
      <c r="F1954" s="2">
        <v>2263.0</v>
      </c>
      <c r="G1954" s="2">
        <v>314.0</v>
      </c>
      <c r="H1954" s="2" t="s">
        <v>5906</v>
      </c>
      <c r="I1954" s="2" t="s">
        <v>5906</v>
      </c>
      <c r="J1954" s="2" t="s">
        <v>5993</v>
      </c>
      <c r="K1954" s="2" t="s">
        <v>24150</v>
      </c>
      <c r="L1954" s="10" t="s">
        <v>24151</v>
      </c>
    </row>
    <row r="1955">
      <c r="A1955" s="2" t="s">
        <v>4745</v>
      </c>
      <c r="B1955" s="2" t="s">
        <v>24152</v>
      </c>
      <c r="C1955" s="2">
        <v>3.627912458E9</v>
      </c>
      <c r="D1955" s="2" t="s">
        <v>24153</v>
      </c>
      <c r="E1955" s="2">
        <v>33084.0</v>
      </c>
      <c r="F1955" s="2">
        <v>1033.0</v>
      </c>
      <c r="G1955" s="2">
        <v>765.0</v>
      </c>
      <c r="H1955" s="2" t="s">
        <v>5905</v>
      </c>
      <c r="I1955" s="2" t="s">
        <v>5906</v>
      </c>
      <c r="J1955" s="2" t="s">
        <v>6002</v>
      </c>
      <c r="K1955" s="2" t="s">
        <v>24154</v>
      </c>
      <c r="L1955" s="10" t="s">
        <v>24155</v>
      </c>
    </row>
    <row r="1956">
      <c r="A1956" s="2" t="s">
        <v>4745</v>
      </c>
      <c r="B1956" s="2" t="s">
        <v>24156</v>
      </c>
      <c r="C1956" s="2">
        <v>6.858000631E9</v>
      </c>
      <c r="D1956" s="2" t="s">
        <v>24157</v>
      </c>
      <c r="E1956" s="2">
        <v>17592.0</v>
      </c>
      <c r="F1956" s="2">
        <v>2124.0</v>
      </c>
      <c r="G1956" s="2">
        <v>300.0</v>
      </c>
      <c r="H1956" s="2" t="s">
        <v>5905</v>
      </c>
      <c r="I1956" s="2" t="s">
        <v>5905</v>
      </c>
      <c r="J1956" s="2" t="s">
        <v>6002</v>
      </c>
      <c r="K1956" s="2" t="s">
        <v>24158</v>
      </c>
      <c r="L1956" s="10" t="s">
        <v>24159</v>
      </c>
    </row>
    <row r="1957">
      <c r="A1957" s="2" t="s">
        <v>4745</v>
      </c>
      <c r="B1957" s="2" t="s">
        <v>24160</v>
      </c>
      <c r="C1957" s="2">
        <v>5.1159580378E10</v>
      </c>
      <c r="D1957" s="2" t="s">
        <v>24161</v>
      </c>
      <c r="E1957" s="2">
        <v>26907.0</v>
      </c>
      <c r="F1957" s="2">
        <v>543.0</v>
      </c>
      <c r="G1957" s="2">
        <v>142.0</v>
      </c>
      <c r="H1957" s="2" t="s">
        <v>5905</v>
      </c>
      <c r="I1957" s="2" t="s">
        <v>5906</v>
      </c>
      <c r="J1957" s="2" t="s">
        <v>5993</v>
      </c>
      <c r="K1957" s="12" t="s">
        <v>24162</v>
      </c>
    </row>
    <row r="1958">
      <c r="A1958" s="2" t="s">
        <v>4745</v>
      </c>
      <c r="B1958" s="2" t="s">
        <v>24163</v>
      </c>
      <c r="C1958" s="2">
        <v>1.7542910549E10</v>
      </c>
      <c r="D1958" s="2" t="s">
        <v>24164</v>
      </c>
      <c r="E1958" s="2">
        <v>1329805.0</v>
      </c>
      <c r="F1958" s="2">
        <v>33.0</v>
      </c>
      <c r="G1958" s="2">
        <v>8189.0</v>
      </c>
      <c r="H1958" s="2" t="s">
        <v>5906</v>
      </c>
      <c r="I1958" s="2" t="s">
        <v>5905</v>
      </c>
      <c r="J1958" s="2" t="s">
        <v>4404</v>
      </c>
      <c r="K1958" s="2" t="s">
        <v>24165</v>
      </c>
      <c r="L1958" s="10" t="s">
        <v>24166</v>
      </c>
    </row>
    <row r="1959">
      <c r="A1959" s="2" t="s">
        <v>4745</v>
      </c>
      <c r="B1959" s="2" t="s">
        <v>24167</v>
      </c>
      <c r="C1959" s="2">
        <v>2.1974417482E10</v>
      </c>
      <c r="D1959" s="2" t="s">
        <v>24168</v>
      </c>
      <c r="E1959" s="2">
        <v>50377.0</v>
      </c>
      <c r="F1959" s="2">
        <v>443.0</v>
      </c>
      <c r="G1959" s="2">
        <v>1093.0</v>
      </c>
      <c r="H1959" s="2" t="s">
        <v>5905</v>
      </c>
      <c r="I1959" s="2" t="s">
        <v>5905</v>
      </c>
      <c r="J1959" s="2" t="s">
        <v>6111</v>
      </c>
      <c r="K1959" s="2" t="s">
        <v>24169</v>
      </c>
    </row>
    <row r="1960">
      <c r="A1960" s="2" t="s">
        <v>4745</v>
      </c>
      <c r="B1960" s="2" t="s">
        <v>24170</v>
      </c>
      <c r="C1960" s="2">
        <v>1.7901999E8</v>
      </c>
      <c r="D1960" s="2" t="s">
        <v>24171</v>
      </c>
      <c r="E1960" s="2">
        <v>3778236.0</v>
      </c>
      <c r="F1960" s="2">
        <v>539.0</v>
      </c>
      <c r="G1960" s="2">
        <v>7251.0</v>
      </c>
      <c r="H1960" s="2" t="s">
        <v>5906</v>
      </c>
      <c r="I1960" s="2" t="s">
        <v>5906</v>
      </c>
      <c r="J1960" s="2" t="s">
        <v>5963</v>
      </c>
      <c r="K1960" s="2" t="s">
        <v>24172</v>
      </c>
      <c r="L1960" s="10" t="s">
        <v>24173</v>
      </c>
    </row>
    <row r="1961">
      <c r="A1961" s="2" t="s">
        <v>4745</v>
      </c>
      <c r="B1961" s="2" t="s">
        <v>24174</v>
      </c>
      <c r="C1961" s="2">
        <v>4.13247656E8</v>
      </c>
      <c r="D1961" s="2" t="s">
        <v>24175</v>
      </c>
      <c r="E1961" s="2">
        <v>1273991.0</v>
      </c>
      <c r="F1961" s="2">
        <v>1222.0</v>
      </c>
      <c r="G1961" s="2">
        <v>6672.0</v>
      </c>
      <c r="H1961" s="2" t="s">
        <v>5906</v>
      </c>
      <c r="I1961" s="2" t="s">
        <v>5906</v>
      </c>
      <c r="K1961" s="2" t="s">
        <v>24176</v>
      </c>
      <c r="L1961" s="10" t="s">
        <v>24177</v>
      </c>
    </row>
    <row r="1962">
      <c r="A1962" s="2" t="s">
        <v>4745</v>
      </c>
      <c r="B1962" s="2" t="s">
        <v>24178</v>
      </c>
      <c r="C1962" s="2">
        <v>5.0884487E7</v>
      </c>
      <c r="D1962" s="2" t="s">
        <v>24179</v>
      </c>
      <c r="E1962" s="2">
        <v>351643.0</v>
      </c>
      <c r="F1962" s="2">
        <v>91.0</v>
      </c>
      <c r="G1962" s="2">
        <v>5515.0</v>
      </c>
      <c r="H1962" s="2" t="s">
        <v>5906</v>
      </c>
      <c r="I1962" s="2" t="s">
        <v>5906</v>
      </c>
      <c r="K1962" s="2" t="s">
        <v>24180</v>
      </c>
      <c r="L1962" s="10" t="s">
        <v>24181</v>
      </c>
    </row>
    <row r="1963">
      <c r="A1963" s="2" t="s">
        <v>4745</v>
      </c>
      <c r="B1963" s="2" t="s">
        <v>24182</v>
      </c>
      <c r="C1963" s="2">
        <v>6.1790995851E10</v>
      </c>
      <c r="D1963" s="2" t="s">
        <v>24183</v>
      </c>
      <c r="E1963" s="2">
        <v>39920.0</v>
      </c>
      <c r="F1963" s="2">
        <v>33.0</v>
      </c>
      <c r="G1963" s="2">
        <v>1347.0</v>
      </c>
      <c r="H1963" s="2" t="s">
        <v>5905</v>
      </c>
      <c r="I1963" s="2" t="s">
        <v>5905</v>
      </c>
      <c r="J1963" s="2" t="s">
        <v>5993</v>
      </c>
      <c r="K1963" s="2" t="s">
        <v>24184</v>
      </c>
      <c r="L1963" s="10" t="s">
        <v>24185</v>
      </c>
    </row>
    <row r="1964">
      <c r="A1964" s="2" t="s">
        <v>4745</v>
      </c>
      <c r="B1964" s="2" t="s">
        <v>24186</v>
      </c>
      <c r="C1964" s="2">
        <v>4.9423434455E10</v>
      </c>
      <c r="D1964" s="2" t="s">
        <v>24187</v>
      </c>
      <c r="E1964" s="2">
        <v>17570.0</v>
      </c>
      <c r="F1964" s="2">
        <v>680.0</v>
      </c>
      <c r="G1964" s="2">
        <v>350.0</v>
      </c>
      <c r="H1964" s="2" t="s">
        <v>5905</v>
      </c>
      <c r="I1964" s="2" t="s">
        <v>5906</v>
      </c>
      <c r="J1964" s="2" t="s">
        <v>5993</v>
      </c>
      <c r="K1964" s="2" t="s">
        <v>24188</v>
      </c>
      <c r="L1964" s="10" t="s">
        <v>24189</v>
      </c>
    </row>
    <row r="1965">
      <c r="A1965" s="2" t="s">
        <v>4745</v>
      </c>
      <c r="B1965" s="2" t="s">
        <v>24190</v>
      </c>
      <c r="C1965" s="2">
        <v>1.038996E7</v>
      </c>
      <c r="D1965" s="2" t="s">
        <v>24191</v>
      </c>
      <c r="E1965" s="2">
        <v>46778.0</v>
      </c>
      <c r="F1965" s="2">
        <v>318.0</v>
      </c>
      <c r="G1965" s="2">
        <v>677.0</v>
      </c>
      <c r="H1965" s="2" t="s">
        <v>5906</v>
      </c>
      <c r="I1965" s="2" t="s">
        <v>5905</v>
      </c>
      <c r="J1965" s="2" t="s">
        <v>5963</v>
      </c>
      <c r="K1965" s="2" t="s">
        <v>24192</v>
      </c>
      <c r="L1965" s="10" t="s">
        <v>24193</v>
      </c>
    </row>
    <row r="1966">
      <c r="A1966" s="2" t="s">
        <v>4745</v>
      </c>
      <c r="B1966" s="2" t="s">
        <v>24194</v>
      </c>
      <c r="C1966" s="2">
        <v>2.15114663E8</v>
      </c>
      <c r="D1966" s="2" t="s">
        <v>24195</v>
      </c>
      <c r="E1966" s="2">
        <v>18708.0</v>
      </c>
      <c r="F1966" s="2">
        <v>7138.0</v>
      </c>
      <c r="G1966" s="2">
        <v>1553.0</v>
      </c>
      <c r="H1966" s="2" t="s">
        <v>5906</v>
      </c>
      <c r="I1966" s="2" t="s">
        <v>5906</v>
      </c>
      <c r="J1966" s="2" t="s">
        <v>5391</v>
      </c>
      <c r="K1966" s="2" t="s">
        <v>24196</v>
      </c>
      <c r="L1966" s="10" t="s">
        <v>24197</v>
      </c>
    </row>
    <row r="1967">
      <c r="A1967" s="2" t="s">
        <v>4556</v>
      </c>
      <c r="B1967" s="2" t="s">
        <v>24198</v>
      </c>
      <c r="C1967" s="2">
        <v>3.995530561E9</v>
      </c>
      <c r="D1967" s="2" t="s">
        <v>24199</v>
      </c>
      <c r="E1967" s="2">
        <v>164242.0</v>
      </c>
      <c r="F1967" s="2">
        <v>2097.0</v>
      </c>
      <c r="G1967" s="2">
        <v>1282.0</v>
      </c>
      <c r="H1967" s="2" t="s">
        <v>5905</v>
      </c>
      <c r="I1967" s="2" t="s">
        <v>5905</v>
      </c>
      <c r="J1967" s="2" t="s">
        <v>5959</v>
      </c>
      <c r="K1967" s="2" t="s">
        <v>24200</v>
      </c>
      <c r="L1967" s="10" t="s">
        <v>24201</v>
      </c>
    </row>
    <row r="1968">
      <c r="A1968" s="2" t="s">
        <v>4556</v>
      </c>
      <c r="B1968" s="2" t="s">
        <v>24202</v>
      </c>
      <c r="C1968" s="2">
        <v>6.5207016023E10</v>
      </c>
      <c r="D1968" s="2" t="s">
        <v>24203</v>
      </c>
      <c r="E1968" s="2">
        <v>252895.0</v>
      </c>
      <c r="F1968" s="2">
        <v>17.0</v>
      </c>
      <c r="G1968" s="2">
        <v>599.0</v>
      </c>
      <c r="H1968" s="2" t="s">
        <v>5905</v>
      </c>
      <c r="I1968" s="2" t="s">
        <v>5905</v>
      </c>
      <c r="J1968" s="2" t="s">
        <v>5928</v>
      </c>
      <c r="K1968" s="2" t="s">
        <v>24204</v>
      </c>
      <c r="L1968" s="10" t="s">
        <v>24205</v>
      </c>
    </row>
    <row r="1969">
      <c r="A1969" s="2" t="s">
        <v>4556</v>
      </c>
      <c r="B1969" s="2" t="s">
        <v>24206</v>
      </c>
      <c r="C1969" s="2">
        <v>7.3304064139E10</v>
      </c>
      <c r="D1969" s="2" t="s">
        <v>24207</v>
      </c>
      <c r="E1969" s="2">
        <v>248780.0</v>
      </c>
      <c r="F1969" s="2">
        <v>0.0</v>
      </c>
      <c r="G1969" s="2">
        <v>311.0</v>
      </c>
      <c r="H1969" s="2" t="s">
        <v>5905</v>
      </c>
      <c r="I1969" s="2" t="s">
        <v>5905</v>
      </c>
      <c r="J1969" s="2" t="s">
        <v>5928</v>
      </c>
      <c r="K1969" s="2" t="s">
        <v>24208</v>
      </c>
    </row>
    <row r="1970">
      <c r="A1970" s="2" t="s">
        <v>4556</v>
      </c>
      <c r="B1970" s="2" t="s">
        <v>24209</v>
      </c>
      <c r="C1970" s="2">
        <v>4.4320723761E10</v>
      </c>
      <c r="D1970" s="2" t="s">
        <v>24210</v>
      </c>
      <c r="E1970" s="2">
        <v>636612.0</v>
      </c>
      <c r="F1970" s="2">
        <v>7343.0</v>
      </c>
      <c r="G1970" s="2">
        <v>1001.0</v>
      </c>
      <c r="H1970" s="2" t="s">
        <v>5906</v>
      </c>
      <c r="I1970" s="2" t="s">
        <v>5905</v>
      </c>
      <c r="J1970" s="2" t="s">
        <v>6414</v>
      </c>
      <c r="K1970" s="2" t="s">
        <v>24211</v>
      </c>
      <c r="L1970" s="10" t="s">
        <v>24212</v>
      </c>
    </row>
    <row r="1971">
      <c r="A1971" s="2" t="s">
        <v>4556</v>
      </c>
      <c r="B1971" s="2" t="s">
        <v>24213</v>
      </c>
      <c r="C1971" s="2">
        <v>5.1707442586E10</v>
      </c>
      <c r="D1971" s="2" t="s">
        <v>24214</v>
      </c>
      <c r="E1971" s="2">
        <v>891519.0</v>
      </c>
      <c r="F1971" s="2">
        <v>982.0</v>
      </c>
      <c r="G1971" s="2">
        <v>50.0</v>
      </c>
      <c r="H1971" s="2" t="s">
        <v>5906</v>
      </c>
      <c r="I1971" s="2" t="s">
        <v>5905</v>
      </c>
      <c r="J1971" s="2" t="s">
        <v>13634</v>
      </c>
      <c r="K1971" s="2" t="s">
        <v>24215</v>
      </c>
    </row>
    <row r="1972">
      <c r="A1972" s="2" t="s">
        <v>4556</v>
      </c>
      <c r="B1972" s="2" t="s">
        <v>10570</v>
      </c>
      <c r="C1972" s="2">
        <v>7.181235237E10</v>
      </c>
      <c r="D1972" s="2" t="s">
        <v>10571</v>
      </c>
      <c r="E1972" s="2">
        <v>428037.0</v>
      </c>
      <c r="F1972" s="2">
        <v>7.0</v>
      </c>
      <c r="G1972" s="2">
        <v>433.0</v>
      </c>
      <c r="H1972" s="2" t="s">
        <v>5905</v>
      </c>
      <c r="I1972" s="2" t="s">
        <v>5906</v>
      </c>
      <c r="J1972" s="2" t="s">
        <v>5561</v>
      </c>
      <c r="K1972" s="2" t="s">
        <v>10572</v>
      </c>
    </row>
    <row r="1973">
      <c r="A1973" s="2" t="s">
        <v>4556</v>
      </c>
      <c r="B1973" s="2" t="s">
        <v>24216</v>
      </c>
      <c r="C1973" s="2">
        <v>6.5644030546E10</v>
      </c>
      <c r="D1973" s="2" t="s">
        <v>24217</v>
      </c>
      <c r="E1973" s="2">
        <v>122140.0</v>
      </c>
      <c r="F1973" s="2">
        <v>172.0</v>
      </c>
      <c r="G1973" s="2">
        <v>585.0</v>
      </c>
      <c r="H1973" s="2" t="s">
        <v>5905</v>
      </c>
      <c r="I1973" s="2" t="s">
        <v>5905</v>
      </c>
      <c r="J1973" s="2" t="s">
        <v>10219</v>
      </c>
      <c r="K1973" s="2" t="s">
        <v>24218</v>
      </c>
      <c r="L1973" s="10" t="s">
        <v>24219</v>
      </c>
    </row>
    <row r="1974">
      <c r="A1974" s="2" t="s">
        <v>4556</v>
      </c>
      <c r="B1974" s="2" t="s">
        <v>24220</v>
      </c>
      <c r="C1974" s="2">
        <v>7.756181689E9</v>
      </c>
      <c r="D1974" s="2" t="s">
        <v>24221</v>
      </c>
      <c r="E1974" s="2">
        <v>2286971.0</v>
      </c>
      <c r="F1974" s="2">
        <v>0.0</v>
      </c>
      <c r="G1974" s="2">
        <v>391.0</v>
      </c>
      <c r="H1974" s="2" t="s">
        <v>5905</v>
      </c>
      <c r="I1974" s="2" t="s">
        <v>5905</v>
      </c>
      <c r="J1974" s="2" t="s">
        <v>5928</v>
      </c>
      <c r="K1974" s="2" t="s">
        <v>24222</v>
      </c>
    </row>
    <row r="1975">
      <c r="A1975" s="2" t="s">
        <v>4556</v>
      </c>
      <c r="B1975" s="2" t="s">
        <v>24223</v>
      </c>
      <c r="C1975" s="2">
        <v>6.2798464106E10</v>
      </c>
      <c r="D1975" s="2" t="s">
        <v>24224</v>
      </c>
      <c r="E1975" s="2">
        <v>239225.0</v>
      </c>
      <c r="F1975" s="2">
        <v>38.0</v>
      </c>
      <c r="G1975" s="2">
        <v>565.0</v>
      </c>
      <c r="H1975" s="2" t="s">
        <v>5905</v>
      </c>
      <c r="I1975" s="2" t="s">
        <v>5905</v>
      </c>
      <c r="J1975" s="2" t="s">
        <v>6882</v>
      </c>
      <c r="K1975" s="2" t="s">
        <v>24225</v>
      </c>
      <c r="L1975" s="10" t="s">
        <v>24226</v>
      </c>
    </row>
    <row r="1976">
      <c r="A1976" s="2" t="s">
        <v>4556</v>
      </c>
      <c r="B1976" s="2" t="s">
        <v>24227</v>
      </c>
      <c r="C1976" s="2">
        <v>1.518523356E9</v>
      </c>
      <c r="D1976" s="2" t="s">
        <v>24228</v>
      </c>
      <c r="E1976" s="2">
        <v>146764.0</v>
      </c>
      <c r="F1976" s="2">
        <v>26.0</v>
      </c>
      <c r="G1976" s="2">
        <v>28.0</v>
      </c>
      <c r="H1976" s="2" t="s">
        <v>5906</v>
      </c>
      <c r="I1976" s="2" t="s">
        <v>5905</v>
      </c>
      <c r="J1976" s="2" t="s">
        <v>6414</v>
      </c>
      <c r="K1976" s="2" t="s">
        <v>24229</v>
      </c>
    </row>
    <row r="1977">
      <c r="A1977" s="2" t="s">
        <v>4556</v>
      </c>
      <c r="B1977" s="2" t="s">
        <v>24230</v>
      </c>
      <c r="C1977" s="2">
        <v>3.09966605E9</v>
      </c>
      <c r="D1977" s="12" t="s">
        <v>24231</v>
      </c>
      <c r="E1977" s="2">
        <v>111848.0</v>
      </c>
      <c r="F1977" s="2">
        <v>11.0</v>
      </c>
      <c r="G1977" s="2">
        <v>112.0</v>
      </c>
      <c r="H1977" s="2" t="s">
        <v>5905</v>
      </c>
      <c r="I1977" s="2" t="s">
        <v>5905</v>
      </c>
      <c r="J1977" s="2" t="s">
        <v>5518</v>
      </c>
      <c r="K1977" s="12" t="s">
        <v>24232</v>
      </c>
    </row>
    <row r="1978">
      <c r="A1978" s="2" t="s">
        <v>4556</v>
      </c>
      <c r="B1978" s="2" t="s">
        <v>24233</v>
      </c>
      <c r="C1978" s="2">
        <v>7.4972500031E10</v>
      </c>
      <c r="D1978" s="2" t="s">
        <v>24234</v>
      </c>
      <c r="E1978" s="2">
        <v>137453.0</v>
      </c>
      <c r="F1978" s="2">
        <v>0.0</v>
      </c>
      <c r="G1978" s="2">
        <v>54.0</v>
      </c>
      <c r="H1978" s="2" t="s">
        <v>5905</v>
      </c>
      <c r="I1978" s="2" t="s">
        <v>5905</v>
      </c>
      <c r="K1978" s="2" t="s">
        <v>24235</v>
      </c>
    </row>
    <row r="1979">
      <c r="A1979" s="2" t="s">
        <v>4556</v>
      </c>
      <c r="B1979" s="2" t="s">
        <v>24236</v>
      </c>
      <c r="C1979" s="2">
        <v>6.6887702376E10</v>
      </c>
      <c r="D1979" s="2" t="s">
        <v>24237</v>
      </c>
      <c r="E1979" s="2">
        <v>142295.0</v>
      </c>
      <c r="F1979" s="2">
        <v>5.0</v>
      </c>
      <c r="G1979" s="2">
        <v>361.0</v>
      </c>
      <c r="H1979" s="2" t="s">
        <v>5905</v>
      </c>
      <c r="I1979" s="2" t="s">
        <v>5905</v>
      </c>
      <c r="J1979" s="2" t="s">
        <v>5959</v>
      </c>
      <c r="K1979" s="2" t="s">
        <v>24238</v>
      </c>
      <c r="L1979" s="10" t="s">
        <v>24239</v>
      </c>
    </row>
    <row r="1980">
      <c r="A1980" s="2" t="s">
        <v>4556</v>
      </c>
      <c r="B1980" s="2" t="s">
        <v>24240</v>
      </c>
      <c r="C1980" s="2">
        <v>6.012489757E9</v>
      </c>
      <c r="D1980" s="2" t="s">
        <v>24241</v>
      </c>
      <c r="E1980" s="2">
        <v>1679309.0</v>
      </c>
      <c r="F1980" s="2">
        <v>9.0</v>
      </c>
      <c r="G1980" s="2">
        <v>2497.0</v>
      </c>
      <c r="H1980" s="2" t="s">
        <v>5905</v>
      </c>
      <c r="I1980" s="2" t="s">
        <v>5905</v>
      </c>
      <c r="J1980" s="2" t="s">
        <v>5911</v>
      </c>
      <c r="K1980" s="2" t="s">
        <v>24242</v>
      </c>
    </row>
    <row r="1981">
      <c r="A1981" s="2" t="s">
        <v>4515</v>
      </c>
      <c r="B1981" s="2" t="s">
        <v>24243</v>
      </c>
      <c r="C1981" s="2">
        <v>4.908570711E9</v>
      </c>
      <c r="D1981" s="2" t="s">
        <v>24244</v>
      </c>
      <c r="E1981" s="2">
        <v>188464.0</v>
      </c>
      <c r="F1981" s="2">
        <v>456.0</v>
      </c>
      <c r="G1981" s="2">
        <v>2489.0</v>
      </c>
      <c r="H1981" s="2" t="s">
        <v>5906</v>
      </c>
      <c r="I1981" s="2" t="s">
        <v>5905</v>
      </c>
      <c r="J1981" s="2" t="s">
        <v>5551</v>
      </c>
      <c r="K1981" s="2" t="s">
        <v>24245</v>
      </c>
      <c r="L1981" s="10" t="s">
        <v>24246</v>
      </c>
    </row>
    <row r="1982">
      <c r="A1982" s="2" t="s">
        <v>4515</v>
      </c>
      <c r="B1982" s="2" t="s">
        <v>24247</v>
      </c>
      <c r="C1982" s="2">
        <v>4.9063881071E10</v>
      </c>
      <c r="D1982" s="2" t="s">
        <v>24248</v>
      </c>
      <c r="E1982" s="2">
        <v>298952.0</v>
      </c>
      <c r="F1982" s="2">
        <v>480.0</v>
      </c>
      <c r="G1982" s="2">
        <v>1053.0</v>
      </c>
      <c r="H1982" s="2" t="s">
        <v>5905</v>
      </c>
      <c r="I1982" s="2" t="s">
        <v>5905</v>
      </c>
      <c r="J1982" s="2" t="s">
        <v>5561</v>
      </c>
      <c r="K1982" s="2" t="s">
        <v>24249</v>
      </c>
    </row>
    <row r="1983">
      <c r="A1983" s="2" t="s">
        <v>4515</v>
      </c>
      <c r="B1983" s="2" t="s">
        <v>24250</v>
      </c>
      <c r="C1983" s="2">
        <v>3.2208487634E10</v>
      </c>
      <c r="D1983" s="2" t="s">
        <v>24251</v>
      </c>
      <c r="E1983" s="2">
        <v>360914.0</v>
      </c>
      <c r="F1983" s="2">
        <v>1136.0</v>
      </c>
      <c r="G1983" s="2">
        <v>1113.0</v>
      </c>
      <c r="H1983" s="2" t="s">
        <v>5906</v>
      </c>
      <c r="I1983" s="2" t="s">
        <v>5905</v>
      </c>
      <c r="J1983" s="2" t="s">
        <v>11937</v>
      </c>
      <c r="K1983" s="2" t="s">
        <v>24252</v>
      </c>
      <c r="L1983" s="10" t="s">
        <v>24253</v>
      </c>
    </row>
    <row r="1984">
      <c r="A1984" s="2" t="s">
        <v>4515</v>
      </c>
      <c r="B1984" s="2" t="s">
        <v>24254</v>
      </c>
      <c r="C1984" s="2">
        <v>1.79480727E8</v>
      </c>
      <c r="D1984" s="2" t="s">
        <v>24255</v>
      </c>
      <c r="E1984" s="2">
        <v>305265.0</v>
      </c>
      <c r="F1984" s="2">
        <v>1922.0</v>
      </c>
      <c r="G1984" s="2">
        <v>2694.0</v>
      </c>
      <c r="H1984" s="2" t="s">
        <v>5906</v>
      </c>
      <c r="I1984" s="2" t="s">
        <v>5906</v>
      </c>
      <c r="J1984" s="2" t="s">
        <v>15234</v>
      </c>
      <c r="K1984" s="2" t="s">
        <v>24256</v>
      </c>
      <c r="L1984" s="10" t="s">
        <v>24257</v>
      </c>
    </row>
    <row r="1985">
      <c r="A1985" s="2" t="s">
        <v>4515</v>
      </c>
      <c r="B1985" s="2" t="s">
        <v>24258</v>
      </c>
      <c r="C1985" s="2">
        <v>7.28690519E8</v>
      </c>
      <c r="D1985" s="2" t="s">
        <v>24259</v>
      </c>
      <c r="E1985" s="2">
        <v>231434.0</v>
      </c>
      <c r="F1985" s="2">
        <v>4467.0</v>
      </c>
      <c r="G1985" s="2">
        <v>3603.0</v>
      </c>
      <c r="H1985" s="2" t="s">
        <v>5906</v>
      </c>
      <c r="I1985" s="2" t="s">
        <v>5905</v>
      </c>
      <c r="J1985" s="2" t="s">
        <v>5391</v>
      </c>
      <c r="K1985" s="2" t="s">
        <v>24260</v>
      </c>
      <c r="L1985" s="10" t="s">
        <v>24261</v>
      </c>
    </row>
    <row r="1986">
      <c r="A1986" s="2" t="s">
        <v>4515</v>
      </c>
      <c r="B1986" s="2" t="s">
        <v>24262</v>
      </c>
      <c r="C1986" s="2">
        <v>8.654254589E9</v>
      </c>
      <c r="D1986" s="2" t="s">
        <v>24263</v>
      </c>
      <c r="E1986" s="2">
        <v>214017.0</v>
      </c>
      <c r="F1986" s="2">
        <v>3999.0</v>
      </c>
      <c r="G1986" s="2">
        <v>5452.0</v>
      </c>
      <c r="H1986" s="2" t="s">
        <v>5905</v>
      </c>
      <c r="I1986" s="2" t="s">
        <v>5906</v>
      </c>
      <c r="J1986" s="2" t="s">
        <v>6166</v>
      </c>
      <c r="K1986" s="2" t="s">
        <v>24264</v>
      </c>
      <c r="L1986" s="10" t="s">
        <v>24265</v>
      </c>
    </row>
    <row r="1987">
      <c r="A1987" s="2" t="s">
        <v>4515</v>
      </c>
      <c r="B1987" s="2" t="s">
        <v>24266</v>
      </c>
      <c r="C1987" s="2">
        <v>6.344683713E9</v>
      </c>
      <c r="D1987" s="2" t="s">
        <v>24267</v>
      </c>
      <c r="E1987" s="2">
        <v>671275.0</v>
      </c>
      <c r="F1987" s="2">
        <v>831.0</v>
      </c>
      <c r="G1987" s="2">
        <v>3354.0</v>
      </c>
      <c r="H1987" s="2" t="s">
        <v>5905</v>
      </c>
      <c r="I1987" s="2" t="s">
        <v>5906</v>
      </c>
      <c r="J1987" s="2" t="s">
        <v>5391</v>
      </c>
      <c r="K1987" s="2" t="s">
        <v>24268</v>
      </c>
      <c r="L1987" s="10" t="s">
        <v>24269</v>
      </c>
    </row>
    <row r="1988">
      <c r="A1988" s="2" t="s">
        <v>4515</v>
      </c>
      <c r="B1988" s="2" t="s">
        <v>24270</v>
      </c>
      <c r="C1988" s="2">
        <v>8114902.0</v>
      </c>
      <c r="D1988" s="2" t="s">
        <v>24271</v>
      </c>
      <c r="E1988" s="2">
        <v>531805.0</v>
      </c>
      <c r="F1988" s="2">
        <v>726.0</v>
      </c>
      <c r="G1988" s="2">
        <v>1242.0</v>
      </c>
      <c r="H1988" s="2" t="s">
        <v>5906</v>
      </c>
      <c r="I1988" s="2" t="s">
        <v>5905</v>
      </c>
      <c r="J1988" s="2" t="s">
        <v>7140</v>
      </c>
      <c r="K1988" s="2" t="s">
        <v>24272</v>
      </c>
      <c r="L1988" s="10" t="s">
        <v>24273</v>
      </c>
    </row>
    <row r="1989">
      <c r="A1989" s="2" t="s">
        <v>4515</v>
      </c>
      <c r="B1989" s="2" t="s">
        <v>24274</v>
      </c>
      <c r="C1989" s="2">
        <v>8.28359724E9</v>
      </c>
      <c r="D1989" s="2" t="s">
        <v>24275</v>
      </c>
      <c r="E1989" s="2">
        <v>646200.0</v>
      </c>
      <c r="F1989" s="2">
        <v>20.0</v>
      </c>
      <c r="G1989" s="2">
        <v>1742.0</v>
      </c>
      <c r="H1989" s="2" t="s">
        <v>5905</v>
      </c>
      <c r="I1989" s="2" t="s">
        <v>5905</v>
      </c>
      <c r="J1989" s="2" t="s">
        <v>5492</v>
      </c>
      <c r="K1989" s="2" t="s">
        <v>24276</v>
      </c>
    </row>
    <row r="1990">
      <c r="A1990" s="2" t="s">
        <v>4515</v>
      </c>
      <c r="B1990" s="2" t="s">
        <v>24277</v>
      </c>
      <c r="C1990" s="2">
        <v>1.698444785E9</v>
      </c>
      <c r="D1990" s="2" t="s">
        <v>24278</v>
      </c>
      <c r="E1990" s="2">
        <v>64622.0</v>
      </c>
      <c r="F1990" s="2">
        <v>1327.0</v>
      </c>
      <c r="G1990" s="2">
        <v>3088.0</v>
      </c>
      <c r="H1990" s="2" t="s">
        <v>5905</v>
      </c>
      <c r="I1990" s="2" t="s">
        <v>5905</v>
      </c>
      <c r="J1990" s="2" t="s">
        <v>6745</v>
      </c>
      <c r="K1990" s="2" t="s">
        <v>24279</v>
      </c>
      <c r="L1990" s="10" t="s">
        <v>24280</v>
      </c>
    </row>
    <row r="1991">
      <c r="A1991" s="2" t="s">
        <v>4515</v>
      </c>
      <c r="B1991" s="2" t="s">
        <v>24281</v>
      </c>
      <c r="C1991" s="2">
        <v>2.413333992E9</v>
      </c>
      <c r="D1991" s="2" t="s">
        <v>24282</v>
      </c>
      <c r="E1991" s="2">
        <v>174419.0</v>
      </c>
      <c r="F1991" s="2">
        <v>4663.0</v>
      </c>
      <c r="G1991" s="2">
        <v>1518.0</v>
      </c>
      <c r="H1991" s="2" t="s">
        <v>5906</v>
      </c>
      <c r="I1991" s="2" t="s">
        <v>5906</v>
      </c>
      <c r="K1991" s="2" t="s">
        <v>24283</v>
      </c>
      <c r="L1991" s="10" t="s">
        <v>24284</v>
      </c>
    </row>
    <row r="1992">
      <c r="A1992" s="2" t="s">
        <v>4515</v>
      </c>
      <c r="B1992" s="2" t="s">
        <v>24285</v>
      </c>
      <c r="C1992" s="2">
        <v>8.59881262E9</v>
      </c>
      <c r="D1992" s="2" t="s">
        <v>24286</v>
      </c>
      <c r="E1992" s="2">
        <v>60375.0</v>
      </c>
      <c r="F1992" s="2">
        <v>35.0</v>
      </c>
      <c r="G1992" s="2">
        <v>731.0</v>
      </c>
      <c r="H1992" s="2" t="s">
        <v>5906</v>
      </c>
      <c r="I1992" s="2" t="s">
        <v>5906</v>
      </c>
      <c r="K1992" s="2" t="s">
        <v>24287</v>
      </c>
      <c r="L1992" s="10" t="s">
        <v>24288</v>
      </c>
    </row>
    <row r="1993">
      <c r="A1993" s="2" t="s">
        <v>4515</v>
      </c>
      <c r="B1993" s="2" t="s">
        <v>24289</v>
      </c>
      <c r="C1993" s="2">
        <v>1.6937934018E10</v>
      </c>
      <c r="D1993" s="2" t="s">
        <v>24290</v>
      </c>
      <c r="E1993" s="2">
        <v>201654.0</v>
      </c>
      <c r="F1993" s="2">
        <v>1295.0</v>
      </c>
      <c r="G1993" s="2">
        <v>875.0</v>
      </c>
      <c r="H1993" s="2" t="s">
        <v>5906</v>
      </c>
      <c r="I1993" s="2" t="s">
        <v>5906</v>
      </c>
      <c r="J1993" s="2" t="s">
        <v>5391</v>
      </c>
      <c r="K1993" s="2" t="s">
        <v>24291</v>
      </c>
      <c r="L1993" s="10" t="s">
        <v>24292</v>
      </c>
    </row>
    <row r="1994">
      <c r="A1994" s="2" t="s">
        <v>4515</v>
      </c>
      <c r="B1994" s="2" t="s">
        <v>24293</v>
      </c>
      <c r="C1994" s="2">
        <v>1.6008027894E10</v>
      </c>
      <c r="D1994" s="2" t="s">
        <v>24294</v>
      </c>
      <c r="E1994" s="2">
        <v>54511.0</v>
      </c>
      <c r="F1994" s="2">
        <v>14.0</v>
      </c>
      <c r="G1994" s="2">
        <v>442.0</v>
      </c>
      <c r="H1994" s="2" t="s">
        <v>5905</v>
      </c>
      <c r="I1994" s="2" t="s">
        <v>5906</v>
      </c>
      <c r="J1994" s="2" t="s">
        <v>5959</v>
      </c>
      <c r="K1994" s="2" t="s">
        <v>24295</v>
      </c>
    </row>
    <row r="1995">
      <c r="A1995" s="2" t="s">
        <v>4515</v>
      </c>
      <c r="B1995" s="2" t="s">
        <v>24296</v>
      </c>
      <c r="C1995" s="2">
        <v>7.662094466E9</v>
      </c>
      <c r="D1995" s="2" t="s">
        <v>24297</v>
      </c>
      <c r="E1995" s="2">
        <v>202190.0</v>
      </c>
      <c r="F1995" s="2">
        <v>1077.0</v>
      </c>
      <c r="G1995" s="2">
        <v>1046.0</v>
      </c>
      <c r="H1995" s="2" t="s">
        <v>5906</v>
      </c>
      <c r="I1995" s="2" t="s">
        <v>5906</v>
      </c>
      <c r="K1995" s="2" t="s">
        <v>24298</v>
      </c>
      <c r="L1995" s="10" t="s">
        <v>24299</v>
      </c>
    </row>
    <row r="1996">
      <c r="A1996" s="2" t="s">
        <v>4515</v>
      </c>
      <c r="B1996" s="2" t="s">
        <v>24300</v>
      </c>
      <c r="C1996" s="2">
        <v>1.443465488E9</v>
      </c>
      <c r="D1996" s="2" t="s">
        <v>24301</v>
      </c>
      <c r="E1996" s="2">
        <v>131862.0</v>
      </c>
      <c r="F1996" s="2">
        <v>647.0</v>
      </c>
      <c r="G1996" s="2">
        <v>2549.0</v>
      </c>
      <c r="H1996" s="2" t="s">
        <v>5905</v>
      </c>
      <c r="I1996" s="2" t="s">
        <v>5906</v>
      </c>
      <c r="J1996" s="2" t="s">
        <v>12774</v>
      </c>
      <c r="K1996" s="2" t="s">
        <v>24302</v>
      </c>
      <c r="L1996" s="10" t="s">
        <v>24303</v>
      </c>
    </row>
    <row r="1997">
      <c r="A1997" s="2" t="s">
        <v>4515</v>
      </c>
      <c r="B1997" s="2" t="s">
        <v>24304</v>
      </c>
      <c r="C1997" s="2">
        <v>4.0286284E7</v>
      </c>
      <c r="D1997" s="2" t="s">
        <v>24305</v>
      </c>
      <c r="E1997" s="2">
        <v>640138.0</v>
      </c>
      <c r="F1997" s="2">
        <v>3121.0</v>
      </c>
      <c r="G1997" s="2">
        <v>10134.0</v>
      </c>
      <c r="H1997" s="2" t="s">
        <v>5906</v>
      </c>
      <c r="I1997" s="2" t="s">
        <v>5906</v>
      </c>
      <c r="J1997" s="2" t="s">
        <v>5561</v>
      </c>
      <c r="K1997" s="2" t="s">
        <v>24306</v>
      </c>
      <c r="L1997" s="10" t="s">
        <v>24307</v>
      </c>
    </row>
    <row r="1998">
      <c r="A1998" s="2" t="s">
        <v>4734</v>
      </c>
      <c r="B1998" s="2" t="s">
        <v>24308</v>
      </c>
      <c r="C1998" s="2">
        <v>4.9215640509E10</v>
      </c>
      <c r="D1998" s="2" t="s">
        <v>24309</v>
      </c>
      <c r="E1998" s="2">
        <v>72786.0</v>
      </c>
      <c r="F1998" s="2">
        <v>122.0</v>
      </c>
      <c r="G1998" s="2">
        <v>2149.0</v>
      </c>
      <c r="H1998" s="2" t="s">
        <v>5905</v>
      </c>
      <c r="I1998" s="2" t="s">
        <v>5905</v>
      </c>
      <c r="J1998" s="2" t="s">
        <v>5928</v>
      </c>
      <c r="K1998" s="2" t="s">
        <v>24310</v>
      </c>
    </row>
    <row r="1999">
      <c r="A1999" s="2" t="s">
        <v>4734</v>
      </c>
      <c r="B1999" s="2" t="s">
        <v>24311</v>
      </c>
      <c r="C1999" s="2">
        <v>5.9228875585E10</v>
      </c>
      <c r="D1999" s="2" t="s">
        <v>24312</v>
      </c>
      <c r="E1999" s="2">
        <v>11347.0</v>
      </c>
      <c r="F1999" s="2">
        <v>35.0</v>
      </c>
      <c r="G1999" s="2">
        <v>280.0</v>
      </c>
      <c r="H1999" s="2" t="s">
        <v>5905</v>
      </c>
      <c r="I1999" s="2" t="s">
        <v>5905</v>
      </c>
      <c r="J1999" s="2" t="s">
        <v>5561</v>
      </c>
      <c r="K1999" s="2" t="s">
        <v>24313</v>
      </c>
      <c r="L1999" s="10" t="s">
        <v>24314</v>
      </c>
    </row>
    <row r="2000">
      <c r="A2000" s="2" t="s">
        <v>4503</v>
      </c>
      <c r="B2000" s="2" t="s">
        <v>24315</v>
      </c>
      <c r="C2000" s="2">
        <v>1.9654843E9</v>
      </c>
      <c r="D2000" s="2" t="s">
        <v>24316</v>
      </c>
      <c r="E2000" s="2">
        <v>124800.0</v>
      </c>
      <c r="F2000" s="2">
        <v>33.0</v>
      </c>
      <c r="G2000" s="2">
        <v>2797.0</v>
      </c>
      <c r="H2000" s="2" t="s">
        <v>5905</v>
      </c>
      <c r="I2000" s="2" t="s">
        <v>5905</v>
      </c>
      <c r="J2000" s="2" t="s">
        <v>6002</v>
      </c>
      <c r="K2000" s="2" t="s">
        <v>24317</v>
      </c>
      <c r="L2000" s="10" t="s">
        <v>24318</v>
      </c>
    </row>
    <row r="2001">
      <c r="A2001" s="2" t="s">
        <v>4503</v>
      </c>
      <c r="B2001" s="2" t="s">
        <v>24319</v>
      </c>
      <c r="C2001" s="2">
        <v>5.824786507E9</v>
      </c>
      <c r="D2001" s="2" t="s">
        <v>24320</v>
      </c>
      <c r="E2001" s="2">
        <v>63613.0</v>
      </c>
      <c r="F2001" s="2">
        <v>351.0</v>
      </c>
      <c r="G2001" s="2">
        <v>2349.0</v>
      </c>
      <c r="H2001" s="2" t="s">
        <v>5906</v>
      </c>
      <c r="I2001" s="2" t="s">
        <v>5906</v>
      </c>
      <c r="J2001" s="2" t="s">
        <v>6002</v>
      </c>
      <c r="K2001" s="2" t="s">
        <v>24321</v>
      </c>
      <c r="L2001" s="10" t="s">
        <v>24322</v>
      </c>
    </row>
    <row r="2002">
      <c r="A2002" s="2" t="s">
        <v>4503</v>
      </c>
      <c r="B2002" s="2" t="s">
        <v>24323</v>
      </c>
      <c r="C2002" s="2">
        <v>7.4687359728E10</v>
      </c>
      <c r="D2002" s="2" t="s">
        <v>24324</v>
      </c>
      <c r="E2002" s="2">
        <v>459110.0</v>
      </c>
      <c r="F2002" s="2">
        <v>0.0</v>
      </c>
      <c r="G2002" s="2">
        <v>1110.0</v>
      </c>
      <c r="H2002" s="2" t="s">
        <v>5905</v>
      </c>
      <c r="I2002" s="2" t="s">
        <v>5905</v>
      </c>
      <c r="J2002" s="2" t="s">
        <v>5968</v>
      </c>
      <c r="K2002" s="2" t="s">
        <v>24325</v>
      </c>
      <c r="L2002" s="10" t="s">
        <v>24326</v>
      </c>
    </row>
    <row r="2003">
      <c r="A2003" s="2" t="s">
        <v>4503</v>
      </c>
      <c r="B2003" s="2" t="s">
        <v>24327</v>
      </c>
      <c r="C2003" s="2">
        <v>3.159430865E9</v>
      </c>
      <c r="D2003" s="2" t="s">
        <v>24328</v>
      </c>
      <c r="E2003" s="2">
        <v>111837.0</v>
      </c>
      <c r="F2003" s="2">
        <v>133.0</v>
      </c>
      <c r="G2003" s="2">
        <v>1227.0</v>
      </c>
      <c r="H2003" s="2" t="s">
        <v>5905</v>
      </c>
      <c r="I2003" s="2" t="s">
        <v>5905</v>
      </c>
      <c r="J2003" s="2" t="s">
        <v>5959</v>
      </c>
      <c r="K2003" s="2" t="s">
        <v>24329</v>
      </c>
      <c r="L2003" s="10" t="s">
        <v>24330</v>
      </c>
    </row>
    <row r="2004">
      <c r="A2004" s="2" t="s">
        <v>4503</v>
      </c>
      <c r="B2004" s="2" t="s">
        <v>24331</v>
      </c>
      <c r="C2004" s="2">
        <v>7.2506648379E10</v>
      </c>
      <c r="D2004" s="2" t="s">
        <v>24332</v>
      </c>
      <c r="E2004" s="2">
        <v>160742.0</v>
      </c>
      <c r="F2004" s="2">
        <v>1.0</v>
      </c>
      <c r="G2004" s="2">
        <v>312.0</v>
      </c>
      <c r="H2004" s="2" t="s">
        <v>5905</v>
      </c>
      <c r="I2004" s="2" t="s">
        <v>5905</v>
      </c>
      <c r="J2004" s="2" t="s">
        <v>6002</v>
      </c>
      <c r="K2004" s="2" t="s">
        <v>24333</v>
      </c>
      <c r="L2004" s="10" t="s">
        <v>24334</v>
      </c>
    </row>
    <row r="2005">
      <c r="A2005" s="2" t="s">
        <v>4503</v>
      </c>
      <c r="B2005" s="2" t="s">
        <v>24335</v>
      </c>
      <c r="C2005" s="2">
        <v>6.4870968899E10</v>
      </c>
      <c r="D2005" s="2" t="s">
        <v>24336</v>
      </c>
      <c r="E2005" s="2">
        <v>16199.0</v>
      </c>
      <c r="F2005" s="2">
        <v>31.0</v>
      </c>
      <c r="G2005" s="2">
        <v>89.0</v>
      </c>
      <c r="H2005" s="2" t="s">
        <v>5905</v>
      </c>
      <c r="I2005" s="2" t="s">
        <v>5905</v>
      </c>
      <c r="J2005" s="2" t="s">
        <v>5959</v>
      </c>
      <c r="K2005" s="2" t="s">
        <v>24337</v>
      </c>
      <c r="L2005" s="10" t="s">
        <v>24338</v>
      </c>
    </row>
    <row r="2006">
      <c r="A2006" s="2" t="s">
        <v>4503</v>
      </c>
      <c r="B2006" s="2" t="s">
        <v>24339</v>
      </c>
      <c r="C2006" s="2">
        <v>4.6341123863E10</v>
      </c>
      <c r="D2006" s="2" t="s">
        <v>24340</v>
      </c>
      <c r="E2006" s="2">
        <v>92371.0</v>
      </c>
      <c r="F2006" s="2">
        <v>1.0</v>
      </c>
      <c r="G2006" s="2">
        <v>254.0</v>
      </c>
      <c r="H2006" s="2" t="s">
        <v>5905</v>
      </c>
      <c r="I2006" s="2" t="s">
        <v>5906</v>
      </c>
      <c r="J2006" s="2" t="s">
        <v>5391</v>
      </c>
      <c r="K2006" s="2" t="s">
        <v>24341</v>
      </c>
      <c r="L2006" s="10" t="s">
        <v>24342</v>
      </c>
    </row>
    <row r="2007">
      <c r="A2007" s="2" t="s">
        <v>4503</v>
      </c>
      <c r="B2007" s="2" t="s">
        <v>24343</v>
      </c>
      <c r="C2007" s="2">
        <v>5.3820891587E10</v>
      </c>
      <c r="D2007" s="2" t="s">
        <v>24344</v>
      </c>
      <c r="E2007" s="2">
        <v>574674.0</v>
      </c>
      <c r="F2007" s="2">
        <v>755.0</v>
      </c>
      <c r="G2007" s="2">
        <v>874.0</v>
      </c>
      <c r="H2007" s="2" t="s">
        <v>5906</v>
      </c>
      <c r="I2007" s="2" t="s">
        <v>5905</v>
      </c>
      <c r="J2007" s="2" t="s">
        <v>5928</v>
      </c>
      <c r="K2007" s="2" t="s">
        <v>24345</v>
      </c>
      <c r="L2007" s="10" t="s">
        <v>24346</v>
      </c>
    </row>
    <row r="2008">
      <c r="A2008" s="2" t="s">
        <v>4503</v>
      </c>
      <c r="B2008" s="2" t="s">
        <v>24347</v>
      </c>
      <c r="C2008" s="2">
        <v>6.3893238583E10</v>
      </c>
      <c r="D2008" s="2" t="s">
        <v>24348</v>
      </c>
      <c r="E2008" s="2">
        <v>41020.0</v>
      </c>
      <c r="F2008" s="2">
        <v>99.0</v>
      </c>
      <c r="G2008" s="2">
        <v>677.0</v>
      </c>
      <c r="H2008" s="2" t="s">
        <v>5905</v>
      </c>
      <c r="I2008" s="2" t="s">
        <v>5905</v>
      </c>
      <c r="J2008" s="2" t="s">
        <v>5959</v>
      </c>
      <c r="K2008" s="2" t="s">
        <v>24349</v>
      </c>
      <c r="L2008" s="10" t="s">
        <v>24350</v>
      </c>
    </row>
    <row r="2009">
      <c r="A2009" s="2" t="s">
        <v>4503</v>
      </c>
      <c r="B2009" s="2" t="s">
        <v>24351</v>
      </c>
      <c r="C2009" s="2">
        <v>6.2507086709E10</v>
      </c>
      <c r="D2009" s="2" t="s">
        <v>24352</v>
      </c>
      <c r="E2009" s="2">
        <v>247581.0</v>
      </c>
      <c r="F2009" s="2">
        <v>2.0</v>
      </c>
      <c r="G2009" s="2">
        <v>123.0</v>
      </c>
      <c r="H2009" s="2" t="s">
        <v>5905</v>
      </c>
      <c r="I2009" s="2" t="s">
        <v>5905</v>
      </c>
      <c r="J2009" s="2" t="s">
        <v>5959</v>
      </c>
      <c r="K2009" s="2" t="s">
        <v>24353</v>
      </c>
      <c r="L2009" s="10" t="s">
        <v>24354</v>
      </c>
    </row>
    <row r="2010">
      <c r="A2010" s="2" t="s">
        <v>4503</v>
      </c>
      <c r="B2010" s="2" t="s">
        <v>24355</v>
      </c>
      <c r="C2010" s="2">
        <v>1.461170701E9</v>
      </c>
      <c r="D2010" s="2" t="s">
        <v>24356</v>
      </c>
      <c r="E2010" s="2">
        <v>118710.0</v>
      </c>
      <c r="F2010" s="2">
        <v>675.0</v>
      </c>
      <c r="G2010" s="2">
        <v>1137.0</v>
      </c>
      <c r="H2010" s="2" t="s">
        <v>5906</v>
      </c>
      <c r="I2010" s="2" t="s">
        <v>5905</v>
      </c>
      <c r="J2010" s="2" t="s">
        <v>5391</v>
      </c>
      <c r="K2010" s="2" t="s">
        <v>24357</v>
      </c>
      <c r="L2010" s="10" t="s">
        <v>24358</v>
      </c>
    </row>
    <row r="2011">
      <c r="A2011" s="2" t="s">
        <v>4503</v>
      </c>
      <c r="B2011" s="2" t="s">
        <v>24359</v>
      </c>
      <c r="C2011" s="2">
        <v>5.3919580043E10</v>
      </c>
      <c r="D2011" s="2" t="s">
        <v>24360</v>
      </c>
      <c r="E2011" s="2">
        <v>130677.0</v>
      </c>
      <c r="F2011" s="2">
        <v>140.0</v>
      </c>
      <c r="G2011" s="2">
        <v>651.0</v>
      </c>
      <c r="H2011" s="2" t="s">
        <v>5906</v>
      </c>
      <c r="I2011" s="2" t="s">
        <v>5906</v>
      </c>
      <c r="J2011" s="2" t="s">
        <v>6002</v>
      </c>
      <c r="K2011" s="2" t="s">
        <v>24361</v>
      </c>
      <c r="L2011" s="10" t="s">
        <v>24362</v>
      </c>
    </row>
    <row r="2012">
      <c r="A2012" s="2" t="s">
        <v>4503</v>
      </c>
      <c r="B2012" s="2" t="s">
        <v>24363</v>
      </c>
      <c r="C2012" s="2">
        <v>4.5489839897E10</v>
      </c>
      <c r="D2012" s="2" t="s">
        <v>24364</v>
      </c>
      <c r="E2012" s="2">
        <v>112130.0</v>
      </c>
      <c r="F2012" s="2">
        <v>224.0</v>
      </c>
      <c r="G2012" s="2">
        <v>766.0</v>
      </c>
      <c r="H2012" s="2" t="s">
        <v>5905</v>
      </c>
      <c r="I2012" s="2" t="s">
        <v>5905</v>
      </c>
      <c r="J2012" s="2" t="s">
        <v>5492</v>
      </c>
      <c r="K2012" s="2" t="s">
        <v>24365</v>
      </c>
      <c r="L2012" s="10" t="s">
        <v>24366</v>
      </c>
    </row>
    <row r="2013">
      <c r="A2013" s="2" t="s">
        <v>4684</v>
      </c>
      <c r="B2013" s="2" t="s">
        <v>24367</v>
      </c>
      <c r="C2013" s="2">
        <v>5.4586122071E10</v>
      </c>
      <c r="D2013" s="2" t="s">
        <v>24368</v>
      </c>
      <c r="E2013" s="2">
        <v>53431.0</v>
      </c>
      <c r="F2013" s="2">
        <v>0.0</v>
      </c>
      <c r="G2013" s="2">
        <v>30.0</v>
      </c>
      <c r="H2013" s="2" t="s">
        <v>5905</v>
      </c>
      <c r="I2013" s="2" t="s">
        <v>5906</v>
      </c>
      <c r="J2013" s="2" t="s">
        <v>24369</v>
      </c>
      <c r="K2013" s="2" t="s">
        <v>24370</v>
      </c>
      <c r="L2013" s="10" t="s">
        <v>24371</v>
      </c>
    </row>
    <row r="2014">
      <c r="A2014" s="2" t="s">
        <v>4563</v>
      </c>
      <c r="B2014" s="2" t="s">
        <v>24372</v>
      </c>
      <c r="C2014" s="2">
        <v>1.581689576E9</v>
      </c>
      <c r="D2014" s="2" t="s">
        <v>24373</v>
      </c>
      <c r="E2014" s="2">
        <v>39480.0</v>
      </c>
      <c r="F2014" s="2">
        <v>6589.0</v>
      </c>
      <c r="G2014" s="2">
        <v>65.0</v>
      </c>
      <c r="H2014" s="2" t="s">
        <v>5906</v>
      </c>
      <c r="I2014" s="2" t="s">
        <v>5905</v>
      </c>
      <c r="J2014" s="2" t="s">
        <v>12284</v>
      </c>
      <c r="K2014" s="2" t="s">
        <v>24374</v>
      </c>
      <c r="L2014" s="10" t="s">
        <v>24375</v>
      </c>
    </row>
    <row r="2015">
      <c r="A2015" s="2" t="s">
        <v>4563</v>
      </c>
      <c r="B2015" s="2" t="s">
        <v>24347</v>
      </c>
      <c r="C2015" s="2">
        <v>6.3893238583E10</v>
      </c>
      <c r="D2015" s="2" t="s">
        <v>24348</v>
      </c>
      <c r="E2015" s="2">
        <v>41020.0</v>
      </c>
      <c r="F2015" s="2">
        <v>99.0</v>
      </c>
      <c r="G2015" s="2">
        <v>677.0</v>
      </c>
      <c r="H2015" s="2" t="s">
        <v>5905</v>
      </c>
      <c r="I2015" s="2" t="s">
        <v>5905</v>
      </c>
      <c r="J2015" s="2" t="s">
        <v>5959</v>
      </c>
      <c r="K2015" s="2" t="s">
        <v>24349</v>
      </c>
      <c r="L2015" s="10" t="s">
        <v>24350</v>
      </c>
    </row>
    <row r="2016">
      <c r="A2016" s="2" t="s">
        <v>4708</v>
      </c>
      <c r="B2016" s="2" t="s">
        <v>24376</v>
      </c>
      <c r="C2016" s="2">
        <v>5.2924970521E10</v>
      </c>
      <c r="D2016" s="2" t="s">
        <v>24377</v>
      </c>
      <c r="E2016" s="2">
        <v>12333.0</v>
      </c>
      <c r="F2016" s="2">
        <v>78.0</v>
      </c>
      <c r="G2016" s="2">
        <v>188.0</v>
      </c>
      <c r="H2016" s="2" t="s">
        <v>5906</v>
      </c>
      <c r="I2016" s="2" t="s">
        <v>5906</v>
      </c>
      <c r="J2016" s="2" t="s">
        <v>21821</v>
      </c>
      <c r="K2016" s="2" t="s">
        <v>24378</v>
      </c>
      <c r="L2016" s="10" t="s">
        <v>24379</v>
      </c>
    </row>
    <row r="2017">
      <c r="A2017" s="2" t="s">
        <v>4491</v>
      </c>
      <c r="B2017" s="2" t="s">
        <v>24380</v>
      </c>
      <c r="C2017" s="2">
        <v>9.217921939E9</v>
      </c>
      <c r="D2017" s="2" t="s">
        <v>24381</v>
      </c>
      <c r="E2017" s="2">
        <v>162966.0</v>
      </c>
      <c r="F2017" s="2">
        <v>99.0</v>
      </c>
      <c r="G2017" s="2">
        <v>120.0</v>
      </c>
      <c r="H2017" s="2" t="s">
        <v>5905</v>
      </c>
      <c r="I2017" s="2" t="s">
        <v>5905</v>
      </c>
      <c r="J2017" s="2" t="s">
        <v>5561</v>
      </c>
      <c r="K2017" s="2" t="s">
        <v>24382</v>
      </c>
      <c r="L2017" s="10" t="s">
        <v>24383</v>
      </c>
    </row>
    <row r="2018">
      <c r="A2018" s="2" t="s">
        <v>4491</v>
      </c>
      <c r="B2018" s="2" t="s">
        <v>24384</v>
      </c>
      <c r="C2018" s="2">
        <v>4.2839177882E10</v>
      </c>
      <c r="D2018" s="2" t="s">
        <v>24385</v>
      </c>
      <c r="E2018" s="2">
        <v>237593.0</v>
      </c>
      <c r="F2018" s="2">
        <v>435.0</v>
      </c>
      <c r="G2018" s="2">
        <v>324.0</v>
      </c>
      <c r="H2018" s="2" t="s">
        <v>5906</v>
      </c>
      <c r="I2018" s="2" t="s">
        <v>5905</v>
      </c>
      <c r="J2018" s="2" t="s">
        <v>9793</v>
      </c>
      <c r="K2018" s="2" t="s">
        <v>24386</v>
      </c>
      <c r="L2018" s="10" t="s">
        <v>24387</v>
      </c>
    </row>
    <row r="2019">
      <c r="A2019" s="2" t="s">
        <v>4491</v>
      </c>
      <c r="B2019" s="2" t="s">
        <v>24388</v>
      </c>
      <c r="C2019" s="2">
        <v>6.7152094339E10</v>
      </c>
      <c r="D2019" s="2" t="s">
        <v>24389</v>
      </c>
      <c r="E2019" s="2">
        <v>147135.0</v>
      </c>
      <c r="F2019" s="2">
        <v>72.0</v>
      </c>
      <c r="G2019" s="2">
        <v>285.0</v>
      </c>
      <c r="H2019" s="2" t="s">
        <v>5906</v>
      </c>
      <c r="I2019" s="2" t="s">
        <v>5905</v>
      </c>
      <c r="J2019" s="2" t="s">
        <v>5968</v>
      </c>
      <c r="K2019" s="2" t="s">
        <v>24390</v>
      </c>
      <c r="L2019" s="10" t="s">
        <v>24391</v>
      </c>
    </row>
    <row r="2020">
      <c r="A2020" s="2" t="s">
        <v>4491</v>
      </c>
      <c r="B2020" s="2" t="s">
        <v>24392</v>
      </c>
      <c r="C2020" s="2">
        <v>1.0985726959E10</v>
      </c>
      <c r="D2020" s="2" t="s">
        <v>24393</v>
      </c>
      <c r="E2020" s="2">
        <v>25577.0</v>
      </c>
      <c r="F2020" s="2">
        <v>75.0</v>
      </c>
      <c r="G2020" s="2">
        <v>1680.0</v>
      </c>
      <c r="H2020" s="2" t="s">
        <v>5905</v>
      </c>
      <c r="I2020" s="2" t="s">
        <v>5906</v>
      </c>
      <c r="J2020" s="2" t="s">
        <v>5968</v>
      </c>
      <c r="K2020" s="2" t="s">
        <v>24394</v>
      </c>
      <c r="L2020" s="10" t="s">
        <v>24395</v>
      </c>
    </row>
    <row r="2021">
      <c r="A2021" s="2" t="s">
        <v>4491</v>
      </c>
      <c r="B2021" s="2" t="s">
        <v>24396</v>
      </c>
      <c r="C2021" s="2">
        <v>1.8157355661E10</v>
      </c>
      <c r="D2021" s="2" t="s">
        <v>24397</v>
      </c>
      <c r="E2021" s="2">
        <v>100243.0</v>
      </c>
      <c r="F2021" s="2">
        <v>18.0</v>
      </c>
      <c r="G2021" s="2">
        <v>1018.0</v>
      </c>
      <c r="H2021" s="2" t="s">
        <v>5905</v>
      </c>
      <c r="I2021" s="2" t="s">
        <v>5905</v>
      </c>
      <c r="J2021" s="2" t="s">
        <v>5968</v>
      </c>
      <c r="K2021" s="2" t="s">
        <v>24398</v>
      </c>
      <c r="L2021" s="10" t="s">
        <v>24399</v>
      </c>
    </row>
    <row r="2022">
      <c r="A2022" s="2" t="s">
        <v>4491</v>
      </c>
      <c r="B2022" s="2" t="s">
        <v>24400</v>
      </c>
      <c r="C2022" s="2">
        <v>6.6248580709E10</v>
      </c>
      <c r="D2022" s="2" t="s">
        <v>24401</v>
      </c>
      <c r="E2022" s="2">
        <v>24230.0</v>
      </c>
      <c r="F2022" s="2">
        <v>7.0</v>
      </c>
      <c r="G2022" s="2">
        <v>64.0</v>
      </c>
      <c r="H2022" s="2" t="s">
        <v>5905</v>
      </c>
      <c r="I2022" s="2" t="s">
        <v>5905</v>
      </c>
      <c r="J2022" s="2" t="s">
        <v>20510</v>
      </c>
      <c r="K2022" s="2" t="s">
        <v>24402</v>
      </c>
      <c r="L2022" s="10" t="s">
        <v>24403</v>
      </c>
    </row>
    <row r="2023">
      <c r="A2023" s="2" t="s">
        <v>4491</v>
      </c>
      <c r="B2023" s="2" t="s">
        <v>24404</v>
      </c>
      <c r="C2023" s="2">
        <v>1.2511383931E10</v>
      </c>
      <c r="D2023" s="2" t="s">
        <v>24405</v>
      </c>
      <c r="E2023" s="2">
        <v>1160678.0</v>
      </c>
      <c r="F2023" s="2">
        <v>73.0</v>
      </c>
      <c r="G2023" s="2">
        <v>1445.0</v>
      </c>
      <c r="H2023" s="2" t="s">
        <v>5905</v>
      </c>
      <c r="I2023" s="2" t="s">
        <v>5905</v>
      </c>
      <c r="J2023" s="2" t="s">
        <v>5391</v>
      </c>
      <c r="K2023" s="2" t="s">
        <v>24406</v>
      </c>
      <c r="L2023" s="10" t="s">
        <v>24407</v>
      </c>
    </row>
    <row r="2024">
      <c r="A2024" s="2" t="s">
        <v>4671</v>
      </c>
      <c r="B2024" s="2" t="s">
        <v>24408</v>
      </c>
      <c r="C2024" s="2">
        <v>3.5762862462E10</v>
      </c>
      <c r="D2024" s="2" t="s">
        <v>24409</v>
      </c>
      <c r="E2024" s="2">
        <v>105502.0</v>
      </c>
      <c r="F2024" s="2">
        <v>19.0</v>
      </c>
      <c r="G2024" s="2">
        <v>1152.0</v>
      </c>
      <c r="H2024" s="2" t="s">
        <v>5905</v>
      </c>
      <c r="I2024" s="2" t="s">
        <v>5906</v>
      </c>
      <c r="J2024" s="2" t="s">
        <v>24410</v>
      </c>
      <c r="K2024" s="2" t="s">
        <v>24411</v>
      </c>
      <c r="L2024" s="10" t="s">
        <v>24412</v>
      </c>
    </row>
    <row r="2025">
      <c r="A2025" s="2" t="s">
        <v>4521</v>
      </c>
      <c r="B2025" s="2" t="s">
        <v>24413</v>
      </c>
      <c r="C2025" s="2">
        <v>2.917908918E9</v>
      </c>
      <c r="D2025" s="2" t="s">
        <v>24414</v>
      </c>
      <c r="E2025" s="2">
        <v>255102.0</v>
      </c>
      <c r="F2025" s="2">
        <v>5446.0</v>
      </c>
      <c r="G2025" s="2">
        <v>10572.0</v>
      </c>
      <c r="H2025" s="2" t="s">
        <v>5905</v>
      </c>
      <c r="I2025" s="2" t="s">
        <v>5906</v>
      </c>
      <c r="J2025" s="2" t="s">
        <v>13512</v>
      </c>
      <c r="K2025" s="2" t="s">
        <v>24415</v>
      </c>
      <c r="L2025" s="10" t="s">
        <v>24416</v>
      </c>
    </row>
    <row r="2026">
      <c r="A2026" s="2" t="s">
        <v>4521</v>
      </c>
      <c r="B2026" s="2" t="s">
        <v>24417</v>
      </c>
      <c r="C2026" s="2">
        <v>1.931071844E9</v>
      </c>
      <c r="D2026" s="2" t="s">
        <v>24418</v>
      </c>
      <c r="E2026" s="2">
        <v>591082.0</v>
      </c>
      <c r="F2026" s="2">
        <v>299.0</v>
      </c>
      <c r="G2026" s="2">
        <v>3698.0</v>
      </c>
      <c r="H2026" s="2" t="s">
        <v>5905</v>
      </c>
      <c r="I2026" s="2" t="s">
        <v>5906</v>
      </c>
      <c r="J2026" s="2" t="s">
        <v>23921</v>
      </c>
      <c r="K2026" s="2" t="s">
        <v>24419</v>
      </c>
      <c r="L2026" s="10" t="s">
        <v>24420</v>
      </c>
    </row>
    <row r="2027">
      <c r="A2027" s="2" t="s">
        <v>4521</v>
      </c>
      <c r="B2027" s="2" t="s">
        <v>24421</v>
      </c>
      <c r="C2027" s="2">
        <v>6.4109898537E10</v>
      </c>
      <c r="D2027" s="2" t="s">
        <v>24422</v>
      </c>
      <c r="E2027" s="2">
        <v>142462.0</v>
      </c>
      <c r="F2027" s="2">
        <v>1.0</v>
      </c>
      <c r="G2027" s="2">
        <v>1062.0</v>
      </c>
      <c r="H2027" s="2" t="s">
        <v>5905</v>
      </c>
      <c r="I2027" s="2" t="s">
        <v>5905</v>
      </c>
      <c r="J2027" s="2" t="s">
        <v>5928</v>
      </c>
      <c r="K2027" s="2" t="s">
        <v>24423</v>
      </c>
      <c r="L2027" s="10" t="s">
        <v>24424</v>
      </c>
    </row>
    <row r="2028">
      <c r="A2028" s="2" t="s">
        <v>4521</v>
      </c>
      <c r="B2028" s="2" t="s">
        <v>24425</v>
      </c>
      <c r="C2028" s="2">
        <v>6.7947551634E10</v>
      </c>
      <c r="D2028" s="2" t="s">
        <v>24426</v>
      </c>
      <c r="E2028" s="2">
        <v>206803.0</v>
      </c>
      <c r="F2028" s="2">
        <v>5.0</v>
      </c>
      <c r="G2028" s="2">
        <v>831.0</v>
      </c>
      <c r="H2028" s="2" t="s">
        <v>5905</v>
      </c>
      <c r="I2028" s="2" t="s">
        <v>5905</v>
      </c>
      <c r="J2028" s="2" t="s">
        <v>5959</v>
      </c>
      <c r="K2028" s="2" t="s">
        <v>24427</v>
      </c>
      <c r="L2028" s="10" t="s">
        <v>24424</v>
      </c>
    </row>
    <row r="2029">
      <c r="A2029" s="2" t="s">
        <v>4521</v>
      </c>
      <c r="B2029" s="2" t="s">
        <v>24428</v>
      </c>
      <c r="C2029" s="2">
        <v>2.74818022E8</v>
      </c>
      <c r="D2029" s="2" t="s">
        <v>24429</v>
      </c>
      <c r="E2029" s="2">
        <v>381153.0</v>
      </c>
      <c r="F2029" s="2">
        <v>6.0</v>
      </c>
      <c r="G2029" s="2">
        <v>384.0</v>
      </c>
      <c r="H2029" s="2" t="s">
        <v>5905</v>
      </c>
      <c r="I2029" s="2" t="s">
        <v>5905</v>
      </c>
      <c r="J2029" s="2" t="s">
        <v>6032</v>
      </c>
      <c r="K2029" s="2" t="s">
        <v>24430</v>
      </c>
    </row>
    <row r="2030">
      <c r="A2030" s="2" t="s">
        <v>4521</v>
      </c>
      <c r="B2030" s="2" t="s">
        <v>24431</v>
      </c>
      <c r="C2030" s="2">
        <v>5.91996998E9</v>
      </c>
      <c r="D2030" s="2" t="s">
        <v>24432</v>
      </c>
      <c r="E2030" s="2">
        <v>1517766.0</v>
      </c>
      <c r="F2030" s="2">
        <v>0.0</v>
      </c>
      <c r="G2030" s="2">
        <v>2855.0</v>
      </c>
      <c r="H2030" s="2" t="s">
        <v>5905</v>
      </c>
      <c r="I2030" s="2" t="s">
        <v>5905</v>
      </c>
      <c r="J2030" s="2" t="s">
        <v>5959</v>
      </c>
      <c r="K2030" s="2" t="s">
        <v>24433</v>
      </c>
      <c r="L2030" s="10" t="s">
        <v>24434</v>
      </c>
    </row>
    <row r="2031">
      <c r="A2031" s="2" t="s">
        <v>4521</v>
      </c>
      <c r="B2031" s="10" t="s">
        <v>24435</v>
      </c>
      <c r="C2031" s="2">
        <v>5.9585633715E10</v>
      </c>
      <c r="D2031" s="10" t="s">
        <v>24436</v>
      </c>
      <c r="E2031" s="2">
        <v>549909.0</v>
      </c>
      <c r="F2031" s="2">
        <v>490.0</v>
      </c>
      <c r="G2031" s="2">
        <v>862.0</v>
      </c>
      <c r="H2031" s="2" t="s">
        <v>5905</v>
      </c>
      <c r="I2031" s="2" t="s">
        <v>5905</v>
      </c>
      <c r="J2031" s="2" t="s">
        <v>12414</v>
      </c>
      <c r="K2031" s="2" t="s">
        <v>24437</v>
      </c>
      <c r="L2031" s="10" t="s">
        <v>24438</v>
      </c>
    </row>
    <row r="2032">
      <c r="A2032" s="2" t="s">
        <v>4521</v>
      </c>
      <c r="B2032" s="2" t="s">
        <v>24439</v>
      </c>
      <c r="C2032" s="2">
        <v>6.870678596E9</v>
      </c>
      <c r="D2032" s="2" t="s">
        <v>24440</v>
      </c>
      <c r="E2032" s="2">
        <v>88584.0</v>
      </c>
      <c r="F2032" s="2">
        <v>613.0</v>
      </c>
      <c r="G2032" s="2">
        <v>4225.0</v>
      </c>
      <c r="H2032" s="2" t="s">
        <v>5906</v>
      </c>
      <c r="I2032" s="2" t="s">
        <v>5906</v>
      </c>
      <c r="J2032" s="2" t="s">
        <v>6393</v>
      </c>
      <c r="K2032" s="2" t="s">
        <v>24441</v>
      </c>
      <c r="L2032" s="10" t="s">
        <v>24442</v>
      </c>
    </row>
    <row r="2033">
      <c r="A2033" s="2" t="s">
        <v>4521</v>
      </c>
      <c r="B2033" s="2" t="s">
        <v>24443</v>
      </c>
      <c r="C2033" s="2">
        <v>1.511329226E9</v>
      </c>
      <c r="D2033" s="2" t="s">
        <v>24444</v>
      </c>
      <c r="E2033" s="2">
        <v>18666.0</v>
      </c>
      <c r="F2033" s="2">
        <v>62.0</v>
      </c>
      <c r="G2033" s="2">
        <v>278.0</v>
      </c>
      <c r="H2033" s="2" t="s">
        <v>5906</v>
      </c>
      <c r="I2033" s="2" t="s">
        <v>5906</v>
      </c>
      <c r="J2033" s="2" t="s">
        <v>24445</v>
      </c>
      <c r="K2033" s="2" t="s">
        <v>24446</v>
      </c>
      <c r="L2033" s="10" t="s">
        <v>24447</v>
      </c>
    </row>
    <row r="2034">
      <c r="A2034" s="2" t="s">
        <v>4521</v>
      </c>
      <c r="B2034" s="2" t="s">
        <v>24448</v>
      </c>
      <c r="C2034" s="2">
        <v>3.321959545E9</v>
      </c>
      <c r="D2034" s="2" t="s">
        <v>24449</v>
      </c>
      <c r="E2034" s="2">
        <v>34671.0</v>
      </c>
      <c r="F2034" s="2">
        <v>101.0</v>
      </c>
      <c r="G2034" s="2">
        <v>506.0</v>
      </c>
      <c r="H2034" s="2" t="s">
        <v>5905</v>
      </c>
      <c r="I2034" s="2" t="s">
        <v>5906</v>
      </c>
      <c r="K2034" s="2" t="s">
        <v>24450</v>
      </c>
    </row>
    <row r="2035">
      <c r="A2035" s="2" t="s">
        <v>4521</v>
      </c>
      <c r="B2035" s="2" t="s">
        <v>24451</v>
      </c>
      <c r="C2035" s="2">
        <v>1.606588063E9</v>
      </c>
      <c r="D2035" s="2" t="s">
        <v>24452</v>
      </c>
      <c r="E2035" s="2">
        <v>1881756.0</v>
      </c>
      <c r="F2035" s="2">
        <v>107.0</v>
      </c>
      <c r="G2035" s="2">
        <v>2952.0</v>
      </c>
      <c r="H2035" s="2" t="s">
        <v>5905</v>
      </c>
      <c r="I2035" s="2" t="s">
        <v>5906</v>
      </c>
      <c r="J2035" s="2" t="s">
        <v>6393</v>
      </c>
      <c r="K2035" s="2" t="s">
        <v>24453</v>
      </c>
    </row>
    <row r="2036">
      <c r="A2036" s="2" t="s">
        <v>4521</v>
      </c>
      <c r="B2036" s="2" t="s">
        <v>24454</v>
      </c>
      <c r="C2036" s="2">
        <v>1.83244075E9</v>
      </c>
      <c r="D2036" s="2" t="s">
        <v>24455</v>
      </c>
      <c r="E2036" s="2">
        <v>1192134.0</v>
      </c>
      <c r="F2036" s="2">
        <v>4300.0</v>
      </c>
      <c r="G2036" s="2">
        <v>2958.0</v>
      </c>
      <c r="H2036" s="2" t="s">
        <v>5905</v>
      </c>
      <c r="I2036" s="2" t="s">
        <v>5905</v>
      </c>
      <c r="J2036" s="2" t="s">
        <v>5928</v>
      </c>
      <c r="K2036" s="2" t="s">
        <v>24456</v>
      </c>
      <c r="L2036" s="10" t="s">
        <v>24457</v>
      </c>
    </row>
    <row r="2037">
      <c r="A2037" s="2" t="s">
        <v>4492</v>
      </c>
      <c r="B2037" s="10" t="s">
        <v>24458</v>
      </c>
      <c r="C2037" s="2">
        <v>4.9027354238E10</v>
      </c>
      <c r="D2037" s="12" t="s">
        <v>24459</v>
      </c>
      <c r="E2037" s="2">
        <v>19893.0</v>
      </c>
      <c r="F2037" s="2">
        <v>438.0</v>
      </c>
      <c r="G2037" s="2">
        <v>49.0</v>
      </c>
      <c r="H2037" s="2" t="s">
        <v>5905</v>
      </c>
      <c r="I2037" s="2" t="s">
        <v>5905</v>
      </c>
      <c r="J2037" s="2" t="s">
        <v>5968</v>
      </c>
      <c r="K2037" s="12" t="s">
        <v>24460</v>
      </c>
      <c r="L2037" s="10" t="s">
        <v>24461</v>
      </c>
    </row>
    <row r="2038">
      <c r="A2038" s="2" t="s">
        <v>4492</v>
      </c>
      <c r="B2038" s="2" t="s">
        <v>24404</v>
      </c>
      <c r="C2038" s="2">
        <v>1.2511383931E10</v>
      </c>
      <c r="D2038" s="2" t="s">
        <v>24405</v>
      </c>
      <c r="E2038" s="2">
        <v>1160679.0</v>
      </c>
      <c r="F2038" s="2">
        <v>73.0</v>
      </c>
      <c r="G2038" s="2">
        <v>1445.0</v>
      </c>
      <c r="H2038" s="2" t="s">
        <v>5905</v>
      </c>
      <c r="I2038" s="2" t="s">
        <v>5905</v>
      </c>
      <c r="J2038" s="2" t="s">
        <v>5391</v>
      </c>
      <c r="K2038" s="2" t="s">
        <v>24406</v>
      </c>
      <c r="L2038" s="10" t="s">
        <v>24407</v>
      </c>
    </row>
    <row r="2039">
      <c r="A2039" s="2" t="s">
        <v>4492</v>
      </c>
      <c r="B2039" s="2" t="s">
        <v>24462</v>
      </c>
      <c r="C2039" s="2">
        <v>1.989771956E9</v>
      </c>
      <c r="D2039" s="2" t="s">
        <v>24463</v>
      </c>
      <c r="E2039" s="2">
        <v>199969.0</v>
      </c>
      <c r="F2039" s="2">
        <v>6.0</v>
      </c>
      <c r="G2039" s="2">
        <v>7726.0</v>
      </c>
      <c r="H2039" s="2" t="s">
        <v>5905</v>
      </c>
      <c r="I2039" s="2" t="s">
        <v>5906</v>
      </c>
      <c r="J2039" s="2" t="s">
        <v>6002</v>
      </c>
      <c r="K2039" s="2" t="s">
        <v>24464</v>
      </c>
    </row>
    <row r="2040">
      <c r="A2040" s="2" t="s">
        <v>4492</v>
      </c>
      <c r="B2040" s="2" t="s">
        <v>24465</v>
      </c>
      <c r="C2040" s="2">
        <v>2.2514459316E10</v>
      </c>
      <c r="D2040" s="2" t="s">
        <v>24466</v>
      </c>
      <c r="E2040" s="2">
        <v>1552808.0</v>
      </c>
      <c r="F2040" s="2">
        <v>32.0</v>
      </c>
      <c r="G2040" s="2">
        <v>4380.0</v>
      </c>
      <c r="H2040" s="2" t="s">
        <v>5905</v>
      </c>
      <c r="I2040" s="2" t="s">
        <v>5905</v>
      </c>
      <c r="J2040" s="2" t="s">
        <v>5968</v>
      </c>
      <c r="K2040" s="2" t="s">
        <v>24467</v>
      </c>
    </row>
    <row r="2041">
      <c r="A2041" s="2" t="s">
        <v>4492</v>
      </c>
      <c r="B2041" s="2" t="s">
        <v>24468</v>
      </c>
      <c r="C2041" s="2">
        <v>5.2749881347E10</v>
      </c>
      <c r="D2041" s="2" t="s">
        <v>24469</v>
      </c>
      <c r="E2041" s="2">
        <v>640244.0</v>
      </c>
      <c r="F2041" s="2">
        <v>55.0</v>
      </c>
      <c r="G2041" s="2">
        <v>865.0</v>
      </c>
      <c r="H2041" s="2" t="s">
        <v>5905</v>
      </c>
      <c r="I2041" s="2" t="s">
        <v>5905</v>
      </c>
      <c r="J2041" s="2" t="s">
        <v>19167</v>
      </c>
      <c r="K2041" s="2" t="s">
        <v>24470</v>
      </c>
      <c r="L2041" s="10" t="s">
        <v>24471</v>
      </c>
    </row>
    <row r="2042">
      <c r="A2042" s="2" t="s">
        <v>4590</v>
      </c>
      <c r="B2042" s="2" t="s">
        <v>24472</v>
      </c>
      <c r="C2042" s="2">
        <v>4.12848324E8</v>
      </c>
      <c r="D2042" s="2" t="s">
        <v>24473</v>
      </c>
      <c r="E2042" s="2">
        <v>819104.0</v>
      </c>
      <c r="F2042" s="2">
        <v>50.0</v>
      </c>
      <c r="G2042" s="2">
        <v>1318.0</v>
      </c>
      <c r="H2042" s="2" t="s">
        <v>5905</v>
      </c>
      <c r="I2042" s="2" t="s">
        <v>5906</v>
      </c>
      <c r="K2042" s="2" t="s">
        <v>24474</v>
      </c>
    </row>
    <row r="2043">
      <c r="A2043" s="2" t="s">
        <v>4571</v>
      </c>
      <c r="B2043" s="2" t="s">
        <v>24475</v>
      </c>
      <c r="C2043" s="2">
        <v>7.49450527E8</v>
      </c>
      <c r="D2043" s="2" t="s">
        <v>24476</v>
      </c>
      <c r="E2043" s="2">
        <v>11067.0</v>
      </c>
      <c r="F2043" s="2">
        <v>5.0</v>
      </c>
      <c r="G2043" s="2">
        <v>170.0</v>
      </c>
      <c r="H2043" s="2" t="s">
        <v>5905</v>
      </c>
      <c r="I2043" s="2" t="s">
        <v>5905</v>
      </c>
      <c r="K2043" s="2" t="s">
        <v>24477</v>
      </c>
    </row>
    <row r="2044">
      <c r="A2044" s="2" t="s">
        <v>4571</v>
      </c>
      <c r="B2044" s="2" t="s">
        <v>24478</v>
      </c>
      <c r="C2044" s="2">
        <v>4.8728493819E10</v>
      </c>
      <c r="D2044" s="2" t="s">
        <v>24479</v>
      </c>
      <c r="E2044" s="2">
        <v>299399.0</v>
      </c>
      <c r="F2044" s="2">
        <v>8.0</v>
      </c>
      <c r="G2044" s="2">
        <v>7835.0</v>
      </c>
      <c r="H2044" s="2" t="s">
        <v>5905</v>
      </c>
      <c r="I2044" s="2" t="s">
        <v>5906</v>
      </c>
      <c r="J2044" s="2" t="s">
        <v>5391</v>
      </c>
      <c r="K2044" s="2" t="s">
        <v>24480</v>
      </c>
    </row>
    <row r="2045">
      <c r="A2045" s="2" t="s">
        <v>4571</v>
      </c>
      <c r="B2045" s="2" t="s">
        <v>23254</v>
      </c>
      <c r="C2045" s="2">
        <v>5.4768303632E10</v>
      </c>
      <c r="D2045" s="2" t="s">
        <v>23255</v>
      </c>
      <c r="E2045" s="2">
        <v>1249599.0</v>
      </c>
      <c r="F2045" s="2">
        <v>9.0</v>
      </c>
      <c r="G2045" s="2">
        <v>1417.0</v>
      </c>
      <c r="H2045" s="2" t="s">
        <v>5905</v>
      </c>
      <c r="I2045" s="2" t="s">
        <v>5905</v>
      </c>
      <c r="J2045" s="2" t="s">
        <v>5561</v>
      </c>
      <c r="K2045" s="2" t="s">
        <v>23256</v>
      </c>
    </row>
    <row r="2046">
      <c r="A2046" s="2" t="s">
        <v>4571</v>
      </c>
      <c r="B2046" s="2" t="s">
        <v>23257</v>
      </c>
      <c r="C2046" s="2">
        <v>5.464938339E9</v>
      </c>
      <c r="D2046" s="2" t="s">
        <v>23258</v>
      </c>
      <c r="E2046" s="2">
        <v>2259462.0</v>
      </c>
      <c r="F2046" s="2">
        <v>78.0</v>
      </c>
      <c r="G2046" s="2">
        <v>9184.0</v>
      </c>
      <c r="H2046" s="2" t="s">
        <v>5905</v>
      </c>
      <c r="I2046" s="2" t="s">
        <v>5905</v>
      </c>
      <c r="J2046" s="2" t="s">
        <v>5959</v>
      </c>
      <c r="K2046" s="2" t="s">
        <v>23259</v>
      </c>
    </row>
    <row r="2047">
      <c r="A2047" s="2" t="s">
        <v>4571</v>
      </c>
      <c r="B2047" s="2" t="s">
        <v>24481</v>
      </c>
      <c r="C2047" s="2">
        <v>1.0269454994E10</v>
      </c>
      <c r="D2047" s="2" t="s">
        <v>24482</v>
      </c>
      <c r="E2047" s="2">
        <v>1192209.0</v>
      </c>
      <c r="F2047" s="2">
        <v>3.0</v>
      </c>
      <c r="G2047" s="2">
        <v>3378.0</v>
      </c>
      <c r="H2047" s="2" t="s">
        <v>5905</v>
      </c>
      <c r="I2047" s="2" t="s">
        <v>5905</v>
      </c>
      <c r="J2047" s="2" t="s">
        <v>5968</v>
      </c>
      <c r="K2047" s="2" t="s">
        <v>24483</v>
      </c>
    </row>
    <row r="2048">
      <c r="A2048" s="2" t="s">
        <v>4571</v>
      </c>
      <c r="B2048" s="2" t="s">
        <v>24484</v>
      </c>
      <c r="C2048" s="2">
        <v>8.149926839E9</v>
      </c>
      <c r="D2048" s="2" t="s">
        <v>24485</v>
      </c>
      <c r="E2048" s="2">
        <v>284772.0</v>
      </c>
      <c r="F2048" s="2">
        <v>30.0</v>
      </c>
      <c r="G2048" s="2">
        <v>4817.0</v>
      </c>
      <c r="H2048" s="2" t="s">
        <v>5905</v>
      </c>
      <c r="I2048" s="2" t="s">
        <v>5906</v>
      </c>
      <c r="J2048" s="2" t="s">
        <v>12993</v>
      </c>
      <c r="K2048" s="2" t="s">
        <v>24486</v>
      </c>
      <c r="L2048" s="10" t="s">
        <v>24487</v>
      </c>
    </row>
    <row r="2049">
      <c r="A2049" s="2" t="s">
        <v>4571</v>
      </c>
      <c r="B2049" s="2" t="s">
        <v>11029</v>
      </c>
      <c r="C2049" s="2">
        <v>1.2793615E7</v>
      </c>
      <c r="D2049" s="2" t="s">
        <v>11030</v>
      </c>
      <c r="E2049" s="2">
        <v>5187072.0</v>
      </c>
      <c r="F2049" s="2">
        <v>219.0</v>
      </c>
      <c r="G2049" s="2">
        <v>16648.0</v>
      </c>
      <c r="H2049" s="2" t="s">
        <v>5906</v>
      </c>
      <c r="I2049" s="2" t="s">
        <v>5906</v>
      </c>
      <c r="J2049" s="2" t="s">
        <v>5561</v>
      </c>
      <c r="K2049" s="2" t="s">
        <v>11031</v>
      </c>
      <c r="L2049" s="10" t="s">
        <v>11032</v>
      </c>
    </row>
    <row r="2050">
      <c r="A2050" s="2" t="s">
        <v>4571</v>
      </c>
      <c r="B2050" s="2" t="s">
        <v>11033</v>
      </c>
      <c r="C2050" s="2">
        <v>1.95869708E8</v>
      </c>
      <c r="D2050" s="2" t="s">
        <v>11034</v>
      </c>
      <c r="E2050" s="2">
        <v>1568681.0</v>
      </c>
      <c r="F2050" s="2">
        <v>43.0</v>
      </c>
      <c r="G2050" s="2">
        <v>6525.0</v>
      </c>
      <c r="H2050" s="2" t="s">
        <v>5906</v>
      </c>
      <c r="I2050" s="2" t="s">
        <v>5905</v>
      </c>
      <c r="J2050" s="2" t="s">
        <v>5959</v>
      </c>
      <c r="K2050" s="2" t="s">
        <v>11035</v>
      </c>
    </row>
    <row r="2051">
      <c r="A2051" s="2" t="s">
        <v>4571</v>
      </c>
      <c r="B2051" s="2" t="s">
        <v>24488</v>
      </c>
      <c r="C2051" s="2">
        <v>3.21624437E8</v>
      </c>
      <c r="D2051" s="2" t="s">
        <v>24489</v>
      </c>
      <c r="E2051" s="2">
        <v>1928886.0</v>
      </c>
      <c r="F2051" s="2">
        <v>106.0</v>
      </c>
      <c r="G2051" s="2">
        <v>3831.0</v>
      </c>
      <c r="H2051" s="2" t="s">
        <v>5906</v>
      </c>
      <c r="I2051" s="2" t="s">
        <v>5906</v>
      </c>
      <c r="K2051" s="2" t="s">
        <v>24490</v>
      </c>
    </row>
    <row r="2052">
      <c r="A2052" s="2" t="s">
        <v>4571</v>
      </c>
      <c r="B2052" s="2" t="s">
        <v>4571</v>
      </c>
      <c r="C2052" s="2">
        <v>4063286.0</v>
      </c>
      <c r="D2052" s="2" t="s">
        <v>11021</v>
      </c>
      <c r="E2052" s="2">
        <v>2523085.0</v>
      </c>
      <c r="F2052" s="2">
        <v>787.0</v>
      </c>
      <c r="G2052" s="2">
        <v>3318.0</v>
      </c>
      <c r="H2052" s="2" t="s">
        <v>5905</v>
      </c>
      <c r="I2052" s="2" t="s">
        <v>5905</v>
      </c>
      <c r="J2052" s="2" t="s">
        <v>5561</v>
      </c>
      <c r="K2052" s="2" t="s">
        <v>11049</v>
      </c>
    </row>
    <row r="2053">
      <c r="A2053" s="2" t="s">
        <v>4571</v>
      </c>
      <c r="B2053" s="2" t="s">
        <v>11050</v>
      </c>
      <c r="C2053" s="2">
        <v>8.471276941E9</v>
      </c>
      <c r="D2053" s="2" t="s">
        <v>11051</v>
      </c>
      <c r="E2053" s="2">
        <v>1309732.0</v>
      </c>
      <c r="F2053" s="2">
        <v>920.0</v>
      </c>
      <c r="G2053" s="2">
        <v>724.0</v>
      </c>
      <c r="H2053" s="2" t="s">
        <v>5906</v>
      </c>
      <c r="I2053" s="2" t="s">
        <v>5905</v>
      </c>
      <c r="J2053" s="2" t="s">
        <v>5993</v>
      </c>
      <c r="K2053" s="2" t="s">
        <v>11052</v>
      </c>
      <c r="L2053" s="10" t="s">
        <v>11053</v>
      </c>
    </row>
    <row r="2054">
      <c r="A2054" s="2" t="s">
        <v>4571</v>
      </c>
      <c r="B2054" s="2" t="s">
        <v>24491</v>
      </c>
      <c r="C2054" s="2">
        <v>4.6486327166E10</v>
      </c>
      <c r="D2054" s="2" t="s">
        <v>24492</v>
      </c>
      <c r="E2054" s="2">
        <v>293289.0</v>
      </c>
      <c r="F2054" s="2">
        <v>0.0</v>
      </c>
      <c r="G2054" s="2">
        <v>2057.0</v>
      </c>
      <c r="H2054" s="2" t="s">
        <v>5905</v>
      </c>
      <c r="I2054" s="2" t="s">
        <v>5906</v>
      </c>
      <c r="J2054" s="2" t="s">
        <v>6393</v>
      </c>
      <c r="K2054" s="2" t="s">
        <v>24493</v>
      </c>
    </row>
    <row r="2055">
      <c r="A2055" s="2" t="s">
        <v>4567</v>
      </c>
      <c r="B2055" s="2" t="s">
        <v>24494</v>
      </c>
      <c r="C2055" s="2">
        <v>1.687894959E9</v>
      </c>
      <c r="D2055" s="2" t="s">
        <v>24495</v>
      </c>
      <c r="E2055" s="2">
        <v>1332860.0</v>
      </c>
      <c r="F2055" s="2">
        <v>0.0</v>
      </c>
      <c r="G2055" s="2">
        <v>638.0</v>
      </c>
      <c r="H2055" s="2" t="s">
        <v>5906</v>
      </c>
      <c r="I2055" s="2" t="s">
        <v>5906</v>
      </c>
      <c r="K2055" s="2" t="s">
        <v>24496</v>
      </c>
    </row>
    <row r="2056">
      <c r="A2056" s="2" t="s">
        <v>4567</v>
      </c>
      <c r="B2056" s="2" t="s">
        <v>24497</v>
      </c>
      <c r="C2056" s="2">
        <v>2.1796881E7</v>
      </c>
      <c r="D2056" s="2" t="s">
        <v>24498</v>
      </c>
      <c r="E2056" s="2">
        <v>589057.0</v>
      </c>
      <c r="F2056" s="2">
        <v>481.0</v>
      </c>
      <c r="G2056" s="2">
        <v>3338.0</v>
      </c>
      <c r="H2056" s="2" t="s">
        <v>5906</v>
      </c>
      <c r="I2056" s="2" t="s">
        <v>5905</v>
      </c>
      <c r="J2056" s="2" t="s">
        <v>6559</v>
      </c>
      <c r="K2056" s="2" t="s">
        <v>24499</v>
      </c>
      <c r="L2056" s="10" t="s">
        <v>24500</v>
      </c>
    </row>
    <row r="2057">
      <c r="A2057" s="2" t="s">
        <v>4567</v>
      </c>
      <c r="B2057" s="2" t="s">
        <v>24501</v>
      </c>
      <c r="C2057" s="2">
        <v>5.9938050582E10</v>
      </c>
      <c r="D2057" s="2" t="s">
        <v>24502</v>
      </c>
      <c r="E2057" s="2">
        <v>103333.0</v>
      </c>
      <c r="F2057" s="2">
        <v>289.0</v>
      </c>
      <c r="G2057" s="2">
        <v>486.0</v>
      </c>
      <c r="H2057" s="2" t="s">
        <v>5906</v>
      </c>
      <c r="I2057" s="2" t="s">
        <v>5906</v>
      </c>
      <c r="J2057" s="2" t="s">
        <v>5561</v>
      </c>
      <c r="K2057" s="2" t="s">
        <v>24503</v>
      </c>
      <c r="L2057" s="10" t="s">
        <v>24504</v>
      </c>
    </row>
    <row r="2058">
      <c r="A2058" s="2" t="s">
        <v>4567</v>
      </c>
      <c r="B2058" s="2" t="s">
        <v>24505</v>
      </c>
      <c r="C2058" s="2">
        <v>5.3924998E7</v>
      </c>
      <c r="D2058" s="2" t="s">
        <v>24506</v>
      </c>
      <c r="E2058" s="2">
        <v>64929.0</v>
      </c>
      <c r="F2058" s="2">
        <v>1114.0</v>
      </c>
      <c r="G2058" s="2">
        <v>3991.0</v>
      </c>
      <c r="H2058" s="2" t="s">
        <v>5905</v>
      </c>
      <c r="I2058" s="2" t="s">
        <v>5906</v>
      </c>
      <c r="J2058" s="2" t="s">
        <v>7884</v>
      </c>
      <c r="K2058" s="2" t="s">
        <v>24507</v>
      </c>
      <c r="L2058" s="10" t="s">
        <v>24508</v>
      </c>
    </row>
    <row r="2059">
      <c r="A2059" s="2" t="s">
        <v>4567</v>
      </c>
      <c r="B2059" s="2" t="s">
        <v>24509</v>
      </c>
      <c r="C2059" s="2">
        <v>4.989611048E9</v>
      </c>
      <c r="D2059" s="2" t="s">
        <v>24510</v>
      </c>
      <c r="E2059" s="2">
        <v>185130.0</v>
      </c>
      <c r="F2059" s="2">
        <v>2615.0</v>
      </c>
      <c r="G2059" s="2">
        <v>1813.0</v>
      </c>
      <c r="H2059" s="2" t="s">
        <v>5905</v>
      </c>
      <c r="I2059" s="2" t="s">
        <v>5905</v>
      </c>
      <c r="J2059" s="2" t="s">
        <v>5968</v>
      </c>
      <c r="K2059" s="2" t="s">
        <v>24511</v>
      </c>
      <c r="L2059" s="10" t="s">
        <v>24512</v>
      </c>
    </row>
    <row r="2060">
      <c r="A2060" s="2" t="s">
        <v>4502</v>
      </c>
      <c r="B2060" s="2" t="s">
        <v>24513</v>
      </c>
      <c r="C2060" s="2">
        <v>3.612053988E9</v>
      </c>
      <c r="D2060" s="2" t="s">
        <v>24514</v>
      </c>
      <c r="E2060" s="2">
        <v>45061.0</v>
      </c>
      <c r="F2060" s="2">
        <v>288.0</v>
      </c>
      <c r="G2060" s="2">
        <v>670.0</v>
      </c>
      <c r="H2060" s="2" t="s">
        <v>5905</v>
      </c>
      <c r="I2060" s="2" t="s">
        <v>5906</v>
      </c>
      <c r="J2060" s="2" t="s">
        <v>11797</v>
      </c>
      <c r="K2060" s="2" t="s">
        <v>24515</v>
      </c>
      <c r="L2060" s="10" t="s">
        <v>24516</v>
      </c>
    </row>
    <row r="2061">
      <c r="A2061" s="2" t="s">
        <v>4502</v>
      </c>
      <c r="B2061" s="2" t="s">
        <v>24517</v>
      </c>
      <c r="C2061" s="2">
        <v>6.37712209E8</v>
      </c>
      <c r="D2061" s="2" t="s">
        <v>24518</v>
      </c>
      <c r="E2061" s="2">
        <v>36390.0</v>
      </c>
      <c r="F2061" s="2">
        <v>9.0</v>
      </c>
      <c r="G2061" s="2">
        <v>134.0</v>
      </c>
      <c r="H2061" s="2" t="s">
        <v>5906</v>
      </c>
      <c r="I2061" s="2" t="s">
        <v>5906</v>
      </c>
      <c r="J2061" s="2" t="s">
        <v>24519</v>
      </c>
      <c r="K2061" s="2" t="s">
        <v>24520</v>
      </c>
      <c r="L2061" s="10" t="s">
        <v>24521</v>
      </c>
    </row>
    <row r="2062">
      <c r="A2062" s="2" t="s">
        <v>4502</v>
      </c>
      <c r="B2062" s="2" t="s">
        <v>24522</v>
      </c>
      <c r="C2062" s="2">
        <v>4.8542313688E10</v>
      </c>
      <c r="D2062" s="2" t="s">
        <v>24523</v>
      </c>
      <c r="E2062" s="2">
        <v>160961.0</v>
      </c>
      <c r="F2062" s="2">
        <v>1955.0</v>
      </c>
      <c r="G2062" s="2">
        <v>2714.0</v>
      </c>
      <c r="H2062" s="2" t="s">
        <v>5906</v>
      </c>
      <c r="I2062" s="2" t="s">
        <v>5905</v>
      </c>
      <c r="J2062" s="2" t="s">
        <v>24524</v>
      </c>
      <c r="K2062" s="2" t="s">
        <v>24525</v>
      </c>
      <c r="L2062" s="10" t="s">
        <v>24526</v>
      </c>
    </row>
    <row r="2063">
      <c r="A2063" s="2" t="s">
        <v>4502</v>
      </c>
      <c r="B2063" s="2" t="s">
        <v>24527</v>
      </c>
      <c r="C2063" s="2">
        <v>2.232999181E9</v>
      </c>
      <c r="D2063" s="2" t="s">
        <v>24528</v>
      </c>
      <c r="E2063" s="2">
        <v>736821.0</v>
      </c>
      <c r="F2063" s="2">
        <v>659.0</v>
      </c>
      <c r="G2063" s="2">
        <v>3255.0</v>
      </c>
      <c r="H2063" s="2" t="s">
        <v>5905</v>
      </c>
      <c r="I2063" s="2" t="s">
        <v>5905</v>
      </c>
      <c r="J2063" s="2" t="s">
        <v>11797</v>
      </c>
      <c r="K2063" s="2" t="s">
        <v>24529</v>
      </c>
    </row>
    <row r="2064">
      <c r="A2064" s="2" t="s">
        <v>4502</v>
      </c>
      <c r="B2064" s="2" t="s">
        <v>24530</v>
      </c>
      <c r="C2064" s="2">
        <v>2.3107629101E10</v>
      </c>
      <c r="D2064" s="2" t="s">
        <v>24531</v>
      </c>
      <c r="E2064" s="2">
        <v>267205.0</v>
      </c>
      <c r="F2064" s="2">
        <v>199.0</v>
      </c>
      <c r="G2064" s="2">
        <v>1535.0</v>
      </c>
      <c r="H2064" s="2" t="s">
        <v>5906</v>
      </c>
      <c r="I2064" s="2" t="s">
        <v>5906</v>
      </c>
      <c r="J2064" s="2" t="s">
        <v>11797</v>
      </c>
      <c r="K2064" s="2" t="s">
        <v>24532</v>
      </c>
      <c r="L2064" s="10" t="s">
        <v>24533</v>
      </c>
    </row>
    <row r="2065">
      <c r="A2065" s="2" t="s">
        <v>4502</v>
      </c>
      <c r="B2065" s="2" t="s">
        <v>24534</v>
      </c>
      <c r="C2065" s="2">
        <v>1.399913331E9</v>
      </c>
      <c r="D2065" s="2" t="s">
        <v>24535</v>
      </c>
      <c r="E2065" s="2">
        <v>440293.0</v>
      </c>
      <c r="F2065" s="2">
        <v>953.0</v>
      </c>
      <c r="G2065" s="2">
        <v>1430.0</v>
      </c>
      <c r="H2065" s="2" t="s">
        <v>5906</v>
      </c>
      <c r="I2065" s="2" t="s">
        <v>5905</v>
      </c>
      <c r="J2065" s="2" t="s">
        <v>11797</v>
      </c>
      <c r="K2065" s="2" t="s">
        <v>24536</v>
      </c>
      <c r="L2065" s="10" t="s">
        <v>24537</v>
      </c>
    </row>
    <row r="2066">
      <c r="A2066" s="2" t="s">
        <v>4502</v>
      </c>
      <c r="B2066" s="2" t="s">
        <v>24538</v>
      </c>
      <c r="C2066" s="2">
        <v>5.988614769E9</v>
      </c>
      <c r="D2066" s="2" t="s">
        <v>24539</v>
      </c>
      <c r="E2066" s="2">
        <v>40583.0</v>
      </c>
      <c r="F2066" s="2">
        <v>67.0</v>
      </c>
      <c r="G2066" s="2">
        <v>975.0</v>
      </c>
      <c r="H2066" s="2" t="s">
        <v>5905</v>
      </c>
      <c r="I2066" s="2" t="s">
        <v>5906</v>
      </c>
      <c r="J2066" s="2" t="s">
        <v>11797</v>
      </c>
      <c r="K2066" s="2" t="s">
        <v>24540</v>
      </c>
      <c r="L2066" s="10" t="s">
        <v>24541</v>
      </c>
    </row>
    <row r="2067">
      <c r="A2067" s="2" t="s">
        <v>4502</v>
      </c>
      <c r="B2067" s="2" t="s">
        <v>24542</v>
      </c>
      <c r="C2067" s="2">
        <v>5.8654971192E10</v>
      </c>
      <c r="D2067" s="2" t="s">
        <v>24543</v>
      </c>
      <c r="E2067" s="2">
        <v>606262.0</v>
      </c>
      <c r="F2067" s="2">
        <v>0.0</v>
      </c>
      <c r="G2067" s="2">
        <v>1603.0</v>
      </c>
      <c r="H2067" s="2" t="s">
        <v>5906</v>
      </c>
      <c r="I2067" s="2" t="s">
        <v>5905</v>
      </c>
      <c r="J2067" s="2" t="s">
        <v>5928</v>
      </c>
      <c r="K2067" s="2" t="s">
        <v>24544</v>
      </c>
      <c r="L2067" s="10" t="s">
        <v>24545</v>
      </c>
    </row>
    <row r="2068">
      <c r="A2068" s="2" t="s">
        <v>4502</v>
      </c>
      <c r="B2068" s="2" t="s">
        <v>24546</v>
      </c>
      <c r="C2068" s="2">
        <v>7.92050349E8</v>
      </c>
      <c r="D2068" s="2" t="s">
        <v>11797</v>
      </c>
      <c r="E2068" s="2">
        <v>76701.0</v>
      </c>
      <c r="F2068" s="2">
        <v>429.0</v>
      </c>
      <c r="G2068" s="2">
        <v>849.0</v>
      </c>
      <c r="H2068" s="2" t="s">
        <v>5906</v>
      </c>
      <c r="I2068" s="2" t="s">
        <v>5905</v>
      </c>
      <c r="J2068" s="2" t="s">
        <v>6124</v>
      </c>
      <c r="K2068" s="2" t="s">
        <v>24547</v>
      </c>
      <c r="L2068" s="10" t="s">
        <v>24548</v>
      </c>
    </row>
    <row r="2069">
      <c r="A2069" s="2" t="s">
        <v>4502</v>
      </c>
      <c r="B2069" s="2" t="s">
        <v>24549</v>
      </c>
      <c r="C2069" s="2">
        <v>2.31980102E8</v>
      </c>
      <c r="D2069" s="2" t="s">
        <v>24550</v>
      </c>
      <c r="E2069" s="2">
        <v>168896.0</v>
      </c>
      <c r="F2069" s="2">
        <v>248.0</v>
      </c>
      <c r="G2069" s="2">
        <v>5465.0</v>
      </c>
      <c r="H2069" s="2" t="s">
        <v>5906</v>
      </c>
      <c r="I2069" s="2" t="s">
        <v>5905</v>
      </c>
      <c r="J2069" s="2" t="s">
        <v>21753</v>
      </c>
      <c r="K2069" s="2" t="s">
        <v>24551</v>
      </c>
      <c r="L2069" s="10" t="s">
        <v>24552</v>
      </c>
    </row>
    <row r="2070">
      <c r="A2070" s="2" t="s">
        <v>4502</v>
      </c>
      <c r="B2070" s="2" t="s">
        <v>24553</v>
      </c>
      <c r="C2070" s="2">
        <v>3.595592344E9</v>
      </c>
      <c r="D2070" s="2" t="s">
        <v>24554</v>
      </c>
      <c r="E2070" s="2">
        <v>131823.0</v>
      </c>
      <c r="F2070" s="2">
        <v>195.0</v>
      </c>
      <c r="G2070" s="2">
        <v>2502.0</v>
      </c>
      <c r="H2070" s="2" t="s">
        <v>5905</v>
      </c>
      <c r="I2070" s="2" t="s">
        <v>5906</v>
      </c>
      <c r="J2070" s="2" t="s">
        <v>11797</v>
      </c>
      <c r="K2070" s="2" t="s">
        <v>24555</v>
      </c>
      <c r="L2070" s="10" t="s">
        <v>24556</v>
      </c>
    </row>
    <row r="2071">
      <c r="A2071" s="2" t="s">
        <v>4502</v>
      </c>
      <c r="B2071" s="2" t="s">
        <v>24557</v>
      </c>
      <c r="C2071" s="2">
        <v>7.378962156E9</v>
      </c>
      <c r="D2071" s="2" t="s">
        <v>24558</v>
      </c>
      <c r="E2071" s="2">
        <v>12784.0</v>
      </c>
      <c r="F2071" s="2">
        <v>806.0</v>
      </c>
      <c r="G2071" s="2">
        <v>930.0</v>
      </c>
      <c r="H2071" s="2" t="s">
        <v>5905</v>
      </c>
      <c r="I2071" s="2" t="s">
        <v>5906</v>
      </c>
      <c r="J2071" s="2" t="s">
        <v>5968</v>
      </c>
      <c r="K2071" s="2" t="s">
        <v>24559</v>
      </c>
      <c r="L2071" s="10" t="s">
        <v>24560</v>
      </c>
    </row>
    <row r="2072">
      <c r="A2072" s="2" t="s">
        <v>4502</v>
      </c>
      <c r="B2072" s="10" t="s">
        <v>24561</v>
      </c>
      <c r="C2072" s="2">
        <v>5.7185414308E10</v>
      </c>
      <c r="D2072" s="2" t="s">
        <v>24562</v>
      </c>
      <c r="E2072" s="2">
        <v>669295.0</v>
      </c>
      <c r="F2072" s="2">
        <v>0.0</v>
      </c>
      <c r="G2072" s="2">
        <v>1116.0</v>
      </c>
      <c r="H2072" s="2" t="s">
        <v>5905</v>
      </c>
      <c r="I2072" s="2" t="s">
        <v>5905</v>
      </c>
      <c r="J2072" s="2" t="s">
        <v>11797</v>
      </c>
      <c r="K2072" s="2" t="s">
        <v>24563</v>
      </c>
      <c r="L2072" s="10" t="s">
        <v>24564</v>
      </c>
    </row>
    <row r="2073">
      <c r="A2073" s="2" t="s">
        <v>4683</v>
      </c>
      <c r="B2073" s="2" t="s">
        <v>24565</v>
      </c>
      <c r="C2073" s="2">
        <v>1.81910475E9</v>
      </c>
      <c r="D2073" s="2" t="s">
        <v>24566</v>
      </c>
      <c r="E2073" s="2">
        <v>196936.0</v>
      </c>
      <c r="F2073" s="2">
        <v>85.0</v>
      </c>
      <c r="G2073" s="2">
        <v>4491.0</v>
      </c>
      <c r="H2073" s="2" t="s">
        <v>5905</v>
      </c>
      <c r="I2073" s="2" t="s">
        <v>5906</v>
      </c>
      <c r="J2073" s="2" t="s">
        <v>5907</v>
      </c>
      <c r="K2073" s="2" t="s">
        <v>24567</v>
      </c>
      <c r="L2073" s="10" t="s">
        <v>24568</v>
      </c>
    </row>
    <row r="2074">
      <c r="A2074" s="2" t="s">
        <v>4683</v>
      </c>
      <c r="B2074" s="2" t="s">
        <v>21722</v>
      </c>
      <c r="C2074" s="2">
        <v>4.9163516478E10</v>
      </c>
      <c r="D2074" s="2" t="s">
        <v>21723</v>
      </c>
      <c r="E2074" s="2">
        <v>26979.0</v>
      </c>
      <c r="F2074" s="2">
        <v>17.0</v>
      </c>
      <c r="G2074" s="2">
        <v>158.0</v>
      </c>
      <c r="H2074" s="2" t="s">
        <v>5906</v>
      </c>
      <c r="I2074" s="2" t="s">
        <v>5905</v>
      </c>
      <c r="J2074" s="2" t="s">
        <v>5959</v>
      </c>
      <c r="K2074" s="2" t="s">
        <v>21724</v>
      </c>
    </row>
    <row r="2075">
      <c r="A2075" s="2" t="s">
        <v>4683</v>
      </c>
      <c r="B2075" s="2" t="s">
        <v>24569</v>
      </c>
      <c r="C2075" s="2">
        <v>5.97795356E9</v>
      </c>
      <c r="D2075" s="2" t="s">
        <v>24570</v>
      </c>
      <c r="E2075" s="2">
        <v>113302.0</v>
      </c>
      <c r="F2075" s="2">
        <v>294.0</v>
      </c>
      <c r="G2075" s="2">
        <v>1.0</v>
      </c>
      <c r="H2075" s="2" t="s">
        <v>5905</v>
      </c>
      <c r="I2075" s="2" t="s">
        <v>5906</v>
      </c>
      <c r="J2075" s="2" t="s">
        <v>11797</v>
      </c>
      <c r="K2075" s="2" t="s">
        <v>24571</v>
      </c>
      <c r="L2075" s="10" t="s">
        <v>24572</v>
      </c>
    </row>
    <row r="2076">
      <c r="A2076" s="2" t="s">
        <v>4648</v>
      </c>
      <c r="B2076" s="2" t="s">
        <v>24573</v>
      </c>
      <c r="C2076" s="2">
        <v>3.8535215955E10</v>
      </c>
      <c r="D2076" s="2" t="s">
        <v>24574</v>
      </c>
      <c r="E2076" s="2">
        <v>667727.0</v>
      </c>
      <c r="F2076" s="2">
        <v>104.0</v>
      </c>
      <c r="G2076" s="2">
        <v>2501.0</v>
      </c>
      <c r="H2076" s="2" t="s">
        <v>5905</v>
      </c>
      <c r="I2076" s="2" t="s">
        <v>5905</v>
      </c>
      <c r="J2076" s="2" t="s">
        <v>5491</v>
      </c>
      <c r="K2076" s="2" t="s">
        <v>24575</v>
      </c>
    </row>
    <row r="2077">
      <c r="A2077" s="2" t="s">
        <v>4648</v>
      </c>
      <c r="B2077" s="2" t="s">
        <v>24576</v>
      </c>
      <c r="C2077" s="2">
        <v>4.7364700729E10</v>
      </c>
      <c r="D2077" s="2" t="s">
        <v>24577</v>
      </c>
      <c r="E2077" s="2">
        <v>426485.0</v>
      </c>
      <c r="F2077" s="2">
        <v>13.0</v>
      </c>
      <c r="G2077" s="2">
        <v>2985.0</v>
      </c>
      <c r="H2077" s="2" t="s">
        <v>5905</v>
      </c>
      <c r="I2077" s="2" t="s">
        <v>5905</v>
      </c>
      <c r="J2077" s="2" t="s">
        <v>5491</v>
      </c>
      <c r="K2077" s="2" t="s">
        <v>24578</v>
      </c>
    </row>
    <row r="2078">
      <c r="A2078" s="2" t="s">
        <v>4648</v>
      </c>
      <c r="B2078" s="2" t="s">
        <v>23245</v>
      </c>
      <c r="C2078" s="2">
        <v>1.79887618E8</v>
      </c>
      <c r="D2078" s="2" t="s">
        <v>23246</v>
      </c>
      <c r="E2078" s="2">
        <v>1.4046406E7</v>
      </c>
      <c r="F2078" s="2">
        <v>3.0</v>
      </c>
      <c r="G2078" s="2">
        <v>48265.0</v>
      </c>
      <c r="H2078" s="2" t="s">
        <v>5905</v>
      </c>
      <c r="I2078" s="2" t="s">
        <v>5905</v>
      </c>
      <c r="J2078" s="2" t="s">
        <v>5911</v>
      </c>
      <c r="K2078" s="2" t="s">
        <v>23247</v>
      </c>
    </row>
    <row r="2079">
      <c r="A2079" s="2" t="s">
        <v>4648</v>
      </c>
      <c r="B2079" s="2" t="s">
        <v>24579</v>
      </c>
      <c r="C2079" s="2">
        <v>1.244330787E9</v>
      </c>
      <c r="D2079" s="2" t="s">
        <v>24580</v>
      </c>
      <c r="E2079" s="2">
        <v>6653137.0</v>
      </c>
      <c r="F2079" s="2">
        <v>2552.0</v>
      </c>
      <c r="G2079" s="2">
        <v>10314.0</v>
      </c>
      <c r="H2079" s="2" t="s">
        <v>5905</v>
      </c>
      <c r="I2079" s="2" t="s">
        <v>5905</v>
      </c>
      <c r="J2079" s="2" t="s">
        <v>5485</v>
      </c>
      <c r="K2079" s="2" t="s">
        <v>24581</v>
      </c>
    </row>
    <row r="2080">
      <c r="A2080" s="2" t="s">
        <v>4648</v>
      </c>
      <c r="B2080" s="2" t="s">
        <v>24582</v>
      </c>
      <c r="C2080" s="2">
        <v>5.7656957973E10</v>
      </c>
      <c r="D2080" s="2" t="s">
        <v>24583</v>
      </c>
      <c r="E2080" s="2">
        <v>142568.0</v>
      </c>
      <c r="F2080" s="2">
        <v>2.0</v>
      </c>
      <c r="G2080" s="2">
        <v>2700.0</v>
      </c>
      <c r="H2080" s="2" t="s">
        <v>5905</v>
      </c>
      <c r="I2080" s="2" t="s">
        <v>5905</v>
      </c>
      <c r="J2080" s="2" t="s">
        <v>5928</v>
      </c>
      <c r="K2080" s="2" t="s">
        <v>24584</v>
      </c>
    </row>
    <row r="2081">
      <c r="A2081" s="2" t="s">
        <v>4648</v>
      </c>
      <c r="B2081" s="2" t="s">
        <v>4648</v>
      </c>
      <c r="C2081" s="2">
        <v>3.291418548E9</v>
      </c>
      <c r="D2081" s="2" t="s">
        <v>24585</v>
      </c>
      <c r="E2081" s="2">
        <v>580709.0</v>
      </c>
      <c r="F2081" s="2">
        <v>59.0</v>
      </c>
      <c r="G2081" s="2">
        <v>2218.0</v>
      </c>
      <c r="H2081" s="2" t="s">
        <v>5906</v>
      </c>
      <c r="I2081" s="2" t="s">
        <v>5906</v>
      </c>
      <c r="J2081" s="2" t="s">
        <v>17983</v>
      </c>
      <c r="K2081" s="2" t="s">
        <v>24586</v>
      </c>
      <c r="L2081" s="10" t="s">
        <v>24587</v>
      </c>
    </row>
    <row r="2082">
      <c r="A2082" s="2" t="s">
        <v>4648</v>
      </c>
      <c r="B2082" s="2" t="s">
        <v>24588</v>
      </c>
      <c r="C2082" s="2">
        <v>7.5034754946E10</v>
      </c>
      <c r="D2082" s="2" t="s">
        <v>24589</v>
      </c>
      <c r="E2082" s="2">
        <v>14880.0</v>
      </c>
      <c r="F2082" s="2">
        <v>2.0</v>
      </c>
      <c r="G2082" s="2">
        <v>169.0</v>
      </c>
      <c r="H2082" s="2" t="s">
        <v>5905</v>
      </c>
      <c r="I2082" s="2" t="s">
        <v>5905</v>
      </c>
      <c r="J2082" s="2" t="s">
        <v>5928</v>
      </c>
      <c r="K2082" s="2" t="s">
        <v>24590</v>
      </c>
    </row>
    <row r="2083">
      <c r="A2083" s="2" t="s">
        <v>4648</v>
      </c>
      <c r="B2083" s="2" t="s">
        <v>24591</v>
      </c>
      <c r="C2083" s="2">
        <v>6.4729841409E10</v>
      </c>
      <c r="D2083" s="2" t="s">
        <v>24592</v>
      </c>
      <c r="E2083" s="2">
        <v>831119.0</v>
      </c>
      <c r="F2083" s="2">
        <v>38.0</v>
      </c>
      <c r="G2083" s="2">
        <v>1997.0</v>
      </c>
      <c r="H2083" s="2" t="s">
        <v>5906</v>
      </c>
      <c r="I2083" s="2" t="s">
        <v>5906</v>
      </c>
      <c r="J2083" s="2" t="s">
        <v>5928</v>
      </c>
      <c r="K2083" s="2" t="s">
        <v>24593</v>
      </c>
    </row>
    <row r="2084">
      <c r="A2084" s="2" t="s">
        <v>4648</v>
      </c>
      <c r="B2084" s="2" t="s">
        <v>24594</v>
      </c>
      <c r="C2084" s="2">
        <v>5.5179690423E10</v>
      </c>
      <c r="D2084" s="2" t="s">
        <v>24595</v>
      </c>
      <c r="E2084" s="2">
        <v>528420.0</v>
      </c>
      <c r="F2084" s="2">
        <v>2.0</v>
      </c>
      <c r="G2084" s="2">
        <v>1782.0</v>
      </c>
      <c r="H2084" s="2" t="s">
        <v>5905</v>
      </c>
      <c r="I2084" s="2" t="s">
        <v>5905</v>
      </c>
      <c r="J2084" s="2" t="s">
        <v>5561</v>
      </c>
      <c r="K2084" s="2" t="s">
        <v>24596</v>
      </c>
      <c r="L2084" s="10" t="s">
        <v>24597</v>
      </c>
    </row>
    <row r="2085">
      <c r="A2085" s="2" t="s">
        <v>4648</v>
      </c>
      <c r="B2085" s="2" t="s">
        <v>24598</v>
      </c>
      <c r="C2085" s="2">
        <v>7.3306662589E10</v>
      </c>
      <c r="D2085" s="2" t="s">
        <v>24599</v>
      </c>
      <c r="E2085" s="2">
        <v>15483.0</v>
      </c>
      <c r="F2085" s="2">
        <v>13.0</v>
      </c>
      <c r="G2085" s="2">
        <v>904.0</v>
      </c>
      <c r="H2085" s="2" t="s">
        <v>5905</v>
      </c>
      <c r="I2085" s="2" t="s">
        <v>5905</v>
      </c>
      <c r="J2085" s="2" t="s">
        <v>5959</v>
      </c>
      <c r="K2085" s="2" t="s">
        <v>24600</v>
      </c>
    </row>
    <row r="2086">
      <c r="A2086" s="2" t="s">
        <v>4648</v>
      </c>
      <c r="B2086" s="2" t="s">
        <v>24601</v>
      </c>
      <c r="C2086" s="2">
        <v>5.602689832E10</v>
      </c>
      <c r="D2086" s="2" t="s">
        <v>24602</v>
      </c>
      <c r="E2086" s="2">
        <v>99822.0</v>
      </c>
      <c r="F2086" s="2">
        <v>2343.0</v>
      </c>
      <c r="G2086" s="2">
        <v>3513.0</v>
      </c>
      <c r="H2086" s="2" t="s">
        <v>5905</v>
      </c>
      <c r="I2086" s="2" t="s">
        <v>5906</v>
      </c>
      <c r="J2086" s="2" t="s">
        <v>24603</v>
      </c>
      <c r="K2086" s="2" t="s">
        <v>24604</v>
      </c>
      <c r="L2086" s="10" t="s">
        <v>24605</v>
      </c>
    </row>
    <row r="2087">
      <c r="A2087" s="2" t="s">
        <v>4648</v>
      </c>
      <c r="B2087" s="2" t="s">
        <v>24606</v>
      </c>
      <c r="C2087" s="2">
        <v>6.7141774197E10</v>
      </c>
      <c r="D2087" s="2" t="s">
        <v>24607</v>
      </c>
      <c r="E2087" s="2">
        <v>186734.0</v>
      </c>
      <c r="F2087" s="2">
        <v>0.0</v>
      </c>
      <c r="G2087" s="2">
        <v>405.0</v>
      </c>
      <c r="H2087" s="2" t="s">
        <v>5906</v>
      </c>
      <c r="I2087" s="2" t="s">
        <v>5906</v>
      </c>
      <c r="J2087" s="2" t="s">
        <v>6002</v>
      </c>
      <c r="K2087" s="2" t="s">
        <v>24608</v>
      </c>
      <c r="L2087" s="10" t="s">
        <v>24609</v>
      </c>
    </row>
    <row r="2088">
      <c r="A2088" s="2" t="s">
        <v>4648</v>
      </c>
      <c r="B2088" s="2" t="s">
        <v>24610</v>
      </c>
      <c r="C2088" s="2">
        <v>5.3618660018E10</v>
      </c>
      <c r="D2088" s="2" t="s">
        <v>24611</v>
      </c>
      <c r="E2088" s="2">
        <v>395978.0</v>
      </c>
      <c r="F2088" s="2">
        <v>4.0</v>
      </c>
      <c r="G2088" s="2">
        <v>1058.0</v>
      </c>
      <c r="H2088" s="2" t="s">
        <v>5905</v>
      </c>
      <c r="I2088" s="2" t="s">
        <v>5906</v>
      </c>
      <c r="J2088" s="2" t="s">
        <v>5551</v>
      </c>
      <c r="K2088" s="2" t="s">
        <v>24612</v>
      </c>
      <c r="L2088" s="10" t="s">
        <v>24613</v>
      </c>
    </row>
    <row r="2089">
      <c r="A2089" s="2" t="s">
        <v>4648</v>
      </c>
      <c r="B2089" s="2" t="s">
        <v>24614</v>
      </c>
      <c r="C2089" s="2">
        <v>7.4856613734E10</v>
      </c>
      <c r="D2089" s="2" t="s">
        <v>24615</v>
      </c>
      <c r="E2089" s="2">
        <v>40360.0</v>
      </c>
      <c r="F2089" s="2">
        <v>78.0</v>
      </c>
      <c r="G2089" s="2">
        <v>313.0</v>
      </c>
      <c r="H2089" s="2" t="s">
        <v>5905</v>
      </c>
      <c r="I2089" s="2" t="s">
        <v>5905</v>
      </c>
      <c r="J2089" s="2" t="s">
        <v>5959</v>
      </c>
      <c r="K2089" s="2" t="s">
        <v>24616</v>
      </c>
    </row>
    <row r="2090">
      <c r="A2090" s="2" t="s">
        <v>4648</v>
      </c>
      <c r="B2090" s="2" t="s">
        <v>24617</v>
      </c>
      <c r="C2090" s="2">
        <v>5.6773489132E10</v>
      </c>
      <c r="D2090" s="2" t="s">
        <v>24618</v>
      </c>
      <c r="E2090" s="2">
        <v>1193243.0</v>
      </c>
      <c r="F2090" s="2">
        <v>1037.0</v>
      </c>
      <c r="G2090" s="2">
        <v>1174.0</v>
      </c>
      <c r="H2090" s="2" t="s">
        <v>5906</v>
      </c>
      <c r="I2090" s="2" t="s">
        <v>5905</v>
      </c>
      <c r="J2090" s="2" t="s">
        <v>5561</v>
      </c>
      <c r="K2090" s="2" t="s">
        <v>24619</v>
      </c>
    </row>
    <row r="2091">
      <c r="A2091" s="2" t="s">
        <v>4648</v>
      </c>
      <c r="B2091" s="2" t="s">
        <v>24620</v>
      </c>
      <c r="C2091" s="2">
        <v>1.450207972E9</v>
      </c>
      <c r="D2091" s="2" t="s">
        <v>24621</v>
      </c>
      <c r="E2091" s="2">
        <v>3971936.0</v>
      </c>
      <c r="F2091" s="2">
        <v>1453.0</v>
      </c>
      <c r="G2091" s="2">
        <v>44670.0</v>
      </c>
      <c r="H2091" s="2" t="s">
        <v>5905</v>
      </c>
      <c r="I2091" s="2" t="s">
        <v>5905</v>
      </c>
      <c r="J2091" s="2" t="s">
        <v>6032</v>
      </c>
      <c r="K2091" s="2" t="s">
        <v>24622</v>
      </c>
      <c r="L2091" s="10" t="s">
        <v>24623</v>
      </c>
    </row>
    <row r="2092">
      <c r="A2092" s="2" t="s">
        <v>2376</v>
      </c>
      <c r="B2092" s="2" t="s">
        <v>24624</v>
      </c>
      <c r="C2092" s="2">
        <v>5.9293696403E10</v>
      </c>
      <c r="D2092" s="2" t="s">
        <v>24625</v>
      </c>
      <c r="E2092" s="2">
        <v>48423.0</v>
      </c>
      <c r="F2092" s="2">
        <v>91.0</v>
      </c>
      <c r="G2092" s="2">
        <v>870.0</v>
      </c>
      <c r="H2092" s="2" t="s">
        <v>5905</v>
      </c>
      <c r="I2092" s="2" t="s">
        <v>5905</v>
      </c>
      <c r="J2092" s="2" t="s">
        <v>5561</v>
      </c>
      <c r="K2092" s="2" t="s">
        <v>24626</v>
      </c>
      <c r="L2092" s="10" t="s">
        <v>24627</v>
      </c>
    </row>
    <row r="2093">
      <c r="A2093" s="2" t="s">
        <v>2376</v>
      </c>
      <c r="B2093" s="2" t="s">
        <v>24628</v>
      </c>
      <c r="C2093" s="2">
        <v>2.2689724E8</v>
      </c>
      <c r="D2093" s="2" t="s">
        <v>24629</v>
      </c>
      <c r="E2093" s="2">
        <v>101123.0</v>
      </c>
      <c r="F2093" s="2">
        <v>1.0</v>
      </c>
      <c r="G2093" s="2">
        <v>1968.0</v>
      </c>
      <c r="H2093" s="2" t="s">
        <v>5905</v>
      </c>
      <c r="I2093" s="2" t="s">
        <v>5906</v>
      </c>
      <c r="J2093" s="2" t="s">
        <v>6166</v>
      </c>
      <c r="K2093" s="2" t="s">
        <v>24630</v>
      </c>
      <c r="L2093" s="10" t="s">
        <v>24631</v>
      </c>
    </row>
    <row r="2094">
      <c r="A2094" s="2" t="s">
        <v>2376</v>
      </c>
      <c r="B2094" s="2" t="s">
        <v>24632</v>
      </c>
      <c r="C2094" s="2">
        <v>4.579525048E9</v>
      </c>
      <c r="D2094" s="2" t="s">
        <v>24633</v>
      </c>
      <c r="E2094" s="2">
        <v>350641.0</v>
      </c>
      <c r="F2094" s="2">
        <v>762.0</v>
      </c>
      <c r="G2094" s="2">
        <v>14.0</v>
      </c>
      <c r="H2094" s="2" t="s">
        <v>5905</v>
      </c>
      <c r="I2094" s="2" t="s">
        <v>5905</v>
      </c>
      <c r="J2094" s="2" t="s">
        <v>6414</v>
      </c>
    </row>
    <row r="2095">
      <c r="A2095" s="2" t="s">
        <v>2376</v>
      </c>
      <c r="B2095" s="2" t="s">
        <v>24634</v>
      </c>
      <c r="C2095" s="2">
        <v>1.426721615E9</v>
      </c>
      <c r="D2095" s="2" t="s">
        <v>24635</v>
      </c>
      <c r="E2095" s="2">
        <v>216389.0</v>
      </c>
      <c r="F2095" s="2">
        <v>2.0</v>
      </c>
      <c r="G2095" s="2">
        <v>1.0</v>
      </c>
      <c r="H2095" s="2" t="s">
        <v>5905</v>
      </c>
      <c r="I2095" s="2" t="s">
        <v>5906</v>
      </c>
      <c r="J2095" s="2" t="s">
        <v>24636</v>
      </c>
      <c r="K2095" s="12" t="s">
        <v>24637</v>
      </c>
      <c r="L2095" s="10" t="s">
        <v>24638</v>
      </c>
    </row>
    <row r="2096">
      <c r="A2096" s="2" t="s">
        <v>2376</v>
      </c>
      <c r="B2096" s="2" t="s">
        <v>24639</v>
      </c>
      <c r="C2096" s="2">
        <v>8764998.0</v>
      </c>
      <c r="D2096" s="2" t="s">
        <v>24640</v>
      </c>
      <c r="E2096" s="2">
        <v>60144.0</v>
      </c>
      <c r="F2096" s="2">
        <v>2550.0</v>
      </c>
      <c r="G2096" s="2">
        <v>1190.0</v>
      </c>
      <c r="H2096" s="2" t="s">
        <v>5905</v>
      </c>
      <c r="I2096" s="2" t="s">
        <v>5905</v>
      </c>
      <c r="J2096" s="2" t="s">
        <v>9016</v>
      </c>
      <c r="K2096" s="2" t="s">
        <v>24641</v>
      </c>
      <c r="L2096" s="10" t="s">
        <v>24642</v>
      </c>
    </row>
    <row r="2097">
      <c r="A2097" s="2" t="s">
        <v>2376</v>
      </c>
      <c r="B2097" s="2" t="s">
        <v>24643</v>
      </c>
      <c r="C2097" s="2">
        <v>9.753122067E9</v>
      </c>
      <c r="D2097" s="2" t="s">
        <v>24644</v>
      </c>
      <c r="E2097" s="2">
        <v>64450.0</v>
      </c>
      <c r="F2097" s="2">
        <v>1779.0</v>
      </c>
      <c r="G2097" s="2">
        <v>9914.0</v>
      </c>
      <c r="H2097" s="2" t="s">
        <v>5905</v>
      </c>
      <c r="I2097" s="2" t="s">
        <v>5906</v>
      </c>
      <c r="J2097" s="2" t="s">
        <v>6940</v>
      </c>
      <c r="K2097" s="2" t="s">
        <v>24645</v>
      </c>
      <c r="L2097" s="10" t="s">
        <v>24646</v>
      </c>
    </row>
    <row r="2098">
      <c r="A2098" s="2" t="s">
        <v>2376</v>
      </c>
      <c r="B2098" s="2" t="s">
        <v>24647</v>
      </c>
      <c r="C2098" s="2">
        <v>7.3202841577E10</v>
      </c>
      <c r="D2098" s="2" t="s">
        <v>24647</v>
      </c>
      <c r="E2098" s="2">
        <v>19337.0</v>
      </c>
      <c r="F2098" s="2">
        <v>68.0</v>
      </c>
      <c r="G2098" s="2">
        <v>46.0</v>
      </c>
      <c r="H2098" s="2" t="s">
        <v>5905</v>
      </c>
      <c r="I2098" s="2" t="s">
        <v>5905</v>
      </c>
      <c r="J2098" s="2" t="s">
        <v>5959</v>
      </c>
      <c r="K2098" s="2" t="s">
        <v>24648</v>
      </c>
      <c r="L2098" s="10" t="s">
        <v>24649</v>
      </c>
    </row>
    <row r="2099">
      <c r="A2099" s="2" t="s">
        <v>2376</v>
      </c>
      <c r="B2099" s="2" t="s">
        <v>24650</v>
      </c>
      <c r="C2099" s="2">
        <v>4.215437151E9</v>
      </c>
      <c r="D2099" s="2" t="s">
        <v>24651</v>
      </c>
      <c r="E2099" s="2">
        <v>62962.0</v>
      </c>
      <c r="F2099" s="2">
        <v>470.0</v>
      </c>
      <c r="G2099" s="2">
        <v>1570.0</v>
      </c>
      <c r="H2099" s="2" t="s">
        <v>5905</v>
      </c>
      <c r="I2099" s="2" t="s">
        <v>5906</v>
      </c>
      <c r="K2099" s="2" t="s">
        <v>24652</v>
      </c>
      <c r="L2099" s="10" t="s">
        <v>24653</v>
      </c>
    </row>
    <row r="2100">
      <c r="A2100" s="2" t="s">
        <v>2376</v>
      </c>
      <c r="B2100" s="2" t="s">
        <v>24654</v>
      </c>
      <c r="C2100" s="2">
        <v>6.9606008887E10</v>
      </c>
      <c r="D2100" s="2" t="s">
        <v>24655</v>
      </c>
      <c r="E2100" s="2">
        <v>205944.0</v>
      </c>
      <c r="F2100" s="2">
        <v>0.0</v>
      </c>
      <c r="G2100" s="2">
        <v>432.0</v>
      </c>
      <c r="H2100" s="2" t="s">
        <v>5905</v>
      </c>
      <c r="I2100" s="2" t="s">
        <v>5905</v>
      </c>
      <c r="J2100" s="2" t="s">
        <v>5485</v>
      </c>
      <c r="K2100" s="12" t="s">
        <v>24656</v>
      </c>
      <c r="L2100" s="10" t="s">
        <v>24657</v>
      </c>
    </row>
    <row r="2101">
      <c r="A2101" s="2" t="s">
        <v>2376</v>
      </c>
      <c r="B2101" s="2" t="s">
        <v>24658</v>
      </c>
      <c r="C2101" s="2">
        <v>4.6334518853E10</v>
      </c>
      <c r="D2101" s="2" t="s">
        <v>24659</v>
      </c>
      <c r="E2101" s="2">
        <v>56036.0</v>
      </c>
      <c r="F2101" s="2">
        <v>0.0</v>
      </c>
      <c r="G2101" s="2">
        <v>144.0</v>
      </c>
      <c r="H2101" s="2" t="s">
        <v>5905</v>
      </c>
      <c r="I2101" s="2" t="s">
        <v>5905</v>
      </c>
      <c r="J2101" s="2" t="s">
        <v>5492</v>
      </c>
      <c r="K2101" s="12" t="s">
        <v>24660</v>
      </c>
      <c r="L2101" s="10" t="s">
        <v>24661</v>
      </c>
    </row>
    <row r="2102">
      <c r="A2102" s="2" t="s">
        <v>2376</v>
      </c>
      <c r="B2102" s="2" t="s">
        <v>24662</v>
      </c>
      <c r="C2102" s="2">
        <v>4.887740863E10</v>
      </c>
      <c r="D2102" s="2" t="s">
        <v>17084</v>
      </c>
      <c r="E2102" s="2">
        <v>95405.0</v>
      </c>
      <c r="F2102" s="2">
        <v>0.0</v>
      </c>
      <c r="G2102" s="2">
        <v>410.0</v>
      </c>
      <c r="H2102" s="2" t="s">
        <v>5905</v>
      </c>
      <c r="I2102" s="2" t="s">
        <v>5905</v>
      </c>
      <c r="J2102" s="2" t="s">
        <v>12414</v>
      </c>
      <c r="K2102" s="2" t="s">
        <v>24663</v>
      </c>
    </row>
    <row r="2103">
      <c r="A2103" s="2" t="s">
        <v>3727</v>
      </c>
      <c r="B2103" s="2" t="s">
        <v>24664</v>
      </c>
      <c r="C2103" s="2">
        <v>5.3120472765E10</v>
      </c>
      <c r="D2103" s="2" t="s">
        <v>24665</v>
      </c>
      <c r="E2103" s="2">
        <v>21361.0</v>
      </c>
      <c r="F2103" s="2">
        <v>0.0</v>
      </c>
      <c r="G2103" s="2">
        <v>101.0</v>
      </c>
      <c r="H2103" s="2" t="s">
        <v>5905</v>
      </c>
      <c r="I2103" s="2" t="s">
        <v>5905</v>
      </c>
      <c r="J2103" s="2" t="s">
        <v>5959</v>
      </c>
      <c r="K2103" s="2" t="s">
        <v>24666</v>
      </c>
      <c r="L2103" s="10" t="s">
        <v>24667</v>
      </c>
    </row>
    <row r="2104">
      <c r="A2104" s="2" t="s">
        <v>3727</v>
      </c>
      <c r="B2104" s="2" t="s">
        <v>24668</v>
      </c>
      <c r="C2104" s="2">
        <v>2.41532229E8</v>
      </c>
      <c r="D2104" s="2" t="s">
        <v>5776</v>
      </c>
      <c r="E2104" s="2">
        <v>27526.0</v>
      </c>
      <c r="F2104" s="2">
        <v>844.0</v>
      </c>
      <c r="G2104" s="2">
        <v>2176.0</v>
      </c>
      <c r="H2104" s="2" t="s">
        <v>5905</v>
      </c>
      <c r="I2104" s="2" t="s">
        <v>5905</v>
      </c>
      <c r="J2104" s="2" t="s">
        <v>10778</v>
      </c>
      <c r="K2104" s="2" t="s">
        <v>24669</v>
      </c>
      <c r="L2104" s="10" t="s">
        <v>24670</v>
      </c>
    </row>
    <row r="2105">
      <c r="A2105" s="2" t="s">
        <v>3727</v>
      </c>
      <c r="B2105" s="2" t="s">
        <v>24671</v>
      </c>
      <c r="C2105" s="2">
        <v>4.5360869656E10</v>
      </c>
      <c r="D2105" s="2" t="s">
        <v>24672</v>
      </c>
      <c r="E2105" s="2">
        <v>482781.0</v>
      </c>
      <c r="F2105" s="2">
        <v>31.0</v>
      </c>
      <c r="G2105" s="2">
        <v>929.0</v>
      </c>
      <c r="H2105" s="2" t="s">
        <v>5906</v>
      </c>
      <c r="I2105" s="2" t="s">
        <v>5906</v>
      </c>
      <c r="J2105" s="2" t="s">
        <v>10778</v>
      </c>
      <c r="K2105" s="2" t="s">
        <v>24673</v>
      </c>
      <c r="L2105" s="10" t="s">
        <v>24674</v>
      </c>
    </row>
    <row r="2106">
      <c r="A2106" s="2" t="s">
        <v>3727</v>
      </c>
      <c r="B2106" s="2" t="s">
        <v>24675</v>
      </c>
      <c r="C2106" s="2">
        <v>6.6598883086E10</v>
      </c>
      <c r="D2106" s="2" t="s">
        <v>24676</v>
      </c>
      <c r="E2106" s="2">
        <v>14509.0</v>
      </c>
      <c r="F2106" s="2">
        <v>24.0</v>
      </c>
      <c r="G2106" s="2">
        <v>264.0</v>
      </c>
      <c r="H2106" s="2" t="s">
        <v>5905</v>
      </c>
      <c r="I2106" s="2" t="s">
        <v>5906</v>
      </c>
      <c r="J2106" s="2" t="s">
        <v>10778</v>
      </c>
      <c r="K2106" s="2" t="s">
        <v>24677</v>
      </c>
      <c r="L2106" s="10" t="s">
        <v>24678</v>
      </c>
    </row>
    <row r="2107">
      <c r="A2107" s="2" t="s">
        <v>4584</v>
      </c>
      <c r="B2107" s="2" t="s">
        <v>24679</v>
      </c>
      <c r="C2107" s="2">
        <v>3.4112073771E10</v>
      </c>
      <c r="D2107" s="2" t="s">
        <v>24680</v>
      </c>
      <c r="E2107" s="2">
        <v>10774.0</v>
      </c>
      <c r="F2107" s="2">
        <v>667.0</v>
      </c>
      <c r="G2107" s="2">
        <v>465.0</v>
      </c>
      <c r="H2107" s="2" t="s">
        <v>5905</v>
      </c>
      <c r="I2107" s="2" t="s">
        <v>5905</v>
      </c>
      <c r="J2107" s="2" t="s">
        <v>6393</v>
      </c>
      <c r="K2107" s="2" t="s">
        <v>24681</v>
      </c>
      <c r="L2107" s="10" t="s">
        <v>24682</v>
      </c>
    </row>
    <row r="2108">
      <c r="A2108" s="2" t="s">
        <v>4584</v>
      </c>
      <c r="B2108" s="2" t="s">
        <v>24683</v>
      </c>
      <c r="C2108" s="2">
        <v>5.6134230576E10</v>
      </c>
      <c r="D2108" s="2" t="s">
        <v>24684</v>
      </c>
      <c r="E2108" s="2">
        <v>269602.0</v>
      </c>
      <c r="F2108" s="2">
        <v>202.0</v>
      </c>
      <c r="G2108" s="2">
        <v>1216.0</v>
      </c>
      <c r="H2108" s="2" t="s">
        <v>5905</v>
      </c>
      <c r="I2108" s="2" t="s">
        <v>5905</v>
      </c>
      <c r="J2108" s="2" t="s">
        <v>5959</v>
      </c>
      <c r="K2108" s="2" t="s">
        <v>24685</v>
      </c>
      <c r="L2108" s="10" t="s">
        <v>24686</v>
      </c>
    </row>
    <row r="2109">
      <c r="A2109" s="2" t="s">
        <v>4584</v>
      </c>
      <c r="B2109" s="2" t="s">
        <v>24687</v>
      </c>
      <c r="C2109" s="2">
        <v>4.8248622478E10</v>
      </c>
      <c r="D2109" s="2" t="s">
        <v>24688</v>
      </c>
      <c r="E2109" s="2">
        <v>398967.0</v>
      </c>
      <c r="F2109" s="2">
        <v>368.0</v>
      </c>
      <c r="G2109" s="2">
        <v>700.0</v>
      </c>
      <c r="H2109" s="2" t="s">
        <v>5906</v>
      </c>
      <c r="I2109" s="2" t="s">
        <v>5905</v>
      </c>
      <c r="J2109" s="2" t="s">
        <v>5928</v>
      </c>
      <c r="K2109" s="2" t="s">
        <v>24689</v>
      </c>
      <c r="L2109" s="10" t="s">
        <v>24690</v>
      </c>
    </row>
    <row r="2110">
      <c r="A2110" s="2" t="s">
        <v>4584</v>
      </c>
      <c r="B2110" s="2" t="s">
        <v>24691</v>
      </c>
      <c r="C2110" s="2">
        <v>5.4962159911E10</v>
      </c>
      <c r="D2110" s="2" t="s">
        <v>24692</v>
      </c>
      <c r="E2110" s="2">
        <v>54976.0</v>
      </c>
      <c r="F2110" s="2">
        <v>0.0</v>
      </c>
      <c r="G2110" s="2">
        <v>4654.0</v>
      </c>
      <c r="H2110" s="2" t="s">
        <v>5905</v>
      </c>
      <c r="I2110" s="2" t="s">
        <v>5906</v>
      </c>
      <c r="J2110" s="2" t="s">
        <v>5391</v>
      </c>
      <c r="K2110" s="2" t="s">
        <v>24693</v>
      </c>
      <c r="L2110" s="10" t="s">
        <v>24694</v>
      </c>
    </row>
    <row r="2111">
      <c r="A2111" s="2" t="s">
        <v>4584</v>
      </c>
      <c r="B2111" s="2" t="s">
        <v>24695</v>
      </c>
      <c r="C2111" s="2">
        <v>6.155911262E10</v>
      </c>
      <c r="D2111" s="2" t="s">
        <v>24696</v>
      </c>
      <c r="E2111" s="2">
        <v>3498746.0</v>
      </c>
      <c r="F2111" s="2">
        <v>0.0</v>
      </c>
      <c r="G2111" s="2">
        <v>3888.0</v>
      </c>
      <c r="H2111" s="2" t="s">
        <v>5906</v>
      </c>
      <c r="I2111" s="2" t="s">
        <v>5906</v>
      </c>
      <c r="J2111" s="2" t="s">
        <v>5561</v>
      </c>
      <c r="K2111" s="2" t="s">
        <v>24697</v>
      </c>
      <c r="L2111" s="10" t="s">
        <v>24698</v>
      </c>
    </row>
    <row r="2112">
      <c r="A2112" s="2" t="s">
        <v>4584</v>
      </c>
      <c r="B2112" s="2" t="s">
        <v>24699</v>
      </c>
      <c r="C2112" s="2">
        <v>2.95594457E9</v>
      </c>
      <c r="D2112" s="2" t="s">
        <v>24700</v>
      </c>
      <c r="E2112" s="2">
        <v>2334642.0</v>
      </c>
      <c r="F2112" s="2">
        <v>1424.0</v>
      </c>
      <c r="G2112" s="2">
        <v>1183.0</v>
      </c>
      <c r="H2112" s="2" t="s">
        <v>5906</v>
      </c>
      <c r="I2112" s="2" t="s">
        <v>5905</v>
      </c>
      <c r="J2112" s="2" t="s">
        <v>13634</v>
      </c>
      <c r="K2112" s="2" t="s">
        <v>24701</v>
      </c>
      <c r="L2112" s="10" t="s">
        <v>24702</v>
      </c>
    </row>
    <row r="2113">
      <c r="A2113" s="2" t="s">
        <v>4584</v>
      </c>
      <c r="B2113" s="2" t="s">
        <v>24703</v>
      </c>
      <c r="C2113" s="2">
        <v>5.2922677136E10</v>
      </c>
      <c r="D2113" s="2" t="s">
        <v>24704</v>
      </c>
      <c r="E2113" s="2">
        <v>918884.0</v>
      </c>
      <c r="F2113" s="2">
        <v>872.0</v>
      </c>
      <c r="G2113" s="2">
        <v>4468.0</v>
      </c>
      <c r="H2113" s="2" t="s">
        <v>5906</v>
      </c>
      <c r="I2113" s="2" t="s">
        <v>5905</v>
      </c>
      <c r="J2113" s="2" t="s">
        <v>5911</v>
      </c>
      <c r="K2113" s="2" t="s">
        <v>24705</v>
      </c>
      <c r="L2113" s="10" t="s">
        <v>24706</v>
      </c>
    </row>
    <row r="2114">
      <c r="A2114" s="2" t="s">
        <v>4584</v>
      </c>
      <c r="B2114" s="2" t="s">
        <v>24707</v>
      </c>
      <c r="C2114" s="2">
        <v>6.8970873463E10</v>
      </c>
      <c r="D2114" s="2" t="s">
        <v>24708</v>
      </c>
      <c r="E2114" s="2">
        <v>178778.0</v>
      </c>
      <c r="F2114" s="2">
        <v>236.0</v>
      </c>
      <c r="G2114" s="2">
        <v>248.0</v>
      </c>
      <c r="H2114" s="2" t="s">
        <v>5906</v>
      </c>
      <c r="I2114" s="2" t="s">
        <v>5905</v>
      </c>
      <c r="J2114" s="2" t="s">
        <v>7414</v>
      </c>
      <c r="K2114" s="2" t="s">
        <v>24709</v>
      </c>
    </row>
    <row r="2115">
      <c r="A2115" s="2" t="s">
        <v>4584</v>
      </c>
      <c r="B2115" s="2" t="s">
        <v>24710</v>
      </c>
      <c r="C2115" s="2">
        <v>4.930277701E10</v>
      </c>
      <c r="D2115" s="2" t="s">
        <v>24711</v>
      </c>
      <c r="E2115" s="2">
        <v>32972.0</v>
      </c>
      <c r="F2115" s="2">
        <v>629.0</v>
      </c>
      <c r="G2115" s="2">
        <v>247.0</v>
      </c>
      <c r="H2115" s="2" t="s">
        <v>5905</v>
      </c>
      <c r="I2115" s="2" t="s">
        <v>5905</v>
      </c>
      <c r="J2115" s="2" t="s">
        <v>24712</v>
      </c>
      <c r="K2115" s="2" t="s">
        <v>24713</v>
      </c>
      <c r="L2115" s="10" t="s">
        <v>24714</v>
      </c>
    </row>
    <row r="2116">
      <c r="A2116" s="2" t="s">
        <v>4584</v>
      </c>
      <c r="B2116" s="2" t="s">
        <v>24715</v>
      </c>
      <c r="C2116" s="2">
        <v>1.111953904E10</v>
      </c>
      <c r="D2116" s="2" t="s">
        <v>24716</v>
      </c>
      <c r="E2116" s="2">
        <v>18500.0</v>
      </c>
      <c r="F2116" s="2">
        <v>978.0</v>
      </c>
      <c r="G2116" s="2">
        <v>453.0</v>
      </c>
      <c r="H2116" s="2" t="s">
        <v>5905</v>
      </c>
      <c r="I2116" s="2" t="s">
        <v>5905</v>
      </c>
      <c r="J2116" s="2" t="s">
        <v>14942</v>
      </c>
      <c r="K2116" s="2" t="s">
        <v>24717</v>
      </c>
      <c r="L2116" s="10" t="s">
        <v>24718</v>
      </c>
    </row>
    <row r="2117">
      <c r="A2117" s="2" t="s">
        <v>4539</v>
      </c>
      <c r="B2117" s="2" t="s">
        <v>24719</v>
      </c>
      <c r="C2117" s="2">
        <v>8.632608922E9</v>
      </c>
      <c r="D2117" s="2" t="s">
        <v>24720</v>
      </c>
      <c r="E2117" s="2">
        <v>221861.0</v>
      </c>
      <c r="F2117" s="2">
        <v>3905.0</v>
      </c>
      <c r="G2117" s="2">
        <v>4699.0</v>
      </c>
      <c r="H2117" s="2" t="s">
        <v>5906</v>
      </c>
      <c r="I2117" s="2" t="s">
        <v>5905</v>
      </c>
      <c r="J2117" s="2" t="s">
        <v>8998</v>
      </c>
      <c r="K2117" s="2" t="s">
        <v>24721</v>
      </c>
      <c r="L2117" s="10" t="s">
        <v>24722</v>
      </c>
    </row>
    <row r="2118">
      <c r="A2118" s="2" t="s">
        <v>4539</v>
      </c>
      <c r="B2118" s="2" t="s">
        <v>24723</v>
      </c>
      <c r="C2118" s="2">
        <v>6.178761296E10</v>
      </c>
      <c r="D2118" s="12" t="s">
        <v>24724</v>
      </c>
      <c r="E2118" s="2">
        <v>32577.0</v>
      </c>
      <c r="F2118" s="2">
        <v>51.0</v>
      </c>
      <c r="G2118" s="2">
        <v>117.0</v>
      </c>
      <c r="H2118" s="2" t="s">
        <v>5905</v>
      </c>
      <c r="I2118" s="2" t="s">
        <v>5906</v>
      </c>
      <c r="J2118" s="2" t="s">
        <v>5963</v>
      </c>
      <c r="K2118" s="12" t="s">
        <v>24725</v>
      </c>
    </row>
    <row r="2119">
      <c r="A2119" s="2" t="s">
        <v>4539</v>
      </c>
      <c r="B2119" s="2" t="s">
        <v>24726</v>
      </c>
      <c r="C2119" s="2">
        <v>5.683007532E9</v>
      </c>
      <c r="D2119" s="2" t="s">
        <v>24727</v>
      </c>
      <c r="E2119" s="2">
        <v>184897.0</v>
      </c>
      <c r="F2119" s="2">
        <v>2457.0</v>
      </c>
      <c r="G2119" s="2">
        <v>3866.0</v>
      </c>
      <c r="H2119" s="2" t="s">
        <v>5906</v>
      </c>
      <c r="I2119" s="2" t="s">
        <v>5906</v>
      </c>
      <c r="J2119" s="2" t="s">
        <v>17242</v>
      </c>
      <c r="K2119" s="2" t="s">
        <v>24728</v>
      </c>
      <c r="L2119" s="10" t="s">
        <v>24729</v>
      </c>
    </row>
    <row r="2120">
      <c r="A2120" s="2" t="s">
        <v>4539</v>
      </c>
      <c r="B2120" s="2" t="s">
        <v>24730</v>
      </c>
      <c r="C2120" s="2">
        <v>1.632854956E9</v>
      </c>
      <c r="D2120" s="2" t="s">
        <v>24731</v>
      </c>
      <c r="E2120" s="2">
        <v>333549.0</v>
      </c>
      <c r="F2120" s="2">
        <v>71.0</v>
      </c>
      <c r="G2120" s="2">
        <v>1310.0</v>
      </c>
      <c r="H2120" s="2" t="s">
        <v>5905</v>
      </c>
      <c r="I2120" s="2" t="s">
        <v>5905</v>
      </c>
      <c r="J2120" s="2" t="s">
        <v>5928</v>
      </c>
      <c r="K2120" s="2" t="s">
        <v>24732</v>
      </c>
    </row>
    <row r="2121">
      <c r="A2121" s="2" t="s">
        <v>4539</v>
      </c>
      <c r="B2121" s="2" t="s">
        <v>24733</v>
      </c>
      <c r="C2121" s="2">
        <v>4.58066042E9</v>
      </c>
      <c r="D2121" s="2" t="s">
        <v>24734</v>
      </c>
      <c r="E2121" s="2">
        <v>84056.0</v>
      </c>
      <c r="F2121" s="2">
        <v>138.0</v>
      </c>
      <c r="G2121" s="2">
        <v>1191.0</v>
      </c>
      <c r="H2121" s="2" t="s">
        <v>5906</v>
      </c>
      <c r="I2121" s="2" t="s">
        <v>5906</v>
      </c>
      <c r="J2121" s="2" t="s">
        <v>5551</v>
      </c>
      <c r="K2121" s="2" t="s">
        <v>24735</v>
      </c>
      <c r="L2121" s="10" t="s">
        <v>24736</v>
      </c>
    </row>
    <row r="2122">
      <c r="A2122" s="2" t="s">
        <v>4539</v>
      </c>
      <c r="B2122" s="2" t="s">
        <v>24737</v>
      </c>
      <c r="C2122" s="2">
        <v>2.315288372E9</v>
      </c>
      <c r="D2122" s="2" t="s">
        <v>24738</v>
      </c>
      <c r="E2122" s="2">
        <v>39179.0</v>
      </c>
      <c r="F2122" s="2">
        <v>291.0</v>
      </c>
      <c r="G2122" s="2">
        <v>3159.0</v>
      </c>
      <c r="H2122" s="2" t="s">
        <v>5905</v>
      </c>
      <c r="I2122" s="2" t="s">
        <v>5906</v>
      </c>
      <c r="J2122" s="2" t="s">
        <v>5391</v>
      </c>
      <c r="K2122" s="2" t="s">
        <v>24739</v>
      </c>
      <c r="L2122" s="10" t="s">
        <v>24740</v>
      </c>
    </row>
    <row r="2123">
      <c r="A2123" s="2" t="s">
        <v>4539</v>
      </c>
      <c r="B2123" s="2" t="s">
        <v>24741</v>
      </c>
      <c r="C2123" s="2">
        <v>3.5287468334E10</v>
      </c>
      <c r="D2123" s="2" t="s">
        <v>24742</v>
      </c>
      <c r="E2123" s="2">
        <v>20661.0</v>
      </c>
      <c r="F2123" s="2">
        <v>4847.0</v>
      </c>
      <c r="G2123" s="2">
        <v>400.0</v>
      </c>
      <c r="H2123" s="2" t="s">
        <v>5905</v>
      </c>
      <c r="I2123" s="2" t="s">
        <v>5905</v>
      </c>
      <c r="J2123" s="2" t="s">
        <v>6002</v>
      </c>
      <c r="K2123" s="2" t="s">
        <v>24743</v>
      </c>
      <c r="L2123" s="10" t="s">
        <v>24744</v>
      </c>
    </row>
    <row r="2124">
      <c r="A2124" s="2" t="s">
        <v>3786</v>
      </c>
      <c r="B2124" s="2" t="s">
        <v>24745</v>
      </c>
      <c r="C2124" s="2">
        <v>6.0307437777E10</v>
      </c>
      <c r="D2124" s="2" t="s">
        <v>24746</v>
      </c>
      <c r="E2124" s="2">
        <v>142440.0</v>
      </c>
      <c r="F2124" s="2">
        <v>2.0</v>
      </c>
      <c r="G2124" s="2">
        <v>152.0</v>
      </c>
      <c r="H2124" s="2" t="s">
        <v>5905</v>
      </c>
      <c r="I2124" s="2" t="s">
        <v>5905</v>
      </c>
      <c r="J2124" s="2" t="s">
        <v>5993</v>
      </c>
    </row>
    <row r="2125">
      <c r="A2125" s="2" t="s">
        <v>3786</v>
      </c>
      <c r="B2125" s="2" t="s">
        <v>24747</v>
      </c>
      <c r="C2125" s="2">
        <v>6.7159600663E10</v>
      </c>
      <c r="D2125" s="2" t="s">
        <v>24748</v>
      </c>
      <c r="E2125" s="2">
        <v>206487.0</v>
      </c>
      <c r="F2125" s="2">
        <v>42.0</v>
      </c>
      <c r="G2125" s="2">
        <v>216.0</v>
      </c>
      <c r="H2125" s="2" t="s">
        <v>5905</v>
      </c>
      <c r="I2125" s="2" t="s">
        <v>5905</v>
      </c>
      <c r="J2125" s="2" t="s">
        <v>5959</v>
      </c>
      <c r="K2125" s="2" t="s">
        <v>24749</v>
      </c>
      <c r="L2125" s="10" t="s">
        <v>24750</v>
      </c>
    </row>
    <row r="2126">
      <c r="A2126" s="2" t="s">
        <v>3786</v>
      </c>
      <c r="B2126" s="2" t="s">
        <v>3786</v>
      </c>
      <c r="C2126" s="2">
        <v>4.08067804E8</v>
      </c>
      <c r="D2126" s="2" t="s">
        <v>24751</v>
      </c>
      <c r="E2126" s="2">
        <v>9552045.0</v>
      </c>
      <c r="F2126" s="2">
        <v>522.0</v>
      </c>
      <c r="G2126" s="2">
        <v>1800.0</v>
      </c>
      <c r="H2126" s="2" t="s">
        <v>5906</v>
      </c>
      <c r="I2126" s="2" t="s">
        <v>5906</v>
      </c>
      <c r="J2126" s="2" t="s">
        <v>10778</v>
      </c>
      <c r="K2126" s="2" t="s">
        <v>24752</v>
      </c>
      <c r="L2126" s="10" t="s">
        <v>24753</v>
      </c>
    </row>
    <row r="2127">
      <c r="A2127" s="2" t="s">
        <v>3786</v>
      </c>
      <c r="B2127" s="2" t="s">
        <v>24754</v>
      </c>
      <c r="C2127" s="2">
        <v>3.459068471E9</v>
      </c>
      <c r="D2127" s="2" t="s">
        <v>24755</v>
      </c>
      <c r="E2127" s="2">
        <v>18978.0</v>
      </c>
      <c r="F2127" s="2">
        <v>1.0</v>
      </c>
      <c r="G2127" s="2">
        <v>113.0</v>
      </c>
      <c r="H2127" s="2" t="s">
        <v>5905</v>
      </c>
      <c r="I2127" s="2" t="s">
        <v>5905</v>
      </c>
      <c r="J2127" s="2" t="s">
        <v>5928</v>
      </c>
      <c r="K2127" s="2" t="s">
        <v>24756</v>
      </c>
      <c r="L2127" s="10" t="s">
        <v>24757</v>
      </c>
    </row>
    <row r="2128">
      <c r="A2128" s="2" t="s">
        <v>4479</v>
      </c>
      <c r="B2128" s="2" t="s">
        <v>24758</v>
      </c>
      <c r="C2128" s="2">
        <v>2.43918444E8</v>
      </c>
      <c r="D2128" s="2" t="s">
        <v>24759</v>
      </c>
      <c r="E2128" s="2">
        <v>12804.0</v>
      </c>
      <c r="F2128" s="2">
        <v>1285.0</v>
      </c>
      <c r="G2128" s="2">
        <v>889.0</v>
      </c>
      <c r="H2128" s="2" t="s">
        <v>5905</v>
      </c>
      <c r="I2128" s="2" t="s">
        <v>5906</v>
      </c>
      <c r="K2128" s="2" t="s">
        <v>24760</v>
      </c>
      <c r="L2128" s="10" t="s">
        <v>24761</v>
      </c>
    </row>
    <row r="2129">
      <c r="A2129" s="2" t="s">
        <v>4479</v>
      </c>
      <c r="B2129" s="2" t="s">
        <v>24762</v>
      </c>
      <c r="C2129" s="2">
        <v>6.837060437E10</v>
      </c>
      <c r="D2129" s="2" t="s">
        <v>24763</v>
      </c>
      <c r="E2129" s="2">
        <v>788890.0</v>
      </c>
      <c r="F2129" s="2">
        <v>114.0</v>
      </c>
      <c r="G2129" s="2">
        <v>688.0</v>
      </c>
      <c r="H2129" s="2" t="s">
        <v>5905</v>
      </c>
      <c r="I2129" s="2" t="s">
        <v>5905</v>
      </c>
      <c r="J2129" s="2" t="s">
        <v>5959</v>
      </c>
      <c r="K2129" s="2" t="s">
        <v>24764</v>
      </c>
    </row>
    <row r="2130">
      <c r="A2130" s="2" t="s">
        <v>4479</v>
      </c>
      <c r="B2130" s="2" t="s">
        <v>24765</v>
      </c>
      <c r="C2130" s="2">
        <v>6.7215367897E10</v>
      </c>
      <c r="D2130" s="2" t="s">
        <v>24766</v>
      </c>
      <c r="E2130" s="2">
        <v>225494.0</v>
      </c>
      <c r="F2130" s="2">
        <v>897.0</v>
      </c>
      <c r="G2130" s="2">
        <v>817.0</v>
      </c>
      <c r="H2130" s="2" t="s">
        <v>5906</v>
      </c>
      <c r="I2130" s="2" t="s">
        <v>5905</v>
      </c>
      <c r="J2130" s="2" t="s">
        <v>5959</v>
      </c>
      <c r="K2130" s="2" t="s">
        <v>24767</v>
      </c>
      <c r="L2130" s="10" t="s">
        <v>24768</v>
      </c>
    </row>
    <row r="2131">
      <c r="A2131" s="2" t="s">
        <v>4479</v>
      </c>
      <c r="B2131" s="2" t="s">
        <v>24769</v>
      </c>
      <c r="C2131" s="2">
        <v>6.7642767957E10</v>
      </c>
      <c r="D2131" s="2" t="s">
        <v>24763</v>
      </c>
      <c r="E2131" s="2">
        <v>25794.0</v>
      </c>
      <c r="F2131" s="2">
        <v>101.0</v>
      </c>
      <c r="G2131" s="2">
        <v>123.0</v>
      </c>
      <c r="H2131" s="2" t="s">
        <v>5905</v>
      </c>
      <c r="I2131" s="2" t="s">
        <v>5905</v>
      </c>
      <c r="J2131" s="2" t="s">
        <v>5561</v>
      </c>
      <c r="K2131" s="2" t="s">
        <v>24770</v>
      </c>
    </row>
    <row r="2132">
      <c r="A2132" s="2" t="s">
        <v>4479</v>
      </c>
      <c r="B2132" s="2" t="s">
        <v>24771</v>
      </c>
      <c r="C2132" s="2">
        <v>3.6513404588E10</v>
      </c>
      <c r="D2132" s="2" t="s">
        <v>24772</v>
      </c>
      <c r="E2132" s="2">
        <v>86643.0</v>
      </c>
      <c r="F2132" s="2">
        <v>99.0</v>
      </c>
      <c r="G2132" s="2">
        <v>416.0</v>
      </c>
      <c r="H2132" s="2" t="s">
        <v>5905</v>
      </c>
      <c r="I2132" s="2" t="s">
        <v>5905</v>
      </c>
      <c r="J2132" s="2" t="s">
        <v>6628</v>
      </c>
      <c r="K2132" s="2" t="s">
        <v>24773</v>
      </c>
    </row>
    <row r="2133">
      <c r="A2133" s="2" t="s">
        <v>4479</v>
      </c>
      <c r="B2133" s="2" t="s">
        <v>24774</v>
      </c>
      <c r="C2133" s="2">
        <v>5.187402566E10</v>
      </c>
      <c r="D2133" s="2" t="s">
        <v>24775</v>
      </c>
      <c r="E2133" s="2">
        <v>1070278.0</v>
      </c>
      <c r="F2133" s="2">
        <v>244.0</v>
      </c>
      <c r="G2133" s="2">
        <v>1220.0</v>
      </c>
      <c r="H2133" s="2" t="s">
        <v>5905</v>
      </c>
      <c r="I2133" s="2" t="s">
        <v>5905</v>
      </c>
      <c r="J2133" s="2" t="s">
        <v>6124</v>
      </c>
      <c r="K2133" s="2" t="s">
        <v>24776</v>
      </c>
    </row>
    <row r="2134">
      <c r="A2134" s="2" t="s">
        <v>4550</v>
      </c>
      <c r="B2134" s="2" t="s">
        <v>4550</v>
      </c>
      <c r="C2134" s="2">
        <v>6.3089870249E10</v>
      </c>
      <c r="D2134" s="2" t="s">
        <v>24777</v>
      </c>
      <c r="E2134" s="2">
        <v>68465.0</v>
      </c>
      <c r="F2134" s="2">
        <v>37.0</v>
      </c>
      <c r="G2134" s="2">
        <v>677.0</v>
      </c>
      <c r="H2134" s="2" t="s">
        <v>5905</v>
      </c>
      <c r="I2134" s="2" t="s">
        <v>5906</v>
      </c>
      <c r="J2134" s="2" t="s">
        <v>5492</v>
      </c>
      <c r="K2134" s="2" t="s">
        <v>24778</v>
      </c>
      <c r="L2134" s="10" t="s">
        <v>17635</v>
      </c>
    </row>
    <row r="2135">
      <c r="A2135" s="2" t="s">
        <v>4550</v>
      </c>
      <c r="B2135" s="2" t="s">
        <v>24779</v>
      </c>
      <c r="C2135" s="2">
        <v>3.16779234E8</v>
      </c>
      <c r="D2135" s="2" t="s">
        <v>24780</v>
      </c>
      <c r="E2135" s="2">
        <v>1508923.0</v>
      </c>
      <c r="F2135" s="2">
        <v>772.0</v>
      </c>
      <c r="G2135" s="2">
        <v>187.0</v>
      </c>
      <c r="H2135" s="2" t="s">
        <v>5906</v>
      </c>
      <c r="I2135" s="2" t="s">
        <v>5905</v>
      </c>
      <c r="J2135" s="2" t="s">
        <v>8838</v>
      </c>
      <c r="K2135" s="2" t="s">
        <v>24781</v>
      </c>
      <c r="L2135" s="10" t="s">
        <v>24782</v>
      </c>
    </row>
    <row r="2136">
      <c r="A2136" s="2" t="s">
        <v>4550</v>
      </c>
      <c r="B2136" s="2" t="s">
        <v>24783</v>
      </c>
      <c r="C2136" s="2">
        <v>5.88542285E8</v>
      </c>
      <c r="D2136" s="2" t="s">
        <v>24784</v>
      </c>
      <c r="E2136" s="2">
        <v>415186.0</v>
      </c>
      <c r="F2136" s="2">
        <v>598.0</v>
      </c>
      <c r="G2136" s="2">
        <v>1374.0</v>
      </c>
      <c r="H2136" s="2" t="s">
        <v>5906</v>
      </c>
      <c r="I2136" s="2" t="s">
        <v>5906</v>
      </c>
      <c r="J2136" s="2" t="s">
        <v>6882</v>
      </c>
      <c r="K2136" s="2" t="s">
        <v>24785</v>
      </c>
      <c r="L2136" s="10" t="s">
        <v>24786</v>
      </c>
    </row>
    <row r="2137">
      <c r="A2137" s="2" t="s">
        <v>4550</v>
      </c>
      <c r="B2137" s="2" t="s">
        <v>24787</v>
      </c>
      <c r="C2137" s="2">
        <v>1.220956301E9</v>
      </c>
      <c r="D2137" s="2" t="s">
        <v>24788</v>
      </c>
      <c r="E2137" s="2">
        <v>498137.0</v>
      </c>
      <c r="F2137" s="2">
        <v>1154.0</v>
      </c>
      <c r="G2137" s="2">
        <v>38.0</v>
      </c>
      <c r="H2137" s="2" t="s">
        <v>5906</v>
      </c>
      <c r="I2137" s="2" t="s">
        <v>5906</v>
      </c>
      <c r="J2137" s="2" t="s">
        <v>8144</v>
      </c>
      <c r="K2137" s="2" t="s">
        <v>24789</v>
      </c>
      <c r="L2137" s="10" t="s">
        <v>24790</v>
      </c>
    </row>
    <row r="2138">
      <c r="A2138" s="2" t="s">
        <v>4550</v>
      </c>
      <c r="B2138" s="2" t="s">
        <v>24791</v>
      </c>
      <c r="C2138" s="2">
        <v>3.9943546E7</v>
      </c>
      <c r="D2138" s="2" t="s">
        <v>24792</v>
      </c>
      <c r="E2138" s="2">
        <v>252301.0</v>
      </c>
      <c r="F2138" s="2">
        <v>839.0</v>
      </c>
      <c r="G2138" s="2">
        <v>74.0</v>
      </c>
      <c r="H2138" s="2" t="s">
        <v>5906</v>
      </c>
      <c r="I2138" s="2" t="s">
        <v>5905</v>
      </c>
      <c r="J2138" s="2" t="s">
        <v>5993</v>
      </c>
      <c r="K2138" s="2" t="s">
        <v>24793</v>
      </c>
      <c r="L2138" s="10" t="s">
        <v>24794</v>
      </c>
    </row>
    <row r="2139">
      <c r="A2139" s="2" t="s">
        <v>4432</v>
      </c>
      <c r="B2139" s="2" t="s">
        <v>24795</v>
      </c>
      <c r="C2139" s="2">
        <v>5.48935318E8</v>
      </c>
      <c r="D2139" s="2" t="s">
        <v>24796</v>
      </c>
      <c r="E2139" s="2">
        <v>1487936.0</v>
      </c>
      <c r="F2139" s="2">
        <v>371.0</v>
      </c>
      <c r="G2139" s="2">
        <v>8779.0</v>
      </c>
      <c r="H2139" s="2" t="s">
        <v>5906</v>
      </c>
      <c r="I2139" s="2" t="s">
        <v>5906</v>
      </c>
      <c r="J2139" s="2" t="s">
        <v>8479</v>
      </c>
      <c r="K2139" s="2" t="s">
        <v>24797</v>
      </c>
      <c r="L2139" s="10" t="s">
        <v>24798</v>
      </c>
    </row>
    <row r="2140">
      <c r="A2140" s="2" t="s">
        <v>4432</v>
      </c>
      <c r="B2140" s="2" t="s">
        <v>24799</v>
      </c>
      <c r="C2140" s="2">
        <v>4.7396094578E10</v>
      </c>
      <c r="D2140" s="2" t="s">
        <v>24800</v>
      </c>
      <c r="E2140" s="2">
        <v>96282.0</v>
      </c>
      <c r="F2140" s="2">
        <v>356.0</v>
      </c>
      <c r="G2140" s="2">
        <v>1781.0</v>
      </c>
      <c r="H2140" s="2" t="s">
        <v>5905</v>
      </c>
      <c r="I2140" s="2" t="s">
        <v>5906</v>
      </c>
      <c r="J2140" s="2" t="s">
        <v>8479</v>
      </c>
      <c r="K2140" s="2" t="s">
        <v>24801</v>
      </c>
      <c r="L2140" s="10" t="s">
        <v>24802</v>
      </c>
    </row>
    <row r="2141">
      <c r="A2141" s="2" t="s">
        <v>4432</v>
      </c>
      <c r="B2141" s="2" t="s">
        <v>24803</v>
      </c>
      <c r="C2141" s="2">
        <v>2.18624692E8</v>
      </c>
      <c r="D2141" s="2" t="s">
        <v>24804</v>
      </c>
      <c r="E2141" s="2">
        <v>1541478.0</v>
      </c>
      <c r="F2141" s="2">
        <v>1113.0</v>
      </c>
      <c r="G2141" s="2">
        <v>13739.0</v>
      </c>
      <c r="H2141" s="2" t="s">
        <v>5906</v>
      </c>
      <c r="I2141" s="2" t="s">
        <v>5906</v>
      </c>
      <c r="K2141" s="2" t="s">
        <v>24805</v>
      </c>
      <c r="L2141" s="10" t="s">
        <v>24806</v>
      </c>
    </row>
    <row r="2142">
      <c r="A2142" s="2" t="s">
        <v>4432</v>
      </c>
      <c r="B2142" s="2" t="s">
        <v>24807</v>
      </c>
      <c r="C2142" s="2">
        <v>3.47304875E8</v>
      </c>
      <c r="D2142" s="2" t="s">
        <v>24808</v>
      </c>
      <c r="E2142" s="2">
        <v>149526.0</v>
      </c>
      <c r="F2142" s="2">
        <v>622.0</v>
      </c>
      <c r="G2142" s="2">
        <v>7658.0</v>
      </c>
      <c r="H2142" s="2" t="s">
        <v>5906</v>
      </c>
      <c r="I2142" s="2" t="s">
        <v>5906</v>
      </c>
      <c r="J2142" s="2" t="s">
        <v>4397</v>
      </c>
      <c r="K2142" s="2" t="s">
        <v>24809</v>
      </c>
      <c r="L2142" s="10" t="s">
        <v>24810</v>
      </c>
    </row>
    <row r="2143">
      <c r="A2143" s="2" t="s">
        <v>4432</v>
      </c>
      <c r="B2143" s="2" t="s">
        <v>24811</v>
      </c>
      <c r="C2143" s="2">
        <v>8.22113336E8</v>
      </c>
      <c r="D2143" s="2" t="s">
        <v>24812</v>
      </c>
      <c r="E2143" s="2">
        <v>1276089.0</v>
      </c>
      <c r="F2143" s="2">
        <v>988.0</v>
      </c>
      <c r="G2143" s="2">
        <v>16076.0</v>
      </c>
      <c r="H2143" s="2" t="s">
        <v>5906</v>
      </c>
      <c r="I2143" s="2" t="s">
        <v>5906</v>
      </c>
      <c r="J2143" s="2" t="s">
        <v>8479</v>
      </c>
      <c r="K2143" s="2" t="s">
        <v>24813</v>
      </c>
      <c r="L2143" s="10" t="s">
        <v>24814</v>
      </c>
    </row>
    <row r="2144">
      <c r="A2144" s="2" t="s">
        <v>4432</v>
      </c>
      <c r="B2144" s="2" t="s">
        <v>24815</v>
      </c>
      <c r="C2144" s="2">
        <v>5.51523499E8</v>
      </c>
      <c r="D2144" s="2" t="s">
        <v>24816</v>
      </c>
      <c r="E2144" s="2">
        <v>65434.0</v>
      </c>
      <c r="F2144" s="2">
        <v>356.0</v>
      </c>
      <c r="G2144" s="2">
        <v>6474.0</v>
      </c>
      <c r="H2144" s="2" t="s">
        <v>5905</v>
      </c>
      <c r="I2144" s="2" t="s">
        <v>5906</v>
      </c>
      <c r="J2144" s="2" t="s">
        <v>4397</v>
      </c>
      <c r="K2144" s="2" t="s">
        <v>24817</v>
      </c>
      <c r="L2144" s="10" t="s">
        <v>24818</v>
      </c>
    </row>
    <row r="2145">
      <c r="A2145" s="2" t="s">
        <v>4432</v>
      </c>
      <c r="B2145" s="2" t="s">
        <v>24819</v>
      </c>
      <c r="C2145" s="2">
        <v>2.163844227E9</v>
      </c>
      <c r="D2145" s="2" t="s">
        <v>24820</v>
      </c>
      <c r="E2145" s="2">
        <v>27735.0</v>
      </c>
      <c r="F2145" s="2">
        <v>316.0</v>
      </c>
      <c r="G2145" s="2">
        <v>1019.0</v>
      </c>
      <c r="H2145" s="2" t="s">
        <v>5905</v>
      </c>
      <c r="I2145" s="2" t="s">
        <v>5906</v>
      </c>
      <c r="J2145" s="2" t="s">
        <v>21259</v>
      </c>
      <c r="K2145" s="2" t="s">
        <v>24821</v>
      </c>
      <c r="L2145" s="10" t="s">
        <v>24822</v>
      </c>
    </row>
    <row r="2146">
      <c r="A2146" s="2" t="s">
        <v>4432</v>
      </c>
      <c r="B2146" s="2" t="s">
        <v>24823</v>
      </c>
      <c r="C2146" s="2">
        <v>5.7686625436E10</v>
      </c>
      <c r="D2146" s="2" t="s">
        <v>24824</v>
      </c>
      <c r="E2146" s="2">
        <v>30458.0</v>
      </c>
      <c r="F2146" s="2">
        <v>208.0</v>
      </c>
      <c r="G2146" s="2">
        <v>534.0</v>
      </c>
      <c r="H2146" s="2" t="s">
        <v>5905</v>
      </c>
      <c r="I2146" s="2" t="s">
        <v>5905</v>
      </c>
      <c r="J2146" s="2" t="s">
        <v>5928</v>
      </c>
      <c r="K2146" s="2" t="s">
        <v>24825</v>
      </c>
    </row>
    <row r="2147">
      <c r="A2147" s="2" t="s">
        <v>4432</v>
      </c>
      <c r="B2147" s="2" t="s">
        <v>24826</v>
      </c>
      <c r="C2147" s="2">
        <v>2.49230365E9</v>
      </c>
      <c r="D2147" s="2" t="s">
        <v>24827</v>
      </c>
      <c r="E2147" s="2">
        <v>2315548.0</v>
      </c>
      <c r="F2147" s="2">
        <v>1373.0</v>
      </c>
      <c r="G2147" s="2">
        <v>17595.0</v>
      </c>
      <c r="H2147" s="2" t="s">
        <v>5906</v>
      </c>
      <c r="I2147" s="2" t="s">
        <v>5906</v>
      </c>
      <c r="J2147" s="2" t="s">
        <v>5959</v>
      </c>
      <c r="K2147" s="2" t="s">
        <v>24828</v>
      </c>
      <c r="L2147" s="10" t="s">
        <v>24829</v>
      </c>
    </row>
    <row r="2148">
      <c r="A2148" s="2" t="s">
        <v>4432</v>
      </c>
      <c r="B2148" s="2" t="s">
        <v>24830</v>
      </c>
      <c r="C2148" s="2">
        <v>1.953122571E9</v>
      </c>
      <c r="D2148" s="2" t="s">
        <v>24831</v>
      </c>
      <c r="E2148" s="2">
        <v>1776631.0</v>
      </c>
      <c r="F2148" s="2">
        <v>648.0</v>
      </c>
      <c r="G2148" s="2">
        <v>11072.0</v>
      </c>
      <c r="H2148" s="2" t="s">
        <v>5906</v>
      </c>
      <c r="I2148" s="2" t="s">
        <v>5906</v>
      </c>
      <c r="J2148" s="2" t="s">
        <v>24832</v>
      </c>
      <c r="K2148" s="2" t="s">
        <v>24833</v>
      </c>
      <c r="L2148" s="10" t="s">
        <v>24834</v>
      </c>
    </row>
    <row r="2149">
      <c r="A2149" s="2" t="s">
        <v>4432</v>
      </c>
      <c r="B2149" s="2" t="s">
        <v>24835</v>
      </c>
      <c r="C2149" s="2">
        <v>5.32431189E8</v>
      </c>
      <c r="D2149" s="2" t="s">
        <v>24836</v>
      </c>
      <c r="E2149" s="2">
        <v>657028.0</v>
      </c>
      <c r="F2149" s="2">
        <v>201.0</v>
      </c>
      <c r="G2149" s="2">
        <v>4756.0</v>
      </c>
      <c r="H2149" s="2" t="s">
        <v>5906</v>
      </c>
      <c r="I2149" s="2" t="s">
        <v>5906</v>
      </c>
      <c r="J2149" s="2" t="s">
        <v>4397</v>
      </c>
      <c r="K2149" s="2" t="s">
        <v>24837</v>
      </c>
      <c r="L2149" s="10" t="s">
        <v>24838</v>
      </c>
    </row>
    <row r="2150">
      <c r="A2150" s="2" t="s">
        <v>4432</v>
      </c>
      <c r="B2150" s="2" t="s">
        <v>24839</v>
      </c>
      <c r="C2150" s="2">
        <v>1.542003821E9</v>
      </c>
      <c r="D2150" s="2" t="s">
        <v>24840</v>
      </c>
      <c r="E2150" s="2">
        <v>45762.0</v>
      </c>
      <c r="F2150" s="2">
        <v>272.0</v>
      </c>
      <c r="G2150" s="2">
        <v>5362.0</v>
      </c>
      <c r="H2150" s="2" t="s">
        <v>5906</v>
      </c>
      <c r="I2150" s="2" t="s">
        <v>5905</v>
      </c>
      <c r="J2150" s="2" t="s">
        <v>9470</v>
      </c>
      <c r="K2150" s="2" t="s">
        <v>24841</v>
      </c>
      <c r="L2150" s="10" t="s">
        <v>24842</v>
      </c>
    </row>
    <row r="2151">
      <c r="A2151" s="2" t="s">
        <v>4432</v>
      </c>
      <c r="B2151" s="2" t="s">
        <v>24843</v>
      </c>
      <c r="C2151" s="2">
        <v>3.49667389E8</v>
      </c>
      <c r="D2151" s="2" t="s">
        <v>24844</v>
      </c>
      <c r="E2151" s="2">
        <v>1853638.0</v>
      </c>
      <c r="F2151" s="2">
        <v>932.0</v>
      </c>
      <c r="G2151" s="2">
        <v>18726.0</v>
      </c>
      <c r="H2151" s="2" t="s">
        <v>5906</v>
      </c>
      <c r="I2151" s="2" t="s">
        <v>5906</v>
      </c>
      <c r="K2151" s="2" t="s">
        <v>24845</v>
      </c>
      <c r="L2151" s="10" t="s">
        <v>24846</v>
      </c>
    </row>
    <row r="2152">
      <c r="A2152" s="2" t="s">
        <v>4400</v>
      </c>
      <c r="B2152" s="2" t="s">
        <v>16547</v>
      </c>
      <c r="C2152" s="2">
        <v>5.36176622E8</v>
      </c>
      <c r="D2152" s="2" t="s">
        <v>16548</v>
      </c>
      <c r="E2152" s="2">
        <v>3293886.0</v>
      </c>
      <c r="F2152" s="2">
        <v>433.0</v>
      </c>
      <c r="G2152" s="2">
        <v>984.0</v>
      </c>
      <c r="H2152" s="2" t="s">
        <v>5906</v>
      </c>
      <c r="I2152" s="2" t="s">
        <v>5906</v>
      </c>
      <c r="K2152" s="2" t="s">
        <v>16549</v>
      </c>
      <c r="L2152" s="10" t="s">
        <v>16550</v>
      </c>
    </row>
    <row r="2153">
      <c r="A2153" s="2" t="s">
        <v>4400</v>
      </c>
      <c r="B2153" s="2" t="s">
        <v>16562</v>
      </c>
      <c r="C2153" s="2">
        <v>2.86654768E8</v>
      </c>
      <c r="D2153" s="2" t="s">
        <v>16563</v>
      </c>
      <c r="E2153" s="2">
        <v>6089027.0</v>
      </c>
      <c r="F2153" s="2">
        <v>569.0</v>
      </c>
      <c r="G2153" s="2">
        <v>2013.0</v>
      </c>
      <c r="H2153" s="2" t="s">
        <v>5906</v>
      </c>
      <c r="I2153" s="2" t="s">
        <v>5906</v>
      </c>
      <c r="J2153" s="2" t="s">
        <v>6002</v>
      </c>
      <c r="K2153" s="2" t="s">
        <v>16564</v>
      </c>
      <c r="L2153" s="10" t="s">
        <v>16565</v>
      </c>
    </row>
    <row r="2154">
      <c r="A2154" s="2" t="s">
        <v>4400</v>
      </c>
      <c r="B2154" s="2" t="s">
        <v>24847</v>
      </c>
      <c r="C2154" s="2">
        <v>4.5274882639E10</v>
      </c>
      <c r="D2154" s="2" t="s">
        <v>24848</v>
      </c>
      <c r="E2154" s="2">
        <v>616843.0</v>
      </c>
      <c r="F2154" s="2">
        <v>926.0</v>
      </c>
      <c r="G2154" s="2">
        <v>1844.0</v>
      </c>
      <c r="H2154" s="2" t="s">
        <v>5906</v>
      </c>
      <c r="I2154" s="2" t="s">
        <v>5905</v>
      </c>
      <c r="J2154" s="2" t="s">
        <v>9793</v>
      </c>
      <c r="K2154" s="2" t="s">
        <v>24849</v>
      </c>
      <c r="L2154" s="10" t="s">
        <v>24850</v>
      </c>
    </row>
    <row r="2155">
      <c r="A2155" s="2" t="s">
        <v>4400</v>
      </c>
      <c r="B2155" s="2" t="s">
        <v>4400</v>
      </c>
      <c r="C2155" s="2">
        <v>2.152615065E9</v>
      </c>
      <c r="D2155" s="2" t="s">
        <v>16566</v>
      </c>
      <c r="E2155" s="2">
        <v>41906.0</v>
      </c>
      <c r="F2155" s="2">
        <v>191.0</v>
      </c>
      <c r="G2155" s="2">
        <v>1469.0</v>
      </c>
      <c r="H2155" s="2" t="s">
        <v>5905</v>
      </c>
      <c r="I2155" s="2" t="s">
        <v>5905</v>
      </c>
      <c r="K2155" s="2" t="s">
        <v>16567</v>
      </c>
    </row>
    <row r="2156">
      <c r="A2156" s="2" t="s">
        <v>4400</v>
      </c>
      <c r="B2156" s="2" t="s">
        <v>24851</v>
      </c>
      <c r="C2156" s="2">
        <v>5.5046501711E10</v>
      </c>
      <c r="D2156" s="2" t="s">
        <v>24852</v>
      </c>
      <c r="E2156" s="2">
        <v>427571.0</v>
      </c>
      <c r="F2156" s="2">
        <v>818.0</v>
      </c>
      <c r="G2156" s="2">
        <v>95.0</v>
      </c>
      <c r="H2156" s="2" t="s">
        <v>5906</v>
      </c>
      <c r="I2156" s="2" t="s">
        <v>5906</v>
      </c>
      <c r="J2156" s="2" t="s">
        <v>8144</v>
      </c>
      <c r="K2156" s="2" t="s">
        <v>24853</v>
      </c>
      <c r="L2156" s="10" t="s">
        <v>24854</v>
      </c>
    </row>
    <row r="2157">
      <c r="A2157" s="2" t="s">
        <v>4400</v>
      </c>
      <c r="B2157" s="2" t="s">
        <v>24855</v>
      </c>
      <c r="C2157" s="2">
        <v>2.243456331E9</v>
      </c>
      <c r="D2157" s="2" t="s">
        <v>24856</v>
      </c>
      <c r="E2157" s="2">
        <v>28184.0</v>
      </c>
      <c r="F2157" s="2">
        <v>601.0</v>
      </c>
      <c r="G2157" s="2">
        <v>1553.0</v>
      </c>
      <c r="H2157" s="2" t="s">
        <v>5905</v>
      </c>
      <c r="I2157" s="2" t="s">
        <v>5906</v>
      </c>
      <c r="J2157" s="2" t="s">
        <v>6002</v>
      </c>
      <c r="K2157" s="2" t="s">
        <v>24857</v>
      </c>
      <c r="L2157" s="10" t="s">
        <v>24858</v>
      </c>
    </row>
    <row r="2158">
      <c r="A2158" s="2" t="s">
        <v>4400</v>
      </c>
      <c r="B2158" s="2" t="s">
        <v>24859</v>
      </c>
      <c r="C2158" s="2">
        <v>1.43858685E8</v>
      </c>
      <c r="D2158" s="2" t="s">
        <v>16579</v>
      </c>
      <c r="E2158" s="2">
        <v>1633028.0</v>
      </c>
      <c r="F2158" s="2">
        <v>423.0</v>
      </c>
      <c r="G2158" s="2">
        <v>12895.0</v>
      </c>
      <c r="H2158" s="2" t="s">
        <v>5905</v>
      </c>
      <c r="I2158" s="2" t="s">
        <v>5906</v>
      </c>
      <c r="J2158" s="2" t="s">
        <v>8479</v>
      </c>
      <c r="K2158" s="2" t="s">
        <v>24860</v>
      </c>
      <c r="L2158" s="10" t="s">
        <v>24861</v>
      </c>
    </row>
    <row r="2159">
      <c r="A2159" s="2" t="s">
        <v>4400</v>
      </c>
      <c r="B2159" s="2" t="s">
        <v>24862</v>
      </c>
      <c r="C2159" s="2">
        <v>4.654626E7</v>
      </c>
      <c r="D2159" s="2" t="s">
        <v>24863</v>
      </c>
      <c r="E2159" s="2">
        <v>981476.0</v>
      </c>
      <c r="F2159" s="2">
        <v>174.0</v>
      </c>
      <c r="G2159" s="2">
        <v>4508.0</v>
      </c>
      <c r="H2159" s="2" t="s">
        <v>5906</v>
      </c>
      <c r="I2159" s="2" t="s">
        <v>5906</v>
      </c>
      <c r="J2159" s="2" t="s">
        <v>12832</v>
      </c>
      <c r="K2159" s="2" t="s">
        <v>24864</v>
      </c>
      <c r="L2159" s="10" t="s">
        <v>24865</v>
      </c>
    </row>
    <row r="2160">
      <c r="A2160" s="2" t="s">
        <v>4400</v>
      </c>
      <c r="B2160" s="2" t="s">
        <v>24866</v>
      </c>
      <c r="C2160" s="2">
        <v>4.0840504716E10</v>
      </c>
      <c r="D2160" s="2" t="s">
        <v>24867</v>
      </c>
      <c r="E2160" s="2">
        <v>243772.0</v>
      </c>
      <c r="F2160" s="2">
        <v>81.0</v>
      </c>
      <c r="G2160" s="2">
        <v>1956.0</v>
      </c>
      <c r="H2160" s="2" t="s">
        <v>5906</v>
      </c>
      <c r="I2160" s="2" t="s">
        <v>5905</v>
      </c>
      <c r="J2160" s="2" t="s">
        <v>4397</v>
      </c>
      <c r="K2160" s="2" t="s">
        <v>24868</v>
      </c>
      <c r="L2160" s="10" t="s">
        <v>24869</v>
      </c>
    </row>
    <row r="2161">
      <c r="A2161" s="2" t="s">
        <v>4400</v>
      </c>
      <c r="B2161" s="2" t="s">
        <v>24870</v>
      </c>
      <c r="C2161" s="2">
        <v>1.156594918E10</v>
      </c>
      <c r="D2161" s="2" t="s">
        <v>24871</v>
      </c>
      <c r="E2161" s="2">
        <v>126563.0</v>
      </c>
      <c r="F2161" s="2">
        <v>718.0</v>
      </c>
      <c r="G2161" s="2">
        <v>2394.0</v>
      </c>
      <c r="H2161" s="2" t="s">
        <v>5905</v>
      </c>
      <c r="I2161" s="2" t="s">
        <v>5906</v>
      </c>
      <c r="J2161" s="2" t="s">
        <v>12832</v>
      </c>
      <c r="K2161" s="2" t="s">
        <v>24872</v>
      </c>
      <c r="L2161" s="10" t="s">
        <v>24873</v>
      </c>
    </row>
    <row r="2162">
      <c r="A2162" s="2" t="s">
        <v>4400</v>
      </c>
      <c r="B2162" s="2" t="s">
        <v>16582</v>
      </c>
      <c r="C2162" s="2">
        <v>6.58544681E8</v>
      </c>
      <c r="D2162" s="2" t="s">
        <v>16579</v>
      </c>
      <c r="E2162" s="2">
        <v>2252817.0</v>
      </c>
      <c r="F2162" s="2">
        <v>372.0</v>
      </c>
      <c r="G2162" s="2">
        <v>19552.0</v>
      </c>
      <c r="H2162" s="2" t="s">
        <v>5905</v>
      </c>
      <c r="I2162" s="2" t="s">
        <v>5906</v>
      </c>
      <c r="K2162" s="2" t="s">
        <v>16583</v>
      </c>
      <c r="L2162" s="10" t="s">
        <v>16584</v>
      </c>
    </row>
    <row r="2163">
      <c r="A2163" s="2" t="s">
        <v>2044</v>
      </c>
      <c r="B2163" s="2" t="s">
        <v>24874</v>
      </c>
      <c r="C2163" s="2">
        <v>7.237131298E10</v>
      </c>
      <c r="D2163" s="2" t="s">
        <v>24875</v>
      </c>
      <c r="E2163" s="2">
        <v>124344.0</v>
      </c>
      <c r="F2163" s="2">
        <v>93.0</v>
      </c>
      <c r="G2163" s="2">
        <v>72.0</v>
      </c>
      <c r="H2163" s="2" t="s">
        <v>5905</v>
      </c>
      <c r="I2163" s="2" t="s">
        <v>5905</v>
      </c>
      <c r="J2163" s="2" t="s">
        <v>5993</v>
      </c>
      <c r="K2163" s="2" t="s">
        <v>24876</v>
      </c>
      <c r="L2163" s="10" t="s">
        <v>24877</v>
      </c>
    </row>
    <row r="2164">
      <c r="A2164" s="2" t="s">
        <v>2044</v>
      </c>
      <c r="B2164" s="2" t="s">
        <v>24878</v>
      </c>
      <c r="C2164" s="2">
        <v>1.04868347E8</v>
      </c>
      <c r="D2164" s="2" t="s">
        <v>24879</v>
      </c>
      <c r="E2164" s="2">
        <v>298655.0</v>
      </c>
      <c r="F2164" s="2">
        <v>1515.0</v>
      </c>
      <c r="G2164" s="2">
        <v>1860.0</v>
      </c>
      <c r="H2164" s="2" t="s">
        <v>5906</v>
      </c>
      <c r="I2164" s="2" t="s">
        <v>5906</v>
      </c>
      <c r="K2164" s="2" t="s">
        <v>24880</v>
      </c>
      <c r="L2164" s="10" t="s">
        <v>24881</v>
      </c>
    </row>
    <row r="2165">
      <c r="A2165" s="2" t="s">
        <v>2044</v>
      </c>
      <c r="B2165" s="2" t="s">
        <v>24882</v>
      </c>
      <c r="C2165" s="2">
        <v>3.562569106E9</v>
      </c>
      <c r="D2165" s="2" t="s">
        <v>16099</v>
      </c>
      <c r="E2165" s="2">
        <v>377604.0</v>
      </c>
      <c r="F2165" s="2">
        <v>3.0</v>
      </c>
      <c r="G2165" s="2">
        <v>2236.0</v>
      </c>
      <c r="H2165" s="2" t="s">
        <v>5905</v>
      </c>
      <c r="I2165" s="2" t="s">
        <v>5905</v>
      </c>
      <c r="J2165" s="2" t="s">
        <v>5561</v>
      </c>
      <c r="K2165" s="2" t="s">
        <v>24883</v>
      </c>
      <c r="L2165" s="10" t="s">
        <v>24884</v>
      </c>
    </row>
    <row r="2166">
      <c r="A2166" s="2" t="s">
        <v>2044</v>
      </c>
      <c r="B2166" s="2" t="s">
        <v>24885</v>
      </c>
      <c r="C2166" s="2">
        <v>4.66252669E10</v>
      </c>
      <c r="D2166" s="2" t="s">
        <v>24886</v>
      </c>
      <c r="E2166" s="2">
        <v>67521.0</v>
      </c>
      <c r="F2166" s="2">
        <v>63.0</v>
      </c>
      <c r="G2166" s="2">
        <v>365.0</v>
      </c>
      <c r="H2166" s="2" t="s">
        <v>5905</v>
      </c>
      <c r="I2166" s="2" t="s">
        <v>5905</v>
      </c>
      <c r="J2166" s="2" t="s">
        <v>6032</v>
      </c>
      <c r="K2166" s="2" t="s">
        <v>24887</v>
      </c>
    </row>
    <row r="2167">
      <c r="A2167" s="2" t="s">
        <v>4579</v>
      </c>
      <c r="B2167" s="2" t="s">
        <v>24888</v>
      </c>
      <c r="C2167" s="2">
        <v>7.634735292E10</v>
      </c>
      <c r="D2167" s="2" t="s">
        <v>24889</v>
      </c>
      <c r="E2167" s="2">
        <v>31002.0</v>
      </c>
      <c r="F2167" s="2">
        <v>23.0</v>
      </c>
      <c r="G2167" s="2">
        <v>39.0</v>
      </c>
      <c r="H2167" s="2" t="s">
        <v>5905</v>
      </c>
      <c r="I2167" s="2" t="s">
        <v>5905</v>
      </c>
      <c r="J2167" s="2" t="s">
        <v>5928</v>
      </c>
      <c r="K2167" s="12" t="s">
        <v>24890</v>
      </c>
    </row>
    <row r="2168">
      <c r="A2168" s="2" t="s">
        <v>4579</v>
      </c>
      <c r="B2168" s="2" t="s">
        <v>24891</v>
      </c>
      <c r="C2168" s="2">
        <v>7.2972359492E10</v>
      </c>
      <c r="D2168" s="2" t="s">
        <v>24892</v>
      </c>
      <c r="E2168" s="2">
        <v>46766.0</v>
      </c>
      <c r="F2168" s="2">
        <v>1.0</v>
      </c>
      <c r="G2168" s="2">
        <v>568.0</v>
      </c>
      <c r="H2168" s="2" t="s">
        <v>5905</v>
      </c>
      <c r="I2168" s="2" t="s">
        <v>5905</v>
      </c>
      <c r="J2168" s="2" t="s">
        <v>5928</v>
      </c>
      <c r="K2168" s="2" t="s">
        <v>24893</v>
      </c>
    </row>
    <row r="2169">
      <c r="A2169" s="2" t="s">
        <v>4579</v>
      </c>
      <c r="B2169" s="2" t="s">
        <v>24894</v>
      </c>
      <c r="C2169" s="2">
        <v>6.9051524438E10</v>
      </c>
      <c r="D2169" s="2" t="s">
        <v>24895</v>
      </c>
      <c r="E2169" s="2">
        <v>411423.0</v>
      </c>
      <c r="F2169" s="2">
        <v>3.0</v>
      </c>
      <c r="G2169" s="2">
        <v>59.0</v>
      </c>
      <c r="H2169" s="2" t="s">
        <v>5905</v>
      </c>
      <c r="I2169" s="2" t="s">
        <v>5905</v>
      </c>
      <c r="J2169" s="2" t="s">
        <v>20601</v>
      </c>
      <c r="K2169" s="2" t="s">
        <v>24896</v>
      </c>
    </row>
    <row r="2170">
      <c r="A2170" s="2" t="s">
        <v>4579</v>
      </c>
      <c r="B2170" s="2" t="s">
        <v>24897</v>
      </c>
      <c r="C2170" s="2">
        <v>7.550295446E10</v>
      </c>
      <c r="D2170" s="2" t="s">
        <v>24898</v>
      </c>
      <c r="E2170" s="2">
        <v>34236.0</v>
      </c>
      <c r="F2170" s="2">
        <v>0.0</v>
      </c>
      <c r="G2170" s="2">
        <v>121.0</v>
      </c>
      <c r="H2170" s="2" t="s">
        <v>5905</v>
      </c>
      <c r="I2170" s="2" t="s">
        <v>5905</v>
      </c>
      <c r="J2170" s="2" t="s">
        <v>4404</v>
      </c>
      <c r="K2170" s="2" t="s">
        <v>24899</v>
      </c>
      <c r="L2170" s="10" t="s">
        <v>24900</v>
      </c>
    </row>
    <row r="2171">
      <c r="A2171" s="2" t="s">
        <v>4579</v>
      </c>
      <c r="B2171" s="2" t="s">
        <v>24901</v>
      </c>
      <c r="C2171" s="2">
        <v>3.781958475E9</v>
      </c>
      <c r="D2171" s="2" t="s">
        <v>24902</v>
      </c>
      <c r="E2171" s="2">
        <v>479910.0</v>
      </c>
      <c r="F2171" s="2">
        <v>238.0</v>
      </c>
      <c r="G2171" s="2">
        <v>1515.0</v>
      </c>
      <c r="H2171" s="2" t="s">
        <v>5905</v>
      </c>
      <c r="I2171" s="2" t="s">
        <v>5906</v>
      </c>
      <c r="J2171" s="2" t="s">
        <v>6393</v>
      </c>
      <c r="K2171" s="2" t="s">
        <v>6144</v>
      </c>
    </row>
    <row r="2172">
      <c r="A2172" s="2" t="s">
        <v>4579</v>
      </c>
      <c r="B2172" s="2" t="s">
        <v>24903</v>
      </c>
      <c r="C2172" s="2">
        <v>3.259789906E9</v>
      </c>
      <c r="D2172" s="2" t="s">
        <v>24904</v>
      </c>
      <c r="E2172" s="2">
        <v>31880.0</v>
      </c>
      <c r="F2172" s="2">
        <v>0.0</v>
      </c>
      <c r="G2172" s="2">
        <v>132.0</v>
      </c>
      <c r="H2172" s="2" t="s">
        <v>5905</v>
      </c>
      <c r="I2172" s="2" t="s">
        <v>5905</v>
      </c>
      <c r="K2172" s="2" t="s">
        <v>24905</v>
      </c>
    </row>
    <row r="2173">
      <c r="A2173" s="2" t="s">
        <v>4579</v>
      </c>
      <c r="B2173" s="2" t="s">
        <v>24906</v>
      </c>
      <c r="C2173" s="2">
        <v>3.9509183014E10</v>
      </c>
      <c r="D2173" s="2" t="s">
        <v>24907</v>
      </c>
      <c r="E2173" s="2">
        <v>1325518.0</v>
      </c>
      <c r="F2173" s="2">
        <v>126.0</v>
      </c>
      <c r="G2173" s="2">
        <v>4799.0</v>
      </c>
      <c r="H2173" s="2" t="s">
        <v>5906</v>
      </c>
      <c r="I2173" s="2" t="s">
        <v>5905</v>
      </c>
      <c r="J2173" s="2" t="s">
        <v>5928</v>
      </c>
      <c r="K2173" s="2" t="s">
        <v>24908</v>
      </c>
      <c r="L2173" s="10" t="s">
        <v>24909</v>
      </c>
    </row>
    <row r="2174">
      <c r="A2174" s="2" t="s">
        <v>4579</v>
      </c>
      <c r="B2174" s="10" t="s">
        <v>24910</v>
      </c>
      <c r="C2174" s="2">
        <v>2.30972379E10</v>
      </c>
      <c r="D2174" s="2" t="s">
        <v>24911</v>
      </c>
      <c r="E2174" s="2">
        <v>207259.0</v>
      </c>
      <c r="F2174" s="2">
        <v>6.0</v>
      </c>
      <c r="G2174" s="2">
        <v>1095.0</v>
      </c>
      <c r="H2174" s="2" t="s">
        <v>5905</v>
      </c>
      <c r="I2174" s="2" t="s">
        <v>5905</v>
      </c>
      <c r="J2174" s="2" t="s">
        <v>6032</v>
      </c>
      <c r="K2174" s="2" t="s">
        <v>24912</v>
      </c>
    </row>
    <row r="2175">
      <c r="A2175" s="2" t="s">
        <v>4579</v>
      </c>
      <c r="B2175" s="2" t="s">
        <v>24913</v>
      </c>
      <c r="C2175" s="2">
        <v>3.0563250821E10</v>
      </c>
      <c r="D2175" s="2" t="s">
        <v>24914</v>
      </c>
      <c r="E2175" s="2">
        <v>180159.0</v>
      </c>
      <c r="F2175" s="2">
        <v>9.0</v>
      </c>
      <c r="G2175" s="2">
        <v>1889.0</v>
      </c>
      <c r="H2175" s="2" t="s">
        <v>5905</v>
      </c>
      <c r="I2175" s="2" t="s">
        <v>5905</v>
      </c>
      <c r="J2175" s="2" t="s">
        <v>6032</v>
      </c>
      <c r="K2175" s="2" t="s">
        <v>24915</v>
      </c>
      <c r="L2175" s="10" t="s">
        <v>24916</v>
      </c>
    </row>
    <row r="2176">
      <c r="A2176" s="2" t="s">
        <v>4727</v>
      </c>
      <c r="B2176" s="2" t="s">
        <v>24917</v>
      </c>
      <c r="C2176" s="2">
        <v>4.6205938947E10</v>
      </c>
      <c r="D2176" s="2" t="s">
        <v>24918</v>
      </c>
      <c r="E2176" s="2">
        <v>59474.0</v>
      </c>
      <c r="F2176" s="2">
        <v>509.0</v>
      </c>
      <c r="G2176" s="2">
        <v>374.0</v>
      </c>
      <c r="H2176" s="2" t="s">
        <v>5905</v>
      </c>
      <c r="I2176" s="2" t="s">
        <v>5905</v>
      </c>
      <c r="J2176" s="2" t="s">
        <v>5993</v>
      </c>
      <c r="K2176" s="2" t="s">
        <v>24919</v>
      </c>
      <c r="L2176" s="10" t="s">
        <v>24920</v>
      </c>
    </row>
    <row r="2177">
      <c r="A2177" s="2" t="s">
        <v>4727</v>
      </c>
      <c r="B2177" s="2" t="s">
        <v>24921</v>
      </c>
      <c r="C2177" s="2">
        <v>3.110560303E9</v>
      </c>
      <c r="D2177" s="2" t="s">
        <v>24922</v>
      </c>
      <c r="E2177" s="2">
        <v>43308.0</v>
      </c>
      <c r="F2177" s="2">
        <v>826.0</v>
      </c>
      <c r="G2177" s="2">
        <v>539.0</v>
      </c>
      <c r="H2177" s="2" t="s">
        <v>5905</v>
      </c>
      <c r="I2177" s="2" t="s">
        <v>5905</v>
      </c>
      <c r="J2177" s="2" t="s">
        <v>5928</v>
      </c>
      <c r="K2177" s="2" t="s">
        <v>24923</v>
      </c>
      <c r="L2177" s="10" t="s">
        <v>24924</v>
      </c>
    </row>
    <row r="2178">
      <c r="A2178" s="2" t="s">
        <v>4727</v>
      </c>
      <c r="B2178" s="2" t="s">
        <v>24925</v>
      </c>
      <c r="C2178" s="2">
        <v>6.4381604591E10</v>
      </c>
      <c r="D2178" s="2" t="s">
        <v>24926</v>
      </c>
      <c r="E2178" s="2">
        <v>30715.0</v>
      </c>
      <c r="F2178" s="2">
        <v>396.0</v>
      </c>
      <c r="G2178" s="2">
        <v>1067.0</v>
      </c>
      <c r="H2178" s="2" t="s">
        <v>5905</v>
      </c>
      <c r="I2178" s="2" t="s">
        <v>5906</v>
      </c>
      <c r="J2178" s="2" t="s">
        <v>24927</v>
      </c>
      <c r="K2178" s="2" t="s">
        <v>24928</v>
      </c>
      <c r="L2178" s="10" t="s">
        <v>24929</v>
      </c>
    </row>
    <row r="2179">
      <c r="A2179" s="2" t="s">
        <v>4727</v>
      </c>
      <c r="B2179" s="2" t="s">
        <v>24930</v>
      </c>
      <c r="C2179" s="2">
        <v>2.153719276E9</v>
      </c>
      <c r="D2179" s="2" t="s">
        <v>24931</v>
      </c>
      <c r="E2179" s="2">
        <v>456602.0</v>
      </c>
      <c r="F2179" s="2">
        <v>523.0</v>
      </c>
      <c r="G2179" s="2">
        <v>220.0</v>
      </c>
      <c r="H2179" s="2" t="s">
        <v>5906</v>
      </c>
      <c r="I2179" s="2" t="s">
        <v>5905</v>
      </c>
      <c r="J2179" s="2" t="s">
        <v>4404</v>
      </c>
      <c r="K2179" s="2" t="s">
        <v>24932</v>
      </c>
      <c r="L2179" s="10" t="s">
        <v>24933</v>
      </c>
    </row>
    <row r="2180">
      <c r="A2180" s="2" t="s">
        <v>4727</v>
      </c>
      <c r="B2180" s="2" t="s">
        <v>24934</v>
      </c>
      <c r="C2180" s="2">
        <v>3.5343401E9</v>
      </c>
      <c r="D2180" s="2" t="s">
        <v>24935</v>
      </c>
      <c r="E2180" s="2">
        <v>82284.0</v>
      </c>
      <c r="F2180" s="2">
        <v>7414.0</v>
      </c>
      <c r="G2180" s="2">
        <v>3237.0</v>
      </c>
      <c r="H2180" s="2" t="s">
        <v>5906</v>
      </c>
      <c r="I2180" s="2" t="s">
        <v>5905</v>
      </c>
      <c r="J2180" s="2" t="s">
        <v>5993</v>
      </c>
      <c r="K2180" s="2" t="s">
        <v>24936</v>
      </c>
      <c r="L2180" s="10" t="s">
        <v>24937</v>
      </c>
    </row>
    <row r="2181">
      <c r="A2181" s="2" t="s">
        <v>4727</v>
      </c>
      <c r="B2181" s="2" t="s">
        <v>24938</v>
      </c>
      <c r="C2181" s="2">
        <v>2.892378141E9</v>
      </c>
      <c r="D2181" s="2" t="s">
        <v>24939</v>
      </c>
      <c r="E2181" s="2">
        <v>1154894.0</v>
      </c>
      <c r="F2181" s="2">
        <v>1128.0</v>
      </c>
      <c r="G2181" s="2">
        <v>1492.0</v>
      </c>
      <c r="H2181" s="2" t="s">
        <v>5906</v>
      </c>
      <c r="I2181" s="2" t="s">
        <v>5906</v>
      </c>
      <c r="J2181" s="2" t="s">
        <v>5993</v>
      </c>
      <c r="K2181" s="2" t="s">
        <v>24940</v>
      </c>
      <c r="L2181" s="10" t="s">
        <v>24941</v>
      </c>
    </row>
    <row r="2182">
      <c r="A2182" s="2" t="s">
        <v>4727</v>
      </c>
      <c r="B2182" s="2" t="s">
        <v>24942</v>
      </c>
      <c r="C2182" s="2">
        <v>5.2781328571E10</v>
      </c>
      <c r="D2182" s="2" t="s">
        <v>24943</v>
      </c>
      <c r="E2182" s="2">
        <v>458542.0</v>
      </c>
      <c r="F2182" s="2">
        <v>397.0</v>
      </c>
      <c r="G2182" s="2">
        <v>163.0</v>
      </c>
      <c r="H2182" s="2" t="s">
        <v>5906</v>
      </c>
      <c r="I2182" s="2" t="s">
        <v>5906</v>
      </c>
      <c r="J2182" s="2" t="s">
        <v>5993</v>
      </c>
      <c r="K2182" s="2" t="s">
        <v>24944</v>
      </c>
      <c r="L2182" s="10" t="s">
        <v>24945</v>
      </c>
    </row>
    <row r="2183">
      <c r="A2183" s="2" t="s">
        <v>4727</v>
      </c>
      <c r="B2183" s="2" t="s">
        <v>24946</v>
      </c>
      <c r="C2183" s="2">
        <v>1.730888863E9</v>
      </c>
      <c r="D2183" s="2" t="s">
        <v>24947</v>
      </c>
      <c r="E2183" s="2">
        <v>78743.0</v>
      </c>
      <c r="F2183" s="2">
        <v>267.0</v>
      </c>
      <c r="G2183" s="2">
        <v>592.0</v>
      </c>
      <c r="H2183" s="2" t="s">
        <v>5905</v>
      </c>
      <c r="I2183" s="2" t="s">
        <v>5905</v>
      </c>
      <c r="J2183" s="2" t="s">
        <v>5993</v>
      </c>
      <c r="K2183" s="2" t="s">
        <v>24948</v>
      </c>
      <c r="L2183" s="10" t="s">
        <v>24949</v>
      </c>
    </row>
    <row r="2184">
      <c r="A2184" s="2" t="s">
        <v>4727</v>
      </c>
      <c r="B2184" s="2" t="s">
        <v>24950</v>
      </c>
      <c r="C2184" s="2">
        <v>2.61141751E10</v>
      </c>
      <c r="D2184" s="2" t="s">
        <v>24951</v>
      </c>
      <c r="E2184" s="2">
        <v>147465.0</v>
      </c>
      <c r="F2184" s="2">
        <v>2455.0</v>
      </c>
      <c r="G2184" s="2">
        <v>4867.0</v>
      </c>
      <c r="H2184" s="2" t="s">
        <v>5905</v>
      </c>
      <c r="I2184" s="2" t="s">
        <v>5905</v>
      </c>
      <c r="J2184" s="2" t="s">
        <v>24952</v>
      </c>
      <c r="K2184" s="2" t="s">
        <v>24953</v>
      </c>
      <c r="L2184" s="10" t="s">
        <v>24954</v>
      </c>
    </row>
    <row r="2185">
      <c r="A2185" s="2" t="s">
        <v>4727</v>
      </c>
      <c r="B2185" s="2" t="s">
        <v>24955</v>
      </c>
      <c r="C2185" s="2">
        <v>1.0032955717E10</v>
      </c>
      <c r="D2185" s="2" t="s">
        <v>24956</v>
      </c>
      <c r="E2185" s="2">
        <v>90349.0</v>
      </c>
      <c r="F2185" s="2">
        <v>4871.0</v>
      </c>
      <c r="G2185" s="2">
        <v>4243.0</v>
      </c>
      <c r="H2185" s="2" t="s">
        <v>5905</v>
      </c>
      <c r="I2185" s="2" t="s">
        <v>5905</v>
      </c>
      <c r="J2185" s="2" t="s">
        <v>24952</v>
      </c>
      <c r="K2185" s="2" t="s">
        <v>24957</v>
      </c>
      <c r="L2185" s="10" t="s">
        <v>24958</v>
      </c>
    </row>
    <row r="2186">
      <c r="A2186" s="2" t="s">
        <v>4727</v>
      </c>
      <c r="B2186" s="2" t="s">
        <v>24959</v>
      </c>
      <c r="C2186" s="2">
        <v>2.22592009E8</v>
      </c>
      <c r="D2186" s="2" t="s">
        <v>24960</v>
      </c>
      <c r="E2186" s="2">
        <v>73568.0</v>
      </c>
      <c r="F2186" s="2">
        <v>1067.0</v>
      </c>
      <c r="G2186" s="2">
        <v>1787.0</v>
      </c>
      <c r="H2186" s="2" t="s">
        <v>5906</v>
      </c>
      <c r="I2186" s="2" t="s">
        <v>5906</v>
      </c>
      <c r="K2186" s="2" t="s">
        <v>24961</v>
      </c>
      <c r="L2186" s="10" t="s">
        <v>24962</v>
      </c>
    </row>
    <row r="2187">
      <c r="A2187" s="2" t="s">
        <v>4727</v>
      </c>
      <c r="B2187" s="2" t="s">
        <v>24963</v>
      </c>
      <c r="C2187" s="2">
        <v>1.391090712E9</v>
      </c>
      <c r="D2187" s="2" t="s">
        <v>24964</v>
      </c>
      <c r="E2187" s="2">
        <v>11765.0</v>
      </c>
      <c r="F2187" s="2">
        <v>497.0</v>
      </c>
      <c r="G2187" s="2">
        <v>439.0</v>
      </c>
      <c r="H2187" s="2" t="s">
        <v>5905</v>
      </c>
      <c r="I2187" s="2" t="s">
        <v>5906</v>
      </c>
      <c r="J2187" s="2" t="s">
        <v>10630</v>
      </c>
      <c r="K2187" s="2" t="s">
        <v>24965</v>
      </c>
      <c r="L2187" s="10" t="s">
        <v>24966</v>
      </c>
    </row>
    <row r="2188">
      <c r="A2188" s="2" t="s">
        <v>4727</v>
      </c>
      <c r="B2188" s="2" t="s">
        <v>24967</v>
      </c>
      <c r="C2188" s="2">
        <v>5.765184072E9</v>
      </c>
      <c r="D2188" s="2" t="s">
        <v>24968</v>
      </c>
      <c r="E2188" s="2">
        <v>35230.0</v>
      </c>
      <c r="F2188" s="2">
        <v>903.0</v>
      </c>
      <c r="G2188" s="2">
        <v>625.0</v>
      </c>
      <c r="H2188" s="2" t="s">
        <v>5905</v>
      </c>
      <c r="I2188" s="2" t="s">
        <v>5905</v>
      </c>
      <c r="J2188" s="2" t="s">
        <v>4404</v>
      </c>
      <c r="K2188" s="2" t="s">
        <v>24969</v>
      </c>
    </row>
    <row r="2189">
      <c r="A2189" s="2" t="s">
        <v>4564</v>
      </c>
      <c r="B2189" s="2" t="s">
        <v>24970</v>
      </c>
      <c r="C2189" s="2">
        <v>6.299829029E10</v>
      </c>
      <c r="D2189" s="2" t="s">
        <v>24971</v>
      </c>
      <c r="E2189" s="2">
        <v>101438.0</v>
      </c>
      <c r="F2189" s="2">
        <v>67.0</v>
      </c>
      <c r="G2189" s="2">
        <v>361.0</v>
      </c>
      <c r="H2189" s="2" t="s">
        <v>5905</v>
      </c>
      <c r="I2189" s="2" t="s">
        <v>5905</v>
      </c>
      <c r="J2189" s="2" t="s">
        <v>5959</v>
      </c>
      <c r="K2189" s="2" t="s">
        <v>24972</v>
      </c>
    </row>
    <row r="2190">
      <c r="A2190" s="2" t="s">
        <v>4564</v>
      </c>
      <c r="B2190" s="2" t="s">
        <v>24973</v>
      </c>
      <c r="C2190" s="2">
        <v>7.2271972075E10</v>
      </c>
      <c r="D2190" s="2" t="s">
        <v>4564</v>
      </c>
      <c r="E2190" s="2">
        <v>124455.0</v>
      </c>
      <c r="F2190" s="2">
        <v>104.0</v>
      </c>
      <c r="G2190" s="2">
        <v>193.0</v>
      </c>
      <c r="H2190" s="2" t="s">
        <v>5905</v>
      </c>
      <c r="I2190" s="2" t="s">
        <v>5905</v>
      </c>
      <c r="J2190" s="2" t="s">
        <v>7414</v>
      </c>
      <c r="K2190" s="2" t="s">
        <v>24974</v>
      </c>
      <c r="L2190" s="10" t="s">
        <v>24975</v>
      </c>
    </row>
    <row r="2191">
      <c r="A2191" s="2" t="s">
        <v>4564</v>
      </c>
      <c r="B2191" s="2" t="s">
        <v>24976</v>
      </c>
      <c r="C2191" s="2">
        <v>1.1321618688E10</v>
      </c>
      <c r="D2191" s="2" t="s">
        <v>24977</v>
      </c>
      <c r="E2191" s="2">
        <v>149551.0</v>
      </c>
      <c r="F2191" s="2">
        <v>39.0</v>
      </c>
      <c r="G2191" s="2">
        <v>1537.0</v>
      </c>
      <c r="H2191" s="2" t="s">
        <v>5905</v>
      </c>
      <c r="I2191" s="2" t="s">
        <v>5905</v>
      </c>
      <c r="J2191" s="2" t="s">
        <v>5492</v>
      </c>
      <c r="K2191" s="2" t="s">
        <v>24978</v>
      </c>
      <c r="L2191" s="10" t="s">
        <v>24979</v>
      </c>
    </row>
    <row r="2192">
      <c r="A2192" s="2" t="s">
        <v>4564</v>
      </c>
      <c r="B2192" s="2" t="s">
        <v>24980</v>
      </c>
      <c r="C2192" s="2">
        <v>5.758145883E9</v>
      </c>
      <c r="D2192" s="2" t="s">
        <v>24981</v>
      </c>
      <c r="E2192" s="2">
        <v>105670.0</v>
      </c>
      <c r="F2192" s="2">
        <v>65.0</v>
      </c>
      <c r="G2192" s="2">
        <v>1124.0</v>
      </c>
      <c r="H2192" s="2" t="s">
        <v>5905</v>
      </c>
      <c r="I2192" s="2" t="s">
        <v>5906</v>
      </c>
      <c r="K2192" s="2" t="s">
        <v>24982</v>
      </c>
      <c r="L2192" s="10" t="s">
        <v>24983</v>
      </c>
    </row>
    <row r="2193">
      <c r="A2193" s="2" t="s">
        <v>4564</v>
      </c>
      <c r="B2193" s="2" t="s">
        <v>24984</v>
      </c>
      <c r="C2193" s="2">
        <v>7.496972151E10</v>
      </c>
      <c r="D2193" s="2" t="s">
        <v>24985</v>
      </c>
      <c r="E2193" s="2">
        <v>240892.0</v>
      </c>
      <c r="F2193" s="2">
        <v>8.0</v>
      </c>
      <c r="G2193" s="2">
        <v>977.0</v>
      </c>
      <c r="H2193" s="2" t="s">
        <v>5905</v>
      </c>
      <c r="I2193" s="2" t="s">
        <v>5905</v>
      </c>
      <c r="J2193" s="2" t="s">
        <v>5491</v>
      </c>
      <c r="K2193" s="2" t="s">
        <v>24986</v>
      </c>
    </row>
    <row r="2194">
      <c r="A2194" s="2" t="s">
        <v>4564</v>
      </c>
      <c r="B2194" s="2" t="s">
        <v>24987</v>
      </c>
      <c r="C2194" s="2">
        <v>4.418945024E10</v>
      </c>
      <c r="D2194" s="2" t="s">
        <v>24988</v>
      </c>
      <c r="E2194" s="2">
        <v>238753.0</v>
      </c>
      <c r="F2194" s="2">
        <v>20.0</v>
      </c>
      <c r="G2194" s="2">
        <v>2569.0</v>
      </c>
      <c r="H2194" s="2" t="s">
        <v>5905</v>
      </c>
      <c r="I2194" s="2" t="s">
        <v>5905</v>
      </c>
      <c r="J2194" s="2" t="s">
        <v>5993</v>
      </c>
      <c r="K2194" s="2" t="s">
        <v>8628</v>
      </c>
    </row>
    <row r="2195">
      <c r="A2195" s="2" t="s">
        <v>4564</v>
      </c>
      <c r="B2195" s="2" t="s">
        <v>24989</v>
      </c>
      <c r="C2195" s="2">
        <v>1.8023574808E10</v>
      </c>
      <c r="D2195" s="2" t="s">
        <v>24990</v>
      </c>
      <c r="E2195" s="2">
        <v>1068095.0</v>
      </c>
      <c r="F2195" s="2">
        <v>104.0</v>
      </c>
      <c r="G2195" s="2">
        <v>799.0</v>
      </c>
      <c r="H2195" s="2" t="s">
        <v>5905</v>
      </c>
      <c r="I2195" s="2" t="s">
        <v>5905</v>
      </c>
      <c r="J2195" s="2" t="s">
        <v>5959</v>
      </c>
      <c r="K2195" s="2" t="s">
        <v>24991</v>
      </c>
    </row>
    <row r="2196">
      <c r="A2196" s="2" t="s">
        <v>4564</v>
      </c>
      <c r="B2196" s="2" t="s">
        <v>24992</v>
      </c>
      <c r="C2196" s="2">
        <v>8.270197514E9</v>
      </c>
      <c r="D2196" s="2" t="s">
        <v>24993</v>
      </c>
      <c r="E2196" s="2">
        <v>1041120.0</v>
      </c>
      <c r="F2196" s="2">
        <v>629.0</v>
      </c>
      <c r="G2196" s="2">
        <v>1917.0</v>
      </c>
      <c r="H2196" s="2" t="s">
        <v>5906</v>
      </c>
      <c r="I2196" s="2" t="s">
        <v>5906</v>
      </c>
      <c r="J2196" s="2" t="s">
        <v>5561</v>
      </c>
      <c r="K2196" s="2" t="s">
        <v>24994</v>
      </c>
      <c r="L2196" s="10" t="s">
        <v>24995</v>
      </c>
    </row>
    <row r="2197">
      <c r="A2197" s="2" t="s">
        <v>4564</v>
      </c>
      <c r="B2197" s="2" t="s">
        <v>24996</v>
      </c>
      <c r="C2197" s="2">
        <v>6.2910386358E10</v>
      </c>
      <c r="E2197" s="2">
        <v>150272.0</v>
      </c>
      <c r="F2197" s="2">
        <v>27.0</v>
      </c>
      <c r="G2197" s="2">
        <v>579.0</v>
      </c>
      <c r="H2197" s="2" t="s">
        <v>5905</v>
      </c>
      <c r="I2197" s="2" t="s">
        <v>5905</v>
      </c>
      <c r="J2197" s="2" t="s">
        <v>5959</v>
      </c>
      <c r="K2197" s="2" t="s">
        <v>24997</v>
      </c>
      <c r="L2197" s="10" t="s">
        <v>24998</v>
      </c>
    </row>
    <row r="2198">
      <c r="A2198" s="2" t="s">
        <v>4564</v>
      </c>
      <c r="B2198" s="2" t="s">
        <v>24999</v>
      </c>
      <c r="C2198" s="2">
        <v>1.4496983542E10</v>
      </c>
      <c r="D2198" s="2" t="s">
        <v>25000</v>
      </c>
      <c r="E2198" s="2">
        <v>710134.0</v>
      </c>
      <c r="F2198" s="2">
        <v>6677.0</v>
      </c>
      <c r="G2198" s="2">
        <v>1505.0</v>
      </c>
      <c r="H2198" s="2" t="s">
        <v>5905</v>
      </c>
      <c r="I2198" s="2" t="s">
        <v>5906</v>
      </c>
      <c r="J2198" s="2" t="s">
        <v>5561</v>
      </c>
      <c r="K2198" s="2" t="s">
        <v>25001</v>
      </c>
      <c r="L2198" s="10" t="s">
        <v>25002</v>
      </c>
    </row>
    <row r="2199">
      <c r="A2199" s="2" t="s">
        <v>4564</v>
      </c>
      <c r="B2199" s="2" t="s">
        <v>25003</v>
      </c>
      <c r="C2199" s="2">
        <v>9.771444609E9</v>
      </c>
      <c r="D2199" s="2" t="s">
        <v>25004</v>
      </c>
      <c r="E2199" s="2">
        <v>409117.0</v>
      </c>
      <c r="F2199" s="2">
        <v>768.0</v>
      </c>
      <c r="G2199" s="2">
        <v>445.0</v>
      </c>
      <c r="H2199" s="2" t="s">
        <v>5906</v>
      </c>
      <c r="I2199" s="2" t="s">
        <v>5905</v>
      </c>
      <c r="J2199" s="2" t="s">
        <v>5561</v>
      </c>
      <c r="K2199" s="2" t="s">
        <v>25005</v>
      </c>
      <c r="L2199" s="10" t="s">
        <v>25006</v>
      </c>
    </row>
    <row r="2200">
      <c r="A2200" s="2" t="s">
        <v>4564</v>
      </c>
      <c r="B2200" s="2" t="s">
        <v>25007</v>
      </c>
      <c r="C2200" s="2">
        <v>7.2081705215E10</v>
      </c>
      <c r="D2200" s="2" t="s">
        <v>25008</v>
      </c>
      <c r="E2200" s="2">
        <v>175823.0</v>
      </c>
      <c r="F2200" s="2">
        <v>2.0</v>
      </c>
      <c r="G2200" s="2">
        <v>37.0</v>
      </c>
      <c r="H2200" s="2" t="s">
        <v>5905</v>
      </c>
      <c r="I2200" s="2" t="s">
        <v>5905</v>
      </c>
      <c r="J2200" s="2" t="s">
        <v>7414</v>
      </c>
      <c r="K2200" s="2" t="s">
        <v>25009</v>
      </c>
    </row>
    <row r="2201">
      <c r="A2201" s="2" t="s">
        <v>4564</v>
      </c>
      <c r="B2201" s="2" t="s">
        <v>25010</v>
      </c>
      <c r="C2201" s="2">
        <v>4.5180876462E10</v>
      </c>
      <c r="D2201" s="2" t="s">
        <v>25011</v>
      </c>
      <c r="E2201" s="2">
        <v>3443287.0</v>
      </c>
      <c r="F2201" s="2">
        <v>8.0</v>
      </c>
      <c r="G2201" s="2">
        <v>3788.0</v>
      </c>
      <c r="H2201" s="2" t="s">
        <v>5905</v>
      </c>
      <c r="I2201" s="2" t="s">
        <v>5905</v>
      </c>
      <c r="J2201" s="2" t="s">
        <v>5959</v>
      </c>
      <c r="K2201" s="2" t="s">
        <v>25012</v>
      </c>
      <c r="L2201" s="10" t="s">
        <v>25013</v>
      </c>
    </row>
    <row r="2202">
      <c r="A2202" s="2" t="s">
        <v>4564</v>
      </c>
      <c r="B2202" s="2" t="s">
        <v>25014</v>
      </c>
      <c r="C2202" s="2">
        <v>4.842623923E9</v>
      </c>
      <c r="D2202" s="2" t="s">
        <v>24980</v>
      </c>
      <c r="E2202" s="2">
        <v>61169.0</v>
      </c>
      <c r="F2202" s="2">
        <v>875.0</v>
      </c>
      <c r="G2202" s="2">
        <v>2815.0</v>
      </c>
      <c r="H2202" s="2" t="s">
        <v>5905</v>
      </c>
      <c r="I2202" s="2" t="s">
        <v>5905</v>
      </c>
      <c r="J2202" s="2" t="s">
        <v>7140</v>
      </c>
      <c r="K2202" s="2" t="s">
        <v>25015</v>
      </c>
      <c r="L2202" s="10" t="s">
        <v>25016</v>
      </c>
    </row>
    <row r="2203">
      <c r="A2203" s="2" t="s">
        <v>4765</v>
      </c>
      <c r="B2203" s="2" t="s">
        <v>25017</v>
      </c>
      <c r="C2203" s="2">
        <v>3.5310582164E10</v>
      </c>
      <c r="D2203" s="2" t="s">
        <v>25018</v>
      </c>
      <c r="E2203" s="2">
        <v>442174.0</v>
      </c>
      <c r="F2203" s="2">
        <v>43.0</v>
      </c>
      <c r="G2203" s="2">
        <v>1952.0</v>
      </c>
      <c r="H2203" s="2" t="s">
        <v>5905</v>
      </c>
      <c r="I2203" s="2" t="s">
        <v>5905</v>
      </c>
      <c r="J2203" s="2" t="s">
        <v>16525</v>
      </c>
      <c r="K2203" s="2" t="s">
        <v>25019</v>
      </c>
      <c r="L2203" s="10" t="s">
        <v>25020</v>
      </c>
    </row>
    <row r="2204">
      <c r="A2204" s="2" t="s">
        <v>4686</v>
      </c>
      <c r="B2204" s="2" t="s">
        <v>25021</v>
      </c>
      <c r="C2204" s="2">
        <v>6.7973028446E10</v>
      </c>
      <c r="D2204" s="2" t="s">
        <v>25022</v>
      </c>
      <c r="E2204" s="2">
        <v>842152.0</v>
      </c>
      <c r="F2204" s="2">
        <v>0.0</v>
      </c>
      <c r="G2204" s="2">
        <v>111.0</v>
      </c>
      <c r="H2204" s="2" t="s">
        <v>5906</v>
      </c>
      <c r="I2204" s="2" t="s">
        <v>5906</v>
      </c>
      <c r="J2204" s="2" t="s">
        <v>5561</v>
      </c>
      <c r="K2204" s="2" t="s">
        <v>25023</v>
      </c>
      <c r="L2204" s="10" t="s">
        <v>25024</v>
      </c>
    </row>
    <row r="2205">
      <c r="A2205" s="2" t="s">
        <v>4686</v>
      </c>
      <c r="B2205" s="2" t="s">
        <v>25025</v>
      </c>
      <c r="C2205" s="2">
        <v>2.3374950305E10</v>
      </c>
      <c r="D2205" s="2" t="s">
        <v>25026</v>
      </c>
      <c r="E2205" s="2">
        <v>305473.0</v>
      </c>
      <c r="F2205" s="2">
        <v>42.0</v>
      </c>
      <c r="G2205" s="2">
        <v>2328.0</v>
      </c>
      <c r="H2205" s="2" t="s">
        <v>5905</v>
      </c>
      <c r="I2205" s="2" t="s">
        <v>5905</v>
      </c>
      <c r="J2205" s="2" t="s">
        <v>5561</v>
      </c>
      <c r="K2205" s="2" t="s">
        <v>25027</v>
      </c>
      <c r="L2205" s="10" t="s">
        <v>25028</v>
      </c>
    </row>
    <row r="2206">
      <c r="A2206" s="2" t="s">
        <v>4686</v>
      </c>
      <c r="B2206" s="2" t="s">
        <v>25029</v>
      </c>
      <c r="C2206" s="2">
        <v>5.0757065694E10</v>
      </c>
      <c r="D2206" s="2" t="s">
        <v>25030</v>
      </c>
      <c r="E2206" s="2">
        <v>1159907.0</v>
      </c>
      <c r="F2206" s="2">
        <v>585.0</v>
      </c>
      <c r="G2206" s="2">
        <v>4103.0</v>
      </c>
      <c r="H2206" s="2" t="s">
        <v>5905</v>
      </c>
      <c r="I2206" s="2" t="s">
        <v>5906</v>
      </c>
      <c r="J2206" s="2" t="s">
        <v>5911</v>
      </c>
      <c r="K2206" s="2" t="s">
        <v>25031</v>
      </c>
    </row>
    <row r="2207">
      <c r="A2207" s="2" t="s">
        <v>4686</v>
      </c>
      <c r="B2207" s="2" t="s">
        <v>25032</v>
      </c>
      <c r="C2207" s="2">
        <v>5.4727864546E10</v>
      </c>
      <c r="D2207" s="2" t="s">
        <v>25033</v>
      </c>
      <c r="E2207" s="2">
        <v>273003.0</v>
      </c>
      <c r="F2207" s="2">
        <v>15.0</v>
      </c>
      <c r="G2207" s="2">
        <v>649.0</v>
      </c>
      <c r="H2207" s="2" t="s">
        <v>5905</v>
      </c>
      <c r="I2207" s="2" t="s">
        <v>5905</v>
      </c>
      <c r="J2207" s="2" t="s">
        <v>5959</v>
      </c>
      <c r="K2207" s="2" t="s">
        <v>25034</v>
      </c>
      <c r="L2207" s="10" t="s">
        <v>25035</v>
      </c>
    </row>
    <row r="2208">
      <c r="A2208" s="2" t="s">
        <v>4686</v>
      </c>
      <c r="B2208" s="2" t="s">
        <v>25036</v>
      </c>
      <c r="C2208" s="2">
        <v>7.0987436248E10</v>
      </c>
      <c r="D2208" s="2" t="s">
        <v>25037</v>
      </c>
      <c r="E2208" s="2">
        <v>110844.0</v>
      </c>
      <c r="F2208" s="2">
        <v>76.0</v>
      </c>
      <c r="G2208" s="2">
        <v>676.0</v>
      </c>
      <c r="H2208" s="2" t="s">
        <v>5905</v>
      </c>
      <c r="I2208" s="2" t="s">
        <v>5905</v>
      </c>
      <c r="J2208" s="2" t="s">
        <v>5959</v>
      </c>
      <c r="K2208" s="2" t="s">
        <v>25038</v>
      </c>
      <c r="L2208" s="10" t="s">
        <v>25039</v>
      </c>
    </row>
    <row r="2209">
      <c r="A2209" s="2" t="s">
        <v>4686</v>
      </c>
      <c r="B2209" s="2" t="s">
        <v>25040</v>
      </c>
      <c r="C2209" s="2">
        <v>6.7509763248E10</v>
      </c>
      <c r="D2209" s="2" t="s">
        <v>25041</v>
      </c>
      <c r="E2209" s="2">
        <v>118367.0</v>
      </c>
      <c r="F2209" s="2">
        <v>11.0</v>
      </c>
      <c r="G2209" s="2">
        <v>160.0</v>
      </c>
      <c r="H2209" s="2" t="s">
        <v>5905</v>
      </c>
      <c r="I2209" s="2" t="s">
        <v>5905</v>
      </c>
      <c r="J2209" s="2" t="s">
        <v>7140</v>
      </c>
      <c r="K2209" s="2" t="s">
        <v>25042</v>
      </c>
      <c r="L2209" s="10" t="s">
        <v>25043</v>
      </c>
    </row>
    <row r="2210">
      <c r="A2210" s="2" t="s">
        <v>4686</v>
      </c>
      <c r="B2210" s="2" t="s">
        <v>25044</v>
      </c>
      <c r="C2210" s="2">
        <v>7.1575054356E10</v>
      </c>
      <c r="D2210" s="2" t="s">
        <v>25045</v>
      </c>
      <c r="E2210" s="2">
        <v>12564.0</v>
      </c>
      <c r="F2210" s="2">
        <v>1.0</v>
      </c>
      <c r="G2210" s="2">
        <v>126.0</v>
      </c>
      <c r="H2210" s="2" t="s">
        <v>5905</v>
      </c>
      <c r="I2210" s="2" t="s">
        <v>5905</v>
      </c>
      <c r="J2210" s="2" t="s">
        <v>5928</v>
      </c>
      <c r="K2210" s="2" t="s">
        <v>25046</v>
      </c>
    </row>
    <row r="2211">
      <c r="A2211" s="2" t="s">
        <v>4686</v>
      </c>
      <c r="B2211" s="2" t="s">
        <v>25047</v>
      </c>
      <c r="C2211" s="2">
        <v>6.5902641232E10</v>
      </c>
      <c r="D2211" s="2" t="s">
        <v>25041</v>
      </c>
      <c r="E2211" s="2">
        <v>23523.0</v>
      </c>
      <c r="F2211" s="2">
        <v>2.0</v>
      </c>
      <c r="G2211" s="2">
        <v>2441.0</v>
      </c>
      <c r="H2211" s="2" t="s">
        <v>5905</v>
      </c>
      <c r="I2211" s="2" t="s">
        <v>5905</v>
      </c>
      <c r="J2211" s="2" t="s">
        <v>5561</v>
      </c>
      <c r="K2211" s="2" t="s">
        <v>25048</v>
      </c>
    </row>
    <row r="2212">
      <c r="A2212" s="2" t="s">
        <v>4686</v>
      </c>
      <c r="B2212" s="10" t="s">
        <v>25049</v>
      </c>
      <c r="C2212" s="2">
        <v>7.1572205284E10</v>
      </c>
      <c r="D2212" s="2" t="s">
        <v>25050</v>
      </c>
      <c r="E2212" s="2">
        <v>56602.0</v>
      </c>
      <c r="F2212" s="2">
        <v>7.0</v>
      </c>
      <c r="G2212" s="2">
        <v>102.0</v>
      </c>
      <c r="H2212" s="2" t="s">
        <v>5905</v>
      </c>
      <c r="I2212" s="2" t="s">
        <v>5905</v>
      </c>
      <c r="J2212" s="2" t="s">
        <v>5968</v>
      </c>
      <c r="K2212" s="2" t="s">
        <v>25051</v>
      </c>
      <c r="L2212" s="10" t="s">
        <v>25052</v>
      </c>
    </row>
    <row r="2213">
      <c r="A2213" s="2" t="s">
        <v>4686</v>
      </c>
      <c r="B2213" s="2" t="s">
        <v>25053</v>
      </c>
      <c r="C2213" s="2">
        <v>6.6981270695E10</v>
      </c>
      <c r="D2213" s="2" t="s">
        <v>25054</v>
      </c>
      <c r="E2213" s="2">
        <v>209968.0</v>
      </c>
      <c r="F2213" s="2">
        <v>43.0</v>
      </c>
      <c r="G2213" s="2">
        <v>437.0</v>
      </c>
      <c r="H2213" s="2" t="s">
        <v>5905</v>
      </c>
      <c r="I2213" s="2" t="s">
        <v>5905</v>
      </c>
      <c r="J2213" s="2" t="s">
        <v>5391</v>
      </c>
      <c r="K2213" s="2" t="s">
        <v>25055</v>
      </c>
      <c r="L2213" s="10" t="s">
        <v>25056</v>
      </c>
    </row>
    <row r="2214">
      <c r="A2214" s="2" t="s">
        <v>4686</v>
      </c>
      <c r="B2214" s="2" t="s">
        <v>25057</v>
      </c>
      <c r="C2214" s="2">
        <v>6.4032534858E10</v>
      </c>
      <c r="D2214" s="2" t="s">
        <v>25058</v>
      </c>
      <c r="E2214" s="2">
        <v>794109.0</v>
      </c>
      <c r="F2214" s="2">
        <v>6.0</v>
      </c>
      <c r="G2214" s="2">
        <v>906.0</v>
      </c>
      <c r="H2214" s="2" t="s">
        <v>5905</v>
      </c>
      <c r="I2214" s="2" t="s">
        <v>5905</v>
      </c>
      <c r="J2214" s="2" t="s">
        <v>5561</v>
      </c>
      <c r="K2214" s="2" t="s">
        <v>25059</v>
      </c>
      <c r="L2214" s="10" t="s">
        <v>25060</v>
      </c>
    </row>
    <row r="2215">
      <c r="A2215" s="2" t="s">
        <v>4686</v>
      </c>
      <c r="B2215" s="2" t="s">
        <v>25061</v>
      </c>
      <c r="C2215" s="2">
        <v>1.8811300718E10</v>
      </c>
      <c r="D2215" s="2" t="s">
        <v>25062</v>
      </c>
      <c r="E2215" s="2">
        <v>290471.0</v>
      </c>
      <c r="F2215" s="2">
        <v>1092.0</v>
      </c>
      <c r="G2215" s="2">
        <v>1143.0</v>
      </c>
      <c r="H2215" s="2" t="s">
        <v>5906</v>
      </c>
      <c r="I2215" s="2" t="s">
        <v>5906</v>
      </c>
      <c r="J2215" s="2" t="s">
        <v>7140</v>
      </c>
      <c r="K2215" s="2" t="s">
        <v>25063</v>
      </c>
      <c r="L2215" s="10" t="s">
        <v>25064</v>
      </c>
    </row>
    <row r="2216">
      <c r="A2216" s="2" t="s">
        <v>4544</v>
      </c>
      <c r="B2216" s="2" t="s">
        <v>25065</v>
      </c>
      <c r="C2216" s="2">
        <v>3.00945992E8</v>
      </c>
      <c r="D2216" s="2" t="s">
        <v>25066</v>
      </c>
      <c r="E2216" s="2">
        <v>17204.0</v>
      </c>
      <c r="F2216" s="2">
        <v>1.0</v>
      </c>
      <c r="G2216" s="2">
        <v>84.0</v>
      </c>
      <c r="H2216" s="2" t="s">
        <v>5905</v>
      </c>
      <c r="I2216" s="2" t="s">
        <v>5906</v>
      </c>
      <c r="J2216" s="2" t="s">
        <v>6166</v>
      </c>
      <c r="K2216" s="2" t="s">
        <v>25067</v>
      </c>
    </row>
    <row r="2217">
      <c r="A2217" s="2" t="s">
        <v>4544</v>
      </c>
      <c r="B2217" s="2" t="s">
        <v>25068</v>
      </c>
      <c r="C2217" s="2">
        <v>4.7183843038E10</v>
      </c>
      <c r="D2217" s="2" t="s">
        <v>25069</v>
      </c>
      <c r="E2217" s="2">
        <v>12740.0</v>
      </c>
      <c r="F2217" s="2">
        <v>6.0</v>
      </c>
      <c r="G2217" s="2">
        <v>520.0</v>
      </c>
      <c r="H2217" s="2" t="s">
        <v>5905</v>
      </c>
      <c r="I2217" s="2" t="s">
        <v>5905</v>
      </c>
      <c r="J2217" s="2" t="s">
        <v>8915</v>
      </c>
      <c r="K2217" s="2" t="s">
        <v>25070</v>
      </c>
      <c r="L2217" s="10" t="s">
        <v>25071</v>
      </c>
    </row>
    <row r="2218">
      <c r="A2218" s="2" t="s">
        <v>4544</v>
      </c>
      <c r="B2218" s="2" t="s">
        <v>25072</v>
      </c>
      <c r="C2218" s="2">
        <v>1.121550848E9</v>
      </c>
      <c r="D2218" s="2" t="s">
        <v>25073</v>
      </c>
      <c r="E2218" s="2">
        <v>155165.0</v>
      </c>
      <c r="F2218" s="2">
        <v>856.0</v>
      </c>
      <c r="G2218" s="2">
        <v>2185.0</v>
      </c>
      <c r="H2218" s="2" t="s">
        <v>5906</v>
      </c>
      <c r="I2218" s="2" t="s">
        <v>5906</v>
      </c>
      <c r="J2218" s="2" t="s">
        <v>5928</v>
      </c>
      <c r="K2218" s="2" t="s">
        <v>25074</v>
      </c>
      <c r="L2218" s="10" t="s">
        <v>25075</v>
      </c>
    </row>
    <row r="2219">
      <c r="A2219" s="2" t="s">
        <v>4544</v>
      </c>
      <c r="B2219" s="2" t="s">
        <v>25076</v>
      </c>
      <c r="C2219" s="2">
        <v>7.168880188E9</v>
      </c>
      <c r="D2219" s="2" t="s">
        <v>25077</v>
      </c>
      <c r="E2219" s="2">
        <v>66827.0</v>
      </c>
      <c r="F2219" s="2">
        <v>1762.0</v>
      </c>
      <c r="G2219" s="2">
        <v>1266.0</v>
      </c>
      <c r="H2219" s="2" t="s">
        <v>5906</v>
      </c>
      <c r="I2219" s="2" t="s">
        <v>5906</v>
      </c>
      <c r="J2219" s="2" t="s">
        <v>6539</v>
      </c>
      <c r="K2219" s="2" t="s">
        <v>25078</v>
      </c>
      <c r="L2219" s="10" t="s">
        <v>25079</v>
      </c>
    </row>
    <row r="2220">
      <c r="A2220" s="2" t="s">
        <v>4544</v>
      </c>
      <c r="B2220" s="2" t="s">
        <v>25080</v>
      </c>
      <c r="C2220" s="2">
        <v>4.69304732E9</v>
      </c>
      <c r="D2220" s="2" t="s">
        <v>25081</v>
      </c>
      <c r="E2220" s="2">
        <v>81179.0</v>
      </c>
      <c r="F2220" s="2">
        <v>5.0</v>
      </c>
      <c r="G2220" s="2">
        <v>5313.0</v>
      </c>
      <c r="H2220" s="2" t="s">
        <v>5905</v>
      </c>
      <c r="I2220" s="2" t="s">
        <v>5906</v>
      </c>
      <c r="J2220" s="2" t="s">
        <v>6002</v>
      </c>
      <c r="K2220" s="2" t="s">
        <v>25082</v>
      </c>
      <c r="L2220" s="10" t="s">
        <v>25083</v>
      </c>
    </row>
    <row r="2221">
      <c r="A2221" s="2" t="s">
        <v>4544</v>
      </c>
      <c r="B2221" s="2" t="s">
        <v>4544</v>
      </c>
      <c r="C2221" s="2">
        <v>7.276828823E9</v>
      </c>
      <c r="D2221" s="2" t="s">
        <v>25084</v>
      </c>
      <c r="E2221" s="2">
        <v>16766.0</v>
      </c>
      <c r="F2221" s="2">
        <v>10.0</v>
      </c>
      <c r="G2221" s="2">
        <v>50.0</v>
      </c>
      <c r="H2221" s="2" t="s">
        <v>5905</v>
      </c>
      <c r="I2221" s="2" t="s">
        <v>5905</v>
      </c>
      <c r="K2221" s="2" t="s">
        <v>25085</v>
      </c>
    </row>
    <row r="2222">
      <c r="A2222" s="2" t="s">
        <v>4544</v>
      </c>
      <c r="B2222" s="2" t="s">
        <v>25086</v>
      </c>
      <c r="C2222" s="2">
        <v>2.1688407599E10</v>
      </c>
      <c r="D2222" s="2" t="s">
        <v>25087</v>
      </c>
      <c r="E2222" s="2">
        <v>147126.0</v>
      </c>
      <c r="F2222" s="2">
        <v>13.0</v>
      </c>
      <c r="G2222" s="2">
        <v>3660.0</v>
      </c>
      <c r="H2222" s="2" t="s">
        <v>5905</v>
      </c>
      <c r="I2222" s="2" t="s">
        <v>5905</v>
      </c>
      <c r="J2222" s="2" t="s">
        <v>5492</v>
      </c>
      <c r="K2222" s="2" t="s">
        <v>25088</v>
      </c>
      <c r="L2222" s="10" t="s">
        <v>25089</v>
      </c>
    </row>
    <row r="2223">
      <c r="A2223" s="2" t="s">
        <v>4544</v>
      </c>
      <c r="B2223" s="2" t="s">
        <v>25090</v>
      </c>
      <c r="C2223" s="2">
        <v>9.155946469E9</v>
      </c>
      <c r="D2223" s="2" t="s">
        <v>25091</v>
      </c>
      <c r="E2223" s="2">
        <v>668394.0</v>
      </c>
      <c r="F2223" s="2">
        <v>105.0</v>
      </c>
      <c r="G2223" s="2">
        <v>5273.0</v>
      </c>
      <c r="H2223" s="2" t="s">
        <v>5906</v>
      </c>
      <c r="I2223" s="2" t="s">
        <v>5906</v>
      </c>
      <c r="J2223" s="2" t="s">
        <v>5959</v>
      </c>
      <c r="K2223" s="2" t="s">
        <v>25092</v>
      </c>
      <c r="L2223" s="10" t="s">
        <v>25093</v>
      </c>
    </row>
    <row r="2224">
      <c r="A2224" s="2" t="s">
        <v>4544</v>
      </c>
      <c r="B2224" s="2" t="s">
        <v>25094</v>
      </c>
      <c r="C2224" s="2">
        <v>1.408614008E9</v>
      </c>
      <c r="D2224" s="2" t="s">
        <v>25095</v>
      </c>
      <c r="E2224" s="2">
        <v>534465.0</v>
      </c>
      <c r="F2224" s="2">
        <v>6009.0</v>
      </c>
      <c r="G2224" s="2">
        <v>5239.0</v>
      </c>
      <c r="H2224" s="2" t="s">
        <v>5906</v>
      </c>
      <c r="I2224" s="2" t="s">
        <v>5906</v>
      </c>
      <c r="K2224" s="2" t="s">
        <v>25096</v>
      </c>
      <c r="L2224" s="10" t="s">
        <v>25097</v>
      </c>
    </row>
    <row r="2225">
      <c r="A2225" s="2" t="s">
        <v>4544</v>
      </c>
      <c r="B2225" s="2" t="s">
        <v>25098</v>
      </c>
      <c r="C2225" s="2">
        <v>4.278588587E9</v>
      </c>
      <c r="D2225" s="2" t="s">
        <v>25099</v>
      </c>
      <c r="E2225" s="2">
        <v>1656307.0</v>
      </c>
      <c r="F2225" s="2">
        <v>3555.0</v>
      </c>
      <c r="G2225" s="2">
        <v>24333.0</v>
      </c>
      <c r="H2225" s="2" t="s">
        <v>5906</v>
      </c>
      <c r="I2225" s="2" t="s">
        <v>5906</v>
      </c>
      <c r="J2225" s="2" t="s">
        <v>8911</v>
      </c>
      <c r="K2225" s="2" t="s">
        <v>25100</v>
      </c>
      <c r="L2225" s="10" t="s">
        <v>25101</v>
      </c>
    </row>
    <row r="2226">
      <c r="A2226" s="2" t="s">
        <v>4544</v>
      </c>
      <c r="B2226" s="2" t="s">
        <v>25102</v>
      </c>
      <c r="C2226" s="2">
        <v>2.017327926E9</v>
      </c>
      <c r="D2226" s="2" t="s">
        <v>25103</v>
      </c>
      <c r="E2226" s="2">
        <v>86253.0</v>
      </c>
      <c r="F2226" s="2">
        <v>362.0</v>
      </c>
      <c r="G2226" s="2">
        <v>539.0</v>
      </c>
      <c r="H2226" s="2" t="s">
        <v>5906</v>
      </c>
      <c r="I2226" s="2" t="s">
        <v>5906</v>
      </c>
      <c r="J2226" s="2" t="s">
        <v>4404</v>
      </c>
      <c r="K2226" s="2" t="s">
        <v>25104</v>
      </c>
      <c r="L2226" s="10" t="s">
        <v>25105</v>
      </c>
    </row>
    <row r="2227">
      <c r="A2227" s="2" t="s">
        <v>4544</v>
      </c>
      <c r="B2227" s="2" t="s">
        <v>25106</v>
      </c>
      <c r="C2227" s="2">
        <v>4.682876417E9</v>
      </c>
      <c r="D2227" s="2" t="s">
        <v>25107</v>
      </c>
      <c r="E2227" s="2">
        <v>32845.0</v>
      </c>
      <c r="F2227" s="2">
        <v>936.0</v>
      </c>
      <c r="G2227" s="2">
        <v>1547.0</v>
      </c>
      <c r="H2227" s="2" t="s">
        <v>5905</v>
      </c>
      <c r="I2227" s="2" t="s">
        <v>5906</v>
      </c>
      <c r="J2227" s="2" t="s">
        <v>6002</v>
      </c>
      <c r="K2227" s="2" t="s">
        <v>25108</v>
      </c>
    </row>
    <row r="2228">
      <c r="A2228" s="2" t="s">
        <v>4586</v>
      </c>
      <c r="B2228" s="10" t="s">
        <v>25109</v>
      </c>
      <c r="C2228" s="2">
        <v>1.379370493E9</v>
      </c>
      <c r="D2228" s="2" t="s">
        <v>25110</v>
      </c>
      <c r="E2228" s="2">
        <v>875525.0</v>
      </c>
      <c r="F2228" s="2">
        <v>156.0</v>
      </c>
      <c r="G2228" s="2">
        <v>70089.0</v>
      </c>
      <c r="H2228" s="2" t="s">
        <v>5905</v>
      </c>
      <c r="I2228" s="2" t="s">
        <v>5906</v>
      </c>
      <c r="J2228" s="2" t="s">
        <v>7669</v>
      </c>
      <c r="K2228" s="2" t="s">
        <v>25111</v>
      </c>
      <c r="L2228" s="10" t="s">
        <v>25112</v>
      </c>
    </row>
    <row r="2229">
      <c r="A2229" s="2" t="s">
        <v>4586</v>
      </c>
      <c r="B2229" s="2" t="s">
        <v>25113</v>
      </c>
      <c r="C2229" s="2">
        <v>1.97164749E9</v>
      </c>
      <c r="D2229" s="2" t="s">
        <v>25114</v>
      </c>
      <c r="E2229" s="2">
        <v>14574.0</v>
      </c>
      <c r="F2229" s="2">
        <v>54.0</v>
      </c>
      <c r="G2229" s="2">
        <v>1436.0</v>
      </c>
      <c r="H2229" s="2" t="s">
        <v>5906</v>
      </c>
      <c r="I2229" s="2" t="s">
        <v>5906</v>
      </c>
      <c r="J2229" s="2" t="s">
        <v>5963</v>
      </c>
      <c r="K2229" s="12" t="s">
        <v>25115</v>
      </c>
      <c r="L2229" s="10" t="s">
        <v>25116</v>
      </c>
    </row>
    <row r="2230">
      <c r="A2230" s="2" t="s">
        <v>4586</v>
      </c>
      <c r="B2230" s="2" t="s">
        <v>25117</v>
      </c>
      <c r="C2230" s="2">
        <v>5.483458603E9</v>
      </c>
      <c r="D2230" s="2" t="s">
        <v>25118</v>
      </c>
      <c r="E2230" s="2">
        <v>320049.0</v>
      </c>
      <c r="F2230" s="2">
        <v>0.0</v>
      </c>
      <c r="G2230" s="2">
        <v>971.0</v>
      </c>
      <c r="H2230" s="2" t="s">
        <v>5906</v>
      </c>
      <c r="I2230" s="2" t="s">
        <v>5906</v>
      </c>
      <c r="J2230" s="2" t="s">
        <v>5963</v>
      </c>
      <c r="K2230" s="12" t="s">
        <v>25119</v>
      </c>
      <c r="L2230" s="10" t="s">
        <v>25120</v>
      </c>
    </row>
    <row r="2231">
      <c r="A2231" s="2" t="s">
        <v>4586</v>
      </c>
      <c r="B2231" s="2" t="s">
        <v>25121</v>
      </c>
      <c r="C2231" s="2">
        <v>3.45790325E8</v>
      </c>
      <c r="D2231" s="2" t="s">
        <v>25122</v>
      </c>
      <c r="E2231" s="2">
        <v>207638.0</v>
      </c>
      <c r="F2231" s="2">
        <v>68.0</v>
      </c>
      <c r="G2231" s="2">
        <v>12021.0</v>
      </c>
      <c r="H2231" s="2" t="s">
        <v>5905</v>
      </c>
      <c r="I2231" s="2" t="s">
        <v>5905</v>
      </c>
      <c r="K2231" s="12" t="s">
        <v>25123</v>
      </c>
    </row>
    <row r="2232">
      <c r="A2232" s="2" t="s">
        <v>4586</v>
      </c>
      <c r="B2232" s="2" t="s">
        <v>25124</v>
      </c>
      <c r="C2232" s="2">
        <v>2.303203597E9</v>
      </c>
      <c r="D2232" s="2" t="s">
        <v>25125</v>
      </c>
      <c r="E2232" s="2">
        <v>36796.0</v>
      </c>
      <c r="F2232" s="2">
        <v>7416.0</v>
      </c>
      <c r="G2232" s="2">
        <v>8077.0</v>
      </c>
      <c r="H2232" s="2" t="s">
        <v>5905</v>
      </c>
      <c r="I2232" s="2" t="s">
        <v>5905</v>
      </c>
      <c r="J2232" s="2" t="s">
        <v>25126</v>
      </c>
      <c r="K2232" s="2" t="s">
        <v>25127</v>
      </c>
    </row>
    <row r="2233">
      <c r="A2233" s="2" t="s">
        <v>4586</v>
      </c>
      <c r="B2233" s="2" t="s">
        <v>4586</v>
      </c>
      <c r="C2233" s="2">
        <v>2.52928438E8</v>
      </c>
      <c r="D2233" s="2" t="s">
        <v>25128</v>
      </c>
      <c r="E2233" s="2">
        <v>102876.0</v>
      </c>
      <c r="F2233" s="2">
        <v>0.0</v>
      </c>
      <c r="G2233" s="2">
        <v>132.0</v>
      </c>
      <c r="H2233" s="2" t="s">
        <v>5906</v>
      </c>
      <c r="I2233" s="2" t="s">
        <v>5906</v>
      </c>
      <c r="J2233" s="2" t="s">
        <v>5561</v>
      </c>
      <c r="K2233" s="2" t="s">
        <v>25129</v>
      </c>
      <c r="L2233" s="10" t="s">
        <v>25130</v>
      </c>
    </row>
    <row r="2234">
      <c r="A2234" s="2" t="s">
        <v>4586</v>
      </c>
      <c r="B2234" s="2" t="s">
        <v>25131</v>
      </c>
      <c r="C2234" s="2">
        <v>5.8692808504E10</v>
      </c>
      <c r="D2234" s="2" t="s">
        <v>25132</v>
      </c>
      <c r="E2234" s="2">
        <v>35928.0</v>
      </c>
      <c r="F2234" s="2">
        <v>5.0</v>
      </c>
      <c r="G2234" s="2">
        <v>457.0</v>
      </c>
      <c r="H2234" s="2" t="s">
        <v>5905</v>
      </c>
      <c r="I2234" s="2" t="s">
        <v>5905</v>
      </c>
      <c r="J2234" s="2" t="s">
        <v>5963</v>
      </c>
      <c r="K2234" s="2" t="s">
        <v>25133</v>
      </c>
      <c r="L2234" s="10" t="s">
        <v>25134</v>
      </c>
    </row>
    <row r="2235">
      <c r="A2235" s="2" t="s">
        <v>4586</v>
      </c>
      <c r="B2235" s="2" t="s">
        <v>25135</v>
      </c>
      <c r="C2235" s="2">
        <v>7.1113817882E10</v>
      </c>
      <c r="D2235" s="2" t="s">
        <v>25136</v>
      </c>
      <c r="E2235" s="2">
        <v>23219.0</v>
      </c>
      <c r="F2235" s="2">
        <v>6.0</v>
      </c>
      <c r="G2235" s="2">
        <v>149.0</v>
      </c>
      <c r="H2235" s="2" t="s">
        <v>5905</v>
      </c>
      <c r="I2235" s="2" t="s">
        <v>5906</v>
      </c>
      <c r="J2235" s="2" t="s">
        <v>5959</v>
      </c>
      <c r="K2235" s="2" t="s">
        <v>25137</v>
      </c>
      <c r="L2235" s="10" t="s">
        <v>25138</v>
      </c>
    </row>
    <row r="2236">
      <c r="A2236" s="2" t="s">
        <v>4586</v>
      </c>
      <c r="B2236" s="2" t="s">
        <v>25139</v>
      </c>
      <c r="C2236" s="2">
        <v>3.096211593E9</v>
      </c>
      <c r="D2236" s="12" t="s">
        <v>25140</v>
      </c>
      <c r="E2236" s="2">
        <v>467788.0</v>
      </c>
      <c r="F2236" s="2">
        <v>182.0</v>
      </c>
      <c r="G2236" s="2">
        <v>3907.0</v>
      </c>
      <c r="H2236" s="2" t="s">
        <v>5905</v>
      </c>
      <c r="I2236" s="2" t="s">
        <v>5906</v>
      </c>
      <c r="J2236" s="2" t="s">
        <v>5963</v>
      </c>
      <c r="K2236" s="12" t="s">
        <v>25141</v>
      </c>
      <c r="L2236" s="10" t="s">
        <v>25142</v>
      </c>
    </row>
    <row r="2237">
      <c r="A2237" s="2" t="s">
        <v>4586</v>
      </c>
      <c r="B2237" s="2" t="s">
        <v>25143</v>
      </c>
      <c r="C2237" s="2">
        <v>6.6210062229E10</v>
      </c>
      <c r="D2237" s="2" t="s">
        <v>25144</v>
      </c>
      <c r="E2237" s="2">
        <v>25794.0</v>
      </c>
      <c r="F2237" s="2">
        <v>29.0</v>
      </c>
      <c r="G2237" s="2">
        <v>20.0</v>
      </c>
      <c r="H2237" s="2" t="s">
        <v>5905</v>
      </c>
      <c r="I2237" s="2" t="s">
        <v>5906</v>
      </c>
      <c r="J2237" s="2" t="s">
        <v>7753</v>
      </c>
      <c r="K2237" s="12" t="s">
        <v>25145</v>
      </c>
    </row>
    <row r="2238">
      <c r="A2238" s="2" t="s">
        <v>4586</v>
      </c>
      <c r="B2238" s="2" t="s">
        <v>25146</v>
      </c>
      <c r="C2238" s="2">
        <v>1.414308734E9</v>
      </c>
      <c r="D2238" s="2" t="s">
        <v>25147</v>
      </c>
      <c r="E2238" s="2">
        <v>211235.0</v>
      </c>
      <c r="F2238" s="2">
        <v>1440.0</v>
      </c>
      <c r="G2238" s="2">
        <v>5633.0</v>
      </c>
      <c r="H2238" s="2" t="s">
        <v>5905</v>
      </c>
      <c r="I2238" s="2" t="s">
        <v>5906</v>
      </c>
      <c r="J2238" s="2" t="s">
        <v>6393</v>
      </c>
      <c r="K2238" s="2" t="s">
        <v>25148</v>
      </c>
      <c r="L2238" s="10" t="s">
        <v>25149</v>
      </c>
    </row>
    <row r="2239">
      <c r="A2239" s="2" t="s">
        <v>4586</v>
      </c>
      <c r="B2239" s="2" t="s">
        <v>25150</v>
      </c>
      <c r="C2239" s="2">
        <v>2.63441722E8</v>
      </c>
      <c r="D2239" s="2" t="s">
        <v>25151</v>
      </c>
      <c r="E2239" s="2">
        <v>244459.0</v>
      </c>
      <c r="F2239" s="2">
        <v>989.0</v>
      </c>
      <c r="G2239" s="2">
        <v>9146.0</v>
      </c>
      <c r="H2239" s="2" t="s">
        <v>5906</v>
      </c>
      <c r="I2239" s="2" t="s">
        <v>5905</v>
      </c>
      <c r="K2239" s="2" t="s">
        <v>25152</v>
      </c>
      <c r="L2239" s="10" t="s">
        <v>25153</v>
      </c>
    </row>
    <row r="2240">
      <c r="A2240" s="2" t="s">
        <v>4586</v>
      </c>
      <c r="B2240" s="2" t="s">
        <v>25154</v>
      </c>
      <c r="C2240" s="2">
        <v>4.5674476477E10</v>
      </c>
      <c r="D2240" s="2" t="s">
        <v>25155</v>
      </c>
      <c r="E2240" s="2">
        <v>781587.0</v>
      </c>
      <c r="F2240" s="2">
        <v>14.0</v>
      </c>
      <c r="G2240" s="2">
        <v>193.0</v>
      </c>
      <c r="H2240" s="2" t="s">
        <v>5905</v>
      </c>
      <c r="I2240" s="2" t="s">
        <v>5906</v>
      </c>
      <c r="J2240" s="2" t="s">
        <v>5556</v>
      </c>
      <c r="K2240" s="2" t="s">
        <v>25156</v>
      </c>
      <c r="L2240" s="10" t="s">
        <v>25157</v>
      </c>
    </row>
    <row r="2241">
      <c r="A2241" s="2" t="s">
        <v>4586</v>
      </c>
      <c r="B2241" s="2" t="s">
        <v>25158</v>
      </c>
      <c r="C2241" s="2">
        <v>4.329108192E9</v>
      </c>
      <c r="D2241" s="2" t="s">
        <v>25159</v>
      </c>
      <c r="E2241" s="2">
        <v>2890731.0</v>
      </c>
      <c r="F2241" s="2">
        <v>47.0</v>
      </c>
      <c r="G2241" s="2">
        <v>2930.0</v>
      </c>
      <c r="H2241" s="2" t="s">
        <v>5906</v>
      </c>
      <c r="I2241" s="2" t="s">
        <v>5906</v>
      </c>
      <c r="J2241" s="2" t="s">
        <v>5911</v>
      </c>
      <c r="K2241" s="2" t="s">
        <v>25160</v>
      </c>
      <c r="L2241" s="10" t="s">
        <v>25161</v>
      </c>
    </row>
    <row r="2242">
      <c r="A2242" s="2" t="s">
        <v>4517</v>
      </c>
      <c r="B2242" s="2" t="s">
        <v>25162</v>
      </c>
      <c r="C2242" s="2">
        <v>2.5689997988E10</v>
      </c>
      <c r="D2242" s="2" t="s">
        <v>25163</v>
      </c>
      <c r="E2242" s="2">
        <v>176815.0</v>
      </c>
      <c r="F2242" s="2">
        <v>2.0</v>
      </c>
      <c r="G2242" s="2">
        <v>190.0</v>
      </c>
      <c r="H2242" s="2" t="s">
        <v>5905</v>
      </c>
      <c r="I2242" s="2" t="s">
        <v>5906</v>
      </c>
      <c r="J2242" s="2" t="s">
        <v>5928</v>
      </c>
      <c r="K2242" s="2" t="s">
        <v>25164</v>
      </c>
      <c r="L2242" s="10" t="s">
        <v>25165</v>
      </c>
    </row>
    <row r="2243">
      <c r="A2243" s="2" t="s">
        <v>4517</v>
      </c>
      <c r="B2243" s="2" t="s">
        <v>25166</v>
      </c>
      <c r="C2243" s="2">
        <v>8.470506124E9</v>
      </c>
      <c r="D2243" s="2" t="s">
        <v>25167</v>
      </c>
      <c r="E2243" s="2">
        <v>12944.0</v>
      </c>
      <c r="F2243" s="2">
        <v>359.0</v>
      </c>
      <c r="G2243" s="2">
        <v>370.0</v>
      </c>
      <c r="H2243" s="2" t="s">
        <v>5905</v>
      </c>
      <c r="I2243" s="2" t="s">
        <v>5905</v>
      </c>
      <c r="J2243" s="2" t="s">
        <v>6027</v>
      </c>
      <c r="K2243" s="2" t="s">
        <v>25168</v>
      </c>
      <c r="L2243" s="10" t="s">
        <v>25169</v>
      </c>
    </row>
    <row r="2244">
      <c r="A2244" s="2" t="s">
        <v>4517</v>
      </c>
      <c r="B2244" s="2" t="s">
        <v>25170</v>
      </c>
      <c r="C2244" s="2">
        <v>3.4674193874E10</v>
      </c>
      <c r="D2244" s="2" t="s">
        <v>25171</v>
      </c>
      <c r="E2244" s="2">
        <v>24690.0</v>
      </c>
      <c r="F2244" s="2">
        <v>62.0</v>
      </c>
      <c r="G2244" s="2">
        <v>502.0</v>
      </c>
      <c r="H2244" s="2" t="s">
        <v>5905</v>
      </c>
      <c r="I2244" s="2" t="s">
        <v>5906</v>
      </c>
      <c r="J2244" s="2" t="s">
        <v>6027</v>
      </c>
      <c r="K2244" s="2" t="s">
        <v>25172</v>
      </c>
      <c r="L2244" s="10" t="s">
        <v>25173</v>
      </c>
    </row>
    <row r="2245">
      <c r="A2245" s="2" t="s">
        <v>4517</v>
      </c>
      <c r="B2245" s="2" t="s">
        <v>25174</v>
      </c>
      <c r="C2245" s="2">
        <v>3.9225567241E10</v>
      </c>
      <c r="D2245" s="2" t="s">
        <v>25175</v>
      </c>
      <c r="E2245" s="2">
        <v>1114453.0</v>
      </c>
      <c r="F2245" s="2">
        <v>3.0</v>
      </c>
      <c r="G2245" s="2">
        <v>570.0</v>
      </c>
      <c r="H2245" s="2" t="s">
        <v>5906</v>
      </c>
      <c r="I2245" s="2" t="s">
        <v>5905</v>
      </c>
      <c r="J2245" s="2" t="s">
        <v>5959</v>
      </c>
      <c r="K2245" s="2" t="s">
        <v>25176</v>
      </c>
      <c r="L2245" s="10" t="s">
        <v>25177</v>
      </c>
    </row>
    <row r="2246">
      <c r="A2246" s="2" t="s">
        <v>4517</v>
      </c>
      <c r="B2246" s="2" t="s">
        <v>25178</v>
      </c>
      <c r="C2246" s="2">
        <v>2.337775029E9</v>
      </c>
      <c r="D2246" s="2" t="s">
        <v>25179</v>
      </c>
      <c r="E2246" s="2">
        <v>8615030.0</v>
      </c>
      <c r="F2246" s="2">
        <v>23.0</v>
      </c>
      <c r="G2246" s="2">
        <v>2805.0</v>
      </c>
      <c r="H2246" s="2" t="s">
        <v>5906</v>
      </c>
      <c r="I2246" s="2" t="s">
        <v>5905</v>
      </c>
      <c r="J2246" s="2" t="s">
        <v>5928</v>
      </c>
      <c r="K2246" s="2" t="s">
        <v>25180</v>
      </c>
    </row>
    <row r="2247">
      <c r="A2247" s="2" t="s">
        <v>1451</v>
      </c>
      <c r="B2247" s="10" t="s">
        <v>25181</v>
      </c>
      <c r="C2247" s="2">
        <v>6.7172332823E10</v>
      </c>
      <c r="D2247" s="2" t="s">
        <v>25182</v>
      </c>
      <c r="E2247" s="2">
        <v>109649.0</v>
      </c>
      <c r="F2247" s="2">
        <v>0.0</v>
      </c>
      <c r="G2247" s="2">
        <v>381.0</v>
      </c>
      <c r="H2247" s="2" t="s">
        <v>5905</v>
      </c>
      <c r="I2247" s="2" t="s">
        <v>5906</v>
      </c>
      <c r="J2247" s="2" t="s">
        <v>5561</v>
      </c>
      <c r="K2247" s="2" t="s">
        <v>25183</v>
      </c>
    </row>
    <row r="2248">
      <c r="A2248" s="2" t="s">
        <v>1451</v>
      </c>
      <c r="B2248" s="2" t="s">
        <v>25184</v>
      </c>
      <c r="C2248" s="2">
        <v>5.6810918908E10</v>
      </c>
      <c r="D2248" s="2" t="s">
        <v>25185</v>
      </c>
      <c r="E2248" s="2">
        <v>98067.0</v>
      </c>
      <c r="F2248" s="2">
        <v>44.0</v>
      </c>
      <c r="G2248" s="2">
        <v>274.0</v>
      </c>
      <c r="H2248" s="2" t="s">
        <v>5905</v>
      </c>
      <c r="I2248" s="2" t="s">
        <v>5905</v>
      </c>
      <c r="J2248" s="2" t="s">
        <v>11010</v>
      </c>
      <c r="K2248" s="2" t="s">
        <v>25186</v>
      </c>
      <c r="L2248" s="10" t="s">
        <v>25187</v>
      </c>
    </row>
    <row r="2249">
      <c r="A2249" s="2" t="s">
        <v>1451</v>
      </c>
      <c r="B2249" s="2" t="s">
        <v>25188</v>
      </c>
      <c r="C2249" s="2">
        <v>1.83786575E8</v>
      </c>
      <c r="D2249" s="2" t="s">
        <v>25189</v>
      </c>
      <c r="E2249" s="2">
        <v>687479.0</v>
      </c>
      <c r="F2249" s="2">
        <v>555.0</v>
      </c>
      <c r="G2249" s="2">
        <v>2040.0</v>
      </c>
      <c r="H2249" s="2" t="s">
        <v>5905</v>
      </c>
      <c r="I2249" s="2" t="s">
        <v>5905</v>
      </c>
      <c r="J2249" s="2" t="s">
        <v>5391</v>
      </c>
    </row>
    <row r="2250">
      <c r="A2250" s="2" t="s">
        <v>1451</v>
      </c>
      <c r="B2250" s="2" t="s">
        <v>25190</v>
      </c>
      <c r="C2250" s="2">
        <v>5.4065581768E10</v>
      </c>
      <c r="D2250" s="2" t="s">
        <v>25191</v>
      </c>
      <c r="E2250" s="2">
        <v>158588.0</v>
      </c>
      <c r="F2250" s="2">
        <v>794.0</v>
      </c>
      <c r="G2250" s="2">
        <v>2173.0</v>
      </c>
      <c r="H2250" s="2" t="s">
        <v>5905</v>
      </c>
      <c r="I2250" s="2" t="s">
        <v>5905</v>
      </c>
      <c r="J2250" s="2" t="s">
        <v>5492</v>
      </c>
      <c r="K2250" s="2" t="s">
        <v>25192</v>
      </c>
    </row>
    <row r="2251">
      <c r="A2251" s="2" t="s">
        <v>1451</v>
      </c>
      <c r="B2251" s="2" t="s">
        <v>25193</v>
      </c>
      <c r="C2251" s="2">
        <v>5.8778094387E10</v>
      </c>
      <c r="D2251" s="2" t="s">
        <v>25194</v>
      </c>
      <c r="E2251" s="2">
        <v>29271.0</v>
      </c>
      <c r="F2251" s="2">
        <v>27.0</v>
      </c>
      <c r="G2251" s="2">
        <v>1135.0</v>
      </c>
      <c r="H2251" s="2" t="s">
        <v>5905</v>
      </c>
      <c r="I2251" s="2" t="s">
        <v>5906</v>
      </c>
      <c r="J2251" s="2" t="s">
        <v>19035</v>
      </c>
      <c r="K2251" s="2" t="s">
        <v>25195</v>
      </c>
    </row>
    <row r="2252">
      <c r="A2252" s="2" t="s">
        <v>1451</v>
      </c>
      <c r="B2252" s="2" t="s">
        <v>25196</v>
      </c>
      <c r="C2252" s="2">
        <v>4.7781435018E10</v>
      </c>
      <c r="D2252" s="2" t="s">
        <v>25197</v>
      </c>
      <c r="E2252" s="2">
        <v>173934.0</v>
      </c>
      <c r="F2252" s="2">
        <v>151.0</v>
      </c>
      <c r="G2252" s="2">
        <v>1147.0</v>
      </c>
      <c r="H2252" s="2" t="s">
        <v>5906</v>
      </c>
      <c r="I2252" s="2" t="s">
        <v>5905</v>
      </c>
      <c r="J2252" s="2" t="s">
        <v>5391</v>
      </c>
      <c r="K2252" s="2" t="s">
        <v>25198</v>
      </c>
      <c r="L2252" s="10" t="s">
        <v>25199</v>
      </c>
    </row>
    <row r="2253">
      <c r="A2253" s="2" t="s">
        <v>1451</v>
      </c>
      <c r="B2253" s="2" t="s">
        <v>25200</v>
      </c>
      <c r="C2253" s="2">
        <v>5.8885059447E10</v>
      </c>
      <c r="D2253" s="2" t="s">
        <v>25201</v>
      </c>
      <c r="E2253" s="2">
        <v>459148.0</v>
      </c>
      <c r="F2253" s="2">
        <v>133.0</v>
      </c>
      <c r="G2253" s="2">
        <v>1300.0</v>
      </c>
      <c r="H2253" s="2" t="s">
        <v>5906</v>
      </c>
      <c r="I2253" s="2" t="s">
        <v>5905</v>
      </c>
      <c r="J2253" s="2" t="s">
        <v>5959</v>
      </c>
      <c r="K2253" s="2" t="s">
        <v>25202</v>
      </c>
      <c r="L2253" s="10" t="s">
        <v>25203</v>
      </c>
    </row>
    <row r="2254">
      <c r="A2254" s="2" t="s">
        <v>1451</v>
      </c>
      <c r="B2254" s="2" t="s">
        <v>25204</v>
      </c>
      <c r="C2254" s="2">
        <v>9.610755064E9</v>
      </c>
      <c r="D2254" s="2" t="s">
        <v>25205</v>
      </c>
      <c r="E2254" s="2">
        <v>10157.0</v>
      </c>
      <c r="F2254" s="2">
        <v>177.0</v>
      </c>
      <c r="G2254" s="2">
        <v>324.0</v>
      </c>
      <c r="H2254" s="2" t="s">
        <v>5905</v>
      </c>
      <c r="I2254" s="2" t="s">
        <v>5906</v>
      </c>
      <c r="J2254" s="2" t="s">
        <v>6027</v>
      </c>
      <c r="K2254" s="2" t="s">
        <v>25206</v>
      </c>
      <c r="L2254" s="10" t="s">
        <v>25207</v>
      </c>
    </row>
    <row r="2255">
      <c r="A2255" s="2" t="s">
        <v>1451</v>
      </c>
      <c r="B2255" s="2" t="s">
        <v>25208</v>
      </c>
      <c r="C2255" s="2">
        <v>5.9118011508E10</v>
      </c>
      <c r="D2255" s="2" t="s">
        <v>25209</v>
      </c>
      <c r="E2255" s="2">
        <v>296886.0</v>
      </c>
      <c r="F2255" s="2">
        <v>250.0</v>
      </c>
      <c r="G2255" s="2">
        <v>831.0</v>
      </c>
      <c r="H2255" s="2" t="s">
        <v>5905</v>
      </c>
      <c r="I2255" s="2" t="s">
        <v>5905</v>
      </c>
      <c r="J2255" s="2" t="s">
        <v>5959</v>
      </c>
      <c r="K2255" s="2" t="s">
        <v>25210</v>
      </c>
      <c r="L2255" s="10" t="s">
        <v>25211</v>
      </c>
    </row>
    <row r="2256">
      <c r="A2256" s="2" t="s">
        <v>4555</v>
      </c>
      <c r="B2256" s="2" t="s">
        <v>25212</v>
      </c>
      <c r="C2256" s="2">
        <v>5.321803936E9</v>
      </c>
      <c r="D2256" s="2" t="s">
        <v>25213</v>
      </c>
      <c r="E2256" s="2">
        <v>23115.0</v>
      </c>
      <c r="F2256" s="2">
        <v>1062.0</v>
      </c>
      <c r="G2256" s="2">
        <v>23.0</v>
      </c>
      <c r="H2256" s="2" t="s">
        <v>5905</v>
      </c>
      <c r="I2256" s="2" t="s">
        <v>5905</v>
      </c>
      <c r="J2256" s="2" t="s">
        <v>6393</v>
      </c>
      <c r="K2256" s="2" t="s">
        <v>25214</v>
      </c>
      <c r="L2256" s="10" t="s">
        <v>25215</v>
      </c>
    </row>
    <row r="2257">
      <c r="A2257" s="2" t="s">
        <v>4555</v>
      </c>
      <c r="B2257" s="2" t="s">
        <v>25216</v>
      </c>
      <c r="C2257" s="2">
        <v>4.5549339734E10</v>
      </c>
      <c r="D2257" s="2" t="s">
        <v>25216</v>
      </c>
      <c r="E2257" s="2">
        <v>690096.0</v>
      </c>
      <c r="F2257" s="2">
        <v>51.0</v>
      </c>
      <c r="G2257" s="2">
        <v>1373.0</v>
      </c>
      <c r="H2257" s="2" t="s">
        <v>5906</v>
      </c>
      <c r="I2257" s="2" t="s">
        <v>5905</v>
      </c>
      <c r="J2257" s="2" t="s">
        <v>9153</v>
      </c>
      <c r="K2257" s="2" t="s">
        <v>25217</v>
      </c>
      <c r="L2257" s="10" t="s">
        <v>25218</v>
      </c>
    </row>
    <row r="2258">
      <c r="A2258" s="2" t="s">
        <v>4555</v>
      </c>
      <c r="B2258" s="2" t="s">
        <v>25219</v>
      </c>
      <c r="C2258" s="2">
        <v>2.20380362E9</v>
      </c>
      <c r="D2258" s="2" t="s">
        <v>25220</v>
      </c>
      <c r="E2258" s="2">
        <v>12537.0</v>
      </c>
      <c r="F2258" s="2">
        <v>0.0</v>
      </c>
      <c r="G2258" s="2">
        <v>38.0</v>
      </c>
      <c r="H2258" s="2" t="s">
        <v>5905</v>
      </c>
      <c r="I2258" s="2" t="s">
        <v>5905</v>
      </c>
      <c r="J2258" s="2" t="s">
        <v>6002</v>
      </c>
      <c r="K2258" s="2" t="s">
        <v>25221</v>
      </c>
      <c r="L2258" s="10" t="s">
        <v>25222</v>
      </c>
    </row>
    <row r="2259">
      <c r="A2259" s="2" t="s">
        <v>4555</v>
      </c>
      <c r="B2259" s="2" t="s">
        <v>25223</v>
      </c>
      <c r="C2259" s="2">
        <v>2.106243086E9</v>
      </c>
      <c r="D2259" s="2" t="s">
        <v>25224</v>
      </c>
      <c r="E2259" s="2">
        <v>168565.0</v>
      </c>
      <c r="F2259" s="2">
        <v>97.0</v>
      </c>
      <c r="G2259" s="2">
        <v>974.0</v>
      </c>
      <c r="H2259" s="2" t="s">
        <v>5905</v>
      </c>
      <c r="I2259" s="2" t="s">
        <v>5905</v>
      </c>
      <c r="J2259" s="2" t="s">
        <v>4404</v>
      </c>
      <c r="K2259" s="2" t="s">
        <v>25225</v>
      </c>
    </row>
    <row r="2260">
      <c r="A2260" s="2" t="s">
        <v>4555</v>
      </c>
      <c r="B2260" s="2" t="s">
        <v>25226</v>
      </c>
      <c r="C2260" s="2">
        <v>5.420044496E9</v>
      </c>
      <c r="D2260" s="2" t="s">
        <v>25227</v>
      </c>
      <c r="E2260" s="2">
        <v>6603085.0</v>
      </c>
      <c r="F2260" s="2">
        <v>478.0</v>
      </c>
      <c r="G2260" s="2">
        <v>1595.0</v>
      </c>
      <c r="H2260" s="2" t="s">
        <v>5905</v>
      </c>
      <c r="I2260" s="2" t="s">
        <v>5906</v>
      </c>
      <c r="J2260" s="2" t="s">
        <v>5993</v>
      </c>
      <c r="K2260" s="2" t="s">
        <v>25228</v>
      </c>
      <c r="L2260" s="10" t="s">
        <v>25229</v>
      </c>
    </row>
    <row r="2261">
      <c r="A2261" s="2" t="s">
        <v>4555</v>
      </c>
      <c r="B2261" s="2" t="s">
        <v>25230</v>
      </c>
      <c r="C2261" s="2">
        <v>4.545035258E9</v>
      </c>
      <c r="D2261" s="2" t="s">
        <v>25231</v>
      </c>
      <c r="E2261" s="2">
        <v>112987.0</v>
      </c>
      <c r="F2261" s="2">
        <v>41.0</v>
      </c>
      <c r="G2261" s="2">
        <v>5892.0</v>
      </c>
      <c r="H2261" s="2" t="s">
        <v>5906</v>
      </c>
      <c r="I2261" s="2" t="s">
        <v>5905</v>
      </c>
      <c r="J2261" s="2" t="s">
        <v>5993</v>
      </c>
      <c r="K2261" s="2" t="s">
        <v>25232</v>
      </c>
      <c r="L2261" s="10" t="s">
        <v>25233</v>
      </c>
    </row>
    <row r="2262">
      <c r="A2262" s="2" t="s">
        <v>4555</v>
      </c>
      <c r="B2262" s="2" t="s">
        <v>25234</v>
      </c>
      <c r="C2262" s="2">
        <v>3.10937014E8</v>
      </c>
      <c r="D2262" s="2" t="s">
        <v>4555</v>
      </c>
      <c r="E2262" s="2">
        <v>472459.0</v>
      </c>
      <c r="F2262" s="2">
        <v>404.0</v>
      </c>
      <c r="G2262" s="2">
        <v>3398.0</v>
      </c>
      <c r="H2262" s="2" t="s">
        <v>5906</v>
      </c>
      <c r="I2262" s="2" t="s">
        <v>5906</v>
      </c>
      <c r="J2262" s="2" t="s">
        <v>25235</v>
      </c>
      <c r="K2262" s="2" t="s">
        <v>25236</v>
      </c>
      <c r="L2262" s="10" t="s">
        <v>25237</v>
      </c>
    </row>
    <row r="2263">
      <c r="A2263" s="2" t="s">
        <v>4555</v>
      </c>
      <c r="B2263" s="2" t="s">
        <v>25238</v>
      </c>
      <c r="C2263" s="2">
        <v>5.2853632E7</v>
      </c>
      <c r="D2263" s="2" t="s">
        <v>25239</v>
      </c>
      <c r="E2263" s="2">
        <v>362164.0</v>
      </c>
      <c r="F2263" s="2">
        <v>560.0</v>
      </c>
      <c r="G2263" s="2">
        <v>1434.0</v>
      </c>
      <c r="H2263" s="2" t="s">
        <v>5906</v>
      </c>
      <c r="I2263" s="2" t="s">
        <v>5905</v>
      </c>
      <c r="J2263" s="2" t="s">
        <v>5993</v>
      </c>
      <c r="K2263" s="2" t="s">
        <v>25240</v>
      </c>
    </row>
    <row r="2264">
      <c r="A2264" s="2" t="s">
        <v>4555</v>
      </c>
      <c r="B2264" s="2" t="s">
        <v>25241</v>
      </c>
      <c r="C2264" s="2">
        <v>4.37282963E8</v>
      </c>
      <c r="D2264" s="2" t="s">
        <v>25242</v>
      </c>
      <c r="E2264" s="2">
        <v>41009.0</v>
      </c>
      <c r="F2264" s="2">
        <v>170.0</v>
      </c>
      <c r="G2264" s="2">
        <v>19.0</v>
      </c>
      <c r="H2264" s="2" t="s">
        <v>5906</v>
      </c>
      <c r="I2264" s="2" t="s">
        <v>5905</v>
      </c>
      <c r="J2264" s="2" t="s">
        <v>5993</v>
      </c>
      <c r="K2264" s="2" t="s">
        <v>25243</v>
      </c>
    </row>
    <row r="2265">
      <c r="A2265" s="2" t="s">
        <v>4555</v>
      </c>
      <c r="B2265" s="2" t="s">
        <v>25244</v>
      </c>
      <c r="C2265" s="2">
        <v>6.2745595352E10</v>
      </c>
      <c r="D2265" s="2" t="s">
        <v>25245</v>
      </c>
      <c r="E2265" s="2">
        <v>1720507.0</v>
      </c>
      <c r="F2265" s="2">
        <v>753.0</v>
      </c>
      <c r="G2265" s="2">
        <v>54.0</v>
      </c>
      <c r="H2265" s="2" t="s">
        <v>5905</v>
      </c>
      <c r="I2265" s="2" t="s">
        <v>5905</v>
      </c>
      <c r="J2265" s="2" t="s">
        <v>5959</v>
      </c>
      <c r="K2265" s="2" t="s">
        <v>25246</v>
      </c>
      <c r="L2265" s="10" t="s">
        <v>25247</v>
      </c>
    </row>
    <row r="2266">
      <c r="A2266" s="2" t="s">
        <v>2050</v>
      </c>
      <c r="B2266" s="2" t="s">
        <v>25248</v>
      </c>
      <c r="C2266" s="2">
        <v>4.9950768403E10</v>
      </c>
      <c r="D2266" s="2" t="s">
        <v>25249</v>
      </c>
      <c r="E2266" s="2">
        <v>12621.0</v>
      </c>
      <c r="F2266" s="2">
        <v>19.0</v>
      </c>
      <c r="G2266" s="2">
        <v>89.0</v>
      </c>
      <c r="H2266" s="2" t="s">
        <v>5905</v>
      </c>
      <c r="I2266" s="2" t="s">
        <v>5905</v>
      </c>
      <c r="K2266" s="2" t="s">
        <v>25250</v>
      </c>
      <c r="L2266" s="10" t="s">
        <v>25251</v>
      </c>
    </row>
    <row r="2267">
      <c r="A2267" s="2" t="s">
        <v>4505</v>
      </c>
      <c r="B2267" s="2" t="s">
        <v>25252</v>
      </c>
      <c r="C2267" s="2">
        <v>5.8768625456E10</v>
      </c>
      <c r="D2267" s="2" t="s">
        <v>25253</v>
      </c>
      <c r="E2267" s="2">
        <v>39092.0</v>
      </c>
      <c r="F2267" s="2">
        <v>52.0</v>
      </c>
      <c r="G2267" s="2">
        <v>160.0</v>
      </c>
      <c r="H2267" s="2" t="s">
        <v>5905</v>
      </c>
      <c r="I2267" s="2" t="s">
        <v>5905</v>
      </c>
      <c r="J2267" s="2" t="s">
        <v>5993</v>
      </c>
      <c r="K2267" s="2" t="s">
        <v>25254</v>
      </c>
      <c r="L2267" s="10" t="s">
        <v>25255</v>
      </c>
    </row>
    <row r="2268">
      <c r="A2268" s="2" t="s">
        <v>4505</v>
      </c>
      <c r="B2268" s="2" t="s">
        <v>25256</v>
      </c>
      <c r="C2268" s="2">
        <v>1.496886507E9</v>
      </c>
      <c r="D2268" s="2" t="s">
        <v>25257</v>
      </c>
      <c r="E2268" s="2">
        <v>19256.0</v>
      </c>
      <c r="F2268" s="2">
        <v>949.0</v>
      </c>
      <c r="G2268" s="2">
        <v>2668.0</v>
      </c>
      <c r="H2268" s="2" t="s">
        <v>5905</v>
      </c>
      <c r="I2268" s="2" t="s">
        <v>5905</v>
      </c>
      <c r="J2268" s="2" t="s">
        <v>4996</v>
      </c>
      <c r="K2268" s="2" t="s">
        <v>25258</v>
      </c>
      <c r="L2268" s="10" t="s">
        <v>25259</v>
      </c>
    </row>
    <row r="2269">
      <c r="A2269" s="2" t="s">
        <v>4505</v>
      </c>
      <c r="B2269" s="2" t="s">
        <v>25260</v>
      </c>
      <c r="C2269" s="2">
        <v>6.212952098E9</v>
      </c>
      <c r="D2269" s="2" t="s">
        <v>25261</v>
      </c>
      <c r="E2269" s="2">
        <v>225258.0</v>
      </c>
      <c r="F2269" s="2">
        <v>518.0</v>
      </c>
      <c r="G2269" s="2">
        <v>2299.0</v>
      </c>
      <c r="H2269" s="2" t="s">
        <v>5905</v>
      </c>
      <c r="I2269" s="2" t="s">
        <v>5906</v>
      </c>
      <c r="J2269" s="2" t="s">
        <v>5993</v>
      </c>
      <c r="K2269" s="2" t="s">
        <v>25262</v>
      </c>
      <c r="L2269" s="10" t="s">
        <v>25263</v>
      </c>
    </row>
    <row r="2270">
      <c r="A2270" s="2" t="s">
        <v>4505</v>
      </c>
      <c r="B2270" s="2" t="s">
        <v>25264</v>
      </c>
      <c r="C2270" s="2">
        <v>8.541324512E9</v>
      </c>
      <c r="D2270" s="2" t="s">
        <v>25265</v>
      </c>
      <c r="E2270" s="2">
        <v>224922.0</v>
      </c>
      <c r="F2270" s="2">
        <v>550.0</v>
      </c>
      <c r="G2270" s="2">
        <v>1316.0</v>
      </c>
      <c r="H2270" s="2" t="s">
        <v>5905</v>
      </c>
      <c r="I2270" s="2" t="s">
        <v>5906</v>
      </c>
      <c r="J2270" s="2" t="s">
        <v>4404</v>
      </c>
      <c r="K2270" s="2" t="s">
        <v>25266</v>
      </c>
      <c r="L2270" s="10" t="s">
        <v>25267</v>
      </c>
    </row>
    <row r="2271">
      <c r="A2271" s="2" t="s">
        <v>4505</v>
      </c>
      <c r="B2271" s="2" t="s">
        <v>25268</v>
      </c>
      <c r="C2271" s="2">
        <v>1.2029827069E10</v>
      </c>
      <c r="D2271" s="2" t="s">
        <v>25269</v>
      </c>
      <c r="E2271" s="2">
        <v>595214.0</v>
      </c>
      <c r="F2271" s="2">
        <v>299.0</v>
      </c>
      <c r="G2271" s="2">
        <v>365.0</v>
      </c>
      <c r="H2271" s="2" t="s">
        <v>5905</v>
      </c>
      <c r="I2271" s="2" t="s">
        <v>5906</v>
      </c>
      <c r="J2271" s="2" t="s">
        <v>5993</v>
      </c>
      <c r="K2271" s="2" t="s">
        <v>25270</v>
      </c>
      <c r="L2271" s="10" t="s">
        <v>25271</v>
      </c>
    </row>
    <row r="2272">
      <c r="A2272" s="2" t="s">
        <v>4427</v>
      </c>
      <c r="B2272" s="2" t="s">
        <v>25272</v>
      </c>
      <c r="C2272" s="2">
        <v>2.1395681892E10</v>
      </c>
      <c r="D2272" s="2" t="s">
        <v>25273</v>
      </c>
      <c r="E2272" s="2">
        <v>72286.0</v>
      </c>
      <c r="F2272" s="2">
        <v>498.0</v>
      </c>
      <c r="G2272" s="2">
        <v>2488.0</v>
      </c>
      <c r="H2272" s="2" t="s">
        <v>5905</v>
      </c>
      <c r="I2272" s="2" t="s">
        <v>5906</v>
      </c>
      <c r="J2272" s="2" t="s">
        <v>5561</v>
      </c>
      <c r="K2272" s="2" t="s">
        <v>25274</v>
      </c>
      <c r="L2272" s="10" t="s">
        <v>25275</v>
      </c>
    </row>
    <row r="2273">
      <c r="A2273" s="2" t="s">
        <v>4427</v>
      </c>
      <c r="B2273" s="2" t="s">
        <v>25276</v>
      </c>
      <c r="C2273" s="2">
        <v>3.66750074E8</v>
      </c>
      <c r="D2273" s="2" t="s">
        <v>25277</v>
      </c>
      <c r="E2273" s="2">
        <v>391682.0</v>
      </c>
      <c r="F2273" s="2">
        <v>2052.0</v>
      </c>
      <c r="G2273" s="2">
        <v>8104.0</v>
      </c>
      <c r="H2273" s="2" t="s">
        <v>5906</v>
      </c>
      <c r="I2273" s="2" t="s">
        <v>5906</v>
      </c>
      <c r="K2273" s="2" t="s">
        <v>25278</v>
      </c>
      <c r="L2273" s="10" t="s">
        <v>25279</v>
      </c>
    </row>
    <row r="2274">
      <c r="A2274" s="2" t="s">
        <v>4427</v>
      </c>
      <c r="B2274" s="2" t="s">
        <v>25280</v>
      </c>
      <c r="C2274" s="2">
        <v>1.566022315E9</v>
      </c>
      <c r="D2274" s="2" t="s">
        <v>25281</v>
      </c>
      <c r="E2274" s="2">
        <v>241640.0</v>
      </c>
      <c r="F2274" s="2">
        <v>402.0</v>
      </c>
      <c r="G2274" s="2">
        <v>2299.0</v>
      </c>
      <c r="H2274" s="2" t="s">
        <v>5906</v>
      </c>
      <c r="I2274" s="2" t="s">
        <v>5906</v>
      </c>
      <c r="J2274" s="2" t="s">
        <v>25282</v>
      </c>
      <c r="L2274" s="10" t="s">
        <v>25283</v>
      </c>
    </row>
    <row r="2275">
      <c r="A2275" s="2" t="s">
        <v>4427</v>
      </c>
      <c r="B2275" s="2" t="s">
        <v>4427</v>
      </c>
      <c r="C2275" s="2">
        <v>1.1936211E7</v>
      </c>
      <c r="D2275" s="2" t="s">
        <v>4427</v>
      </c>
      <c r="E2275" s="2">
        <v>100190.0</v>
      </c>
      <c r="F2275" s="2">
        <v>135.0</v>
      </c>
      <c r="G2275" s="2">
        <v>765.0</v>
      </c>
      <c r="H2275" s="2" t="s">
        <v>5905</v>
      </c>
      <c r="I2275" s="2" t="s">
        <v>5905</v>
      </c>
      <c r="J2275" s="2" t="s">
        <v>5492</v>
      </c>
      <c r="K2275" s="2" t="s">
        <v>25284</v>
      </c>
    </row>
    <row r="2276">
      <c r="A2276" s="2" t="s">
        <v>4427</v>
      </c>
      <c r="B2276" s="2" t="s">
        <v>25285</v>
      </c>
      <c r="C2276" s="2">
        <v>5.7900938497E10</v>
      </c>
      <c r="D2276" s="2" t="s">
        <v>25286</v>
      </c>
      <c r="E2276" s="2">
        <v>19808.0</v>
      </c>
      <c r="F2276" s="2">
        <v>417.0</v>
      </c>
      <c r="G2276" s="2">
        <v>197.0</v>
      </c>
      <c r="H2276" s="2" t="s">
        <v>5905</v>
      </c>
      <c r="I2276" s="2" t="s">
        <v>5905</v>
      </c>
      <c r="J2276" s="2" t="s">
        <v>6032</v>
      </c>
      <c r="K2276" s="2" t="s">
        <v>25287</v>
      </c>
      <c r="L2276" s="10" t="s">
        <v>25288</v>
      </c>
    </row>
    <row r="2277">
      <c r="A2277" s="2" t="s">
        <v>4427</v>
      </c>
      <c r="B2277" s="2" t="s">
        <v>25289</v>
      </c>
      <c r="C2277" s="2">
        <v>4.9046296958E10</v>
      </c>
      <c r="D2277" s="2" t="s">
        <v>25290</v>
      </c>
      <c r="E2277" s="2">
        <v>155435.0</v>
      </c>
      <c r="F2277" s="2">
        <v>43.0</v>
      </c>
      <c r="G2277" s="2">
        <v>1675.0</v>
      </c>
      <c r="H2277" s="2" t="s">
        <v>5905</v>
      </c>
      <c r="I2277" s="2" t="s">
        <v>5905</v>
      </c>
      <c r="J2277" s="2" t="s">
        <v>25291</v>
      </c>
      <c r="K2277" s="2" t="s">
        <v>25292</v>
      </c>
      <c r="L2277" s="10" t="s">
        <v>25293</v>
      </c>
    </row>
    <row r="2278">
      <c r="A2278" s="2" t="s">
        <v>4427</v>
      </c>
      <c r="B2278" s="2" t="s">
        <v>25294</v>
      </c>
      <c r="C2278" s="2">
        <v>5.6607221411E10</v>
      </c>
      <c r="D2278" s="2" t="s">
        <v>25295</v>
      </c>
      <c r="E2278" s="2">
        <v>18263.0</v>
      </c>
      <c r="F2278" s="2">
        <v>2660.0</v>
      </c>
      <c r="G2278" s="2">
        <v>394.0</v>
      </c>
      <c r="H2278" s="2" t="s">
        <v>5906</v>
      </c>
      <c r="I2278" s="2" t="s">
        <v>5906</v>
      </c>
      <c r="J2278" s="2" t="s">
        <v>6166</v>
      </c>
      <c r="K2278" s="2" t="s">
        <v>25296</v>
      </c>
      <c r="L2278" s="10" t="s">
        <v>25297</v>
      </c>
    </row>
    <row r="2279">
      <c r="A2279" s="2" t="s">
        <v>4427</v>
      </c>
      <c r="B2279" s="2" t="s">
        <v>25298</v>
      </c>
      <c r="C2279" s="2">
        <v>6.6831789892E10</v>
      </c>
      <c r="D2279" s="12" t="s">
        <v>25299</v>
      </c>
      <c r="E2279" s="2">
        <v>127867.0</v>
      </c>
      <c r="F2279" s="2">
        <v>6.0</v>
      </c>
      <c r="G2279" s="2">
        <v>103.0</v>
      </c>
      <c r="H2279" s="2" t="s">
        <v>5905</v>
      </c>
      <c r="I2279" s="2" t="s">
        <v>5906</v>
      </c>
      <c r="J2279" s="2" t="s">
        <v>7414</v>
      </c>
      <c r="K2279" s="12" t="s">
        <v>25300</v>
      </c>
      <c r="L2279" s="10" t="s">
        <v>25301</v>
      </c>
    </row>
    <row r="2280">
      <c r="A2280" s="2" t="s">
        <v>4427</v>
      </c>
      <c r="B2280" s="2" t="s">
        <v>25302</v>
      </c>
      <c r="C2280" s="2">
        <v>2.521016214E9</v>
      </c>
      <c r="D2280" s="2" t="s">
        <v>25303</v>
      </c>
      <c r="E2280" s="2">
        <v>218836.0</v>
      </c>
      <c r="F2280" s="2">
        <v>638.0</v>
      </c>
      <c r="G2280" s="2">
        <v>1177.0</v>
      </c>
      <c r="H2280" s="2" t="s">
        <v>5905</v>
      </c>
      <c r="I2280" s="2" t="s">
        <v>5905</v>
      </c>
      <c r="K2280" s="2" t="s">
        <v>25304</v>
      </c>
    </row>
    <row r="2281">
      <c r="A2281" s="2" t="s">
        <v>4427</v>
      </c>
      <c r="B2281" s="2" t="s">
        <v>25305</v>
      </c>
      <c r="C2281" s="2">
        <v>3.1847300727E10</v>
      </c>
      <c r="D2281" s="2" t="s">
        <v>25306</v>
      </c>
      <c r="E2281" s="2">
        <v>391404.0</v>
      </c>
      <c r="F2281" s="2">
        <v>724.0</v>
      </c>
      <c r="G2281" s="2">
        <v>1135.0</v>
      </c>
      <c r="H2281" s="2" t="s">
        <v>5905</v>
      </c>
      <c r="I2281" s="2" t="s">
        <v>5906</v>
      </c>
      <c r="K2281" s="2" t="s">
        <v>25307</v>
      </c>
      <c r="L2281" s="10" t="s">
        <v>25308</v>
      </c>
    </row>
    <row r="2282">
      <c r="A2282" s="2" t="s">
        <v>4576</v>
      </c>
      <c r="B2282" s="2" t="s">
        <v>25309</v>
      </c>
      <c r="C2282" s="2">
        <v>6.884781021E9</v>
      </c>
      <c r="D2282" s="2" t="s">
        <v>25310</v>
      </c>
      <c r="E2282" s="2">
        <v>179495.0</v>
      </c>
      <c r="F2282" s="2">
        <v>612.0</v>
      </c>
      <c r="G2282" s="2">
        <v>666.0</v>
      </c>
      <c r="H2282" s="2" t="s">
        <v>5905</v>
      </c>
      <c r="I2282" s="2" t="s">
        <v>5905</v>
      </c>
      <c r="J2282" s="2" t="s">
        <v>4404</v>
      </c>
      <c r="K2282" s="2" t="s">
        <v>25311</v>
      </c>
      <c r="L2282" s="10" t="s">
        <v>25312</v>
      </c>
    </row>
    <row r="2283">
      <c r="A2283" s="2" t="s">
        <v>4576</v>
      </c>
      <c r="B2283" s="2" t="s">
        <v>25313</v>
      </c>
      <c r="C2283" s="2">
        <v>6.61285846E9</v>
      </c>
      <c r="D2283" s="2" t="s">
        <v>25314</v>
      </c>
      <c r="E2283" s="2">
        <v>1335937.0</v>
      </c>
      <c r="F2283" s="2">
        <v>129.0</v>
      </c>
      <c r="G2283" s="2">
        <v>2300.0</v>
      </c>
      <c r="H2283" s="2" t="s">
        <v>5905</v>
      </c>
      <c r="I2283" s="2" t="s">
        <v>5906</v>
      </c>
      <c r="J2283" s="2" t="s">
        <v>6002</v>
      </c>
      <c r="K2283" s="2" t="s">
        <v>25315</v>
      </c>
      <c r="L2283" s="10" t="s">
        <v>25316</v>
      </c>
    </row>
    <row r="2284">
      <c r="A2284" s="2" t="s">
        <v>4576</v>
      </c>
      <c r="B2284" s="2" t="s">
        <v>25317</v>
      </c>
      <c r="C2284" s="2">
        <v>1.663269623E10</v>
      </c>
      <c r="D2284" s="2" t="s">
        <v>25318</v>
      </c>
      <c r="E2284" s="2">
        <v>536760.0</v>
      </c>
      <c r="F2284" s="2">
        <v>278.0</v>
      </c>
      <c r="G2284" s="2">
        <v>3106.0</v>
      </c>
      <c r="H2284" s="2" t="s">
        <v>5905</v>
      </c>
      <c r="I2284" s="2" t="s">
        <v>5905</v>
      </c>
      <c r="J2284" s="2" t="s">
        <v>5928</v>
      </c>
      <c r="K2284" s="2" t="s">
        <v>25319</v>
      </c>
      <c r="L2284" s="10" t="s">
        <v>25320</v>
      </c>
    </row>
    <row r="2285">
      <c r="A2285" s="2" t="s">
        <v>4576</v>
      </c>
      <c r="B2285" s="2" t="s">
        <v>25321</v>
      </c>
      <c r="C2285" s="2">
        <v>4.6500030085E10</v>
      </c>
      <c r="D2285" s="2" t="s">
        <v>25322</v>
      </c>
      <c r="E2285" s="2">
        <v>144812.0</v>
      </c>
      <c r="F2285" s="2">
        <v>63.0</v>
      </c>
      <c r="G2285" s="2">
        <v>989.0</v>
      </c>
      <c r="H2285" s="2" t="s">
        <v>5905</v>
      </c>
      <c r="I2285" s="2" t="s">
        <v>5905</v>
      </c>
      <c r="J2285" s="2" t="s">
        <v>5561</v>
      </c>
      <c r="K2285" s="2" t="s">
        <v>25323</v>
      </c>
    </row>
    <row r="2286">
      <c r="A2286" s="2" t="s">
        <v>4576</v>
      </c>
      <c r="B2286" s="2" t="s">
        <v>4576</v>
      </c>
      <c r="C2286" s="2">
        <v>4.839190761E9</v>
      </c>
      <c r="E2286" s="2">
        <v>1666790.0</v>
      </c>
      <c r="F2286" s="2">
        <v>162.0</v>
      </c>
      <c r="G2286" s="2">
        <v>1603.0</v>
      </c>
      <c r="H2286" s="2" t="s">
        <v>5905</v>
      </c>
      <c r="I2286" s="2" t="s">
        <v>5905</v>
      </c>
      <c r="J2286" s="2" t="s">
        <v>17983</v>
      </c>
    </row>
    <row r="2287">
      <c r="A2287" s="2" t="s">
        <v>4576</v>
      </c>
      <c r="B2287" s="2" t="s">
        <v>25324</v>
      </c>
      <c r="C2287" s="2">
        <v>6.3537074938E10</v>
      </c>
      <c r="D2287" s="2" t="s">
        <v>25325</v>
      </c>
      <c r="E2287" s="2">
        <v>196832.0</v>
      </c>
      <c r="F2287" s="2">
        <v>7.0</v>
      </c>
      <c r="G2287" s="2">
        <v>30.0</v>
      </c>
      <c r="H2287" s="2" t="s">
        <v>5905</v>
      </c>
      <c r="I2287" s="2" t="s">
        <v>5905</v>
      </c>
      <c r="J2287" s="2" t="s">
        <v>5959</v>
      </c>
      <c r="K2287" s="2" t="s">
        <v>25326</v>
      </c>
      <c r="L2287" s="10" t="s">
        <v>25327</v>
      </c>
    </row>
    <row r="2288">
      <c r="A2288" s="2" t="s">
        <v>4576</v>
      </c>
      <c r="B2288" s="2" t="s">
        <v>25328</v>
      </c>
      <c r="C2288" s="2">
        <v>4.263685167E9</v>
      </c>
      <c r="D2288" s="2" t="s">
        <v>25329</v>
      </c>
      <c r="E2288" s="2">
        <v>1512873.0</v>
      </c>
      <c r="F2288" s="2">
        <v>95.0</v>
      </c>
      <c r="G2288" s="2">
        <v>2722.0</v>
      </c>
      <c r="H2288" s="2" t="s">
        <v>5905</v>
      </c>
      <c r="I2288" s="2" t="s">
        <v>5905</v>
      </c>
      <c r="J2288" s="2" t="s">
        <v>6002</v>
      </c>
      <c r="K2288" s="2" t="s">
        <v>25330</v>
      </c>
      <c r="L2288" s="10" t="s">
        <v>25331</v>
      </c>
    </row>
    <row r="2289">
      <c r="A2289" s="2" t="s">
        <v>4576</v>
      </c>
      <c r="B2289" s="2" t="s">
        <v>25332</v>
      </c>
      <c r="C2289" s="2">
        <v>4.9161246998E10</v>
      </c>
      <c r="D2289" s="2" t="s">
        <v>25333</v>
      </c>
      <c r="E2289" s="2">
        <v>87620.0</v>
      </c>
      <c r="F2289" s="2">
        <v>7402.0</v>
      </c>
      <c r="G2289" s="2">
        <v>757.0</v>
      </c>
      <c r="H2289" s="2" t="s">
        <v>5906</v>
      </c>
      <c r="I2289" s="2" t="s">
        <v>5906</v>
      </c>
      <c r="J2289" s="2" t="s">
        <v>5480</v>
      </c>
      <c r="K2289" s="2" t="s">
        <v>25334</v>
      </c>
    </row>
    <row r="2290">
      <c r="A2290" s="2" t="s">
        <v>4576</v>
      </c>
      <c r="B2290" s="2" t="s">
        <v>25335</v>
      </c>
      <c r="C2290" s="2">
        <v>1.088230056E9</v>
      </c>
      <c r="D2290" s="2" t="s">
        <v>25336</v>
      </c>
      <c r="E2290" s="2">
        <v>176093.0</v>
      </c>
      <c r="F2290" s="2">
        <v>9.0</v>
      </c>
      <c r="G2290" s="2">
        <v>96.0</v>
      </c>
      <c r="H2290" s="2" t="s">
        <v>5906</v>
      </c>
      <c r="I2290" s="2" t="s">
        <v>5905</v>
      </c>
      <c r="J2290" s="2" t="s">
        <v>5993</v>
      </c>
      <c r="K2290" s="2" t="s">
        <v>25337</v>
      </c>
      <c r="L2290" s="10" t="s">
        <v>25338</v>
      </c>
    </row>
    <row r="2291">
      <c r="A2291" s="2" t="s">
        <v>4618</v>
      </c>
      <c r="B2291" s="2" t="s">
        <v>25339</v>
      </c>
      <c r="C2291" s="2">
        <v>5.1858233498E10</v>
      </c>
      <c r="D2291" s="2" t="s">
        <v>25340</v>
      </c>
      <c r="E2291" s="2">
        <v>23178.0</v>
      </c>
      <c r="F2291" s="2">
        <v>458.0</v>
      </c>
      <c r="G2291" s="2">
        <v>177.0</v>
      </c>
      <c r="H2291" s="2" t="s">
        <v>5905</v>
      </c>
      <c r="I2291" s="2" t="s">
        <v>5906</v>
      </c>
      <c r="J2291" s="2" t="s">
        <v>25341</v>
      </c>
      <c r="K2291" s="2" t="s">
        <v>25342</v>
      </c>
      <c r="L2291" s="10" t="s">
        <v>25343</v>
      </c>
    </row>
    <row r="2292">
      <c r="A2292" s="2" t="s">
        <v>4618</v>
      </c>
      <c r="B2292" s="10" t="s">
        <v>25344</v>
      </c>
      <c r="C2292" s="2">
        <v>4.4347480562E10</v>
      </c>
      <c r="D2292" s="2" t="s">
        <v>25345</v>
      </c>
      <c r="E2292" s="2">
        <v>31088.0</v>
      </c>
      <c r="F2292" s="2">
        <v>4819.0</v>
      </c>
      <c r="G2292" s="2">
        <v>936.0</v>
      </c>
      <c r="H2292" s="2" t="s">
        <v>5905</v>
      </c>
      <c r="I2292" s="2" t="s">
        <v>5905</v>
      </c>
      <c r="J2292" s="2" t="s">
        <v>5948</v>
      </c>
      <c r="K2292" s="2" t="s">
        <v>25346</v>
      </c>
      <c r="L2292" s="10" t="s">
        <v>25347</v>
      </c>
    </row>
    <row r="2293">
      <c r="A2293" s="2" t="s">
        <v>4618</v>
      </c>
      <c r="B2293" s="2" t="s">
        <v>25348</v>
      </c>
      <c r="C2293" s="2">
        <v>3.1038779062E10</v>
      </c>
      <c r="D2293" s="2" t="s">
        <v>25349</v>
      </c>
      <c r="E2293" s="2">
        <v>25989.0</v>
      </c>
      <c r="F2293" s="2">
        <v>8.0</v>
      </c>
      <c r="G2293" s="2">
        <v>3658.0</v>
      </c>
      <c r="H2293" s="2" t="s">
        <v>5905</v>
      </c>
      <c r="I2293" s="2" t="s">
        <v>5906</v>
      </c>
      <c r="J2293" s="2" t="s">
        <v>7414</v>
      </c>
      <c r="K2293" s="2" t="s">
        <v>25350</v>
      </c>
    </row>
    <row r="2294">
      <c r="A2294" s="2" t="s">
        <v>4618</v>
      </c>
      <c r="B2294" s="2" t="s">
        <v>25351</v>
      </c>
      <c r="C2294" s="2">
        <v>3.76695829E8</v>
      </c>
      <c r="D2294" s="2" t="s">
        <v>25352</v>
      </c>
      <c r="E2294" s="2">
        <v>52487.0</v>
      </c>
      <c r="F2294" s="2">
        <v>13.0</v>
      </c>
      <c r="G2294" s="2">
        <v>2231.0</v>
      </c>
      <c r="H2294" s="2" t="s">
        <v>5906</v>
      </c>
      <c r="I2294" s="2" t="s">
        <v>5906</v>
      </c>
      <c r="J2294" s="2" t="s">
        <v>6623</v>
      </c>
      <c r="K2294" s="2" t="s">
        <v>25353</v>
      </c>
      <c r="L2294" s="10" t="s">
        <v>25354</v>
      </c>
    </row>
    <row r="2295">
      <c r="A2295" s="2" t="s">
        <v>4759</v>
      </c>
      <c r="B2295" s="10" t="s">
        <v>25355</v>
      </c>
      <c r="C2295" s="2">
        <v>7.425204015E9</v>
      </c>
      <c r="D2295" s="2" t="s">
        <v>25356</v>
      </c>
      <c r="E2295" s="2">
        <v>60662.0</v>
      </c>
      <c r="F2295" s="2">
        <v>991.0</v>
      </c>
      <c r="G2295" s="2">
        <v>3132.0</v>
      </c>
      <c r="H2295" s="2" t="s">
        <v>5906</v>
      </c>
      <c r="I2295" s="2" t="s">
        <v>5906</v>
      </c>
      <c r="J2295" s="2" t="s">
        <v>25357</v>
      </c>
      <c r="K2295" s="2" t="s">
        <v>25358</v>
      </c>
    </row>
    <row r="2296">
      <c r="A2296" s="2" t="s">
        <v>4675</v>
      </c>
      <c r="B2296" s="2" t="s">
        <v>25359</v>
      </c>
      <c r="C2296" s="2">
        <v>6.748394038E10</v>
      </c>
      <c r="D2296" s="2" t="s">
        <v>25360</v>
      </c>
      <c r="E2296" s="2">
        <v>104059.0</v>
      </c>
      <c r="F2296" s="2">
        <v>100.0</v>
      </c>
      <c r="G2296" s="2">
        <v>104.0</v>
      </c>
      <c r="H2296" s="2" t="s">
        <v>5906</v>
      </c>
      <c r="I2296" s="2" t="s">
        <v>5905</v>
      </c>
      <c r="J2296" s="2" t="s">
        <v>6002</v>
      </c>
      <c r="K2296" s="12" t="s">
        <v>25361</v>
      </c>
      <c r="L2296" s="10" t="s">
        <v>25362</v>
      </c>
    </row>
    <row r="2297">
      <c r="A2297" s="2" t="s">
        <v>4675</v>
      </c>
      <c r="B2297" s="2" t="s">
        <v>25363</v>
      </c>
      <c r="C2297" s="2">
        <v>5.9297126141E10</v>
      </c>
      <c r="D2297" s="2" t="s">
        <v>25364</v>
      </c>
      <c r="E2297" s="2">
        <v>17891.0</v>
      </c>
      <c r="F2297" s="2">
        <v>48.0</v>
      </c>
      <c r="G2297" s="2">
        <v>87.0</v>
      </c>
      <c r="H2297" s="2" t="s">
        <v>5905</v>
      </c>
      <c r="I2297" s="2" t="s">
        <v>5906</v>
      </c>
      <c r="J2297" s="2" t="s">
        <v>25365</v>
      </c>
      <c r="K2297" s="2" t="s">
        <v>25366</v>
      </c>
    </row>
    <row r="2298">
      <c r="A2298" s="2" t="s">
        <v>4675</v>
      </c>
      <c r="B2298" s="2" t="s">
        <v>25367</v>
      </c>
      <c r="C2298" s="2">
        <v>4.1924311017E10</v>
      </c>
      <c r="D2298" s="2" t="s">
        <v>25368</v>
      </c>
      <c r="E2298" s="2">
        <v>18973.0</v>
      </c>
      <c r="F2298" s="2">
        <v>77.0</v>
      </c>
      <c r="G2298" s="2">
        <v>155.0</v>
      </c>
      <c r="H2298" s="2" t="s">
        <v>5906</v>
      </c>
      <c r="I2298" s="2" t="s">
        <v>5906</v>
      </c>
      <c r="J2298" s="2" t="s">
        <v>6002</v>
      </c>
      <c r="K2298" s="2" t="s">
        <v>25369</v>
      </c>
      <c r="L2298" s="10" t="s">
        <v>25370</v>
      </c>
    </row>
    <row r="2299">
      <c r="A2299" s="2" t="s">
        <v>4675</v>
      </c>
      <c r="B2299" s="2" t="s">
        <v>25371</v>
      </c>
      <c r="C2299" s="2">
        <v>1.1340368008E10</v>
      </c>
      <c r="D2299" s="2" t="s">
        <v>25372</v>
      </c>
      <c r="E2299" s="2">
        <v>10473.0</v>
      </c>
      <c r="F2299" s="2">
        <v>156.0</v>
      </c>
      <c r="G2299" s="2">
        <v>349.0</v>
      </c>
      <c r="H2299" s="2" t="s">
        <v>5906</v>
      </c>
      <c r="I2299" s="2" t="s">
        <v>5906</v>
      </c>
      <c r="J2299" s="2" t="s">
        <v>5561</v>
      </c>
      <c r="K2299" s="2" t="s">
        <v>25373</v>
      </c>
      <c r="L2299" s="10" t="s">
        <v>25374</v>
      </c>
    </row>
    <row r="2300">
      <c r="A2300" s="2" t="s">
        <v>4675</v>
      </c>
      <c r="B2300" s="2" t="s">
        <v>15823</v>
      </c>
      <c r="C2300" s="2">
        <v>4.7476100859E10</v>
      </c>
      <c r="D2300" s="2" t="s">
        <v>15824</v>
      </c>
      <c r="E2300" s="2">
        <v>3425470.0</v>
      </c>
      <c r="F2300" s="2">
        <v>0.0</v>
      </c>
      <c r="G2300" s="2">
        <v>4541.0</v>
      </c>
      <c r="H2300" s="2" t="s">
        <v>5905</v>
      </c>
      <c r="I2300" s="2" t="s">
        <v>5905</v>
      </c>
      <c r="J2300" s="2" t="s">
        <v>5959</v>
      </c>
      <c r="K2300" s="2" t="s">
        <v>15825</v>
      </c>
      <c r="L2300" s="10" t="s">
        <v>15826</v>
      </c>
    </row>
    <row r="2301">
      <c r="A2301" s="2" t="s">
        <v>4675</v>
      </c>
      <c r="B2301" s="2" t="s">
        <v>25375</v>
      </c>
      <c r="C2301" s="2">
        <v>5.657011844E9</v>
      </c>
      <c r="D2301" s="2" t="s">
        <v>25376</v>
      </c>
      <c r="E2301" s="2">
        <v>11196.0</v>
      </c>
      <c r="F2301" s="2">
        <v>1539.0</v>
      </c>
      <c r="G2301" s="2">
        <v>312.0</v>
      </c>
      <c r="H2301" s="2" t="s">
        <v>5906</v>
      </c>
      <c r="I2301" s="2" t="s">
        <v>5906</v>
      </c>
      <c r="J2301" s="2" t="s">
        <v>15371</v>
      </c>
      <c r="K2301" s="2" t="s">
        <v>25377</v>
      </c>
    </row>
    <row r="2302">
      <c r="A2302" s="2" t="s">
        <v>4675</v>
      </c>
      <c r="B2302" s="2" t="s">
        <v>25378</v>
      </c>
      <c r="C2302" s="2">
        <v>1.253925304E9</v>
      </c>
      <c r="D2302" s="2" t="s">
        <v>25379</v>
      </c>
      <c r="E2302" s="2">
        <v>19146.0</v>
      </c>
      <c r="F2302" s="2">
        <v>16.0</v>
      </c>
      <c r="G2302" s="2">
        <v>189.0</v>
      </c>
      <c r="H2302" s="2" t="s">
        <v>5905</v>
      </c>
      <c r="I2302" s="2" t="s">
        <v>5906</v>
      </c>
      <c r="J2302" s="2" t="s">
        <v>5963</v>
      </c>
      <c r="K2302" s="2" t="s">
        <v>25380</v>
      </c>
    </row>
    <row r="2303">
      <c r="A2303" s="2" t="s">
        <v>4675</v>
      </c>
      <c r="B2303" s="2" t="s">
        <v>25381</v>
      </c>
      <c r="C2303" s="2">
        <v>2.956178255E10</v>
      </c>
      <c r="D2303" s="2" t="s">
        <v>25382</v>
      </c>
      <c r="E2303" s="2">
        <v>22278.0</v>
      </c>
      <c r="F2303" s="2">
        <v>9.0</v>
      </c>
      <c r="G2303" s="2">
        <v>136.0</v>
      </c>
      <c r="H2303" s="2" t="s">
        <v>5905</v>
      </c>
      <c r="I2303" s="2" t="s">
        <v>5906</v>
      </c>
      <c r="J2303" s="2" t="s">
        <v>7677</v>
      </c>
      <c r="K2303" s="2" t="s">
        <v>25383</v>
      </c>
    </row>
    <row r="2304">
      <c r="A2304" s="2" t="s">
        <v>4675</v>
      </c>
      <c r="B2304" s="2" t="s">
        <v>25384</v>
      </c>
      <c r="C2304" s="2">
        <v>5.1129391734E10</v>
      </c>
      <c r="D2304" s="2" t="s">
        <v>25385</v>
      </c>
      <c r="E2304" s="2">
        <v>12452.0</v>
      </c>
      <c r="F2304" s="2">
        <v>1851.0</v>
      </c>
      <c r="G2304" s="2">
        <v>727.0</v>
      </c>
      <c r="H2304" s="2" t="s">
        <v>5905</v>
      </c>
      <c r="I2304" s="2" t="s">
        <v>5905</v>
      </c>
      <c r="J2304" s="2" t="s">
        <v>25386</v>
      </c>
      <c r="K2304" s="2" t="s">
        <v>25387</v>
      </c>
      <c r="L2304" s="10" t="s">
        <v>25388</v>
      </c>
    </row>
    <row r="2305">
      <c r="A2305" s="2" t="s">
        <v>4614</v>
      </c>
      <c r="B2305" s="2" t="s">
        <v>25389</v>
      </c>
      <c r="C2305" s="2">
        <v>4.582034772E9</v>
      </c>
      <c r="D2305" s="2" t="s">
        <v>25390</v>
      </c>
      <c r="E2305" s="2">
        <v>15472.0</v>
      </c>
      <c r="F2305" s="2">
        <v>8.0</v>
      </c>
      <c r="G2305" s="2">
        <v>272.0</v>
      </c>
      <c r="H2305" s="2" t="s">
        <v>5905</v>
      </c>
      <c r="I2305" s="2" t="s">
        <v>5905</v>
      </c>
      <c r="J2305" s="2" t="s">
        <v>12284</v>
      </c>
      <c r="K2305" s="12" t="s">
        <v>25391</v>
      </c>
      <c r="L2305" s="10" t="s">
        <v>25392</v>
      </c>
    </row>
    <row r="2306">
      <c r="A2306" s="2" t="s">
        <v>4614</v>
      </c>
      <c r="B2306" s="2" t="s">
        <v>25393</v>
      </c>
      <c r="C2306" s="2">
        <v>3.9639065959E10</v>
      </c>
      <c r="D2306" s="2" t="s">
        <v>4392</v>
      </c>
      <c r="E2306" s="2">
        <v>2624549.0</v>
      </c>
      <c r="F2306" s="2">
        <v>25.0</v>
      </c>
      <c r="G2306" s="2">
        <v>1586.0</v>
      </c>
      <c r="H2306" s="2" t="s">
        <v>5905</v>
      </c>
      <c r="I2306" s="2" t="s">
        <v>5905</v>
      </c>
      <c r="J2306" s="2" t="s">
        <v>5561</v>
      </c>
      <c r="K2306" s="2" t="s">
        <v>25394</v>
      </c>
      <c r="L2306" s="10" t="s">
        <v>25395</v>
      </c>
    </row>
    <row r="2307">
      <c r="A2307" s="2" t="s">
        <v>4614</v>
      </c>
      <c r="B2307" s="2" t="s">
        <v>25396</v>
      </c>
      <c r="C2307" s="2">
        <v>1.34861799E9</v>
      </c>
      <c r="D2307" s="12" t="s">
        <v>25397</v>
      </c>
      <c r="E2307" s="2">
        <v>49915.0</v>
      </c>
      <c r="F2307" s="2">
        <v>797.0</v>
      </c>
      <c r="G2307" s="2">
        <v>1766.0</v>
      </c>
      <c r="H2307" s="2" t="s">
        <v>5905</v>
      </c>
      <c r="I2307" s="2" t="s">
        <v>5905</v>
      </c>
      <c r="J2307" s="2" t="s">
        <v>25398</v>
      </c>
      <c r="K2307" s="2" t="s">
        <v>25399</v>
      </c>
    </row>
    <row r="2308">
      <c r="A2308" s="2" t="s">
        <v>4614</v>
      </c>
      <c r="B2308" s="2" t="s">
        <v>25400</v>
      </c>
      <c r="C2308" s="2">
        <v>1.609605965E9</v>
      </c>
      <c r="D2308" s="2" t="s">
        <v>25401</v>
      </c>
      <c r="E2308" s="2">
        <v>10154.0</v>
      </c>
      <c r="F2308" s="2">
        <v>35.0</v>
      </c>
      <c r="G2308" s="2">
        <v>106.0</v>
      </c>
      <c r="H2308" s="2" t="s">
        <v>5905</v>
      </c>
      <c r="I2308" s="2" t="s">
        <v>5906</v>
      </c>
      <c r="J2308" s="2" t="s">
        <v>11919</v>
      </c>
      <c r="K2308" s="12" t="s">
        <v>25402</v>
      </c>
      <c r="L2308" s="10" t="s">
        <v>25403</v>
      </c>
    </row>
    <row r="2309">
      <c r="A2309" s="2" t="s">
        <v>4614</v>
      </c>
      <c r="B2309" s="10" t="s">
        <v>25404</v>
      </c>
      <c r="C2309" s="2">
        <v>4.058006147E10</v>
      </c>
      <c r="D2309" s="2" t="s">
        <v>25390</v>
      </c>
      <c r="E2309" s="2">
        <v>25348.0</v>
      </c>
      <c r="F2309" s="2">
        <v>51.0</v>
      </c>
      <c r="G2309" s="2">
        <v>91.0</v>
      </c>
      <c r="H2309" s="2" t="s">
        <v>5905</v>
      </c>
      <c r="I2309" s="2" t="s">
        <v>5906</v>
      </c>
      <c r="J2309" s="2" t="s">
        <v>6002</v>
      </c>
      <c r="K2309" s="2" t="s">
        <v>25405</v>
      </c>
      <c r="L2309" s="10" t="s">
        <v>25406</v>
      </c>
    </row>
    <row r="2310">
      <c r="A2310" s="2" t="s">
        <v>4614</v>
      </c>
      <c r="B2310" s="2" t="s">
        <v>25407</v>
      </c>
      <c r="C2310" s="2">
        <v>3.8279051E7</v>
      </c>
      <c r="D2310" s="2" t="s">
        <v>25408</v>
      </c>
      <c r="E2310" s="2">
        <v>71010.0</v>
      </c>
      <c r="F2310" s="2">
        <v>111.0</v>
      </c>
      <c r="G2310" s="2">
        <v>2006.0</v>
      </c>
      <c r="H2310" s="2" t="s">
        <v>5905</v>
      </c>
      <c r="I2310" s="2" t="s">
        <v>5905</v>
      </c>
      <c r="J2310" s="2" t="s">
        <v>25409</v>
      </c>
      <c r="K2310" s="2" t="s">
        <v>25410</v>
      </c>
      <c r="L2310" s="10" t="s">
        <v>25411</v>
      </c>
    </row>
    <row r="2311">
      <c r="A2311" s="2" t="s">
        <v>4457</v>
      </c>
      <c r="B2311" s="2" t="s">
        <v>25412</v>
      </c>
      <c r="C2311" s="2">
        <v>4.8870049036E10</v>
      </c>
      <c r="D2311" s="2" t="s">
        <v>25413</v>
      </c>
      <c r="E2311" s="2">
        <v>30842.0</v>
      </c>
      <c r="F2311" s="2">
        <v>100.0</v>
      </c>
      <c r="G2311" s="2">
        <v>238.0</v>
      </c>
      <c r="H2311" s="2" t="s">
        <v>5906</v>
      </c>
      <c r="I2311" s="2" t="s">
        <v>5906</v>
      </c>
      <c r="J2311" s="2" t="s">
        <v>5391</v>
      </c>
      <c r="K2311" s="2" t="s">
        <v>25414</v>
      </c>
      <c r="L2311" s="10" t="s">
        <v>25415</v>
      </c>
    </row>
    <row r="2312">
      <c r="A2312" s="2" t="s">
        <v>4457</v>
      </c>
      <c r="B2312" s="2" t="s">
        <v>25416</v>
      </c>
      <c r="C2312" s="2">
        <v>1.803873588E9</v>
      </c>
      <c r="D2312" s="2" t="s">
        <v>25417</v>
      </c>
      <c r="E2312" s="2">
        <v>1076651.0</v>
      </c>
      <c r="F2312" s="2">
        <v>15.0</v>
      </c>
      <c r="G2312" s="2">
        <v>4390.0</v>
      </c>
      <c r="H2312" s="2" t="s">
        <v>5905</v>
      </c>
      <c r="I2312" s="2" t="s">
        <v>5905</v>
      </c>
      <c r="J2312" s="2" t="s">
        <v>5959</v>
      </c>
      <c r="K2312" s="2" t="s">
        <v>25418</v>
      </c>
      <c r="L2312" s="10" t="s">
        <v>25419</v>
      </c>
    </row>
    <row r="2313">
      <c r="A2313" s="2" t="s">
        <v>4457</v>
      </c>
      <c r="B2313" s="2" t="s">
        <v>25420</v>
      </c>
      <c r="C2313" s="2">
        <v>5.6437911602E10</v>
      </c>
      <c r="D2313" s="2" t="s">
        <v>25421</v>
      </c>
      <c r="E2313" s="2">
        <v>237898.0</v>
      </c>
      <c r="F2313" s="2">
        <v>5827.0</v>
      </c>
      <c r="G2313" s="2">
        <v>2151.0</v>
      </c>
      <c r="H2313" s="2" t="s">
        <v>5905</v>
      </c>
      <c r="I2313" s="2" t="s">
        <v>5906</v>
      </c>
      <c r="J2313" s="2" t="s">
        <v>5561</v>
      </c>
      <c r="K2313" s="2" t="s">
        <v>25422</v>
      </c>
      <c r="L2313" s="10" t="s">
        <v>25423</v>
      </c>
    </row>
    <row r="2314">
      <c r="A2314" s="2" t="s">
        <v>4457</v>
      </c>
      <c r="B2314" s="2" t="s">
        <v>25424</v>
      </c>
      <c r="C2314" s="2">
        <v>2.048586897E9</v>
      </c>
      <c r="D2314" s="2" t="s">
        <v>25425</v>
      </c>
      <c r="E2314" s="2">
        <v>24838.0</v>
      </c>
      <c r="F2314" s="2">
        <v>69.0</v>
      </c>
      <c r="G2314" s="2">
        <v>1148.0</v>
      </c>
      <c r="H2314" s="2" t="s">
        <v>5905</v>
      </c>
      <c r="I2314" s="2" t="s">
        <v>5905</v>
      </c>
      <c r="J2314" s="2" t="s">
        <v>5959</v>
      </c>
      <c r="K2314" s="2" t="s">
        <v>25426</v>
      </c>
      <c r="L2314" s="10" t="s">
        <v>25427</v>
      </c>
    </row>
    <row r="2315">
      <c r="A2315" s="2" t="s">
        <v>4457</v>
      </c>
      <c r="B2315" s="2" t="s">
        <v>25428</v>
      </c>
      <c r="C2315" s="2">
        <v>4.8666826334E10</v>
      </c>
      <c r="D2315" s="2" t="s">
        <v>25429</v>
      </c>
      <c r="E2315" s="2">
        <v>163762.0</v>
      </c>
      <c r="F2315" s="2">
        <v>4431.0</v>
      </c>
      <c r="G2315" s="2">
        <v>374.0</v>
      </c>
      <c r="H2315" s="2" t="s">
        <v>5905</v>
      </c>
      <c r="I2315" s="2" t="s">
        <v>5905</v>
      </c>
      <c r="J2315" s="2" t="s">
        <v>5492</v>
      </c>
      <c r="K2315" s="2" t="s">
        <v>25430</v>
      </c>
      <c r="L2315" s="10" t="s">
        <v>25431</v>
      </c>
    </row>
    <row r="2316">
      <c r="A2316" s="2" t="s">
        <v>4457</v>
      </c>
      <c r="B2316" s="2" t="s">
        <v>25432</v>
      </c>
      <c r="C2316" s="2">
        <v>5.1720403794E10</v>
      </c>
      <c r="E2316" s="2">
        <v>91508.0</v>
      </c>
      <c r="F2316" s="2">
        <v>2646.0</v>
      </c>
      <c r="G2316" s="2">
        <v>2253.0</v>
      </c>
      <c r="H2316" s="2" t="s">
        <v>5905</v>
      </c>
      <c r="I2316" s="2" t="s">
        <v>5906</v>
      </c>
      <c r="J2316" s="2" t="s">
        <v>7140</v>
      </c>
      <c r="K2316" s="2" t="s">
        <v>25433</v>
      </c>
      <c r="L2316" s="10" t="s">
        <v>25434</v>
      </c>
    </row>
    <row r="2317">
      <c r="A2317" s="2" t="s">
        <v>4457</v>
      </c>
      <c r="B2317" s="2" t="s">
        <v>25435</v>
      </c>
      <c r="C2317" s="2">
        <v>2.8912381E7</v>
      </c>
      <c r="D2317" s="2" t="s">
        <v>25436</v>
      </c>
      <c r="E2317" s="2">
        <v>49288.0</v>
      </c>
      <c r="F2317" s="2">
        <v>693.0</v>
      </c>
      <c r="G2317" s="2">
        <v>1109.0</v>
      </c>
      <c r="H2317" s="2" t="s">
        <v>5906</v>
      </c>
      <c r="I2317" s="2" t="s">
        <v>5905</v>
      </c>
      <c r="J2317" s="2" t="s">
        <v>6124</v>
      </c>
      <c r="K2317" s="2" t="s">
        <v>25437</v>
      </c>
      <c r="L2317" s="10" t="s">
        <v>25438</v>
      </c>
    </row>
    <row r="2318">
      <c r="A2318" s="2" t="s">
        <v>4457</v>
      </c>
      <c r="B2318" s="2" t="s">
        <v>25439</v>
      </c>
      <c r="C2318" s="2">
        <v>1.79014212E8</v>
      </c>
      <c r="D2318" s="2" t="s">
        <v>25440</v>
      </c>
      <c r="E2318" s="2">
        <v>29475.0</v>
      </c>
      <c r="F2318" s="2">
        <v>9.0</v>
      </c>
      <c r="G2318" s="2">
        <v>1069.0</v>
      </c>
      <c r="H2318" s="2" t="s">
        <v>5905</v>
      </c>
      <c r="I2318" s="2" t="s">
        <v>5906</v>
      </c>
      <c r="J2318" s="2" t="s">
        <v>5561</v>
      </c>
      <c r="K2318" s="2" t="s">
        <v>25441</v>
      </c>
      <c r="L2318" s="10" t="s">
        <v>25442</v>
      </c>
    </row>
    <row r="2319">
      <c r="A2319" s="2" t="s">
        <v>4457</v>
      </c>
      <c r="B2319" s="2" t="s">
        <v>25443</v>
      </c>
      <c r="C2319" s="2">
        <v>7.110572399E9</v>
      </c>
      <c r="D2319" s="2" t="s">
        <v>25444</v>
      </c>
      <c r="E2319" s="2">
        <v>10630.0</v>
      </c>
      <c r="F2319" s="2">
        <v>1972.0</v>
      </c>
      <c r="G2319" s="2">
        <v>369.0</v>
      </c>
      <c r="H2319" s="2" t="s">
        <v>5905</v>
      </c>
      <c r="I2319" s="2" t="s">
        <v>5906</v>
      </c>
      <c r="K2319" s="12" t="s">
        <v>25445</v>
      </c>
      <c r="L2319" s="10" t="s">
        <v>25446</v>
      </c>
    </row>
    <row r="2320">
      <c r="A2320" s="2" t="s">
        <v>4457</v>
      </c>
      <c r="B2320" s="2" t="s">
        <v>25447</v>
      </c>
      <c r="C2320" s="2">
        <v>8.763374472E9</v>
      </c>
      <c r="D2320" s="2" t="s">
        <v>25448</v>
      </c>
      <c r="E2320" s="2">
        <v>360306.0</v>
      </c>
      <c r="F2320" s="2">
        <v>488.0</v>
      </c>
      <c r="G2320" s="2">
        <v>482.0</v>
      </c>
      <c r="H2320" s="2" t="s">
        <v>5906</v>
      </c>
      <c r="I2320" s="2" t="s">
        <v>5905</v>
      </c>
      <c r="J2320" s="2" t="s">
        <v>13634</v>
      </c>
      <c r="K2320" s="2" t="s">
        <v>25449</v>
      </c>
    </row>
    <row r="2321">
      <c r="A2321" s="2" t="s">
        <v>4462</v>
      </c>
      <c r="B2321" s="2" t="s">
        <v>25450</v>
      </c>
      <c r="C2321" s="2">
        <v>4.5931925372E10</v>
      </c>
      <c r="D2321" s="2" t="s">
        <v>25451</v>
      </c>
      <c r="E2321" s="2">
        <v>31002.0</v>
      </c>
      <c r="F2321" s="2">
        <v>125.0</v>
      </c>
      <c r="G2321" s="2">
        <v>45.0</v>
      </c>
      <c r="H2321" s="2" t="s">
        <v>5905</v>
      </c>
      <c r="I2321" s="2" t="s">
        <v>5906</v>
      </c>
      <c r="J2321" s="2" t="s">
        <v>7669</v>
      </c>
      <c r="K2321" s="2" t="s">
        <v>25452</v>
      </c>
      <c r="L2321" s="10" t="s">
        <v>25453</v>
      </c>
    </row>
    <row r="2322">
      <c r="A2322" s="2" t="s">
        <v>4462</v>
      </c>
      <c r="B2322" s="2" t="s">
        <v>25454</v>
      </c>
      <c r="C2322" s="2">
        <v>5.9107096997E10</v>
      </c>
      <c r="D2322" s="2" t="s">
        <v>25455</v>
      </c>
      <c r="E2322" s="2">
        <v>174050.0</v>
      </c>
      <c r="F2322" s="2">
        <v>3.0</v>
      </c>
      <c r="G2322" s="2">
        <v>312.0</v>
      </c>
      <c r="H2322" s="2" t="s">
        <v>5905</v>
      </c>
      <c r="I2322" s="2" t="s">
        <v>5905</v>
      </c>
      <c r="J2322" s="2" t="s">
        <v>6166</v>
      </c>
      <c r="K2322" s="2" t="s">
        <v>25456</v>
      </c>
      <c r="L2322" s="10" t="s">
        <v>25457</v>
      </c>
    </row>
    <row r="2323">
      <c r="A2323" s="2" t="s">
        <v>4462</v>
      </c>
      <c r="B2323" s="2" t="s">
        <v>25458</v>
      </c>
      <c r="C2323" s="2">
        <v>2.6199095E7</v>
      </c>
      <c r="D2323" s="2" t="s">
        <v>25459</v>
      </c>
      <c r="E2323" s="2">
        <v>3706551.0</v>
      </c>
      <c r="F2323" s="2">
        <v>463.0</v>
      </c>
      <c r="G2323" s="2">
        <v>16139.0</v>
      </c>
      <c r="H2323" s="2" t="s">
        <v>5906</v>
      </c>
      <c r="I2323" s="2" t="s">
        <v>5906</v>
      </c>
      <c r="J2323" s="2" t="s">
        <v>12715</v>
      </c>
      <c r="K2323" s="2" t="s">
        <v>25460</v>
      </c>
      <c r="L2323" s="10" t="s">
        <v>25461</v>
      </c>
    </row>
    <row r="2324">
      <c r="A2324" s="2" t="s">
        <v>4462</v>
      </c>
      <c r="B2324" s="2" t="s">
        <v>25462</v>
      </c>
      <c r="C2324" s="2">
        <v>2.036202718E9</v>
      </c>
      <c r="D2324" s="2" t="s">
        <v>25463</v>
      </c>
      <c r="E2324" s="2">
        <v>177224.0</v>
      </c>
      <c r="F2324" s="2">
        <v>730.0</v>
      </c>
      <c r="G2324" s="2">
        <v>13400.0</v>
      </c>
      <c r="H2324" s="2" t="s">
        <v>5906</v>
      </c>
      <c r="I2324" s="2" t="s">
        <v>5906</v>
      </c>
      <c r="J2324" s="2" t="s">
        <v>5911</v>
      </c>
      <c r="K2324" s="2" t="s">
        <v>25464</v>
      </c>
      <c r="L2324" s="10" t="s">
        <v>25465</v>
      </c>
    </row>
    <row r="2325">
      <c r="A2325" s="2" t="s">
        <v>4462</v>
      </c>
      <c r="B2325" s="2" t="s">
        <v>25466</v>
      </c>
      <c r="C2325" s="2">
        <v>1.6389033E7</v>
      </c>
      <c r="D2325" s="2" t="s">
        <v>25467</v>
      </c>
      <c r="E2325" s="2">
        <v>1.0118241E7</v>
      </c>
      <c r="F2325" s="2">
        <v>2.0</v>
      </c>
      <c r="G2325" s="2">
        <v>36737.0</v>
      </c>
      <c r="H2325" s="2" t="s">
        <v>5906</v>
      </c>
      <c r="I2325" s="2" t="s">
        <v>5905</v>
      </c>
      <c r="K2325" s="2" t="s">
        <v>25468</v>
      </c>
      <c r="L2325" s="10" t="s">
        <v>25469</v>
      </c>
    </row>
    <row r="2326">
      <c r="A2326" s="2" t="s">
        <v>4462</v>
      </c>
      <c r="B2326" s="2" t="s">
        <v>25470</v>
      </c>
      <c r="C2326" s="2">
        <v>9.678934276E9</v>
      </c>
      <c r="D2326" s="2" t="s">
        <v>25471</v>
      </c>
      <c r="E2326" s="2">
        <v>453761.0</v>
      </c>
      <c r="F2326" s="2">
        <v>1043.0</v>
      </c>
      <c r="G2326" s="2">
        <v>2614.0</v>
      </c>
      <c r="H2326" s="2" t="s">
        <v>5905</v>
      </c>
      <c r="I2326" s="2" t="s">
        <v>5905</v>
      </c>
      <c r="J2326" s="2" t="s">
        <v>11684</v>
      </c>
      <c r="K2326" s="2" t="s">
        <v>25472</v>
      </c>
      <c r="L2326" s="10" t="s">
        <v>25473</v>
      </c>
    </row>
    <row r="2327">
      <c r="A2327" s="2" t="s">
        <v>4462</v>
      </c>
      <c r="B2327" s="2" t="s">
        <v>4462</v>
      </c>
      <c r="C2327" s="2">
        <v>1.71343084E9</v>
      </c>
      <c r="D2327" s="2" t="s">
        <v>25474</v>
      </c>
      <c r="E2327" s="2">
        <v>62651.0</v>
      </c>
      <c r="F2327" s="2">
        <v>1.0</v>
      </c>
      <c r="G2327" s="2">
        <v>1.0</v>
      </c>
      <c r="H2327" s="2" t="s">
        <v>5905</v>
      </c>
      <c r="I2327" s="2" t="s">
        <v>5906</v>
      </c>
      <c r="J2327" s="2" t="s">
        <v>5480</v>
      </c>
    </row>
    <row r="2328">
      <c r="A2328" s="2" t="s">
        <v>4462</v>
      </c>
      <c r="B2328" s="2" t="s">
        <v>25475</v>
      </c>
      <c r="C2328" s="2">
        <v>1.9718116341E10</v>
      </c>
      <c r="D2328" s="2" t="s">
        <v>25476</v>
      </c>
      <c r="E2328" s="2">
        <v>11634.0</v>
      </c>
      <c r="F2328" s="2">
        <v>704.0</v>
      </c>
      <c r="G2328" s="2">
        <v>67.0</v>
      </c>
      <c r="H2328" s="2" t="s">
        <v>5905</v>
      </c>
      <c r="I2328" s="2" t="s">
        <v>5905</v>
      </c>
      <c r="K2328" s="2" t="s">
        <v>25477</v>
      </c>
    </row>
    <row r="2329">
      <c r="A2329" s="2" t="s">
        <v>4462</v>
      </c>
      <c r="B2329" s="2" t="s">
        <v>25478</v>
      </c>
      <c r="C2329" s="2">
        <v>6.248120365E10</v>
      </c>
      <c r="D2329" s="2" t="s">
        <v>25479</v>
      </c>
      <c r="E2329" s="2">
        <v>18137.0</v>
      </c>
      <c r="F2329" s="2">
        <v>6.0</v>
      </c>
      <c r="G2329" s="2">
        <v>19.0</v>
      </c>
      <c r="H2329" s="2" t="s">
        <v>5905</v>
      </c>
      <c r="I2329" s="2" t="s">
        <v>5906</v>
      </c>
      <c r="J2329" s="2" t="s">
        <v>6002</v>
      </c>
      <c r="K2329" s="2" t="s">
        <v>25480</v>
      </c>
      <c r="L2329" s="10" t="s">
        <v>25481</v>
      </c>
    </row>
    <row r="2330">
      <c r="A2330" s="2" t="s">
        <v>4462</v>
      </c>
      <c r="B2330" s="2" t="s">
        <v>25482</v>
      </c>
      <c r="C2330" s="2">
        <v>1.188197399E10</v>
      </c>
      <c r="D2330" s="2" t="s">
        <v>25483</v>
      </c>
      <c r="E2330" s="2">
        <v>13600.0</v>
      </c>
      <c r="F2330" s="2">
        <v>1199.0</v>
      </c>
      <c r="G2330" s="2">
        <v>765.0</v>
      </c>
      <c r="H2330" s="2" t="s">
        <v>5905</v>
      </c>
      <c r="I2330" s="2" t="s">
        <v>5906</v>
      </c>
      <c r="J2330" s="2" t="s">
        <v>11684</v>
      </c>
      <c r="K2330" s="2" t="s">
        <v>25484</v>
      </c>
    </row>
    <row r="2331">
      <c r="A2331" s="2" t="s">
        <v>4428</v>
      </c>
      <c r="B2331" s="2" t="s">
        <v>25485</v>
      </c>
      <c r="C2331" s="2">
        <v>7.290276941E9</v>
      </c>
      <c r="D2331" s="2" t="s">
        <v>25486</v>
      </c>
      <c r="E2331" s="2">
        <v>120189.0</v>
      </c>
      <c r="F2331" s="2">
        <v>2110.0</v>
      </c>
      <c r="G2331" s="2">
        <v>414.0</v>
      </c>
      <c r="H2331" s="2" t="s">
        <v>5905</v>
      </c>
      <c r="I2331" s="2" t="s">
        <v>5905</v>
      </c>
      <c r="J2331" s="2" t="s">
        <v>4996</v>
      </c>
      <c r="K2331" s="2" t="s">
        <v>25487</v>
      </c>
      <c r="L2331" s="10" t="s">
        <v>25488</v>
      </c>
    </row>
    <row r="2332">
      <c r="A2332" s="2" t="s">
        <v>4428</v>
      </c>
      <c r="B2332" s="2" t="s">
        <v>25489</v>
      </c>
      <c r="C2332" s="2">
        <v>1.338889E7</v>
      </c>
      <c r="D2332" s="2" t="s">
        <v>25490</v>
      </c>
      <c r="E2332" s="2">
        <v>301319.0</v>
      </c>
      <c r="F2332" s="2">
        <v>278.0</v>
      </c>
      <c r="G2332" s="2">
        <v>83.0</v>
      </c>
      <c r="H2332" s="2" t="s">
        <v>5906</v>
      </c>
      <c r="I2332" s="2" t="s">
        <v>5906</v>
      </c>
      <c r="K2332" s="2" t="s">
        <v>25491</v>
      </c>
      <c r="L2332" s="10" t="s">
        <v>25492</v>
      </c>
    </row>
    <row r="2333">
      <c r="A2333" s="2" t="s">
        <v>4428</v>
      </c>
      <c r="B2333" s="2" t="s">
        <v>25493</v>
      </c>
      <c r="C2333" s="2">
        <v>3.258104E7</v>
      </c>
      <c r="D2333" s="2" t="s">
        <v>25494</v>
      </c>
      <c r="E2333" s="2">
        <v>147778.0</v>
      </c>
      <c r="F2333" s="2">
        <v>1920.0</v>
      </c>
      <c r="G2333" s="2">
        <v>3408.0</v>
      </c>
      <c r="H2333" s="2" t="s">
        <v>5905</v>
      </c>
      <c r="I2333" s="2" t="s">
        <v>5906</v>
      </c>
      <c r="J2333" s="2" t="s">
        <v>5561</v>
      </c>
      <c r="K2333" s="2" t="s">
        <v>25495</v>
      </c>
      <c r="L2333" s="10" t="s">
        <v>25496</v>
      </c>
    </row>
    <row r="2334">
      <c r="A2334" s="2" t="s">
        <v>4428</v>
      </c>
      <c r="B2334" s="2" t="s">
        <v>25497</v>
      </c>
      <c r="C2334" s="2">
        <v>2.9506864E7</v>
      </c>
      <c r="D2334" s="2" t="s">
        <v>25498</v>
      </c>
      <c r="E2334" s="2">
        <v>496496.0</v>
      </c>
      <c r="F2334" s="2">
        <v>108.0</v>
      </c>
      <c r="G2334" s="2">
        <v>1924.0</v>
      </c>
      <c r="H2334" s="2" t="s">
        <v>5906</v>
      </c>
      <c r="I2334" s="2" t="s">
        <v>5906</v>
      </c>
      <c r="J2334" s="2" t="s">
        <v>25282</v>
      </c>
      <c r="L2334" s="10" t="s">
        <v>25499</v>
      </c>
    </row>
    <row r="2335">
      <c r="A2335" s="2" t="s">
        <v>4428</v>
      </c>
      <c r="B2335" s="2" t="s">
        <v>25500</v>
      </c>
      <c r="C2335" s="2">
        <v>2.293818919E9</v>
      </c>
      <c r="D2335" s="2" t="s">
        <v>25501</v>
      </c>
      <c r="E2335" s="2">
        <v>33443.0</v>
      </c>
      <c r="F2335" s="2">
        <v>755.0</v>
      </c>
      <c r="G2335" s="2">
        <v>1744.0</v>
      </c>
      <c r="H2335" s="2" t="s">
        <v>5905</v>
      </c>
      <c r="I2335" s="2" t="s">
        <v>5905</v>
      </c>
      <c r="J2335" s="2" t="s">
        <v>4397</v>
      </c>
      <c r="K2335" s="2" t="s">
        <v>25502</v>
      </c>
    </row>
    <row r="2336">
      <c r="A2336" s="2" t="s">
        <v>4428</v>
      </c>
      <c r="B2336" s="2" t="s">
        <v>25305</v>
      </c>
      <c r="C2336" s="2">
        <v>3.1847300727E10</v>
      </c>
      <c r="D2336" s="2" t="s">
        <v>25306</v>
      </c>
      <c r="E2336" s="2">
        <v>391404.0</v>
      </c>
      <c r="F2336" s="2">
        <v>724.0</v>
      </c>
      <c r="G2336" s="2">
        <v>1135.0</v>
      </c>
      <c r="H2336" s="2" t="s">
        <v>5905</v>
      </c>
      <c r="I2336" s="2" t="s">
        <v>5906</v>
      </c>
      <c r="K2336" s="2" t="s">
        <v>25307</v>
      </c>
      <c r="L2336" s="10" t="s">
        <v>25308</v>
      </c>
    </row>
    <row r="2337">
      <c r="A2337" s="2" t="s">
        <v>4428</v>
      </c>
      <c r="B2337" s="2" t="s">
        <v>4428</v>
      </c>
      <c r="C2337" s="2">
        <v>1.699734851E9</v>
      </c>
      <c r="D2337" s="2" t="s">
        <v>25503</v>
      </c>
      <c r="E2337" s="2">
        <v>125980.0</v>
      </c>
      <c r="F2337" s="2">
        <v>280.0</v>
      </c>
      <c r="G2337" s="2">
        <v>580.0</v>
      </c>
      <c r="H2337" s="2" t="s">
        <v>5905</v>
      </c>
      <c r="I2337" s="2" t="s">
        <v>5906</v>
      </c>
      <c r="J2337" s="2" t="s">
        <v>5561</v>
      </c>
      <c r="K2337" s="2" t="s">
        <v>25504</v>
      </c>
    </row>
    <row r="2338">
      <c r="A2338" s="2" t="s">
        <v>4428</v>
      </c>
      <c r="B2338" s="2" t="s">
        <v>25505</v>
      </c>
      <c r="C2338" s="2">
        <v>5.2422976226E10</v>
      </c>
      <c r="D2338" s="2" t="s">
        <v>25505</v>
      </c>
      <c r="E2338" s="2">
        <v>52368.0</v>
      </c>
      <c r="F2338" s="2">
        <v>6865.0</v>
      </c>
      <c r="G2338" s="2">
        <v>620.0</v>
      </c>
      <c r="H2338" s="2" t="s">
        <v>5905</v>
      </c>
      <c r="I2338" s="2" t="s">
        <v>5905</v>
      </c>
      <c r="J2338" s="2" t="s">
        <v>5492</v>
      </c>
      <c r="K2338" s="2" t="s">
        <v>25506</v>
      </c>
      <c r="L2338" s="10" t="s">
        <v>25507</v>
      </c>
    </row>
    <row r="2339">
      <c r="A2339" s="2" t="s">
        <v>4428</v>
      </c>
      <c r="B2339" s="2" t="s">
        <v>25508</v>
      </c>
      <c r="C2339" s="2">
        <v>2.7891755363E10</v>
      </c>
      <c r="D2339" s="2" t="s">
        <v>4428</v>
      </c>
      <c r="E2339" s="2">
        <v>151561.0</v>
      </c>
      <c r="F2339" s="2">
        <v>1.0</v>
      </c>
      <c r="G2339" s="2">
        <v>958.0</v>
      </c>
      <c r="H2339" s="2" t="s">
        <v>5905</v>
      </c>
      <c r="I2339" s="2" t="s">
        <v>5906</v>
      </c>
      <c r="J2339" s="2" t="s">
        <v>6082</v>
      </c>
      <c r="K2339" s="2" t="s">
        <v>25509</v>
      </c>
    </row>
    <row r="2340">
      <c r="A2340" s="2" t="s">
        <v>4428</v>
      </c>
      <c r="B2340" s="2" t="s">
        <v>25510</v>
      </c>
      <c r="C2340" s="2">
        <v>6.263300145E9</v>
      </c>
      <c r="D2340" s="2" t="s">
        <v>4428</v>
      </c>
      <c r="E2340" s="2">
        <v>50255.0</v>
      </c>
      <c r="F2340" s="2">
        <v>3495.0</v>
      </c>
      <c r="G2340" s="2">
        <v>5030.0</v>
      </c>
      <c r="H2340" s="2" t="s">
        <v>5905</v>
      </c>
      <c r="I2340" s="2" t="s">
        <v>5906</v>
      </c>
      <c r="J2340" s="2" t="s">
        <v>6002</v>
      </c>
      <c r="K2340" s="2" t="s">
        <v>25511</v>
      </c>
      <c r="L2340" s="10" t="s">
        <v>25512</v>
      </c>
    </row>
    <row r="2341">
      <c r="A2341" s="2" t="s">
        <v>4428</v>
      </c>
      <c r="B2341" s="2" t="s">
        <v>25513</v>
      </c>
      <c r="C2341" s="2">
        <v>6.124760267E9</v>
      </c>
      <c r="D2341" s="2" t="s">
        <v>25503</v>
      </c>
      <c r="E2341" s="2">
        <v>17314.0</v>
      </c>
      <c r="F2341" s="2">
        <v>602.0</v>
      </c>
      <c r="G2341" s="2">
        <v>3855.0</v>
      </c>
      <c r="H2341" s="2" t="s">
        <v>5905</v>
      </c>
      <c r="I2341" s="2" t="s">
        <v>5906</v>
      </c>
      <c r="J2341" s="2" t="s">
        <v>6002</v>
      </c>
      <c r="K2341" s="2" t="s">
        <v>25514</v>
      </c>
      <c r="L2341" s="10" t="s">
        <v>25515</v>
      </c>
    </row>
    <row r="2342">
      <c r="A2342" s="2" t="s">
        <v>4428</v>
      </c>
      <c r="B2342" s="2" t="s">
        <v>25516</v>
      </c>
      <c r="C2342" s="2">
        <v>3.135029822E9</v>
      </c>
      <c r="D2342" s="2" t="s">
        <v>25517</v>
      </c>
      <c r="E2342" s="2">
        <v>16923.0</v>
      </c>
      <c r="F2342" s="2">
        <v>170.0</v>
      </c>
      <c r="G2342" s="2">
        <v>3240.0</v>
      </c>
      <c r="H2342" s="2" t="s">
        <v>5905</v>
      </c>
      <c r="I2342" s="2" t="s">
        <v>5905</v>
      </c>
      <c r="J2342" s="2" t="s">
        <v>13634</v>
      </c>
      <c r="K2342" s="2" t="s">
        <v>25518</v>
      </c>
      <c r="L2342" s="10" t="s">
        <v>25519</v>
      </c>
    </row>
    <row r="2343">
      <c r="A2343" s="2" t="s">
        <v>4428</v>
      </c>
      <c r="B2343" s="2" t="s">
        <v>25520</v>
      </c>
      <c r="C2343" s="2">
        <v>4.8078369036E10</v>
      </c>
      <c r="D2343" s="2" t="s">
        <v>25521</v>
      </c>
      <c r="E2343" s="2">
        <v>252154.0</v>
      </c>
      <c r="F2343" s="2">
        <v>3697.0</v>
      </c>
      <c r="G2343" s="2">
        <v>1773.0</v>
      </c>
      <c r="H2343" s="2" t="s">
        <v>5905</v>
      </c>
      <c r="I2343" s="2" t="s">
        <v>5905</v>
      </c>
      <c r="J2343" s="2" t="s">
        <v>6882</v>
      </c>
      <c r="K2343" s="2" t="s">
        <v>25522</v>
      </c>
      <c r="L2343" s="10" t="s">
        <v>25523</v>
      </c>
    </row>
    <row r="2344">
      <c r="A2344" s="2" t="s">
        <v>4428</v>
      </c>
      <c r="B2344" s="2" t="s">
        <v>25524</v>
      </c>
      <c r="C2344" s="2">
        <v>6.3898173253E10</v>
      </c>
      <c r="D2344" s="2" t="s">
        <v>25525</v>
      </c>
      <c r="E2344" s="2">
        <v>109734.0</v>
      </c>
      <c r="F2344" s="2">
        <v>311.0</v>
      </c>
      <c r="G2344" s="2">
        <v>565.0</v>
      </c>
      <c r="H2344" s="2" t="s">
        <v>5905</v>
      </c>
      <c r="I2344" s="2" t="s">
        <v>5905</v>
      </c>
      <c r="J2344" s="2" t="s">
        <v>25526</v>
      </c>
      <c r="K2344" s="2" t="s">
        <v>25527</v>
      </c>
    </row>
    <row r="2345">
      <c r="A2345" s="2" t="s">
        <v>4428</v>
      </c>
      <c r="B2345" s="2" t="s">
        <v>25528</v>
      </c>
      <c r="C2345" s="2">
        <v>1.2869123E7</v>
      </c>
      <c r="D2345" s="2" t="s">
        <v>25529</v>
      </c>
      <c r="E2345" s="2">
        <v>383225.0</v>
      </c>
      <c r="F2345" s="2">
        <v>166.0</v>
      </c>
      <c r="G2345" s="2">
        <v>4137.0</v>
      </c>
      <c r="H2345" s="2" t="s">
        <v>5906</v>
      </c>
      <c r="I2345" s="2" t="s">
        <v>5906</v>
      </c>
      <c r="K2345" s="2" t="s">
        <v>25530</v>
      </c>
      <c r="L2345" s="10" t="s">
        <v>25531</v>
      </c>
    </row>
    <row r="2346">
      <c r="A2346" s="2" t="s">
        <v>516</v>
      </c>
      <c r="B2346" s="2" t="s">
        <v>25532</v>
      </c>
      <c r="C2346" s="2">
        <v>1.84942796E8</v>
      </c>
      <c r="D2346" s="2" t="s">
        <v>25533</v>
      </c>
      <c r="E2346" s="2">
        <v>1089268.0</v>
      </c>
      <c r="F2346" s="2">
        <v>594.0</v>
      </c>
      <c r="G2346" s="2">
        <v>28531.0</v>
      </c>
      <c r="H2346" s="2" t="s">
        <v>5906</v>
      </c>
      <c r="I2346" s="2" t="s">
        <v>5906</v>
      </c>
      <c r="K2346" s="2" t="s">
        <v>25534</v>
      </c>
      <c r="L2346" s="10" t="s">
        <v>25535</v>
      </c>
    </row>
    <row r="2347">
      <c r="A2347" s="2" t="s">
        <v>516</v>
      </c>
      <c r="B2347" s="2" t="s">
        <v>25536</v>
      </c>
      <c r="C2347" s="2">
        <v>2.63819245E8</v>
      </c>
      <c r="D2347" s="2" t="s">
        <v>25537</v>
      </c>
      <c r="E2347" s="2">
        <v>3313123.0</v>
      </c>
      <c r="F2347" s="2">
        <v>845.0</v>
      </c>
      <c r="G2347" s="2">
        <v>17848.0</v>
      </c>
      <c r="H2347" s="2" t="s">
        <v>5906</v>
      </c>
      <c r="I2347" s="2" t="s">
        <v>5906</v>
      </c>
      <c r="J2347" s="2" t="s">
        <v>5963</v>
      </c>
      <c r="K2347" s="2" t="s">
        <v>25538</v>
      </c>
      <c r="L2347" s="10" t="s">
        <v>25539</v>
      </c>
    </row>
    <row r="2348">
      <c r="A2348" s="2" t="s">
        <v>516</v>
      </c>
      <c r="B2348" s="2" t="s">
        <v>25540</v>
      </c>
      <c r="C2348" s="2">
        <v>1.283387359E9</v>
      </c>
      <c r="D2348" s="2" t="s">
        <v>25541</v>
      </c>
      <c r="E2348" s="2">
        <v>843781.0</v>
      </c>
      <c r="F2348" s="2">
        <v>504.0</v>
      </c>
      <c r="G2348" s="2">
        <v>5354.0</v>
      </c>
      <c r="H2348" s="2" t="s">
        <v>5906</v>
      </c>
      <c r="I2348" s="2" t="s">
        <v>5906</v>
      </c>
      <c r="J2348" s="2" t="s">
        <v>7405</v>
      </c>
      <c r="K2348" s="2" t="s">
        <v>25542</v>
      </c>
      <c r="L2348" s="10" t="s">
        <v>25543</v>
      </c>
    </row>
    <row r="2349">
      <c r="A2349" s="2" t="s">
        <v>516</v>
      </c>
      <c r="B2349" s="2" t="s">
        <v>25544</v>
      </c>
      <c r="C2349" s="2">
        <v>1.7381156E7</v>
      </c>
      <c r="D2349" s="2" t="s">
        <v>25545</v>
      </c>
      <c r="E2349" s="2">
        <v>5837689.0</v>
      </c>
      <c r="F2349" s="2">
        <v>2433.0</v>
      </c>
      <c r="G2349" s="2">
        <v>12152.0</v>
      </c>
      <c r="H2349" s="2" t="s">
        <v>5906</v>
      </c>
      <c r="I2349" s="2" t="s">
        <v>5905</v>
      </c>
      <c r="K2349" s="2" t="s">
        <v>25546</v>
      </c>
      <c r="L2349" s="10" t="s">
        <v>25547</v>
      </c>
    </row>
    <row r="2350">
      <c r="A2350" s="2" t="s">
        <v>4596</v>
      </c>
      <c r="B2350" s="2" t="s">
        <v>25548</v>
      </c>
      <c r="C2350" s="2">
        <v>1.734320809E9</v>
      </c>
      <c r="D2350" s="2" t="s">
        <v>25549</v>
      </c>
      <c r="E2350" s="2">
        <v>21132.0</v>
      </c>
      <c r="F2350" s="2">
        <v>3686.0</v>
      </c>
      <c r="G2350" s="2">
        <v>1341.0</v>
      </c>
      <c r="H2350" s="2" t="s">
        <v>5906</v>
      </c>
      <c r="I2350" s="2" t="s">
        <v>5906</v>
      </c>
      <c r="J2350" s="2" t="s">
        <v>5959</v>
      </c>
      <c r="K2350" s="2" t="s">
        <v>25550</v>
      </c>
      <c r="L2350" s="10" t="s">
        <v>25551</v>
      </c>
    </row>
    <row r="2351">
      <c r="A2351" s="2" t="s">
        <v>4596</v>
      </c>
      <c r="B2351" s="2" t="s">
        <v>19511</v>
      </c>
      <c r="C2351" s="2">
        <v>5.68174587E8</v>
      </c>
      <c r="D2351" s="2" t="s">
        <v>19512</v>
      </c>
      <c r="E2351" s="2">
        <v>196433.0</v>
      </c>
      <c r="F2351" s="2">
        <v>965.0</v>
      </c>
      <c r="G2351" s="2">
        <v>1690.0</v>
      </c>
      <c r="H2351" s="2" t="s">
        <v>5906</v>
      </c>
      <c r="I2351" s="2" t="s">
        <v>5905</v>
      </c>
      <c r="J2351" s="2" t="s">
        <v>5959</v>
      </c>
      <c r="K2351" s="2" t="s">
        <v>19513</v>
      </c>
      <c r="L2351" s="10" t="s">
        <v>19514</v>
      </c>
    </row>
    <row r="2352">
      <c r="A2352" s="2" t="s">
        <v>4596</v>
      </c>
      <c r="B2352" s="2" t="s">
        <v>25552</v>
      </c>
      <c r="C2352" s="2">
        <v>1.601401342E9</v>
      </c>
      <c r="D2352" s="2" t="s">
        <v>25553</v>
      </c>
      <c r="E2352" s="2">
        <v>127597.0</v>
      </c>
      <c r="F2352" s="2">
        <v>3004.0</v>
      </c>
      <c r="G2352" s="2">
        <v>1566.0</v>
      </c>
      <c r="H2352" s="2" t="s">
        <v>5906</v>
      </c>
      <c r="I2352" s="2" t="s">
        <v>5905</v>
      </c>
      <c r="J2352" s="2" t="s">
        <v>5959</v>
      </c>
      <c r="K2352" s="2" t="s">
        <v>25554</v>
      </c>
      <c r="L2352" s="10" t="s">
        <v>25555</v>
      </c>
    </row>
    <row r="2353">
      <c r="A2353" s="2" t="s">
        <v>4596</v>
      </c>
      <c r="B2353" s="2" t="s">
        <v>25556</v>
      </c>
      <c r="C2353" s="2">
        <v>7.98589202E9</v>
      </c>
      <c r="D2353" s="2" t="s">
        <v>25557</v>
      </c>
      <c r="E2353" s="2">
        <v>387994.0</v>
      </c>
      <c r="F2353" s="2">
        <v>1787.0</v>
      </c>
      <c r="G2353" s="2">
        <v>1244.0</v>
      </c>
      <c r="H2353" s="2" t="s">
        <v>5906</v>
      </c>
      <c r="I2353" s="2" t="s">
        <v>5905</v>
      </c>
      <c r="J2353" s="2" t="s">
        <v>5959</v>
      </c>
      <c r="K2353" s="2" t="s">
        <v>25558</v>
      </c>
      <c r="L2353" s="10" t="s">
        <v>25559</v>
      </c>
    </row>
    <row r="2354">
      <c r="A2354" s="2" t="s">
        <v>4596</v>
      </c>
      <c r="B2354" s="2" t="s">
        <v>25560</v>
      </c>
      <c r="C2354" s="2">
        <v>2.1625145E7</v>
      </c>
      <c r="D2354" s="2" t="s">
        <v>25561</v>
      </c>
      <c r="E2354" s="2">
        <v>272321.0</v>
      </c>
      <c r="F2354" s="2">
        <v>845.0</v>
      </c>
      <c r="G2354" s="2">
        <v>2141.0</v>
      </c>
      <c r="H2354" s="2" t="s">
        <v>5906</v>
      </c>
      <c r="I2354" s="2" t="s">
        <v>5905</v>
      </c>
      <c r="J2354" s="2" t="s">
        <v>6882</v>
      </c>
      <c r="K2354" s="2" t="s">
        <v>25562</v>
      </c>
      <c r="L2354" s="10" t="s">
        <v>25563</v>
      </c>
    </row>
    <row r="2355">
      <c r="A2355" s="2" t="s">
        <v>4596</v>
      </c>
      <c r="B2355" s="2" t="s">
        <v>25564</v>
      </c>
      <c r="C2355" s="2">
        <v>6.8857709543E10</v>
      </c>
      <c r="D2355" s="2" t="s">
        <v>25565</v>
      </c>
      <c r="E2355" s="2">
        <v>13926.0</v>
      </c>
      <c r="F2355" s="2">
        <v>42.0</v>
      </c>
      <c r="G2355" s="2">
        <v>213.0</v>
      </c>
      <c r="H2355" s="2" t="s">
        <v>5905</v>
      </c>
      <c r="I2355" s="2" t="s">
        <v>5905</v>
      </c>
      <c r="J2355" s="2" t="s">
        <v>5561</v>
      </c>
      <c r="K2355" s="2" t="s">
        <v>25566</v>
      </c>
      <c r="L2355" s="10" t="s">
        <v>25567</v>
      </c>
    </row>
    <row r="2356">
      <c r="A2356" s="2" t="s">
        <v>4596</v>
      </c>
      <c r="B2356" s="2" t="s">
        <v>25568</v>
      </c>
      <c r="C2356" s="2">
        <v>2.3393270291E10</v>
      </c>
      <c r="D2356" s="2" t="s">
        <v>25569</v>
      </c>
      <c r="E2356" s="2">
        <v>10102.0</v>
      </c>
      <c r="F2356" s="2">
        <v>1002.0</v>
      </c>
      <c r="G2356" s="2">
        <v>380.0</v>
      </c>
      <c r="H2356" s="2" t="s">
        <v>5905</v>
      </c>
      <c r="I2356" s="2" t="s">
        <v>5906</v>
      </c>
      <c r="K2356" s="2" t="s">
        <v>25570</v>
      </c>
      <c r="L2356" s="10" t="s">
        <v>25571</v>
      </c>
    </row>
    <row r="2357">
      <c r="A2357" s="2" t="s">
        <v>4596</v>
      </c>
      <c r="B2357" s="2" t="s">
        <v>25572</v>
      </c>
      <c r="C2357" s="2">
        <v>5.745909356E9</v>
      </c>
      <c r="D2357" s="2" t="s">
        <v>25573</v>
      </c>
      <c r="E2357" s="2">
        <v>37081.0</v>
      </c>
      <c r="F2357" s="2">
        <v>388.0</v>
      </c>
      <c r="G2357" s="2">
        <v>1155.0</v>
      </c>
      <c r="H2357" s="2" t="s">
        <v>5905</v>
      </c>
      <c r="I2357" s="2" t="s">
        <v>5905</v>
      </c>
      <c r="J2357" s="2" t="s">
        <v>5561</v>
      </c>
      <c r="K2357" s="2" t="s">
        <v>25574</v>
      </c>
      <c r="L2357" s="10" t="s">
        <v>25575</v>
      </c>
    </row>
    <row r="2358">
      <c r="A2358" s="2" t="s">
        <v>4596</v>
      </c>
      <c r="B2358" s="2" t="s">
        <v>25576</v>
      </c>
      <c r="C2358" s="2">
        <v>5.9064633543E10</v>
      </c>
      <c r="D2358" s="2" t="s">
        <v>25577</v>
      </c>
      <c r="E2358" s="2">
        <v>81931.0</v>
      </c>
      <c r="F2358" s="2">
        <v>228.0</v>
      </c>
      <c r="G2358" s="2">
        <v>552.0</v>
      </c>
      <c r="H2358" s="2" t="s">
        <v>5905</v>
      </c>
      <c r="I2358" s="2" t="s">
        <v>5905</v>
      </c>
      <c r="J2358" s="2" t="s">
        <v>5492</v>
      </c>
      <c r="K2358" s="2" t="s">
        <v>25578</v>
      </c>
      <c r="L2358" s="10" t="s">
        <v>25579</v>
      </c>
    </row>
    <row r="2359">
      <c r="A2359" s="2" t="s">
        <v>4596</v>
      </c>
      <c r="B2359" s="2" t="s">
        <v>25580</v>
      </c>
      <c r="C2359" s="2">
        <v>6.0364306946E10</v>
      </c>
      <c r="D2359" s="2" t="s">
        <v>25581</v>
      </c>
      <c r="E2359" s="2">
        <v>26637.0</v>
      </c>
      <c r="F2359" s="2">
        <v>109.0</v>
      </c>
      <c r="G2359" s="2">
        <v>471.0</v>
      </c>
      <c r="H2359" s="2" t="s">
        <v>5905</v>
      </c>
      <c r="I2359" s="2" t="s">
        <v>5905</v>
      </c>
      <c r="J2359" s="2" t="s">
        <v>5959</v>
      </c>
      <c r="K2359" s="2" t="s">
        <v>25582</v>
      </c>
    </row>
    <row r="2360">
      <c r="A2360" s="2" t="s">
        <v>4596</v>
      </c>
      <c r="B2360" s="2" t="s">
        <v>25583</v>
      </c>
      <c r="C2360" s="2">
        <v>3.9794303686E10</v>
      </c>
      <c r="D2360" s="2" t="s">
        <v>25584</v>
      </c>
      <c r="E2360" s="2">
        <v>139289.0</v>
      </c>
      <c r="F2360" s="2">
        <v>701.0</v>
      </c>
      <c r="G2360" s="2">
        <v>696.0</v>
      </c>
      <c r="H2360" s="2" t="s">
        <v>5906</v>
      </c>
      <c r="I2360" s="2" t="s">
        <v>5905</v>
      </c>
      <c r="J2360" s="2" t="s">
        <v>5391</v>
      </c>
      <c r="K2360" s="2" t="s">
        <v>25585</v>
      </c>
      <c r="L2360" s="10" t="s">
        <v>25586</v>
      </c>
    </row>
    <row r="2361">
      <c r="A2361" s="2" t="s">
        <v>4596</v>
      </c>
      <c r="B2361" s="2" t="s">
        <v>25587</v>
      </c>
      <c r="C2361" s="2">
        <v>1.3789405975E10</v>
      </c>
      <c r="D2361" s="2" t="s">
        <v>25588</v>
      </c>
      <c r="E2361" s="2">
        <v>293519.0</v>
      </c>
      <c r="F2361" s="2">
        <v>919.0</v>
      </c>
      <c r="G2361" s="2">
        <v>819.0</v>
      </c>
      <c r="H2361" s="2" t="s">
        <v>5905</v>
      </c>
      <c r="I2361" s="2" t="s">
        <v>5905</v>
      </c>
      <c r="J2361" s="2" t="s">
        <v>8911</v>
      </c>
      <c r="K2361" s="2" t="s">
        <v>25589</v>
      </c>
      <c r="L2361" s="10" t="s">
        <v>25590</v>
      </c>
    </row>
    <row r="2362">
      <c r="A2362" s="2" t="s">
        <v>4607</v>
      </c>
      <c r="B2362" s="2" t="s">
        <v>25591</v>
      </c>
      <c r="C2362" s="2">
        <v>5.4511559849E10</v>
      </c>
      <c r="D2362" s="2" t="s">
        <v>25592</v>
      </c>
      <c r="E2362" s="2">
        <v>1214885.0</v>
      </c>
      <c r="F2362" s="2">
        <v>21.0</v>
      </c>
      <c r="G2362" s="2">
        <v>2284.0</v>
      </c>
      <c r="H2362" s="2" t="s">
        <v>5905</v>
      </c>
      <c r="I2362" s="2" t="s">
        <v>5906</v>
      </c>
      <c r="J2362" s="2" t="s">
        <v>6124</v>
      </c>
      <c r="K2362" s="2" t="s">
        <v>25593</v>
      </c>
      <c r="L2362" s="10" t="s">
        <v>25594</v>
      </c>
    </row>
    <row r="2363">
      <c r="A2363" s="2" t="s">
        <v>4607</v>
      </c>
      <c r="B2363" s="2" t="s">
        <v>25595</v>
      </c>
      <c r="C2363" s="2">
        <v>2.334984918E9</v>
      </c>
      <c r="D2363" s="2" t="s">
        <v>25596</v>
      </c>
      <c r="E2363" s="2">
        <v>62219.0</v>
      </c>
      <c r="F2363" s="2">
        <v>2788.0</v>
      </c>
      <c r="G2363" s="2">
        <v>1001.0</v>
      </c>
      <c r="H2363" s="2" t="s">
        <v>5905</v>
      </c>
      <c r="I2363" s="2" t="s">
        <v>5906</v>
      </c>
      <c r="J2363" s="2" t="s">
        <v>25597</v>
      </c>
      <c r="K2363" s="2" t="s">
        <v>25598</v>
      </c>
    </row>
    <row r="2364">
      <c r="A2364" s="2" t="s">
        <v>4607</v>
      </c>
      <c r="B2364" s="2" t="s">
        <v>25599</v>
      </c>
      <c r="C2364" s="2">
        <v>1.3694437664E10</v>
      </c>
      <c r="D2364" s="2" t="s">
        <v>25596</v>
      </c>
      <c r="E2364" s="2">
        <v>235859.0</v>
      </c>
      <c r="F2364" s="2">
        <v>1875.0</v>
      </c>
      <c r="G2364" s="2">
        <v>1091.0</v>
      </c>
      <c r="H2364" s="2" t="s">
        <v>5905</v>
      </c>
      <c r="I2364" s="2" t="s">
        <v>5906</v>
      </c>
      <c r="J2364" s="2" t="s">
        <v>16587</v>
      </c>
      <c r="K2364" s="2" t="s">
        <v>25600</v>
      </c>
    </row>
    <row r="2365">
      <c r="A2365" s="2" t="s">
        <v>4488</v>
      </c>
      <c r="B2365" s="2" t="s">
        <v>25601</v>
      </c>
      <c r="C2365" s="2">
        <v>3.757655978E10</v>
      </c>
      <c r="D2365" s="2" t="s">
        <v>25602</v>
      </c>
      <c r="E2365" s="2">
        <v>108864.0</v>
      </c>
      <c r="F2365" s="2">
        <v>60.0</v>
      </c>
      <c r="G2365" s="2">
        <v>702.0</v>
      </c>
      <c r="H2365" s="2" t="s">
        <v>5906</v>
      </c>
      <c r="I2365" s="2" t="s">
        <v>5906</v>
      </c>
      <c r="J2365" s="2" t="s">
        <v>5391</v>
      </c>
      <c r="K2365" s="2" t="s">
        <v>25603</v>
      </c>
      <c r="L2365" s="10" t="s">
        <v>25604</v>
      </c>
    </row>
    <row r="2366">
      <c r="A2366" s="2" t="s">
        <v>4488</v>
      </c>
      <c r="B2366" s="2" t="s">
        <v>25605</v>
      </c>
      <c r="C2366" s="2">
        <v>5.6194898E8</v>
      </c>
      <c r="D2366" s="2" t="s">
        <v>25606</v>
      </c>
      <c r="E2366" s="2">
        <v>12609.0</v>
      </c>
      <c r="F2366" s="2">
        <v>5538.0</v>
      </c>
      <c r="G2366" s="2">
        <v>11320.0</v>
      </c>
      <c r="H2366" s="2" t="s">
        <v>5905</v>
      </c>
      <c r="I2366" s="2" t="s">
        <v>5906</v>
      </c>
      <c r="K2366" s="2" t="s">
        <v>25607</v>
      </c>
      <c r="L2366" s="10" t="s">
        <v>25608</v>
      </c>
    </row>
    <row r="2367">
      <c r="A2367" s="2" t="s">
        <v>4488</v>
      </c>
      <c r="B2367" s="2" t="s">
        <v>25609</v>
      </c>
      <c r="C2367" s="2">
        <v>5.85614482E9</v>
      </c>
      <c r="D2367" s="2" t="s">
        <v>25610</v>
      </c>
      <c r="E2367" s="2">
        <v>82034.0</v>
      </c>
      <c r="F2367" s="2">
        <v>2441.0</v>
      </c>
      <c r="G2367" s="2">
        <v>1141.0</v>
      </c>
      <c r="H2367" s="2" t="s">
        <v>5906</v>
      </c>
      <c r="I2367" s="2" t="s">
        <v>5906</v>
      </c>
      <c r="J2367" s="2" t="s">
        <v>6002</v>
      </c>
      <c r="K2367" s="2" t="s">
        <v>25611</v>
      </c>
      <c r="L2367" s="10" t="s">
        <v>25612</v>
      </c>
    </row>
    <row r="2368">
      <c r="A2368" s="2" t="s">
        <v>4669</v>
      </c>
      <c r="B2368" s="2" t="s">
        <v>25613</v>
      </c>
      <c r="C2368" s="2">
        <v>6.060866226E10</v>
      </c>
      <c r="D2368" s="2" t="s">
        <v>25614</v>
      </c>
      <c r="E2368" s="2">
        <v>174307.0</v>
      </c>
      <c r="F2368" s="2">
        <v>75.0</v>
      </c>
      <c r="G2368" s="2">
        <v>375.0</v>
      </c>
      <c r="H2368" s="2" t="s">
        <v>5905</v>
      </c>
      <c r="I2368" s="2" t="s">
        <v>5905</v>
      </c>
      <c r="J2368" s="2" t="s">
        <v>7741</v>
      </c>
      <c r="K2368" s="2" t="s">
        <v>25615</v>
      </c>
      <c r="L2368" s="10" t="s">
        <v>25616</v>
      </c>
    </row>
    <row r="2369">
      <c r="A2369" s="2" t="s">
        <v>4669</v>
      </c>
      <c r="B2369" s="2" t="s">
        <v>25617</v>
      </c>
      <c r="C2369" s="2">
        <v>8.959773114E9</v>
      </c>
      <c r="D2369" s="2" t="s">
        <v>25618</v>
      </c>
      <c r="E2369" s="2">
        <v>87095.0</v>
      </c>
      <c r="F2369" s="2">
        <v>37.0</v>
      </c>
      <c r="G2369" s="2">
        <v>889.0</v>
      </c>
      <c r="H2369" s="2" t="s">
        <v>5905</v>
      </c>
      <c r="I2369" s="2" t="s">
        <v>5906</v>
      </c>
      <c r="J2369" s="2" t="s">
        <v>5968</v>
      </c>
      <c r="K2369" s="2" t="s">
        <v>25619</v>
      </c>
      <c r="L2369" s="10" t="s">
        <v>25620</v>
      </c>
    </row>
    <row r="2370">
      <c r="A2370" s="2" t="s">
        <v>4768</v>
      </c>
      <c r="B2370" s="2" t="s">
        <v>25621</v>
      </c>
      <c r="C2370" s="2">
        <v>4.088571986E9</v>
      </c>
      <c r="D2370" s="2" t="s">
        <v>25622</v>
      </c>
      <c r="E2370" s="2">
        <v>11736.0</v>
      </c>
      <c r="F2370" s="2">
        <v>325.0</v>
      </c>
      <c r="G2370" s="2">
        <v>715.0</v>
      </c>
      <c r="H2370" s="2" t="s">
        <v>5905</v>
      </c>
      <c r="I2370" s="2" t="s">
        <v>5906</v>
      </c>
      <c r="J2370" s="2" t="s">
        <v>15448</v>
      </c>
      <c r="K2370" s="2" t="s">
        <v>25623</v>
      </c>
    </row>
    <row r="2371">
      <c r="A2371" s="2" t="s">
        <v>4626</v>
      </c>
      <c r="B2371" s="2" t="s">
        <v>25624</v>
      </c>
      <c r="C2371" s="2">
        <v>1.83294297E8</v>
      </c>
      <c r="D2371" s="2" t="s">
        <v>25624</v>
      </c>
      <c r="E2371" s="2">
        <v>563219.0</v>
      </c>
      <c r="F2371" s="2">
        <v>793.0</v>
      </c>
      <c r="G2371" s="2">
        <v>29538.0</v>
      </c>
      <c r="H2371" s="2" t="s">
        <v>5905</v>
      </c>
      <c r="I2371" s="2" t="s">
        <v>5906</v>
      </c>
      <c r="K2371" s="2" t="s">
        <v>25625</v>
      </c>
    </row>
    <row r="2372">
      <c r="A2372" s="2" t="s">
        <v>4626</v>
      </c>
      <c r="B2372" s="2" t="s">
        <v>25626</v>
      </c>
      <c r="C2372" s="2">
        <v>3.034085883E9</v>
      </c>
      <c r="D2372" s="2" t="s">
        <v>25627</v>
      </c>
      <c r="E2372" s="2">
        <v>82313.0</v>
      </c>
      <c r="F2372" s="2">
        <v>457.0</v>
      </c>
      <c r="G2372" s="2">
        <v>9647.0</v>
      </c>
      <c r="H2372" s="2" t="s">
        <v>5906</v>
      </c>
      <c r="I2372" s="2" t="s">
        <v>5906</v>
      </c>
      <c r="J2372" s="2" t="s">
        <v>5907</v>
      </c>
      <c r="K2372" s="2" t="s">
        <v>25628</v>
      </c>
      <c r="L2372" s="10" t="s">
        <v>25629</v>
      </c>
    </row>
    <row r="2373">
      <c r="A2373" s="2" t="s">
        <v>4626</v>
      </c>
      <c r="B2373" s="2" t="s">
        <v>24885</v>
      </c>
      <c r="C2373" s="2">
        <v>4.66252669E10</v>
      </c>
      <c r="D2373" s="2" t="s">
        <v>24886</v>
      </c>
      <c r="E2373" s="2">
        <v>67519.0</v>
      </c>
      <c r="F2373" s="2">
        <v>63.0</v>
      </c>
      <c r="G2373" s="2">
        <v>365.0</v>
      </c>
      <c r="H2373" s="2" t="s">
        <v>5905</v>
      </c>
      <c r="I2373" s="2" t="s">
        <v>5905</v>
      </c>
      <c r="J2373" s="2" t="s">
        <v>6032</v>
      </c>
      <c r="K2373" s="2" t="s">
        <v>24887</v>
      </c>
    </row>
    <row r="2374">
      <c r="A2374" s="2" t="s">
        <v>4626</v>
      </c>
      <c r="B2374" s="2" t="s">
        <v>25630</v>
      </c>
      <c r="C2374" s="2">
        <v>6.9716596531E10</v>
      </c>
      <c r="D2374" s="2" t="s">
        <v>25631</v>
      </c>
      <c r="E2374" s="2">
        <v>14321.0</v>
      </c>
      <c r="F2374" s="2">
        <v>23.0</v>
      </c>
      <c r="G2374" s="2">
        <v>410.0</v>
      </c>
      <c r="H2374" s="2" t="s">
        <v>5905</v>
      </c>
      <c r="I2374" s="2" t="s">
        <v>5905</v>
      </c>
      <c r="J2374" s="2" t="s">
        <v>5484</v>
      </c>
      <c r="K2374" s="2" t="s">
        <v>25632</v>
      </c>
      <c r="L2374" s="10" t="s">
        <v>25633</v>
      </c>
    </row>
    <row r="2375">
      <c r="A2375" s="2" t="s">
        <v>4626</v>
      </c>
      <c r="B2375" s="2" t="s">
        <v>25634</v>
      </c>
      <c r="C2375" s="2">
        <v>2.944861357E9</v>
      </c>
      <c r="D2375" s="2" t="s">
        <v>25635</v>
      </c>
      <c r="E2375" s="2">
        <v>84874.0</v>
      </c>
      <c r="F2375" s="2">
        <v>2774.0</v>
      </c>
      <c r="G2375" s="2">
        <v>21527.0</v>
      </c>
      <c r="H2375" s="2" t="s">
        <v>5905</v>
      </c>
      <c r="I2375" s="2" t="s">
        <v>5906</v>
      </c>
      <c r="K2375" s="12" t="s">
        <v>25636</v>
      </c>
      <c r="L2375" s="10" t="s">
        <v>25637</v>
      </c>
    </row>
    <row r="2376">
      <c r="A2376" s="2" t="s">
        <v>4626</v>
      </c>
      <c r="B2376" s="2" t="s">
        <v>25638</v>
      </c>
      <c r="C2376" s="2">
        <v>5.4832667638E10</v>
      </c>
      <c r="D2376" s="2" t="s">
        <v>25631</v>
      </c>
      <c r="E2376" s="2">
        <v>285005.0</v>
      </c>
      <c r="F2376" s="2">
        <v>205.0</v>
      </c>
      <c r="G2376" s="2">
        <v>11700.0</v>
      </c>
      <c r="H2376" s="2" t="s">
        <v>5905</v>
      </c>
      <c r="I2376" s="2" t="s">
        <v>5906</v>
      </c>
      <c r="J2376" s="2" t="s">
        <v>4397</v>
      </c>
      <c r="K2376" s="2" t="s">
        <v>25639</v>
      </c>
    </row>
    <row r="2377">
      <c r="A2377" s="2" t="s">
        <v>4625</v>
      </c>
      <c r="B2377" s="2" t="s">
        <v>25640</v>
      </c>
      <c r="C2377" s="2">
        <v>9.65627823E8</v>
      </c>
      <c r="D2377" s="2" t="s">
        <v>25641</v>
      </c>
      <c r="E2377" s="2">
        <v>16517.0</v>
      </c>
      <c r="F2377" s="2">
        <v>280.0</v>
      </c>
      <c r="G2377" s="2">
        <v>700.0</v>
      </c>
      <c r="H2377" s="2" t="s">
        <v>5905</v>
      </c>
      <c r="I2377" s="2" t="s">
        <v>5906</v>
      </c>
      <c r="J2377" s="2" t="s">
        <v>5561</v>
      </c>
      <c r="K2377" s="2" t="s">
        <v>25642</v>
      </c>
    </row>
    <row r="2378">
      <c r="A2378" s="2" t="s">
        <v>4619</v>
      </c>
      <c r="B2378" s="2" t="s">
        <v>25643</v>
      </c>
      <c r="C2378" s="2">
        <v>4.5096551296E10</v>
      </c>
      <c r="D2378" s="2" t="s">
        <v>25644</v>
      </c>
      <c r="E2378" s="2">
        <v>16480.0</v>
      </c>
      <c r="F2378" s="2">
        <v>0.0</v>
      </c>
      <c r="G2378" s="2">
        <v>96.0</v>
      </c>
      <c r="H2378" s="2" t="s">
        <v>5905</v>
      </c>
      <c r="I2378" s="2" t="s">
        <v>5906</v>
      </c>
      <c r="J2378" s="2" t="s">
        <v>6166</v>
      </c>
      <c r="K2378" s="2" t="s">
        <v>25645</v>
      </c>
      <c r="L2378" s="10" t="s">
        <v>25646</v>
      </c>
    </row>
    <row r="2379">
      <c r="A2379" s="2" t="s">
        <v>4619</v>
      </c>
      <c r="B2379" s="2" t="s">
        <v>25647</v>
      </c>
      <c r="C2379" s="2">
        <v>5.5052805747E10</v>
      </c>
      <c r="D2379" s="2" t="s">
        <v>25648</v>
      </c>
      <c r="E2379" s="2">
        <v>150886.0</v>
      </c>
      <c r="F2379" s="2">
        <v>6.0</v>
      </c>
      <c r="G2379" s="2">
        <v>2409.0</v>
      </c>
      <c r="H2379" s="2" t="s">
        <v>5905</v>
      </c>
      <c r="I2379" s="2" t="s">
        <v>5905</v>
      </c>
      <c r="J2379" s="2" t="s">
        <v>5561</v>
      </c>
      <c r="K2379" s="2" t="s">
        <v>25649</v>
      </c>
    </row>
    <row r="2380">
      <c r="A2380" s="2" t="s">
        <v>4619</v>
      </c>
      <c r="B2380" s="2" t="s">
        <v>25650</v>
      </c>
      <c r="C2380" s="2">
        <v>4.8379883958E10</v>
      </c>
      <c r="D2380" s="2" t="s">
        <v>25651</v>
      </c>
      <c r="E2380" s="2">
        <v>582472.0</v>
      </c>
      <c r="F2380" s="2">
        <v>120.0</v>
      </c>
      <c r="G2380" s="2">
        <v>3554.0</v>
      </c>
      <c r="H2380" s="2" t="s">
        <v>5906</v>
      </c>
      <c r="I2380" s="2" t="s">
        <v>5905</v>
      </c>
      <c r="J2380" s="2" t="s">
        <v>11376</v>
      </c>
      <c r="K2380" s="2" t="s">
        <v>25652</v>
      </c>
    </row>
    <row r="2381">
      <c r="A2381" s="2" t="s">
        <v>4619</v>
      </c>
      <c r="B2381" s="2" t="s">
        <v>25653</v>
      </c>
      <c r="C2381" s="2">
        <v>1.0901635781E10</v>
      </c>
      <c r="D2381" s="2" t="s">
        <v>25654</v>
      </c>
      <c r="E2381" s="2">
        <v>312528.0</v>
      </c>
      <c r="F2381" s="2">
        <v>162.0</v>
      </c>
      <c r="G2381" s="2">
        <v>2763.0</v>
      </c>
      <c r="H2381" s="2" t="s">
        <v>5905</v>
      </c>
      <c r="I2381" s="2" t="s">
        <v>5905</v>
      </c>
      <c r="J2381" s="2" t="s">
        <v>5911</v>
      </c>
      <c r="K2381" s="2" t="s">
        <v>25655</v>
      </c>
    </row>
    <row r="2382">
      <c r="A2382" s="2" t="s">
        <v>4619</v>
      </c>
      <c r="B2382" s="2" t="s">
        <v>25656</v>
      </c>
      <c r="C2382" s="2">
        <v>3.3606126835E10</v>
      </c>
      <c r="D2382" s="2" t="s">
        <v>25657</v>
      </c>
      <c r="E2382" s="2">
        <v>91492.0</v>
      </c>
      <c r="F2382" s="2">
        <v>41.0</v>
      </c>
      <c r="G2382" s="2">
        <v>405.0</v>
      </c>
      <c r="H2382" s="2" t="s">
        <v>5905</v>
      </c>
      <c r="I2382" s="2" t="s">
        <v>5905</v>
      </c>
      <c r="J2382" s="2" t="s">
        <v>5968</v>
      </c>
      <c r="K2382" s="2" t="s">
        <v>25658</v>
      </c>
      <c r="L2382" s="10" t="s">
        <v>25659</v>
      </c>
    </row>
    <row r="2383">
      <c r="A2383" s="2" t="s">
        <v>4619</v>
      </c>
      <c r="B2383" s="2" t="s">
        <v>25660</v>
      </c>
      <c r="C2383" s="2">
        <v>4.9574800117E10</v>
      </c>
      <c r="D2383" s="2" t="s">
        <v>25661</v>
      </c>
      <c r="E2383" s="2">
        <v>112333.0</v>
      </c>
      <c r="F2383" s="2">
        <v>67.0</v>
      </c>
      <c r="G2383" s="2">
        <v>389.0</v>
      </c>
      <c r="H2383" s="2" t="s">
        <v>5905</v>
      </c>
      <c r="I2383" s="2" t="s">
        <v>5905</v>
      </c>
      <c r="J2383" s="2" t="s">
        <v>5968</v>
      </c>
      <c r="K2383" s="2" t="s">
        <v>25662</v>
      </c>
      <c r="L2383" s="10" t="s">
        <v>25663</v>
      </c>
    </row>
    <row r="2384">
      <c r="A2384" s="2" t="s">
        <v>4619</v>
      </c>
      <c r="B2384" s="2" t="s">
        <v>25664</v>
      </c>
      <c r="C2384" s="2">
        <v>6.2949551453E10</v>
      </c>
      <c r="D2384" s="2" t="s">
        <v>25665</v>
      </c>
      <c r="E2384" s="2">
        <v>688923.0</v>
      </c>
      <c r="F2384" s="2">
        <v>0.0</v>
      </c>
      <c r="G2384" s="2">
        <v>818.0</v>
      </c>
      <c r="H2384" s="2" t="s">
        <v>5905</v>
      </c>
      <c r="I2384" s="2" t="s">
        <v>5905</v>
      </c>
      <c r="J2384" s="2" t="s">
        <v>5928</v>
      </c>
      <c r="K2384" s="2" t="s">
        <v>25666</v>
      </c>
    </row>
    <row r="2385">
      <c r="A2385" s="2" t="s">
        <v>4619</v>
      </c>
      <c r="B2385" s="2" t="s">
        <v>25667</v>
      </c>
      <c r="C2385" s="2">
        <v>1.0414809794E10</v>
      </c>
      <c r="D2385" s="2" t="s">
        <v>25668</v>
      </c>
      <c r="E2385" s="2">
        <v>1508622.0</v>
      </c>
      <c r="F2385" s="2">
        <v>310.0</v>
      </c>
      <c r="G2385" s="2">
        <v>8129.0</v>
      </c>
      <c r="H2385" s="2" t="s">
        <v>5906</v>
      </c>
      <c r="I2385" s="2" t="s">
        <v>5905</v>
      </c>
      <c r="J2385" s="2" t="s">
        <v>5907</v>
      </c>
      <c r="K2385" s="2" t="s">
        <v>25669</v>
      </c>
      <c r="L2385" s="10" t="s">
        <v>25670</v>
      </c>
    </row>
    <row r="2386">
      <c r="A2386" s="2" t="s">
        <v>4619</v>
      </c>
      <c r="B2386" s="2" t="s">
        <v>25671</v>
      </c>
      <c r="C2386" s="2">
        <v>5.9112876637E10</v>
      </c>
      <c r="D2386" s="2" t="s">
        <v>4619</v>
      </c>
      <c r="E2386" s="2">
        <v>218669.0</v>
      </c>
      <c r="F2386" s="2">
        <v>43.0</v>
      </c>
      <c r="G2386" s="2">
        <v>2005.0</v>
      </c>
      <c r="H2386" s="2" t="s">
        <v>5905</v>
      </c>
      <c r="I2386" s="2" t="s">
        <v>5905</v>
      </c>
      <c r="J2386" s="2" t="s">
        <v>5391</v>
      </c>
      <c r="K2386" s="2" t="s">
        <v>25672</v>
      </c>
    </row>
    <row r="2387">
      <c r="A2387" s="2" t="s">
        <v>4619</v>
      </c>
      <c r="B2387" s="2" t="s">
        <v>25673</v>
      </c>
      <c r="C2387" s="2">
        <v>4.91842749E9</v>
      </c>
      <c r="D2387" s="2" t="s">
        <v>25674</v>
      </c>
      <c r="E2387" s="2">
        <v>156485.0</v>
      </c>
      <c r="F2387" s="2">
        <v>2763.0</v>
      </c>
      <c r="G2387" s="2">
        <v>575.0</v>
      </c>
      <c r="H2387" s="2" t="s">
        <v>5906</v>
      </c>
      <c r="I2387" s="2" t="s">
        <v>5905</v>
      </c>
      <c r="J2387" s="2" t="s">
        <v>5968</v>
      </c>
      <c r="K2387" s="2" t="s">
        <v>25675</v>
      </c>
      <c r="L2387" s="10" t="s">
        <v>25676</v>
      </c>
    </row>
    <row r="2388">
      <c r="A2388" s="2" t="s">
        <v>4619</v>
      </c>
      <c r="B2388" s="2" t="s">
        <v>16009</v>
      </c>
      <c r="C2388" s="2">
        <v>5.034927307E10</v>
      </c>
      <c r="D2388" s="2" t="s">
        <v>16010</v>
      </c>
      <c r="E2388" s="2">
        <v>119385.0</v>
      </c>
      <c r="F2388" s="2">
        <v>61.0</v>
      </c>
      <c r="G2388" s="2">
        <v>1049.0</v>
      </c>
      <c r="H2388" s="2" t="s">
        <v>5905</v>
      </c>
      <c r="I2388" s="2" t="s">
        <v>5905</v>
      </c>
      <c r="J2388" s="2" t="s">
        <v>5968</v>
      </c>
      <c r="K2388" s="2" t="s">
        <v>16011</v>
      </c>
      <c r="L2388" s="10" t="s">
        <v>16012</v>
      </c>
    </row>
    <row r="2389">
      <c r="A2389" s="2" t="s">
        <v>4619</v>
      </c>
      <c r="B2389" s="2" t="s">
        <v>25677</v>
      </c>
      <c r="C2389" s="2">
        <v>1.2099046434E10</v>
      </c>
      <c r="D2389" s="2" t="s">
        <v>25678</v>
      </c>
      <c r="E2389" s="2">
        <v>242895.0</v>
      </c>
      <c r="F2389" s="2">
        <v>103.0</v>
      </c>
      <c r="G2389" s="2">
        <v>4802.0</v>
      </c>
      <c r="H2389" s="2" t="s">
        <v>5905</v>
      </c>
      <c r="I2389" s="2" t="s">
        <v>5905</v>
      </c>
      <c r="J2389" s="2" t="s">
        <v>6002</v>
      </c>
      <c r="K2389" s="2" t="s">
        <v>25679</v>
      </c>
    </row>
    <row r="2390">
      <c r="A2390" s="2" t="s">
        <v>4619</v>
      </c>
      <c r="B2390" s="2" t="s">
        <v>25680</v>
      </c>
      <c r="C2390" s="2">
        <v>6.884633997E9</v>
      </c>
      <c r="D2390" s="2" t="s">
        <v>25681</v>
      </c>
      <c r="E2390" s="2">
        <v>266356.0</v>
      </c>
      <c r="F2390" s="2">
        <v>3585.0</v>
      </c>
      <c r="G2390" s="2">
        <v>1273.0</v>
      </c>
      <c r="H2390" s="2" t="s">
        <v>5905</v>
      </c>
      <c r="I2390" s="2" t="s">
        <v>5906</v>
      </c>
      <c r="J2390" s="2" t="s">
        <v>6073</v>
      </c>
      <c r="K2390" s="2" t="s">
        <v>25682</v>
      </c>
      <c r="L2390" s="10" t="s">
        <v>25683</v>
      </c>
    </row>
    <row r="2391">
      <c r="A2391" s="2" t="s">
        <v>4761</v>
      </c>
      <c r="B2391" s="2" t="s">
        <v>25684</v>
      </c>
      <c r="C2391" s="2">
        <v>5.1315599142E10</v>
      </c>
      <c r="D2391" s="2" t="s">
        <v>25685</v>
      </c>
      <c r="E2391" s="2">
        <v>12471.0</v>
      </c>
      <c r="F2391" s="2">
        <v>36.0</v>
      </c>
      <c r="G2391" s="2">
        <v>15.0</v>
      </c>
      <c r="H2391" s="2" t="s">
        <v>5905</v>
      </c>
      <c r="I2391" s="2" t="s">
        <v>5906</v>
      </c>
      <c r="J2391" s="2" t="s">
        <v>11376</v>
      </c>
      <c r="K2391" s="2" t="s">
        <v>25686</v>
      </c>
    </row>
    <row r="2392">
      <c r="A2392" s="2" t="s">
        <v>4761</v>
      </c>
      <c r="B2392" s="2" t="s">
        <v>25687</v>
      </c>
      <c r="C2392" s="2">
        <v>3.6394689658E10</v>
      </c>
      <c r="D2392" s="2" t="s">
        <v>25688</v>
      </c>
      <c r="E2392" s="2">
        <v>173992.0</v>
      </c>
      <c r="F2392" s="2">
        <v>15.0</v>
      </c>
      <c r="G2392" s="2">
        <v>1395.0</v>
      </c>
      <c r="H2392" s="2" t="s">
        <v>5905</v>
      </c>
      <c r="I2392" s="2" t="s">
        <v>5906</v>
      </c>
      <c r="J2392" s="2" t="s">
        <v>5968</v>
      </c>
      <c r="K2392" s="2" t="s">
        <v>25689</v>
      </c>
      <c r="L2392" s="10" t="s">
        <v>25690</v>
      </c>
    </row>
    <row r="2393">
      <c r="A2393" s="2" t="s">
        <v>4761</v>
      </c>
      <c r="B2393" s="2" t="s">
        <v>25691</v>
      </c>
      <c r="C2393" s="2">
        <v>1.0389337879E10</v>
      </c>
      <c r="D2393" s="2" t="s">
        <v>25692</v>
      </c>
      <c r="E2393" s="2">
        <v>97222.0</v>
      </c>
      <c r="F2393" s="2">
        <v>0.0</v>
      </c>
      <c r="G2393" s="2">
        <v>1622.0</v>
      </c>
      <c r="H2393" s="2" t="s">
        <v>5905</v>
      </c>
      <c r="I2393" s="2" t="s">
        <v>5905</v>
      </c>
      <c r="J2393" s="2" t="s">
        <v>5959</v>
      </c>
      <c r="K2393" s="2" t="s">
        <v>25693</v>
      </c>
    </row>
    <row r="2394">
      <c r="A2394" s="2" t="s">
        <v>4761</v>
      </c>
      <c r="B2394" s="2" t="s">
        <v>25694</v>
      </c>
      <c r="C2394" s="2">
        <v>4.486197841E9</v>
      </c>
      <c r="D2394" s="2" t="s">
        <v>25695</v>
      </c>
      <c r="E2394" s="2">
        <v>95654.0</v>
      </c>
      <c r="F2394" s="2">
        <v>174.0</v>
      </c>
      <c r="G2394" s="2">
        <v>1381.0</v>
      </c>
      <c r="H2394" s="2" t="s">
        <v>5905</v>
      </c>
      <c r="I2394" s="2" t="s">
        <v>5906</v>
      </c>
      <c r="J2394" s="2" t="s">
        <v>24636</v>
      </c>
      <c r="K2394" s="2" t="s">
        <v>25696</v>
      </c>
    </row>
    <row r="2395">
      <c r="A2395" s="2" t="s">
        <v>4518</v>
      </c>
      <c r="B2395" s="2" t="s">
        <v>25697</v>
      </c>
      <c r="C2395" s="2">
        <v>4.523507405E10</v>
      </c>
      <c r="D2395" s="2" t="s">
        <v>25698</v>
      </c>
      <c r="E2395" s="2">
        <v>308421.0</v>
      </c>
      <c r="F2395" s="2">
        <v>406.0</v>
      </c>
      <c r="G2395" s="2">
        <v>3447.0</v>
      </c>
      <c r="H2395" s="2" t="s">
        <v>5905</v>
      </c>
      <c r="I2395" s="2" t="s">
        <v>5905</v>
      </c>
      <c r="J2395" s="2" t="s">
        <v>6171</v>
      </c>
      <c r="K2395" s="2" t="s">
        <v>25699</v>
      </c>
    </row>
    <row r="2396">
      <c r="A2396" s="2" t="s">
        <v>4518</v>
      </c>
      <c r="B2396" s="2" t="s">
        <v>25700</v>
      </c>
      <c r="C2396" s="2">
        <v>5.598608238E10</v>
      </c>
      <c r="D2396" s="2" t="s">
        <v>25701</v>
      </c>
      <c r="E2396" s="2">
        <v>394408.0</v>
      </c>
      <c r="F2396" s="2">
        <v>130.0</v>
      </c>
      <c r="G2396" s="2">
        <v>120.0</v>
      </c>
      <c r="H2396" s="2" t="s">
        <v>5906</v>
      </c>
      <c r="I2396" s="2" t="s">
        <v>5906</v>
      </c>
      <c r="J2396" s="2" t="s">
        <v>6882</v>
      </c>
      <c r="K2396" s="2" t="s">
        <v>25702</v>
      </c>
      <c r="L2396" s="10" t="s">
        <v>25703</v>
      </c>
    </row>
    <row r="2397">
      <c r="A2397" s="2" t="s">
        <v>4518</v>
      </c>
      <c r="B2397" s="2" t="s">
        <v>25704</v>
      </c>
      <c r="C2397" s="2">
        <v>7.0880746615E10</v>
      </c>
      <c r="D2397" s="2" t="s">
        <v>25705</v>
      </c>
      <c r="E2397" s="2">
        <v>57003.0</v>
      </c>
      <c r="F2397" s="2">
        <v>0.0</v>
      </c>
      <c r="G2397" s="2">
        <v>768.0</v>
      </c>
      <c r="H2397" s="2" t="s">
        <v>5905</v>
      </c>
      <c r="I2397" s="2" t="s">
        <v>5905</v>
      </c>
      <c r="J2397" s="2" t="s">
        <v>5561</v>
      </c>
      <c r="K2397" s="2" t="s">
        <v>25706</v>
      </c>
    </row>
    <row r="2398">
      <c r="A2398" s="2" t="s">
        <v>4518</v>
      </c>
      <c r="B2398" s="2" t="s">
        <v>25707</v>
      </c>
      <c r="C2398" s="2">
        <v>6.2592075379E10</v>
      </c>
      <c r="D2398" s="2" t="s">
        <v>25708</v>
      </c>
      <c r="E2398" s="2">
        <v>34805.0</v>
      </c>
      <c r="F2398" s="2">
        <v>25.0</v>
      </c>
      <c r="G2398" s="2">
        <v>50.0</v>
      </c>
      <c r="H2398" s="2" t="s">
        <v>5905</v>
      </c>
      <c r="I2398" s="2" t="s">
        <v>5905</v>
      </c>
      <c r="J2398" s="2" t="s">
        <v>5959</v>
      </c>
      <c r="K2398" s="2" t="s">
        <v>25709</v>
      </c>
      <c r="L2398" s="10" t="s">
        <v>25710</v>
      </c>
    </row>
    <row r="2399">
      <c r="A2399" s="2" t="s">
        <v>4518</v>
      </c>
      <c r="B2399" s="2" t="s">
        <v>25711</v>
      </c>
      <c r="C2399" s="2">
        <v>4.767823725E9</v>
      </c>
      <c r="D2399" s="2" t="s">
        <v>25712</v>
      </c>
      <c r="E2399" s="2">
        <v>11730.0</v>
      </c>
      <c r="F2399" s="2">
        <v>2309.0</v>
      </c>
      <c r="G2399" s="2">
        <v>3924.0</v>
      </c>
      <c r="H2399" s="2" t="s">
        <v>5905</v>
      </c>
      <c r="I2399" s="2" t="s">
        <v>5905</v>
      </c>
      <c r="J2399" s="2" t="s">
        <v>5928</v>
      </c>
      <c r="K2399" s="2" t="s">
        <v>25713</v>
      </c>
      <c r="L2399" s="10" t="s">
        <v>25714</v>
      </c>
    </row>
    <row r="2400">
      <c r="A2400" s="2" t="s">
        <v>4518</v>
      </c>
      <c r="B2400" s="2" t="s">
        <v>11776</v>
      </c>
      <c r="C2400" s="2">
        <v>6.3865296762E10</v>
      </c>
      <c r="D2400" s="2" t="s">
        <v>11777</v>
      </c>
      <c r="E2400" s="2">
        <v>11975.0</v>
      </c>
      <c r="F2400" s="2">
        <v>78.0</v>
      </c>
      <c r="G2400" s="2">
        <v>164.0</v>
      </c>
      <c r="H2400" s="2" t="s">
        <v>5905</v>
      </c>
      <c r="I2400" s="2" t="s">
        <v>5905</v>
      </c>
      <c r="J2400" s="2" t="s">
        <v>5928</v>
      </c>
      <c r="K2400" s="2" t="s">
        <v>11778</v>
      </c>
      <c r="L2400" s="10" t="s">
        <v>11779</v>
      </c>
    </row>
    <row r="2401">
      <c r="A2401" s="2" t="s">
        <v>4518</v>
      </c>
      <c r="B2401" s="2" t="s">
        <v>25715</v>
      </c>
      <c r="C2401" s="2">
        <v>3.617229919E9</v>
      </c>
      <c r="D2401" s="2" t="s">
        <v>25716</v>
      </c>
      <c r="E2401" s="2">
        <v>592970.0</v>
      </c>
      <c r="F2401" s="2">
        <v>455.0</v>
      </c>
      <c r="G2401" s="2">
        <v>2710.0</v>
      </c>
      <c r="H2401" s="2" t="s">
        <v>5905</v>
      </c>
      <c r="I2401" s="2" t="s">
        <v>5906</v>
      </c>
      <c r="J2401" s="2" t="s">
        <v>5959</v>
      </c>
      <c r="K2401" s="2" t="s">
        <v>25717</v>
      </c>
      <c r="L2401" s="10" t="s">
        <v>25718</v>
      </c>
    </row>
    <row r="2402">
      <c r="A2402" s="2" t="s">
        <v>4746</v>
      </c>
      <c r="B2402" s="2" t="s">
        <v>25719</v>
      </c>
      <c r="C2402" s="2">
        <v>3.252031014E9</v>
      </c>
      <c r="D2402" s="2" t="s">
        <v>25720</v>
      </c>
      <c r="E2402" s="2">
        <v>322966.0</v>
      </c>
      <c r="F2402" s="2">
        <v>155.0</v>
      </c>
      <c r="G2402" s="2">
        <v>2401.0</v>
      </c>
      <c r="H2402" s="2" t="s">
        <v>5905</v>
      </c>
      <c r="I2402" s="2" t="s">
        <v>5905</v>
      </c>
      <c r="J2402" s="2" t="s">
        <v>5561</v>
      </c>
      <c r="K2402" s="2" t="s">
        <v>25721</v>
      </c>
      <c r="L2402" s="10" t="s">
        <v>25722</v>
      </c>
    </row>
    <row r="2403">
      <c r="A2403" s="2" t="s">
        <v>4746</v>
      </c>
      <c r="B2403" s="2" t="s">
        <v>25723</v>
      </c>
      <c r="C2403" s="2">
        <v>3.01011173E9</v>
      </c>
      <c r="D2403" s="2" t="s">
        <v>25724</v>
      </c>
      <c r="E2403" s="2">
        <v>106468.0</v>
      </c>
      <c r="F2403" s="2">
        <v>6.0</v>
      </c>
      <c r="G2403" s="2">
        <v>1746.0</v>
      </c>
      <c r="H2403" s="2" t="s">
        <v>5905</v>
      </c>
      <c r="I2403" s="2" t="s">
        <v>5906</v>
      </c>
      <c r="J2403" s="2" t="s">
        <v>5561</v>
      </c>
      <c r="K2403" s="13" t="s">
        <v>25725</v>
      </c>
      <c r="L2403" s="10" t="s">
        <v>25726</v>
      </c>
    </row>
    <row r="2404">
      <c r="A2404" s="2" t="s">
        <v>4746</v>
      </c>
      <c r="B2404" s="10" t="s">
        <v>25727</v>
      </c>
      <c r="C2404" s="2">
        <v>5.5083602079E10</v>
      </c>
      <c r="D2404" s="2" t="s">
        <v>25728</v>
      </c>
      <c r="E2404" s="2">
        <v>50635.0</v>
      </c>
      <c r="F2404" s="2">
        <v>1152.0</v>
      </c>
      <c r="G2404" s="2">
        <v>1575.0</v>
      </c>
      <c r="H2404" s="2" t="s">
        <v>5906</v>
      </c>
      <c r="I2404" s="2" t="s">
        <v>5906</v>
      </c>
      <c r="J2404" s="2" t="s">
        <v>5485</v>
      </c>
      <c r="K2404" s="2" t="s">
        <v>25729</v>
      </c>
      <c r="L2404" s="10" t="s">
        <v>25730</v>
      </c>
    </row>
    <row r="2405">
      <c r="A2405" s="2" t="s">
        <v>4746</v>
      </c>
      <c r="B2405" s="2" t="s">
        <v>25731</v>
      </c>
      <c r="C2405" s="2">
        <v>2.326955065E9</v>
      </c>
      <c r="D2405" s="2" t="s">
        <v>25732</v>
      </c>
      <c r="E2405" s="2">
        <v>342286.0</v>
      </c>
      <c r="F2405" s="2">
        <v>6.0</v>
      </c>
      <c r="G2405" s="2">
        <v>3209.0</v>
      </c>
      <c r="H2405" s="2" t="s">
        <v>5905</v>
      </c>
      <c r="I2405" s="2" t="s">
        <v>5905</v>
      </c>
      <c r="J2405" s="2" t="s">
        <v>6887</v>
      </c>
      <c r="K2405" s="13" t="s">
        <v>25733</v>
      </c>
      <c r="L2405" s="10" t="s">
        <v>25734</v>
      </c>
    </row>
    <row r="2406">
      <c r="A2406" s="2" t="s">
        <v>4746</v>
      </c>
      <c r="B2406" s="2" t="s">
        <v>25735</v>
      </c>
      <c r="C2406" s="2">
        <v>3.669302056E9</v>
      </c>
      <c r="D2406" s="2" t="s">
        <v>25736</v>
      </c>
      <c r="E2406" s="2">
        <v>52234.0</v>
      </c>
      <c r="F2406" s="2">
        <v>10.0</v>
      </c>
      <c r="G2406" s="2">
        <v>780.0</v>
      </c>
      <c r="H2406" s="2" t="s">
        <v>5905</v>
      </c>
      <c r="I2406" s="2" t="s">
        <v>5905</v>
      </c>
      <c r="J2406" s="2" t="s">
        <v>7620</v>
      </c>
      <c r="K2406" s="2" t="s">
        <v>25737</v>
      </c>
    </row>
    <row r="2407">
      <c r="A2407" s="2" t="s">
        <v>4746</v>
      </c>
      <c r="B2407" s="2" t="s">
        <v>25738</v>
      </c>
      <c r="C2407" s="2">
        <v>2.277545662E9</v>
      </c>
      <c r="D2407" s="2" t="s">
        <v>25739</v>
      </c>
      <c r="E2407" s="2">
        <v>1788471.0</v>
      </c>
      <c r="F2407" s="2">
        <v>55.0</v>
      </c>
      <c r="G2407" s="2">
        <v>6791.0</v>
      </c>
      <c r="H2407" s="2" t="s">
        <v>5905</v>
      </c>
      <c r="I2407" s="2" t="s">
        <v>5906</v>
      </c>
      <c r="K2407" s="2" t="s">
        <v>25740</v>
      </c>
      <c r="L2407" s="10" t="s">
        <v>25741</v>
      </c>
    </row>
    <row r="2408">
      <c r="A2408" s="2" t="s">
        <v>4746</v>
      </c>
      <c r="B2408" s="2" t="s">
        <v>25742</v>
      </c>
      <c r="C2408" s="2">
        <v>8.330573352E9</v>
      </c>
      <c r="D2408" s="2" t="s">
        <v>25743</v>
      </c>
      <c r="E2408" s="2">
        <v>67174.0</v>
      </c>
      <c r="F2408" s="2">
        <v>1177.0</v>
      </c>
      <c r="G2408" s="2">
        <v>640.0</v>
      </c>
      <c r="H2408" s="2" t="s">
        <v>5905</v>
      </c>
      <c r="I2408" s="2" t="s">
        <v>5906</v>
      </c>
      <c r="J2408" s="2" t="s">
        <v>7620</v>
      </c>
      <c r="K2408" s="2" t="s">
        <v>25744</v>
      </c>
      <c r="L2408" s="10" t="s">
        <v>25745</v>
      </c>
    </row>
    <row r="2409">
      <c r="A2409" s="2" t="s">
        <v>4746</v>
      </c>
      <c r="B2409" s="2" t="s">
        <v>25746</v>
      </c>
      <c r="C2409" s="2">
        <v>4.125836089E10</v>
      </c>
      <c r="D2409" s="2" t="s">
        <v>25747</v>
      </c>
      <c r="E2409" s="2">
        <v>354963.0</v>
      </c>
      <c r="F2409" s="2">
        <v>3758.0</v>
      </c>
      <c r="G2409" s="2">
        <v>1435.0</v>
      </c>
      <c r="H2409" s="2" t="s">
        <v>5906</v>
      </c>
      <c r="I2409" s="2" t="s">
        <v>5905</v>
      </c>
      <c r="J2409" s="2" t="s">
        <v>7620</v>
      </c>
      <c r="K2409" s="2" t="s">
        <v>25748</v>
      </c>
      <c r="L2409" s="10" t="s">
        <v>25749</v>
      </c>
    </row>
    <row r="2410">
      <c r="A2410" s="2" t="s">
        <v>4459</v>
      </c>
      <c r="B2410" s="2" t="s">
        <v>25750</v>
      </c>
      <c r="C2410" s="2">
        <v>8.4584909E8</v>
      </c>
      <c r="D2410" s="2" t="s">
        <v>25751</v>
      </c>
      <c r="E2410" s="2">
        <v>77797.0</v>
      </c>
      <c r="F2410" s="2">
        <v>22.0</v>
      </c>
      <c r="G2410" s="2">
        <v>8179.0</v>
      </c>
      <c r="H2410" s="2" t="s">
        <v>5905</v>
      </c>
      <c r="I2410" s="2" t="s">
        <v>5906</v>
      </c>
      <c r="J2410" s="2" t="s">
        <v>6166</v>
      </c>
      <c r="K2410" s="12" t="s">
        <v>25752</v>
      </c>
      <c r="L2410" s="10" t="s">
        <v>25753</v>
      </c>
    </row>
    <row r="2411">
      <c r="A2411" s="2" t="s">
        <v>4459</v>
      </c>
      <c r="B2411" s="2" t="s">
        <v>25754</v>
      </c>
      <c r="C2411" s="2">
        <v>2.718994699E9</v>
      </c>
      <c r="D2411" s="2" t="s">
        <v>25755</v>
      </c>
      <c r="E2411" s="2">
        <v>282343.0</v>
      </c>
      <c r="F2411" s="2">
        <v>122.0</v>
      </c>
      <c r="G2411" s="2">
        <v>5458.0</v>
      </c>
      <c r="H2411" s="2" t="s">
        <v>5905</v>
      </c>
      <c r="I2411" s="2" t="s">
        <v>5906</v>
      </c>
      <c r="J2411" s="2" t="s">
        <v>5561</v>
      </c>
      <c r="K2411" s="2" t="s">
        <v>25756</v>
      </c>
    </row>
    <row r="2412">
      <c r="A2412" s="2" t="s">
        <v>4459</v>
      </c>
      <c r="B2412" s="2" t="s">
        <v>25757</v>
      </c>
      <c r="C2412" s="2">
        <v>6.8339964165E10</v>
      </c>
      <c r="D2412" s="2" t="s">
        <v>25758</v>
      </c>
      <c r="E2412" s="2">
        <v>13546.0</v>
      </c>
      <c r="F2412" s="2">
        <v>2.0</v>
      </c>
      <c r="G2412" s="2">
        <v>111.0</v>
      </c>
      <c r="H2412" s="2" t="s">
        <v>5905</v>
      </c>
      <c r="I2412" s="2" t="s">
        <v>5906</v>
      </c>
      <c r="J2412" s="2" t="s">
        <v>5928</v>
      </c>
      <c r="K2412" s="2" t="s">
        <v>25759</v>
      </c>
      <c r="L2412" s="10" t="s">
        <v>25760</v>
      </c>
    </row>
    <row r="2413">
      <c r="A2413" s="2" t="s">
        <v>4459</v>
      </c>
      <c r="B2413" s="2" t="s">
        <v>25761</v>
      </c>
      <c r="C2413" s="2">
        <v>2.123252508E10</v>
      </c>
      <c r="D2413" s="2" t="s">
        <v>25762</v>
      </c>
      <c r="E2413" s="2">
        <v>313167.0</v>
      </c>
      <c r="F2413" s="2">
        <v>1.0</v>
      </c>
      <c r="G2413" s="2">
        <v>3342.0</v>
      </c>
      <c r="H2413" s="2" t="s">
        <v>5905</v>
      </c>
      <c r="I2413" s="2" t="s">
        <v>5906</v>
      </c>
      <c r="J2413" s="2" t="s">
        <v>6166</v>
      </c>
      <c r="K2413" s="2" t="s">
        <v>25763</v>
      </c>
      <c r="L2413" s="10" t="s">
        <v>25764</v>
      </c>
    </row>
    <row r="2414">
      <c r="A2414" s="2" t="s">
        <v>4459</v>
      </c>
      <c r="B2414" s="10" t="s">
        <v>25765</v>
      </c>
      <c r="C2414" s="2">
        <v>1.0647950808E10</v>
      </c>
      <c r="E2414" s="2">
        <v>26618.0</v>
      </c>
      <c r="F2414" s="2">
        <v>0.0</v>
      </c>
      <c r="G2414" s="2">
        <v>248.0</v>
      </c>
      <c r="H2414" s="2" t="s">
        <v>5905</v>
      </c>
      <c r="I2414" s="2" t="s">
        <v>5906</v>
      </c>
      <c r="J2414" s="2" t="s">
        <v>7669</v>
      </c>
      <c r="K2414" s="2" t="s">
        <v>25766</v>
      </c>
      <c r="L2414" s="10" t="s">
        <v>25767</v>
      </c>
    </row>
    <row r="2415">
      <c r="A2415" s="2" t="s">
        <v>4459</v>
      </c>
      <c r="B2415" s="2" t="s">
        <v>25768</v>
      </c>
      <c r="C2415" s="2">
        <v>3.591834007E9</v>
      </c>
      <c r="D2415" s="2" t="s">
        <v>25769</v>
      </c>
      <c r="E2415" s="2">
        <v>26513.0</v>
      </c>
      <c r="F2415" s="2">
        <v>1122.0</v>
      </c>
      <c r="G2415" s="2">
        <v>3147.0</v>
      </c>
      <c r="H2415" s="2" t="s">
        <v>5905</v>
      </c>
      <c r="I2415" s="2" t="s">
        <v>5905</v>
      </c>
      <c r="J2415" s="2" t="s">
        <v>5959</v>
      </c>
      <c r="K2415" s="2" t="s">
        <v>25770</v>
      </c>
      <c r="L2415" s="10" t="s">
        <v>25771</v>
      </c>
    </row>
    <row r="2416">
      <c r="A2416" s="2" t="s">
        <v>4459</v>
      </c>
      <c r="B2416" s="2" t="s">
        <v>25772</v>
      </c>
      <c r="C2416" s="2">
        <v>5.749181828E9</v>
      </c>
      <c r="D2416" s="2" t="s">
        <v>25773</v>
      </c>
      <c r="E2416" s="2">
        <v>110872.0</v>
      </c>
      <c r="F2416" s="2">
        <v>17.0</v>
      </c>
      <c r="G2416" s="2">
        <v>224.0</v>
      </c>
      <c r="H2416" s="2" t="s">
        <v>5905</v>
      </c>
      <c r="I2416" s="2" t="s">
        <v>5906</v>
      </c>
      <c r="J2416" s="2" t="s">
        <v>5963</v>
      </c>
      <c r="K2416" s="12" t="s">
        <v>25774</v>
      </c>
      <c r="L2416" s="10" t="s">
        <v>25775</v>
      </c>
    </row>
    <row r="2417">
      <c r="A2417" s="2" t="s">
        <v>4459</v>
      </c>
      <c r="B2417" s="2" t="s">
        <v>25776</v>
      </c>
      <c r="C2417" s="2">
        <v>2.6970411838E10</v>
      </c>
      <c r="D2417" s="2" t="s">
        <v>25777</v>
      </c>
      <c r="E2417" s="2">
        <v>44199.0</v>
      </c>
      <c r="F2417" s="2">
        <v>3946.0</v>
      </c>
      <c r="G2417" s="2">
        <v>321.0</v>
      </c>
      <c r="H2417" s="2" t="s">
        <v>5905</v>
      </c>
      <c r="I2417" s="2" t="s">
        <v>5905</v>
      </c>
      <c r="J2417" s="2" t="s">
        <v>5963</v>
      </c>
      <c r="K2417" s="2" t="s">
        <v>25778</v>
      </c>
      <c r="L2417" s="10" t="s">
        <v>25779</v>
      </c>
    </row>
    <row r="2418">
      <c r="A2418" s="2" t="s">
        <v>4459</v>
      </c>
      <c r="B2418" s="2" t="s">
        <v>25780</v>
      </c>
      <c r="C2418" s="2">
        <v>9.427876216E9</v>
      </c>
      <c r="D2418" s="2" t="s">
        <v>25781</v>
      </c>
      <c r="E2418" s="2">
        <v>25423.0</v>
      </c>
      <c r="F2418" s="2">
        <v>1.0</v>
      </c>
      <c r="G2418" s="2">
        <v>394.0</v>
      </c>
      <c r="H2418" s="2" t="s">
        <v>5906</v>
      </c>
      <c r="I2418" s="2" t="s">
        <v>5906</v>
      </c>
      <c r="J2418" s="2" t="s">
        <v>6166</v>
      </c>
      <c r="K2418" s="2" t="s">
        <v>25782</v>
      </c>
      <c r="L2418" s="10" t="s">
        <v>25783</v>
      </c>
    </row>
    <row r="2419">
      <c r="A2419" s="2" t="s">
        <v>4459</v>
      </c>
      <c r="B2419" s="2" t="s">
        <v>25784</v>
      </c>
      <c r="C2419" s="2">
        <v>7.3970311899E10</v>
      </c>
      <c r="D2419" s="2" t="s">
        <v>25785</v>
      </c>
      <c r="E2419" s="2">
        <v>39335.0</v>
      </c>
      <c r="F2419" s="2">
        <v>0.0</v>
      </c>
      <c r="G2419" s="2">
        <v>24.0</v>
      </c>
      <c r="H2419" s="2" t="s">
        <v>5905</v>
      </c>
      <c r="I2419" s="2" t="s">
        <v>5905</v>
      </c>
      <c r="J2419" s="2" t="s">
        <v>7620</v>
      </c>
    </row>
    <row r="2420">
      <c r="A2420" s="2" t="s">
        <v>4459</v>
      </c>
      <c r="B2420" s="2" t="s">
        <v>25786</v>
      </c>
      <c r="C2420" s="2">
        <v>6.1854111784E10</v>
      </c>
      <c r="D2420" s="2" t="s">
        <v>25787</v>
      </c>
      <c r="E2420" s="2">
        <v>514817.0</v>
      </c>
      <c r="F2420" s="2">
        <v>2.0</v>
      </c>
      <c r="G2420" s="2">
        <v>1660.0</v>
      </c>
      <c r="H2420" s="2" t="s">
        <v>5906</v>
      </c>
      <c r="I2420" s="2" t="s">
        <v>5906</v>
      </c>
      <c r="J2420" s="2" t="s">
        <v>5928</v>
      </c>
      <c r="K2420" s="2" t="s">
        <v>25788</v>
      </c>
      <c r="L2420" s="10" t="s">
        <v>25789</v>
      </c>
    </row>
    <row r="2421">
      <c r="A2421" s="2" t="s">
        <v>4459</v>
      </c>
      <c r="B2421" s="10" t="s">
        <v>25790</v>
      </c>
      <c r="C2421" s="2">
        <v>6.8314673462E10</v>
      </c>
      <c r="E2421" s="2">
        <v>12111.0</v>
      </c>
      <c r="F2421" s="2">
        <v>6033.0</v>
      </c>
      <c r="G2421" s="2">
        <v>0.0</v>
      </c>
      <c r="H2421" s="2" t="s">
        <v>5905</v>
      </c>
      <c r="I2421" s="2" t="s">
        <v>5905</v>
      </c>
    </row>
    <row r="2422">
      <c r="A2422" s="2" t="s">
        <v>4459</v>
      </c>
      <c r="B2422" s="2" t="s">
        <v>25791</v>
      </c>
      <c r="C2422" s="2">
        <v>5.3334305892E10</v>
      </c>
      <c r="D2422" s="2" t="s">
        <v>25792</v>
      </c>
      <c r="E2422" s="2">
        <v>25565.0</v>
      </c>
      <c r="F2422" s="2">
        <v>1.0</v>
      </c>
      <c r="G2422" s="2">
        <v>564.0</v>
      </c>
      <c r="H2422" s="2" t="s">
        <v>5905</v>
      </c>
      <c r="I2422" s="2" t="s">
        <v>5906</v>
      </c>
      <c r="J2422" s="2" t="s">
        <v>5963</v>
      </c>
      <c r="K2422" s="2" t="s">
        <v>25793</v>
      </c>
    </row>
    <row r="2423">
      <c r="A2423" s="2" t="s">
        <v>4459</v>
      </c>
      <c r="B2423" s="2" t="s">
        <v>25794</v>
      </c>
      <c r="C2423" s="2">
        <v>3.61840961E8</v>
      </c>
      <c r="D2423" s="2" t="s">
        <v>25795</v>
      </c>
      <c r="E2423" s="2">
        <v>35274.0</v>
      </c>
      <c r="F2423" s="2">
        <v>163.0</v>
      </c>
      <c r="G2423" s="2">
        <v>43153.0</v>
      </c>
      <c r="H2423" s="2" t="s">
        <v>5906</v>
      </c>
      <c r="I2423" s="2" t="s">
        <v>5906</v>
      </c>
      <c r="J2423" s="2" t="s">
        <v>6002</v>
      </c>
      <c r="K2423" s="2" t="s">
        <v>25796</v>
      </c>
      <c r="L2423" s="10" t="s">
        <v>25797</v>
      </c>
    </row>
    <row r="2424">
      <c r="A2424" s="2" t="s">
        <v>4459</v>
      </c>
      <c r="B2424" s="2" t="s">
        <v>25677</v>
      </c>
      <c r="C2424" s="2">
        <v>1.2099046434E10</v>
      </c>
      <c r="D2424" s="2" t="s">
        <v>25678</v>
      </c>
      <c r="E2424" s="2">
        <v>242883.0</v>
      </c>
      <c r="F2424" s="2">
        <v>103.0</v>
      </c>
      <c r="G2424" s="2">
        <v>4802.0</v>
      </c>
      <c r="H2424" s="2" t="s">
        <v>5905</v>
      </c>
      <c r="I2424" s="2" t="s">
        <v>5905</v>
      </c>
      <c r="J2424" s="2" t="s">
        <v>6002</v>
      </c>
      <c r="K2424" s="2" t="s">
        <v>25679</v>
      </c>
    </row>
    <row r="2425">
      <c r="A2425" s="2" t="s">
        <v>4459</v>
      </c>
      <c r="B2425" s="2" t="s">
        <v>25798</v>
      </c>
      <c r="C2425" s="2">
        <v>4.983018957E10</v>
      </c>
      <c r="D2425" s="2" t="s">
        <v>25799</v>
      </c>
      <c r="E2425" s="2">
        <v>64576.0</v>
      </c>
      <c r="F2425" s="2">
        <v>183.0</v>
      </c>
      <c r="G2425" s="2">
        <v>1014.0</v>
      </c>
      <c r="H2425" s="2" t="s">
        <v>5905</v>
      </c>
      <c r="I2425" s="2" t="s">
        <v>5906</v>
      </c>
      <c r="J2425" s="2" t="s">
        <v>6166</v>
      </c>
      <c r="K2425" s="2" t="s">
        <v>25800</v>
      </c>
    </row>
    <row r="2426">
      <c r="A2426" s="2" t="s">
        <v>7</v>
      </c>
      <c r="B2426" s="2" t="s">
        <v>25801</v>
      </c>
      <c r="C2426" s="2">
        <v>1.3039065E7</v>
      </c>
      <c r="D2426" s="2" t="s">
        <v>25802</v>
      </c>
      <c r="E2426" s="2">
        <v>324582.0</v>
      </c>
      <c r="F2426" s="2">
        <v>805.0</v>
      </c>
      <c r="G2426" s="2">
        <v>3219.0</v>
      </c>
      <c r="H2426" s="2" t="s">
        <v>5906</v>
      </c>
      <c r="I2426" s="2" t="s">
        <v>5905</v>
      </c>
      <c r="J2426" s="2" t="s">
        <v>9793</v>
      </c>
      <c r="K2426" s="2" t="s">
        <v>25803</v>
      </c>
      <c r="L2426" s="10" t="s">
        <v>25804</v>
      </c>
    </row>
    <row r="2427">
      <c r="A2427" s="2" t="s">
        <v>7</v>
      </c>
      <c r="B2427" s="2" t="s">
        <v>25805</v>
      </c>
      <c r="C2427" s="2">
        <v>4.9343751226E10</v>
      </c>
      <c r="D2427" s="2" t="s">
        <v>25806</v>
      </c>
      <c r="E2427" s="2">
        <v>19422.0</v>
      </c>
      <c r="F2427" s="2">
        <v>1800.0</v>
      </c>
      <c r="G2427" s="2">
        <v>164.0</v>
      </c>
      <c r="H2427" s="2" t="s">
        <v>5905</v>
      </c>
      <c r="I2427" s="2" t="s">
        <v>5906</v>
      </c>
      <c r="J2427" s="2" t="s">
        <v>17093</v>
      </c>
      <c r="K2427" s="2" t="s">
        <v>25807</v>
      </c>
    </row>
    <row r="2428">
      <c r="A2428" s="2" t="s">
        <v>7</v>
      </c>
      <c r="B2428" s="2" t="s">
        <v>25808</v>
      </c>
      <c r="C2428" s="2">
        <v>8.25872747E8</v>
      </c>
      <c r="D2428" s="2" t="s">
        <v>25809</v>
      </c>
      <c r="E2428" s="2">
        <v>928880.0</v>
      </c>
      <c r="F2428" s="2">
        <v>717.0</v>
      </c>
      <c r="G2428" s="2">
        <v>11991.0</v>
      </c>
      <c r="H2428" s="2" t="s">
        <v>5906</v>
      </c>
      <c r="I2428" s="2" t="s">
        <v>5906</v>
      </c>
      <c r="K2428" s="2" t="s">
        <v>25810</v>
      </c>
      <c r="L2428" s="10" t="s">
        <v>25811</v>
      </c>
    </row>
    <row r="2429">
      <c r="A2429" s="2" t="s">
        <v>7</v>
      </c>
      <c r="B2429" s="2" t="s">
        <v>25812</v>
      </c>
      <c r="C2429" s="2">
        <v>2.0914952E8</v>
      </c>
      <c r="D2429" s="2" t="s">
        <v>25813</v>
      </c>
      <c r="E2429" s="2">
        <v>148144.0</v>
      </c>
      <c r="F2429" s="2">
        <v>1067.0</v>
      </c>
      <c r="G2429" s="2">
        <v>667.0</v>
      </c>
      <c r="H2429" s="2" t="s">
        <v>5906</v>
      </c>
      <c r="I2429" s="2" t="s">
        <v>5905</v>
      </c>
      <c r="J2429" s="2" t="s">
        <v>9793</v>
      </c>
      <c r="K2429" s="2" t="s">
        <v>25814</v>
      </c>
      <c r="L2429" s="10" t="s">
        <v>25815</v>
      </c>
    </row>
    <row r="2430">
      <c r="A2430" s="2" t="s">
        <v>7</v>
      </c>
      <c r="B2430" s="2" t="s">
        <v>25816</v>
      </c>
      <c r="C2430" s="2">
        <v>6.5125535087E10</v>
      </c>
      <c r="D2430" s="2" t="s">
        <v>25817</v>
      </c>
      <c r="E2430" s="2">
        <v>60880.0</v>
      </c>
      <c r="F2430" s="2">
        <v>0.0</v>
      </c>
      <c r="G2430" s="2">
        <v>40.0</v>
      </c>
      <c r="H2430" s="2" t="s">
        <v>5905</v>
      </c>
      <c r="I2430" s="2" t="s">
        <v>5905</v>
      </c>
      <c r="J2430" s="2" t="s">
        <v>5968</v>
      </c>
      <c r="K2430" s="2" t="s">
        <v>25818</v>
      </c>
    </row>
    <row r="2431">
      <c r="A2431" s="2" t="s">
        <v>36</v>
      </c>
      <c r="B2431" s="2" t="s">
        <v>25819</v>
      </c>
      <c r="C2431" s="2">
        <v>1.169334808E9</v>
      </c>
      <c r="D2431" s="2" t="s">
        <v>25820</v>
      </c>
      <c r="E2431" s="2">
        <v>30783.0</v>
      </c>
      <c r="F2431" s="2">
        <v>313.0</v>
      </c>
      <c r="G2431" s="2">
        <v>489.0</v>
      </c>
      <c r="H2431" s="2" t="s">
        <v>5905</v>
      </c>
      <c r="I2431" s="2" t="s">
        <v>5905</v>
      </c>
      <c r="J2431" s="2" t="s">
        <v>8604</v>
      </c>
      <c r="K2431" s="2" t="s">
        <v>25821</v>
      </c>
      <c r="L2431" s="10" t="s">
        <v>25822</v>
      </c>
    </row>
    <row r="2432">
      <c r="A2432" s="2" t="s">
        <v>36</v>
      </c>
      <c r="B2432" s="2" t="s">
        <v>25823</v>
      </c>
      <c r="C2432" s="2">
        <v>2.270096147E9</v>
      </c>
      <c r="D2432" s="2" t="s">
        <v>25824</v>
      </c>
      <c r="E2432" s="2">
        <v>150760.0</v>
      </c>
      <c r="F2432" s="2">
        <v>4167.0</v>
      </c>
      <c r="G2432" s="2">
        <v>169.0</v>
      </c>
      <c r="H2432" s="2" t="s">
        <v>5906</v>
      </c>
      <c r="I2432" s="2" t="s">
        <v>5906</v>
      </c>
      <c r="J2432" s="2" t="s">
        <v>13677</v>
      </c>
      <c r="K2432" s="2" t="s">
        <v>25825</v>
      </c>
      <c r="L2432" s="10" t="s">
        <v>25826</v>
      </c>
    </row>
    <row r="2433">
      <c r="A2433" s="2" t="s">
        <v>36</v>
      </c>
      <c r="B2433" s="2" t="s">
        <v>25827</v>
      </c>
      <c r="C2433" s="2">
        <v>4.325183633E9</v>
      </c>
      <c r="D2433" s="2" t="s">
        <v>25828</v>
      </c>
      <c r="E2433" s="2">
        <v>90427.0</v>
      </c>
      <c r="F2433" s="2">
        <v>454.0</v>
      </c>
      <c r="G2433" s="2">
        <v>2051.0</v>
      </c>
      <c r="H2433" s="2" t="s">
        <v>5906</v>
      </c>
      <c r="I2433" s="2" t="s">
        <v>5906</v>
      </c>
      <c r="J2433" s="2" t="s">
        <v>5928</v>
      </c>
      <c r="K2433" s="2" t="s">
        <v>25829</v>
      </c>
      <c r="L2433" s="10" t="s">
        <v>25830</v>
      </c>
    </row>
    <row r="2434">
      <c r="A2434" s="2" t="s">
        <v>36</v>
      </c>
      <c r="B2434" s="2" t="s">
        <v>25831</v>
      </c>
      <c r="C2434" s="2">
        <v>2.0784388E8</v>
      </c>
      <c r="D2434" s="2" t="s">
        <v>25832</v>
      </c>
      <c r="E2434" s="2">
        <v>30374.0</v>
      </c>
      <c r="F2434" s="2">
        <v>244.0</v>
      </c>
      <c r="G2434" s="2">
        <v>1117.0</v>
      </c>
      <c r="H2434" s="2" t="s">
        <v>5905</v>
      </c>
      <c r="I2434" s="2" t="s">
        <v>5906</v>
      </c>
      <c r="J2434" s="2" t="s">
        <v>9775</v>
      </c>
      <c r="K2434" s="2" t="s">
        <v>25833</v>
      </c>
      <c r="L2434" s="10" t="s">
        <v>25834</v>
      </c>
    </row>
    <row r="2435">
      <c r="A2435" s="2" t="s">
        <v>36</v>
      </c>
      <c r="B2435" s="2" t="s">
        <v>25835</v>
      </c>
      <c r="C2435" s="2">
        <v>5.5204985136E10</v>
      </c>
      <c r="D2435" s="2" t="s">
        <v>25836</v>
      </c>
      <c r="E2435" s="2">
        <v>15411.0</v>
      </c>
      <c r="F2435" s="2">
        <v>2.0</v>
      </c>
      <c r="G2435" s="2">
        <v>258.0</v>
      </c>
      <c r="H2435" s="2" t="s">
        <v>5905</v>
      </c>
      <c r="I2435" s="2" t="s">
        <v>5906</v>
      </c>
      <c r="J2435" s="2" t="s">
        <v>16399</v>
      </c>
      <c r="K2435" s="2" t="s">
        <v>25837</v>
      </c>
      <c r="L2435" s="10" t="s">
        <v>25838</v>
      </c>
    </row>
    <row r="2436">
      <c r="A2436" s="2" t="s">
        <v>36</v>
      </c>
      <c r="B2436" s="10" t="s">
        <v>25839</v>
      </c>
      <c r="C2436" s="2">
        <v>6.1545377975E10</v>
      </c>
      <c r="D2436" s="2" t="s">
        <v>25840</v>
      </c>
      <c r="E2436" s="2">
        <v>69492.0</v>
      </c>
      <c r="F2436" s="2">
        <v>521.0</v>
      </c>
      <c r="G2436" s="2">
        <v>266.0</v>
      </c>
      <c r="H2436" s="2" t="s">
        <v>5906</v>
      </c>
      <c r="I2436" s="2" t="s">
        <v>5906</v>
      </c>
      <c r="J2436" s="2" t="s">
        <v>16399</v>
      </c>
      <c r="K2436" s="2" t="s">
        <v>25841</v>
      </c>
      <c r="L2436" s="10" t="s">
        <v>25842</v>
      </c>
    </row>
    <row r="2437">
      <c r="A2437" s="2" t="s">
        <v>36</v>
      </c>
      <c r="B2437" s="2" t="s">
        <v>25843</v>
      </c>
      <c r="C2437" s="2">
        <v>1.6369850761E10</v>
      </c>
      <c r="D2437" s="2" t="s">
        <v>25844</v>
      </c>
      <c r="E2437" s="2">
        <v>96800.0</v>
      </c>
      <c r="F2437" s="2">
        <v>1465.0</v>
      </c>
      <c r="G2437" s="2">
        <v>273.0</v>
      </c>
      <c r="H2437" s="2" t="s">
        <v>5905</v>
      </c>
      <c r="I2437" s="2" t="s">
        <v>5905</v>
      </c>
      <c r="J2437" s="2" t="s">
        <v>7140</v>
      </c>
      <c r="K2437" s="2" t="s">
        <v>25845</v>
      </c>
      <c r="L2437" s="10" t="s">
        <v>25846</v>
      </c>
    </row>
    <row r="2438">
      <c r="A2438" s="2" t="s">
        <v>36</v>
      </c>
      <c r="B2438" s="2" t="s">
        <v>25847</v>
      </c>
      <c r="C2438" s="2">
        <v>4.6624533298E10</v>
      </c>
      <c r="D2438" s="2" t="s">
        <v>25848</v>
      </c>
      <c r="E2438" s="2">
        <v>465242.0</v>
      </c>
      <c r="F2438" s="2">
        <v>19.0</v>
      </c>
      <c r="G2438" s="2">
        <v>2946.0</v>
      </c>
      <c r="H2438" s="2" t="s">
        <v>5905</v>
      </c>
      <c r="I2438" s="2" t="s">
        <v>5906</v>
      </c>
      <c r="J2438" s="2" t="s">
        <v>5492</v>
      </c>
      <c r="K2438" s="2" t="s">
        <v>25849</v>
      </c>
      <c r="L2438" s="10" t="s">
        <v>25850</v>
      </c>
    </row>
    <row r="2439">
      <c r="A2439" s="2" t="s">
        <v>36</v>
      </c>
      <c r="B2439" s="2" t="s">
        <v>25851</v>
      </c>
      <c r="C2439" s="2">
        <v>5.5489428214E10</v>
      </c>
      <c r="D2439" s="2" t="s">
        <v>25852</v>
      </c>
      <c r="E2439" s="2">
        <v>147700.0</v>
      </c>
      <c r="F2439" s="2">
        <v>263.0</v>
      </c>
      <c r="G2439" s="2">
        <v>293.0</v>
      </c>
      <c r="H2439" s="2" t="s">
        <v>5905</v>
      </c>
      <c r="I2439" s="2" t="s">
        <v>5905</v>
      </c>
      <c r="J2439" s="2" t="s">
        <v>5959</v>
      </c>
      <c r="K2439" s="2" t="s">
        <v>25853</v>
      </c>
      <c r="L2439" s="10" t="s">
        <v>25854</v>
      </c>
    </row>
    <row r="2440">
      <c r="A2440" s="2" t="s">
        <v>36</v>
      </c>
      <c r="B2440" s="2" t="s">
        <v>25855</v>
      </c>
      <c r="C2440" s="2">
        <v>1.524653695E9</v>
      </c>
      <c r="D2440" s="2" t="s">
        <v>25856</v>
      </c>
      <c r="E2440" s="2">
        <v>670405.0</v>
      </c>
      <c r="F2440" s="2">
        <v>13.0</v>
      </c>
      <c r="G2440" s="2">
        <v>2583.0</v>
      </c>
      <c r="H2440" s="2" t="s">
        <v>5906</v>
      </c>
      <c r="I2440" s="2" t="s">
        <v>5906</v>
      </c>
      <c r="J2440" s="2" t="s">
        <v>5928</v>
      </c>
      <c r="K2440" s="2" t="s">
        <v>25857</v>
      </c>
      <c r="L2440" s="10" t="s">
        <v>25858</v>
      </c>
    </row>
    <row r="2441">
      <c r="A2441" s="2" t="s">
        <v>36</v>
      </c>
      <c r="B2441" s="2" t="s">
        <v>25859</v>
      </c>
      <c r="C2441" s="2">
        <v>4.119096686E9</v>
      </c>
      <c r="D2441" s="2" t="s">
        <v>25860</v>
      </c>
      <c r="E2441" s="2">
        <v>159480.0</v>
      </c>
      <c r="F2441" s="2">
        <v>703.0</v>
      </c>
      <c r="G2441" s="2">
        <v>2479.0</v>
      </c>
      <c r="H2441" s="2" t="s">
        <v>5905</v>
      </c>
      <c r="I2441" s="2" t="s">
        <v>5905</v>
      </c>
      <c r="J2441" s="2" t="s">
        <v>10543</v>
      </c>
      <c r="K2441" s="2" t="s">
        <v>25861</v>
      </c>
      <c r="L2441" s="10" t="s">
        <v>25862</v>
      </c>
    </row>
    <row r="2442">
      <c r="A2442" s="2" t="s">
        <v>36</v>
      </c>
      <c r="B2442" s="2" t="s">
        <v>25863</v>
      </c>
      <c r="C2442" s="2">
        <v>1.362490713E9</v>
      </c>
      <c r="D2442" s="2" t="s">
        <v>25864</v>
      </c>
      <c r="E2442" s="2">
        <v>282451.0</v>
      </c>
      <c r="F2442" s="2">
        <v>9.0</v>
      </c>
      <c r="G2442" s="2">
        <v>3187.0</v>
      </c>
      <c r="H2442" s="2" t="s">
        <v>5906</v>
      </c>
      <c r="I2442" s="2" t="s">
        <v>5906</v>
      </c>
      <c r="J2442" s="2" t="s">
        <v>7155</v>
      </c>
      <c r="K2442" s="2" t="s">
        <v>25865</v>
      </c>
      <c r="L2442" s="10" t="s">
        <v>25866</v>
      </c>
    </row>
    <row r="2443">
      <c r="A2443" s="2" t="s">
        <v>36</v>
      </c>
      <c r="B2443" s="2" t="s">
        <v>25867</v>
      </c>
      <c r="C2443" s="2">
        <v>8.17427834E9</v>
      </c>
      <c r="D2443" s="2" t="s">
        <v>25868</v>
      </c>
      <c r="E2443" s="2">
        <v>16097.0</v>
      </c>
      <c r="F2443" s="2">
        <v>315.0</v>
      </c>
      <c r="G2443" s="2">
        <v>360.0</v>
      </c>
      <c r="H2443" s="2" t="s">
        <v>5905</v>
      </c>
      <c r="I2443" s="2" t="s">
        <v>5905</v>
      </c>
      <c r="J2443" s="2" t="s">
        <v>6393</v>
      </c>
      <c r="K2443" s="2" t="s">
        <v>25869</v>
      </c>
    </row>
    <row r="2444">
      <c r="A2444" s="2" t="s">
        <v>36</v>
      </c>
      <c r="B2444" s="2" t="s">
        <v>25870</v>
      </c>
      <c r="C2444" s="2">
        <v>2.3096828677E10</v>
      </c>
      <c r="D2444" s="2" t="s">
        <v>25871</v>
      </c>
      <c r="E2444" s="2">
        <v>80082.0</v>
      </c>
      <c r="F2444" s="2">
        <v>2526.0</v>
      </c>
      <c r="G2444" s="2">
        <v>371.0</v>
      </c>
      <c r="H2444" s="2" t="s">
        <v>5905</v>
      </c>
      <c r="I2444" s="2" t="s">
        <v>5906</v>
      </c>
      <c r="J2444" s="2" t="s">
        <v>7140</v>
      </c>
      <c r="K2444" s="2" t="s">
        <v>25872</v>
      </c>
      <c r="L2444" s="10" t="s">
        <v>25873</v>
      </c>
    </row>
    <row r="2445">
      <c r="A2445" s="2" t="s">
        <v>4670</v>
      </c>
      <c r="B2445" s="2" t="s">
        <v>25874</v>
      </c>
      <c r="C2445" s="2">
        <v>4.9157643425E10</v>
      </c>
      <c r="E2445" s="2">
        <v>32320.0</v>
      </c>
      <c r="F2445" s="2">
        <v>2.0</v>
      </c>
      <c r="G2445" s="2">
        <v>98.0</v>
      </c>
      <c r="H2445" s="2" t="s">
        <v>5905</v>
      </c>
      <c r="I2445" s="2" t="s">
        <v>5905</v>
      </c>
      <c r="K2445" s="2" t="s">
        <v>25875</v>
      </c>
      <c r="L2445" s="10" t="s">
        <v>25876</v>
      </c>
    </row>
    <row r="2446">
      <c r="A2446" s="2" t="s">
        <v>4670</v>
      </c>
      <c r="B2446" s="2" t="s">
        <v>25877</v>
      </c>
      <c r="C2446" s="2">
        <v>2.13025557E8</v>
      </c>
      <c r="D2446" s="2" t="s">
        <v>25878</v>
      </c>
      <c r="E2446" s="2">
        <v>763547.0</v>
      </c>
      <c r="F2446" s="2">
        <v>0.0</v>
      </c>
      <c r="G2446" s="2">
        <v>3556.0</v>
      </c>
      <c r="H2446" s="2" t="s">
        <v>5905</v>
      </c>
      <c r="I2446" s="2" t="s">
        <v>5906</v>
      </c>
      <c r="J2446" s="2" t="s">
        <v>6166</v>
      </c>
      <c r="K2446" s="2" t="s">
        <v>25879</v>
      </c>
      <c r="L2446" s="10" t="s">
        <v>25880</v>
      </c>
    </row>
    <row r="2447">
      <c r="A2447" s="2" t="s">
        <v>4670</v>
      </c>
      <c r="B2447" s="2" t="s">
        <v>4670</v>
      </c>
      <c r="C2447" s="2">
        <v>1.9527504815E10</v>
      </c>
      <c r="D2447" s="2" t="s">
        <v>25881</v>
      </c>
      <c r="E2447" s="2">
        <v>90015.0</v>
      </c>
      <c r="F2447" s="2">
        <v>162.0</v>
      </c>
      <c r="G2447" s="2">
        <v>156.0</v>
      </c>
      <c r="H2447" s="2" t="s">
        <v>5905</v>
      </c>
      <c r="I2447" s="2" t="s">
        <v>5906</v>
      </c>
      <c r="J2447" s="2" t="s">
        <v>8982</v>
      </c>
      <c r="K2447" s="2" t="s">
        <v>25882</v>
      </c>
      <c r="L2447" s="10" t="s">
        <v>25883</v>
      </c>
    </row>
    <row r="2448">
      <c r="A2448" s="2" t="s">
        <v>4693</v>
      </c>
      <c r="B2448" s="2" t="s">
        <v>25884</v>
      </c>
      <c r="C2448" s="2">
        <v>6.3968667535E10</v>
      </c>
      <c r="D2448" s="2" t="s">
        <v>25885</v>
      </c>
      <c r="E2448" s="2">
        <v>126164.0</v>
      </c>
      <c r="F2448" s="2">
        <v>115.0</v>
      </c>
      <c r="G2448" s="2">
        <v>406.0</v>
      </c>
      <c r="H2448" s="2" t="s">
        <v>5905</v>
      </c>
      <c r="I2448" s="2" t="s">
        <v>5906</v>
      </c>
      <c r="J2448" s="2" t="s">
        <v>5968</v>
      </c>
      <c r="K2448" s="2" t="s">
        <v>25886</v>
      </c>
      <c r="L2448" s="10" t="s">
        <v>25887</v>
      </c>
    </row>
    <row r="2449">
      <c r="A2449" s="2" t="s">
        <v>4568</v>
      </c>
      <c r="B2449" s="2" t="s">
        <v>25888</v>
      </c>
      <c r="C2449" s="2">
        <v>6.1724018202E10</v>
      </c>
      <c r="D2449" s="2" t="s">
        <v>4568</v>
      </c>
      <c r="E2449" s="2">
        <v>70317.0</v>
      </c>
      <c r="F2449" s="2">
        <v>208.0</v>
      </c>
      <c r="G2449" s="2">
        <v>219.0</v>
      </c>
      <c r="H2449" s="2" t="s">
        <v>5905</v>
      </c>
      <c r="I2449" s="2" t="s">
        <v>5905</v>
      </c>
      <c r="J2449" s="2" t="s">
        <v>5928</v>
      </c>
      <c r="K2449" s="12" t="s">
        <v>25889</v>
      </c>
    </row>
    <row r="2450">
      <c r="A2450" s="2" t="s">
        <v>4568</v>
      </c>
      <c r="B2450" s="2" t="s">
        <v>25890</v>
      </c>
      <c r="C2450" s="2">
        <v>7.1688519085E10</v>
      </c>
      <c r="D2450" s="2" t="s">
        <v>25891</v>
      </c>
      <c r="E2450" s="2">
        <v>20915.0</v>
      </c>
      <c r="F2450" s="2">
        <v>5.0</v>
      </c>
      <c r="G2450" s="2">
        <v>324.0</v>
      </c>
      <c r="H2450" s="2" t="s">
        <v>5905</v>
      </c>
      <c r="I2450" s="2" t="s">
        <v>5905</v>
      </c>
      <c r="J2450" s="2" t="s">
        <v>6393</v>
      </c>
      <c r="K2450" s="2" t="s">
        <v>25892</v>
      </c>
    </row>
    <row r="2451">
      <c r="A2451" s="2" t="s">
        <v>4568</v>
      </c>
      <c r="B2451" s="2" t="s">
        <v>25893</v>
      </c>
      <c r="C2451" s="2">
        <v>6.0600359499E10</v>
      </c>
      <c r="D2451" s="2" t="s">
        <v>25894</v>
      </c>
      <c r="E2451" s="2">
        <v>83825.0</v>
      </c>
      <c r="F2451" s="2">
        <v>34.0</v>
      </c>
      <c r="G2451" s="2">
        <v>260.0</v>
      </c>
      <c r="H2451" s="2" t="s">
        <v>5905</v>
      </c>
      <c r="I2451" s="2" t="s">
        <v>5905</v>
      </c>
      <c r="J2451" s="2" t="s">
        <v>5959</v>
      </c>
      <c r="K2451" s="12" t="s">
        <v>25895</v>
      </c>
    </row>
    <row r="2452">
      <c r="A2452" s="2" t="s">
        <v>4568</v>
      </c>
      <c r="B2452" s="2" t="s">
        <v>25896</v>
      </c>
      <c r="C2452" s="2">
        <v>6.2971750983E10</v>
      </c>
      <c r="D2452" s="2" t="s">
        <v>25897</v>
      </c>
      <c r="E2452" s="2">
        <v>12709.0</v>
      </c>
      <c r="F2452" s="2">
        <v>4.0</v>
      </c>
      <c r="G2452" s="2">
        <v>28.0</v>
      </c>
      <c r="H2452" s="2" t="s">
        <v>5905</v>
      </c>
      <c r="I2452" s="2" t="s">
        <v>5905</v>
      </c>
      <c r="J2452" s="2" t="s">
        <v>5928</v>
      </c>
      <c r="K2452" s="2" t="s">
        <v>25898</v>
      </c>
    </row>
    <row r="2453">
      <c r="A2453" s="2" t="s">
        <v>4568</v>
      </c>
      <c r="B2453" s="2" t="s">
        <v>25899</v>
      </c>
      <c r="C2453" s="2">
        <v>6.2134110071E10</v>
      </c>
      <c r="D2453" s="2" t="s">
        <v>25900</v>
      </c>
      <c r="E2453" s="2">
        <v>41861.0</v>
      </c>
      <c r="F2453" s="2">
        <v>33.0</v>
      </c>
      <c r="G2453" s="2">
        <v>84.0</v>
      </c>
      <c r="H2453" s="2" t="s">
        <v>5905</v>
      </c>
      <c r="I2453" s="2" t="s">
        <v>5905</v>
      </c>
      <c r="J2453" s="2" t="s">
        <v>15546</v>
      </c>
      <c r="K2453" s="12" t="s">
        <v>25901</v>
      </c>
      <c r="L2453" s="10" t="s">
        <v>25902</v>
      </c>
    </row>
    <row r="2454">
      <c r="A2454" s="2" t="s">
        <v>4568</v>
      </c>
      <c r="B2454" s="2" t="s">
        <v>25903</v>
      </c>
      <c r="C2454" s="2">
        <v>5.4417183435E10</v>
      </c>
      <c r="D2454" s="2" t="s">
        <v>4568</v>
      </c>
      <c r="E2454" s="2">
        <v>17865.0</v>
      </c>
      <c r="F2454" s="2">
        <v>3936.0</v>
      </c>
      <c r="G2454" s="2">
        <v>24.0</v>
      </c>
      <c r="H2454" s="2" t="s">
        <v>5905</v>
      </c>
      <c r="I2454" s="2" t="s">
        <v>5905</v>
      </c>
      <c r="J2454" s="2" t="s">
        <v>5968</v>
      </c>
      <c r="K2454" s="12" t="s">
        <v>25904</v>
      </c>
      <c r="L2454" s="10" t="s">
        <v>25905</v>
      </c>
    </row>
    <row r="2455">
      <c r="A2455" s="2" t="s">
        <v>4573</v>
      </c>
      <c r="B2455" s="2" t="s">
        <v>25906</v>
      </c>
      <c r="C2455" s="2">
        <v>3.69562135E8</v>
      </c>
      <c r="E2455" s="2">
        <v>24865.0</v>
      </c>
      <c r="F2455" s="2">
        <v>7481.0</v>
      </c>
      <c r="G2455" s="2">
        <v>101.0</v>
      </c>
      <c r="H2455" s="2" t="s">
        <v>5905</v>
      </c>
      <c r="I2455" s="2" t="s">
        <v>5905</v>
      </c>
      <c r="K2455" s="2" t="s">
        <v>6414</v>
      </c>
    </row>
    <row r="2456">
      <c r="A2456" s="2" t="s">
        <v>4573</v>
      </c>
      <c r="B2456" s="2" t="s">
        <v>25907</v>
      </c>
      <c r="C2456" s="2">
        <v>6.486925132E9</v>
      </c>
      <c r="D2456" s="2" t="s">
        <v>25908</v>
      </c>
      <c r="E2456" s="2">
        <v>3302166.0</v>
      </c>
      <c r="F2456" s="2">
        <v>221.0</v>
      </c>
      <c r="G2456" s="2">
        <v>443.0</v>
      </c>
      <c r="H2456" s="2" t="s">
        <v>5906</v>
      </c>
      <c r="I2456" s="2" t="s">
        <v>5906</v>
      </c>
      <c r="J2456" s="2" t="s">
        <v>5391</v>
      </c>
      <c r="K2456" s="2" t="s">
        <v>25909</v>
      </c>
    </row>
    <row r="2457">
      <c r="A2457" s="2" t="s">
        <v>4573</v>
      </c>
      <c r="B2457" s="2" t="s">
        <v>25910</v>
      </c>
      <c r="C2457" s="2">
        <v>3.3879050195E10</v>
      </c>
      <c r="D2457" s="2" t="s">
        <v>25911</v>
      </c>
      <c r="E2457" s="2">
        <v>1300250.0</v>
      </c>
      <c r="F2457" s="2">
        <v>56.0</v>
      </c>
      <c r="G2457" s="2">
        <v>2236.0</v>
      </c>
      <c r="H2457" s="2" t="s">
        <v>5905</v>
      </c>
      <c r="I2457" s="2" t="s">
        <v>5905</v>
      </c>
      <c r="J2457" s="2" t="s">
        <v>5391</v>
      </c>
      <c r="K2457" s="2" t="s">
        <v>25912</v>
      </c>
    </row>
    <row r="2458">
      <c r="A2458" s="2" t="s">
        <v>4573</v>
      </c>
      <c r="B2458" s="2" t="s">
        <v>25913</v>
      </c>
      <c r="C2458" s="2">
        <v>1.349314256E9</v>
      </c>
      <c r="D2458" s="2" t="s">
        <v>23249</v>
      </c>
      <c r="E2458" s="2">
        <v>1255031.0</v>
      </c>
      <c r="F2458" s="2">
        <v>305.0</v>
      </c>
      <c r="G2458" s="2">
        <v>9428.0</v>
      </c>
      <c r="H2458" s="2" t="s">
        <v>5905</v>
      </c>
      <c r="I2458" s="2" t="s">
        <v>5906</v>
      </c>
      <c r="J2458" s="2" t="s">
        <v>5911</v>
      </c>
      <c r="K2458" s="2" t="s">
        <v>25914</v>
      </c>
    </row>
    <row r="2459">
      <c r="A2459" s="2" t="s">
        <v>4573</v>
      </c>
      <c r="B2459" s="2" t="s">
        <v>25915</v>
      </c>
      <c r="C2459" s="2">
        <v>8.269727534E9</v>
      </c>
      <c r="D2459" s="2" t="s">
        <v>25916</v>
      </c>
      <c r="E2459" s="2">
        <v>2242456.0</v>
      </c>
      <c r="F2459" s="2">
        <v>695.0</v>
      </c>
      <c r="G2459" s="2">
        <v>4282.0</v>
      </c>
      <c r="H2459" s="2" t="s">
        <v>5905</v>
      </c>
      <c r="I2459" s="2" t="s">
        <v>5905</v>
      </c>
      <c r="J2459" s="2" t="s">
        <v>12993</v>
      </c>
      <c r="K2459" s="2" t="s">
        <v>25917</v>
      </c>
      <c r="L2459" s="10" t="s">
        <v>25918</v>
      </c>
    </row>
    <row r="2460">
      <c r="A2460" s="2" t="s">
        <v>4573</v>
      </c>
      <c r="B2460" s="2" t="s">
        <v>25919</v>
      </c>
      <c r="C2460" s="2">
        <v>6.5801538015E10</v>
      </c>
      <c r="D2460" s="2" t="s">
        <v>25920</v>
      </c>
      <c r="E2460" s="2">
        <v>532569.0</v>
      </c>
      <c r="F2460" s="2">
        <v>18.0</v>
      </c>
      <c r="G2460" s="2">
        <v>1065.0</v>
      </c>
      <c r="H2460" s="2" t="s">
        <v>5906</v>
      </c>
      <c r="I2460" s="2" t="s">
        <v>5905</v>
      </c>
      <c r="J2460" s="2" t="s">
        <v>5959</v>
      </c>
      <c r="K2460" s="2" t="s">
        <v>25921</v>
      </c>
      <c r="L2460" s="10" t="s">
        <v>25922</v>
      </c>
    </row>
    <row r="2461">
      <c r="A2461" s="2" t="s">
        <v>4573</v>
      </c>
      <c r="B2461" s="2" t="s">
        <v>25923</v>
      </c>
      <c r="C2461" s="2">
        <v>4.821401887E9</v>
      </c>
      <c r="D2461" s="2" t="s">
        <v>25924</v>
      </c>
      <c r="E2461" s="2">
        <v>1692304.0</v>
      </c>
      <c r="F2461" s="2">
        <v>40.0</v>
      </c>
      <c r="G2461" s="2">
        <v>10476.0</v>
      </c>
      <c r="H2461" s="2" t="s">
        <v>5906</v>
      </c>
      <c r="I2461" s="2" t="s">
        <v>5905</v>
      </c>
      <c r="J2461" s="2" t="s">
        <v>5911</v>
      </c>
      <c r="K2461" s="2" t="s">
        <v>25925</v>
      </c>
    </row>
    <row r="2462">
      <c r="A2462" s="2" t="s">
        <v>4573</v>
      </c>
      <c r="B2462" s="2" t="s">
        <v>25926</v>
      </c>
      <c r="C2462" s="2">
        <v>4.8581123387E10</v>
      </c>
      <c r="D2462" s="2" t="s">
        <v>25927</v>
      </c>
      <c r="E2462" s="2">
        <v>567023.0</v>
      </c>
      <c r="F2462" s="2">
        <v>30.0</v>
      </c>
      <c r="G2462" s="2">
        <v>2443.0</v>
      </c>
      <c r="H2462" s="2" t="s">
        <v>5905</v>
      </c>
      <c r="I2462" s="2" t="s">
        <v>5905</v>
      </c>
      <c r="J2462" s="2" t="s">
        <v>5391</v>
      </c>
      <c r="K2462" s="2" t="s">
        <v>25928</v>
      </c>
    </row>
    <row r="2463">
      <c r="A2463" s="2" t="s">
        <v>4573</v>
      </c>
      <c r="B2463" s="2" t="s">
        <v>25929</v>
      </c>
      <c r="C2463" s="2">
        <v>4.7013123849E10</v>
      </c>
      <c r="D2463" s="2" t="s">
        <v>25930</v>
      </c>
      <c r="E2463" s="2">
        <v>972371.0</v>
      </c>
      <c r="F2463" s="2">
        <v>2.0</v>
      </c>
      <c r="G2463" s="2">
        <v>1689.0</v>
      </c>
      <c r="H2463" s="2" t="s">
        <v>5906</v>
      </c>
      <c r="I2463" s="2" t="s">
        <v>5905</v>
      </c>
      <c r="J2463" s="2" t="s">
        <v>5561</v>
      </c>
      <c r="K2463" s="2" t="s">
        <v>25931</v>
      </c>
      <c r="L2463" s="10" t="s">
        <v>25932</v>
      </c>
    </row>
    <row r="2464">
      <c r="A2464" s="2" t="s">
        <v>4573</v>
      </c>
      <c r="B2464" s="2" t="s">
        <v>25933</v>
      </c>
      <c r="C2464" s="2">
        <v>4.5206947123E10</v>
      </c>
      <c r="D2464" s="2" t="s">
        <v>25934</v>
      </c>
      <c r="E2464" s="2">
        <v>441133.0</v>
      </c>
      <c r="F2464" s="2">
        <v>292.0</v>
      </c>
      <c r="G2464" s="2">
        <v>4097.0</v>
      </c>
      <c r="H2464" s="2" t="s">
        <v>5906</v>
      </c>
      <c r="I2464" s="2" t="s">
        <v>5905</v>
      </c>
      <c r="J2464" s="2" t="s">
        <v>7338</v>
      </c>
      <c r="K2464" s="2" t="s">
        <v>25935</v>
      </c>
      <c r="L2464" s="10" t="s">
        <v>25936</v>
      </c>
    </row>
    <row r="2465">
      <c r="A2465" s="2" t="s">
        <v>4573</v>
      </c>
      <c r="B2465" s="2" t="s">
        <v>25937</v>
      </c>
      <c r="C2465" s="2">
        <v>7.966143944E9</v>
      </c>
      <c r="D2465" s="2" t="s">
        <v>25938</v>
      </c>
      <c r="E2465" s="2">
        <v>1919456.0</v>
      </c>
      <c r="F2465" s="2">
        <v>364.0</v>
      </c>
      <c r="G2465" s="2">
        <v>3469.0</v>
      </c>
      <c r="H2465" s="2" t="s">
        <v>5905</v>
      </c>
      <c r="I2465" s="2" t="s">
        <v>5906</v>
      </c>
      <c r="J2465" s="2" t="s">
        <v>12993</v>
      </c>
      <c r="K2465" s="2" t="s">
        <v>25939</v>
      </c>
    </row>
    <row r="2466">
      <c r="A2466" s="2" t="s">
        <v>4573</v>
      </c>
      <c r="B2466" s="2" t="s">
        <v>25940</v>
      </c>
      <c r="C2466" s="2">
        <v>4.5298809086E10</v>
      </c>
      <c r="D2466" s="2" t="s">
        <v>25941</v>
      </c>
      <c r="E2466" s="2">
        <v>2567899.0</v>
      </c>
      <c r="F2466" s="2">
        <v>78.0</v>
      </c>
      <c r="G2466" s="2">
        <v>4159.0</v>
      </c>
      <c r="H2466" s="2" t="s">
        <v>5906</v>
      </c>
      <c r="I2466" s="2" t="s">
        <v>5906</v>
      </c>
      <c r="J2466" s="2" t="s">
        <v>5561</v>
      </c>
      <c r="K2466" s="2" t="s">
        <v>25942</v>
      </c>
      <c r="L2466" s="10" t="s">
        <v>25943</v>
      </c>
    </row>
    <row r="2467">
      <c r="A2467" s="2" t="s">
        <v>4573</v>
      </c>
      <c r="B2467" s="2" t="s">
        <v>25944</v>
      </c>
      <c r="C2467" s="2">
        <v>2.2175639883E10</v>
      </c>
      <c r="D2467" s="2" t="s">
        <v>25945</v>
      </c>
      <c r="E2467" s="2">
        <v>332545.0</v>
      </c>
      <c r="F2467" s="2">
        <v>40.0</v>
      </c>
      <c r="G2467" s="2">
        <v>1628.0</v>
      </c>
      <c r="H2467" s="2" t="s">
        <v>5905</v>
      </c>
      <c r="I2467" s="2" t="s">
        <v>5905</v>
      </c>
      <c r="J2467" s="2" t="s">
        <v>5959</v>
      </c>
      <c r="K2467" s="2" t="s">
        <v>25946</v>
      </c>
    </row>
    <row r="2468">
      <c r="A2468" s="2" t="s">
        <v>4573</v>
      </c>
      <c r="B2468" s="2" t="s">
        <v>25947</v>
      </c>
      <c r="C2468" s="2">
        <v>1.42053615E9</v>
      </c>
      <c r="D2468" s="2" t="s">
        <v>25948</v>
      </c>
      <c r="E2468" s="2">
        <v>1721440.0</v>
      </c>
      <c r="F2468" s="2">
        <v>138.0</v>
      </c>
      <c r="G2468" s="2">
        <v>10158.0</v>
      </c>
      <c r="H2468" s="2" t="s">
        <v>5905</v>
      </c>
      <c r="I2468" s="2" t="s">
        <v>5906</v>
      </c>
      <c r="J2468" s="2" t="s">
        <v>19398</v>
      </c>
      <c r="K2468" s="2" t="s">
        <v>25949</v>
      </c>
      <c r="L2468" s="10" t="s">
        <v>25950</v>
      </c>
    </row>
    <row r="2469">
      <c r="A2469" s="2" t="s">
        <v>4573</v>
      </c>
      <c r="B2469" s="2" t="s">
        <v>25951</v>
      </c>
      <c r="C2469" s="2">
        <v>5.3764212398E10</v>
      </c>
      <c r="D2469" s="2" t="s">
        <v>25952</v>
      </c>
      <c r="E2469" s="2">
        <v>1068431.0</v>
      </c>
      <c r="F2469" s="2">
        <v>6.0</v>
      </c>
      <c r="G2469" s="2">
        <v>1774.0</v>
      </c>
      <c r="H2469" s="2" t="s">
        <v>5905</v>
      </c>
      <c r="I2469" s="2" t="s">
        <v>5905</v>
      </c>
      <c r="J2469" s="2" t="s">
        <v>5561</v>
      </c>
      <c r="K2469" s="2" t="s">
        <v>25953</v>
      </c>
    </row>
    <row r="2470">
      <c r="A2470" s="2" t="s">
        <v>4532</v>
      </c>
      <c r="B2470" s="2" t="s">
        <v>25954</v>
      </c>
      <c r="C2470" s="2">
        <v>3.2693411E8</v>
      </c>
      <c r="D2470" s="2" t="s">
        <v>25955</v>
      </c>
      <c r="E2470" s="2">
        <v>90232.0</v>
      </c>
      <c r="F2470" s="2">
        <v>22.0</v>
      </c>
      <c r="G2470" s="2">
        <v>2544.0</v>
      </c>
      <c r="H2470" s="2" t="s">
        <v>5906</v>
      </c>
      <c r="I2470" s="2" t="s">
        <v>5905</v>
      </c>
      <c r="J2470" s="2" t="s">
        <v>6559</v>
      </c>
      <c r="K2470" s="2" t="s">
        <v>25956</v>
      </c>
      <c r="L2470" s="10" t="s">
        <v>25957</v>
      </c>
    </row>
    <row r="2471">
      <c r="A2471" s="2" t="s">
        <v>4532</v>
      </c>
      <c r="B2471" s="2" t="s">
        <v>25958</v>
      </c>
      <c r="C2471" s="2">
        <v>5525326.0</v>
      </c>
      <c r="D2471" s="2" t="s">
        <v>25959</v>
      </c>
      <c r="E2471" s="2">
        <v>341689.0</v>
      </c>
      <c r="F2471" s="2">
        <v>210.0</v>
      </c>
      <c r="G2471" s="2">
        <v>10343.0</v>
      </c>
      <c r="H2471" s="2" t="s">
        <v>5906</v>
      </c>
      <c r="I2471" s="2" t="s">
        <v>5906</v>
      </c>
      <c r="K2471" s="2" t="s">
        <v>25960</v>
      </c>
      <c r="L2471" s="10" t="s">
        <v>25961</v>
      </c>
    </row>
    <row r="2472">
      <c r="A2472" s="2" t="s">
        <v>4532</v>
      </c>
      <c r="B2472" s="10" t="s">
        <v>25962</v>
      </c>
      <c r="C2472" s="2">
        <v>6.7073618805E10</v>
      </c>
      <c r="D2472" s="2" t="s">
        <v>25963</v>
      </c>
      <c r="E2472" s="2">
        <v>36686.0</v>
      </c>
      <c r="F2472" s="2">
        <v>61.0</v>
      </c>
      <c r="G2472" s="2">
        <v>89.0</v>
      </c>
      <c r="H2472" s="2" t="s">
        <v>5905</v>
      </c>
      <c r="I2472" s="2" t="s">
        <v>5905</v>
      </c>
      <c r="J2472" s="2" t="s">
        <v>6171</v>
      </c>
      <c r="K2472" s="2" t="s">
        <v>25964</v>
      </c>
    </row>
    <row r="2473">
      <c r="A2473" s="2" t="s">
        <v>4532</v>
      </c>
      <c r="B2473" s="2" t="s">
        <v>25965</v>
      </c>
      <c r="C2473" s="2">
        <v>5.4798091246E10</v>
      </c>
      <c r="D2473" s="2" t="s">
        <v>25966</v>
      </c>
      <c r="E2473" s="2">
        <v>547482.0</v>
      </c>
      <c r="F2473" s="2">
        <v>49.0</v>
      </c>
      <c r="G2473" s="2">
        <v>3698.0</v>
      </c>
      <c r="H2473" s="2" t="s">
        <v>5906</v>
      </c>
      <c r="I2473" s="2" t="s">
        <v>5906</v>
      </c>
      <c r="J2473" s="2" t="s">
        <v>8479</v>
      </c>
      <c r="K2473" s="2" t="s">
        <v>25967</v>
      </c>
      <c r="L2473" s="10" t="s">
        <v>25968</v>
      </c>
    </row>
    <row r="2474">
      <c r="A2474" s="2" t="s">
        <v>4532</v>
      </c>
      <c r="B2474" s="2" t="s">
        <v>25969</v>
      </c>
      <c r="C2474" s="2">
        <v>3.5447366719E10</v>
      </c>
      <c r="D2474" s="2" t="s">
        <v>25970</v>
      </c>
      <c r="E2474" s="2">
        <v>44869.0</v>
      </c>
      <c r="F2474" s="2">
        <v>1219.0</v>
      </c>
      <c r="G2474" s="2">
        <v>443.0</v>
      </c>
      <c r="H2474" s="2" t="s">
        <v>5905</v>
      </c>
      <c r="I2474" s="2" t="s">
        <v>5905</v>
      </c>
      <c r="J2474" s="2" t="s">
        <v>7620</v>
      </c>
      <c r="K2474" s="2" t="s">
        <v>25971</v>
      </c>
    </row>
    <row r="2475">
      <c r="A2475" s="2" t="s">
        <v>4532</v>
      </c>
      <c r="B2475" s="2" t="s">
        <v>25972</v>
      </c>
      <c r="C2475" s="2">
        <v>4.8303427132E10</v>
      </c>
      <c r="D2475" s="2" t="s">
        <v>25973</v>
      </c>
      <c r="E2475" s="2">
        <v>34451.0</v>
      </c>
      <c r="F2475" s="2">
        <v>4.0</v>
      </c>
      <c r="G2475" s="2">
        <v>136.0</v>
      </c>
      <c r="H2475" s="2" t="s">
        <v>5905</v>
      </c>
      <c r="I2475" s="2" t="s">
        <v>5906</v>
      </c>
      <c r="J2475" s="2" t="s">
        <v>15526</v>
      </c>
      <c r="K2475" s="2" t="s">
        <v>25974</v>
      </c>
      <c r="L2475" s="10" t="s">
        <v>25975</v>
      </c>
    </row>
    <row r="2476">
      <c r="A2476" s="2" t="s">
        <v>4531</v>
      </c>
      <c r="B2476" s="2" t="s">
        <v>25976</v>
      </c>
      <c r="C2476" s="2">
        <v>4.8416936638E10</v>
      </c>
      <c r="D2476" s="2" t="s">
        <v>25977</v>
      </c>
      <c r="E2476" s="2">
        <v>1974383.0</v>
      </c>
      <c r="F2476" s="2">
        <v>34.0</v>
      </c>
      <c r="G2476" s="2">
        <v>1277.0</v>
      </c>
      <c r="H2476" s="2" t="s">
        <v>5905</v>
      </c>
      <c r="I2476" s="2" t="s">
        <v>5905</v>
      </c>
      <c r="J2476" s="2" t="s">
        <v>5928</v>
      </c>
      <c r="K2476" s="2" t="s">
        <v>25978</v>
      </c>
    </row>
    <row r="2477">
      <c r="A2477" s="2" t="s">
        <v>4531</v>
      </c>
      <c r="B2477" s="2" t="s">
        <v>25979</v>
      </c>
      <c r="C2477" s="2">
        <v>5.4805662234E10</v>
      </c>
      <c r="D2477" s="2" t="s">
        <v>25980</v>
      </c>
      <c r="E2477" s="2">
        <v>34277.0</v>
      </c>
      <c r="F2477" s="2">
        <v>35.0</v>
      </c>
      <c r="G2477" s="2">
        <v>389.0</v>
      </c>
      <c r="H2477" s="2" t="s">
        <v>5905</v>
      </c>
      <c r="I2477" s="2" t="s">
        <v>5905</v>
      </c>
      <c r="J2477" s="2" t="s">
        <v>12715</v>
      </c>
      <c r="K2477" s="2" t="s">
        <v>25981</v>
      </c>
      <c r="L2477" s="10" t="s">
        <v>25982</v>
      </c>
    </row>
    <row r="2478">
      <c r="A2478" s="2" t="s">
        <v>4531</v>
      </c>
      <c r="B2478" s="2" t="s">
        <v>25983</v>
      </c>
      <c r="C2478" s="2">
        <v>5.1713905998E10</v>
      </c>
      <c r="D2478" s="2" t="s">
        <v>25984</v>
      </c>
      <c r="E2478" s="2">
        <v>62874.0</v>
      </c>
      <c r="F2478" s="2">
        <v>436.0</v>
      </c>
      <c r="G2478" s="2">
        <v>250.0</v>
      </c>
      <c r="H2478" s="2" t="s">
        <v>5906</v>
      </c>
      <c r="I2478" s="2" t="s">
        <v>5906</v>
      </c>
      <c r="J2478" s="2" t="s">
        <v>7669</v>
      </c>
      <c r="K2478" s="2" t="s">
        <v>25985</v>
      </c>
      <c r="L2478" s="10" t="s">
        <v>25986</v>
      </c>
    </row>
    <row r="2479">
      <c r="A2479" s="2" t="s">
        <v>4531</v>
      </c>
      <c r="B2479" s="2" t="s">
        <v>4531</v>
      </c>
      <c r="C2479" s="2">
        <v>4.64069797E9</v>
      </c>
      <c r="D2479" s="2" t="s">
        <v>25987</v>
      </c>
      <c r="E2479" s="2">
        <v>275801.0</v>
      </c>
      <c r="F2479" s="2">
        <v>144.0</v>
      </c>
      <c r="G2479" s="2">
        <v>2745.0</v>
      </c>
      <c r="H2479" s="2" t="s">
        <v>5905</v>
      </c>
      <c r="I2479" s="2" t="s">
        <v>5906</v>
      </c>
      <c r="J2479" s="2" t="s">
        <v>13706</v>
      </c>
      <c r="K2479" s="2" t="s">
        <v>25988</v>
      </c>
    </row>
    <row r="2480">
      <c r="A2480" s="2" t="s">
        <v>4531</v>
      </c>
      <c r="B2480" s="2" t="s">
        <v>25989</v>
      </c>
      <c r="C2480" s="2">
        <v>1.998776523E9</v>
      </c>
      <c r="D2480" s="2" t="s">
        <v>25990</v>
      </c>
      <c r="E2480" s="2">
        <v>13143.0</v>
      </c>
      <c r="F2480" s="2">
        <v>1218.0</v>
      </c>
      <c r="G2480" s="2">
        <v>118.0</v>
      </c>
      <c r="H2480" s="2" t="s">
        <v>5905</v>
      </c>
      <c r="I2480" s="2" t="s">
        <v>5906</v>
      </c>
      <c r="J2480" s="2" t="s">
        <v>6027</v>
      </c>
      <c r="K2480" s="2" t="s">
        <v>25991</v>
      </c>
    </row>
    <row r="2481">
      <c r="A2481" s="2" t="s">
        <v>4531</v>
      </c>
      <c r="B2481" s="2" t="s">
        <v>25992</v>
      </c>
      <c r="C2481" s="2">
        <v>1.88195631E8</v>
      </c>
      <c r="D2481" s="2" t="s">
        <v>25993</v>
      </c>
      <c r="E2481" s="2">
        <v>254538.0</v>
      </c>
      <c r="F2481" s="2">
        <v>5042.0</v>
      </c>
      <c r="G2481" s="2">
        <v>3873.0</v>
      </c>
      <c r="H2481" s="2" t="s">
        <v>5906</v>
      </c>
      <c r="I2481" s="2" t="s">
        <v>5906</v>
      </c>
      <c r="J2481" s="2" t="s">
        <v>5489</v>
      </c>
      <c r="K2481" s="2" t="s">
        <v>25994</v>
      </c>
      <c r="L2481" s="10" t="s">
        <v>25995</v>
      </c>
    </row>
    <row r="2482">
      <c r="A2482" s="2" t="s">
        <v>4531</v>
      </c>
      <c r="B2482" s="2" t="s">
        <v>25996</v>
      </c>
      <c r="C2482" s="2">
        <v>4.0389279828E10</v>
      </c>
      <c r="D2482" s="2" t="s">
        <v>25997</v>
      </c>
      <c r="E2482" s="2">
        <v>464938.0</v>
      </c>
      <c r="F2482" s="2">
        <v>1815.0</v>
      </c>
      <c r="G2482" s="2">
        <v>1253.0</v>
      </c>
      <c r="H2482" s="2" t="s">
        <v>5906</v>
      </c>
      <c r="I2482" s="2" t="s">
        <v>5906</v>
      </c>
      <c r="J2482" s="2" t="s">
        <v>7414</v>
      </c>
      <c r="K2482" s="2" t="s">
        <v>25998</v>
      </c>
      <c r="L2482" s="10" t="s">
        <v>25999</v>
      </c>
    </row>
    <row r="2483">
      <c r="A2483" s="2" t="s">
        <v>4531</v>
      </c>
      <c r="B2483" s="2" t="s">
        <v>26000</v>
      </c>
      <c r="C2483" s="2">
        <v>5.7286172289E10</v>
      </c>
      <c r="D2483" s="2" t="s">
        <v>26001</v>
      </c>
      <c r="E2483" s="2">
        <v>17396.0</v>
      </c>
      <c r="F2483" s="2">
        <v>39.0</v>
      </c>
      <c r="G2483" s="2">
        <v>0.0</v>
      </c>
      <c r="H2483" s="2" t="s">
        <v>5905</v>
      </c>
      <c r="I2483" s="2" t="s">
        <v>5905</v>
      </c>
      <c r="K2483" s="2" t="s">
        <v>26002</v>
      </c>
    </row>
    <row r="2484">
      <c r="A2484" s="2" t="s">
        <v>4531</v>
      </c>
      <c r="B2484" s="2" t="s">
        <v>26003</v>
      </c>
      <c r="C2484" s="2">
        <v>6.5416704302E10</v>
      </c>
      <c r="D2484" s="2" t="s">
        <v>26004</v>
      </c>
      <c r="E2484" s="2">
        <v>125560.0</v>
      </c>
      <c r="F2484" s="2">
        <v>110.0</v>
      </c>
      <c r="G2484" s="2">
        <v>70.0</v>
      </c>
      <c r="H2484" s="2" t="s">
        <v>5905</v>
      </c>
      <c r="I2484" s="2" t="s">
        <v>5906</v>
      </c>
      <c r="J2484" s="2" t="s">
        <v>5391</v>
      </c>
      <c r="K2484" s="2" t="s">
        <v>26005</v>
      </c>
      <c r="L2484" s="10" t="s">
        <v>26006</v>
      </c>
    </row>
    <row r="2485">
      <c r="A2485" s="2" t="s">
        <v>4531</v>
      </c>
      <c r="B2485" s="2" t="s">
        <v>26007</v>
      </c>
      <c r="C2485" s="2">
        <v>6.006672214E9</v>
      </c>
      <c r="D2485" s="2" t="s">
        <v>26008</v>
      </c>
      <c r="E2485" s="2">
        <v>48436.0</v>
      </c>
      <c r="F2485" s="2">
        <v>913.0</v>
      </c>
      <c r="G2485" s="2">
        <v>207.0</v>
      </c>
      <c r="H2485" s="2" t="s">
        <v>5906</v>
      </c>
      <c r="I2485" s="2" t="s">
        <v>5905</v>
      </c>
      <c r="J2485" s="2" t="s">
        <v>5959</v>
      </c>
      <c r="K2485" s="2" t="s">
        <v>26009</v>
      </c>
      <c r="L2485" s="10" t="s">
        <v>26010</v>
      </c>
    </row>
    <row r="2486">
      <c r="A2486" s="2" t="s">
        <v>4531</v>
      </c>
      <c r="B2486" s="2" t="s">
        <v>26011</v>
      </c>
      <c r="C2486" s="2">
        <v>7.695015667E9</v>
      </c>
      <c r="D2486" s="2" t="s">
        <v>26012</v>
      </c>
      <c r="E2486" s="2">
        <v>262198.0</v>
      </c>
      <c r="F2486" s="2">
        <v>335.0</v>
      </c>
      <c r="G2486" s="2">
        <v>1041.0</v>
      </c>
      <c r="H2486" s="2" t="s">
        <v>5905</v>
      </c>
      <c r="I2486" s="2" t="s">
        <v>5906</v>
      </c>
      <c r="J2486" s="2" t="s">
        <v>5561</v>
      </c>
      <c r="K2486" s="2" t="s">
        <v>26013</v>
      </c>
      <c r="L2486" s="10" t="s">
        <v>26014</v>
      </c>
    </row>
    <row r="2487">
      <c r="A2487" s="2" t="s">
        <v>4426</v>
      </c>
      <c r="B2487" s="2" t="s">
        <v>26015</v>
      </c>
      <c r="C2487" s="2">
        <v>4.78669545E8</v>
      </c>
      <c r="D2487" s="2" t="s">
        <v>26016</v>
      </c>
      <c r="E2487" s="2">
        <v>1458027.0</v>
      </c>
      <c r="F2487" s="2">
        <v>737.0</v>
      </c>
      <c r="G2487" s="2">
        <v>7512.0</v>
      </c>
      <c r="H2487" s="2" t="s">
        <v>5906</v>
      </c>
      <c r="I2487" s="2" t="s">
        <v>5906</v>
      </c>
      <c r="K2487" s="2" t="s">
        <v>26017</v>
      </c>
      <c r="L2487" s="10" t="s">
        <v>26018</v>
      </c>
    </row>
    <row r="2488">
      <c r="A2488" s="2" t="s">
        <v>4426</v>
      </c>
      <c r="B2488" s="2" t="s">
        <v>26019</v>
      </c>
      <c r="C2488" s="2">
        <v>7.1445007288E10</v>
      </c>
      <c r="D2488" s="2" t="s">
        <v>26020</v>
      </c>
      <c r="E2488" s="2">
        <v>12979.0</v>
      </c>
      <c r="F2488" s="2">
        <v>25.0</v>
      </c>
      <c r="G2488" s="2">
        <v>92.0</v>
      </c>
      <c r="H2488" s="2" t="s">
        <v>5905</v>
      </c>
      <c r="I2488" s="2" t="s">
        <v>5906</v>
      </c>
      <c r="J2488" s="2" t="s">
        <v>7414</v>
      </c>
      <c r="K2488" s="2" t="s">
        <v>26021</v>
      </c>
      <c r="L2488" s="10" t="s">
        <v>26022</v>
      </c>
    </row>
    <row r="2489">
      <c r="A2489" s="2" t="s">
        <v>4426</v>
      </c>
      <c r="B2489" s="2" t="s">
        <v>26023</v>
      </c>
      <c r="C2489" s="2">
        <v>5.8383161585E10</v>
      </c>
      <c r="D2489" s="2" t="s">
        <v>26024</v>
      </c>
      <c r="E2489" s="2">
        <v>16214.0</v>
      </c>
      <c r="F2489" s="2">
        <v>1027.0</v>
      </c>
      <c r="G2489" s="2">
        <v>308.0</v>
      </c>
      <c r="H2489" s="2" t="s">
        <v>5905</v>
      </c>
      <c r="I2489" s="2" t="s">
        <v>5906</v>
      </c>
      <c r="J2489" s="2" t="s">
        <v>6124</v>
      </c>
      <c r="K2489" s="2" t="s">
        <v>26025</v>
      </c>
      <c r="L2489" s="10" t="s">
        <v>26026</v>
      </c>
    </row>
    <row r="2490">
      <c r="A2490" s="2" t="s">
        <v>4426</v>
      </c>
      <c r="B2490" s="2" t="s">
        <v>26027</v>
      </c>
      <c r="C2490" s="2">
        <v>4.5499446139E10</v>
      </c>
      <c r="D2490" s="2" t="s">
        <v>26028</v>
      </c>
      <c r="E2490" s="2">
        <v>70921.0</v>
      </c>
      <c r="F2490" s="2">
        <v>35.0</v>
      </c>
      <c r="G2490" s="2">
        <v>746.0</v>
      </c>
      <c r="H2490" s="2" t="s">
        <v>5905</v>
      </c>
      <c r="I2490" s="2" t="s">
        <v>5905</v>
      </c>
      <c r="J2490" s="2" t="s">
        <v>5993</v>
      </c>
      <c r="K2490" s="2" t="s">
        <v>26029</v>
      </c>
    </row>
    <row r="2491">
      <c r="A2491" s="2" t="s">
        <v>4426</v>
      </c>
      <c r="B2491" s="2" t="s">
        <v>26030</v>
      </c>
      <c r="C2491" s="2">
        <v>3.4012451467E10</v>
      </c>
      <c r="D2491" s="2" t="s">
        <v>26031</v>
      </c>
      <c r="E2491" s="2">
        <v>204486.0</v>
      </c>
      <c r="F2491" s="2">
        <v>23.0</v>
      </c>
      <c r="G2491" s="2">
        <v>1130.0</v>
      </c>
      <c r="H2491" s="2" t="s">
        <v>5905</v>
      </c>
      <c r="I2491" s="2" t="s">
        <v>5906</v>
      </c>
      <c r="J2491" s="2" t="s">
        <v>9470</v>
      </c>
      <c r="K2491" s="2" t="s">
        <v>26032</v>
      </c>
    </row>
    <row r="2492">
      <c r="A2492" s="2" t="s">
        <v>4426</v>
      </c>
      <c r="B2492" s="2" t="s">
        <v>26033</v>
      </c>
      <c r="C2492" s="2">
        <v>3.546585202E9</v>
      </c>
      <c r="D2492" s="2" t="s">
        <v>26034</v>
      </c>
      <c r="E2492" s="2">
        <v>178206.0</v>
      </c>
      <c r="F2492" s="2">
        <v>758.0</v>
      </c>
      <c r="G2492" s="2">
        <v>181.0</v>
      </c>
      <c r="H2492" s="2" t="s">
        <v>5906</v>
      </c>
      <c r="I2492" s="2" t="s">
        <v>5905</v>
      </c>
      <c r="J2492" s="2" t="s">
        <v>5928</v>
      </c>
      <c r="K2492" s="2" t="s">
        <v>26035</v>
      </c>
      <c r="L2492" s="10" t="s">
        <v>26036</v>
      </c>
    </row>
    <row r="2493">
      <c r="A2493" s="2" t="s">
        <v>4426</v>
      </c>
      <c r="B2493" s="2" t="s">
        <v>26037</v>
      </c>
      <c r="C2493" s="2">
        <v>2.18950833E8</v>
      </c>
      <c r="D2493" s="2" t="s">
        <v>26038</v>
      </c>
      <c r="E2493" s="2">
        <v>22789.0</v>
      </c>
      <c r="F2493" s="2">
        <v>1952.0</v>
      </c>
      <c r="G2493" s="2">
        <v>5573.0</v>
      </c>
      <c r="H2493" s="2" t="s">
        <v>5905</v>
      </c>
      <c r="I2493" s="2" t="s">
        <v>5906</v>
      </c>
      <c r="K2493" s="2" t="s">
        <v>26039</v>
      </c>
      <c r="L2493" s="10" t="s">
        <v>26040</v>
      </c>
    </row>
    <row r="2494">
      <c r="A2494" s="2" t="s">
        <v>4426</v>
      </c>
      <c r="B2494" s="2" t="s">
        <v>26041</v>
      </c>
      <c r="C2494" s="2">
        <v>3.190051312E9</v>
      </c>
      <c r="D2494" s="2" t="s">
        <v>26042</v>
      </c>
      <c r="E2494" s="2">
        <v>14878.0</v>
      </c>
      <c r="F2494" s="2">
        <v>1029.0</v>
      </c>
      <c r="G2494" s="2">
        <v>1484.0</v>
      </c>
      <c r="H2494" s="2" t="s">
        <v>5905</v>
      </c>
      <c r="I2494" s="2" t="s">
        <v>5906</v>
      </c>
      <c r="K2494" s="2" t="s">
        <v>26043</v>
      </c>
      <c r="L2494" s="10" t="s">
        <v>26044</v>
      </c>
    </row>
    <row r="2495">
      <c r="A2495" s="2" t="s">
        <v>4597</v>
      </c>
      <c r="B2495" s="2" t="s">
        <v>26045</v>
      </c>
      <c r="C2495" s="2">
        <v>4.048776208E9</v>
      </c>
      <c r="D2495" s="2" t="s">
        <v>26046</v>
      </c>
      <c r="E2495" s="2">
        <v>15196.0</v>
      </c>
      <c r="F2495" s="2">
        <v>2301.0</v>
      </c>
      <c r="G2495" s="2">
        <v>1395.0</v>
      </c>
      <c r="H2495" s="2" t="s">
        <v>5905</v>
      </c>
      <c r="I2495" s="2" t="s">
        <v>5906</v>
      </c>
      <c r="J2495" s="2" t="s">
        <v>6166</v>
      </c>
      <c r="K2495" s="2" t="s">
        <v>26047</v>
      </c>
      <c r="L2495" s="10" t="s">
        <v>26048</v>
      </c>
    </row>
    <row r="2496">
      <c r="A2496" s="2" t="s">
        <v>4597</v>
      </c>
      <c r="B2496" s="2" t="s">
        <v>26049</v>
      </c>
      <c r="C2496" s="2">
        <v>4.1771626631E10</v>
      </c>
      <c r="D2496" s="2" t="s">
        <v>26050</v>
      </c>
      <c r="E2496" s="2">
        <v>10557.0</v>
      </c>
      <c r="F2496" s="2">
        <v>2889.0</v>
      </c>
      <c r="G2496" s="2">
        <v>963.0</v>
      </c>
      <c r="H2496" s="2" t="s">
        <v>5906</v>
      </c>
      <c r="I2496" s="2" t="s">
        <v>5905</v>
      </c>
      <c r="J2496" s="2" t="s">
        <v>5963</v>
      </c>
      <c r="K2496" s="2" t="s">
        <v>26051</v>
      </c>
      <c r="L2496" s="10" t="s">
        <v>26052</v>
      </c>
    </row>
    <row r="2497">
      <c r="A2497" s="2" t="s">
        <v>4597</v>
      </c>
      <c r="B2497" s="2" t="s">
        <v>26053</v>
      </c>
      <c r="C2497" s="2">
        <v>1.8609268983E10</v>
      </c>
      <c r="D2497" s="2" t="s">
        <v>26054</v>
      </c>
      <c r="E2497" s="2">
        <v>65105.0</v>
      </c>
      <c r="F2497" s="2">
        <v>726.0</v>
      </c>
      <c r="G2497" s="2">
        <v>259.0</v>
      </c>
      <c r="H2497" s="2" t="s">
        <v>5906</v>
      </c>
      <c r="I2497" s="2" t="s">
        <v>5905</v>
      </c>
      <c r="J2497" s="2" t="s">
        <v>5959</v>
      </c>
      <c r="K2497" s="2" t="s">
        <v>26055</v>
      </c>
      <c r="L2497" s="10" t="s">
        <v>26056</v>
      </c>
    </row>
    <row r="2498">
      <c r="A2498" s="2" t="s">
        <v>4597</v>
      </c>
      <c r="B2498" s="2" t="s">
        <v>26057</v>
      </c>
      <c r="C2498" s="2">
        <v>5.0721110887E10</v>
      </c>
      <c r="D2498" s="2" t="s">
        <v>26058</v>
      </c>
      <c r="E2498" s="2">
        <v>241506.0</v>
      </c>
      <c r="F2498" s="2">
        <v>1550.0</v>
      </c>
      <c r="G2498" s="2">
        <v>1214.0</v>
      </c>
      <c r="H2498" s="2" t="s">
        <v>5906</v>
      </c>
      <c r="I2498" s="2" t="s">
        <v>5906</v>
      </c>
      <c r="J2498" s="2" t="s">
        <v>5391</v>
      </c>
      <c r="K2498" s="2" t="s">
        <v>26059</v>
      </c>
      <c r="L2498" s="10" t="s">
        <v>26060</v>
      </c>
    </row>
    <row r="2499">
      <c r="A2499" s="2" t="s">
        <v>4597</v>
      </c>
      <c r="B2499" s="2" t="s">
        <v>26061</v>
      </c>
      <c r="C2499" s="2">
        <v>2.8744963327E10</v>
      </c>
      <c r="D2499" s="2" t="s">
        <v>26062</v>
      </c>
      <c r="E2499" s="2">
        <v>13761.0</v>
      </c>
      <c r="F2499" s="2">
        <v>2678.0</v>
      </c>
      <c r="G2499" s="2">
        <v>1192.0</v>
      </c>
      <c r="H2499" s="2" t="s">
        <v>5905</v>
      </c>
      <c r="I2499" s="2" t="s">
        <v>5906</v>
      </c>
      <c r="J2499" s="2" t="s">
        <v>6745</v>
      </c>
      <c r="K2499" s="2" t="s">
        <v>26063</v>
      </c>
      <c r="L2499" s="10" t="s">
        <v>26064</v>
      </c>
    </row>
    <row r="2500">
      <c r="A2500" s="2" t="s">
        <v>4597</v>
      </c>
      <c r="B2500" s="2" t="s">
        <v>26065</v>
      </c>
      <c r="C2500" s="2">
        <v>7.438448542E9</v>
      </c>
      <c r="D2500" s="2" t="s">
        <v>26066</v>
      </c>
      <c r="E2500" s="2">
        <v>211892.0</v>
      </c>
      <c r="F2500" s="2">
        <v>260.0</v>
      </c>
      <c r="G2500" s="2">
        <v>1348.0</v>
      </c>
      <c r="H2500" s="2" t="s">
        <v>5905</v>
      </c>
      <c r="I2500" s="2" t="s">
        <v>5906</v>
      </c>
      <c r="J2500" s="2" t="s">
        <v>5480</v>
      </c>
      <c r="K2500" s="2" t="s">
        <v>26067</v>
      </c>
      <c r="L2500" s="10" t="s">
        <v>26068</v>
      </c>
    </row>
    <row r="2501">
      <c r="A2501" s="2" t="s">
        <v>4742</v>
      </c>
      <c r="B2501" s="10" t="s">
        <v>26069</v>
      </c>
      <c r="C2501" s="2">
        <v>2.094071727E9</v>
      </c>
      <c r="D2501" s="2" t="s">
        <v>26070</v>
      </c>
      <c r="E2501" s="2">
        <v>139990.0</v>
      </c>
      <c r="F2501" s="2">
        <v>1720.0</v>
      </c>
      <c r="G2501" s="2">
        <v>2436.0</v>
      </c>
      <c r="H2501" s="2" t="s">
        <v>5905</v>
      </c>
      <c r="I2501" s="2" t="s">
        <v>5906</v>
      </c>
      <c r="J2501" s="2" t="s">
        <v>5959</v>
      </c>
      <c r="K2501" s="2" t="s">
        <v>26071</v>
      </c>
      <c r="L2501" s="10" t="s">
        <v>26072</v>
      </c>
    </row>
    <row r="2502">
      <c r="A2502" s="2" t="s">
        <v>4742</v>
      </c>
      <c r="B2502" s="2" t="s">
        <v>26073</v>
      </c>
      <c r="C2502" s="2">
        <v>2.4435533E7</v>
      </c>
      <c r="D2502" s="2" t="s">
        <v>26074</v>
      </c>
      <c r="E2502" s="2">
        <v>1754979.0</v>
      </c>
      <c r="F2502" s="2">
        <v>744.0</v>
      </c>
      <c r="G2502" s="2">
        <v>580.0</v>
      </c>
      <c r="H2502" s="2" t="s">
        <v>5906</v>
      </c>
      <c r="I2502" s="2" t="s">
        <v>5905</v>
      </c>
      <c r="J2502" s="2" t="s">
        <v>5959</v>
      </c>
      <c r="K2502" s="2" t="s">
        <v>26075</v>
      </c>
      <c r="L2502" s="10" t="s">
        <v>26076</v>
      </c>
    </row>
    <row r="2503">
      <c r="A2503" s="2" t="s">
        <v>4742</v>
      </c>
      <c r="B2503" s="2" t="s">
        <v>26077</v>
      </c>
      <c r="C2503" s="2">
        <v>4.6429339604E10</v>
      </c>
      <c r="D2503" s="2" t="s">
        <v>26078</v>
      </c>
      <c r="E2503" s="2">
        <v>12079.0</v>
      </c>
      <c r="F2503" s="2">
        <v>323.0</v>
      </c>
      <c r="G2503" s="2">
        <v>35.0</v>
      </c>
      <c r="H2503" s="2" t="s">
        <v>5905</v>
      </c>
      <c r="I2503" s="2" t="s">
        <v>5905</v>
      </c>
      <c r="J2503" s="2" t="s">
        <v>5492</v>
      </c>
      <c r="K2503" s="2" t="s">
        <v>26079</v>
      </c>
      <c r="L2503" s="10" t="s">
        <v>26080</v>
      </c>
    </row>
    <row r="2504">
      <c r="A2504" s="2" t="s">
        <v>4742</v>
      </c>
      <c r="B2504" s="2" t="s">
        <v>26081</v>
      </c>
      <c r="C2504" s="2">
        <v>2.1756930728E10</v>
      </c>
      <c r="D2504" s="2" t="s">
        <v>26078</v>
      </c>
      <c r="E2504" s="2">
        <v>33332.0</v>
      </c>
      <c r="F2504" s="2">
        <v>115.0</v>
      </c>
      <c r="G2504" s="2">
        <v>4749.0</v>
      </c>
      <c r="H2504" s="2" t="s">
        <v>5905</v>
      </c>
      <c r="I2504" s="2" t="s">
        <v>5906</v>
      </c>
      <c r="J2504" s="2" t="s">
        <v>5959</v>
      </c>
      <c r="K2504" s="12" t="s">
        <v>26082</v>
      </c>
      <c r="L2504" s="10" t="s">
        <v>26083</v>
      </c>
    </row>
    <row r="2505">
      <c r="A2505" s="2" t="s">
        <v>4425</v>
      </c>
      <c r="B2505" s="2" t="s">
        <v>26084</v>
      </c>
      <c r="C2505" s="2">
        <v>7.4935786079E10</v>
      </c>
      <c r="D2505" s="2" t="s">
        <v>26085</v>
      </c>
      <c r="E2505" s="2">
        <v>11386.0</v>
      </c>
      <c r="F2505" s="2">
        <v>0.0</v>
      </c>
      <c r="G2505" s="2">
        <v>26.0</v>
      </c>
      <c r="H2505" s="2" t="s">
        <v>5905</v>
      </c>
      <c r="I2505" s="2" t="s">
        <v>5905</v>
      </c>
      <c r="J2505" s="2" t="s">
        <v>20522</v>
      </c>
      <c r="K2505" s="2" t="s">
        <v>26086</v>
      </c>
    </row>
    <row r="2506">
      <c r="A2506" s="2" t="s">
        <v>4425</v>
      </c>
      <c r="B2506" s="2" t="s">
        <v>26087</v>
      </c>
      <c r="C2506" s="2">
        <v>1.134315062E9</v>
      </c>
      <c r="D2506" s="2" t="s">
        <v>26088</v>
      </c>
      <c r="E2506" s="2">
        <v>213231.0</v>
      </c>
      <c r="F2506" s="2">
        <v>576.0</v>
      </c>
      <c r="G2506" s="2">
        <v>796.0</v>
      </c>
      <c r="H2506" s="2" t="s">
        <v>5905</v>
      </c>
      <c r="I2506" s="2" t="s">
        <v>5906</v>
      </c>
      <c r="K2506" s="2" t="s">
        <v>26089</v>
      </c>
      <c r="L2506" s="10" t="s">
        <v>26090</v>
      </c>
    </row>
    <row r="2507">
      <c r="A2507" s="2" t="s">
        <v>4425</v>
      </c>
      <c r="B2507" s="2" t="s">
        <v>26091</v>
      </c>
      <c r="C2507" s="2">
        <v>5.7821683374E10</v>
      </c>
      <c r="D2507" s="2" t="s">
        <v>26092</v>
      </c>
      <c r="E2507" s="2">
        <v>30430.0</v>
      </c>
      <c r="F2507" s="2">
        <v>294.0</v>
      </c>
      <c r="G2507" s="2">
        <v>484.0</v>
      </c>
      <c r="H2507" s="2" t="s">
        <v>5905</v>
      </c>
      <c r="I2507" s="2" t="s">
        <v>5906</v>
      </c>
      <c r="J2507" s="2" t="s">
        <v>5968</v>
      </c>
      <c r="K2507" s="2" t="s">
        <v>26093</v>
      </c>
      <c r="L2507" s="10" t="s">
        <v>26094</v>
      </c>
    </row>
    <row r="2508">
      <c r="A2508" s="2" t="s">
        <v>4425</v>
      </c>
      <c r="B2508" s="2" t="s">
        <v>4425</v>
      </c>
      <c r="C2508" s="2">
        <v>3.42324761E8</v>
      </c>
      <c r="D2508" s="2" t="s">
        <v>26095</v>
      </c>
      <c r="E2508" s="2">
        <v>126702.0</v>
      </c>
      <c r="F2508" s="2">
        <v>4618.0</v>
      </c>
      <c r="G2508" s="2">
        <v>1633.0</v>
      </c>
      <c r="H2508" s="2" t="s">
        <v>5905</v>
      </c>
      <c r="I2508" s="2" t="s">
        <v>5906</v>
      </c>
      <c r="J2508" s="2" t="s">
        <v>5561</v>
      </c>
      <c r="K2508" s="2" t="s">
        <v>26096</v>
      </c>
    </row>
    <row r="2509">
      <c r="A2509" s="2" t="s">
        <v>4425</v>
      </c>
      <c r="B2509" s="2" t="s">
        <v>26097</v>
      </c>
      <c r="C2509" s="2">
        <v>6.6430071832E10</v>
      </c>
      <c r="D2509" s="2" t="s">
        <v>26098</v>
      </c>
      <c r="E2509" s="2">
        <v>32512.0</v>
      </c>
      <c r="F2509" s="2">
        <v>47.0</v>
      </c>
      <c r="G2509" s="2">
        <v>5.0</v>
      </c>
      <c r="H2509" s="2" t="s">
        <v>5905</v>
      </c>
      <c r="I2509" s="2" t="s">
        <v>5905</v>
      </c>
      <c r="J2509" s="2" t="s">
        <v>5928</v>
      </c>
      <c r="K2509" s="2" t="s">
        <v>26099</v>
      </c>
    </row>
    <row r="2510">
      <c r="A2510" s="2" t="s">
        <v>4425</v>
      </c>
      <c r="B2510" s="2" t="s">
        <v>26100</v>
      </c>
      <c r="C2510" s="2">
        <v>5.6750179097E10</v>
      </c>
      <c r="D2510" s="2" t="s">
        <v>26101</v>
      </c>
      <c r="E2510" s="2">
        <v>25239.0</v>
      </c>
      <c r="F2510" s="2">
        <v>346.0</v>
      </c>
      <c r="G2510" s="2">
        <v>149.0</v>
      </c>
      <c r="H2510" s="2" t="s">
        <v>5905</v>
      </c>
      <c r="I2510" s="2" t="s">
        <v>5905</v>
      </c>
      <c r="J2510" s="2" t="s">
        <v>5391</v>
      </c>
      <c r="K2510" s="2" t="s">
        <v>26102</v>
      </c>
      <c r="L2510" s="10" t="s">
        <v>26103</v>
      </c>
    </row>
    <row r="2511">
      <c r="A2511" s="2" t="s">
        <v>4425</v>
      </c>
      <c r="B2511" s="2" t="s">
        <v>26104</v>
      </c>
      <c r="C2511" s="2">
        <v>1.435985111E9</v>
      </c>
      <c r="D2511" s="2" t="s">
        <v>26105</v>
      </c>
      <c r="E2511" s="2">
        <v>60239.0</v>
      </c>
      <c r="F2511" s="2">
        <v>596.0</v>
      </c>
      <c r="G2511" s="2">
        <v>3462.0</v>
      </c>
      <c r="H2511" s="2" t="s">
        <v>5906</v>
      </c>
      <c r="I2511" s="2" t="s">
        <v>5906</v>
      </c>
      <c r="K2511" s="2" t="s">
        <v>26106</v>
      </c>
      <c r="L2511" s="10" t="s">
        <v>26107</v>
      </c>
    </row>
    <row r="2512">
      <c r="A2512" s="2" t="s">
        <v>4425</v>
      </c>
      <c r="B2512" s="2" t="s">
        <v>26108</v>
      </c>
      <c r="C2512" s="2">
        <v>3.255036429E9</v>
      </c>
      <c r="D2512" s="2" t="s">
        <v>26095</v>
      </c>
      <c r="E2512" s="2">
        <v>22262.0</v>
      </c>
      <c r="F2512" s="2">
        <v>269.0</v>
      </c>
      <c r="G2512" s="2">
        <v>74.0</v>
      </c>
      <c r="H2512" s="2" t="s">
        <v>5905</v>
      </c>
      <c r="I2512" s="2" t="s">
        <v>5905</v>
      </c>
      <c r="K2512" s="2" t="s">
        <v>26109</v>
      </c>
    </row>
    <row r="2513">
      <c r="A2513" s="2" t="s">
        <v>4425</v>
      </c>
      <c r="B2513" s="2" t="s">
        <v>26110</v>
      </c>
      <c r="C2513" s="2">
        <v>5.5749098891E10</v>
      </c>
      <c r="D2513" s="2" t="s">
        <v>26111</v>
      </c>
      <c r="E2513" s="2">
        <v>29291.0</v>
      </c>
      <c r="F2513" s="2">
        <v>4.0</v>
      </c>
      <c r="G2513" s="2">
        <v>80.0</v>
      </c>
      <c r="H2513" s="2" t="s">
        <v>5905</v>
      </c>
      <c r="I2513" s="2" t="s">
        <v>5905</v>
      </c>
      <c r="J2513" s="2" t="s">
        <v>6628</v>
      </c>
      <c r="K2513" s="2" t="s">
        <v>26112</v>
      </c>
      <c r="L2513" s="10" t="s">
        <v>26113</v>
      </c>
    </row>
    <row r="2514">
      <c r="A2514" s="2" t="s">
        <v>4425</v>
      </c>
      <c r="B2514" s="2" t="s">
        <v>26114</v>
      </c>
      <c r="C2514" s="2">
        <v>5.62096171E8</v>
      </c>
      <c r="D2514" s="2" t="s">
        <v>26115</v>
      </c>
      <c r="E2514" s="2">
        <v>109018.0</v>
      </c>
      <c r="F2514" s="2">
        <v>1.0</v>
      </c>
      <c r="G2514" s="2">
        <v>247.0</v>
      </c>
      <c r="H2514" s="2" t="s">
        <v>5905</v>
      </c>
      <c r="I2514" s="2" t="s">
        <v>5905</v>
      </c>
      <c r="J2514" s="2" t="s">
        <v>5492</v>
      </c>
      <c r="K2514" s="2" t="s">
        <v>26116</v>
      </c>
      <c r="L2514" s="10" t="s">
        <v>26117</v>
      </c>
    </row>
    <row r="2515">
      <c r="A2515" s="2" t="s">
        <v>4425</v>
      </c>
      <c r="B2515" s="2" t="s">
        <v>26118</v>
      </c>
      <c r="C2515" s="2">
        <v>1.297666093E9</v>
      </c>
      <c r="D2515" s="2" t="s">
        <v>26119</v>
      </c>
      <c r="E2515" s="2">
        <v>162333.0</v>
      </c>
      <c r="F2515" s="2">
        <v>3151.0</v>
      </c>
      <c r="G2515" s="2">
        <v>8794.0</v>
      </c>
      <c r="H2515" s="2" t="s">
        <v>5905</v>
      </c>
      <c r="I2515" s="2" t="s">
        <v>5906</v>
      </c>
      <c r="J2515" s="2" t="s">
        <v>5907</v>
      </c>
      <c r="K2515" s="2" t="s">
        <v>26120</v>
      </c>
      <c r="L2515" s="10" t="s">
        <v>26121</v>
      </c>
    </row>
    <row r="2516">
      <c r="A2516" s="2" t="s">
        <v>4425</v>
      </c>
      <c r="B2516" s="2" t="s">
        <v>26122</v>
      </c>
      <c r="C2516" s="2">
        <v>8.741928038E9</v>
      </c>
      <c r="D2516" s="2" t="s">
        <v>26123</v>
      </c>
      <c r="E2516" s="2">
        <v>177735.0</v>
      </c>
      <c r="F2516" s="2">
        <v>5060.0</v>
      </c>
      <c r="G2516" s="2">
        <v>1950.0</v>
      </c>
      <c r="H2516" s="2" t="s">
        <v>5906</v>
      </c>
      <c r="I2516" s="2" t="s">
        <v>5905</v>
      </c>
      <c r="J2516" s="2" t="s">
        <v>5959</v>
      </c>
      <c r="K2516" s="2" t="s">
        <v>26124</v>
      </c>
      <c r="L2516" s="10" t="s">
        <v>26125</v>
      </c>
    </row>
    <row r="2517">
      <c r="A2517" s="2" t="s">
        <v>4425</v>
      </c>
      <c r="B2517" s="2" t="s">
        <v>26126</v>
      </c>
      <c r="C2517" s="2">
        <v>4.34673713E8</v>
      </c>
      <c r="D2517" s="2" t="s">
        <v>26127</v>
      </c>
      <c r="E2517" s="2">
        <v>792222.0</v>
      </c>
      <c r="F2517" s="2">
        <v>416.0</v>
      </c>
      <c r="G2517" s="2">
        <v>6709.0</v>
      </c>
      <c r="H2517" s="2" t="s">
        <v>5906</v>
      </c>
      <c r="I2517" s="2" t="s">
        <v>5905</v>
      </c>
      <c r="J2517" s="2" t="s">
        <v>9470</v>
      </c>
      <c r="K2517" s="2" t="s">
        <v>26128</v>
      </c>
      <c r="L2517" s="10" t="s">
        <v>26129</v>
      </c>
    </row>
    <row r="2518">
      <c r="A2518" s="2" t="s">
        <v>4553</v>
      </c>
      <c r="B2518" s="2" t="s">
        <v>26130</v>
      </c>
      <c r="C2518" s="2">
        <v>4.75615952E8</v>
      </c>
      <c r="D2518" s="2" t="s">
        <v>5688</v>
      </c>
      <c r="E2518" s="2">
        <v>207237.0</v>
      </c>
      <c r="F2518" s="2">
        <v>436.0</v>
      </c>
      <c r="G2518" s="2">
        <v>202.0</v>
      </c>
      <c r="H2518" s="2" t="s">
        <v>5905</v>
      </c>
      <c r="I2518" s="2" t="s">
        <v>5905</v>
      </c>
      <c r="J2518" s="2" t="s">
        <v>5959</v>
      </c>
      <c r="K2518" s="2" t="s">
        <v>26131</v>
      </c>
      <c r="L2518" s="10" t="s">
        <v>26132</v>
      </c>
    </row>
    <row r="2519">
      <c r="A2519" s="2" t="s">
        <v>4553</v>
      </c>
      <c r="B2519" s="2" t="s">
        <v>26133</v>
      </c>
      <c r="C2519" s="2">
        <v>5779712.0</v>
      </c>
      <c r="D2519" s="2" t="s">
        <v>26134</v>
      </c>
      <c r="E2519" s="2">
        <v>197778.0</v>
      </c>
      <c r="F2519" s="2">
        <v>2138.0</v>
      </c>
      <c r="G2519" s="2">
        <v>1202.0</v>
      </c>
      <c r="H2519" s="2" t="s">
        <v>5905</v>
      </c>
      <c r="I2519" s="2" t="s">
        <v>5905</v>
      </c>
      <c r="J2519" s="2" t="s">
        <v>5993</v>
      </c>
      <c r="K2519" s="2" t="s">
        <v>26135</v>
      </c>
      <c r="L2519" s="10" t="s">
        <v>26136</v>
      </c>
    </row>
    <row r="2520">
      <c r="A2520" s="2" t="s">
        <v>4553</v>
      </c>
      <c r="B2520" s="2" t="s">
        <v>4553</v>
      </c>
      <c r="C2520" s="2">
        <v>2.68481E7</v>
      </c>
      <c r="D2520" s="2" t="s">
        <v>15130</v>
      </c>
      <c r="E2520" s="2">
        <v>1333819.0</v>
      </c>
      <c r="F2520" s="2">
        <v>304.0</v>
      </c>
      <c r="G2520" s="2">
        <v>4793.0</v>
      </c>
      <c r="H2520" s="2" t="s">
        <v>5906</v>
      </c>
      <c r="I2520" s="2" t="s">
        <v>5906</v>
      </c>
      <c r="K2520" s="2" t="s">
        <v>15131</v>
      </c>
      <c r="L2520" s="10" t="s">
        <v>15132</v>
      </c>
    </row>
    <row r="2521">
      <c r="A2521" s="2" t="s">
        <v>4553</v>
      </c>
      <c r="B2521" s="2" t="s">
        <v>26137</v>
      </c>
      <c r="C2521" s="2">
        <v>1.503176258E9</v>
      </c>
      <c r="D2521" s="2" t="s">
        <v>26138</v>
      </c>
      <c r="E2521" s="2">
        <v>427981.0</v>
      </c>
      <c r="F2521" s="2">
        <v>211.0</v>
      </c>
      <c r="G2521" s="2">
        <v>55.0</v>
      </c>
      <c r="H2521" s="2" t="s">
        <v>5905</v>
      </c>
      <c r="I2521" s="2" t="s">
        <v>5905</v>
      </c>
      <c r="J2521" s="2" t="s">
        <v>4404</v>
      </c>
      <c r="K2521" s="2" t="s">
        <v>26139</v>
      </c>
      <c r="L2521" s="10" t="s">
        <v>26140</v>
      </c>
    </row>
    <row r="2522">
      <c r="A2522" s="2" t="s">
        <v>4553</v>
      </c>
      <c r="B2522" s="2" t="s">
        <v>15133</v>
      </c>
      <c r="C2522" s="2">
        <v>8140453.0</v>
      </c>
      <c r="D2522" s="2" t="s">
        <v>15134</v>
      </c>
      <c r="E2522" s="2">
        <v>2.5148977E7</v>
      </c>
      <c r="F2522" s="2">
        <v>859.0</v>
      </c>
      <c r="G2522" s="2">
        <v>559.0</v>
      </c>
      <c r="H2522" s="2" t="s">
        <v>5906</v>
      </c>
      <c r="I2522" s="2" t="s">
        <v>5905</v>
      </c>
      <c r="J2522" s="2" t="s">
        <v>8838</v>
      </c>
      <c r="K2522" s="2" t="s">
        <v>15135</v>
      </c>
    </row>
    <row r="2523">
      <c r="A2523" s="2" t="s">
        <v>4436</v>
      </c>
      <c r="B2523" s="2" t="s">
        <v>26141</v>
      </c>
      <c r="C2523" s="2">
        <v>5.6673764925E10</v>
      </c>
      <c r="D2523" s="2" t="s">
        <v>26142</v>
      </c>
      <c r="E2523" s="2">
        <v>106713.0</v>
      </c>
      <c r="F2523" s="2">
        <v>31.0</v>
      </c>
      <c r="G2523" s="2">
        <v>44.0</v>
      </c>
      <c r="H2523" s="2" t="s">
        <v>5906</v>
      </c>
      <c r="I2523" s="2" t="s">
        <v>5906</v>
      </c>
      <c r="J2523" s="2" t="s">
        <v>4397</v>
      </c>
      <c r="K2523" s="2" t="s">
        <v>26143</v>
      </c>
      <c r="L2523" s="10" t="s">
        <v>26144</v>
      </c>
    </row>
    <row r="2524">
      <c r="A2524" s="2" t="s">
        <v>4436</v>
      </c>
      <c r="B2524" s="2" t="s">
        <v>26145</v>
      </c>
      <c r="C2524" s="2">
        <v>3.59477361E9</v>
      </c>
      <c r="D2524" s="2" t="s">
        <v>26146</v>
      </c>
      <c r="E2524" s="2">
        <v>35456.0</v>
      </c>
      <c r="F2524" s="2">
        <v>105.0</v>
      </c>
      <c r="G2524" s="2">
        <v>2844.0</v>
      </c>
      <c r="H2524" s="2" t="s">
        <v>5905</v>
      </c>
      <c r="I2524" s="2" t="s">
        <v>5905</v>
      </c>
      <c r="K2524" s="2" t="s">
        <v>26147</v>
      </c>
    </row>
    <row r="2525">
      <c r="A2525" s="2" t="s">
        <v>4436</v>
      </c>
      <c r="B2525" s="2" t="s">
        <v>26148</v>
      </c>
      <c r="C2525" s="2">
        <v>1.605351124E9</v>
      </c>
      <c r="D2525" s="2" t="s">
        <v>26149</v>
      </c>
      <c r="E2525" s="2">
        <v>37112.0</v>
      </c>
      <c r="F2525" s="2">
        <v>704.0</v>
      </c>
      <c r="G2525" s="2">
        <v>2923.0</v>
      </c>
      <c r="H2525" s="2" t="s">
        <v>5906</v>
      </c>
      <c r="I2525" s="2" t="s">
        <v>5905</v>
      </c>
      <c r="J2525" s="2" t="s">
        <v>9470</v>
      </c>
      <c r="K2525" s="2" t="s">
        <v>26150</v>
      </c>
      <c r="L2525" s="10" t="s">
        <v>26151</v>
      </c>
    </row>
    <row r="2526">
      <c r="A2526" s="2" t="s">
        <v>4731</v>
      </c>
      <c r="B2526" s="2" t="s">
        <v>26152</v>
      </c>
      <c r="C2526" s="2">
        <v>6.0300684924E10</v>
      </c>
      <c r="D2526" s="2" t="s">
        <v>26153</v>
      </c>
      <c r="E2526" s="2">
        <v>25091.0</v>
      </c>
      <c r="F2526" s="2">
        <v>1142.0</v>
      </c>
      <c r="G2526" s="2">
        <v>364.0</v>
      </c>
      <c r="H2526" s="2" t="s">
        <v>5906</v>
      </c>
      <c r="I2526" s="2" t="s">
        <v>5906</v>
      </c>
      <c r="J2526" s="2" t="s">
        <v>5391</v>
      </c>
      <c r="K2526" s="2" t="s">
        <v>26154</v>
      </c>
    </row>
    <row r="2527">
      <c r="A2527" s="2" t="s">
        <v>4731</v>
      </c>
      <c r="B2527" s="2" t="s">
        <v>26155</v>
      </c>
      <c r="C2527" s="2">
        <v>4.8389411456E10</v>
      </c>
      <c r="E2527" s="2">
        <v>15008.0</v>
      </c>
      <c r="F2527" s="2">
        <v>1596.0</v>
      </c>
      <c r="G2527" s="2">
        <v>79.0</v>
      </c>
      <c r="H2527" s="2" t="s">
        <v>5905</v>
      </c>
      <c r="I2527" s="2" t="s">
        <v>5905</v>
      </c>
      <c r="J2527" s="2" t="s">
        <v>9153</v>
      </c>
      <c r="K2527" s="2" t="s">
        <v>26156</v>
      </c>
    </row>
    <row r="2528">
      <c r="A2528" s="2" t="s">
        <v>4731</v>
      </c>
      <c r="B2528" s="2" t="s">
        <v>26157</v>
      </c>
      <c r="C2528" s="2">
        <v>3.8736589141E10</v>
      </c>
      <c r="D2528" s="2" t="s">
        <v>26158</v>
      </c>
      <c r="E2528" s="2">
        <v>15253.0</v>
      </c>
      <c r="F2528" s="2">
        <v>3082.0</v>
      </c>
      <c r="G2528" s="2">
        <v>244.0</v>
      </c>
      <c r="H2528" s="2" t="s">
        <v>5905</v>
      </c>
      <c r="I2528" s="2" t="s">
        <v>5905</v>
      </c>
      <c r="J2528" s="2" t="s">
        <v>5993</v>
      </c>
      <c r="K2528" s="2" t="s">
        <v>26159</v>
      </c>
      <c r="L2528" s="10" t="s">
        <v>26160</v>
      </c>
    </row>
    <row r="2529">
      <c r="A2529" s="2" t="s">
        <v>4731</v>
      </c>
      <c r="B2529" s="2" t="s">
        <v>26161</v>
      </c>
      <c r="C2529" s="2">
        <v>5.488407997E10</v>
      </c>
      <c r="D2529" s="2" t="s">
        <v>26162</v>
      </c>
      <c r="E2529" s="2">
        <v>33232.0</v>
      </c>
      <c r="F2529" s="2">
        <v>279.0</v>
      </c>
      <c r="G2529" s="2">
        <v>358.0</v>
      </c>
      <c r="H2529" s="2" t="s">
        <v>5906</v>
      </c>
      <c r="I2529" s="2" t="s">
        <v>5906</v>
      </c>
      <c r="J2529" s="2" t="s">
        <v>5993</v>
      </c>
      <c r="K2529" s="2" t="s">
        <v>26163</v>
      </c>
    </row>
    <row r="2530">
      <c r="A2530" s="2" t="s">
        <v>4731</v>
      </c>
      <c r="B2530" s="2" t="s">
        <v>26164</v>
      </c>
      <c r="C2530" s="2">
        <v>5.072477913E10</v>
      </c>
      <c r="D2530" s="2" t="s">
        <v>26165</v>
      </c>
      <c r="E2530" s="2">
        <v>23510.0</v>
      </c>
      <c r="F2530" s="2">
        <v>2570.0</v>
      </c>
      <c r="G2530" s="2">
        <v>139.0</v>
      </c>
      <c r="H2530" s="2" t="s">
        <v>5906</v>
      </c>
      <c r="I2530" s="2" t="s">
        <v>5905</v>
      </c>
      <c r="J2530" s="2" t="s">
        <v>5993</v>
      </c>
      <c r="K2530" s="2" t="s">
        <v>26166</v>
      </c>
      <c r="L2530" s="10" t="s">
        <v>26167</v>
      </c>
    </row>
    <row r="2531">
      <c r="A2531" s="2" t="s">
        <v>4731</v>
      </c>
      <c r="B2531" s="2" t="s">
        <v>26168</v>
      </c>
      <c r="C2531" s="2">
        <v>6.003597238E9</v>
      </c>
      <c r="D2531" s="2" t="s">
        <v>26169</v>
      </c>
      <c r="E2531" s="2">
        <v>14777.0</v>
      </c>
      <c r="F2531" s="2">
        <v>239.0</v>
      </c>
      <c r="G2531" s="2">
        <v>327.0</v>
      </c>
      <c r="H2531" s="2" t="s">
        <v>5905</v>
      </c>
      <c r="I2531" s="2" t="s">
        <v>5905</v>
      </c>
      <c r="J2531" s="2" t="s">
        <v>5993</v>
      </c>
      <c r="K2531" s="2" t="s">
        <v>26170</v>
      </c>
      <c r="L2531" s="10" t="s">
        <v>26171</v>
      </c>
    </row>
    <row r="2532">
      <c r="A2532" s="2" t="s">
        <v>4731</v>
      </c>
      <c r="B2532" s="2" t="s">
        <v>26172</v>
      </c>
      <c r="C2532" s="2">
        <v>5.313565409E10</v>
      </c>
      <c r="D2532" s="2" t="s">
        <v>26173</v>
      </c>
      <c r="E2532" s="2">
        <v>39618.0</v>
      </c>
      <c r="F2532" s="2">
        <v>1831.0</v>
      </c>
      <c r="G2532" s="2">
        <v>31.0</v>
      </c>
      <c r="H2532" s="2" t="s">
        <v>5905</v>
      </c>
      <c r="I2532" s="2" t="s">
        <v>5905</v>
      </c>
      <c r="J2532" s="2" t="s">
        <v>5993</v>
      </c>
      <c r="K2532" s="2" t="s">
        <v>26174</v>
      </c>
    </row>
    <row r="2533">
      <c r="A2533" s="2" t="s">
        <v>4731</v>
      </c>
      <c r="B2533" s="2" t="s">
        <v>26175</v>
      </c>
      <c r="C2533" s="2">
        <v>1.8768614891E10</v>
      </c>
      <c r="D2533" s="2" t="s">
        <v>26176</v>
      </c>
      <c r="E2533" s="2">
        <v>11734.0</v>
      </c>
      <c r="F2533" s="2">
        <v>79.0</v>
      </c>
      <c r="G2533" s="2">
        <v>98.0</v>
      </c>
      <c r="H2533" s="2" t="s">
        <v>5905</v>
      </c>
      <c r="I2533" s="2" t="s">
        <v>5906</v>
      </c>
      <c r="J2533" s="2" t="s">
        <v>9153</v>
      </c>
      <c r="K2533" s="2" t="s">
        <v>26177</v>
      </c>
    </row>
    <row r="2534">
      <c r="A2534" s="2" t="s">
        <v>4731</v>
      </c>
      <c r="B2534" s="2" t="s">
        <v>26178</v>
      </c>
      <c r="C2534" s="2">
        <v>1.68640727E9</v>
      </c>
      <c r="D2534" s="2" t="s">
        <v>26179</v>
      </c>
      <c r="E2534" s="2">
        <v>77698.0</v>
      </c>
      <c r="F2534" s="2">
        <v>226.0</v>
      </c>
      <c r="G2534" s="2">
        <v>1326.0</v>
      </c>
      <c r="H2534" s="2" t="s">
        <v>5906</v>
      </c>
      <c r="I2534" s="2" t="s">
        <v>5906</v>
      </c>
      <c r="J2534" s="2" t="s">
        <v>9153</v>
      </c>
      <c r="K2534" s="2" t="s">
        <v>26180</v>
      </c>
      <c r="L2534" s="10" t="s">
        <v>26181</v>
      </c>
    </row>
    <row r="2535">
      <c r="A2535" s="2" t="s">
        <v>4731</v>
      </c>
      <c r="B2535" s="2" t="s">
        <v>26182</v>
      </c>
      <c r="C2535" s="2">
        <v>5.09203152E10</v>
      </c>
      <c r="D2535" s="2" t="s">
        <v>26183</v>
      </c>
      <c r="E2535" s="2">
        <v>180826.0</v>
      </c>
      <c r="F2535" s="2">
        <v>7433.0</v>
      </c>
      <c r="G2535" s="2">
        <v>1387.0</v>
      </c>
      <c r="H2535" s="2" t="s">
        <v>5905</v>
      </c>
      <c r="I2535" s="2" t="s">
        <v>5906</v>
      </c>
      <c r="J2535" s="2" t="s">
        <v>5561</v>
      </c>
      <c r="K2535" s="2" t="s">
        <v>26184</v>
      </c>
    </row>
    <row r="2536">
      <c r="A2536" s="2" t="s">
        <v>4513</v>
      </c>
      <c r="B2536" s="2" t="s">
        <v>26185</v>
      </c>
      <c r="C2536" s="2">
        <v>3.6159920077E10</v>
      </c>
      <c r="D2536" s="2" t="s">
        <v>26186</v>
      </c>
      <c r="E2536" s="2">
        <v>31488.0</v>
      </c>
      <c r="F2536" s="2">
        <v>2081.0</v>
      </c>
      <c r="G2536" s="2">
        <v>366.0</v>
      </c>
      <c r="H2536" s="2" t="s">
        <v>5905</v>
      </c>
      <c r="I2536" s="2" t="s">
        <v>5906</v>
      </c>
      <c r="J2536" s="2" t="s">
        <v>9153</v>
      </c>
      <c r="K2536" s="2" t="s">
        <v>26187</v>
      </c>
      <c r="L2536" s="10" t="s">
        <v>26188</v>
      </c>
    </row>
    <row r="2537">
      <c r="A2537" s="2" t="s">
        <v>4513</v>
      </c>
      <c r="B2537" s="2" t="s">
        <v>26189</v>
      </c>
      <c r="C2537" s="2">
        <v>8.10102599E9</v>
      </c>
      <c r="D2537" s="2" t="s">
        <v>26190</v>
      </c>
      <c r="E2537" s="2">
        <v>261858.0</v>
      </c>
      <c r="F2537" s="2">
        <v>40.0</v>
      </c>
      <c r="G2537" s="2">
        <v>1585.0</v>
      </c>
      <c r="H2537" s="2" t="s">
        <v>5906</v>
      </c>
      <c r="I2537" s="2" t="s">
        <v>5906</v>
      </c>
      <c r="J2537" s="2" t="s">
        <v>9153</v>
      </c>
      <c r="K2537" s="2" t="s">
        <v>26191</v>
      </c>
      <c r="L2537" s="10" t="s">
        <v>26192</v>
      </c>
    </row>
    <row r="2538">
      <c r="A2538" s="2" t="s">
        <v>4513</v>
      </c>
      <c r="B2538" s="2" t="s">
        <v>26193</v>
      </c>
      <c r="C2538" s="2">
        <v>2.50128381E8</v>
      </c>
      <c r="D2538" s="2" t="s">
        <v>26194</v>
      </c>
      <c r="E2538" s="2">
        <v>875692.0</v>
      </c>
      <c r="F2538" s="2">
        <v>164.0</v>
      </c>
      <c r="G2538" s="2">
        <v>2359.0</v>
      </c>
      <c r="H2538" s="2" t="s">
        <v>5905</v>
      </c>
      <c r="I2538" s="2" t="s">
        <v>5906</v>
      </c>
      <c r="J2538" s="2" t="s">
        <v>6111</v>
      </c>
      <c r="K2538" s="2" t="s">
        <v>26195</v>
      </c>
    </row>
    <row r="2539">
      <c r="A2539" s="2" t="s">
        <v>4513</v>
      </c>
      <c r="B2539" s="2" t="s">
        <v>26196</v>
      </c>
      <c r="C2539" s="2">
        <v>1.735426531E9</v>
      </c>
      <c r="D2539" s="2" t="s">
        <v>26197</v>
      </c>
      <c r="E2539" s="2">
        <v>768037.0</v>
      </c>
      <c r="F2539" s="2">
        <v>4294.0</v>
      </c>
      <c r="G2539" s="2">
        <v>6177.0</v>
      </c>
      <c r="H2539" s="2" t="s">
        <v>5905</v>
      </c>
      <c r="I2539" s="2" t="s">
        <v>5906</v>
      </c>
      <c r="J2539" s="2" t="s">
        <v>26198</v>
      </c>
      <c r="K2539" s="2" t="s">
        <v>26199</v>
      </c>
      <c r="L2539" s="10" t="s">
        <v>26200</v>
      </c>
    </row>
    <row r="2540">
      <c r="A2540" s="2" t="s">
        <v>4513</v>
      </c>
      <c r="B2540" s="2" t="s">
        <v>26201</v>
      </c>
      <c r="C2540" s="2">
        <v>3.633311942E9</v>
      </c>
      <c r="D2540" s="2" t="s">
        <v>26202</v>
      </c>
      <c r="E2540" s="2">
        <v>27142.0</v>
      </c>
      <c r="F2540" s="2">
        <v>119.0</v>
      </c>
      <c r="G2540" s="2">
        <v>2054.0</v>
      </c>
      <c r="H2540" s="2" t="s">
        <v>5906</v>
      </c>
      <c r="I2540" s="2" t="s">
        <v>5906</v>
      </c>
      <c r="J2540" s="2" t="s">
        <v>9153</v>
      </c>
      <c r="K2540" s="2" t="s">
        <v>26203</v>
      </c>
      <c r="L2540" s="10" t="s">
        <v>26204</v>
      </c>
    </row>
    <row r="2541">
      <c r="A2541" s="2" t="s">
        <v>4513</v>
      </c>
      <c r="B2541" s="2" t="s">
        <v>26205</v>
      </c>
      <c r="C2541" s="2">
        <v>5.83121025E8</v>
      </c>
      <c r="D2541" s="2" t="s">
        <v>26206</v>
      </c>
      <c r="E2541" s="2">
        <v>3559683.0</v>
      </c>
      <c r="F2541" s="2">
        <v>0.0</v>
      </c>
      <c r="G2541" s="2">
        <v>3485.0</v>
      </c>
      <c r="H2541" s="2" t="s">
        <v>5905</v>
      </c>
      <c r="I2541" s="2" t="s">
        <v>5906</v>
      </c>
      <c r="J2541" s="2" t="s">
        <v>4404</v>
      </c>
    </row>
    <row r="2542">
      <c r="A2542" s="2" t="s">
        <v>4513</v>
      </c>
      <c r="B2542" s="2" t="s">
        <v>4513</v>
      </c>
      <c r="C2542" s="2">
        <v>1.916839687E9</v>
      </c>
      <c r="D2542" s="2" t="s">
        <v>26206</v>
      </c>
      <c r="E2542" s="2">
        <v>168761.0</v>
      </c>
      <c r="F2542" s="2">
        <v>10.0</v>
      </c>
      <c r="G2542" s="2">
        <v>1606.0</v>
      </c>
      <c r="H2542" s="2" t="s">
        <v>5905</v>
      </c>
      <c r="I2542" s="2" t="s">
        <v>5905</v>
      </c>
      <c r="J2542" s="2" t="s">
        <v>5911</v>
      </c>
      <c r="K2542" s="2" t="s">
        <v>26207</v>
      </c>
      <c r="L2542" s="10" t="s">
        <v>26208</v>
      </c>
    </row>
    <row r="2543">
      <c r="A2543" s="2" t="s">
        <v>4513</v>
      </c>
      <c r="B2543" s="2" t="s">
        <v>26209</v>
      </c>
      <c r="C2543" s="2">
        <v>2.41945615E8</v>
      </c>
      <c r="D2543" s="2" t="s">
        <v>26210</v>
      </c>
      <c r="E2543" s="2">
        <v>25377.0</v>
      </c>
      <c r="F2543" s="2">
        <v>3531.0</v>
      </c>
      <c r="G2543" s="2">
        <v>319.0</v>
      </c>
      <c r="H2543" s="2" t="s">
        <v>5905</v>
      </c>
      <c r="I2543" s="2" t="s">
        <v>5905</v>
      </c>
    </row>
    <row r="2544">
      <c r="A2544" s="2" t="s">
        <v>4513</v>
      </c>
      <c r="B2544" s="2" t="s">
        <v>26211</v>
      </c>
      <c r="C2544" s="2">
        <v>6.84320694E8</v>
      </c>
      <c r="D2544" s="2" t="s">
        <v>26212</v>
      </c>
      <c r="E2544" s="2">
        <v>1012823.0</v>
      </c>
      <c r="F2544" s="2">
        <v>15.0</v>
      </c>
      <c r="G2544" s="2">
        <v>1580.0</v>
      </c>
      <c r="H2544" s="2" t="s">
        <v>5905</v>
      </c>
      <c r="I2544" s="2" t="s">
        <v>5905</v>
      </c>
      <c r="J2544" s="2" t="s">
        <v>5561</v>
      </c>
      <c r="K2544" s="2" t="s">
        <v>26213</v>
      </c>
    </row>
    <row r="2545">
      <c r="A2545" s="2" t="s">
        <v>4513</v>
      </c>
      <c r="B2545" s="2" t="s">
        <v>26214</v>
      </c>
      <c r="C2545" s="2">
        <v>5.272339E7</v>
      </c>
      <c r="D2545" s="2" t="s">
        <v>26215</v>
      </c>
      <c r="E2545" s="2">
        <v>602319.0</v>
      </c>
      <c r="F2545" s="2">
        <v>3082.0</v>
      </c>
      <c r="G2545" s="2">
        <v>29285.0</v>
      </c>
      <c r="H2545" s="2" t="s">
        <v>5905</v>
      </c>
      <c r="I2545" s="2" t="s">
        <v>5906</v>
      </c>
      <c r="J2545" s="2" t="s">
        <v>5948</v>
      </c>
      <c r="K2545" s="2" t="s">
        <v>26216</v>
      </c>
    </row>
    <row r="2546">
      <c r="A2546" s="2" t="s">
        <v>4513</v>
      </c>
      <c r="B2546" s="2" t="s">
        <v>26217</v>
      </c>
      <c r="C2546" s="2">
        <v>1.072618444E9</v>
      </c>
      <c r="D2546" s="2" t="s">
        <v>26206</v>
      </c>
      <c r="E2546" s="2">
        <v>1618030.0</v>
      </c>
      <c r="F2546" s="2">
        <v>3.0</v>
      </c>
      <c r="G2546" s="2">
        <v>3924.0</v>
      </c>
      <c r="H2546" s="2" t="s">
        <v>5905</v>
      </c>
      <c r="I2546" s="2" t="s">
        <v>5906</v>
      </c>
      <c r="J2546" s="2" t="s">
        <v>5480</v>
      </c>
      <c r="K2546" s="2" t="s">
        <v>26218</v>
      </c>
      <c r="L2546" s="10" t="s">
        <v>26219</v>
      </c>
    </row>
    <row r="2547">
      <c r="A2547" s="2" t="s">
        <v>4513</v>
      </c>
      <c r="B2547" s="2" t="s">
        <v>26220</v>
      </c>
      <c r="C2547" s="2">
        <v>2.8950228E7</v>
      </c>
      <c r="D2547" s="2" t="s">
        <v>26206</v>
      </c>
      <c r="E2547" s="2">
        <v>3832768.0</v>
      </c>
      <c r="F2547" s="2">
        <v>4.0</v>
      </c>
      <c r="G2547" s="2">
        <v>4696.0</v>
      </c>
      <c r="H2547" s="2" t="s">
        <v>5905</v>
      </c>
      <c r="I2547" s="2" t="s">
        <v>5906</v>
      </c>
      <c r="J2547" s="2" t="s">
        <v>4404</v>
      </c>
      <c r="K2547" s="2" t="s">
        <v>26221</v>
      </c>
      <c r="L2547" s="10" t="s">
        <v>26222</v>
      </c>
    </row>
    <row r="2548">
      <c r="A2548" s="2" t="s">
        <v>4513</v>
      </c>
      <c r="B2548" s="2" t="s">
        <v>26223</v>
      </c>
      <c r="C2548" s="2">
        <v>2.46082216E8</v>
      </c>
      <c r="D2548" s="2" t="s">
        <v>26224</v>
      </c>
      <c r="E2548" s="2">
        <v>135870.0</v>
      </c>
      <c r="F2548" s="2">
        <v>152.0</v>
      </c>
      <c r="G2548" s="2">
        <v>6787.0</v>
      </c>
      <c r="H2548" s="2" t="s">
        <v>5905</v>
      </c>
      <c r="I2548" s="2" t="s">
        <v>5905</v>
      </c>
      <c r="K2548" s="2" t="s">
        <v>26225</v>
      </c>
    </row>
    <row r="2549">
      <c r="A2549" s="2" t="s">
        <v>4513</v>
      </c>
      <c r="B2549" s="2" t="s">
        <v>26226</v>
      </c>
      <c r="C2549" s="2">
        <v>1.400785728E9</v>
      </c>
      <c r="D2549" s="2" t="s">
        <v>26227</v>
      </c>
      <c r="E2549" s="2">
        <v>1561403.0</v>
      </c>
      <c r="F2549" s="2">
        <v>30.0</v>
      </c>
      <c r="G2549" s="2">
        <v>7000.0</v>
      </c>
      <c r="H2549" s="2" t="s">
        <v>5905</v>
      </c>
      <c r="I2549" s="2" t="s">
        <v>5906</v>
      </c>
      <c r="J2549" s="2" t="s">
        <v>4404</v>
      </c>
      <c r="K2549" s="2" t="s">
        <v>26228</v>
      </c>
    </row>
    <row r="2550">
      <c r="A2550" s="2" t="s">
        <v>4758</v>
      </c>
      <c r="B2550" s="2" t="s">
        <v>15820</v>
      </c>
      <c r="C2550" s="2">
        <v>8.794492939E9</v>
      </c>
      <c r="D2550" s="2" t="s">
        <v>15821</v>
      </c>
      <c r="E2550" s="2">
        <v>3906351.0</v>
      </c>
      <c r="F2550" s="2">
        <v>99.0</v>
      </c>
      <c r="G2550" s="2">
        <v>5454.0</v>
      </c>
      <c r="H2550" s="2" t="s">
        <v>5905</v>
      </c>
      <c r="I2550" s="2" t="s">
        <v>5905</v>
      </c>
      <c r="J2550" s="2" t="s">
        <v>5391</v>
      </c>
      <c r="K2550" s="2" t="s">
        <v>15822</v>
      </c>
    </row>
    <row r="2551">
      <c r="A2551" s="2" t="s">
        <v>4758</v>
      </c>
      <c r="B2551" s="2" t="s">
        <v>26229</v>
      </c>
      <c r="C2551" s="2">
        <v>6.245290397E9</v>
      </c>
      <c r="D2551" s="2" t="s">
        <v>26230</v>
      </c>
      <c r="E2551" s="2">
        <v>3610249.0</v>
      </c>
      <c r="F2551" s="2">
        <v>743.0</v>
      </c>
      <c r="G2551" s="2">
        <v>1444.0</v>
      </c>
      <c r="H2551" s="2" t="s">
        <v>5906</v>
      </c>
      <c r="I2551" s="2" t="s">
        <v>5905</v>
      </c>
      <c r="J2551" s="2" t="s">
        <v>5959</v>
      </c>
      <c r="K2551" s="2" t="s">
        <v>26231</v>
      </c>
      <c r="L2551" s="10" t="s">
        <v>26232</v>
      </c>
    </row>
    <row r="2552">
      <c r="A2552" s="2" t="s">
        <v>4616</v>
      </c>
      <c r="B2552" s="2" t="s">
        <v>26233</v>
      </c>
      <c r="C2552" s="2">
        <v>4.5541975442E10</v>
      </c>
      <c r="D2552" s="2" t="s">
        <v>26234</v>
      </c>
      <c r="E2552" s="2">
        <v>3265721.0</v>
      </c>
      <c r="F2552" s="2">
        <v>323.0</v>
      </c>
      <c r="G2552" s="2">
        <v>12770.0</v>
      </c>
      <c r="H2552" s="2" t="s">
        <v>5905</v>
      </c>
      <c r="I2552" s="2" t="s">
        <v>5905</v>
      </c>
      <c r="J2552" s="2" t="s">
        <v>5959</v>
      </c>
      <c r="K2552" s="2" t="s">
        <v>26235</v>
      </c>
    </row>
    <row r="2553">
      <c r="A2553" s="2" t="s">
        <v>4616</v>
      </c>
      <c r="B2553" s="2" t="s">
        <v>26236</v>
      </c>
      <c r="C2553" s="2">
        <v>4.8607244192E10</v>
      </c>
      <c r="D2553" s="2" t="s">
        <v>26237</v>
      </c>
      <c r="E2553" s="2">
        <v>448018.0</v>
      </c>
      <c r="F2553" s="2">
        <v>82.0</v>
      </c>
      <c r="G2553" s="2">
        <v>1856.0</v>
      </c>
      <c r="H2553" s="2" t="s">
        <v>5905</v>
      </c>
      <c r="I2553" s="2" t="s">
        <v>5905</v>
      </c>
      <c r="J2553" s="2" t="s">
        <v>5959</v>
      </c>
      <c r="K2553" s="2" t="s">
        <v>26238</v>
      </c>
      <c r="L2553" s="10" t="s">
        <v>26239</v>
      </c>
    </row>
    <row r="2554">
      <c r="A2554" s="2" t="s">
        <v>4458</v>
      </c>
      <c r="B2554" s="2" t="s">
        <v>26240</v>
      </c>
      <c r="C2554" s="2">
        <v>8.087316817E9</v>
      </c>
      <c r="D2554" s="2" t="s">
        <v>26241</v>
      </c>
      <c r="E2554" s="2">
        <v>87996.0</v>
      </c>
      <c r="F2554" s="2">
        <v>1.0</v>
      </c>
      <c r="G2554" s="2">
        <v>2145.0</v>
      </c>
      <c r="H2554" s="2" t="s">
        <v>5905</v>
      </c>
      <c r="I2554" s="2" t="s">
        <v>5906</v>
      </c>
      <c r="J2554" s="2" t="s">
        <v>6166</v>
      </c>
      <c r="K2554" s="2" t="s">
        <v>26242</v>
      </c>
      <c r="L2554" s="10" t="s">
        <v>26243</v>
      </c>
    </row>
    <row r="2555">
      <c r="A2555" s="2" t="s">
        <v>4458</v>
      </c>
      <c r="B2555" s="2" t="s">
        <v>26244</v>
      </c>
      <c r="C2555" s="2">
        <v>7.370579807E9</v>
      </c>
      <c r="D2555" s="2" t="s">
        <v>26245</v>
      </c>
      <c r="E2555" s="2">
        <v>10969.0</v>
      </c>
      <c r="F2555" s="2">
        <v>439.0</v>
      </c>
      <c r="G2555" s="2">
        <v>221.0</v>
      </c>
      <c r="H2555" s="2" t="s">
        <v>5905</v>
      </c>
      <c r="I2555" s="2" t="s">
        <v>5906</v>
      </c>
      <c r="J2555" s="2" t="s">
        <v>5391</v>
      </c>
      <c r="K2555" s="2" t="s">
        <v>26246</v>
      </c>
    </row>
    <row r="2556">
      <c r="A2556" s="2" t="s">
        <v>4458</v>
      </c>
      <c r="B2556" s="2" t="s">
        <v>26247</v>
      </c>
      <c r="C2556" s="2">
        <v>4.2648714382E10</v>
      </c>
      <c r="D2556" s="2" t="s">
        <v>26248</v>
      </c>
      <c r="E2556" s="2">
        <v>65696.0</v>
      </c>
      <c r="F2556" s="2">
        <v>124.0</v>
      </c>
      <c r="G2556" s="2">
        <v>502.0</v>
      </c>
      <c r="H2556" s="2" t="s">
        <v>5906</v>
      </c>
      <c r="I2556" s="2" t="s">
        <v>5906</v>
      </c>
      <c r="J2556" s="2" t="s">
        <v>5561</v>
      </c>
      <c r="K2556" s="2" t="s">
        <v>26249</v>
      </c>
      <c r="L2556" s="10" t="s">
        <v>26250</v>
      </c>
    </row>
    <row r="2557">
      <c r="A2557" s="2" t="s">
        <v>4458</v>
      </c>
      <c r="B2557" s="2" t="s">
        <v>26251</v>
      </c>
      <c r="C2557" s="2">
        <v>7.603733784E9</v>
      </c>
      <c r="D2557" s="2" t="s">
        <v>26252</v>
      </c>
      <c r="E2557" s="2">
        <v>200269.0</v>
      </c>
      <c r="F2557" s="2">
        <v>975.0</v>
      </c>
      <c r="G2557" s="2">
        <v>1359.0</v>
      </c>
      <c r="H2557" s="2" t="s">
        <v>5905</v>
      </c>
      <c r="I2557" s="2" t="s">
        <v>5906</v>
      </c>
      <c r="J2557" s="2" t="s">
        <v>12715</v>
      </c>
      <c r="K2557" s="2" t="s">
        <v>26253</v>
      </c>
      <c r="L2557" s="10" t="s">
        <v>26254</v>
      </c>
    </row>
    <row r="2558">
      <c r="A2558" s="2" t="s">
        <v>4458</v>
      </c>
      <c r="B2558" s="2" t="s">
        <v>26255</v>
      </c>
      <c r="C2558" s="2">
        <v>5.759785069E9</v>
      </c>
      <c r="D2558" s="2" t="s">
        <v>26256</v>
      </c>
      <c r="E2558" s="2">
        <v>421316.0</v>
      </c>
      <c r="F2558" s="2">
        <v>77.0</v>
      </c>
      <c r="G2558" s="2">
        <v>2998.0</v>
      </c>
      <c r="H2558" s="2" t="s">
        <v>5905</v>
      </c>
      <c r="I2558" s="2" t="s">
        <v>5906</v>
      </c>
      <c r="J2558" s="2" t="s">
        <v>6002</v>
      </c>
      <c r="K2558" s="2" t="s">
        <v>26257</v>
      </c>
    </row>
    <row r="2559">
      <c r="A2559" s="2" t="s">
        <v>4458</v>
      </c>
      <c r="B2559" s="10" t="s">
        <v>26258</v>
      </c>
      <c r="C2559" s="2">
        <v>4.858129948E10</v>
      </c>
      <c r="D2559" s="10" t="s">
        <v>26259</v>
      </c>
      <c r="E2559" s="2">
        <v>15703.0</v>
      </c>
      <c r="F2559" s="2">
        <v>5201.0</v>
      </c>
      <c r="G2559" s="2">
        <v>288.0</v>
      </c>
      <c r="H2559" s="2" t="s">
        <v>5905</v>
      </c>
      <c r="I2559" s="2" t="s">
        <v>5905</v>
      </c>
      <c r="J2559" s="2" t="s">
        <v>6166</v>
      </c>
      <c r="K2559" s="2" t="s">
        <v>26260</v>
      </c>
    </row>
    <row r="2560">
      <c r="A2560" s="2" t="s">
        <v>4458</v>
      </c>
      <c r="B2560" s="2" t="s">
        <v>26261</v>
      </c>
      <c r="C2560" s="2">
        <v>2.0655841273E10</v>
      </c>
      <c r="D2560" s="2" t="s">
        <v>26262</v>
      </c>
      <c r="E2560" s="2">
        <v>337660.0</v>
      </c>
      <c r="F2560" s="2">
        <v>73.0</v>
      </c>
      <c r="G2560" s="2">
        <v>1001.0</v>
      </c>
      <c r="H2560" s="2" t="s">
        <v>5905</v>
      </c>
      <c r="I2560" s="2" t="s">
        <v>5905</v>
      </c>
      <c r="J2560" s="2" t="s">
        <v>5959</v>
      </c>
      <c r="K2560" s="2" t="s">
        <v>26263</v>
      </c>
      <c r="L2560" s="10" t="s">
        <v>26264</v>
      </c>
    </row>
    <row r="2561">
      <c r="A2561" s="2" t="s">
        <v>2229</v>
      </c>
      <c r="B2561" s="2" t="s">
        <v>23217</v>
      </c>
      <c r="C2561" s="2">
        <v>5.768532666E10</v>
      </c>
      <c r="D2561" s="2" t="s">
        <v>23218</v>
      </c>
      <c r="E2561" s="2">
        <v>169675.0</v>
      </c>
      <c r="F2561" s="2">
        <v>2873.0</v>
      </c>
      <c r="G2561" s="2">
        <v>617.0</v>
      </c>
      <c r="H2561" s="2" t="s">
        <v>5906</v>
      </c>
      <c r="I2561" s="2" t="s">
        <v>5905</v>
      </c>
      <c r="J2561" s="2" t="s">
        <v>5959</v>
      </c>
      <c r="K2561" s="2" t="s">
        <v>23219</v>
      </c>
      <c r="L2561" s="10" t="s">
        <v>23220</v>
      </c>
    </row>
    <row r="2562">
      <c r="A2562" s="2" t="s">
        <v>2229</v>
      </c>
      <c r="B2562" s="2" t="s">
        <v>26265</v>
      </c>
      <c r="C2562" s="2">
        <v>6.2310626843E10</v>
      </c>
      <c r="D2562" s="2" t="s">
        <v>26266</v>
      </c>
      <c r="E2562" s="2">
        <v>24646.0</v>
      </c>
      <c r="F2562" s="2">
        <v>331.0</v>
      </c>
      <c r="G2562" s="2">
        <v>377.0</v>
      </c>
      <c r="H2562" s="2" t="s">
        <v>5905</v>
      </c>
      <c r="I2562" s="2" t="s">
        <v>5906</v>
      </c>
      <c r="J2562" s="2" t="s">
        <v>5968</v>
      </c>
      <c r="K2562" s="2" t="s">
        <v>26267</v>
      </c>
      <c r="L2562" s="10" t="s">
        <v>26268</v>
      </c>
    </row>
    <row r="2563">
      <c r="A2563" s="2" t="s">
        <v>2229</v>
      </c>
      <c r="B2563" s="2" t="s">
        <v>26269</v>
      </c>
      <c r="C2563" s="2">
        <v>2.971153177E9</v>
      </c>
      <c r="D2563" s="2" t="s">
        <v>26270</v>
      </c>
      <c r="E2563" s="2">
        <v>339783.0</v>
      </c>
      <c r="F2563" s="2">
        <v>2040.0</v>
      </c>
      <c r="G2563" s="2">
        <v>1893.0</v>
      </c>
      <c r="H2563" s="2" t="s">
        <v>5905</v>
      </c>
      <c r="I2563" s="2" t="s">
        <v>5906</v>
      </c>
      <c r="J2563" s="2" t="s">
        <v>6032</v>
      </c>
      <c r="K2563" s="2" t="s">
        <v>26271</v>
      </c>
      <c r="L2563" s="10" t="s">
        <v>26272</v>
      </c>
    </row>
    <row r="2564">
      <c r="A2564" s="2" t="s">
        <v>2229</v>
      </c>
      <c r="B2564" s="2" t="s">
        <v>26273</v>
      </c>
      <c r="C2564" s="2">
        <v>6.4157268832E10</v>
      </c>
      <c r="D2564" s="2" t="s">
        <v>26274</v>
      </c>
      <c r="E2564" s="2">
        <v>427751.0</v>
      </c>
      <c r="F2564" s="2">
        <v>527.0</v>
      </c>
      <c r="G2564" s="2">
        <v>626.0</v>
      </c>
      <c r="H2564" s="2" t="s">
        <v>5906</v>
      </c>
      <c r="I2564" s="2" t="s">
        <v>5906</v>
      </c>
      <c r="J2564" s="2" t="s">
        <v>16250</v>
      </c>
      <c r="K2564" s="2" t="s">
        <v>26275</v>
      </c>
      <c r="L2564" s="10" t="s">
        <v>26276</v>
      </c>
    </row>
    <row r="2565">
      <c r="A2565" s="2" t="s">
        <v>2229</v>
      </c>
      <c r="B2565" s="2" t="s">
        <v>26277</v>
      </c>
      <c r="C2565" s="2">
        <v>7.740548524E9</v>
      </c>
      <c r="D2565" s="2" t="s">
        <v>26278</v>
      </c>
      <c r="E2565" s="2">
        <v>81308.0</v>
      </c>
      <c r="F2565" s="2">
        <v>1004.0</v>
      </c>
      <c r="G2565" s="2">
        <v>1249.0</v>
      </c>
      <c r="H2565" s="2" t="s">
        <v>5905</v>
      </c>
      <c r="I2565" s="2" t="s">
        <v>5906</v>
      </c>
      <c r="J2565" s="2" t="s">
        <v>6393</v>
      </c>
      <c r="K2565" s="2" t="s">
        <v>26279</v>
      </c>
      <c r="L2565" s="10" t="s">
        <v>26280</v>
      </c>
    </row>
    <row r="2566">
      <c r="A2566" s="2" t="s">
        <v>2229</v>
      </c>
      <c r="B2566" s="2" t="s">
        <v>26281</v>
      </c>
      <c r="C2566" s="2">
        <v>1.452882777E9</v>
      </c>
      <c r="D2566" s="2" t="s">
        <v>26278</v>
      </c>
      <c r="E2566" s="2">
        <v>13979.0</v>
      </c>
      <c r="F2566" s="2">
        <v>36.0</v>
      </c>
      <c r="G2566" s="2">
        <v>130.0</v>
      </c>
      <c r="H2566" s="2" t="s">
        <v>5905</v>
      </c>
      <c r="I2566" s="2" t="s">
        <v>5905</v>
      </c>
      <c r="K2566" s="2" t="s">
        <v>26282</v>
      </c>
    </row>
    <row r="2567">
      <c r="A2567" s="2" t="s">
        <v>2229</v>
      </c>
      <c r="B2567" s="2" t="s">
        <v>26283</v>
      </c>
      <c r="C2567" s="2">
        <v>2.6278605907E10</v>
      </c>
      <c r="D2567" s="2" t="s">
        <v>26284</v>
      </c>
      <c r="E2567" s="2">
        <v>20493.0</v>
      </c>
      <c r="F2567" s="2">
        <v>402.0</v>
      </c>
      <c r="G2567" s="2">
        <v>214.0</v>
      </c>
      <c r="H2567" s="2" t="s">
        <v>5905</v>
      </c>
      <c r="I2567" s="2" t="s">
        <v>5906</v>
      </c>
      <c r="J2567" s="2" t="s">
        <v>5492</v>
      </c>
      <c r="K2567" s="2" t="s">
        <v>26285</v>
      </c>
    </row>
    <row r="2568">
      <c r="A2568" s="2" t="s">
        <v>2229</v>
      </c>
      <c r="B2568" s="2" t="s">
        <v>26286</v>
      </c>
      <c r="C2568" s="2">
        <v>7.2501318299E10</v>
      </c>
      <c r="D2568" s="2" t="s">
        <v>26287</v>
      </c>
      <c r="E2568" s="2">
        <v>14348.0</v>
      </c>
      <c r="F2568" s="2">
        <v>402.0</v>
      </c>
      <c r="G2568" s="2">
        <v>153.0</v>
      </c>
      <c r="H2568" s="2" t="s">
        <v>5905</v>
      </c>
      <c r="I2568" s="2" t="s">
        <v>5905</v>
      </c>
      <c r="J2568" s="2" t="s">
        <v>5959</v>
      </c>
      <c r="K2568" s="2" t="s">
        <v>26288</v>
      </c>
      <c r="L2568" s="10" t="s">
        <v>26289</v>
      </c>
    </row>
    <row r="2569">
      <c r="A2569" s="2" t="s">
        <v>1757</v>
      </c>
      <c r="B2569" s="2" t="s">
        <v>26290</v>
      </c>
      <c r="C2569" s="2">
        <v>4.00462335E8</v>
      </c>
      <c r="D2569" s="2" t="s">
        <v>26291</v>
      </c>
      <c r="E2569" s="2">
        <v>1352186.0</v>
      </c>
      <c r="F2569" s="2">
        <v>388.0</v>
      </c>
      <c r="G2569" s="2">
        <v>21.0</v>
      </c>
      <c r="H2569" s="2" t="s">
        <v>5906</v>
      </c>
      <c r="I2569" s="2" t="s">
        <v>5906</v>
      </c>
      <c r="J2569" s="2" t="s">
        <v>5492</v>
      </c>
      <c r="K2569" s="2" t="s">
        <v>26292</v>
      </c>
      <c r="L2569" s="10" t="s">
        <v>26293</v>
      </c>
    </row>
    <row r="2570">
      <c r="A2570" s="2" t="s">
        <v>1757</v>
      </c>
      <c r="B2570" s="2" t="s">
        <v>1757</v>
      </c>
      <c r="C2570" s="2">
        <v>4.28513087E9</v>
      </c>
      <c r="D2570" s="2" t="s">
        <v>26294</v>
      </c>
      <c r="E2570" s="2">
        <v>171100.0</v>
      </c>
      <c r="F2570" s="2">
        <v>54.0</v>
      </c>
      <c r="G2570" s="2">
        <v>265.0</v>
      </c>
      <c r="H2570" s="2" t="s">
        <v>5905</v>
      </c>
      <c r="I2570" s="2" t="s">
        <v>5906</v>
      </c>
      <c r="K2570" s="2" t="s">
        <v>26295</v>
      </c>
      <c r="L2570" s="10" t="s">
        <v>26296</v>
      </c>
    </row>
    <row r="2571">
      <c r="A2571" s="2" t="s">
        <v>1757</v>
      </c>
      <c r="B2571" s="2" t="s">
        <v>26297</v>
      </c>
      <c r="C2571" s="2">
        <v>7.654434573E9</v>
      </c>
      <c r="D2571" s="2" t="s">
        <v>26298</v>
      </c>
      <c r="E2571" s="2">
        <v>1461100.0</v>
      </c>
      <c r="F2571" s="2">
        <v>4363.0</v>
      </c>
      <c r="G2571" s="2">
        <v>18069.0</v>
      </c>
      <c r="H2571" s="2" t="s">
        <v>5906</v>
      </c>
      <c r="I2571" s="2" t="s">
        <v>5906</v>
      </c>
      <c r="J2571" s="2" t="s">
        <v>5391</v>
      </c>
      <c r="K2571" s="2" t="s">
        <v>26299</v>
      </c>
      <c r="L2571" s="10" t="s">
        <v>26300</v>
      </c>
    </row>
    <row r="2572">
      <c r="A2572" s="2" t="s">
        <v>1757</v>
      </c>
      <c r="B2572" s="2" t="s">
        <v>26301</v>
      </c>
      <c r="C2572" s="2">
        <v>1.0664592033E10</v>
      </c>
      <c r="D2572" s="2" t="s">
        <v>26302</v>
      </c>
      <c r="E2572" s="2">
        <v>145958.0</v>
      </c>
      <c r="F2572" s="2">
        <v>1.0</v>
      </c>
      <c r="G2572" s="2">
        <v>642.0</v>
      </c>
      <c r="H2572" s="2" t="s">
        <v>5905</v>
      </c>
      <c r="I2572" s="2" t="s">
        <v>5905</v>
      </c>
      <c r="J2572" s="2" t="s">
        <v>6393</v>
      </c>
      <c r="K2572" s="2" t="s">
        <v>26303</v>
      </c>
    </row>
    <row r="2573">
      <c r="A2573" s="2" t="s">
        <v>1757</v>
      </c>
      <c r="B2573" s="2" t="s">
        <v>26304</v>
      </c>
      <c r="C2573" s="2">
        <v>6.9514259347E10</v>
      </c>
      <c r="D2573" s="2" t="s">
        <v>1757</v>
      </c>
      <c r="E2573" s="2">
        <v>40055.0</v>
      </c>
      <c r="F2573" s="2">
        <v>423.0</v>
      </c>
      <c r="G2573" s="2">
        <v>145.0</v>
      </c>
      <c r="H2573" s="2" t="s">
        <v>5905</v>
      </c>
      <c r="I2573" s="2" t="s">
        <v>5905</v>
      </c>
      <c r="J2573" s="2" t="s">
        <v>5485</v>
      </c>
      <c r="K2573" s="2" t="s">
        <v>26305</v>
      </c>
    </row>
    <row r="2574">
      <c r="A2574" s="2" t="s">
        <v>1757</v>
      </c>
      <c r="B2574" s="2" t="s">
        <v>26306</v>
      </c>
      <c r="C2574" s="2">
        <v>4.535226347E9</v>
      </c>
      <c r="D2574" s="2" t="s">
        <v>26307</v>
      </c>
      <c r="E2574" s="2">
        <v>28963.0</v>
      </c>
      <c r="F2574" s="2">
        <v>363.0</v>
      </c>
      <c r="G2574" s="2">
        <v>761.0</v>
      </c>
      <c r="H2574" s="2" t="s">
        <v>5905</v>
      </c>
      <c r="I2574" s="2" t="s">
        <v>5906</v>
      </c>
      <c r="K2574" s="2" t="s">
        <v>26308</v>
      </c>
      <c r="L2574" s="10" t="s">
        <v>26309</v>
      </c>
    </row>
    <row r="2575">
      <c r="A2575" s="2" t="s">
        <v>1757</v>
      </c>
      <c r="B2575" s="2" t="s">
        <v>26310</v>
      </c>
      <c r="C2575" s="2">
        <v>6.7538643642E10</v>
      </c>
      <c r="D2575" s="2" t="s">
        <v>26311</v>
      </c>
      <c r="E2575" s="2">
        <v>1689247.0</v>
      </c>
      <c r="F2575" s="2">
        <v>3.0</v>
      </c>
      <c r="G2575" s="2">
        <v>372.0</v>
      </c>
      <c r="H2575" s="2" t="s">
        <v>5906</v>
      </c>
      <c r="I2575" s="2" t="s">
        <v>5905</v>
      </c>
      <c r="J2575" s="2" t="s">
        <v>5928</v>
      </c>
      <c r="K2575" s="2" t="s">
        <v>26312</v>
      </c>
      <c r="L2575" s="10" t="s">
        <v>26313</v>
      </c>
    </row>
    <row r="2576">
      <c r="A2576" s="2" t="s">
        <v>1757</v>
      </c>
      <c r="B2576" s="2" t="s">
        <v>26314</v>
      </c>
      <c r="C2576" s="2">
        <v>2.8903199E7</v>
      </c>
      <c r="D2576" s="2" t="s">
        <v>26315</v>
      </c>
      <c r="E2576" s="2">
        <v>1593742.0</v>
      </c>
      <c r="F2576" s="2">
        <v>999.0</v>
      </c>
      <c r="G2576" s="2">
        <v>629.0</v>
      </c>
      <c r="H2576" s="2" t="s">
        <v>5906</v>
      </c>
      <c r="I2576" s="2" t="s">
        <v>5905</v>
      </c>
      <c r="J2576" s="2" t="s">
        <v>7414</v>
      </c>
      <c r="K2576" s="2" t="s">
        <v>26316</v>
      </c>
      <c r="L2576" s="10" t="s">
        <v>26317</v>
      </c>
    </row>
    <row r="2577">
      <c r="A2577" s="2" t="s">
        <v>1757</v>
      </c>
      <c r="B2577" s="2" t="s">
        <v>26318</v>
      </c>
      <c r="C2577" s="2">
        <v>3.09012899E8</v>
      </c>
      <c r="D2577" s="2" t="s">
        <v>26319</v>
      </c>
      <c r="E2577" s="2">
        <v>373408.0</v>
      </c>
      <c r="F2577" s="2">
        <v>381.0</v>
      </c>
      <c r="G2577" s="2">
        <v>943.0</v>
      </c>
      <c r="H2577" s="2" t="s">
        <v>5905</v>
      </c>
      <c r="I2577" s="2" t="s">
        <v>5905</v>
      </c>
      <c r="J2577" s="2" t="s">
        <v>5492</v>
      </c>
      <c r="K2577" s="2" t="s">
        <v>26320</v>
      </c>
      <c r="L2577" s="10" t="s">
        <v>26321</v>
      </c>
    </row>
    <row r="2578">
      <c r="A2578" s="2" t="s">
        <v>1757</v>
      </c>
      <c r="B2578" s="2" t="s">
        <v>26322</v>
      </c>
      <c r="C2578" s="2">
        <v>4.9460912106E10</v>
      </c>
      <c r="D2578" s="2" t="s">
        <v>26323</v>
      </c>
      <c r="E2578" s="2">
        <v>922807.0</v>
      </c>
      <c r="F2578" s="2">
        <v>838.0</v>
      </c>
      <c r="G2578" s="2">
        <v>259.0</v>
      </c>
      <c r="H2578" s="2" t="s">
        <v>5905</v>
      </c>
      <c r="I2578" s="2" t="s">
        <v>5905</v>
      </c>
      <c r="J2578" s="2" t="s">
        <v>5993</v>
      </c>
      <c r="K2578" s="2" t="s">
        <v>26324</v>
      </c>
      <c r="L2578" s="10" t="s">
        <v>26325</v>
      </c>
    </row>
    <row r="2579">
      <c r="A2579" s="2" t="s">
        <v>1757</v>
      </c>
      <c r="B2579" s="2" t="s">
        <v>26326</v>
      </c>
      <c r="C2579" s="2">
        <v>2.52409694E8</v>
      </c>
      <c r="D2579" s="2" t="s">
        <v>26327</v>
      </c>
      <c r="E2579" s="2">
        <v>566600.0</v>
      </c>
      <c r="F2579" s="2">
        <v>4.0</v>
      </c>
      <c r="G2579" s="2">
        <v>1355.0</v>
      </c>
      <c r="H2579" s="2" t="s">
        <v>5905</v>
      </c>
      <c r="I2579" s="2" t="s">
        <v>5906</v>
      </c>
      <c r="J2579" s="2" t="s">
        <v>4996</v>
      </c>
      <c r="K2579" s="2" t="s">
        <v>26328</v>
      </c>
      <c r="L2579" s="10" t="s">
        <v>26329</v>
      </c>
    </row>
    <row r="2580">
      <c r="A2580" s="2" t="s">
        <v>4497</v>
      </c>
      <c r="B2580" s="2" t="s">
        <v>26330</v>
      </c>
      <c r="C2580" s="2">
        <v>1.9743770396E10</v>
      </c>
      <c r="D2580" s="2" t="s">
        <v>26331</v>
      </c>
      <c r="E2580" s="2">
        <v>170688.0</v>
      </c>
      <c r="F2580" s="2">
        <v>75.0</v>
      </c>
      <c r="G2580" s="2">
        <v>24.0</v>
      </c>
      <c r="H2580" s="2" t="s">
        <v>5905</v>
      </c>
      <c r="I2580" s="2" t="s">
        <v>5906</v>
      </c>
      <c r="J2580" s="2" t="s">
        <v>15234</v>
      </c>
      <c r="K2580" s="2" t="s">
        <v>26332</v>
      </c>
      <c r="L2580" s="10" t="s">
        <v>26333</v>
      </c>
    </row>
    <row r="2581">
      <c r="A2581" s="2" t="s">
        <v>4497</v>
      </c>
      <c r="B2581" s="2" t="s">
        <v>26334</v>
      </c>
      <c r="C2581" s="2">
        <v>6.2902870086E10</v>
      </c>
      <c r="D2581" s="2" t="s">
        <v>26335</v>
      </c>
      <c r="E2581" s="2">
        <v>519151.0</v>
      </c>
      <c r="F2581" s="2">
        <v>32.0</v>
      </c>
      <c r="G2581" s="2">
        <v>1743.0</v>
      </c>
      <c r="H2581" s="2" t="s">
        <v>5905</v>
      </c>
      <c r="I2581" s="2" t="s">
        <v>5906</v>
      </c>
      <c r="J2581" s="2" t="s">
        <v>5928</v>
      </c>
      <c r="K2581" s="2" t="s">
        <v>26336</v>
      </c>
      <c r="L2581" s="10" t="s">
        <v>26337</v>
      </c>
    </row>
    <row r="2582">
      <c r="A2582" s="2" t="s">
        <v>4497</v>
      </c>
      <c r="B2582" s="2" t="s">
        <v>26338</v>
      </c>
      <c r="C2582" s="2">
        <v>6.0482874962E10</v>
      </c>
      <c r="D2582" s="2" t="s">
        <v>26339</v>
      </c>
      <c r="E2582" s="2">
        <v>26209.0</v>
      </c>
      <c r="F2582" s="2">
        <v>157.0</v>
      </c>
      <c r="G2582" s="2">
        <v>243.0</v>
      </c>
      <c r="H2582" s="2" t="s">
        <v>5906</v>
      </c>
      <c r="I2582" s="2" t="s">
        <v>5905</v>
      </c>
      <c r="J2582" s="2" t="s">
        <v>5391</v>
      </c>
      <c r="K2582" s="2" t="s">
        <v>26340</v>
      </c>
      <c r="L2582" s="10" t="s">
        <v>26341</v>
      </c>
    </row>
    <row r="2583">
      <c r="A2583" s="2" t="s">
        <v>4497</v>
      </c>
      <c r="B2583" s="2" t="s">
        <v>26342</v>
      </c>
      <c r="C2583" s="2">
        <v>2.88007791E8</v>
      </c>
      <c r="D2583" s="2" t="s">
        <v>26343</v>
      </c>
      <c r="E2583" s="2">
        <v>10962.0</v>
      </c>
      <c r="F2583" s="2">
        <v>433.0</v>
      </c>
      <c r="G2583" s="2">
        <v>27.0</v>
      </c>
      <c r="H2583" s="2" t="s">
        <v>5905</v>
      </c>
      <c r="I2583" s="2" t="s">
        <v>5906</v>
      </c>
      <c r="K2583" s="2" t="s">
        <v>26344</v>
      </c>
      <c r="L2583" s="10" t="s">
        <v>26345</v>
      </c>
    </row>
    <row r="2584">
      <c r="A2584" s="2" t="s">
        <v>4497</v>
      </c>
      <c r="B2584" s="2" t="s">
        <v>26346</v>
      </c>
      <c r="C2584" s="2">
        <v>2.27405361E8</v>
      </c>
      <c r="D2584" s="2" t="s">
        <v>26347</v>
      </c>
      <c r="E2584" s="2">
        <v>46603.0</v>
      </c>
      <c r="F2584" s="2">
        <v>188.0</v>
      </c>
      <c r="G2584" s="2">
        <v>32.0</v>
      </c>
      <c r="H2584" s="2" t="s">
        <v>5906</v>
      </c>
      <c r="I2584" s="2" t="s">
        <v>5906</v>
      </c>
      <c r="J2584" s="2" t="s">
        <v>5391</v>
      </c>
      <c r="K2584" s="2" t="s">
        <v>26348</v>
      </c>
      <c r="L2584" s="10" t="s">
        <v>26349</v>
      </c>
    </row>
    <row r="2585">
      <c r="A2585" s="2" t="s">
        <v>4497</v>
      </c>
      <c r="B2585" s="2" t="s">
        <v>26350</v>
      </c>
      <c r="C2585" s="2">
        <v>6.245376455E9</v>
      </c>
      <c r="D2585" s="2" t="s">
        <v>26351</v>
      </c>
      <c r="E2585" s="2">
        <v>16422.0</v>
      </c>
      <c r="F2585" s="2">
        <v>902.0</v>
      </c>
      <c r="G2585" s="2">
        <v>249.0</v>
      </c>
      <c r="H2585" s="2" t="s">
        <v>5905</v>
      </c>
      <c r="I2585" s="2" t="s">
        <v>5906</v>
      </c>
      <c r="J2585" s="2" t="s">
        <v>5391</v>
      </c>
      <c r="K2585" s="2" t="s">
        <v>26352</v>
      </c>
      <c r="L2585" s="10" t="s">
        <v>26353</v>
      </c>
    </row>
    <row r="2586">
      <c r="A2586" s="2" t="s">
        <v>4497</v>
      </c>
      <c r="B2586" s="2" t="s">
        <v>26354</v>
      </c>
      <c r="C2586" s="2">
        <v>1.456197393E9</v>
      </c>
      <c r="D2586" s="2" t="s">
        <v>26355</v>
      </c>
      <c r="E2586" s="2">
        <v>11012.0</v>
      </c>
      <c r="F2586" s="2">
        <v>35.0</v>
      </c>
      <c r="G2586" s="2">
        <v>503.0</v>
      </c>
      <c r="H2586" s="2" t="s">
        <v>5905</v>
      </c>
      <c r="I2586" s="2" t="s">
        <v>5906</v>
      </c>
      <c r="J2586" s="2" t="s">
        <v>26356</v>
      </c>
      <c r="K2586" s="12" t="s">
        <v>26357</v>
      </c>
      <c r="L2586" s="10" t="s">
        <v>26358</v>
      </c>
    </row>
    <row r="2587">
      <c r="A2587" s="2" t="s">
        <v>4497</v>
      </c>
      <c r="B2587" s="2" t="s">
        <v>26359</v>
      </c>
      <c r="C2587" s="2">
        <v>6.4331500708E10</v>
      </c>
      <c r="D2587" s="2" t="s">
        <v>26360</v>
      </c>
      <c r="E2587" s="2">
        <v>268467.0</v>
      </c>
      <c r="F2587" s="2">
        <v>113.0</v>
      </c>
      <c r="G2587" s="2">
        <v>11.0</v>
      </c>
      <c r="H2587" s="2" t="s">
        <v>5905</v>
      </c>
      <c r="I2587" s="2" t="s">
        <v>5905</v>
      </c>
      <c r="J2587" s="2" t="s">
        <v>5928</v>
      </c>
      <c r="K2587" s="2" t="s">
        <v>26361</v>
      </c>
      <c r="L2587" s="10" t="s">
        <v>26362</v>
      </c>
    </row>
    <row r="2588">
      <c r="A2588" s="2" t="s">
        <v>4497</v>
      </c>
      <c r="B2588" s="2" t="s">
        <v>26363</v>
      </c>
      <c r="C2588" s="2">
        <v>5.458526375E9</v>
      </c>
      <c r="D2588" s="2" t="s">
        <v>26364</v>
      </c>
      <c r="E2588" s="2">
        <v>666143.0</v>
      </c>
      <c r="F2588" s="2">
        <v>298.0</v>
      </c>
      <c r="G2588" s="2">
        <v>278.0</v>
      </c>
      <c r="H2588" s="2" t="s">
        <v>5906</v>
      </c>
      <c r="I2588" s="2" t="s">
        <v>5905</v>
      </c>
      <c r="J2588" s="2" t="s">
        <v>5391</v>
      </c>
      <c r="K2588" s="2" t="s">
        <v>26365</v>
      </c>
      <c r="L2588" s="10" t="s">
        <v>26366</v>
      </c>
    </row>
    <row r="2589">
      <c r="A2589" s="2" t="s">
        <v>4497</v>
      </c>
      <c r="B2589" s="2" t="s">
        <v>26367</v>
      </c>
      <c r="C2589" s="2">
        <v>6.2919980421E10</v>
      </c>
      <c r="D2589" s="2" t="s">
        <v>26368</v>
      </c>
      <c r="E2589" s="2">
        <v>16592.0</v>
      </c>
      <c r="F2589" s="2">
        <v>5.0</v>
      </c>
      <c r="G2589" s="2">
        <v>261.0</v>
      </c>
      <c r="H2589" s="2" t="s">
        <v>5905</v>
      </c>
      <c r="I2589" s="2" t="s">
        <v>5906</v>
      </c>
      <c r="J2589" s="2" t="s">
        <v>6199</v>
      </c>
      <c r="K2589" s="2" t="s">
        <v>26369</v>
      </c>
      <c r="L2589" s="10" t="s">
        <v>26370</v>
      </c>
    </row>
    <row r="2590">
      <c r="A2590" s="2" t="s">
        <v>4497</v>
      </c>
      <c r="B2590" s="2" t="s">
        <v>4497</v>
      </c>
      <c r="C2590" s="2">
        <v>8.045622048E9</v>
      </c>
      <c r="D2590" s="2" t="s">
        <v>26371</v>
      </c>
      <c r="E2590" s="2">
        <v>96785.0</v>
      </c>
      <c r="F2590" s="2">
        <v>7358.0</v>
      </c>
      <c r="G2590" s="2">
        <v>182.0</v>
      </c>
      <c r="H2590" s="2" t="s">
        <v>5906</v>
      </c>
      <c r="I2590" s="2" t="s">
        <v>5906</v>
      </c>
      <c r="J2590" s="2" t="s">
        <v>5492</v>
      </c>
      <c r="K2590" s="2" t="s">
        <v>26372</v>
      </c>
      <c r="L2590" s="10" t="s">
        <v>26373</v>
      </c>
    </row>
    <row r="2591">
      <c r="A2591" s="2" t="s">
        <v>4497</v>
      </c>
      <c r="B2591" s="2" t="s">
        <v>26374</v>
      </c>
      <c r="C2591" s="2">
        <v>5.0084675597E10</v>
      </c>
      <c r="D2591" s="2" t="s">
        <v>26375</v>
      </c>
      <c r="E2591" s="2">
        <v>201303.0</v>
      </c>
      <c r="F2591" s="2">
        <v>31.0</v>
      </c>
      <c r="G2591" s="2">
        <v>20.0</v>
      </c>
      <c r="H2591" s="2" t="s">
        <v>5906</v>
      </c>
      <c r="I2591" s="2" t="s">
        <v>5905</v>
      </c>
      <c r="J2591" s="2" t="s">
        <v>6073</v>
      </c>
      <c r="K2591" s="2" t="s">
        <v>26376</v>
      </c>
      <c r="L2591" s="10" t="s">
        <v>26377</v>
      </c>
    </row>
    <row r="2592">
      <c r="A2592" s="2" t="s">
        <v>4497</v>
      </c>
      <c r="B2592" s="2" t="s">
        <v>26378</v>
      </c>
      <c r="C2592" s="2">
        <v>4.6669871826E10</v>
      </c>
      <c r="D2592" s="2" t="s">
        <v>26379</v>
      </c>
      <c r="E2592" s="2">
        <v>259339.0</v>
      </c>
      <c r="F2592" s="2">
        <v>99.0</v>
      </c>
      <c r="G2592" s="2">
        <v>3483.0</v>
      </c>
      <c r="H2592" s="2" t="s">
        <v>5906</v>
      </c>
      <c r="I2592" s="2" t="s">
        <v>5905</v>
      </c>
      <c r="J2592" s="2" t="s">
        <v>11376</v>
      </c>
      <c r="K2592" s="2" t="s">
        <v>26380</v>
      </c>
      <c r="L2592" s="10" t="s">
        <v>26381</v>
      </c>
    </row>
    <row r="2593">
      <c r="A2593" s="2" t="s">
        <v>4497</v>
      </c>
      <c r="B2593" s="2" t="s">
        <v>26382</v>
      </c>
      <c r="C2593" s="2">
        <v>4.9264938453E10</v>
      </c>
      <c r="D2593" s="2" t="s">
        <v>26383</v>
      </c>
      <c r="E2593" s="2">
        <v>1984047.0</v>
      </c>
      <c r="F2593" s="2">
        <v>10.0</v>
      </c>
      <c r="G2593" s="2">
        <v>236.0</v>
      </c>
      <c r="H2593" s="2" t="s">
        <v>5906</v>
      </c>
      <c r="I2593" s="2" t="s">
        <v>5905</v>
      </c>
      <c r="J2593" s="2" t="s">
        <v>11376</v>
      </c>
      <c r="K2593" s="2" t="s">
        <v>26384</v>
      </c>
      <c r="L2593" s="10" t="s">
        <v>26385</v>
      </c>
    </row>
    <row r="2594">
      <c r="A2594" s="2" t="s">
        <v>4497</v>
      </c>
      <c r="B2594" s="2" t="s">
        <v>26386</v>
      </c>
      <c r="C2594" s="2">
        <v>2.5016862267E10</v>
      </c>
      <c r="D2594" s="2" t="s">
        <v>26387</v>
      </c>
      <c r="E2594" s="2">
        <v>686803.0</v>
      </c>
      <c r="F2594" s="2">
        <v>28.0</v>
      </c>
      <c r="G2594" s="2">
        <v>457.0</v>
      </c>
      <c r="H2594" s="2" t="s">
        <v>5906</v>
      </c>
      <c r="I2594" s="2" t="s">
        <v>5906</v>
      </c>
      <c r="J2594" s="2" t="s">
        <v>5556</v>
      </c>
      <c r="K2594" s="2" t="s">
        <v>26388</v>
      </c>
      <c r="L2594" s="10" t="s">
        <v>26389</v>
      </c>
    </row>
    <row r="2595">
      <c r="A2595" s="2" t="s">
        <v>4497</v>
      </c>
      <c r="B2595" s="2" t="s">
        <v>26390</v>
      </c>
      <c r="C2595" s="2">
        <v>5.565859176E9</v>
      </c>
      <c r="D2595" s="2" t="s">
        <v>26391</v>
      </c>
      <c r="E2595" s="2">
        <v>12504.0</v>
      </c>
      <c r="F2595" s="2">
        <v>26.0</v>
      </c>
      <c r="G2595" s="2">
        <v>4680.0</v>
      </c>
      <c r="H2595" s="2" t="s">
        <v>5906</v>
      </c>
      <c r="I2595" s="2" t="s">
        <v>5906</v>
      </c>
      <c r="J2595" s="2" t="s">
        <v>8518</v>
      </c>
      <c r="K2595" s="12" t="s">
        <v>26392</v>
      </c>
    </row>
    <row r="2596">
      <c r="A2596" s="2" t="s">
        <v>4537</v>
      </c>
      <c r="B2596" s="2" t="s">
        <v>9912</v>
      </c>
      <c r="C2596" s="2">
        <v>2.3947096E7</v>
      </c>
      <c r="D2596" s="2" t="s">
        <v>9913</v>
      </c>
      <c r="E2596" s="2">
        <v>4.5851887E7</v>
      </c>
      <c r="F2596" s="2">
        <v>105.0</v>
      </c>
      <c r="G2596" s="2">
        <v>18685.0</v>
      </c>
      <c r="H2596" s="2" t="s">
        <v>5906</v>
      </c>
      <c r="I2596" s="2" t="s">
        <v>5906</v>
      </c>
      <c r="K2596" s="2" t="s">
        <v>9914</v>
      </c>
      <c r="L2596" s="10" t="s">
        <v>9915</v>
      </c>
    </row>
    <row r="2597">
      <c r="A2597" s="2" t="s">
        <v>4537</v>
      </c>
      <c r="B2597" s="2" t="s">
        <v>26393</v>
      </c>
      <c r="C2597" s="2">
        <v>2.6690367877E10</v>
      </c>
      <c r="D2597" s="2" t="s">
        <v>26394</v>
      </c>
      <c r="E2597" s="2">
        <v>64226.0</v>
      </c>
      <c r="F2597" s="2">
        <v>38.0</v>
      </c>
      <c r="G2597" s="2">
        <v>927.0</v>
      </c>
      <c r="H2597" s="2" t="s">
        <v>5905</v>
      </c>
      <c r="I2597" s="2" t="s">
        <v>5906</v>
      </c>
      <c r="J2597" s="2" t="s">
        <v>5561</v>
      </c>
      <c r="K2597" s="2" t="s">
        <v>26395</v>
      </c>
      <c r="L2597" s="10" t="s">
        <v>26396</v>
      </c>
    </row>
    <row r="2598">
      <c r="A2598" s="2" t="s">
        <v>4537</v>
      </c>
      <c r="B2598" s="2" t="s">
        <v>26397</v>
      </c>
      <c r="C2598" s="2">
        <v>3.224571262E9</v>
      </c>
      <c r="D2598" s="2" t="s">
        <v>26398</v>
      </c>
      <c r="E2598" s="2">
        <v>24112.0</v>
      </c>
      <c r="F2598" s="2">
        <v>677.0</v>
      </c>
      <c r="G2598" s="2">
        <v>204.0</v>
      </c>
      <c r="H2598" s="2" t="s">
        <v>5906</v>
      </c>
      <c r="I2598" s="2" t="s">
        <v>5905</v>
      </c>
      <c r="J2598" s="2" t="s">
        <v>22487</v>
      </c>
      <c r="K2598" s="2" t="s">
        <v>26399</v>
      </c>
      <c r="L2598" s="10" t="s">
        <v>26400</v>
      </c>
    </row>
    <row r="2599">
      <c r="A2599" s="2" t="s">
        <v>4537</v>
      </c>
      <c r="B2599" s="2" t="s">
        <v>26401</v>
      </c>
      <c r="C2599" s="2">
        <v>2.049909268E9</v>
      </c>
      <c r="D2599" s="2" t="s">
        <v>26402</v>
      </c>
      <c r="E2599" s="2">
        <v>91347.0</v>
      </c>
      <c r="F2599" s="2">
        <v>1102.0</v>
      </c>
      <c r="G2599" s="2">
        <v>1535.0</v>
      </c>
      <c r="H2599" s="2" t="s">
        <v>5906</v>
      </c>
      <c r="I2599" s="2" t="s">
        <v>5906</v>
      </c>
      <c r="J2599" s="2" t="s">
        <v>8911</v>
      </c>
      <c r="K2599" s="2" t="s">
        <v>26403</v>
      </c>
      <c r="L2599" s="10" t="s">
        <v>26404</v>
      </c>
    </row>
    <row r="2600">
      <c r="A2600" s="2" t="s">
        <v>4537</v>
      </c>
      <c r="B2600" s="2" t="s">
        <v>4537</v>
      </c>
      <c r="C2600" s="2">
        <v>37996.0</v>
      </c>
      <c r="D2600" s="2" t="s">
        <v>26405</v>
      </c>
      <c r="E2600" s="2">
        <v>1441403.0</v>
      </c>
      <c r="F2600" s="2">
        <v>1392.0</v>
      </c>
      <c r="G2600" s="2">
        <v>2794.0</v>
      </c>
      <c r="H2600" s="2" t="s">
        <v>5906</v>
      </c>
      <c r="I2600" s="2" t="s">
        <v>5905</v>
      </c>
      <c r="J2600" s="2" t="s">
        <v>7431</v>
      </c>
      <c r="K2600" s="2" t="s">
        <v>26406</v>
      </c>
      <c r="L2600" s="10" t="s">
        <v>26407</v>
      </c>
    </row>
    <row r="2601">
      <c r="A2601" s="2" t="s">
        <v>4537</v>
      </c>
      <c r="B2601" s="2" t="s">
        <v>12328</v>
      </c>
      <c r="C2601" s="2">
        <v>1.7837746E8</v>
      </c>
      <c r="D2601" s="2" t="s">
        <v>5453</v>
      </c>
      <c r="E2601" s="2">
        <v>6523894.0</v>
      </c>
      <c r="F2601" s="2">
        <v>811.0</v>
      </c>
      <c r="G2601" s="2">
        <v>13809.0</v>
      </c>
      <c r="H2601" s="2" t="s">
        <v>5906</v>
      </c>
      <c r="I2601" s="2" t="s">
        <v>5906</v>
      </c>
      <c r="K2601" s="2" t="s">
        <v>12329</v>
      </c>
      <c r="L2601" s="10" t="s">
        <v>12330</v>
      </c>
    </row>
    <row r="2602">
      <c r="A2602" s="2" t="s">
        <v>4537</v>
      </c>
      <c r="B2602" s="2" t="s">
        <v>26408</v>
      </c>
      <c r="C2602" s="2">
        <v>3.185713641E9</v>
      </c>
      <c r="D2602" s="2" t="s">
        <v>26409</v>
      </c>
      <c r="E2602" s="2">
        <v>2828678.0</v>
      </c>
      <c r="F2602" s="2">
        <v>808.0</v>
      </c>
      <c r="G2602" s="2">
        <v>904.0</v>
      </c>
      <c r="H2602" s="2" t="s">
        <v>5906</v>
      </c>
      <c r="I2602" s="2" t="s">
        <v>5906</v>
      </c>
      <c r="J2602" s="2" t="s">
        <v>5391</v>
      </c>
      <c r="K2602" s="2" t="s">
        <v>26410</v>
      </c>
    </row>
    <row r="2603">
      <c r="A2603" s="2" t="s">
        <v>4537</v>
      </c>
      <c r="B2603" s="2" t="s">
        <v>26411</v>
      </c>
      <c r="C2603" s="2">
        <v>6.1985503385E10</v>
      </c>
      <c r="D2603" s="2" t="s">
        <v>26412</v>
      </c>
      <c r="E2603" s="2">
        <v>199145.0</v>
      </c>
      <c r="F2603" s="2">
        <v>6372.0</v>
      </c>
      <c r="G2603" s="2">
        <v>1423.0</v>
      </c>
      <c r="H2603" s="2" t="s">
        <v>5906</v>
      </c>
      <c r="I2603" s="2" t="s">
        <v>5906</v>
      </c>
      <c r="J2603" s="2" t="s">
        <v>5561</v>
      </c>
      <c r="K2603" s="2" t="s">
        <v>26413</v>
      </c>
    </row>
    <row r="2604">
      <c r="A2604" s="2" t="s">
        <v>4537</v>
      </c>
      <c r="B2604" s="2" t="s">
        <v>26414</v>
      </c>
      <c r="C2604" s="2">
        <v>3.785023052E10</v>
      </c>
      <c r="D2604" s="2" t="s">
        <v>26415</v>
      </c>
      <c r="E2604" s="2">
        <v>1803248.0</v>
      </c>
      <c r="F2604" s="2">
        <v>154.0</v>
      </c>
      <c r="G2604" s="2">
        <v>2581.0</v>
      </c>
      <c r="H2604" s="2" t="s">
        <v>5906</v>
      </c>
      <c r="I2604" s="2" t="s">
        <v>5906</v>
      </c>
      <c r="J2604" s="2" t="s">
        <v>5518</v>
      </c>
      <c r="K2604" s="2" t="s">
        <v>26416</v>
      </c>
      <c r="L2604" s="10" t="s">
        <v>26417</v>
      </c>
    </row>
    <row r="2605">
      <c r="A2605" s="2" t="s">
        <v>4537</v>
      </c>
      <c r="B2605" s="2" t="s">
        <v>26418</v>
      </c>
      <c r="C2605" s="2">
        <v>5.1251623848E10</v>
      </c>
      <c r="D2605" s="2" t="s">
        <v>26419</v>
      </c>
      <c r="E2605" s="2">
        <v>241383.0</v>
      </c>
      <c r="F2605" s="2">
        <v>141.0</v>
      </c>
      <c r="G2605" s="2">
        <v>796.0</v>
      </c>
      <c r="H2605" s="2" t="s">
        <v>5905</v>
      </c>
      <c r="I2605" s="2" t="s">
        <v>5905</v>
      </c>
      <c r="J2605" s="2" t="s">
        <v>12083</v>
      </c>
      <c r="K2605" s="2" t="s">
        <v>26420</v>
      </c>
      <c r="L2605" s="10" t="s">
        <v>26421</v>
      </c>
    </row>
    <row r="2606">
      <c r="A2606" s="2" t="s">
        <v>4537</v>
      </c>
      <c r="B2606" s="10" t="s">
        <v>26422</v>
      </c>
      <c r="C2606" s="2">
        <v>1.3385650295E10</v>
      </c>
      <c r="D2606" s="2" t="s">
        <v>26423</v>
      </c>
      <c r="E2606" s="2">
        <v>346623.0</v>
      </c>
      <c r="F2606" s="2">
        <v>110.0</v>
      </c>
      <c r="G2606" s="2">
        <v>797.0</v>
      </c>
      <c r="H2606" s="2" t="s">
        <v>5905</v>
      </c>
      <c r="I2606" s="2" t="s">
        <v>5905</v>
      </c>
      <c r="J2606" s="2" t="s">
        <v>8911</v>
      </c>
      <c r="K2606" s="2" t="s">
        <v>26424</v>
      </c>
      <c r="L2606" s="10" t="s">
        <v>26425</v>
      </c>
    </row>
    <row r="2607">
      <c r="A2607" s="2" t="s">
        <v>4537</v>
      </c>
      <c r="B2607" s="2" t="s">
        <v>26426</v>
      </c>
      <c r="C2607" s="2">
        <v>5.4175603547E10</v>
      </c>
      <c r="D2607" s="2" t="s">
        <v>26427</v>
      </c>
      <c r="E2607" s="2">
        <v>38032.0</v>
      </c>
      <c r="F2607" s="2">
        <v>5.0</v>
      </c>
      <c r="G2607" s="2">
        <v>1057.0</v>
      </c>
      <c r="H2607" s="2" t="s">
        <v>5905</v>
      </c>
      <c r="I2607" s="2" t="s">
        <v>5906</v>
      </c>
      <c r="J2607" s="2" t="s">
        <v>5959</v>
      </c>
      <c r="K2607" s="2" t="s">
        <v>26428</v>
      </c>
    </row>
    <row r="2608">
      <c r="A2608" s="2" t="s">
        <v>4537</v>
      </c>
      <c r="B2608" s="2" t="s">
        <v>26429</v>
      </c>
      <c r="C2608" s="2">
        <v>4.4314912603E10</v>
      </c>
      <c r="E2608" s="2">
        <v>293058.0</v>
      </c>
      <c r="F2608" s="2">
        <v>177.0</v>
      </c>
      <c r="G2608" s="2">
        <v>1896.0</v>
      </c>
      <c r="H2608" s="2" t="s">
        <v>5905</v>
      </c>
      <c r="I2608" s="2" t="s">
        <v>5905</v>
      </c>
      <c r="J2608" s="2" t="s">
        <v>5959</v>
      </c>
      <c r="K2608" s="2" t="s">
        <v>26430</v>
      </c>
      <c r="L2608" s="10" t="s">
        <v>26431</v>
      </c>
    </row>
    <row r="2609">
      <c r="A2609" s="2" t="s">
        <v>4537</v>
      </c>
      <c r="B2609" s="2" t="s">
        <v>26432</v>
      </c>
      <c r="C2609" s="2">
        <v>1.156047487E9</v>
      </c>
      <c r="D2609" s="2" t="s">
        <v>26433</v>
      </c>
      <c r="E2609" s="2">
        <v>11829.0</v>
      </c>
      <c r="F2609" s="2">
        <v>259.0</v>
      </c>
      <c r="G2609" s="2">
        <v>414.0</v>
      </c>
      <c r="H2609" s="2" t="s">
        <v>5905</v>
      </c>
      <c r="I2609" s="2" t="s">
        <v>5906</v>
      </c>
      <c r="K2609" s="2" t="s">
        <v>26434</v>
      </c>
      <c r="L2609" s="10" t="s">
        <v>26435</v>
      </c>
    </row>
    <row r="2610">
      <c r="A2610" s="2" t="s">
        <v>4656</v>
      </c>
      <c r="B2610" s="2" t="s">
        <v>26436</v>
      </c>
      <c r="C2610" s="2">
        <v>4.7628136755E10</v>
      </c>
      <c r="D2610" s="2" t="s">
        <v>26437</v>
      </c>
      <c r="E2610" s="2">
        <v>612131.0</v>
      </c>
      <c r="F2610" s="2">
        <v>980.0</v>
      </c>
      <c r="G2610" s="2">
        <v>590.0</v>
      </c>
      <c r="H2610" s="2" t="s">
        <v>5906</v>
      </c>
      <c r="I2610" s="2" t="s">
        <v>5905</v>
      </c>
      <c r="J2610" s="2" t="s">
        <v>8911</v>
      </c>
      <c r="K2610" s="2" t="s">
        <v>26438</v>
      </c>
    </row>
    <row r="2611">
      <c r="A2611" s="2" t="s">
        <v>4656</v>
      </c>
      <c r="B2611" s="2" t="s">
        <v>26439</v>
      </c>
      <c r="C2611" s="2">
        <v>4.35201892E8</v>
      </c>
      <c r="D2611" s="2" t="s">
        <v>26440</v>
      </c>
      <c r="E2611" s="2">
        <v>906108.0</v>
      </c>
      <c r="F2611" s="2">
        <v>1596.0</v>
      </c>
      <c r="G2611" s="2">
        <v>7464.0</v>
      </c>
      <c r="H2611" s="2" t="s">
        <v>5906</v>
      </c>
      <c r="I2611" s="2" t="s">
        <v>5905</v>
      </c>
      <c r="K2611" s="2" t="s">
        <v>26441</v>
      </c>
      <c r="L2611" s="10" t="s">
        <v>26442</v>
      </c>
    </row>
    <row r="2612">
      <c r="A2612" s="2" t="s">
        <v>4656</v>
      </c>
      <c r="B2612" s="2" t="s">
        <v>26443</v>
      </c>
      <c r="C2612" s="2">
        <v>1.791472009E9</v>
      </c>
      <c r="D2612" s="2" t="s">
        <v>26444</v>
      </c>
      <c r="E2612" s="2">
        <v>272465.0</v>
      </c>
      <c r="F2612" s="2">
        <v>314.0</v>
      </c>
      <c r="G2612" s="2">
        <v>5267.0</v>
      </c>
      <c r="H2612" s="2" t="s">
        <v>5906</v>
      </c>
      <c r="I2612" s="2" t="s">
        <v>5905</v>
      </c>
      <c r="J2612" s="2" t="s">
        <v>5492</v>
      </c>
      <c r="K2612" s="2" t="s">
        <v>26445</v>
      </c>
    </row>
    <row r="2613">
      <c r="A2613" s="2" t="s">
        <v>4656</v>
      </c>
      <c r="B2613" s="2" t="s">
        <v>26446</v>
      </c>
      <c r="C2613" s="2">
        <v>5.1584866E7</v>
      </c>
      <c r="D2613" s="2" t="s">
        <v>26447</v>
      </c>
      <c r="E2613" s="2">
        <v>1934850.0</v>
      </c>
      <c r="F2613" s="2">
        <v>810.0</v>
      </c>
      <c r="G2613" s="2">
        <v>2130.0</v>
      </c>
      <c r="H2613" s="2" t="s">
        <v>5906</v>
      </c>
      <c r="I2613" s="2" t="s">
        <v>5905</v>
      </c>
      <c r="J2613" s="2" t="s">
        <v>5959</v>
      </c>
      <c r="K2613" s="2" t="s">
        <v>26448</v>
      </c>
      <c r="L2613" s="10" t="s">
        <v>26449</v>
      </c>
    </row>
    <row r="2614">
      <c r="A2614" s="2" t="s">
        <v>4656</v>
      </c>
      <c r="B2614" s="10" t="s">
        <v>26450</v>
      </c>
      <c r="C2614" s="2">
        <v>4.9308203582E10</v>
      </c>
      <c r="D2614" s="2" t="s">
        <v>26451</v>
      </c>
      <c r="E2614" s="2">
        <v>18764.0</v>
      </c>
      <c r="F2614" s="2">
        <v>3.0</v>
      </c>
      <c r="G2614" s="2">
        <v>425.0</v>
      </c>
      <c r="H2614" s="2" t="s">
        <v>5905</v>
      </c>
      <c r="I2614" s="2" t="s">
        <v>5906</v>
      </c>
      <c r="J2614" s="2" t="s">
        <v>22487</v>
      </c>
      <c r="K2614" s="12" t="s">
        <v>26452</v>
      </c>
    </row>
    <row r="2615">
      <c r="A2615" s="2" t="s">
        <v>4656</v>
      </c>
      <c r="B2615" s="2" t="s">
        <v>26453</v>
      </c>
      <c r="C2615" s="2">
        <v>5.3947868021E10</v>
      </c>
      <c r="D2615" s="2" t="s">
        <v>26454</v>
      </c>
      <c r="E2615" s="2">
        <v>47464.0</v>
      </c>
      <c r="F2615" s="2">
        <v>30.0</v>
      </c>
      <c r="G2615" s="2">
        <v>63.0</v>
      </c>
      <c r="H2615" s="2" t="s">
        <v>5906</v>
      </c>
      <c r="I2615" s="2" t="s">
        <v>5905</v>
      </c>
      <c r="J2615" s="2" t="s">
        <v>5959</v>
      </c>
      <c r="K2615" s="2" t="s">
        <v>26455</v>
      </c>
      <c r="L2615" s="10" t="s">
        <v>26456</v>
      </c>
    </row>
    <row r="2616">
      <c r="A2616" s="2" t="s">
        <v>4656</v>
      </c>
      <c r="B2616" s="2" t="s">
        <v>26457</v>
      </c>
      <c r="C2616" s="2">
        <v>7.3016887464E10</v>
      </c>
      <c r="D2616" s="2" t="s">
        <v>26458</v>
      </c>
      <c r="E2616" s="2">
        <v>101694.0</v>
      </c>
      <c r="F2616" s="2">
        <v>0.0</v>
      </c>
      <c r="G2616" s="2">
        <v>298.0</v>
      </c>
      <c r="H2616" s="2" t="s">
        <v>5905</v>
      </c>
      <c r="I2616" s="2" t="s">
        <v>5906</v>
      </c>
      <c r="J2616" s="2" t="s">
        <v>5928</v>
      </c>
      <c r="K2616" s="2" t="s">
        <v>26459</v>
      </c>
    </row>
    <row r="2617">
      <c r="A2617" s="2" t="s">
        <v>4656</v>
      </c>
      <c r="B2617" s="2" t="s">
        <v>26460</v>
      </c>
      <c r="C2617" s="2">
        <v>4.150469629E9</v>
      </c>
      <c r="D2617" s="2" t="s">
        <v>26461</v>
      </c>
      <c r="E2617" s="2">
        <v>77382.0</v>
      </c>
      <c r="F2617" s="2">
        <v>17.0</v>
      </c>
      <c r="G2617" s="2">
        <v>1147.0</v>
      </c>
      <c r="H2617" s="2" t="s">
        <v>5906</v>
      </c>
      <c r="I2617" s="2" t="s">
        <v>5906</v>
      </c>
      <c r="J2617" s="2" t="s">
        <v>6199</v>
      </c>
      <c r="K2617" s="2" t="s">
        <v>26462</v>
      </c>
      <c r="L2617" s="10" t="s">
        <v>26463</v>
      </c>
    </row>
    <row r="2618">
      <c r="A2618" s="2" t="s">
        <v>4656</v>
      </c>
      <c r="B2618" s="2" t="s">
        <v>26464</v>
      </c>
      <c r="C2618" s="2">
        <v>4.8596816348E10</v>
      </c>
      <c r="D2618" s="2" t="s">
        <v>26465</v>
      </c>
      <c r="E2618" s="2">
        <v>152283.0</v>
      </c>
      <c r="F2618" s="2">
        <v>6771.0</v>
      </c>
      <c r="G2618" s="2">
        <v>799.0</v>
      </c>
      <c r="H2618" s="2" t="s">
        <v>5906</v>
      </c>
      <c r="I2618" s="2" t="s">
        <v>5905</v>
      </c>
      <c r="J2618" s="2" t="s">
        <v>5391</v>
      </c>
      <c r="K2618" s="2" t="s">
        <v>26466</v>
      </c>
      <c r="L2618" s="10" t="s">
        <v>26467</v>
      </c>
    </row>
    <row r="2619">
      <c r="A2619" s="2" t="s">
        <v>4593</v>
      </c>
      <c r="B2619" s="2" t="s">
        <v>26468</v>
      </c>
      <c r="C2619" s="2">
        <v>8.72718289E9</v>
      </c>
      <c r="D2619" s="2" t="s">
        <v>26469</v>
      </c>
      <c r="E2619" s="2">
        <v>12591.0</v>
      </c>
      <c r="F2619" s="2">
        <v>118.0</v>
      </c>
      <c r="G2619" s="2">
        <v>86.0</v>
      </c>
      <c r="H2619" s="2" t="s">
        <v>5905</v>
      </c>
      <c r="I2619" s="2" t="s">
        <v>5905</v>
      </c>
      <c r="J2619" s="2" t="s">
        <v>8998</v>
      </c>
      <c r="K2619" s="2" t="s">
        <v>26470</v>
      </c>
      <c r="L2619" s="10" t="s">
        <v>26471</v>
      </c>
    </row>
    <row r="2620">
      <c r="A2620" s="2" t="s">
        <v>4593</v>
      </c>
      <c r="B2620" s="2" t="s">
        <v>26472</v>
      </c>
      <c r="C2620" s="2">
        <v>2.5470680488E10</v>
      </c>
      <c r="D2620" s="2" t="s">
        <v>26473</v>
      </c>
      <c r="E2620" s="2">
        <v>66599.0</v>
      </c>
      <c r="F2620" s="2">
        <v>1.0</v>
      </c>
      <c r="G2620" s="2">
        <v>64.0</v>
      </c>
      <c r="H2620" s="2" t="s">
        <v>5905</v>
      </c>
      <c r="I2620" s="2" t="s">
        <v>5906</v>
      </c>
      <c r="K2620" s="2" t="s">
        <v>26474</v>
      </c>
      <c r="L2620" s="10" t="s">
        <v>26475</v>
      </c>
    </row>
    <row r="2621">
      <c r="A2621" s="2" t="s">
        <v>4695</v>
      </c>
      <c r="B2621" s="2" t="s">
        <v>26476</v>
      </c>
      <c r="C2621" s="2">
        <v>1.74924244E8</v>
      </c>
      <c r="D2621" s="2" t="s">
        <v>26477</v>
      </c>
      <c r="E2621" s="2">
        <v>1157088.0</v>
      </c>
      <c r="F2621" s="2">
        <v>622.0</v>
      </c>
      <c r="G2621" s="2">
        <v>1730.0</v>
      </c>
      <c r="H2621" s="2" t="s">
        <v>5906</v>
      </c>
      <c r="I2621" s="2" t="s">
        <v>5905</v>
      </c>
      <c r="J2621" s="2" t="s">
        <v>7347</v>
      </c>
      <c r="K2621" s="2" t="s">
        <v>26478</v>
      </c>
      <c r="L2621" s="10" t="s">
        <v>26479</v>
      </c>
    </row>
    <row r="2622">
      <c r="A2622" s="2" t="s">
        <v>4695</v>
      </c>
      <c r="B2622" s="2" t="s">
        <v>26480</v>
      </c>
      <c r="C2622" s="2">
        <v>1.6584048E7</v>
      </c>
      <c r="D2622" s="2" t="s">
        <v>26481</v>
      </c>
      <c r="E2622" s="2">
        <v>445312.0</v>
      </c>
      <c r="F2622" s="2">
        <v>821.0</v>
      </c>
      <c r="G2622" s="2">
        <v>3730.0</v>
      </c>
      <c r="H2622" s="2" t="s">
        <v>5906</v>
      </c>
      <c r="I2622" s="2" t="s">
        <v>5905</v>
      </c>
      <c r="J2622" s="2" t="s">
        <v>5993</v>
      </c>
      <c r="K2622" s="2" t="s">
        <v>26482</v>
      </c>
      <c r="L2622" s="10" t="s">
        <v>26483</v>
      </c>
    </row>
    <row r="2623">
      <c r="A2623" s="2" t="s">
        <v>4695</v>
      </c>
      <c r="B2623" s="2" t="s">
        <v>26484</v>
      </c>
      <c r="C2623" s="2">
        <v>4.8932962805E10</v>
      </c>
      <c r="D2623" s="2" t="s">
        <v>26485</v>
      </c>
      <c r="E2623" s="2">
        <v>33626.0</v>
      </c>
      <c r="F2623" s="2">
        <v>2.0</v>
      </c>
      <c r="G2623" s="2">
        <v>778.0</v>
      </c>
      <c r="H2623" s="2" t="s">
        <v>5905</v>
      </c>
      <c r="I2623" s="2" t="s">
        <v>5906</v>
      </c>
      <c r="J2623" s="2" t="s">
        <v>7347</v>
      </c>
      <c r="K2623" s="2" t="s">
        <v>26486</v>
      </c>
    </row>
    <row r="2624">
      <c r="A2624" s="2" t="s">
        <v>4695</v>
      </c>
      <c r="B2624" s="2" t="s">
        <v>26487</v>
      </c>
      <c r="C2624" s="2">
        <v>1.6846332308E10</v>
      </c>
      <c r="D2624" s="2" t="s">
        <v>26488</v>
      </c>
      <c r="E2624" s="2">
        <v>288714.0</v>
      </c>
      <c r="F2624" s="2">
        <v>800.0</v>
      </c>
      <c r="G2624" s="2">
        <v>746.0</v>
      </c>
      <c r="H2624" s="2" t="s">
        <v>5905</v>
      </c>
      <c r="I2624" s="2" t="s">
        <v>5905</v>
      </c>
      <c r="J2624" s="2" t="s">
        <v>7620</v>
      </c>
      <c r="K2624" s="2" t="s">
        <v>26489</v>
      </c>
      <c r="L2624" s="10" t="s">
        <v>26490</v>
      </c>
    </row>
    <row r="2625">
      <c r="A2625" s="2" t="s">
        <v>4695</v>
      </c>
      <c r="B2625" s="2" t="s">
        <v>26491</v>
      </c>
      <c r="C2625" s="2">
        <v>3.50743508E8</v>
      </c>
      <c r="D2625" s="2" t="s">
        <v>26492</v>
      </c>
      <c r="E2625" s="2">
        <v>811486.0</v>
      </c>
      <c r="F2625" s="2">
        <v>350.0</v>
      </c>
      <c r="G2625" s="2">
        <v>1360.0</v>
      </c>
      <c r="H2625" s="2" t="s">
        <v>5906</v>
      </c>
      <c r="I2625" s="2" t="s">
        <v>5905</v>
      </c>
      <c r="J2625" s="2" t="s">
        <v>7620</v>
      </c>
      <c r="K2625" s="2" t="s">
        <v>26493</v>
      </c>
      <c r="L2625" s="10" t="s">
        <v>26494</v>
      </c>
    </row>
    <row r="2626">
      <c r="A2626" s="2" t="s">
        <v>4695</v>
      </c>
      <c r="B2626" s="2" t="s">
        <v>26495</v>
      </c>
      <c r="C2626" s="2">
        <v>2.29425065E8</v>
      </c>
      <c r="D2626" s="2" t="s">
        <v>26496</v>
      </c>
      <c r="E2626" s="2">
        <v>143415.0</v>
      </c>
      <c r="F2626" s="2">
        <v>7498.0</v>
      </c>
      <c r="G2626" s="2">
        <v>3127.0</v>
      </c>
      <c r="H2626" s="2" t="s">
        <v>5906</v>
      </c>
      <c r="I2626" s="2" t="s">
        <v>5905</v>
      </c>
      <c r="K2626" s="2" t="s">
        <v>26497</v>
      </c>
      <c r="L2626" s="10" t="s">
        <v>26498</v>
      </c>
    </row>
    <row r="2627">
      <c r="A2627" s="2" t="s">
        <v>4695</v>
      </c>
      <c r="B2627" s="2" t="s">
        <v>26499</v>
      </c>
      <c r="C2627" s="2">
        <v>3.919660382E9</v>
      </c>
      <c r="D2627" s="2" t="s">
        <v>26500</v>
      </c>
      <c r="E2627" s="2">
        <v>503090.0</v>
      </c>
      <c r="F2627" s="2">
        <v>645.0</v>
      </c>
      <c r="G2627" s="2">
        <v>2276.0</v>
      </c>
      <c r="H2627" s="2" t="s">
        <v>5905</v>
      </c>
      <c r="I2627" s="2" t="s">
        <v>5906</v>
      </c>
      <c r="J2627" s="2" t="s">
        <v>5518</v>
      </c>
      <c r="K2627" s="2" t="s">
        <v>26501</v>
      </c>
      <c r="L2627" s="10" t="s">
        <v>26502</v>
      </c>
    </row>
    <row r="2628">
      <c r="A2628" s="2" t="s">
        <v>4695</v>
      </c>
      <c r="B2628" s="2" t="s">
        <v>26503</v>
      </c>
      <c r="C2628" s="2">
        <v>1.931462006E9</v>
      </c>
      <c r="D2628" s="2" t="s">
        <v>26504</v>
      </c>
      <c r="E2628" s="2">
        <v>632470.0</v>
      </c>
      <c r="F2628" s="2">
        <v>11.0</v>
      </c>
      <c r="G2628" s="2">
        <v>6166.0</v>
      </c>
      <c r="H2628" s="2" t="s">
        <v>5906</v>
      </c>
      <c r="I2628" s="2" t="s">
        <v>5906</v>
      </c>
      <c r="J2628" s="2" t="s">
        <v>7083</v>
      </c>
      <c r="K2628" s="2" t="s">
        <v>26505</v>
      </c>
      <c r="L2628" s="10" t="s">
        <v>26506</v>
      </c>
    </row>
    <row r="2629">
      <c r="A2629" s="2" t="s">
        <v>4695</v>
      </c>
      <c r="B2629" s="2" t="s">
        <v>26507</v>
      </c>
      <c r="C2629" s="2">
        <v>3.8184317E7</v>
      </c>
      <c r="D2629" s="2" t="s">
        <v>26508</v>
      </c>
      <c r="E2629" s="2">
        <v>1095080.0</v>
      </c>
      <c r="F2629" s="2">
        <v>241.0</v>
      </c>
      <c r="G2629" s="2">
        <v>3172.0</v>
      </c>
      <c r="H2629" s="2" t="s">
        <v>5905</v>
      </c>
      <c r="I2629" s="2" t="s">
        <v>5905</v>
      </c>
      <c r="J2629" s="2" t="s">
        <v>7347</v>
      </c>
      <c r="K2629" s="2" t="s">
        <v>26509</v>
      </c>
      <c r="L2629" s="10" t="s">
        <v>26510</v>
      </c>
    </row>
    <row r="2630">
      <c r="A2630" s="2" t="s">
        <v>4695</v>
      </c>
      <c r="B2630" s="2" t="s">
        <v>26511</v>
      </c>
      <c r="C2630" s="2">
        <v>4.8293909565E10</v>
      </c>
      <c r="D2630" s="2" t="s">
        <v>26512</v>
      </c>
      <c r="E2630" s="2">
        <v>59080.0</v>
      </c>
      <c r="F2630" s="2">
        <v>328.0</v>
      </c>
      <c r="G2630" s="2">
        <v>1170.0</v>
      </c>
      <c r="H2630" s="2" t="s">
        <v>5905</v>
      </c>
      <c r="I2630" s="2" t="s">
        <v>5906</v>
      </c>
      <c r="J2630" s="2" t="s">
        <v>7347</v>
      </c>
      <c r="K2630" s="2" t="s">
        <v>26513</v>
      </c>
    </row>
    <row r="2631">
      <c r="A2631" s="2" t="s">
        <v>4695</v>
      </c>
      <c r="B2631" s="2" t="s">
        <v>26514</v>
      </c>
      <c r="C2631" s="2">
        <v>2.899212308E9</v>
      </c>
      <c r="D2631" s="2" t="s">
        <v>26515</v>
      </c>
      <c r="E2631" s="2">
        <v>10284.0</v>
      </c>
      <c r="F2631" s="2">
        <v>1406.0</v>
      </c>
      <c r="G2631" s="2">
        <v>1694.0</v>
      </c>
      <c r="H2631" s="2" t="s">
        <v>5905</v>
      </c>
      <c r="I2631" s="2" t="s">
        <v>5905</v>
      </c>
      <c r="K2631" s="2" t="s">
        <v>26516</v>
      </c>
      <c r="L2631" s="10" t="s">
        <v>26517</v>
      </c>
    </row>
    <row r="2632">
      <c r="A2632" s="2" t="s">
        <v>4695</v>
      </c>
      <c r="B2632" s="2" t="s">
        <v>26518</v>
      </c>
      <c r="C2632" s="2">
        <v>5.0880748741E10</v>
      </c>
      <c r="D2632" s="2" t="s">
        <v>26519</v>
      </c>
      <c r="E2632" s="2">
        <v>18711.0</v>
      </c>
      <c r="F2632" s="2">
        <v>39.0</v>
      </c>
      <c r="G2632" s="2">
        <v>25.0</v>
      </c>
      <c r="H2632" s="2" t="s">
        <v>5905</v>
      </c>
      <c r="I2632" s="2" t="s">
        <v>5905</v>
      </c>
      <c r="J2632" s="2" t="s">
        <v>5928</v>
      </c>
      <c r="K2632" s="2" t="s">
        <v>26520</v>
      </c>
    </row>
    <row r="2633">
      <c r="A2633" s="2" t="s">
        <v>4592</v>
      </c>
      <c r="B2633" s="2" t="s">
        <v>26521</v>
      </c>
      <c r="C2633" s="2">
        <v>1.3077875447E10</v>
      </c>
      <c r="D2633" s="2" t="s">
        <v>26522</v>
      </c>
      <c r="E2633" s="2">
        <v>75958.0</v>
      </c>
      <c r="F2633" s="2">
        <v>133.0</v>
      </c>
      <c r="G2633" s="2">
        <v>1337.0</v>
      </c>
      <c r="H2633" s="2" t="s">
        <v>5905</v>
      </c>
      <c r="I2633" s="2" t="s">
        <v>5906</v>
      </c>
      <c r="J2633" s="2" t="s">
        <v>7431</v>
      </c>
      <c r="K2633" s="2" t="s">
        <v>26523</v>
      </c>
      <c r="L2633" s="10" t="s">
        <v>26524</v>
      </c>
    </row>
    <row r="2634">
      <c r="A2634" s="2" t="s">
        <v>4592</v>
      </c>
      <c r="B2634" s="2" t="s">
        <v>26525</v>
      </c>
      <c r="C2634" s="2">
        <v>6.5645844517E10</v>
      </c>
      <c r="D2634" s="2" t="s">
        <v>26526</v>
      </c>
      <c r="E2634" s="2">
        <v>56783.0</v>
      </c>
      <c r="F2634" s="2">
        <v>99.0</v>
      </c>
      <c r="G2634" s="2">
        <v>441.0</v>
      </c>
      <c r="H2634" s="2" t="s">
        <v>5905</v>
      </c>
      <c r="I2634" s="2" t="s">
        <v>5905</v>
      </c>
      <c r="J2634" s="2" t="s">
        <v>5928</v>
      </c>
      <c r="K2634" s="2" t="s">
        <v>26527</v>
      </c>
      <c r="L2634" s="10" t="s">
        <v>26528</v>
      </c>
    </row>
    <row r="2635">
      <c r="A2635" s="2" t="s">
        <v>4592</v>
      </c>
      <c r="B2635" s="10" t="s">
        <v>26529</v>
      </c>
      <c r="C2635" s="2">
        <v>7.592651401E9</v>
      </c>
      <c r="D2635" s="2" t="s">
        <v>26530</v>
      </c>
      <c r="E2635" s="2">
        <v>521789.0</v>
      </c>
      <c r="F2635" s="2">
        <v>7335.0</v>
      </c>
      <c r="G2635" s="2">
        <v>12907.0</v>
      </c>
      <c r="H2635" s="2" t="s">
        <v>5906</v>
      </c>
      <c r="I2635" s="2" t="s">
        <v>5906</v>
      </c>
      <c r="J2635" s="2" t="s">
        <v>5561</v>
      </c>
      <c r="K2635" s="2" t="s">
        <v>26531</v>
      </c>
      <c r="L2635" s="10" t="s">
        <v>26532</v>
      </c>
    </row>
    <row r="2636">
      <c r="A2636" s="2" t="s">
        <v>4592</v>
      </c>
      <c r="B2636" s="2" t="s">
        <v>22334</v>
      </c>
      <c r="C2636" s="2">
        <v>4.475197304E9</v>
      </c>
      <c r="D2636" s="2" t="s">
        <v>22335</v>
      </c>
      <c r="E2636" s="2">
        <v>2557742.0</v>
      </c>
      <c r="F2636" s="2">
        <v>4733.0</v>
      </c>
      <c r="G2636" s="2">
        <v>18817.0</v>
      </c>
      <c r="H2636" s="2" t="s">
        <v>5906</v>
      </c>
      <c r="I2636" s="2" t="s">
        <v>5906</v>
      </c>
      <c r="J2636" s="2" t="s">
        <v>5561</v>
      </c>
      <c r="K2636" s="2" t="s">
        <v>22336</v>
      </c>
      <c r="L2636" s="10" t="s">
        <v>22337</v>
      </c>
    </row>
    <row r="2637">
      <c r="A2637" s="2" t="s">
        <v>4592</v>
      </c>
      <c r="B2637" s="2" t="s">
        <v>26533</v>
      </c>
      <c r="C2637" s="2">
        <v>3.05624039E8</v>
      </c>
      <c r="D2637" s="2" t="s">
        <v>26534</v>
      </c>
      <c r="E2637" s="2">
        <v>50792.0</v>
      </c>
      <c r="F2637" s="2">
        <v>165.0</v>
      </c>
      <c r="G2637" s="2">
        <v>1072.0</v>
      </c>
      <c r="H2637" s="2" t="s">
        <v>5905</v>
      </c>
      <c r="I2637" s="2" t="s">
        <v>5905</v>
      </c>
      <c r="J2637" s="2" t="s">
        <v>5959</v>
      </c>
      <c r="K2637" s="2" t="s">
        <v>26535</v>
      </c>
      <c r="L2637" s="10" t="s">
        <v>26536</v>
      </c>
    </row>
    <row r="2638">
      <c r="A2638" s="2" t="s">
        <v>4592</v>
      </c>
      <c r="B2638" s="2" t="s">
        <v>26537</v>
      </c>
      <c r="C2638" s="2">
        <v>6.7643537149E10</v>
      </c>
      <c r="D2638" s="2" t="s">
        <v>26538</v>
      </c>
      <c r="E2638" s="2">
        <v>65178.0</v>
      </c>
      <c r="F2638" s="2">
        <v>3985.0</v>
      </c>
      <c r="G2638" s="2">
        <v>440.0</v>
      </c>
      <c r="H2638" s="2" t="s">
        <v>5905</v>
      </c>
      <c r="I2638" s="2" t="s">
        <v>5905</v>
      </c>
      <c r="J2638" s="2" t="s">
        <v>5492</v>
      </c>
      <c r="K2638" s="2" t="s">
        <v>26539</v>
      </c>
    </row>
    <row r="2639">
      <c r="A2639" s="2" t="s">
        <v>4592</v>
      </c>
      <c r="B2639" s="2" t="s">
        <v>26540</v>
      </c>
      <c r="C2639" s="2">
        <v>3.005232106E9</v>
      </c>
      <c r="D2639" s="2" t="s">
        <v>26541</v>
      </c>
      <c r="E2639" s="2">
        <v>300048.0</v>
      </c>
      <c r="F2639" s="2">
        <v>3252.0</v>
      </c>
      <c r="G2639" s="2">
        <v>1705.0</v>
      </c>
      <c r="H2639" s="2" t="s">
        <v>5905</v>
      </c>
      <c r="I2639" s="2" t="s">
        <v>5906</v>
      </c>
      <c r="J2639" s="2" t="s">
        <v>5928</v>
      </c>
      <c r="K2639" s="2" t="s">
        <v>26542</v>
      </c>
      <c r="L2639" s="10" t="s">
        <v>26543</v>
      </c>
    </row>
    <row r="2640">
      <c r="A2640" s="2" t="s">
        <v>4592</v>
      </c>
      <c r="B2640" s="2" t="s">
        <v>26544</v>
      </c>
      <c r="C2640" s="2">
        <v>4.5069226746E10</v>
      </c>
      <c r="D2640" s="2" t="s">
        <v>26545</v>
      </c>
      <c r="E2640" s="2">
        <v>372929.0</v>
      </c>
      <c r="F2640" s="2">
        <v>1115.0</v>
      </c>
      <c r="G2640" s="2">
        <v>418.0</v>
      </c>
      <c r="H2640" s="2" t="s">
        <v>5906</v>
      </c>
      <c r="I2640" s="2" t="s">
        <v>5906</v>
      </c>
      <c r="J2640" s="2" t="s">
        <v>5391</v>
      </c>
      <c r="K2640" s="2" t="s">
        <v>26546</v>
      </c>
      <c r="L2640" s="10" t="s">
        <v>26547</v>
      </c>
    </row>
    <row r="2641">
      <c r="A2641" s="2" t="s">
        <v>4592</v>
      </c>
      <c r="B2641" s="2" t="s">
        <v>19245</v>
      </c>
      <c r="C2641" s="2">
        <v>4.38601526E8</v>
      </c>
      <c r="D2641" s="2" t="s">
        <v>19246</v>
      </c>
      <c r="E2641" s="2">
        <v>1502416.0</v>
      </c>
      <c r="F2641" s="2">
        <v>534.0</v>
      </c>
      <c r="G2641" s="2">
        <v>2841.0</v>
      </c>
      <c r="H2641" s="2" t="s">
        <v>5906</v>
      </c>
      <c r="I2641" s="2" t="s">
        <v>5905</v>
      </c>
      <c r="J2641" s="2" t="s">
        <v>11122</v>
      </c>
      <c r="K2641" s="2" t="s">
        <v>19247</v>
      </c>
      <c r="L2641" s="10" t="s">
        <v>19248</v>
      </c>
    </row>
    <row r="2642">
      <c r="A2642" s="2" t="s">
        <v>4592</v>
      </c>
      <c r="B2642" s="2" t="s">
        <v>26548</v>
      </c>
      <c r="C2642" s="2">
        <v>5.6326225558E10</v>
      </c>
      <c r="D2642" s="2" t="s">
        <v>26549</v>
      </c>
      <c r="E2642" s="2">
        <v>108794.0</v>
      </c>
      <c r="F2642" s="2">
        <v>91.0</v>
      </c>
      <c r="G2642" s="2">
        <v>176.0</v>
      </c>
      <c r="H2642" s="2" t="s">
        <v>5906</v>
      </c>
      <c r="I2642" s="2" t="s">
        <v>5905</v>
      </c>
      <c r="J2642" s="2" t="s">
        <v>5959</v>
      </c>
      <c r="K2642" s="2" t="s">
        <v>26550</v>
      </c>
    </row>
    <row r="2643">
      <c r="A2643" s="2" t="s">
        <v>4519</v>
      </c>
      <c r="B2643" s="2" t="s">
        <v>26551</v>
      </c>
      <c r="C2643" s="2">
        <v>3.3709930906E10</v>
      </c>
      <c r="D2643" s="2" t="s">
        <v>26552</v>
      </c>
      <c r="E2643" s="2">
        <v>116781.0</v>
      </c>
      <c r="F2643" s="2">
        <v>101.0</v>
      </c>
      <c r="G2643" s="2">
        <v>91.0</v>
      </c>
      <c r="H2643" s="2" t="s">
        <v>5905</v>
      </c>
      <c r="I2643" s="2" t="s">
        <v>5906</v>
      </c>
      <c r="J2643" s="2" t="s">
        <v>13763</v>
      </c>
      <c r="K2643" s="2" t="s">
        <v>26553</v>
      </c>
      <c r="L2643" s="10" t="s">
        <v>26554</v>
      </c>
    </row>
    <row r="2644">
      <c r="A2644" s="2" t="s">
        <v>4519</v>
      </c>
      <c r="B2644" s="2" t="s">
        <v>26555</v>
      </c>
      <c r="C2644" s="2">
        <v>5.637919437E10</v>
      </c>
      <c r="D2644" s="2" t="s">
        <v>26556</v>
      </c>
      <c r="E2644" s="2">
        <v>20208.0</v>
      </c>
      <c r="F2644" s="2">
        <v>319.0</v>
      </c>
      <c r="G2644" s="2">
        <v>596.0</v>
      </c>
      <c r="H2644" s="2" t="s">
        <v>5906</v>
      </c>
      <c r="I2644" s="2" t="s">
        <v>5905</v>
      </c>
      <c r="J2644" s="2" t="s">
        <v>13645</v>
      </c>
      <c r="K2644" s="2" t="s">
        <v>26557</v>
      </c>
      <c r="L2644" s="10" t="s">
        <v>26558</v>
      </c>
    </row>
    <row r="2645">
      <c r="A2645" s="2" t="s">
        <v>4519</v>
      </c>
      <c r="B2645" s="2" t="s">
        <v>26559</v>
      </c>
      <c r="C2645" s="2">
        <v>2.75484284E8</v>
      </c>
      <c r="D2645" s="2" t="s">
        <v>26560</v>
      </c>
      <c r="E2645" s="2">
        <v>174144.0</v>
      </c>
      <c r="F2645" s="2">
        <v>1302.0</v>
      </c>
      <c r="G2645" s="2">
        <v>135.0</v>
      </c>
      <c r="H2645" s="2" t="s">
        <v>5906</v>
      </c>
      <c r="I2645" s="2" t="s">
        <v>5905</v>
      </c>
      <c r="J2645" s="2" t="s">
        <v>26561</v>
      </c>
      <c r="K2645" s="2" t="s">
        <v>26562</v>
      </c>
      <c r="L2645" s="10" t="s">
        <v>26563</v>
      </c>
    </row>
    <row r="2646">
      <c r="A2646" s="2" t="s">
        <v>4519</v>
      </c>
      <c r="B2646" s="2" t="s">
        <v>26564</v>
      </c>
      <c r="C2646" s="2">
        <v>3.998015133E9</v>
      </c>
      <c r="D2646" s="2" t="s">
        <v>26565</v>
      </c>
      <c r="E2646" s="2">
        <v>49258.0</v>
      </c>
      <c r="F2646" s="2">
        <v>1445.0</v>
      </c>
      <c r="G2646" s="2">
        <v>80.0</v>
      </c>
      <c r="H2646" s="2" t="s">
        <v>5905</v>
      </c>
      <c r="I2646" s="2" t="s">
        <v>5905</v>
      </c>
      <c r="J2646" s="2" t="s">
        <v>5993</v>
      </c>
      <c r="K2646" s="2" t="s">
        <v>26566</v>
      </c>
      <c r="L2646" s="10" t="s">
        <v>26567</v>
      </c>
    </row>
    <row r="2647">
      <c r="A2647" s="2" t="s">
        <v>4519</v>
      </c>
      <c r="B2647" s="2" t="s">
        <v>26568</v>
      </c>
      <c r="C2647" s="2">
        <v>6.300382073E10</v>
      </c>
      <c r="D2647" s="2" t="s">
        <v>26569</v>
      </c>
      <c r="E2647" s="2">
        <v>16396.0</v>
      </c>
      <c r="F2647" s="2">
        <v>0.0</v>
      </c>
      <c r="G2647" s="2">
        <v>7.0</v>
      </c>
      <c r="H2647" s="2" t="s">
        <v>5905</v>
      </c>
      <c r="I2647" s="2" t="s">
        <v>5905</v>
      </c>
      <c r="J2647" s="2" t="s">
        <v>10778</v>
      </c>
      <c r="K2647" s="2" t="s">
        <v>26570</v>
      </c>
      <c r="L2647" s="10" t="s">
        <v>26571</v>
      </c>
    </row>
    <row r="2648">
      <c r="A2648" s="2" t="s">
        <v>4519</v>
      </c>
      <c r="B2648" s="2" t="s">
        <v>26572</v>
      </c>
      <c r="C2648" s="2">
        <v>1.6029327E7</v>
      </c>
      <c r="D2648" s="2" t="s">
        <v>26573</v>
      </c>
      <c r="E2648" s="2">
        <v>3808388.0</v>
      </c>
      <c r="F2648" s="2">
        <v>6696.0</v>
      </c>
      <c r="G2648" s="2">
        <v>2186.0</v>
      </c>
      <c r="H2648" s="2" t="s">
        <v>5906</v>
      </c>
      <c r="I2648" s="2" t="s">
        <v>5906</v>
      </c>
      <c r="J2648" s="2" t="s">
        <v>5993</v>
      </c>
      <c r="K2648" s="2" t="s">
        <v>26574</v>
      </c>
      <c r="L2648" s="10" t="s">
        <v>26575</v>
      </c>
    </row>
    <row r="2649">
      <c r="A2649" s="2" t="s">
        <v>4519</v>
      </c>
      <c r="B2649" s="2" t="s">
        <v>26576</v>
      </c>
      <c r="C2649" s="2">
        <v>4.8281890339E10</v>
      </c>
      <c r="D2649" s="2" t="s">
        <v>26577</v>
      </c>
      <c r="E2649" s="2">
        <v>473531.0</v>
      </c>
      <c r="F2649" s="2">
        <v>770.0</v>
      </c>
      <c r="G2649" s="2">
        <v>425.0</v>
      </c>
      <c r="H2649" s="2" t="s">
        <v>5906</v>
      </c>
      <c r="I2649" s="2" t="s">
        <v>5905</v>
      </c>
      <c r="J2649" s="2" t="s">
        <v>5561</v>
      </c>
      <c r="K2649" s="2" t="s">
        <v>26578</v>
      </c>
      <c r="L2649" s="10" t="s">
        <v>26579</v>
      </c>
    </row>
    <row r="2650">
      <c r="A2650" s="2" t="s">
        <v>4519</v>
      </c>
      <c r="B2650" s="2" t="s">
        <v>4519</v>
      </c>
      <c r="C2650" s="2">
        <v>1.5664373E7</v>
      </c>
      <c r="D2650" s="2" t="s">
        <v>26580</v>
      </c>
      <c r="E2650" s="2">
        <v>6196533.0</v>
      </c>
      <c r="F2650" s="2">
        <v>533.0</v>
      </c>
      <c r="G2650" s="2">
        <v>4260.0</v>
      </c>
      <c r="H2650" s="2" t="s">
        <v>5906</v>
      </c>
      <c r="I2650" s="2" t="s">
        <v>5906</v>
      </c>
      <c r="K2650" s="2" t="s">
        <v>26581</v>
      </c>
      <c r="L2650" s="10" t="s">
        <v>26582</v>
      </c>
    </row>
    <row r="2651">
      <c r="A2651" s="2" t="s">
        <v>4519</v>
      </c>
      <c r="B2651" s="2" t="s">
        <v>26583</v>
      </c>
      <c r="C2651" s="2">
        <v>2.343308899E9</v>
      </c>
      <c r="D2651" s="2" t="s">
        <v>26584</v>
      </c>
      <c r="E2651" s="2">
        <v>157392.0</v>
      </c>
      <c r="F2651" s="2">
        <v>2151.0</v>
      </c>
      <c r="G2651" s="2">
        <v>459.0</v>
      </c>
      <c r="H2651" s="2" t="s">
        <v>5906</v>
      </c>
      <c r="I2651" s="2" t="s">
        <v>5905</v>
      </c>
      <c r="J2651" s="2" t="s">
        <v>5959</v>
      </c>
      <c r="K2651" s="2" t="s">
        <v>26585</v>
      </c>
      <c r="L2651" s="10" t="s">
        <v>26586</v>
      </c>
    </row>
    <row r="2652">
      <c r="A2652" s="2" t="s">
        <v>4519</v>
      </c>
      <c r="B2652" s="2" t="s">
        <v>26587</v>
      </c>
      <c r="C2652" s="2">
        <v>9.775379111E9</v>
      </c>
      <c r="D2652" s="2" t="s">
        <v>26588</v>
      </c>
      <c r="E2652" s="2">
        <v>155415.0</v>
      </c>
      <c r="F2652" s="2">
        <v>276.0</v>
      </c>
      <c r="G2652" s="2">
        <v>2594.0</v>
      </c>
      <c r="H2652" s="2" t="s">
        <v>5906</v>
      </c>
      <c r="I2652" s="2" t="s">
        <v>5905</v>
      </c>
      <c r="J2652" s="2" t="s">
        <v>5492</v>
      </c>
      <c r="K2652" s="2" t="s">
        <v>26589</v>
      </c>
      <c r="L2652" s="10" t="s">
        <v>26590</v>
      </c>
    </row>
    <row r="2653">
      <c r="A2653" s="2" t="s">
        <v>4519</v>
      </c>
      <c r="B2653" s="2" t="s">
        <v>26591</v>
      </c>
      <c r="C2653" s="2">
        <v>3.03236572E8</v>
      </c>
      <c r="D2653" s="2" t="s">
        <v>26592</v>
      </c>
      <c r="E2653" s="2">
        <v>53661.0</v>
      </c>
      <c r="F2653" s="2">
        <v>17.0</v>
      </c>
      <c r="G2653" s="2">
        <v>0.0</v>
      </c>
      <c r="H2653" s="2" t="s">
        <v>5905</v>
      </c>
      <c r="I2653" s="2" t="s">
        <v>5905</v>
      </c>
      <c r="J2653" s="2" t="s">
        <v>13645</v>
      </c>
      <c r="L2653" s="10" t="s">
        <v>26593</v>
      </c>
    </row>
    <row r="2654">
      <c r="A2654" s="2" t="s">
        <v>4519</v>
      </c>
      <c r="B2654" s="2" t="s">
        <v>26594</v>
      </c>
      <c r="C2654" s="2">
        <v>2483093.0</v>
      </c>
      <c r="D2654" s="2" t="s">
        <v>26595</v>
      </c>
      <c r="E2654" s="2">
        <v>997444.0</v>
      </c>
      <c r="F2654" s="2">
        <v>1805.0</v>
      </c>
      <c r="G2654" s="2">
        <v>5513.0</v>
      </c>
      <c r="H2654" s="2" t="s">
        <v>5906</v>
      </c>
      <c r="I2654" s="2" t="s">
        <v>5906</v>
      </c>
      <c r="K2654" s="2" t="s">
        <v>26596</v>
      </c>
      <c r="L2654" s="10" t="s">
        <v>26597</v>
      </c>
    </row>
    <row r="2655">
      <c r="A2655" s="2" t="s">
        <v>4583</v>
      </c>
      <c r="B2655" s="2" t="s">
        <v>26598</v>
      </c>
      <c r="C2655" s="2">
        <v>1.2340844459E10</v>
      </c>
      <c r="D2655" s="2" t="s">
        <v>26599</v>
      </c>
      <c r="E2655" s="2">
        <v>126482.0</v>
      </c>
      <c r="F2655" s="2">
        <v>2416.0</v>
      </c>
      <c r="G2655" s="2">
        <v>1607.0</v>
      </c>
      <c r="H2655" s="2" t="s">
        <v>5906</v>
      </c>
      <c r="I2655" s="2" t="s">
        <v>5906</v>
      </c>
      <c r="J2655" s="2" t="s">
        <v>5492</v>
      </c>
      <c r="K2655" s="2" t="s">
        <v>26600</v>
      </c>
      <c r="L2655" s="10" t="s">
        <v>26601</v>
      </c>
    </row>
    <row r="2656">
      <c r="A2656" s="2" t="s">
        <v>4583</v>
      </c>
      <c r="B2656" s="2" t="s">
        <v>26602</v>
      </c>
      <c r="C2656" s="2">
        <v>5.6489164667E10</v>
      </c>
      <c r="D2656" s="2" t="s">
        <v>4583</v>
      </c>
      <c r="E2656" s="2">
        <v>12662.0</v>
      </c>
      <c r="F2656" s="2">
        <v>171.0</v>
      </c>
      <c r="G2656" s="2">
        <v>247.0</v>
      </c>
      <c r="H2656" s="2" t="s">
        <v>5905</v>
      </c>
      <c r="I2656" s="2" t="s">
        <v>5906</v>
      </c>
      <c r="J2656" s="2" t="s">
        <v>5928</v>
      </c>
      <c r="K2656" s="2" t="s">
        <v>26603</v>
      </c>
      <c r="L2656" s="10" t="s">
        <v>26604</v>
      </c>
    </row>
    <row r="2657">
      <c r="A2657" s="2" t="s">
        <v>4583</v>
      </c>
      <c r="B2657" s="2" t="s">
        <v>26605</v>
      </c>
      <c r="C2657" s="2">
        <v>8.559878833E9</v>
      </c>
      <c r="D2657" s="2" t="s">
        <v>26606</v>
      </c>
      <c r="E2657" s="2">
        <v>202639.0</v>
      </c>
      <c r="F2657" s="2">
        <v>13.0</v>
      </c>
      <c r="G2657" s="2">
        <v>416.0</v>
      </c>
      <c r="H2657" s="2" t="s">
        <v>5905</v>
      </c>
      <c r="I2657" s="2" t="s">
        <v>5905</v>
      </c>
      <c r="J2657" s="2" t="s">
        <v>5928</v>
      </c>
      <c r="K2657" s="2" t="s">
        <v>26607</v>
      </c>
      <c r="L2657" s="10" t="s">
        <v>26608</v>
      </c>
    </row>
    <row r="2658">
      <c r="A2658" s="2" t="s">
        <v>4583</v>
      </c>
      <c r="B2658" s="2" t="s">
        <v>26609</v>
      </c>
      <c r="C2658" s="2">
        <v>3.0022791455E10</v>
      </c>
      <c r="D2658" s="2" t="s">
        <v>26610</v>
      </c>
      <c r="E2658" s="2">
        <v>23002.0</v>
      </c>
      <c r="F2658" s="2">
        <v>282.0</v>
      </c>
      <c r="G2658" s="2">
        <v>5003.0</v>
      </c>
      <c r="H2658" s="2" t="s">
        <v>5905</v>
      </c>
      <c r="I2658" s="2" t="s">
        <v>5906</v>
      </c>
      <c r="J2658" s="2" t="s">
        <v>5928</v>
      </c>
      <c r="K2658" s="2" t="s">
        <v>26611</v>
      </c>
      <c r="L2658" s="10" t="s">
        <v>26612</v>
      </c>
    </row>
    <row r="2659">
      <c r="A2659" s="2" t="s">
        <v>4583</v>
      </c>
      <c r="B2659" s="2" t="s">
        <v>26613</v>
      </c>
      <c r="C2659" s="2">
        <v>3.11807977E8</v>
      </c>
      <c r="D2659" s="2" t="s">
        <v>26614</v>
      </c>
      <c r="E2659" s="2">
        <v>81749.0</v>
      </c>
      <c r="F2659" s="2">
        <v>25.0</v>
      </c>
      <c r="G2659" s="2">
        <v>308.0</v>
      </c>
      <c r="H2659" s="2" t="s">
        <v>5905</v>
      </c>
      <c r="I2659" s="2" t="s">
        <v>5905</v>
      </c>
      <c r="J2659" s="2" t="s">
        <v>5561</v>
      </c>
      <c r="K2659" s="2" t="s">
        <v>26615</v>
      </c>
    </row>
    <row r="2660">
      <c r="A2660" s="2" t="s">
        <v>4583</v>
      </c>
      <c r="B2660" s="2" t="s">
        <v>26616</v>
      </c>
      <c r="C2660" s="2">
        <v>6.6389875367E10</v>
      </c>
      <c r="D2660" s="2" t="s">
        <v>26617</v>
      </c>
      <c r="E2660" s="2">
        <v>542637.0</v>
      </c>
      <c r="F2660" s="2">
        <v>0.0</v>
      </c>
      <c r="G2660" s="2">
        <v>0.0</v>
      </c>
      <c r="H2660" s="2" t="s">
        <v>5905</v>
      </c>
      <c r="I2660" s="2" t="s">
        <v>5905</v>
      </c>
      <c r="J2660" s="2" t="s">
        <v>5928</v>
      </c>
    </row>
    <row r="2661">
      <c r="A2661" s="2" t="s">
        <v>4583</v>
      </c>
      <c r="B2661" s="2" t="s">
        <v>26618</v>
      </c>
      <c r="C2661" s="2">
        <v>6.837127021E9</v>
      </c>
      <c r="D2661" s="2" t="s">
        <v>26619</v>
      </c>
      <c r="E2661" s="2">
        <v>188699.0</v>
      </c>
      <c r="F2661" s="2">
        <v>581.0</v>
      </c>
      <c r="G2661" s="2">
        <v>711.0</v>
      </c>
      <c r="H2661" s="2" t="s">
        <v>5906</v>
      </c>
      <c r="I2661" s="2" t="s">
        <v>5905</v>
      </c>
      <c r="J2661" s="2" t="s">
        <v>20510</v>
      </c>
      <c r="K2661" s="12" t="s">
        <v>26620</v>
      </c>
      <c r="L2661" s="10" t="s">
        <v>26621</v>
      </c>
    </row>
    <row r="2662">
      <c r="A2662" s="2" t="s">
        <v>4751</v>
      </c>
      <c r="B2662" s="2" t="s">
        <v>26622</v>
      </c>
      <c r="C2662" s="2">
        <v>2.16192298E8</v>
      </c>
      <c r="D2662" s="2" t="s">
        <v>26623</v>
      </c>
      <c r="E2662" s="2">
        <v>37933.0</v>
      </c>
      <c r="F2662" s="2">
        <v>1015.0</v>
      </c>
      <c r="G2662" s="2">
        <v>345.0</v>
      </c>
      <c r="H2662" s="2" t="s">
        <v>5905</v>
      </c>
      <c r="I2662" s="2" t="s">
        <v>5905</v>
      </c>
      <c r="J2662" s="2" t="s">
        <v>8245</v>
      </c>
      <c r="K2662" s="2" t="s">
        <v>26624</v>
      </c>
    </row>
    <row r="2663">
      <c r="A2663" s="2" t="s">
        <v>4751</v>
      </c>
      <c r="B2663" s="2" t="s">
        <v>26625</v>
      </c>
      <c r="C2663" s="2">
        <v>5.9144841912E10</v>
      </c>
      <c r="D2663" s="2" t="s">
        <v>26626</v>
      </c>
      <c r="E2663" s="2">
        <v>13957.0</v>
      </c>
      <c r="F2663" s="2">
        <v>2.0</v>
      </c>
      <c r="G2663" s="2">
        <v>358.0</v>
      </c>
      <c r="H2663" s="2" t="s">
        <v>5905</v>
      </c>
      <c r="I2663" s="2" t="s">
        <v>5905</v>
      </c>
      <c r="J2663" s="2" t="s">
        <v>6166</v>
      </c>
      <c r="K2663" s="2" t="s">
        <v>26627</v>
      </c>
    </row>
    <row r="2664">
      <c r="A2664" s="2" t="s">
        <v>4751</v>
      </c>
      <c r="B2664" s="2" t="s">
        <v>26628</v>
      </c>
      <c r="C2664" s="2">
        <v>6.0483590178E10</v>
      </c>
      <c r="D2664" s="2" t="s">
        <v>26629</v>
      </c>
      <c r="E2664" s="2">
        <v>21038.0</v>
      </c>
      <c r="F2664" s="2">
        <v>68.0</v>
      </c>
      <c r="G2664" s="2">
        <v>129.0</v>
      </c>
      <c r="H2664" s="2" t="s">
        <v>5905</v>
      </c>
      <c r="I2664" s="2" t="s">
        <v>5906</v>
      </c>
      <c r="J2664" s="2" t="s">
        <v>5391</v>
      </c>
      <c r="K2664" s="2" t="s">
        <v>26630</v>
      </c>
      <c r="L2664" s="10" t="s">
        <v>26631</v>
      </c>
    </row>
    <row r="2665">
      <c r="A2665" s="2" t="s">
        <v>4751</v>
      </c>
      <c r="B2665" s="2" t="s">
        <v>26632</v>
      </c>
      <c r="C2665" s="2">
        <v>2.10229773E8</v>
      </c>
      <c r="D2665" s="2" t="s">
        <v>26633</v>
      </c>
      <c r="E2665" s="2">
        <v>136626.0</v>
      </c>
      <c r="F2665" s="2">
        <v>1147.0</v>
      </c>
      <c r="G2665" s="2">
        <v>611.0</v>
      </c>
      <c r="H2665" s="2" t="s">
        <v>5905</v>
      </c>
      <c r="I2665" s="2" t="s">
        <v>5906</v>
      </c>
      <c r="J2665" s="2" t="s">
        <v>5993</v>
      </c>
      <c r="K2665" s="2" t="s">
        <v>26634</v>
      </c>
      <c r="L2665" s="10" t="s">
        <v>26635</v>
      </c>
    </row>
    <row r="2666">
      <c r="A2666" s="2" t="s">
        <v>4751</v>
      </c>
      <c r="B2666" s="2" t="s">
        <v>26636</v>
      </c>
      <c r="C2666" s="2">
        <v>1.769270693E9</v>
      </c>
      <c r="D2666" s="2" t="s">
        <v>26637</v>
      </c>
      <c r="E2666" s="2">
        <v>34851.0</v>
      </c>
      <c r="F2666" s="2">
        <v>2854.0</v>
      </c>
      <c r="G2666" s="2">
        <v>572.0</v>
      </c>
      <c r="H2666" s="2" t="s">
        <v>5905</v>
      </c>
      <c r="I2666" s="2" t="s">
        <v>5905</v>
      </c>
      <c r="J2666" s="2" t="s">
        <v>5959</v>
      </c>
      <c r="K2666" s="2" t="s">
        <v>26638</v>
      </c>
    </row>
    <row r="2667">
      <c r="A2667" s="2" t="s">
        <v>4751</v>
      </c>
      <c r="B2667" s="2" t="s">
        <v>26639</v>
      </c>
      <c r="C2667" s="2">
        <v>1.789404397E9</v>
      </c>
      <c r="D2667" s="2" t="s">
        <v>26640</v>
      </c>
      <c r="E2667" s="2">
        <v>125073.0</v>
      </c>
      <c r="F2667" s="2">
        <v>453.0</v>
      </c>
      <c r="G2667" s="2">
        <v>1440.0</v>
      </c>
      <c r="H2667" s="2" t="s">
        <v>5905</v>
      </c>
      <c r="I2667" s="2" t="s">
        <v>5906</v>
      </c>
      <c r="K2667" s="2" t="s">
        <v>26641</v>
      </c>
      <c r="L2667" s="10" t="s">
        <v>26642</v>
      </c>
    </row>
    <row r="2668">
      <c r="A2668" s="2" t="s">
        <v>4751</v>
      </c>
      <c r="B2668" s="10" t="s">
        <v>26643</v>
      </c>
      <c r="C2668" s="2">
        <v>6.307435419E9</v>
      </c>
      <c r="D2668" s="2" t="s">
        <v>26644</v>
      </c>
      <c r="E2668" s="2">
        <v>32015.0</v>
      </c>
      <c r="F2668" s="2">
        <v>788.0</v>
      </c>
      <c r="G2668" s="2">
        <v>717.0</v>
      </c>
      <c r="H2668" s="2" t="s">
        <v>5905</v>
      </c>
      <c r="I2668" s="2" t="s">
        <v>5906</v>
      </c>
      <c r="J2668" s="2" t="s">
        <v>5391</v>
      </c>
      <c r="K2668" s="2" t="s">
        <v>26645</v>
      </c>
      <c r="L2668" s="10" t="s">
        <v>26646</v>
      </c>
    </row>
    <row r="2669">
      <c r="A2669" s="2" t="s">
        <v>4751</v>
      </c>
      <c r="B2669" s="2" t="s">
        <v>26647</v>
      </c>
      <c r="C2669" s="2">
        <v>4.5639556096E10</v>
      </c>
      <c r="D2669" s="2" t="s">
        <v>26648</v>
      </c>
      <c r="E2669" s="2">
        <v>28589.0</v>
      </c>
      <c r="F2669" s="2">
        <v>806.0</v>
      </c>
      <c r="G2669" s="2">
        <v>1194.0</v>
      </c>
      <c r="H2669" s="2" t="s">
        <v>5905</v>
      </c>
      <c r="I2669" s="2" t="s">
        <v>5905</v>
      </c>
      <c r="J2669" s="2" t="s">
        <v>5963</v>
      </c>
      <c r="K2669" s="2" t="s">
        <v>26649</v>
      </c>
    </row>
    <row r="2670">
      <c r="A2670" s="2" t="s">
        <v>4751</v>
      </c>
      <c r="B2670" s="2" t="s">
        <v>26650</v>
      </c>
      <c r="C2670" s="2">
        <v>5.6620214778E10</v>
      </c>
      <c r="D2670" s="2" t="s">
        <v>26651</v>
      </c>
      <c r="E2670" s="2">
        <v>69217.0</v>
      </c>
      <c r="F2670" s="2">
        <v>141.0</v>
      </c>
      <c r="G2670" s="2">
        <v>28.0</v>
      </c>
      <c r="H2670" s="2" t="s">
        <v>5905</v>
      </c>
      <c r="I2670" s="2" t="s">
        <v>5906</v>
      </c>
      <c r="J2670" s="2" t="s">
        <v>5391</v>
      </c>
      <c r="K2670" s="2" t="s">
        <v>26652</v>
      </c>
      <c r="L2670" s="10" t="s">
        <v>26653</v>
      </c>
    </row>
    <row r="2671">
      <c r="A2671" s="2" t="s">
        <v>4751</v>
      </c>
      <c r="B2671" s="2" t="s">
        <v>26654</v>
      </c>
      <c r="C2671" s="2">
        <v>2.3860553707E10</v>
      </c>
      <c r="D2671" s="2" t="s">
        <v>26655</v>
      </c>
      <c r="E2671" s="2">
        <v>559737.0</v>
      </c>
      <c r="F2671" s="2">
        <v>1741.0</v>
      </c>
      <c r="G2671" s="2">
        <v>2059.0</v>
      </c>
      <c r="H2671" s="2" t="s">
        <v>5906</v>
      </c>
      <c r="I2671" s="2" t="s">
        <v>5905</v>
      </c>
      <c r="J2671" s="2" t="s">
        <v>8245</v>
      </c>
      <c r="K2671" s="2" t="s">
        <v>26656</v>
      </c>
      <c r="L2671" s="10" t="s">
        <v>26657</v>
      </c>
    </row>
    <row r="2672">
      <c r="A2672" s="2" t="s">
        <v>4751</v>
      </c>
      <c r="B2672" s="2" t="s">
        <v>26658</v>
      </c>
      <c r="C2672" s="2">
        <v>5.3023604334E10</v>
      </c>
      <c r="D2672" s="2" t="s">
        <v>26659</v>
      </c>
      <c r="E2672" s="2">
        <v>81374.0</v>
      </c>
      <c r="F2672" s="2">
        <v>533.0</v>
      </c>
      <c r="G2672" s="2">
        <v>426.0</v>
      </c>
      <c r="H2672" s="2" t="s">
        <v>5906</v>
      </c>
      <c r="I2672" s="2" t="s">
        <v>5905</v>
      </c>
      <c r="J2672" s="2" t="s">
        <v>5561</v>
      </c>
      <c r="K2672" s="2" t="s">
        <v>26660</v>
      </c>
      <c r="L2672" s="10" t="s">
        <v>26661</v>
      </c>
    </row>
    <row r="2673">
      <c r="A2673" s="2" t="s">
        <v>4751</v>
      </c>
      <c r="B2673" s="2" t="s">
        <v>26662</v>
      </c>
      <c r="C2673" s="2">
        <v>6.865193124E9</v>
      </c>
      <c r="D2673" s="2" t="s">
        <v>26663</v>
      </c>
      <c r="E2673" s="2">
        <v>217408.0</v>
      </c>
      <c r="F2673" s="2">
        <v>1782.0</v>
      </c>
      <c r="G2673" s="2">
        <v>1116.0</v>
      </c>
      <c r="H2673" s="2" t="s">
        <v>5906</v>
      </c>
      <c r="I2673" s="2" t="s">
        <v>5906</v>
      </c>
      <c r="J2673" s="2" t="s">
        <v>5492</v>
      </c>
      <c r="K2673" s="2" t="s">
        <v>26664</v>
      </c>
      <c r="L2673" s="10" t="s">
        <v>26665</v>
      </c>
    </row>
    <row r="2674">
      <c r="A2674" s="2" t="s">
        <v>4751</v>
      </c>
      <c r="B2674" s="2" t="s">
        <v>26666</v>
      </c>
      <c r="C2674" s="2">
        <v>4.5475919643E10</v>
      </c>
      <c r="D2674" s="2" t="s">
        <v>26667</v>
      </c>
      <c r="E2674" s="2">
        <v>63017.0</v>
      </c>
      <c r="F2674" s="2">
        <v>4577.0</v>
      </c>
      <c r="G2674" s="2">
        <v>1076.0</v>
      </c>
      <c r="H2674" s="2" t="s">
        <v>5905</v>
      </c>
      <c r="I2674" s="2" t="s">
        <v>5906</v>
      </c>
      <c r="J2674" s="2" t="s">
        <v>5391</v>
      </c>
      <c r="K2674" s="2" t="s">
        <v>26668</v>
      </c>
      <c r="L2674" s="10" t="s">
        <v>26669</v>
      </c>
    </row>
    <row r="2675">
      <c r="A2675" s="2" t="s">
        <v>4723</v>
      </c>
      <c r="B2675" s="2" t="s">
        <v>26670</v>
      </c>
      <c r="C2675" s="2">
        <v>4.115570408E9</v>
      </c>
      <c r="D2675" s="2" t="s">
        <v>26671</v>
      </c>
      <c r="E2675" s="2">
        <v>53500.0</v>
      </c>
      <c r="F2675" s="2">
        <v>671.0</v>
      </c>
      <c r="G2675" s="2">
        <v>898.0</v>
      </c>
      <c r="H2675" s="2" t="s">
        <v>5905</v>
      </c>
      <c r="I2675" s="2" t="s">
        <v>5905</v>
      </c>
      <c r="J2675" s="2" t="s">
        <v>26672</v>
      </c>
      <c r="K2675" s="2" t="s">
        <v>26673</v>
      </c>
      <c r="L2675" s="10" t="s">
        <v>26674</v>
      </c>
    </row>
    <row r="2676">
      <c r="A2676" s="2" t="s">
        <v>4540</v>
      </c>
      <c r="B2676" s="2" t="s">
        <v>26675</v>
      </c>
      <c r="C2676" s="2">
        <v>1.78522459E8</v>
      </c>
      <c r="D2676" s="2" t="s">
        <v>26676</v>
      </c>
      <c r="E2676" s="2">
        <v>4876911.0</v>
      </c>
      <c r="F2676" s="2">
        <v>83.0</v>
      </c>
      <c r="G2676" s="2">
        <v>3059.0</v>
      </c>
      <c r="H2676" s="2" t="s">
        <v>5906</v>
      </c>
      <c r="I2676" s="2" t="s">
        <v>5905</v>
      </c>
      <c r="J2676" s="2" t="s">
        <v>5492</v>
      </c>
      <c r="K2676" s="2" t="s">
        <v>26677</v>
      </c>
    </row>
    <row r="2677">
      <c r="A2677" s="2" t="s">
        <v>4540</v>
      </c>
      <c r="B2677" s="2" t="s">
        <v>26678</v>
      </c>
      <c r="C2677" s="2">
        <v>3.5927075848E10</v>
      </c>
      <c r="D2677" s="2" t="s">
        <v>26679</v>
      </c>
      <c r="E2677" s="2">
        <v>37084.0</v>
      </c>
      <c r="F2677" s="2">
        <v>825.0</v>
      </c>
      <c r="G2677" s="2">
        <v>1023.0</v>
      </c>
      <c r="H2677" s="2" t="s">
        <v>5905</v>
      </c>
      <c r="I2677" s="2" t="s">
        <v>5905</v>
      </c>
      <c r="J2677" s="2" t="s">
        <v>6166</v>
      </c>
      <c r="K2677" s="2" t="s">
        <v>26680</v>
      </c>
      <c r="L2677" s="10" t="s">
        <v>26681</v>
      </c>
    </row>
    <row r="2678">
      <c r="A2678" s="2" t="s">
        <v>4540</v>
      </c>
      <c r="B2678" s="2" t="s">
        <v>26682</v>
      </c>
      <c r="C2678" s="2">
        <v>2.248677827E10</v>
      </c>
      <c r="D2678" s="2" t="s">
        <v>26683</v>
      </c>
      <c r="E2678" s="2">
        <v>351351.0</v>
      </c>
      <c r="F2678" s="2">
        <v>1637.0</v>
      </c>
      <c r="G2678" s="2">
        <v>6825.0</v>
      </c>
      <c r="H2678" s="2" t="s">
        <v>5905</v>
      </c>
      <c r="I2678" s="2" t="s">
        <v>5906</v>
      </c>
      <c r="J2678" s="2" t="s">
        <v>7431</v>
      </c>
      <c r="K2678" s="2" t="s">
        <v>26684</v>
      </c>
      <c r="L2678" s="10" t="s">
        <v>26685</v>
      </c>
    </row>
    <row r="2679">
      <c r="A2679" s="2" t="s">
        <v>4540</v>
      </c>
      <c r="B2679" s="2" t="s">
        <v>26686</v>
      </c>
      <c r="C2679" s="2">
        <v>6.268875043E10</v>
      </c>
      <c r="D2679" s="2" t="s">
        <v>26687</v>
      </c>
      <c r="E2679" s="2">
        <v>186767.0</v>
      </c>
      <c r="F2679" s="2">
        <v>3984.0</v>
      </c>
      <c r="G2679" s="2">
        <v>396.0</v>
      </c>
      <c r="H2679" s="2" t="s">
        <v>5905</v>
      </c>
      <c r="I2679" s="2" t="s">
        <v>5905</v>
      </c>
      <c r="J2679" s="2" t="s">
        <v>5959</v>
      </c>
      <c r="K2679" s="2" t="s">
        <v>26688</v>
      </c>
    </row>
    <row r="2680">
      <c r="A2680" s="2" t="s">
        <v>4540</v>
      </c>
      <c r="B2680" s="2" t="s">
        <v>26689</v>
      </c>
      <c r="C2680" s="2">
        <v>3.3112485E9</v>
      </c>
      <c r="D2680" s="2" t="s">
        <v>26690</v>
      </c>
      <c r="E2680" s="2">
        <v>98440.0</v>
      </c>
      <c r="F2680" s="2">
        <v>16.0</v>
      </c>
      <c r="G2680" s="2">
        <v>4776.0</v>
      </c>
      <c r="H2680" s="2" t="s">
        <v>5906</v>
      </c>
      <c r="I2680" s="2" t="s">
        <v>5905</v>
      </c>
      <c r="J2680" s="2" t="s">
        <v>17821</v>
      </c>
      <c r="K2680" s="2" t="s">
        <v>26691</v>
      </c>
      <c r="L2680" s="10" t="s">
        <v>26692</v>
      </c>
    </row>
    <row r="2681">
      <c r="A2681" s="2" t="s">
        <v>4540</v>
      </c>
      <c r="B2681" s="2" t="s">
        <v>26693</v>
      </c>
      <c r="C2681" s="2">
        <v>4.087941093E9</v>
      </c>
      <c r="D2681" s="2" t="s">
        <v>26694</v>
      </c>
      <c r="E2681" s="2">
        <v>51728.0</v>
      </c>
      <c r="F2681" s="2">
        <v>1972.0</v>
      </c>
      <c r="G2681" s="2">
        <v>6392.0</v>
      </c>
      <c r="H2681" s="2" t="s">
        <v>5905</v>
      </c>
      <c r="I2681" s="2" t="s">
        <v>5905</v>
      </c>
      <c r="J2681" s="2" t="s">
        <v>6166</v>
      </c>
      <c r="K2681" s="2" t="s">
        <v>26695</v>
      </c>
      <c r="L2681" s="10" t="s">
        <v>26696</v>
      </c>
    </row>
    <row r="2682">
      <c r="A2682" s="2" t="s">
        <v>4540</v>
      </c>
      <c r="B2682" s="2" t="s">
        <v>26697</v>
      </c>
      <c r="C2682" s="2">
        <v>2.9096164338E10</v>
      </c>
      <c r="D2682" s="2" t="s">
        <v>26698</v>
      </c>
      <c r="E2682" s="2">
        <v>29665.0</v>
      </c>
      <c r="F2682" s="2">
        <v>0.0</v>
      </c>
      <c r="G2682" s="2">
        <v>185.0</v>
      </c>
      <c r="H2682" s="2" t="s">
        <v>5906</v>
      </c>
      <c r="I2682" s="2" t="s">
        <v>5906</v>
      </c>
      <c r="J2682" s="2" t="s">
        <v>5391</v>
      </c>
      <c r="K2682" s="2" t="s">
        <v>26699</v>
      </c>
      <c r="L2682" s="10" t="s">
        <v>26700</v>
      </c>
    </row>
    <row r="2683">
      <c r="A2683" s="2" t="s">
        <v>4540</v>
      </c>
      <c r="B2683" s="2" t="s">
        <v>4540</v>
      </c>
      <c r="C2683" s="2">
        <v>1.92280606E9</v>
      </c>
      <c r="D2683" s="2" t="s">
        <v>26701</v>
      </c>
      <c r="E2683" s="2">
        <v>599640.0</v>
      </c>
      <c r="F2683" s="2">
        <v>40.0</v>
      </c>
      <c r="G2683" s="2">
        <v>1813.0</v>
      </c>
      <c r="H2683" s="2" t="s">
        <v>5905</v>
      </c>
      <c r="I2683" s="2" t="s">
        <v>5905</v>
      </c>
      <c r="J2683" s="2" t="s">
        <v>7431</v>
      </c>
      <c r="K2683" s="2" t="s">
        <v>26702</v>
      </c>
      <c r="L2683" s="10" t="s">
        <v>17635</v>
      </c>
    </row>
    <row r="2684">
      <c r="A2684" s="2" t="s">
        <v>4540</v>
      </c>
      <c r="B2684" s="2" t="s">
        <v>26703</v>
      </c>
      <c r="C2684" s="2">
        <v>5.0730301074E10</v>
      </c>
      <c r="D2684" s="2" t="s">
        <v>26704</v>
      </c>
      <c r="E2684" s="2">
        <v>155518.0</v>
      </c>
      <c r="F2684" s="2">
        <v>1.0</v>
      </c>
      <c r="G2684" s="2">
        <v>592.0</v>
      </c>
      <c r="H2684" s="2" t="s">
        <v>5905</v>
      </c>
      <c r="I2684" s="2" t="s">
        <v>5906</v>
      </c>
      <c r="J2684" s="2" t="s">
        <v>5492</v>
      </c>
      <c r="K2684" s="2" t="s">
        <v>26705</v>
      </c>
      <c r="L2684" s="10" t="s">
        <v>26706</v>
      </c>
    </row>
    <row r="2685">
      <c r="A2685" s="2" t="s">
        <v>4540</v>
      </c>
      <c r="B2685" s="2" t="s">
        <v>26707</v>
      </c>
      <c r="C2685" s="2">
        <v>1.1045242413E10</v>
      </c>
      <c r="D2685" s="2" t="s">
        <v>26708</v>
      </c>
      <c r="E2685" s="2">
        <v>220490.0</v>
      </c>
      <c r="F2685" s="2">
        <v>1.0</v>
      </c>
      <c r="G2685" s="2">
        <v>773.0</v>
      </c>
      <c r="H2685" s="2" t="s">
        <v>5906</v>
      </c>
      <c r="I2685" s="2" t="s">
        <v>5906</v>
      </c>
      <c r="J2685" s="2" t="s">
        <v>4996</v>
      </c>
      <c r="K2685" s="2" t="s">
        <v>26709</v>
      </c>
      <c r="L2685" s="10" t="s">
        <v>26710</v>
      </c>
    </row>
    <row r="2686">
      <c r="A2686" s="2" t="s">
        <v>4540</v>
      </c>
      <c r="B2686" s="2" t="s">
        <v>26711</v>
      </c>
      <c r="C2686" s="2">
        <v>1.396139505E9</v>
      </c>
      <c r="D2686" s="2" t="s">
        <v>26712</v>
      </c>
      <c r="E2686" s="2">
        <v>6701166.0</v>
      </c>
      <c r="F2686" s="2">
        <v>244.0</v>
      </c>
      <c r="G2686" s="2">
        <v>9561.0</v>
      </c>
      <c r="H2686" s="2" t="s">
        <v>5906</v>
      </c>
      <c r="I2686" s="2" t="s">
        <v>5905</v>
      </c>
      <c r="J2686" s="2" t="s">
        <v>22487</v>
      </c>
      <c r="K2686" s="2" t="s">
        <v>26713</v>
      </c>
    </row>
    <row r="2687">
      <c r="A2687" s="2" t="s">
        <v>4540</v>
      </c>
      <c r="B2687" s="2" t="s">
        <v>26714</v>
      </c>
      <c r="C2687" s="2">
        <v>3.623909597E9</v>
      </c>
      <c r="D2687" s="2" t="s">
        <v>26715</v>
      </c>
      <c r="E2687" s="2">
        <v>164430.0</v>
      </c>
      <c r="F2687" s="2">
        <v>262.0</v>
      </c>
      <c r="G2687" s="2">
        <v>160.0</v>
      </c>
      <c r="H2687" s="2" t="s">
        <v>5906</v>
      </c>
      <c r="I2687" s="2" t="s">
        <v>5906</v>
      </c>
      <c r="J2687" s="2" t="s">
        <v>5993</v>
      </c>
      <c r="K2687" s="2" t="s">
        <v>26716</v>
      </c>
      <c r="L2687" s="10" t="s">
        <v>26717</v>
      </c>
    </row>
    <row r="2688">
      <c r="A2688" s="2" t="s">
        <v>3766</v>
      </c>
      <c r="B2688" s="2" t="s">
        <v>26718</v>
      </c>
      <c r="C2688" s="2">
        <v>3.0795720766E10</v>
      </c>
      <c r="D2688" s="2" t="s">
        <v>26719</v>
      </c>
      <c r="E2688" s="2">
        <v>187730.0</v>
      </c>
      <c r="F2688" s="2">
        <v>93.0</v>
      </c>
      <c r="G2688" s="2">
        <v>2208.0</v>
      </c>
      <c r="H2688" s="2" t="s">
        <v>5906</v>
      </c>
      <c r="I2688" s="2" t="s">
        <v>5906</v>
      </c>
      <c r="J2688" s="2" t="s">
        <v>8615</v>
      </c>
      <c r="K2688" s="2" t="s">
        <v>26720</v>
      </c>
      <c r="L2688" s="10" t="s">
        <v>26721</v>
      </c>
    </row>
    <row r="2689">
      <c r="A2689" s="2" t="s">
        <v>3766</v>
      </c>
      <c r="B2689" s="2" t="s">
        <v>26722</v>
      </c>
      <c r="C2689" s="2">
        <v>8.272490297E9</v>
      </c>
      <c r="D2689" s="2" t="s">
        <v>26723</v>
      </c>
      <c r="E2689" s="2">
        <v>224477.0</v>
      </c>
      <c r="F2689" s="2">
        <v>52.0</v>
      </c>
      <c r="G2689" s="2">
        <v>1296.0</v>
      </c>
      <c r="H2689" s="2" t="s">
        <v>5906</v>
      </c>
      <c r="I2689" s="2" t="s">
        <v>5905</v>
      </c>
      <c r="J2689" s="2" t="s">
        <v>5959</v>
      </c>
      <c r="K2689" s="2" t="s">
        <v>26724</v>
      </c>
      <c r="L2689" s="10" t="s">
        <v>26725</v>
      </c>
    </row>
    <row r="2690">
      <c r="A2690" s="2" t="s">
        <v>3766</v>
      </c>
      <c r="B2690" s="2" t="s">
        <v>26726</v>
      </c>
      <c r="C2690" s="2">
        <v>4.4705489083E10</v>
      </c>
      <c r="D2690" s="2" t="s">
        <v>26727</v>
      </c>
      <c r="E2690" s="2">
        <v>107111.0</v>
      </c>
      <c r="F2690" s="2">
        <v>205.0</v>
      </c>
      <c r="G2690" s="2">
        <v>2013.0</v>
      </c>
      <c r="H2690" s="2" t="s">
        <v>5906</v>
      </c>
      <c r="I2690" s="2" t="s">
        <v>5906</v>
      </c>
      <c r="J2690" s="2" t="s">
        <v>18477</v>
      </c>
      <c r="K2690" s="2" t="s">
        <v>26728</v>
      </c>
      <c r="L2690" s="10" t="s">
        <v>26729</v>
      </c>
    </row>
    <row r="2691">
      <c r="A2691" s="2" t="s">
        <v>3766</v>
      </c>
      <c r="B2691" s="2" t="s">
        <v>3766</v>
      </c>
      <c r="C2691" s="2">
        <v>2.969187225E10</v>
      </c>
      <c r="D2691" s="2" t="s">
        <v>26730</v>
      </c>
      <c r="E2691" s="2">
        <v>2495566.0</v>
      </c>
      <c r="F2691" s="2">
        <v>16.0</v>
      </c>
      <c r="G2691" s="2">
        <v>1385.0</v>
      </c>
      <c r="H2691" s="2" t="s">
        <v>5906</v>
      </c>
      <c r="I2691" s="2" t="s">
        <v>5906</v>
      </c>
      <c r="J2691" s="2" t="s">
        <v>5391</v>
      </c>
      <c r="K2691" s="2" t="s">
        <v>26731</v>
      </c>
      <c r="L2691" s="10" t="s">
        <v>26732</v>
      </c>
    </row>
    <row r="2692">
      <c r="A2692" s="2" t="s">
        <v>3766</v>
      </c>
      <c r="B2692" s="2" t="s">
        <v>26733</v>
      </c>
      <c r="C2692" s="2">
        <v>3.0658977326E10</v>
      </c>
      <c r="D2692" s="2" t="s">
        <v>26734</v>
      </c>
      <c r="E2692" s="2">
        <v>420819.0</v>
      </c>
      <c r="F2692" s="2">
        <v>119.0</v>
      </c>
      <c r="G2692" s="2">
        <v>1825.0</v>
      </c>
      <c r="H2692" s="2" t="s">
        <v>5906</v>
      </c>
      <c r="I2692" s="2" t="s">
        <v>5906</v>
      </c>
      <c r="J2692" s="2" t="s">
        <v>8615</v>
      </c>
      <c r="K2692" s="2" t="s">
        <v>26735</v>
      </c>
      <c r="L2692" s="10" t="s">
        <v>26736</v>
      </c>
    </row>
    <row r="2693">
      <c r="A2693" s="2" t="s">
        <v>3766</v>
      </c>
      <c r="B2693" s="2" t="s">
        <v>26737</v>
      </c>
      <c r="C2693" s="2">
        <v>3.122423469E10</v>
      </c>
      <c r="D2693" s="2" t="s">
        <v>26730</v>
      </c>
      <c r="E2693" s="2">
        <v>132831.0</v>
      </c>
      <c r="F2693" s="2">
        <v>40.0</v>
      </c>
      <c r="G2693" s="2">
        <v>1710.0</v>
      </c>
      <c r="H2693" s="2" t="s">
        <v>5906</v>
      </c>
      <c r="I2693" s="2" t="s">
        <v>5906</v>
      </c>
      <c r="J2693" s="2" t="s">
        <v>8615</v>
      </c>
      <c r="K2693" s="2" t="s">
        <v>26738</v>
      </c>
      <c r="L2693" s="10" t="s">
        <v>26739</v>
      </c>
    </row>
    <row r="2694">
      <c r="A2694" s="2" t="s">
        <v>3766</v>
      </c>
      <c r="B2694" s="2" t="s">
        <v>26740</v>
      </c>
      <c r="C2694" s="2">
        <v>3.5060845645E10</v>
      </c>
      <c r="D2694" s="2" t="s">
        <v>26730</v>
      </c>
      <c r="E2694" s="2">
        <v>197040.0</v>
      </c>
      <c r="F2694" s="2">
        <v>45.0</v>
      </c>
      <c r="G2694" s="2">
        <v>2483.0</v>
      </c>
      <c r="H2694" s="2" t="s">
        <v>5905</v>
      </c>
      <c r="I2694" s="2" t="s">
        <v>5905</v>
      </c>
      <c r="J2694" s="2" t="s">
        <v>5959</v>
      </c>
      <c r="K2694" s="2" t="s">
        <v>26741</v>
      </c>
      <c r="L2694" s="10" t="s">
        <v>26742</v>
      </c>
    </row>
    <row r="2695">
      <c r="A2695" s="2" t="s">
        <v>3766</v>
      </c>
      <c r="B2695" s="2" t="s">
        <v>26743</v>
      </c>
      <c r="C2695" s="2">
        <v>4.4664296763E10</v>
      </c>
      <c r="D2695" s="2" t="s">
        <v>26744</v>
      </c>
      <c r="E2695" s="2">
        <v>797693.0</v>
      </c>
      <c r="F2695" s="2">
        <v>36.0</v>
      </c>
      <c r="G2695" s="2">
        <v>4975.0</v>
      </c>
      <c r="H2695" s="2" t="s">
        <v>5906</v>
      </c>
      <c r="I2695" s="2" t="s">
        <v>5906</v>
      </c>
      <c r="J2695" s="2" t="s">
        <v>6068</v>
      </c>
      <c r="K2695" s="2" t="s">
        <v>26745</v>
      </c>
      <c r="L2695" s="10" t="s">
        <v>26746</v>
      </c>
    </row>
    <row r="2696">
      <c r="A2696" s="2" t="s">
        <v>3766</v>
      </c>
      <c r="B2696" s="2" t="s">
        <v>26747</v>
      </c>
      <c r="C2696" s="2">
        <v>3.078648287E10</v>
      </c>
      <c r="D2696" s="2" t="s">
        <v>26748</v>
      </c>
      <c r="E2696" s="2">
        <v>93811.0</v>
      </c>
      <c r="F2696" s="2">
        <v>37.0</v>
      </c>
      <c r="G2696" s="2">
        <v>2146.0</v>
      </c>
      <c r="H2696" s="2" t="s">
        <v>5906</v>
      </c>
      <c r="I2696" s="2" t="s">
        <v>5906</v>
      </c>
      <c r="J2696" s="2" t="s">
        <v>8615</v>
      </c>
      <c r="K2696" s="2" t="s">
        <v>26749</v>
      </c>
      <c r="L2696" s="10" t="s">
        <v>26750</v>
      </c>
    </row>
    <row r="2697">
      <c r="A2697" s="2" t="s">
        <v>3766</v>
      </c>
      <c r="B2697" s="2" t="s">
        <v>26751</v>
      </c>
      <c r="C2697" s="2">
        <v>3.1210194641E10</v>
      </c>
      <c r="D2697" s="2" t="s">
        <v>26752</v>
      </c>
      <c r="E2697" s="2">
        <v>116336.0</v>
      </c>
      <c r="F2697" s="2">
        <v>6.0</v>
      </c>
      <c r="G2697" s="2">
        <v>1598.0</v>
      </c>
      <c r="H2697" s="2" t="s">
        <v>5906</v>
      </c>
      <c r="I2697" s="2" t="s">
        <v>5906</v>
      </c>
      <c r="J2697" s="2" t="s">
        <v>8615</v>
      </c>
      <c r="K2697" s="2" t="s">
        <v>26753</v>
      </c>
      <c r="L2697" s="10" t="s">
        <v>26754</v>
      </c>
    </row>
    <row r="2698">
      <c r="A2698" s="2" t="s">
        <v>3766</v>
      </c>
      <c r="B2698" s="2" t="s">
        <v>26755</v>
      </c>
      <c r="C2698" s="2">
        <v>2.386883613E10</v>
      </c>
      <c r="D2698" s="2" t="s">
        <v>26756</v>
      </c>
      <c r="E2698" s="2">
        <v>131278.0</v>
      </c>
      <c r="F2698" s="2">
        <v>22.0</v>
      </c>
      <c r="G2698" s="2">
        <v>1722.0</v>
      </c>
      <c r="H2698" s="2" t="s">
        <v>5906</v>
      </c>
      <c r="I2698" s="2" t="s">
        <v>5906</v>
      </c>
      <c r="J2698" s="2" t="s">
        <v>10778</v>
      </c>
      <c r="K2698" s="2" t="s">
        <v>26757</v>
      </c>
      <c r="L2698" s="10" t="s">
        <v>26758</v>
      </c>
    </row>
    <row r="2699">
      <c r="A2699" s="2" t="s">
        <v>3766</v>
      </c>
      <c r="B2699" s="2" t="s">
        <v>26759</v>
      </c>
      <c r="C2699" s="2">
        <v>3.65240297E10</v>
      </c>
      <c r="D2699" s="2" t="s">
        <v>26730</v>
      </c>
      <c r="E2699" s="2">
        <v>215997.0</v>
      </c>
      <c r="F2699" s="2">
        <v>44.0</v>
      </c>
      <c r="G2699" s="2">
        <v>2516.0</v>
      </c>
      <c r="H2699" s="2" t="s">
        <v>5906</v>
      </c>
      <c r="I2699" s="2" t="s">
        <v>5906</v>
      </c>
      <c r="J2699" s="2" t="s">
        <v>5561</v>
      </c>
      <c r="K2699" s="2" t="s">
        <v>26760</v>
      </c>
    </row>
    <row r="2700">
      <c r="A2700" s="2" t="s">
        <v>3766</v>
      </c>
      <c r="B2700" s="2" t="s">
        <v>26761</v>
      </c>
      <c r="C2700" s="2">
        <v>3.0812838239E10</v>
      </c>
      <c r="D2700" s="2" t="s">
        <v>26762</v>
      </c>
      <c r="E2700" s="2">
        <v>32437.0</v>
      </c>
      <c r="F2700" s="2">
        <v>3.0</v>
      </c>
      <c r="G2700" s="2">
        <v>1323.0</v>
      </c>
      <c r="H2700" s="2" t="s">
        <v>5906</v>
      </c>
      <c r="I2700" s="2" t="s">
        <v>5906</v>
      </c>
      <c r="J2700" s="2" t="s">
        <v>8615</v>
      </c>
      <c r="K2700" s="2" t="s">
        <v>26763</v>
      </c>
      <c r="L2700" s="10" t="s">
        <v>26764</v>
      </c>
    </row>
    <row r="2701">
      <c r="A2701" s="2" t="s">
        <v>3766</v>
      </c>
      <c r="B2701" s="2" t="s">
        <v>26765</v>
      </c>
      <c r="C2701" s="2">
        <v>3.0887193124E10</v>
      </c>
      <c r="D2701" s="2" t="s">
        <v>26766</v>
      </c>
      <c r="E2701" s="2">
        <v>35836.0</v>
      </c>
      <c r="F2701" s="2">
        <v>102.0</v>
      </c>
      <c r="G2701" s="2">
        <v>2001.0</v>
      </c>
      <c r="H2701" s="2" t="s">
        <v>5906</v>
      </c>
      <c r="I2701" s="2" t="s">
        <v>5906</v>
      </c>
      <c r="J2701" s="2" t="s">
        <v>8615</v>
      </c>
      <c r="K2701" s="2" t="s">
        <v>26767</v>
      </c>
      <c r="L2701" s="10" t="s">
        <v>26768</v>
      </c>
    </row>
    <row r="2702">
      <c r="A2702" s="2" t="s">
        <v>3766</v>
      </c>
      <c r="B2702" s="2" t="s">
        <v>26769</v>
      </c>
      <c r="C2702" s="2">
        <v>3.0837795782E10</v>
      </c>
      <c r="D2702" s="2" t="s">
        <v>26770</v>
      </c>
      <c r="E2702" s="2">
        <v>75417.0</v>
      </c>
      <c r="F2702" s="2">
        <v>1.0</v>
      </c>
      <c r="G2702" s="2">
        <v>1817.0</v>
      </c>
      <c r="H2702" s="2" t="s">
        <v>5906</v>
      </c>
      <c r="I2702" s="2" t="s">
        <v>5906</v>
      </c>
      <c r="J2702" s="2" t="s">
        <v>6002</v>
      </c>
    </row>
    <row r="2703">
      <c r="A2703" s="2" t="s">
        <v>3766</v>
      </c>
      <c r="B2703" s="2" t="s">
        <v>26771</v>
      </c>
      <c r="C2703" s="2">
        <v>3.0638380571E10</v>
      </c>
      <c r="D2703" s="2" t="s">
        <v>26772</v>
      </c>
      <c r="E2703" s="2">
        <v>353181.0</v>
      </c>
      <c r="F2703" s="2">
        <v>3.0</v>
      </c>
      <c r="G2703" s="2">
        <v>2433.0</v>
      </c>
      <c r="H2703" s="2" t="s">
        <v>5906</v>
      </c>
      <c r="I2703" s="2" t="s">
        <v>5906</v>
      </c>
      <c r="J2703" s="2" t="s">
        <v>5391</v>
      </c>
      <c r="K2703" s="2" t="s">
        <v>26773</v>
      </c>
      <c r="L2703" s="10" t="s">
        <v>26774</v>
      </c>
    </row>
    <row r="2704">
      <c r="A2704" s="2" t="s">
        <v>3766</v>
      </c>
      <c r="B2704" s="2" t="s">
        <v>26775</v>
      </c>
      <c r="C2704" s="2">
        <v>3.0809215316E10</v>
      </c>
      <c r="D2704" s="2" t="s">
        <v>26776</v>
      </c>
      <c r="E2704" s="2">
        <v>95605.0</v>
      </c>
      <c r="F2704" s="2">
        <v>26.0</v>
      </c>
      <c r="G2704" s="2">
        <v>1253.0</v>
      </c>
      <c r="H2704" s="2" t="s">
        <v>5906</v>
      </c>
      <c r="I2704" s="2" t="s">
        <v>5906</v>
      </c>
      <c r="J2704" s="2" t="s">
        <v>13645</v>
      </c>
      <c r="K2704" s="2" t="s">
        <v>26777</v>
      </c>
      <c r="L2704" s="10" t="s">
        <v>26778</v>
      </c>
    </row>
    <row r="2705">
      <c r="A2705" s="2" t="s">
        <v>3766</v>
      </c>
      <c r="B2705" s="2" t="s">
        <v>26779</v>
      </c>
      <c r="C2705" s="2">
        <v>3.1008037743E10</v>
      </c>
      <c r="D2705" s="2" t="s">
        <v>26730</v>
      </c>
      <c r="E2705" s="2">
        <v>160065.0</v>
      </c>
      <c r="F2705" s="2">
        <v>14.0</v>
      </c>
      <c r="G2705" s="2">
        <v>1585.0</v>
      </c>
      <c r="H2705" s="2" t="s">
        <v>5906</v>
      </c>
      <c r="I2705" s="2" t="s">
        <v>5906</v>
      </c>
      <c r="J2705" s="2" t="s">
        <v>13645</v>
      </c>
      <c r="K2705" s="2" t="s">
        <v>26780</v>
      </c>
      <c r="L2705" s="10" t="s">
        <v>26781</v>
      </c>
    </row>
    <row r="2706">
      <c r="A2706" s="2" t="s">
        <v>3766</v>
      </c>
      <c r="B2706" s="2" t="s">
        <v>26782</v>
      </c>
      <c r="C2706" s="2">
        <v>5.6976095373E10</v>
      </c>
      <c r="D2706" s="2" t="s">
        <v>26783</v>
      </c>
      <c r="E2706" s="2">
        <v>160225.0</v>
      </c>
      <c r="F2706" s="2">
        <v>9.0</v>
      </c>
      <c r="G2706" s="2">
        <v>4455.0</v>
      </c>
      <c r="H2706" s="2" t="s">
        <v>5906</v>
      </c>
      <c r="I2706" s="2" t="s">
        <v>5906</v>
      </c>
      <c r="J2706" s="2" t="s">
        <v>18477</v>
      </c>
      <c r="K2706" s="2" t="s">
        <v>26784</v>
      </c>
      <c r="L2706" s="10" t="s">
        <v>26785</v>
      </c>
    </row>
    <row r="2707">
      <c r="A2707" s="2" t="s">
        <v>4442</v>
      </c>
      <c r="B2707" s="2" t="s">
        <v>26786</v>
      </c>
      <c r="C2707" s="2">
        <v>2.284841947E9</v>
      </c>
      <c r="D2707" s="2" t="s">
        <v>26787</v>
      </c>
      <c r="E2707" s="2">
        <v>1013589.0</v>
      </c>
      <c r="F2707" s="2">
        <v>492.0</v>
      </c>
      <c r="G2707" s="2">
        <v>1576.0</v>
      </c>
      <c r="H2707" s="2" t="s">
        <v>5906</v>
      </c>
      <c r="I2707" s="2" t="s">
        <v>5905</v>
      </c>
      <c r="J2707" s="2" t="s">
        <v>5959</v>
      </c>
      <c r="K2707" s="2" t="s">
        <v>26788</v>
      </c>
      <c r="L2707" s="10" t="s">
        <v>26789</v>
      </c>
    </row>
    <row r="2708">
      <c r="A2708" s="2" t="s">
        <v>4442</v>
      </c>
      <c r="B2708" s="2" t="s">
        <v>26790</v>
      </c>
      <c r="C2708" s="2">
        <v>8.715700098E9</v>
      </c>
      <c r="D2708" s="2" t="s">
        <v>26791</v>
      </c>
      <c r="E2708" s="2">
        <v>453514.0</v>
      </c>
      <c r="F2708" s="2">
        <v>0.0</v>
      </c>
      <c r="G2708" s="2">
        <v>1173.0</v>
      </c>
      <c r="H2708" s="2" t="s">
        <v>5906</v>
      </c>
      <c r="I2708" s="2" t="s">
        <v>5905</v>
      </c>
      <c r="J2708" s="2" t="s">
        <v>7140</v>
      </c>
      <c r="K2708" s="2" t="s">
        <v>26792</v>
      </c>
    </row>
    <row r="2709">
      <c r="A2709" s="2" t="s">
        <v>4442</v>
      </c>
      <c r="B2709" s="2" t="s">
        <v>26793</v>
      </c>
      <c r="C2709" s="2">
        <v>5.7151507789E10</v>
      </c>
      <c r="D2709" s="2" t="s">
        <v>26794</v>
      </c>
      <c r="E2709" s="2">
        <v>93062.0</v>
      </c>
      <c r="F2709" s="2">
        <v>1474.0</v>
      </c>
      <c r="G2709" s="2">
        <v>568.0</v>
      </c>
      <c r="H2709" s="2" t="s">
        <v>5906</v>
      </c>
      <c r="I2709" s="2" t="s">
        <v>5905</v>
      </c>
      <c r="J2709" s="2" t="s">
        <v>6699</v>
      </c>
      <c r="K2709" s="2" t="s">
        <v>26795</v>
      </c>
      <c r="L2709" s="10" t="s">
        <v>26796</v>
      </c>
    </row>
    <row r="2710">
      <c r="A2710" s="2" t="s">
        <v>4442</v>
      </c>
      <c r="B2710" s="2" t="s">
        <v>26797</v>
      </c>
      <c r="C2710" s="2">
        <v>3.9883061246E10</v>
      </c>
      <c r="D2710" s="2" t="s">
        <v>26798</v>
      </c>
      <c r="E2710" s="2">
        <v>190622.0</v>
      </c>
      <c r="F2710" s="2">
        <v>286.0</v>
      </c>
      <c r="G2710" s="2">
        <v>542.0</v>
      </c>
      <c r="H2710" s="2" t="s">
        <v>5905</v>
      </c>
      <c r="I2710" s="2" t="s">
        <v>5905</v>
      </c>
      <c r="J2710" s="2" t="s">
        <v>5959</v>
      </c>
      <c r="K2710" s="2" t="s">
        <v>26799</v>
      </c>
      <c r="L2710" s="10" t="s">
        <v>26800</v>
      </c>
    </row>
    <row r="2711">
      <c r="A2711" s="2" t="s">
        <v>4442</v>
      </c>
      <c r="B2711" s="2" t="s">
        <v>26801</v>
      </c>
      <c r="C2711" s="2">
        <v>3.3145927493E10</v>
      </c>
      <c r="D2711" s="2" t="s">
        <v>26802</v>
      </c>
      <c r="E2711" s="2">
        <v>257175.0</v>
      </c>
      <c r="F2711" s="2">
        <v>1799.0</v>
      </c>
      <c r="G2711" s="2">
        <v>402.0</v>
      </c>
      <c r="H2711" s="2" t="s">
        <v>5905</v>
      </c>
      <c r="I2711" s="2" t="s">
        <v>5905</v>
      </c>
      <c r="J2711" s="2" t="s">
        <v>6472</v>
      </c>
      <c r="K2711" s="2" t="s">
        <v>26803</v>
      </c>
      <c r="L2711" s="10" t="s">
        <v>26804</v>
      </c>
    </row>
    <row r="2712">
      <c r="A2712" s="2" t="s">
        <v>4442</v>
      </c>
      <c r="B2712" s="2" t="s">
        <v>26805</v>
      </c>
      <c r="C2712" s="2">
        <v>4.947648586E9</v>
      </c>
      <c r="D2712" s="2" t="s">
        <v>26806</v>
      </c>
      <c r="E2712" s="2">
        <v>1915786.0</v>
      </c>
      <c r="F2712" s="2">
        <v>30.0</v>
      </c>
      <c r="G2712" s="2">
        <v>325.0</v>
      </c>
      <c r="H2712" s="2" t="s">
        <v>5906</v>
      </c>
      <c r="I2712" s="2" t="s">
        <v>5906</v>
      </c>
      <c r="K2712" s="2" t="s">
        <v>26807</v>
      </c>
      <c r="L2712" s="10" t="s">
        <v>26808</v>
      </c>
    </row>
    <row r="2713">
      <c r="A2713" s="2" t="s">
        <v>4442</v>
      </c>
      <c r="B2713" s="2" t="s">
        <v>26809</v>
      </c>
      <c r="C2713" s="2">
        <v>7.061845533E9</v>
      </c>
      <c r="D2713" s="2" t="s">
        <v>26810</v>
      </c>
      <c r="E2713" s="2">
        <v>306133.0</v>
      </c>
      <c r="F2713" s="2">
        <v>519.0</v>
      </c>
      <c r="G2713" s="2">
        <v>1580.0</v>
      </c>
      <c r="H2713" s="2" t="s">
        <v>5906</v>
      </c>
      <c r="I2713" s="2" t="s">
        <v>5906</v>
      </c>
      <c r="J2713" s="2" t="s">
        <v>5959</v>
      </c>
      <c r="K2713" s="2" t="s">
        <v>26811</v>
      </c>
      <c r="L2713" s="10" t="s">
        <v>26812</v>
      </c>
    </row>
    <row r="2714">
      <c r="A2714" s="2" t="s">
        <v>4442</v>
      </c>
      <c r="B2714" s="2" t="s">
        <v>4442</v>
      </c>
      <c r="C2714" s="2">
        <v>1.397986493E9</v>
      </c>
      <c r="D2714" s="2" t="s">
        <v>26813</v>
      </c>
      <c r="E2714" s="2">
        <v>90310.0</v>
      </c>
      <c r="F2714" s="2">
        <v>21.0</v>
      </c>
      <c r="G2714" s="2">
        <v>61.0</v>
      </c>
      <c r="H2714" s="2" t="s">
        <v>5905</v>
      </c>
      <c r="I2714" s="2" t="s">
        <v>5905</v>
      </c>
      <c r="K2714" s="2" t="s">
        <v>26814</v>
      </c>
    </row>
    <row r="2715">
      <c r="A2715" s="2" t="s">
        <v>4442</v>
      </c>
      <c r="B2715" s="2" t="s">
        <v>26815</v>
      </c>
      <c r="C2715" s="2">
        <v>2.54047571E8</v>
      </c>
      <c r="D2715" s="2" t="s">
        <v>26816</v>
      </c>
      <c r="E2715" s="2">
        <v>92295.0</v>
      </c>
      <c r="F2715" s="2">
        <v>5.0</v>
      </c>
      <c r="G2715" s="2">
        <v>16801.0</v>
      </c>
      <c r="H2715" s="2" t="s">
        <v>5905</v>
      </c>
      <c r="I2715" s="2" t="s">
        <v>5906</v>
      </c>
      <c r="K2715" s="2" t="s">
        <v>26817</v>
      </c>
      <c r="L2715" s="10" t="s">
        <v>26818</v>
      </c>
    </row>
    <row r="2716">
      <c r="A2716" s="2" t="s">
        <v>4442</v>
      </c>
      <c r="B2716" s="2" t="s">
        <v>26819</v>
      </c>
      <c r="C2716" s="2">
        <v>2.7679122759E10</v>
      </c>
      <c r="D2716" s="2" t="s">
        <v>26820</v>
      </c>
      <c r="E2716" s="2">
        <v>28223.0</v>
      </c>
      <c r="F2716" s="2">
        <v>347.0</v>
      </c>
      <c r="G2716" s="2">
        <v>531.0</v>
      </c>
      <c r="H2716" s="2" t="s">
        <v>5905</v>
      </c>
      <c r="I2716" s="2" t="s">
        <v>5905</v>
      </c>
      <c r="J2716" s="2" t="s">
        <v>17630</v>
      </c>
      <c r="K2716" s="2" t="s">
        <v>26821</v>
      </c>
    </row>
    <row r="2717">
      <c r="A2717" s="2" t="s">
        <v>4442</v>
      </c>
      <c r="B2717" s="2" t="s">
        <v>26822</v>
      </c>
      <c r="C2717" s="2">
        <v>1.03440294E9</v>
      </c>
      <c r="D2717" s="2" t="s">
        <v>26823</v>
      </c>
      <c r="E2717" s="2">
        <v>210516.0</v>
      </c>
      <c r="F2717" s="2">
        <v>531.0</v>
      </c>
      <c r="G2717" s="2">
        <v>1470.0</v>
      </c>
      <c r="H2717" s="2" t="s">
        <v>5906</v>
      </c>
      <c r="I2717" s="2" t="s">
        <v>5906</v>
      </c>
      <c r="K2717" s="2" t="s">
        <v>26824</v>
      </c>
      <c r="L2717" s="10" t="s">
        <v>26825</v>
      </c>
    </row>
    <row r="2718">
      <c r="A2718" s="2" t="s">
        <v>4442</v>
      </c>
      <c r="B2718" s="2" t="s">
        <v>26826</v>
      </c>
      <c r="C2718" s="2">
        <v>2.85198298E8</v>
      </c>
      <c r="D2718" s="2" t="s">
        <v>26827</v>
      </c>
      <c r="E2718" s="2">
        <v>90839.0</v>
      </c>
      <c r="F2718" s="2">
        <v>1125.0</v>
      </c>
      <c r="G2718" s="2">
        <v>2501.0</v>
      </c>
      <c r="H2718" s="2" t="s">
        <v>5906</v>
      </c>
      <c r="I2718" s="2" t="s">
        <v>5906</v>
      </c>
      <c r="J2718" s="2" t="s">
        <v>5492</v>
      </c>
      <c r="K2718" s="2" t="s">
        <v>26828</v>
      </c>
      <c r="L2718" s="10" t="s">
        <v>26829</v>
      </c>
    </row>
    <row r="2719">
      <c r="A2719" s="2" t="s">
        <v>4508</v>
      </c>
      <c r="B2719" s="2" t="s">
        <v>26830</v>
      </c>
      <c r="C2719" s="2">
        <v>3.2350728987E10</v>
      </c>
      <c r="D2719" s="2" t="s">
        <v>26831</v>
      </c>
      <c r="E2719" s="2">
        <v>345099.0</v>
      </c>
      <c r="F2719" s="2">
        <v>94.0</v>
      </c>
      <c r="G2719" s="2">
        <v>710.0</v>
      </c>
      <c r="H2719" s="2" t="s">
        <v>5905</v>
      </c>
      <c r="I2719" s="2" t="s">
        <v>5906</v>
      </c>
      <c r="J2719" s="2" t="s">
        <v>5928</v>
      </c>
      <c r="K2719" s="2" t="s">
        <v>26832</v>
      </c>
      <c r="L2719" s="10" t="s">
        <v>26833</v>
      </c>
    </row>
    <row r="2720">
      <c r="A2720" s="2" t="s">
        <v>4508</v>
      </c>
      <c r="B2720" s="2" t="s">
        <v>26834</v>
      </c>
      <c r="C2720" s="2">
        <v>1.237281664E9</v>
      </c>
      <c r="D2720" s="2" t="s">
        <v>26835</v>
      </c>
      <c r="E2720" s="2">
        <v>1392109.0</v>
      </c>
      <c r="F2720" s="2">
        <v>15.0</v>
      </c>
      <c r="G2720" s="2">
        <v>10339.0</v>
      </c>
      <c r="H2720" s="2" t="s">
        <v>5905</v>
      </c>
      <c r="I2720" s="2" t="s">
        <v>5906</v>
      </c>
      <c r="J2720" s="2" t="s">
        <v>10769</v>
      </c>
      <c r="K2720" s="12" t="s">
        <v>26836</v>
      </c>
      <c r="L2720" s="10" t="s">
        <v>26837</v>
      </c>
    </row>
    <row r="2721">
      <c r="A2721" s="2" t="s">
        <v>4508</v>
      </c>
      <c r="B2721" s="2" t="s">
        <v>26838</v>
      </c>
      <c r="C2721" s="2">
        <v>5.9417345408E10</v>
      </c>
      <c r="D2721" s="2" t="s">
        <v>26839</v>
      </c>
      <c r="E2721" s="2">
        <v>241916.0</v>
      </c>
      <c r="F2721" s="2">
        <v>523.0</v>
      </c>
      <c r="G2721" s="2">
        <v>122.0</v>
      </c>
      <c r="H2721" s="2" t="s">
        <v>5905</v>
      </c>
      <c r="I2721" s="2" t="s">
        <v>5906</v>
      </c>
      <c r="J2721" s="2" t="s">
        <v>5391</v>
      </c>
      <c r="K2721" s="2" t="s">
        <v>26840</v>
      </c>
      <c r="L2721" s="10" t="s">
        <v>26841</v>
      </c>
    </row>
    <row r="2722">
      <c r="A2722" s="2" t="s">
        <v>4508</v>
      </c>
      <c r="B2722" s="2" t="s">
        <v>26842</v>
      </c>
      <c r="C2722" s="2">
        <v>1.684102154E9</v>
      </c>
      <c r="D2722" s="2" t="s">
        <v>26843</v>
      </c>
      <c r="E2722" s="2">
        <v>5550592.0</v>
      </c>
      <c r="F2722" s="2">
        <v>1802.0</v>
      </c>
      <c r="G2722" s="2">
        <v>9713.0</v>
      </c>
      <c r="H2722" s="2" t="s">
        <v>5906</v>
      </c>
      <c r="I2722" s="2" t="s">
        <v>5906</v>
      </c>
      <c r="K2722" s="2" t="s">
        <v>26844</v>
      </c>
    </row>
    <row r="2723">
      <c r="A2723" s="2" t="s">
        <v>4508</v>
      </c>
      <c r="B2723" s="2" t="s">
        <v>26845</v>
      </c>
      <c r="C2723" s="2">
        <v>4.179001008E9</v>
      </c>
      <c r="D2723" s="2" t="s">
        <v>26846</v>
      </c>
      <c r="E2723" s="2">
        <v>4552285.0</v>
      </c>
      <c r="F2723" s="2">
        <v>396.0</v>
      </c>
      <c r="G2723" s="2">
        <v>6815.0</v>
      </c>
      <c r="H2723" s="2" t="s">
        <v>5906</v>
      </c>
      <c r="I2723" s="2" t="s">
        <v>5906</v>
      </c>
      <c r="J2723" s="2" t="s">
        <v>6002</v>
      </c>
      <c r="K2723" s="2" t="s">
        <v>26847</v>
      </c>
      <c r="L2723" s="10" t="s">
        <v>26848</v>
      </c>
    </row>
    <row r="2724">
      <c r="A2724" s="2" t="s">
        <v>4508</v>
      </c>
      <c r="B2724" s="2" t="s">
        <v>26849</v>
      </c>
      <c r="C2724" s="2">
        <v>4.1694908E9</v>
      </c>
      <c r="D2724" s="2" t="s">
        <v>26850</v>
      </c>
      <c r="E2724" s="2">
        <v>649060.0</v>
      </c>
      <c r="F2724" s="2">
        <v>534.0</v>
      </c>
      <c r="G2724" s="2">
        <v>5557.0</v>
      </c>
      <c r="H2724" s="2" t="s">
        <v>5906</v>
      </c>
      <c r="I2724" s="2" t="s">
        <v>5906</v>
      </c>
      <c r="J2724" s="2" t="s">
        <v>5936</v>
      </c>
      <c r="K2724" s="2" t="s">
        <v>26851</v>
      </c>
      <c r="L2724" s="10" t="s">
        <v>26852</v>
      </c>
    </row>
    <row r="2725">
      <c r="A2725" s="2" t="s">
        <v>4508</v>
      </c>
      <c r="B2725" s="2" t="s">
        <v>26853</v>
      </c>
      <c r="C2725" s="2">
        <v>5.791420839E9</v>
      </c>
      <c r="D2725" s="2" t="s">
        <v>26854</v>
      </c>
      <c r="E2725" s="2">
        <v>10753.0</v>
      </c>
      <c r="F2725" s="2">
        <v>8.0</v>
      </c>
      <c r="G2725" s="2">
        <v>274.0</v>
      </c>
      <c r="H2725" s="2" t="s">
        <v>5905</v>
      </c>
      <c r="I2725" s="2" t="s">
        <v>5905</v>
      </c>
      <c r="J2725" s="2" t="s">
        <v>5928</v>
      </c>
      <c r="L2725" s="10" t="s">
        <v>26855</v>
      </c>
    </row>
    <row r="2726">
      <c r="A2726" s="2" t="s">
        <v>4508</v>
      </c>
      <c r="B2726" s="2" t="s">
        <v>26856</v>
      </c>
      <c r="C2726" s="2">
        <v>1.5942727651E10</v>
      </c>
      <c r="D2726" s="2" t="s">
        <v>26856</v>
      </c>
      <c r="E2726" s="2">
        <v>277100.0</v>
      </c>
      <c r="F2726" s="2">
        <v>514.0</v>
      </c>
      <c r="G2726" s="2">
        <v>5104.0</v>
      </c>
      <c r="H2726" s="2" t="s">
        <v>5905</v>
      </c>
      <c r="I2726" s="2" t="s">
        <v>5905</v>
      </c>
      <c r="K2726" s="2" t="s">
        <v>26857</v>
      </c>
    </row>
    <row r="2727">
      <c r="A2727" s="2" t="s">
        <v>4508</v>
      </c>
      <c r="B2727" s="2" t="s">
        <v>26858</v>
      </c>
      <c r="C2727" s="2">
        <v>2.315458306E9</v>
      </c>
      <c r="D2727" s="2" t="s">
        <v>26859</v>
      </c>
      <c r="E2727" s="2">
        <v>699549.0</v>
      </c>
      <c r="F2727" s="2">
        <v>54.0</v>
      </c>
      <c r="G2727" s="2">
        <v>8900.0</v>
      </c>
      <c r="H2727" s="2" t="s">
        <v>5906</v>
      </c>
      <c r="I2727" s="2" t="s">
        <v>5906</v>
      </c>
      <c r="J2727" s="2" t="s">
        <v>6002</v>
      </c>
      <c r="K2727" s="2" t="s">
        <v>26860</v>
      </c>
      <c r="L2727" s="10" t="s">
        <v>26861</v>
      </c>
    </row>
    <row r="2728">
      <c r="A2728" s="2" t="s">
        <v>4508</v>
      </c>
      <c r="B2728" s="2" t="s">
        <v>4508</v>
      </c>
      <c r="C2728" s="2">
        <v>4.015450521E9</v>
      </c>
      <c r="D2728" s="2" t="s">
        <v>26862</v>
      </c>
      <c r="E2728" s="2">
        <v>56135.0</v>
      </c>
      <c r="F2728" s="2">
        <v>2.0</v>
      </c>
      <c r="G2728" s="2">
        <v>11.0</v>
      </c>
      <c r="H2728" s="2" t="s">
        <v>5905</v>
      </c>
      <c r="I2728" s="2" t="s">
        <v>5906</v>
      </c>
      <c r="J2728" s="2" t="s">
        <v>5928</v>
      </c>
      <c r="K2728" s="2" t="s">
        <v>26863</v>
      </c>
      <c r="L2728" s="10" t="s">
        <v>26864</v>
      </c>
    </row>
    <row r="2729">
      <c r="A2729" s="2" t="s">
        <v>4508</v>
      </c>
      <c r="B2729" s="2" t="s">
        <v>26865</v>
      </c>
      <c r="C2729" s="2">
        <v>1.495981427E9</v>
      </c>
      <c r="D2729" s="12" t="s">
        <v>26866</v>
      </c>
      <c r="E2729" s="2">
        <v>1227014.0</v>
      </c>
      <c r="F2729" s="2">
        <v>11.0</v>
      </c>
      <c r="G2729" s="2">
        <v>7645.0</v>
      </c>
      <c r="H2729" s="2" t="s">
        <v>5905</v>
      </c>
      <c r="I2729" s="2" t="s">
        <v>5905</v>
      </c>
      <c r="J2729" s="2" t="s">
        <v>6032</v>
      </c>
      <c r="K2729" s="12" t="s">
        <v>26867</v>
      </c>
      <c r="L2729" s="10" t="s">
        <v>26868</v>
      </c>
    </row>
    <row r="2730">
      <c r="A2730" s="2" t="s">
        <v>4508</v>
      </c>
      <c r="B2730" s="2" t="s">
        <v>26869</v>
      </c>
      <c r="C2730" s="2">
        <v>1.978996631E9</v>
      </c>
      <c r="D2730" s="2" t="s">
        <v>26870</v>
      </c>
      <c r="E2730" s="2">
        <v>1097601.0</v>
      </c>
      <c r="F2730" s="2">
        <v>5.0</v>
      </c>
      <c r="G2730" s="2">
        <v>201.0</v>
      </c>
      <c r="H2730" s="2" t="s">
        <v>5905</v>
      </c>
      <c r="I2730" s="2" t="s">
        <v>5905</v>
      </c>
      <c r="J2730" s="2" t="s">
        <v>6882</v>
      </c>
      <c r="K2730" s="2" t="s">
        <v>26871</v>
      </c>
    </row>
    <row r="2731">
      <c r="A2731" s="2" t="s">
        <v>4508</v>
      </c>
      <c r="B2731" s="2" t="s">
        <v>26872</v>
      </c>
      <c r="C2731" s="2">
        <v>4.9962198896E10</v>
      </c>
      <c r="D2731" s="2" t="s">
        <v>26873</v>
      </c>
      <c r="E2731" s="2">
        <v>413438.0</v>
      </c>
      <c r="F2731" s="2">
        <v>156.0</v>
      </c>
      <c r="G2731" s="2">
        <v>2691.0</v>
      </c>
      <c r="H2731" s="2" t="s">
        <v>5906</v>
      </c>
      <c r="I2731" s="2" t="s">
        <v>5905</v>
      </c>
      <c r="J2731" s="2" t="s">
        <v>5959</v>
      </c>
      <c r="K2731" s="2" t="s">
        <v>26874</v>
      </c>
      <c r="L2731" s="10" t="s">
        <v>26875</v>
      </c>
    </row>
    <row r="2732">
      <c r="A2732" s="2" t="s">
        <v>4508</v>
      </c>
      <c r="B2732" s="2" t="s">
        <v>26876</v>
      </c>
      <c r="C2732" s="2">
        <v>1.702878082E9</v>
      </c>
      <c r="D2732" s="2" t="s">
        <v>26877</v>
      </c>
      <c r="E2732" s="2">
        <v>2520022.0</v>
      </c>
      <c r="F2732" s="2">
        <v>0.0</v>
      </c>
      <c r="G2732" s="2">
        <v>187.0</v>
      </c>
      <c r="H2732" s="2" t="s">
        <v>5905</v>
      </c>
      <c r="I2732" s="2" t="s">
        <v>5905</v>
      </c>
      <c r="J2732" s="2" t="s">
        <v>6856</v>
      </c>
      <c r="K2732" s="2" t="s">
        <v>26878</v>
      </c>
      <c r="L2732" s="10" t="s">
        <v>26879</v>
      </c>
    </row>
    <row r="2733">
      <c r="A2733" s="2" t="s">
        <v>4508</v>
      </c>
      <c r="B2733" s="2" t="s">
        <v>26880</v>
      </c>
      <c r="C2733" s="2">
        <v>2.98274409E8</v>
      </c>
      <c r="D2733" s="2" t="s">
        <v>26881</v>
      </c>
      <c r="E2733" s="2">
        <v>4790126.0</v>
      </c>
      <c r="F2733" s="2">
        <v>379.0</v>
      </c>
      <c r="G2733" s="2">
        <v>237.0</v>
      </c>
      <c r="H2733" s="2" t="s">
        <v>5906</v>
      </c>
      <c r="I2733" s="2" t="s">
        <v>5905</v>
      </c>
      <c r="J2733" s="2" t="s">
        <v>15247</v>
      </c>
      <c r="K2733" s="2" t="s">
        <v>26882</v>
      </c>
      <c r="L2733" s="10" t="s">
        <v>26883</v>
      </c>
    </row>
    <row r="2734">
      <c r="A2734" s="2" t="s">
        <v>4508</v>
      </c>
      <c r="B2734" s="2" t="s">
        <v>26884</v>
      </c>
      <c r="C2734" s="2">
        <v>4.5920615095E10</v>
      </c>
      <c r="D2734" s="2" t="s">
        <v>26885</v>
      </c>
      <c r="E2734" s="2">
        <v>418522.0</v>
      </c>
      <c r="F2734" s="2">
        <v>87.0</v>
      </c>
      <c r="G2734" s="2">
        <v>2650.0</v>
      </c>
      <c r="H2734" s="2" t="s">
        <v>5906</v>
      </c>
      <c r="I2734" s="2" t="s">
        <v>5905</v>
      </c>
      <c r="J2734" s="2" t="s">
        <v>5928</v>
      </c>
      <c r="K2734" s="2" t="s">
        <v>26886</v>
      </c>
      <c r="L2734" s="10" t="s">
        <v>26887</v>
      </c>
    </row>
    <row r="2735">
      <c r="A2735" s="2" t="s">
        <v>4508</v>
      </c>
      <c r="B2735" s="2" t="s">
        <v>26888</v>
      </c>
      <c r="C2735" s="2">
        <v>3.557305087E9</v>
      </c>
      <c r="D2735" s="2" t="s">
        <v>26889</v>
      </c>
      <c r="E2735" s="2">
        <v>1872841.0</v>
      </c>
      <c r="F2735" s="2">
        <v>994.0</v>
      </c>
      <c r="G2735" s="2">
        <v>1628.0</v>
      </c>
      <c r="H2735" s="2" t="s">
        <v>5906</v>
      </c>
      <c r="I2735" s="2" t="s">
        <v>5906</v>
      </c>
      <c r="K2735" s="2" t="s">
        <v>26890</v>
      </c>
    </row>
    <row r="2736">
      <c r="A2736" s="2" t="s">
        <v>4508</v>
      </c>
      <c r="B2736" s="2" t="s">
        <v>26891</v>
      </c>
      <c r="C2736" s="2">
        <v>1.564117978E9</v>
      </c>
      <c r="D2736" s="2" t="s">
        <v>16099</v>
      </c>
      <c r="E2736" s="2">
        <v>1.0952449E7</v>
      </c>
      <c r="F2736" s="2">
        <v>500.0</v>
      </c>
      <c r="G2736" s="2">
        <v>4676.0</v>
      </c>
      <c r="H2736" s="2" t="s">
        <v>5905</v>
      </c>
      <c r="I2736" s="2" t="s">
        <v>5905</v>
      </c>
      <c r="K2736" s="2" t="s">
        <v>26892</v>
      </c>
    </row>
    <row r="2737">
      <c r="A2737" s="2" t="s">
        <v>3713</v>
      </c>
      <c r="B2737" s="2" t="s">
        <v>26893</v>
      </c>
      <c r="C2737" s="2">
        <v>2.065569803E9</v>
      </c>
      <c r="D2737" s="2" t="s">
        <v>26894</v>
      </c>
      <c r="E2737" s="2">
        <v>18122.0</v>
      </c>
      <c r="F2737" s="2">
        <v>385.0</v>
      </c>
      <c r="G2737" s="2">
        <v>386.0</v>
      </c>
      <c r="H2737" s="2" t="s">
        <v>5905</v>
      </c>
      <c r="I2737" s="2" t="s">
        <v>5906</v>
      </c>
      <c r="J2737" s="2" t="s">
        <v>8620</v>
      </c>
      <c r="K2737" s="2" t="s">
        <v>26895</v>
      </c>
    </row>
    <row r="2738">
      <c r="A2738" s="2" t="s">
        <v>3713</v>
      </c>
      <c r="B2738" s="2" t="s">
        <v>26896</v>
      </c>
      <c r="C2738" s="2">
        <v>5.576907123E9</v>
      </c>
      <c r="D2738" s="2" t="s">
        <v>26897</v>
      </c>
      <c r="E2738" s="2">
        <v>22376.0</v>
      </c>
      <c r="F2738" s="2">
        <v>80.0</v>
      </c>
      <c r="G2738" s="2">
        <v>1794.0</v>
      </c>
      <c r="H2738" s="2" t="s">
        <v>5905</v>
      </c>
      <c r="I2738" s="2" t="s">
        <v>5906</v>
      </c>
      <c r="J2738" s="2" t="s">
        <v>6002</v>
      </c>
      <c r="K2738" s="2" t="s">
        <v>26898</v>
      </c>
      <c r="L2738" s="10" t="s">
        <v>26899</v>
      </c>
    </row>
    <row r="2739">
      <c r="A2739" s="2" t="s">
        <v>3713</v>
      </c>
      <c r="B2739" s="2" t="s">
        <v>26900</v>
      </c>
      <c r="C2739" s="2">
        <v>1.1300495E7</v>
      </c>
      <c r="D2739" s="2" t="s">
        <v>26901</v>
      </c>
      <c r="E2739" s="2">
        <v>513940.0</v>
      </c>
      <c r="F2739" s="2">
        <v>76.0</v>
      </c>
      <c r="G2739" s="2">
        <v>4284.0</v>
      </c>
      <c r="H2739" s="2" t="s">
        <v>5905</v>
      </c>
      <c r="I2739" s="2" t="s">
        <v>5906</v>
      </c>
      <c r="J2739" s="2" t="s">
        <v>6882</v>
      </c>
      <c r="K2739" s="2" t="s">
        <v>26902</v>
      </c>
      <c r="L2739" s="10" t="s">
        <v>26903</v>
      </c>
    </row>
    <row r="2740">
      <c r="A2740" s="2" t="s">
        <v>3713</v>
      </c>
      <c r="B2740" s="2" t="s">
        <v>26904</v>
      </c>
      <c r="C2740" s="2">
        <v>6.62147466E8</v>
      </c>
      <c r="D2740" s="2" t="s">
        <v>26905</v>
      </c>
      <c r="E2740" s="2">
        <v>76454.0</v>
      </c>
      <c r="F2740" s="2">
        <v>56.0</v>
      </c>
      <c r="G2740" s="2">
        <v>24780.0</v>
      </c>
      <c r="H2740" s="2" t="s">
        <v>5905</v>
      </c>
      <c r="I2740" s="2" t="s">
        <v>5906</v>
      </c>
      <c r="K2740" s="2" t="s">
        <v>26906</v>
      </c>
    </row>
    <row r="2741">
      <c r="A2741" s="2" t="s">
        <v>3713</v>
      </c>
      <c r="B2741" s="2" t="s">
        <v>26907</v>
      </c>
      <c r="C2741" s="2">
        <v>1.353925265E10</v>
      </c>
      <c r="D2741" s="2" t="s">
        <v>26908</v>
      </c>
      <c r="E2741" s="2">
        <v>46380.0</v>
      </c>
      <c r="F2741" s="2">
        <v>184.0</v>
      </c>
      <c r="G2741" s="2">
        <v>1822.0</v>
      </c>
      <c r="H2741" s="2" t="s">
        <v>5905</v>
      </c>
      <c r="I2741" s="2" t="s">
        <v>5906</v>
      </c>
      <c r="J2741" s="2" t="s">
        <v>5391</v>
      </c>
      <c r="K2741" s="2" t="s">
        <v>26909</v>
      </c>
      <c r="L2741" s="10" t="s">
        <v>26910</v>
      </c>
    </row>
    <row r="2742">
      <c r="A2742" s="2" t="s">
        <v>3713</v>
      </c>
      <c r="B2742" s="2" t="s">
        <v>26911</v>
      </c>
      <c r="C2742" s="2">
        <v>6.7055365E10</v>
      </c>
      <c r="D2742" s="2" t="s">
        <v>26912</v>
      </c>
      <c r="E2742" s="2">
        <v>26256.0</v>
      </c>
      <c r="F2742" s="2">
        <v>85.0</v>
      </c>
      <c r="G2742" s="2">
        <v>203.0</v>
      </c>
      <c r="H2742" s="2" t="s">
        <v>5905</v>
      </c>
      <c r="I2742" s="2" t="s">
        <v>5905</v>
      </c>
      <c r="J2742" s="2" t="s">
        <v>5928</v>
      </c>
      <c r="K2742" s="2" t="s">
        <v>26913</v>
      </c>
      <c r="L2742" s="10" t="s">
        <v>26914</v>
      </c>
    </row>
    <row r="2743">
      <c r="A2743" s="2" t="s">
        <v>4729</v>
      </c>
      <c r="B2743" s="2" t="s">
        <v>26915</v>
      </c>
      <c r="C2743" s="2">
        <v>3.629391912E9</v>
      </c>
      <c r="D2743" s="2" t="s">
        <v>26916</v>
      </c>
      <c r="E2743" s="2">
        <v>24690.0</v>
      </c>
      <c r="F2743" s="2">
        <v>1974.0</v>
      </c>
      <c r="G2743" s="2">
        <v>168.0</v>
      </c>
      <c r="H2743" s="2" t="s">
        <v>5905</v>
      </c>
      <c r="I2743" s="2" t="s">
        <v>5905</v>
      </c>
      <c r="J2743" s="2" t="s">
        <v>6290</v>
      </c>
      <c r="K2743" s="2" t="s">
        <v>26917</v>
      </c>
      <c r="L2743" s="10" t="s">
        <v>26918</v>
      </c>
    </row>
    <row r="2744">
      <c r="A2744" s="2" t="s">
        <v>4729</v>
      </c>
      <c r="B2744" s="2" t="s">
        <v>26919</v>
      </c>
      <c r="C2744" s="2">
        <v>1.3014645019E10</v>
      </c>
      <c r="D2744" s="2" t="s">
        <v>26920</v>
      </c>
      <c r="E2744" s="2">
        <v>108411.0</v>
      </c>
      <c r="F2744" s="2">
        <v>79.0</v>
      </c>
      <c r="G2744" s="2">
        <v>5.0</v>
      </c>
      <c r="H2744" s="2" t="s">
        <v>5905</v>
      </c>
      <c r="I2744" s="2" t="s">
        <v>5905</v>
      </c>
      <c r="J2744" s="2" t="s">
        <v>5959</v>
      </c>
      <c r="K2744" s="2" t="s">
        <v>26921</v>
      </c>
      <c r="L2744" s="10" t="s">
        <v>26922</v>
      </c>
    </row>
    <row r="2745">
      <c r="A2745" s="2" t="s">
        <v>4729</v>
      </c>
      <c r="B2745" s="2" t="s">
        <v>26923</v>
      </c>
      <c r="C2745" s="2">
        <v>1.1175290193E10</v>
      </c>
      <c r="D2745" s="2" t="s">
        <v>26924</v>
      </c>
      <c r="E2745" s="2">
        <v>452812.0</v>
      </c>
      <c r="F2745" s="2">
        <v>452.0</v>
      </c>
      <c r="G2745" s="2">
        <v>5615.0</v>
      </c>
      <c r="H2745" s="2" t="s">
        <v>5905</v>
      </c>
      <c r="I2745" s="2" t="s">
        <v>5906</v>
      </c>
      <c r="J2745" s="2" t="s">
        <v>15546</v>
      </c>
      <c r="K2745" s="2" t="s">
        <v>26925</v>
      </c>
      <c r="L2745" s="10" t="s">
        <v>26926</v>
      </c>
    </row>
    <row r="2746">
      <c r="A2746" s="2" t="s">
        <v>4755</v>
      </c>
      <c r="B2746" s="2" t="s">
        <v>26927</v>
      </c>
      <c r="C2746" s="2">
        <v>5.5359040843E10</v>
      </c>
      <c r="D2746" s="2" t="s">
        <v>26928</v>
      </c>
      <c r="E2746" s="2">
        <v>50351.0</v>
      </c>
      <c r="F2746" s="2">
        <v>3.0</v>
      </c>
      <c r="G2746" s="2">
        <v>6957.0</v>
      </c>
      <c r="H2746" s="2" t="s">
        <v>5905</v>
      </c>
      <c r="I2746" s="2" t="s">
        <v>5905</v>
      </c>
      <c r="J2746" s="2" t="s">
        <v>6166</v>
      </c>
      <c r="K2746" s="12" t="s">
        <v>26929</v>
      </c>
    </row>
    <row r="2747">
      <c r="A2747" s="2" t="s">
        <v>4483</v>
      </c>
      <c r="B2747" s="2" t="s">
        <v>26930</v>
      </c>
      <c r="C2747" s="2">
        <v>2.912744589E9</v>
      </c>
      <c r="D2747" s="2" t="s">
        <v>26931</v>
      </c>
      <c r="E2747" s="2">
        <v>950255.0</v>
      </c>
      <c r="F2747" s="2">
        <v>3398.0</v>
      </c>
      <c r="G2747" s="2">
        <v>3157.0</v>
      </c>
      <c r="H2747" s="2" t="s">
        <v>5906</v>
      </c>
      <c r="I2747" s="2" t="s">
        <v>5905</v>
      </c>
      <c r="J2747" s="2" t="s">
        <v>5993</v>
      </c>
      <c r="K2747" s="2" t="s">
        <v>26932</v>
      </c>
      <c r="L2747" s="10" t="s">
        <v>26933</v>
      </c>
    </row>
    <row r="2748">
      <c r="A2748" s="2" t="s">
        <v>4483</v>
      </c>
      <c r="B2748" s="2" t="s">
        <v>26934</v>
      </c>
      <c r="C2748" s="2">
        <v>4.0853398E8</v>
      </c>
      <c r="D2748" s="2" t="s">
        <v>26935</v>
      </c>
      <c r="E2748" s="2">
        <v>624019.0</v>
      </c>
      <c r="F2748" s="2">
        <v>1572.0</v>
      </c>
      <c r="G2748" s="2">
        <v>2092.0</v>
      </c>
      <c r="H2748" s="2" t="s">
        <v>5906</v>
      </c>
      <c r="I2748" s="2" t="s">
        <v>5905</v>
      </c>
      <c r="J2748" s="2" t="s">
        <v>6628</v>
      </c>
      <c r="K2748" s="2" t="s">
        <v>26936</v>
      </c>
      <c r="L2748" s="10" t="s">
        <v>26937</v>
      </c>
    </row>
    <row r="2749">
      <c r="A2749" s="2" t="s">
        <v>4483</v>
      </c>
      <c r="B2749" s="2" t="s">
        <v>26938</v>
      </c>
      <c r="C2749" s="2">
        <v>1.503574952E9</v>
      </c>
      <c r="D2749" s="2" t="s">
        <v>26939</v>
      </c>
      <c r="E2749" s="2">
        <v>15921.0</v>
      </c>
      <c r="F2749" s="2">
        <v>4652.0</v>
      </c>
      <c r="G2749" s="2">
        <v>1068.0</v>
      </c>
      <c r="H2749" s="2" t="s">
        <v>5906</v>
      </c>
      <c r="I2749" s="2" t="s">
        <v>5905</v>
      </c>
      <c r="J2749" s="2" t="s">
        <v>6124</v>
      </c>
      <c r="K2749" s="2" t="s">
        <v>26940</v>
      </c>
      <c r="L2749" s="10" t="s">
        <v>26941</v>
      </c>
    </row>
    <row r="2750">
      <c r="A2750" s="2" t="s">
        <v>4483</v>
      </c>
      <c r="B2750" s="2" t="s">
        <v>26942</v>
      </c>
      <c r="C2750" s="2">
        <v>5.55465095E9</v>
      </c>
      <c r="D2750" s="2" t="s">
        <v>26943</v>
      </c>
      <c r="E2750" s="2">
        <v>20655.0</v>
      </c>
      <c r="F2750" s="2">
        <v>166.0</v>
      </c>
      <c r="G2750" s="2">
        <v>1045.0</v>
      </c>
      <c r="H2750" s="2" t="s">
        <v>5905</v>
      </c>
      <c r="I2750" s="2" t="s">
        <v>5906</v>
      </c>
      <c r="J2750" s="2" t="s">
        <v>6628</v>
      </c>
      <c r="K2750" s="2" t="s">
        <v>26944</v>
      </c>
      <c r="L2750" s="10" t="s">
        <v>26945</v>
      </c>
    </row>
    <row r="2751">
      <c r="A2751" s="2" t="s">
        <v>4483</v>
      </c>
      <c r="B2751" s="2" t="s">
        <v>26946</v>
      </c>
      <c r="C2751" s="2">
        <v>2.86674165E8</v>
      </c>
      <c r="D2751" s="2" t="s">
        <v>26947</v>
      </c>
      <c r="E2751" s="2">
        <v>1081337.0</v>
      </c>
      <c r="F2751" s="2">
        <v>767.0</v>
      </c>
      <c r="G2751" s="2">
        <v>1409.0</v>
      </c>
      <c r="H2751" s="2" t="s">
        <v>5906</v>
      </c>
      <c r="I2751" s="2" t="s">
        <v>5905</v>
      </c>
      <c r="J2751" s="2" t="s">
        <v>6628</v>
      </c>
      <c r="K2751" s="2" t="s">
        <v>26948</v>
      </c>
      <c r="L2751" s="10" t="s">
        <v>26949</v>
      </c>
    </row>
    <row r="2752">
      <c r="A2752" s="2" t="s">
        <v>4483</v>
      </c>
      <c r="B2752" s="2" t="s">
        <v>26950</v>
      </c>
      <c r="C2752" s="2">
        <v>2.61146703E8</v>
      </c>
      <c r="D2752" s="2" t="s">
        <v>26951</v>
      </c>
      <c r="E2752" s="2">
        <v>160846.0</v>
      </c>
      <c r="F2752" s="2">
        <v>731.0</v>
      </c>
      <c r="G2752" s="2">
        <v>11807.0</v>
      </c>
      <c r="H2752" s="2" t="s">
        <v>5905</v>
      </c>
      <c r="I2752" s="2" t="s">
        <v>5906</v>
      </c>
      <c r="J2752" s="2" t="s">
        <v>5480</v>
      </c>
      <c r="K2752" s="2" t="s">
        <v>26952</v>
      </c>
      <c r="L2752" s="10" t="s">
        <v>26953</v>
      </c>
    </row>
    <row r="2753">
      <c r="A2753" s="2" t="s">
        <v>4483</v>
      </c>
      <c r="B2753" s="2" t="s">
        <v>26954</v>
      </c>
      <c r="C2753" s="2">
        <v>5.8061923671E10</v>
      </c>
      <c r="D2753" s="2" t="s">
        <v>26955</v>
      </c>
      <c r="E2753" s="2">
        <v>110486.0</v>
      </c>
      <c r="F2753" s="2">
        <v>54.0</v>
      </c>
      <c r="G2753" s="2">
        <v>733.0</v>
      </c>
      <c r="H2753" s="2" t="s">
        <v>5905</v>
      </c>
      <c r="I2753" s="2" t="s">
        <v>5906</v>
      </c>
      <c r="J2753" s="2" t="s">
        <v>5391</v>
      </c>
      <c r="K2753" s="12" t="s">
        <v>26956</v>
      </c>
      <c r="L2753" s="10" t="s">
        <v>26957</v>
      </c>
    </row>
    <row r="2754">
      <c r="A2754" s="2" t="s">
        <v>4483</v>
      </c>
      <c r="B2754" s="10" t="s">
        <v>26958</v>
      </c>
      <c r="C2754" s="2">
        <v>1.192660471E9</v>
      </c>
      <c r="D2754" s="2" t="s">
        <v>26959</v>
      </c>
      <c r="E2754" s="2">
        <v>699519.0</v>
      </c>
      <c r="F2754" s="2">
        <v>1161.0</v>
      </c>
      <c r="G2754" s="2">
        <v>1165.0</v>
      </c>
      <c r="H2754" s="2" t="s">
        <v>5906</v>
      </c>
      <c r="I2754" s="2" t="s">
        <v>5906</v>
      </c>
      <c r="J2754" s="2" t="s">
        <v>6124</v>
      </c>
      <c r="K2754" s="2" t="s">
        <v>26960</v>
      </c>
      <c r="L2754" s="10" t="s">
        <v>26961</v>
      </c>
    </row>
    <row r="2755">
      <c r="A2755" s="2" t="s">
        <v>4483</v>
      </c>
      <c r="B2755" s="2" t="s">
        <v>26962</v>
      </c>
      <c r="C2755" s="2">
        <v>4.5500698546E10</v>
      </c>
      <c r="D2755" s="2" t="s">
        <v>26963</v>
      </c>
      <c r="E2755" s="2">
        <v>15707.0</v>
      </c>
      <c r="F2755" s="2">
        <v>5411.0</v>
      </c>
      <c r="G2755" s="2">
        <v>2058.0</v>
      </c>
      <c r="H2755" s="2" t="s">
        <v>5905</v>
      </c>
      <c r="I2755" s="2" t="s">
        <v>5905</v>
      </c>
      <c r="J2755" s="2" t="s">
        <v>5959</v>
      </c>
      <c r="K2755" s="2" t="s">
        <v>26964</v>
      </c>
      <c r="L2755" s="10" t="s">
        <v>26965</v>
      </c>
    </row>
    <row r="2756">
      <c r="A2756" s="2" t="s">
        <v>4483</v>
      </c>
      <c r="B2756" s="2" t="s">
        <v>26966</v>
      </c>
      <c r="C2756" s="2">
        <v>1.964556125E9</v>
      </c>
      <c r="D2756" s="2" t="s">
        <v>26967</v>
      </c>
      <c r="E2756" s="2">
        <v>269608.0</v>
      </c>
      <c r="F2756" s="2">
        <v>125.0</v>
      </c>
      <c r="G2756" s="2">
        <v>106.0</v>
      </c>
      <c r="H2756" s="2" t="s">
        <v>5905</v>
      </c>
      <c r="I2756" s="2" t="s">
        <v>5906</v>
      </c>
      <c r="J2756" s="2" t="s">
        <v>6124</v>
      </c>
      <c r="K2756" s="12" t="s">
        <v>26968</v>
      </c>
      <c r="L2756" s="10" t="s">
        <v>26969</v>
      </c>
    </row>
    <row r="2757">
      <c r="A2757" s="2" t="s">
        <v>4483</v>
      </c>
      <c r="B2757" s="2" t="s">
        <v>26970</v>
      </c>
      <c r="C2757" s="2">
        <v>7.688896987E9</v>
      </c>
      <c r="D2757" s="2" t="s">
        <v>26971</v>
      </c>
      <c r="E2757" s="2">
        <v>2277707.0</v>
      </c>
      <c r="F2757" s="2">
        <v>450.0</v>
      </c>
      <c r="G2757" s="2">
        <v>50.0</v>
      </c>
      <c r="H2757" s="2" t="s">
        <v>5906</v>
      </c>
      <c r="I2757" s="2" t="s">
        <v>5906</v>
      </c>
      <c r="J2757" s="2" t="s">
        <v>6124</v>
      </c>
      <c r="K2757" s="2" t="s">
        <v>26972</v>
      </c>
      <c r="L2757" s="10" t="s">
        <v>26973</v>
      </c>
    </row>
    <row r="2758">
      <c r="A2758" s="2" t="s">
        <v>4709</v>
      </c>
      <c r="B2758" s="2" t="s">
        <v>26974</v>
      </c>
      <c r="C2758" s="2">
        <v>1.8076804388E10</v>
      </c>
      <c r="D2758" s="2" t="s">
        <v>26975</v>
      </c>
      <c r="E2758" s="2">
        <v>15529.0</v>
      </c>
      <c r="F2758" s="2">
        <v>1002.0</v>
      </c>
      <c r="G2758" s="2">
        <v>1200.0</v>
      </c>
      <c r="H2758" s="2" t="s">
        <v>5905</v>
      </c>
      <c r="I2758" s="2" t="s">
        <v>5905</v>
      </c>
      <c r="J2758" s="2" t="s">
        <v>6166</v>
      </c>
      <c r="K2758" s="2" t="s">
        <v>26976</v>
      </c>
      <c r="L2758" s="10" t="s">
        <v>26977</v>
      </c>
    </row>
    <row r="2759">
      <c r="A2759" s="2" t="s">
        <v>4709</v>
      </c>
      <c r="B2759" s="2" t="s">
        <v>26978</v>
      </c>
      <c r="C2759" s="2">
        <v>6.272876506E9</v>
      </c>
      <c r="D2759" s="2" t="s">
        <v>26979</v>
      </c>
      <c r="E2759" s="2">
        <v>31876.0</v>
      </c>
      <c r="F2759" s="2">
        <v>493.0</v>
      </c>
      <c r="G2759" s="2">
        <v>202.0</v>
      </c>
      <c r="H2759" s="2" t="s">
        <v>5905</v>
      </c>
      <c r="I2759" s="2" t="s">
        <v>5906</v>
      </c>
      <c r="J2759" s="2" t="s">
        <v>10778</v>
      </c>
      <c r="K2759" s="2" t="s">
        <v>26980</v>
      </c>
    </row>
    <row r="2760">
      <c r="A2760" s="2" t="s">
        <v>4709</v>
      </c>
      <c r="B2760" s="2" t="s">
        <v>26981</v>
      </c>
      <c r="C2760" s="2">
        <v>2.27238731E8</v>
      </c>
      <c r="D2760" s="2" t="s">
        <v>26982</v>
      </c>
      <c r="E2760" s="2">
        <v>22780.0</v>
      </c>
      <c r="F2760" s="2">
        <v>98.0</v>
      </c>
      <c r="G2760" s="2">
        <v>891.0</v>
      </c>
      <c r="H2760" s="2" t="s">
        <v>5905</v>
      </c>
      <c r="I2760" s="2" t="s">
        <v>5905</v>
      </c>
      <c r="J2760" s="2" t="s">
        <v>13645</v>
      </c>
      <c r="K2760" s="2" t="s">
        <v>26983</v>
      </c>
      <c r="L2760" s="10" t="s">
        <v>26984</v>
      </c>
    </row>
    <row r="2761">
      <c r="A2761" s="2" t="s">
        <v>4709</v>
      </c>
      <c r="B2761" s="2" t="s">
        <v>26985</v>
      </c>
      <c r="C2761" s="2">
        <v>4.2118500247E10</v>
      </c>
      <c r="D2761" s="2" t="s">
        <v>26986</v>
      </c>
      <c r="E2761" s="2">
        <v>50380.0</v>
      </c>
      <c r="F2761" s="2">
        <v>101.0</v>
      </c>
      <c r="G2761" s="2">
        <v>93.0</v>
      </c>
      <c r="H2761" s="2" t="s">
        <v>5905</v>
      </c>
      <c r="I2761" s="2" t="s">
        <v>5906</v>
      </c>
      <c r="J2761" s="2" t="s">
        <v>26987</v>
      </c>
      <c r="K2761" s="2" t="s">
        <v>26988</v>
      </c>
      <c r="L2761" s="10" t="s">
        <v>26989</v>
      </c>
    </row>
    <row r="2762">
      <c r="A2762" s="2" t="s">
        <v>4561</v>
      </c>
      <c r="B2762" s="2" t="s">
        <v>12539</v>
      </c>
      <c r="C2762" s="2">
        <v>3.8678647146E10</v>
      </c>
      <c r="D2762" s="2" t="s">
        <v>12540</v>
      </c>
      <c r="E2762" s="2">
        <v>160260.0</v>
      </c>
      <c r="F2762" s="2">
        <v>48.0</v>
      </c>
      <c r="G2762" s="2">
        <v>999.0</v>
      </c>
      <c r="H2762" s="2" t="s">
        <v>5905</v>
      </c>
      <c r="I2762" s="2" t="s">
        <v>5905</v>
      </c>
      <c r="J2762" s="2" t="s">
        <v>5928</v>
      </c>
      <c r="K2762" s="2" t="s">
        <v>12541</v>
      </c>
      <c r="L2762" s="10" t="s">
        <v>12542</v>
      </c>
    </row>
    <row r="2763">
      <c r="A2763" s="2" t="s">
        <v>4561</v>
      </c>
      <c r="B2763" s="2" t="s">
        <v>26990</v>
      </c>
      <c r="C2763" s="2">
        <v>7.5604365393E10</v>
      </c>
      <c r="D2763" s="2" t="s">
        <v>26991</v>
      </c>
      <c r="E2763" s="2">
        <v>43039.0</v>
      </c>
      <c r="F2763" s="2">
        <v>0.0</v>
      </c>
      <c r="G2763" s="2">
        <v>465.0</v>
      </c>
      <c r="H2763" s="2" t="s">
        <v>5905</v>
      </c>
      <c r="I2763" s="2" t="s">
        <v>5905</v>
      </c>
      <c r="J2763" s="2" t="s">
        <v>5485</v>
      </c>
      <c r="K2763" s="2" t="s">
        <v>26992</v>
      </c>
      <c r="L2763" s="10" t="s">
        <v>26993</v>
      </c>
    </row>
    <row r="2764">
      <c r="A2764" s="2" t="s">
        <v>4561</v>
      </c>
      <c r="B2764" s="2" t="s">
        <v>26994</v>
      </c>
      <c r="C2764" s="2">
        <v>4.142365675E9</v>
      </c>
      <c r="D2764" s="2" t="s">
        <v>26995</v>
      </c>
      <c r="E2764" s="2">
        <v>210586.0</v>
      </c>
      <c r="F2764" s="2">
        <v>3676.0</v>
      </c>
      <c r="G2764" s="2">
        <v>2355.0</v>
      </c>
      <c r="H2764" s="2" t="s">
        <v>5905</v>
      </c>
      <c r="I2764" s="2" t="s">
        <v>5905</v>
      </c>
      <c r="J2764" s="2" t="s">
        <v>5928</v>
      </c>
      <c r="K2764" s="2" t="s">
        <v>26996</v>
      </c>
      <c r="L2764" s="10" t="s">
        <v>26997</v>
      </c>
    </row>
    <row r="2765">
      <c r="A2765" s="2" t="s">
        <v>4561</v>
      </c>
      <c r="B2765" s="2" t="s">
        <v>26998</v>
      </c>
      <c r="C2765" s="2">
        <v>5.9353187333E10</v>
      </c>
      <c r="D2765" s="2" t="s">
        <v>26999</v>
      </c>
      <c r="E2765" s="2">
        <v>20545.0</v>
      </c>
      <c r="F2765" s="2">
        <v>2382.0</v>
      </c>
      <c r="G2765" s="2">
        <v>589.0</v>
      </c>
      <c r="H2765" s="2" t="s">
        <v>5905</v>
      </c>
      <c r="I2765" s="2" t="s">
        <v>5906</v>
      </c>
      <c r="J2765" s="2" t="s">
        <v>5928</v>
      </c>
      <c r="K2765" s="2" t="s">
        <v>27000</v>
      </c>
      <c r="L2765" s="10" t="s">
        <v>27001</v>
      </c>
    </row>
    <row r="2766">
      <c r="A2766" s="2" t="s">
        <v>4561</v>
      </c>
      <c r="B2766" s="2" t="s">
        <v>27002</v>
      </c>
      <c r="C2766" s="2">
        <v>4.840764833E9</v>
      </c>
      <c r="D2766" s="2" t="s">
        <v>27003</v>
      </c>
      <c r="E2766" s="2">
        <v>60099.0</v>
      </c>
      <c r="F2766" s="2">
        <v>818.0</v>
      </c>
      <c r="G2766" s="2">
        <v>1068.0</v>
      </c>
      <c r="H2766" s="2" t="s">
        <v>5905</v>
      </c>
      <c r="I2766" s="2" t="s">
        <v>5905</v>
      </c>
      <c r="J2766" s="2" t="s">
        <v>5391</v>
      </c>
      <c r="K2766" s="2" t="s">
        <v>27004</v>
      </c>
    </row>
    <row r="2767">
      <c r="A2767" s="2" t="s">
        <v>4561</v>
      </c>
      <c r="B2767" s="2" t="s">
        <v>27005</v>
      </c>
      <c r="C2767" s="2">
        <v>4.2313913E9</v>
      </c>
      <c r="D2767" s="2" t="s">
        <v>27006</v>
      </c>
      <c r="E2767" s="2">
        <v>198433.0</v>
      </c>
      <c r="F2767" s="2">
        <v>3181.0</v>
      </c>
      <c r="G2767" s="2">
        <v>1462.0</v>
      </c>
      <c r="H2767" s="2" t="s">
        <v>5905</v>
      </c>
      <c r="I2767" s="2" t="s">
        <v>5905</v>
      </c>
      <c r="J2767" s="2" t="s">
        <v>14778</v>
      </c>
      <c r="K2767" s="2" t="s">
        <v>27007</v>
      </c>
      <c r="L2767" s="10" t="s">
        <v>27008</v>
      </c>
    </row>
    <row r="2768">
      <c r="A2768" s="2" t="s">
        <v>4561</v>
      </c>
      <c r="B2768" s="2" t="s">
        <v>27009</v>
      </c>
      <c r="C2768" s="2">
        <v>6.9310518E8</v>
      </c>
      <c r="D2768" s="2" t="s">
        <v>27010</v>
      </c>
      <c r="E2768" s="2">
        <v>287514.0</v>
      </c>
      <c r="F2768" s="2">
        <v>4444.0</v>
      </c>
      <c r="G2768" s="2">
        <v>419.0</v>
      </c>
      <c r="H2768" s="2" t="s">
        <v>5906</v>
      </c>
      <c r="I2768" s="2" t="s">
        <v>5906</v>
      </c>
      <c r="J2768" s="2" t="s">
        <v>5959</v>
      </c>
      <c r="K2768" s="2" t="s">
        <v>27011</v>
      </c>
      <c r="L2768" s="10" t="s">
        <v>27012</v>
      </c>
    </row>
    <row r="2769">
      <c r="A2769" s="2" t="s">
        <v>4561</v>
      </c>
      <c r="B2769" s="2" t="s">
        <v>27013</v>
      </c>
      <c r="C2769" s="2">
        <v>6.53951668E8</v>
      </c>
      <c r="D2769" s="2" t="s">
        <v>27014</v>
      </c>
      <c r="E2769" s="2">
        <v>35819.0</v>
      </c>
      <c r="F2769" s="2">
        <v>4825.0</v>
      </c>
      <c r="G2769" s="2">
        <v>4204.0</v>
      </c>
      <c r="H2769" s="2" t="s">
        <v>5905</v>
      </c>
      <c r="I2769" s="2" t="s">
        <v>5905</v>
      </c>
      <c r="J2769" s="2" t="s">
        <v>5959</v>
      </c>
      <c r="K2769" s="2" t="s">
        <v>27015</v>
      </c>
      <c r="L2769" s="10" t="s">
        <v>27016</v>
      </c>
    </row>
    <row r="2770">
      <c r="A2770" s="2" t="s">
        <v>4561</v>
      </c>
      <c r="B2770" s="2" t="s">
        <v>12569</v>
      </c>
      <c r="C2770" s="2">
        <v>2.5699545394E10</v>
      </c>
      <c r="D2770" s="2" t="s">
        <v>12570</v>
      </c>
      <c r="E2770" s="2">
        <v>101758.0</v>
      </c>
      <c r="F2770" s="2">
        <v>2.0</v>
      </c>
      <c r="G2770" s="2">
        <v>1059.0</v>
      </c>
      <c r="H2770" s="2" t="s">
        <v>5905</v>
      </c>
      <c r="I2770" s="2" t="s">
        <v>5905</v>
      </c>
      <c r="J2770" s="2" t="s">
        <v>6393</v>
      </c>
      <c r="K2770" s="2" t="s">
        <v>12571</v>
      </c>
      <c r="L2770" s="10" t="s">
        <v>12572</v>
      </c>
    </row>
    <row r="2771">
      <c r="A2771" s="2" t="s">
        <v>4561</v>
      </c>
      <c r="B2771" s="2" t="s">
        <v>27017</v>
      </c>
      <c r="C2771" s="2">
        <v>5.5064360987E10</v>
      </c>
      <c r="D2771" s="2" t="s">
        <v>27018</v>
      </c>
      <c r="E2771" s="2">
        <v>258438.0</v>
      </c>
      <c r="F2771" s="2">
        <v>57.0</v>
      </c>
      <c r="G2771" s="2">
        <v>6566.0</v>
      </c>
      <c r="H2771" s="2" t="s">
        <v>5905</v>
      </c>
      <c r="I2771" s="2" t="s">
        <v>5905</v>
      </c>
      <c r="J2771" s="2" t="s">
        <v>5959</v>
      </c>
      <c r="K2771" s="2" t="s">
        <v>27019</v>
      </c>
      <c r="L2771" s="10" t="s">
        <v>27020</v>
      </c>
    </row>
    <row r="2772">
      <c r="A2772" s="2" t="s">
        <v>4561</v>
      </c>
      <c r="B2772" s="2" t="s">
        <v>27021</v>
      </c>
      <c r="C2772" s="2">
        <v>6.81129596E8</v>
      </c>
      <c r="D2772" s="2" t="s">
        <v>27022</v>
      </c>
      <c r="E2772" s="2">
        <v>46740.0</v>
      </c>
      <c r="F2772" s="2">
        <v>570.0</v>
      </c>
      <c r="G2772" s="2">
        <v>295.0</v>
      </c>
      <c r="H2772" s="2" t="s">
        <v>5906</v>
      </c>
      <c r="I2772" s="2" t="s">
        <v>5905</v>
      </c>
      <c r="J2772" s="2" t="s">
        <v>5959</v>
      </c>
      <c r="K2772" s="2" t="s">
        <v>27023</v>
      </c>
      <c r="L2772" s="10" t="s">
        <v>27024</v>
      </c>
    </row>
    <row r="2773">
      <c r="A2773" s="2" t="s">
        <v>4561</v>
      </c>
      <c r="B2773" s="2" t="s">
        <v>27025</v>
      </c>
      <c r="C2773" s="2">
        <v>3.50750232E8</v>
      </c>
      <c r="D2773" s="2" t="s">
        <v>27026</v>
      </c>
      <c r="E2773" s="2">
        <v>70311.0</v>
      </c>
      <c r="F2773" s="2">
        <v>4352.0</v>
      </c>
      <c r="G2773" s="2">
        <v>2384.0</v>
      </c>
      <c r="H2773" s="2" t="s">
        <v>5906</v>
      </c>
      <c r="I2773" s="2" t="s">
        <v>5905</v>
      </c>
      <c r="J2773" s="2" t="s">
        <v>5492</v>
      </c>
    </row>
    <row r="2774">
      <c r="A2774" s="2" t="s">
        <v>4561</v>
      </c>
      <c r="B2774" s="2" t="s">
        <v>12592</v>
      </c>
      <c r="C2774" s="2">
        <v>7.2769054838E10</v>
      </c>
      <c r="D2774" s="2" t="s">
        <v>12593</v>
      </c>
      <c r="E2774" s="2">
        <v>21670.0</v>
      </c>
      <c r="F2774" s="2">
        <v>0.0</v>
      </c>
      <c r="G2774" s="2">
        <v>581.0</v>
      </c>
      <c r="H2774" s="2" t="s">
        <v>5905</v>
      </c>
      <c r="I2774" s="2" t="s">
        <v>5905</v>
      </c>
      <c r="J2774" s="2" t="s">
        <v>5928</v>
      </c>
      <c r="K2774" s="2" t="s">
        <v>12594</v>
      </c>
      <c r="L2774" s="10" t="s">
        <v>12595</v>
      </c>
    </row>
    <row r="2775">
      <c r="A2775" s="2" t="s">
        <v>4561</v>
      </c>
      <c r="B2775" s="2" t="s">
        <v>27027</v>
      </c>
      <c r="C2775" s="2">
        <v>5.3945437224E10</v>
      </c>
      <c r="D2775" s="2" t="s">
        <v>27028</v>
      </c>
      <c r="E2775" s="2">
        <v>182012.0</v>
      </c>
      <c r="F2775" s="2">
        <v>1.0</v>
      </c>
      <c r="G2775" s="2">
        <v>1063.0</v>
      </c>
      <c r="H2775" s="2" t="s">
        <v>5906</v>
      </c>
      <c r="I2775" s="2" t="s">
        <v>5906</v>
      </c>
      <c r="J2775" s="2" t="s">
        <v>5928</v>
      </c>
      <c r="K2775" s="2" t="s">
        <v>27029</v>
      </c>
      <c r="L2775" s="10" t="s">
        <v>27030</v>
      </c>
    </row>
    <row r="2776">
      <c r="A2776" s="2" t="s">
        <v>4561</v>
      </c>
      <c r="B2776" s="2" t="s">
        <v>27031</v>
      </c>
      <c r="C2776" s="2">
        <v>7.5423146663E10</v>
      </c>
      <c r="D2776" s="2" t="s">
        <v>27032</v>
      </c>
      <c r="E2776" s="2">
        <v>92831.0</v>
      </c>
      <c r="F2776" s="2">
        <v>0.0</v>
      </c>
      <c r="G2776" s="2">
        <v>32.0</v>
      </c>
      <c r="H2776" s="2" t="s">
        <v>5905</v>
      </c>
      <c r="I2776" s="2" t="s">
        <v>5905</v>
      </c>
      <c r="J2776" s="2" t="s">
        <v>6393</v>
      </c>
      <c r="K2776" s="2" t="s">
        <v>27033</v>
      </c>
      <c r="L2776" s="10" t="s">
        <v>27034</v>
      </c>
    </row>
    <row r="2777">
      <c r="A2777" s="2" t="s">
        <v>4431</v>
      </c>
      <c r="B2777" s="2" t="s">
        <v>27035</v>
      </c>
      <c r="C2777" s="2">
        <v>5.4778771E7</v>
      </c>
      <c r="D2777" s="2" t="s">
        <v>27036</v>
      </c>
      <c r="E2777" s="2">
        <v>209524.0</v>
      </c>
      <c r="F2777" s="2">
        <v>671.0</v>
      </c>
      <c r="G2777" s="2">
        <v>1718.0</v>
      </c>
      <c r="H2777" s="2" t="s">
        <v>5905</v>
      </c>
      <c r="I2777" s="2" t="s">
        <v>5906</v>
      </c>
      <c r="J2777" s="2" t="s">
        <v>5561</v>
      </c>
      <c r="K2777" s="2" t="s">
        <v>27037</v>
      </c>
      <c r="L2777" s="10" t="s">
        <v>27038</v>
      </c>
    </row>
    <row r="2778">
      <c r="A2778" s="2" t="s">
        <v>4431</v>
      </c>
      <c r="B2778" s="2" t="s">
        <v>27039</v>
      </c>
      <c r="C2778" s="2">
        <v>5.90170617E8</v>
      </c>
      <c r="D2778" s="2" t="s">
        <v>27040</v>
      </c>
      <c r="E2778" s="2">
        <v>50974.0</v>
      </c>
      <c r="F2778" s="2">
        <v>338.0</v>
      </c>
      <c r="G2778" s="2">
        <v>3100.0</v>
      </c>
      <c r="H2778" s="2" t="s">
        <v>5906</v>
      </c>
      <c r="I2778" s="2" t="s">
        <v>5905</v>
      </c>
      <c r="J2778" s="2" t="s">
        <v>15453</v>
      </c>
      <c r="K2778" s="2" t="s">
        <v>27041</v>
      </c>
      <c r="L2778" s="10" t="s">
        <v>27042</v>
      </c>
    </row>
    <row r="2779">
      <c r="A2779" s="2" t="s">
        <v>4431</v>
      </c>
      <c r="B2779" s="2" t="s">
        <v>27043</v>
      </c>
      <c r="C2779" s="2">
        <v>2.0864737E9</v>
      </c>
      <c r="D2779" s="2" t="s">
        <v>27044</v>
      </c>
      <c r="E2779" s="2">
        <v>37103.0</v>
      </c>
      <c r="F2779" s="2">
        <v>636.0</v>
      </c>
      <c r="G2779" s="2">
        <v>2805.0</v>
      </c>
      <c r="H2779" s="2" t="s">
        <v>5905</v>
      </c>
      <c r="I2779" s="2" t="s">
        <v>5906</v>
      </c>
      <c r="J2779" s="2" t="s">
        <v>8479</v>
      </c>
      <c r="K2779" s="2" t="s">
        <v>27045</v>
      </c>
      <c r="L2779" s="10" t="s">
        <v>27046</v>
      </c>
    </row>
    <row r="2780">
      <c r="A2780" s="2" t="s">
        <v>4431</v>
      </c>
      <c r="B2780" s="2" t="s">
        <v>27047</v>
      </c>
      <c r="C2780" s="2">
        <v>4.95802427E8</v>
      </c>
      <c r="D2780" s="2" t="s">
        <v>27048</v>
      </c>
      <c r="E2780" s="2">
        <v>70373.0</v>
      </c>
      <c r="F2780" s="2">
        <v>412.0</v>
      </c>
      <c r="G2780" s="2">
        <v>3465.0</v>
      </c>
      <c r="H2780" s="2" t="s">
        <v>5905</v>
      </c>
      <c r="I2780" s="2" t="s">
        <v>5906</v>
      </c>
      <c r="J2780" s="2" t="s">
        <v>15453</v>
      </c>
      <c r="K2780" s="2" t="s">
        <v>27049</v>
      </c>
      <c r="L2780" s="10" t="s">
        <v>27050</v>
      </c>
    </row>
    <row r="2781">
      <c r="A2781" s="2" t="s">
        <v>4431</v>
      </c>
      <c r="B2781" s="2" t="s">
        <v>27051</v>
      </c>
      <c r="C2781" s="2">
        <v>5.16706962E8</v>
      </c>
      <c r="D2781" s="2" t="s">
        <v>27052</v>
      </c>
      <c r="E2781" s="2">
        <v>939854.0</v>
      </c>
      <c r="F2781" s="2">
        <v>1276.0</v>
      </c>
      <c r="G2781" s="2">
        <v>10881.0</v>
      </c>
      <c r="H2781" s="2" t="s">
        <v>5906</v>
      </c>
      <c r="I2781" s="2" t="s">
        <v>5906</v>
      </c>
      <c r="K2781" s="2" t="s">
        <v>27053</v>
      </c>
      <c r="L2781" s="10" t="s">
        <v>27054</v>
      </c>
    </row>
    <row r="2782">
      <c r="A2782" s="2" t="s">
        <v>4431</v>
      </c>
      <c r="B2782" s="2" t="s">
        <v>4431</v>
      </c>
      <c r="C2782" s="2">
        <v>5.5765845E7</v>
      </c>
      <c r="D2782" s="2" t="s">
        <v>27055</v>
      </c>
      <c r="E2782" s="2">
        <v>242961.0</v>
      </c>
      <c r="F2782" s="2">
        <v>100.0</v>
      </c>
      <c r="G2782" s="2">
        <v>2359.0</v>
      </c>
      <c r="H2782" s="2" t="s">
        <v>5906</v>
      </c>
      <c r="I2782" s="2" t="s">
        <v>5906</v>
      </c>
      <c r="J2782" s="2" t="s">
        <v>5561</v>
      </c>
      <c r="K2782" s="2" t="s">
        <v>27056</v>
      </c>
      <c r="L2782" s="10" t="s">
        <v>27057</v>
      </c>
    </row>
    <row r="2783">
      <c r="A2783" s="2" t="s">
        <v>4431</v>
      </c>
      <c r="B2783" s="2" t="s">
        <v>27058</v>
      </c>
      <c r="C2783" s="2">
        <v>5.9185886981E10</v>
      </c>
      <c r="D2783" s="2" t="s">
        <v>27059</v>
      </c>
      <c r="E2783" s="2">
        <v>559585.0</v>
      </c>
      <c r="F2783" s="2">
        <v>2586.0</v>
      </c>
      <c r="G2783" s="2">
        <v>1589.0</v>
      </c>
      <c r="H2783" s="2" t="s">
        <v>5905</v>
      </c>
      <c r="I2783" s="2" t="s">
        <v>5906</v>
      </c>
      <c r="J2783" s="2" t="s">
        <v>4397</v>
      </c>
      <c r="K2783" s="2" t="s">
        <v>27060</v>
      </c>
      <c r="L2783" s="10" t="s">
        <v>27061</v>
      </c>
    </row>
    <row r="2784">
      <c r="A2784" s="2" t="s">
        <v>4431</v>
      </c>
      <c r="B2784" s="2" t="s">
        <v>27062</v>
      </c>
      <c r="C2784" s="2">
        <v>3.5049382E8</v>
      </c>
      <c r="D2784" s="2" t="s">
        <v>27063</v>
      </c>
      <c r="E2784" s="2">
        <v>2831530.0</v>
      </c>
      <c r="F2784" s="2">
        <v>2353.0</v>
      </c>
      <c r="G2784" s="2">
        <v>16527.0</v>
      </c>
      <c r="H2784" s="2" t="s">
        <v>5906</v>
      </c>
      <c r="I2784" s="2" t="s">
        <v>5905</v>
      </c>
      <c r="J2784" s="2" t="s">
        <v>4397</v>
      </c>
      <c r="K2784" s="2" t="s">
        <v>27064</v>
      </c>
      <c r="L2784" s="10" t="s">
        <v>27065</v>
      </c>
    </row>
    <row r="2785">
      <c r="A2785" s="2" t="s">
        <v>4612</v>
      </c>
      <c r="B2785" s="2" t="s">
        <v>27066</v>
      </c>
      <c r="C2785" s="2">
        <v>4.9207180637E10</v>
      </c>
      <c r="D2785" s="2" t="s">
        <v>27067</v>
      </c>
      <c r="E2785" s="2">
        <v>40161.0</v>
      </c>
      <c r="F2785" s="2">
        <v>96.0</v>
      </c>
      <c r="G2785" s="2">
        <v>200.0</v>
      </c>
      <c r="H2785" s="2" t="s">
        <v>5905</v>
      </c>
      <c r="I2785" s="2" t="s">
        <v>5906</v>
      </c>
      <c r="J2785" s="2" t="s">
        <v>5959</v>
      </c>
      <c r="K2785" s="2" t="s">
        <v>27068</v>
      </c>
      <c r="L2785" s="10" t="s">
        <v>27069</v>
      </c>
    </row>
    <row r="2786">
      <c r="A2786" s="2" t="s">
        <v>4612</v>
      </c>
      <c r="B2786" s="2" t="s">
        <v>27070</v>
      </c>
      <c r="C2786" s="2">
        <v>2.6514611554E10</v>
      </c>
      <c r="D2786" s="2" t="s">
        <v>27067</v>
      </c>
      <c r="E2786" s="2">
        <v>12771.0</v>
      </c>
      <c r="F2786" s="2">
        <v>15.0</v>
      </c>
      <c r="G2786" s="2">
        <v>42.0</v>
      </c>
      <c r="H2786" s="2" t="s">
        <v>5905</v>
      </c>
      <c r="I2786" s="2" t="s">
        <v>5906</v>
      </c>
      <c r="J2786" s="2" t="s">
        <v>12692</v>
      </c>
      <c r="K2786" s="2" t="s">
        <v>27071</v>
      </c>
    </row>
    <row r="2787">
      <c r="A2787" s="2" t="s">
        <v>4612</v>
      </c>
      <c r="B2787" s="2" t="s">
        <v>27072</v>
      </c>
      <c r="C2787" s="2">
        <v>5.7191156304E10</v>
      </c>
      <c r="D2787" s="2" t="s">
        <v>27073</v>
      </c>
      <c r="E2787" s="2">
        <v>189589.0</v>
      </c>
      <c r="F2787" s="2">
        <v>113.0</v>
      </c>
      <c r="G2787" s="2">
        <v>569.0</v>
      </c>
      <c r="H2787" s="2" t="s">
        <v>5905</v>
      </c>
      <c r="I2787" s="2" t="s">
        <v>5905</v>
      </c>
      <c r="J2787" s="2" t="s">
        <v>15546</v>
      </c>
      <c r="K2787" s="2" t="s">
        <v>27074</v>
      </c>
      <c r="L2787" s="10" t="s">
        <v>27075</v>
      </c>
    </row>
    <row r="2788">
      <c r="A2788" s="2" t="s">
        <v>4612</v>
      </c>
      <c r="B2788" s="2" t="s">
        <v>27076</v>
      </c>
      <c r="C2788" s="2">
        <v>6.2511025716E10</v>
      </c>
      <c r="D2788" s="2" t="s">
        <v>27077</v>
      </c>
      <c r="E2788" s="2">
        <v>240605.0</v>
      </c>
      <c r="F2788" s="2">
        <v>37.0</v>
      </c>
      <c r="G2788" s="2">
        <v>775.0</v>
      </c>
      <c r="H2788" s="2" t="s">
        <v>5905</v>
      </c>
      <c r="I2788" s="2" t="s">
        <v>5905</v>
      </c>
      <c r="J2788" s="2" t="s">
        <v>5561</v>
      </c>
      <c r="K2788" s="2" t="s">
        <v>27078</v>
      </c>
      <c r="L2788" s="10" t="s">
        <v>27079</v>
      </c>
    </row>
    <row r="2789">
      <c r="A2789" s="2" t="s">
        <v>4612</v>
      </c>
      <c r="B2789" s="2" t="s">
        <v>27080</v>
      </c>
      <c r="C2789" s="2">
        <v>6.4842825372E10</v>
      </c>
      <c r="D2789" s="2" t="s">
        <v>27081</v>
      </c>
      <c r="E2789" s="2">
        <v>150968.0</v>
      </c>
      <c r="F2789" s="2">
        <v>65.0</v>
      </c>
      <c r="G2789" s="2">
        <v>635.0</v>
      </c>
      <c r="H2789" s="2" t="s">
        <v>5905</v>
      </c>
      <c r="I2789" s="2" t="s">
        <v>5905</v>
      </c>
      <c r="J2789" s="2" t="s">
        <v>5968</v>
      </c>
      <c r="K2789" s="2" t="s">
        <v>27082</v>
      </c>
      <c r="L2789" s="10" t="s">
        <v>15581</v>
      </c>
    </row>
    <row r="2790">
      <c r="A2790" s="2" t="s">
        <v>4423</v>
      </c>
      <c r="B2790" s="2" t="s">
        <v>27083</v>
      </c>
      <c r="C2790" s="2">
        <v>1.0150774813E10</v>
      </c>
      <c r="D2790" s="2" t="s">
        <v>27084</v>
      </c>
      <c r="E2790" s="2">
        <v>1324775.0</v>
      </c>
      <c r="F2790" s="2">
        <v>1588.0</v>
      </c>
      <c r="G2790" s="2">
        <v>717.0</v>
      </c>
      <c r="H2790" s="2" t="s">
        <v>5906</v>
      </c>
      <c r="I2790" s="2" t="s">
        <v>5906</v>
      </c>
      <c r="J2790" s="2" t="s">
        <v>6414</v>
      </c>
      <c r="K2790" s="2" t="s">
        <v>27085</v>
      </c>
      <c r="L2790" s="10" t="s">
        <v>27086</v>
      </c>
    </row>
    <row r="2791">
      <c r="A2791" s="2" t="s">
        <v>4423</v>
      </c>
      <c r="B2791" s="2" t="s">
        <v>27087</v>
      </c>
      <c r="C2791" s="2">
        <v>8.201113511E9</v>
      </c>
      <c r="D2791" s="2" t="s">
        <v>27088</v>
      </c>
      <c r="E2791" s="2">
        <v>1534919.0</v>
      </c>
      <c r="F2791" s="2">
        <v>1030.0</v>
      </c>
      <c r="G2791" s="2">
        <v>2316.0</v>
      </c>
      <c r="H2791" s="2" t="s">
        <v>5905</v>
      </c>
      <c r="I2791" s="2" t="s">
        <v>5906</v>
      </c>
      <c r="J2791" s="2" t="s">
        <v>5561</v>
      </c>
      <c r="K2791" s="2" t="s">
        <v>27089</v>
      </c>
      <c r="L2791" s="10" t="s">
        <v>27090</v>
      </c>
    </row>
    <row r="2792">
      <c r="A2792" s="2" t="s">
        <v>4423</v>
      </c>
      <c r="B2792" s="2" t="s">
        <v>27091</v>
      </c>
      <c r="C2792" s="2">
        <v>6.7311511595E10</v>
      </c>
      <c r="D2792" s="2" t="s">
        <v>27092</v>
      </c>
      <c r="E2792" s="2">
        <v>589660.0</v>
      </c>
      <c r="F2792" s="2">
        <v>9.0</v>
      </c>
      <c r="G2792" s="2">
        <v>2086.0</v>
      </c>
      <c r="H2792" s="2" t="s">
        <v>5905</v>
      </c>
      <c r="I2792" s="2" t="s">
        <v>5905</v>
      </c>
      <c r="J2792" s="2" t="s">
        <v>23921</v>
      </c>
      <c r="K2792" s="2" t="s">
        <v>27093</v>
      </c>
      <c r="L2792" s="10" t="s">
        <v>27094</v>
      </c>
    </row>
    <row r="2793">
      <c r="A2793" s="2" t="s">
        <v>4423</v>
      </c>
      <c r="B2793" s="2" t="s">
        <v>27095</v>
      </c>
      <c r="C2793" s="2">
        <v>7.4264337717E10</v>
      </c>
      <c r="D2793" s="2" t="s">
        <v>27096</v>
      </c>
      <c r="E2793" s="2">
        <v>360079.0</v>
      </c>
      <c r="F2793" s="2">
        <v>74.0</v>
      </c>
      <c r="G2793" s="2">
        <v>314.0</v>
      </c>
      <c r="H2793" s="2" t="s">
        <v>5906</v>
      </c>
      <c r="I2793" s="2" t="s">
        <v>5905</v>
      </c>
      <c r="J2793" s="2" t="s">
        <v>7140</v>
      </c>
      <c r="K2793" s="2" t="s">
        <v>27097</v>
      </c>
      <c r="L2793" s="10" t="s">
        <v>27098</v>
      </c>
    </row>
    <row r="2794">
      <c r="A2794" s="2" t="s">
        <v>4423</v>
      </c>
      <c r="B2794" s="2" t="s">
        <v>27099</v>
      </c>
      <c r="C2794" s="2">
        <v>4.1120010912E10</v>
      </c>
      <c r="D2794" s="2" t="s">
        <v>27100</v>
      </c>
      <c r="E2794" s="2">
        <v>65396.0</v>
      </c>
      <c r="F2794" s="2">
        <v>67.0</v>
      </c>
      <c r="G2794" s="2">
        <v>122.0</v>
      </c>
      <c r="H2794" s="2" t="s">
        <v>5905</v>
      </c>
      <c r="I2794" s="2" t="s">
        <v>5906</v>
      </c>
      <c r="J2794" s="2" t="s">
        <v>5391</v>
      </c>
      <c r="K2794" s="2" t="s">
        <v>27101</v>
      </c>
    </row>
    <row r="2795">
      <c r="A2795" s="2" t="s">
        <v>4423</v>
      </c>
      <c r="B2795" s="2" t="s">
        <v>27102</v>
      </c>
      <c r="C2795" s="2">
        <v>2.031100189E9</v>
      </c>
      <c r="D2795" s="2" t="s">
        <v>27103</v>
      </c>
      <c r="E2795" s="2">
        <v>22484.0</v>
      </c>
      <c r="F2795" s="2">
        <v>0.0</v>
      </c>
      <c r="G2795" s="2">
        <v>1144.0</v>
      </c>
      <c r="H2795" s="2" t="s">
        <v>5905</v>
      </c>
      <c r="I2795" s="2" t="s">
        <v>5906</v>
      </c>
      <c r="K2795" s="2" t="s">
        <v>27104</v>
      </c>
      <c r="L2795" s="10" t="s">
        <v>27105</v>
      </c>
    </row>
    <row r="2796">
      <c r="A2796" s="2" t="s">
        <v>4423</v>
      </c>
      <c r="B2796" s="2" t="s">
        <v>27106</v>
      </c>
      <c r="C2796" s="2">
        <v>3.25169438E8</v>
      </c>
      <c r="D2796" s="2" t="s">
        <v>27107</v>
      </c>
      <c r="E2796" s="2">
        <v>1497706.0</v>
      </c>
      <c r="F2796" s="2">
        <v>1072.0</v>
      </c>
      <c r="G2796" s="2">
        <v>444.0</v>
      </c>
      <c r="H2796" s="2" t="s">
        <v>5906</v>
      </c>
      <c r="I2796" s="2" t="s">
        <v>5905</v>
      </c>
      <c r="J2796" s="2" t="s">
        <v>5959</v>
      </c>
      <c r="K2796" s="2" t="s">
        <v>27108</v>
      </c>
      <c r="L2796" s="10" t="s">
        <v>27109</v>
      </c>
    </row>
    <row r="2797">
      <c r="A2797" s="2" t="s">
        <v>4423</v>
      </c>
      <c r="B2797" s="2" t="s">
        <v>27110</v>
      </c>
      <c r="C2797" s="2">
        <v>8.486934033E9</v>
      </c>
      <c r="D2797" s="2" t="s">
        <v>27111</v>
      </c>
      <c r="E2797" s="2">
        <v>111552.0</v>
      </c>
      <c r="F2797" s="2">
        <v>998.0</v>
      </c>
      <c r="G2797" s="2">
        <v>1122.0</v>
      </c>
      <c r="H2797" s="2" t="s">
        <v>5906</v>
      </c>
      <c r="I2797" s="2" t="s">
        <v>5906</v>
      </c>
      <c r="J2797" s="2" t="s">
        <v>5391</v>
      </c>
      <c r="K2797" s="2" t="s">
        <v>27112</v>
      </c>
      <c r="L2797" s="10" t="s">
        <v>27113</v>
      </c>
    </row>
    <row r="2798">
      <c r="A2798" s="2" t="s">
        <v>4423</v>
      </c>
      <c r="B2798" s="2" t="s">
        <v>27114</v>
      </c>
      <c r="C2798" s="2">
        <v>2.37767119E8</v>
      </c>
      <c r="D2798" s="2" t="s">
        <v>27115</v>
      </c>
      <c r="E2798" s="2">
        <v>103671.0</v>
      </c>
      <c r="F2798" s="2">
        <v>866.0</v>
      </c>
      <c r="G2798" s="2">
        <v>863.0</v>
      </c>
      <c r="H2798" s="2" t="s">
        <v>5906</v>
      </c>
      <c r="I2798" s="2" t="s">
        <v>5905</v>
      </c>
      <c r="J2798" s="2" t="s">
        <v>5959</v>
      </c>
      <c r="K2798" s="2" t="s">
        <v>27116</v>
      </c>
      <c r="L2798" s="10" t="s">
        <v>27117</v>
      </c>
    </row>
    <row r="2799">
      <c r="A2799" s="2" t="s">
        <v>4423</v>
      </c>
      <c r="B2799" s="2" t="s">
        <v>27118</v>
      </c>
      <c r="C2799" s="2">
        <v>6.235163809E9</v>
      </c>
      <c r="D2799" s="2" t="s">
        <v>27119</v>
      </c>
      <c r="E2799" s="2">
        <v>10847.0</v>
      </c>
      <c r="F2799" s="2">
        <v>209.0</v>
      </c>
      <c r="G2799" s="2">
        <v>215.0</v>
      </c>
      <c r="H2799" s="2" t="s">
        <v>5905</v>
      </c>
      <c r="I2799" s="2" t="s">
        <v>5905</v>
      </c>
      <c r="J2799" s="2" t="s">
        <v>17658</v>
      </c>
      <c r="K2799" s="2" t="s">
        <v>27120</v>
      </c>
      <c r="L2799" s="10" t="s">
        <v>27121</v>
      </c>
    </row>
    <row r="2800">
      <c r="A2800" s="2" t="s">
        <v>4423</v>
      </c>
      <c r="B2800" s="2" t="s">
        <v>27122</v>
      </c>
      <c r="C2800" s="2">
        <v>6.5052553991E10</v>
      </c>
      <c r="D2800" s="2" t="s">
        <v>27123</v>
      </c>
      <c r="E2800" s="2">
        <v>319572.0</v>
      </c>
      <c r="F2800" s="2">
        <v>163.0</v>
      </c>
      <c r="G2800" s="2">
        <v>304.0</v>
      </c>
      <c r="H2800" s="2" t="s">
        <v>5906</v>
      </c>
      <c r="I2800" s="2" t="s">
        <v>5905</v>
      </c>
      <c r="J2800" s="2" t="s">
        <v>5551</v>
      </c>
      <c r="K2800" s="2" t="s">
        <v>27124</v>
      </c>
      <c r="L2800" s="10" t="s">
        <v>27125</v>
      </c>
    </row>
    <row r="2801">
      <c r="A2801" s="2" t="s">
        <v>4423</v>
      </c>
      <c r="B2801" s="2" t="s">
        <v>27126</v>
      </c>
      <c r="C2801" s="2">
        <v>3.27066495E8</v>
      </c>
      <c r="D2801" s="2" t="s">
        <v>27127</v>
      </c>
      <c r="E2801" s="2">
        <v>685433.0</v>
      </c>
      <c r="F2801" s="2">
        <v>658.0</v>
      </c>
      <c r="G2801" s="2">
        <v>1156.0</v>
      </c>
      <c r="H2801" s="2" t="s">
        <v>5906</v>
      </c>
      <c r="I2801" s="2" t="s">
        <v>5906</v>
      </c>
      <c r="J2801" s="2" t="s">
        <v>5993</v>
      </c>
      <c r="K2801" s="2" t="s">
        <v>27128</v>
      </c>
      <c r="L2801" s="10" t="s">
        <v>27129</v>
      </c>
    </row>
    <row r="2802">
      <c r="A2802" s="2" t="s">
        <v>4423</v>
      </c>
      <c r="B2802" s="2" t="s">
        <v>27130</v>
      </c>
      <c r="C2802" s="2">
        <v>6.5689236888E10</v>
      </c>
      <c r="D2802" s="2" t="s">
        <v>27131</v>
      </c>
      <c r="E2802" s="2">
        <v>1040773.0</v>
      </c>
      <c r="F2802" s="2">
        <v>6.0</v>
      </c>
      <c r="G2802" s="2">
        <v>331.0</v>
      </c>
      <c r="H2802" s="2" t="s">
        <v>5905</v>
      </c>
      <c r="I2802" s="2" t="s">
        <v>5905</v>
      </c>
      <c r="J2802" s="2" t="s">
        <v>7140</v>
      </c>
      <c r="K2802" s="2" t="s">
        <v>27132</v>
      </c>
      <c r="L2802" s="10" t="s">
        <v>27133</v>
      </c>
    </row>
    <row r="2803">
      <c r="A2803" s="2" t="s">
        <v>4423</v>
      </c>
      <c r="B2803" s="2" t="s">
        <v>27134</v>
      </c>
      <c r="C2803" s="2">
        <v>5.817726143E10</v>
      </c>
      <c r="D2803" s="2" t="s">
        <v>27135</v>
      </c>
      <c r="E2803" s="2">
        <v>301305.0</v>
      </c>
      <c r="F2803" s="2">
        <v>466.0</v>
      </c>
      <c r="G2803" s="2">
        <v>675.0</v>
      </c>
      <c r="H2803" s="2" t="s">
        <v>5906</v>
      </c>
      <c r="I2803" s="2" t="s">
        <v>5905</v>
      </c>
      <c r="J2803" s="2" t="s">
        <v>7140</v>
      </c>
      <c r="K2803" s="2" t="s">
        <v>27136</v>
      </c>
      <c r="L2803" s="10" t="s">
        <v>27137</v>
      </c>
    </row>
    <row r="2804">
      <c r="A2804" s="2" t="s">
        <v>4632</v>
      </c>
      <c r="B2804" s="2" t="s">
        <v>27138</v>
      </c>
      <c r="C2804" s="2">
        <v>6.2475092743E10</v>
      </c>
      <c r="D2804" s="2" t="s">
        <v>27139</v>
      </c>
      <c r="E2804" s="2">
        <v>754931.0</v>
      </c>
      <c r="F2804" s="2">
        <v>0.0</v>
      </c>
      <c r="G2804" s="2">
        <v>615.0</v>
      </c>
      <c r="H2804" s="2" t="s">
        <v>5905</v>
      </c>
      <c r="I2804" s="2" t="s">
        <v>5905</v>
      </c>
      <c r="J2804" s="2" t="s">
        <v>5928</v>
      </c>
      <c r="K2804" s="2" t="s">
        <v>27140</v>
      </c>
    </row>
    <row r="2805">
      <c r="A2805" s="2" t="s">
        <v>4632</v>
      </c>
      <c r="B2805" s="2" t="s">
        <v>27141</v>
      </c>
      <c r="C2805" s="2">
        <v>3.1453297216E10</v>
      </c>
      <c r="D2805" s="2" t="s">
        <v>27139</v>
      </c>
      <c r="E2805" s="2">
        <v>41112.0</v>
      </c>
      <c r="F2805" s="2">
        <v>144.0</v>
      </c>
      <c r="G2805" s="2">
        <v>548.0</v>
      </c>
      <c r="H2805" s="2" t="s">
        <v>5905</v>
      </c>
      <c r="I2805" s="2" t="s">
        <v>5905</v>
      </c>
      <c r="J2805" s="2" t="s">
        <v>5561</v>
      </c>
      <c r="K2805" s="2" t="s">
        <v>27142</v>
      </c>
    </row>
    <row r="2806">
      <c r="A2806" s="2" t="s">
        <v>4632</v>
      </c>
      <c r="B2806" s="2" t="s">
        <v>27143</v>
      </c>
      <c r="C2806" s="2">
        <v>6.728635728E9</v>
      </c>
      <c r="D2806" s="2" t="s">
        <v>27139</v>
      </c>
      <c r="E2806" s="2">
        <v>21285.0</v>
      </c>
      <c r="F2806" s="2">
        <v>1.0</v>
      </c>
      <c r="G2806" s="2">
        <v>953.0</v>
      </c>
      <c r="H2806" s="2" t="s">
        <v>5905</v>
      </c>
      <c r="I2806" s="2" t="s">
        <v>5906</v>
      </c>
      <c r="J2806" s="2" t="s">
        <v>4404</v>
      </c>
      <c r="K2806" s="2" t="s">
        <v>27144</v>
      </c>
      <c r="L2806" s="10" t="s">
        <v>27145</v>
      </c>
    </row>
    <row r="2807">
      <c r="A2807" s="2" t="s">
        <v>4632</v>
      </c>
      <c r="B2807" s="2" t="s">
        <v>27146</v>
      </c>
      <c r="C2807" s="2">
        <v>5.7341653727E10</v>
      </c>
      <c r="D2807" s="2" t="s">
        <v>27139</v>
      </c>
      <c r="E2807" s="2">
        <v>591701.0</v>
      </c>
      <c r="F2807" s="2">
        <v>4.0</v>
      </c>
      <c r="G2807" s="2">
        <v>127.0</v>
      </c>
      <c r="H2807" s="2" t="s">
        <v>5905</v>
      </c>
      <c r="I2807" s="2" t="s">
        <v>5905</v>
      </c>
      <c r="J2807" s="2" t="s">
        <v>7620</v>
      </c>
      <c r="K2807" s="2" t="s">
        <v>27147</v>
      </c>
      <c r="L2807" s="10" t="s">
        <v>27148</v>
      </c>
    </row>
    <row r="2808">
      <c r="A2808" s="2" t="s">
        <v>4632</v>
      </c>
      <c r="B2808" s="2" t="s">
        <v>27149</v>
      </c>
      <c r="C2808" s="2">
        <v>7.4598847805E10</v>
      </c>
      <c r="D2808" s="2" t="s">
        <v>27150</v>
      </c>
      <c r="E2808" s="2">
        <v>33762.0</v>
      </c>
      <c r="F2808" s="2">
        <v>24.0</v>
      </c>
      <c r="G2808" s="2">
        <v>45.0</v>
      </c>
      <c r="H2808" s="2" t="s">
        <v>5905</v>
      </c>
      <c r="I2808" s="2" t="s">
        <v>5905</v>
      </c>
      <c r="J2808" s="2" t="s">
        <v>27151</v>
      </c>
      <c r="K2808" s="2" t="s">
        <v>27152</v>
      </c>
    </row>
    <row r="2809">
      <c r="A2809" s="2" t="s">
        <v>4632</v>
      </c>
      <c r="B2809" s="2" t="s">
        <v>27153</v>
      </c>
      <c r="C2809" s="2">
        <v>1.090224305E9</v>
      </c>
      <c r="D2809" s="2" t="s">
        <v>27154</v>
      </c>
      <c r="E2809" s="2">
        <v>82666.0</v>
      </c>
      <c r="F2809" s="2">
        <v>79.0</v>
      </c>
      <c r="G2809" s="2">
        <v>2685.0</v>
      </c>
      <c r="H2809" s="2" t="s">
        <v>5905</v>
      </c>
      <c r="I2809" s="2" t="s">
        <v>5906</v>
      </c>
      <c r="J2809" s="2" t="s">
        <v>6745</v>
      </c>
      <c r="K2809" s="2" t="s">
        <v>27155</v>
      </c>
      <c r="L2809" s="10" t="s">
        <v>27156</v>
      </c>
    </row>
    <row r="2810">
      <c r="A2810" s="2" t="s">
        <v>4632</v>
      </c>
      <c r="B2810" s="2" t="s">
        <v>27157</v>
      </c>
      <c r="C2810" s="2">
        <v>3.092342006E9</v>
      </c>
      <c r="D2810" s="2" t="s">
        <v>27158</v>
      </c>
      <c r="E2810" s="2">
        <v>2960663.0</v>
      </c>
      <c r="F2810" s="2">
        <v>1217.0</v>
      </c>
      <c r="G2810" s="2">
        <v>3920.0</v>
      </c>
      <c r="H2810" s="2" t="s">
        <v>5905</v>
      </c>
      <c r="I2810" s="2" t="s">
        <v>5906</v>
      </c>
      <c r="J2810" s="2" t="s">
        <v>5928</v>
      </c>
      <c r="K2810" s="2" t="s">
        <v>27159</v>
      </c>
      <c r="L2810" s="10" t="s">
        <v>27160</v>
      </c>
    </row>
    <row r="2811">
      <c r="A2811" s="2" t="s">
        <v>4632</v>
      </c>
      <c r="B2811" s="2" t="s">
        <v>27161</v>
      </c>
      <c r="C2811" s="2">
        <v>5.7255337993E10</v>
      </c>
      <c r="D2811" s="2" t="s">
        <v>27162</v>
      </c>
      <c r="E2811" s="2">
        <v>243231.0</v>
      </c>
      <c r="F2811" s="2">
        <v>17.0</v>
      </c>
      <c r="G2811" s="2">
        <v>450.0</v>
      </c>
      <c r="H2811" s="2" t="s">
        <v>5905</v>
      </c>
      <c r="I2811" s="2" t="s">
        <v>5905</v>
      </c>
      <c r="J2811" s="2" t="s">
        <v>5959</v>
      </c>
      <c r="K2811" s="2" t="s">
        <v>27163</v>
      </c>
    </row>
    <row r="2812">
      <c r="A2812" s="2" t="s">
        <v>4632</v>
      </c>
      <c r="B2812" s="2" t="s">
        <v>27164</v>
      </c>
      <c r="C2812" s="2">
        <v>5.8345815038E10</v>
      </c>
      <c r="D2812" s="2" t="s">
        <v>27139</v>
      </c>
      <c r="E2812" s="2">
        <v>176520.0</v>
      </c>
      <c r="F2812" s="2">
        <v>19.0</v>
      </c>
      <c r="G2812" s="2">
        <v>214.0</v>
      </c>
      <c r="H2812" s="2" t="s">
        <v>5905</v>
      </c>
      <c r="I2812" s="2" t="s">
        <v>5905</v>
      </c>
      <c r="J2812" s="2" t="s">
        <v>4412</v>
      </c>
      <c r="K2812" s="2" t="s">
        <v>27165</v>
      </c>
    </row>
    <row r="2813">
      <c r="A2813" s="2" t="s">
        <v>4632</v>
      </c>
      <c r="B2813" s="2" t="s">
        <v>27166</v>
      </c>
      <c r="C2813" s="2">
        <v>6.5983491796E10</v>
      </c>
      <c r="D2813" s="2" t="s">
        <v>27167</v>
      </c>
      <c r="E2813" s="2">
        <v>13489.0</v>
      </c>
      <c r="F2813" s="2">
        <v>26.0</v>
      </c>
      <c r="G2813" s="2">
        <v>430.0</v>
      </c>
      <c r="H2813" s="2" t="s">
        <v>5905</v>
      </c>
      <c r="I2813" s="2" t="s">
        <v>5906</v>
      </c>
      <c r="J2813" s="2" t="s">
        <v>5492</v>
      </c>
      <c r="K2813" s="2" t="s">
        <v>27168</v>
      </c>
      <c r="L2813" s="10" t="s">
        <v>27169</v>
      </c>
    </row>
    <row r="2814">
      <c r="A2814" s="2" t="s">
        <v>4718</v>
      </c>
      <c r="B2814" s="2" t="s">
        <v>27170</v>
      </c>
      <c r="C2814" s="2">
        <v>6.7061952433E10</v>
      </c>
      <c r="D2814" s="2" t="s">
        <v>27171</v>
      </c>
      <c r="E2814" s="2">
        <v>216940.0</v>
      </c>
      <c r="F2814" s="2">
        <v>933.0</v>
      </c>
      <c r="G2814" s="2">
        <v>2287.0</v>
      </c>
      <c r="H2814" s="2" t="s">
        <v>5905</v>
      </c>
      <c r="I2814" s="2" t="s">
        <v>5905</v>
      </c>
      <c r="J2814" s="2" t="s">
        <v>5928</v>
      </c>
      <c r="K2814" s="2" t="s">
        <v>27172</v>
      </c>
    </row>
    <row r="2815">
      <c r="A2815" s="2" t="s">
        <v>4718</v>
      </c>
      <c r="B2815" s="2" t="s">
        <v>27173</v>
      </c>
      <c r="C2815" s="2">
        <v>4.25127E9</v>
      </c>
      <c r="D2815" s="12" t="s">
        <v>27174</v>
      </c>
      <c r="E2815" s="2">
        <v>31759.0</v>
      </c>
      <c r="F2815" s="2">
        <v>143.0</v>
      </c>
      <c r="G2815" s="2">
        <v>732.0</v>
      </c>
      <c r="H2815" s="2" t="s">
        <v>5905</v>
      </c>
      <c r="I2815" s="2" t="s">
        <v>5905</v>
      </c>
      <c r="K2815" s="12" t="s">
        <v>27175</v>
      </c>
    </row>
    <row r="2816">
      <c r="A2816" s="2" t="s">
        <v>4718</v>
      </c>
      <c r="B2816" s="2" t="s">
        <v>27176</v>
      </c>
      <c r="C2816" s="2">
        <v>4.489974953E10</v>
      </c>
      <c r="D2816" s="2" t="s">
        <v>27177</v>
      </c>
      <c r="E2816" s="2">
        <v>22278.0</v>
      </c>
      <c r="F2816" s="2">
        <v>1161.0</v>
      </c>
      <c r="G2816" s="2">
        <v>1150.0</v>
      </c>
      <c r="H2816" s="2" t="s">
        <v>5905</v>
      </c>
      <c r="I2816" s="2" t="s">
        <v>5905</v>
      </c>
      <c r="J2816" s="2" t="s">
        <v>27151</v>
      </c>
      <c r="K2816" s="2" t="s">
        <v>27178</v>
      </c>
    </row>
    <row r="2817">
      <c r="A2817" s="2" t="s">
        <v>4468</v>
      </c>
      <c r="B2817" s="2" t="s">
        <v>27179</v>
      </c>
      <c r="C2817" s="2">
        <v>5.0914601627E10</v>
      </c>
      <c r="D2817" s="2" t="s">
        <v>27180</v>
      </c>
      <c r="E2817" s="2">
        <v>104798.0</v>
      </c>
      <c r="F2817" s="2">
        <v>20.0</v>
      </c>
      <c r="G2817" s="2">
        <v>621.0</v>
      </c>
      <c r="H2817" s="2" t="s">
        <v>5905</v>
      </c>
      <c r="I2817" s="2" t="s">
        <v>5905</v>
      </c>
      <c r="J2817" s="2" t="s">
        <v>8245</v>
      </c>
      <c r="K2817" s="2" t="s">
        <v>27181</v>
      </c>
    </row>
    <row r="2818">
      <c r="A2818" s="2" t="s">
        <v>4468</v>
      </c>
      <c r="B2818" s="2" t="s">
        <v>27182</v>
      </c>
      <c r="C2818" s="2">
        <v>2.30914764E9</v>
      </c>
      <c r="D2818" s="2" t="s">
        <v>27183</v>
      </c>
      <c r="E2818" s="2">
        <v>307653.0</v>
      </c>
      <c r="F2818" s="2">
        <v>4.0</v>
      </c>
      <c r="G2818" s="2">
        <v>3862.0</v>
      </c>
      <c r="H2818" s="2" t="s">
        <v>5906</v>
      </c>
      <c r="I2818" s="2" t="s">
        <v>5906</v>
      </c>
      <c r="J2818" s="2" t="s">
        <v>6166</v>
      </c>
      <c r="K2818" s="2" t="s">
        <v>27184</v>
      </c>
      <c r="L2818" s="10" t="s">
        <v>27185</v>
      </c>
    </row>
    <row r="2819">
      <c r="A2819" s="2" t="s">
        <v>4468</v>
      </c>
      <c r="B2819" s="2" t="s">
        <v>27186</v>
      </c>
      <c r="C2819" s="2">
        <v>3.0350705797E10</v>
      </c>
      <c r="D2819" s="2" t="s">
        <v>27187</v>
      </c>
      <c r="E2819" s="2">
        <v>18177.0</v>
      </c>
      <c r="F2819" s="2">
        <v>3109.0</v>
      </c>
      <c r="G2819" s="2">
        <v>57.0</v>
      </c>
      <c r="H2819" s="2" t="s">
        <v>5905</v>
      </c>
      <c r="I2819" s="2" t="s">
        <v>5905</v>
      </c>
      <c r="J2819" s="2" t="s">
        <v>6166</v>
      </c>
    </row>
    <row r="2820">
      <c r="A2820" s="2" t="s">
        <v>4468</v>
      </c>
      <c r="B2820" s="2" t="s">
        <v>27188</v>
      </c>
      <c r="C2820" s="2">
        <v>5.2178509723E10</v>
      </c>
      <c r="D2820" s="2" t="s">
        <v>27189</v>
      </c>
      <c r="E2820" s="2">
        <v>131425.0</v>
      </c>
      <c r="F2820" s="2">
        <v>19.0</v>
      </c>
      <c r="G2820" s="2">
        <v>874.0</v>
      </c>
      <c r="H2820" s="2" t="s">
        <v>5905</v>
      </c>
      <c r="I2820" s="2" t="s">
        <v>5905</v>
      </c>
      <c r="J2820" s="2" t="s">
        <v>6166</v>
      </c>
      <c r="K2820" s="2" t="s">
        <v>27190</v>
      </c>
      <c r="L2820" s="10" t="s">
        <v>27191</v>
      </c>
    </row>
    <row r="2821">
      <c r="A2821" s="2" t="s">
        <v>4468</v>
      </c>
      <c r="B2821" s="2" t="s">
        <v>27192</v>
      </c>
      <c r="C2821" s="2">
        <v>3.2064688E8</v>
      </c>
      <c r="D2821" s="2" t="s">
        <v>27193</v>
      </c>
      <c r="E2821" s="2">
        <v>35473.0</v>
      </c>
      <c r="F2821" s="2">
        <v>7116.0</v>
      </c>
      <c r="G2821" s="2">
        <v>14418.0</v>
      </c>
      <c r="H2821" s="2" t="s">
        <v>5905</v>
      </c>
      <c r="I2821" s="2" t="s">
        <v>5906</v>
      </c>
      <c r="J2821" s="2" t="s">
        <v>5963</v>
      </c>
      <c r="K2821" s="2" t="s">
        <v>27194</v>
      </c>
      <c r="L2821" s="10" t="s">
        <v>27195</v>
      </c>
    </row>
    <row r="2822">
      <c r="A2822" s="2" t="s">
        <v>4468</v>
      </c>
      <c r="B2822" s="2" t="s">
        <v>27196</v>
      </c>
      <c r="C2822" s="2">
        <v>2.46115943E8</v>
      </c>
      <c r="D2822" s="2" t="s">
        <v>27197</v>
      </c>
      <c r="E2822" s="2">
        <v>45003.0</v>
      </c>
      <c r="F2822" s="2">
        <v>1522.0</v>
      </c>
      <c r="G2822" s="2">
        <v>3904.0</v>
      </c>
      <c r="H2822" s="2" t="s">
        <v>5905</v>
      </c>
      <c r="I2822" s="2" t="s">
        <v>5906</v>
      </c>
      <c r="J2822" s="2" t="s">
        <v>5391</v>
      </c>
      <c r="K2822" s="2" t="s">
        <v>27198</v>
      </c>
      <c r="L2822" s="10" t="s">
        <v>27199</v>
      </c>
    </row>
    <row r="2823">
      <c r="A2823" s="2" t="s">
        <v>4468</v>
      </c>
      <c r="B2823" s="2" t="s">
        <v>27200</v>
      </c>
      <c r="C2823" s="2">
        <v>1.461857368E9</v>
      </c>
      <c r="D2823" s="2" t="s">
        <v>27201</v>
      </c>
      <c r="E2823" s="2">
        <v>762599.0</v>
      </c>
      <c r="F2823" s="2">
        <v>3.0</v>
      </c>
      <c r="G2823" s="2">
        <v>19913.0</v>
      </c>
      <c r="H2823" s="2" t="s">
        <v>5906</v>
      </c>
      <c r="I2823" s="2" t="s">
        <v>5905</v>
      </c>
      <c r="J2823" s="2" t="s">
        <v>6166</v>
      </c>
      <c r="K2823" s="2" t="s">
        <v>27202</v>
      </c>
      <c r="L2823" s="10" t="s">
        <v>27203</v>
      </c>
    </row>
    <row r="2824">
      <c r="A2824" s="2" t="s">
        <v>4468</v>
      </c>
      <c r="B2824" s="2" t="s">
        <v>27204</v>
      </c>
      <c r="C2824" s="2">
        <v>9.012758139E9</v>
      </c>
      <c r="D2824" s="2" t="s">
        <v>27205</v>
      </c>
      <c r="E2824" s="2">
        <v>250289.0</v>
      </c>
      <c r="F2824" s="2">
        <v>1289.0</v>
      </c>
      <c r="G2824" s="2">
        <v>8014.0</v>
      </c>
      <c r="H2824" s="2" t="s">
        <v>5905</v>
      </c>
      <c r="I2824" s="2" t="s">
        <v>5906</v>
      </c>
      <c r="J2824" s="2" t="s">
        <v>6166</v>
      </c>
      <c r="K2824" s="2" t="s">
        <v>27206</v>
      </c>
      <c r="L2824" s="10" t="s">
        <v>27207</v>
      </c>
    </row>
    <row r="2825">
      <c r="A2825" s="2" t="s">
        <v>4468</v>
      </c>
      <c r="B2825" s="2" t="s">
        <v>27208</v>
      </c>
      <c r="C2825" s="2">
        <v>2.4309415404E10</v>
      </c>
      <c r="D2825" s="2" t="s">
        <v>27209</v>
      </c>
      <c r="E2825" s="2">
        <v>525759.0</v>
      </c>
      <c r="F2825" s="2">
        <v>11.0</v>
      </c>
      <c r="G2825" s="2">
        <v>4325.0</v>
      </c>
      <c r="H2825" s="2" t="s">
        <v>5905</v>
      </c>
      <c r="I2825" s="2" t="s">
        <v>5905</v>
      </c>
      <c r="J2825" s="2" t="s">
        <v>6166</v>
      </c>
      <c r="K2825" s="2" t="s">
        <v>27210</v>
      </c>
    </row>
    <row r="2826">
      <c r="A2826" s="2" t="s">
        <v>4622</v>
      </c>
      <c r="B2826" s="2" t="s">
        <v>27211</v>
      </c>
      <c r="C2826" s="2">
        <v>3.8665115751E10</v>
      </c>
      <c r="D2826" s="2" t="s">
        <v>15</v>
      </c>
      <c r="E2826" s="2">
        <v>33384.0</v>
      </c>
      <c r="F2826" s="2">
        <v>0.0</v>
      </c>
      <c r="G2826" s="2">
        <v>107.0</v>
      </c>
      <c r="H2826" s="2" t="s">
        <v>5905</v>
      </c>
      <c r="I2826" s="2" t="s">
        <v>5905</v>
      </c>
      <c r="J2826" s="2" t="s">
        <v>7140</v>
      </c>
      <c r="K2826" s="2" t="s">
        <v>27212</v>
      </c>
    </row>
    <row r="2827">
      <c r="A2827" s="2" t="s">
        <v>4622</v>
      </c>
      <c r="B2827" s="2" t="s">
        <v>27213</v>
      </c>
      <c r="C2827" s="2">
        <v>2.5722874E8</v>
      </c>
      <c r="D2827" s="2" t="s">
        <v>27214</v>
      </c>
      <c r="E2827" s="2">
        <v>20487.0</v>
      </c>
      <c r="F2827" s="2">
        <v>19.0</v>
      </c>
      <c r="G2827" s="2">
        <v>104.0</v>
      </c>
      <c r="H2827" s="2" t="s">
        <v>5905</v>
      </c>
      <c r="I2827" s="2" t="s">
        <v>5905</v>
      </c>
      <c r="J2827" s="2" t="s">
        <v>9793</v>
      </c>
      <c r="K2827" s="2" t="s">
        <v>27215</v>
      </c>
    </row>
    <row r="2828">
      <c r="A2828" s="2" t="s">
        <v>4739</v>
      </c>
      <c r="B2828" s="2" t="s">
        <v>27216</v>
      </c>
      <c r="C2828" s="2">
        <v>1.1153456969E10</v>
      </c>
      <c r="D2828" s="2" t="s">
        <v>4739</v>
      </c>
      <c r="E2828" s="2">
        <v>92661.0</v>
      </c>
      <c r="F2828" s="2">
        <v>14.0</v>
      </c>
      <c r="G2828" s="2">
        <v>9.0</v>
      </c>
      <c r="H2828" s="2" t="s">
        <v>5905</v>
      </c>
      <c r="I2828" s="2" t="s">
        <v>5906</v>
      </c>
      <c r="J2828" s="2" t="s">
        <v>6393</v>
      </c>
    </row>
    <row r="2829">
      <c r="A2829" s="2" t="s">
        <v>4749</v>
      </c>
      <c r="B2829" s="2" t="s">
        <v>27217</v>
      </c>
      <c r="C2829" s="2">
        <v>6.77096431E8</v>
      </c>
      <c r="D2829" s="2" t="s">
        <v>27218</v>
      </c>
      <c r="E2829" s="2">
        <v>18898.0</v>
      </c>
      <c r="F2829" s="2">
        <v>414.0</v>
      </c>
      <c r="G2829" s="2">
        <v>437.0</v>
      </c>
      <c r="H2829" s="2" t="s">
        <v>5905</v>
      </c>
      <c r="I2829" s="2" t="s">
        <v>5906</v>
      </c>
      <c r="J2829" s="2" t="s">
        <v>5963</v>
      </c>
      <c r="K2829" s="2" t="s">
        <v>27219</v>
      </c>
      <c r="L2829" s="10" t="s">
        <v>27220</v>
      </c>
    </row>
    <row r="2830">
      <c r="A2830" s="2" t="s">
        <v>4749</v>
      </c>
      <c r="B2830" s="2" t="s">
        <v>27221</v>
      </c>
      <c r="C2830" s="2">
        <v>1.7312562873E10</v>
      </c>
      <c r="D2830" s="2" t="s">
        <v>27222</v>
      </c>
      <c r="E2830" s="2">
        <v>121313.0</v>
      </c>
      <c r="F2830" s="2">
        <v>1491.0</v>
      </c>
      <c r="G2830" s="2">
        <v>956.0</v>
      </c>
      <c r="H2830" s="2" t="s">
        <v>5905</v>
      </c>
      <c r="I2830" s="2" t="s">
        <v>5905</v>
      </c>
      <c r="J2830" s="2" t="s">
        <v>18886</v>
      </c>
      <c r="K2830" s="2" t="s">
        <v>27223</v>
      </c>
      <c r="L2830" s="10" t="s">
        <v>27224</v>
      </c>
    </row>
    <row r="2831">
      <c r="A2831" s="2" t="s">
        <v>4749</v>
      </c>
      <c r="B2831" s="2" t="s">
        <v>27225</v>
      </c>
      <c r="C2831" s="2">
        <v>4.631156588E9</v>
      </c>
      <c r="D2831" s="2" t="s">
        <v>27226</v>
      </c>
      <c r="E2831" s="2">
        <v>729570.0</v>
      </c>
      <c r="F2831" s="2">
        <v>447.0</v>
      </c>
      <c r="G2831" s="2">
        <v>6920.0</v>
      </c>
      <c r="H2831" s="2" t="s">
        <v>5905</v>
      </c>
      <c r="I2831" s="2" t="s">
        <v>5906</v>
      </c>
      <c r="J2831" s="2" t="s">
        <v>15546</v>
      </c>
      <c r="K2831" s="2" t="s">
        <v>27227</v>
      </c>
      <c r="L2831" s="10" t="s">
        <v>27228</v>
      </c>
    </row>
    <row r="2832">
      <c r="A2832" s="2" t="s">
        <v>4749</v>
      </c>
      <c r="B2832" s="10" t="s">
        <v>27229</v>
      </c>
      <c r="C2832" s="2">
        <v>6.127036537E9</v>
      </c>
      <c r="D2832" s="2" t="s">
        <v>27230</v>
      </c>
      <c r="E2832" s="2">
        <v>31509.0</v>
      </c>
      <c r="F2832" s="2">
        <v>110.0</v>
      </c>
      <c r="G2832" s="2">
        <v>1800.0</v>
      </c>
      <c r="H2832" s="2" t="s">
        <v>5905</v>
      </c>
      <c r="I2832" s="2" t="s">
        <v>5906</v>
      </c>
      <c r="J2832" s="2" t="s">
        <v>6002</v>
      </c>
      <c r="K2832" s="2" t="s">
        <v>27231</v>
      </c>
      <c r="L2832" s="10" t="s">
        <v>27232</v>
      </c>
    </row>
    <row r="2833">
      <c r="A2833" s="2" t="s">
        <v>4749</v>
      </c>
      <c r="B2833" s="2" t="s">
        <v>27233</v>
      </c>
      <c r="C2833" s="2">
        <v>7.52056954E9</v>
      </c>
      <c r="D2833" s="2" t="s">
        <v>27234</v>
      </c>
      <c r="E2833" s="2">
        <v>37345.0</v>
      </c>
      <c r="F2833" s="2">
        <v>1826.0</v>
      </c>
      <c r="G2833" s="2">
        <v>1556.0</v>
      </c>
      <c r="H2833" s="2" t="s">
        <v>5905</v>
      </c>
      <c r="I2833" s="2" t="s">
        <v>5906</v>
      </c>
      <c r="J2833" s="2" t="s">
        <v>16974</v>
      </c>
      <c r="K2833" s="2" t="s">
        <v>27235</v>
      </c>
      <c r="L2833" s="10" t="s">
        <v>27236</v>
      </c>
    </row>
    <row r="2834">
      <c r="A2834" s="2" t="s">
        <v>4749</v>
      </c>
      <c r="B2834" s="2" t="s">
        <v>27237</v>
      </c>
      <c r="C2834" s="2">
        <v>9.024476428E9</v>
      </c>
      <c r="D2834" s="2" t="s">
        <v>27238</v>
      </c>
      <c r="E2834" s="2">
        <v>122302.0</v>
      </c>
      <c r="F2834" s="2">
        <v>149.0</v>
      </c>
      <c r="G2834" s="2">
        <v>989.0</v>
      </c>
      <c r="H2834" s="2" t="s">
        <v>5905</v>
      </c>
      <c r="I2834" s="2" t="s">
        <v>5906</v>
      </c>
      <c r="J2834" s="2" t="s">
        <v>6002</v>
      </c>
      <c r="K2834" s="2" t="s">
        <v>27239</v>
      </c>
      <c r="L2834" s="10" t="s">
        <v>27240</v>
      </c>
    </row>
    <row r="2835">
      <c r="A2835" s="2" t="s">
        <v>4749</v>
      </c>
      <c r="B2835" s="2" t="s">
        <v>27241</v>
      </c>
      <c r="C2835" s="2">
        <v>1.6817952E7</v>
      </c>
      <c r="D2835" s="2" t="s">
        <v>27242</v>
      </c>
      <c r="E2835" s="2">
        <v>159314.0</v>
      </c>
      <c r="F2835" s="2">
        <v>2816.0</v>
      </c>
      <c r="G2835" s="2">
        <v>406.0</v>
      </c>
      <c r="H2835" s="2" t="s">
        <v>5906</v>
      </c>
      <c r="I2835" s="2" t="s">
        <v>5906</v>
      </c>
      <c r="J2835" s="2" t="s">
        <v>6414</v>
      </c>
      <c r="K2835" s="2" t="s">
        <v>27243</v>
      </c>
      <c r="L2835" s="10" t="s">
        <v>27244</v>
      </c>
    </row>
    <row r="2836">
      <c r="A2836" s="2" t="s">
        <v>4749</v>
      </c>
      <c r="B2836" s="2" t="s">
        <v>27245</v>
      </c>
      <c r="C2836" s="2">
        <v>2.38047472E8</v>
      </c>
      <c r="D2836" s="2" t="s">
        <v>27246</v>
      </c>
      <c r="E2836" s="2">
        <v>233455.0</v>
      </c>
      <c r="F2836" s="2">
        <v>98.0</v>
      </c>
      <c r="G2836" s="2">
        <v>344.0</v>
      </c>
      <c r="H2836" s="2" t="s">
        <v>5906</v>
      </c>
      <c r="I2836" s="2" t="s">
        <v>5905</v>
      </c>
      <c r="J2836" s="2" t="s">
        <v>6414</v>
      </c>
      <c r="K2836" s="2" t="s">
        <v>27247</v>
      </c>
      <c r="L2836" s="10" t="s">
        <v>27248</v>
      </c>
    </row>
    <row r="2837">
      <c r="A2837" s="2" t="s">
        <v>4749</v>
      </c>
      <c r="B2837" s="2" t="s">
        <v>27249</v>
      </c>
      <c r="C2837" s="2">
        <v>6.976643956E9</v>
      </c>
      <c r="D2837" s="10" t="s">
        <v>27250</v>
      </c>
      <c r="E2837" s="2">
        <v>517004.0</v>
      </c>
      <c r="F2837" s="2">
        <v>629.0</v>
      </c>
      <c r="G2837" s="2">
        <v>2790.0</v>
      </c>
      <c r="H2837" s="2" t="s">
        <v>5905</v>
      </c>
      <c r="I2837" s="2" t="s">
        <v>5906</v>
      </c>
      <c r="J2837" s="2" t="s">
        <v>4996</v>
      </c>
      <c r="K2837" s="2" t="s">
        <v>27251</v>
      </c>
      <c r="L2837" s="10" t="s">
        <v>27252</v>
      </c>
    </row>
    <row r="2838">
      <c r="A2838" s="2" t="s">
        <v>4523</v>
      </c>
      <c r="B2838" s="2" t="s">
        <v>27253</v>
      </c>
      <c r="C2838" s="2">
        <v>1.822430809E9</v>
      </c>
      <c r="D2838" s="12" t="s">
        <v>27254</v>
      </c>
      <c r="E2838" s="2">
        <v>571805.0</v>
      </c>
      <c r="F2838" s="2">
        <v>7.0</v>
      </c>
      <c r="G2838" s="2">
        <v>13731.0</v>
      </c>
      <c r="H2838" s="2" t="s">
        <v>5905</v>
      </c>
      <c r="I2838" s="2" t="s">
        <v>5905</v>
      </c>
      <c r="J2838" s="2" t="s">
        <v>5911</v>
      </c>
      <c r="K2838" s="12" t="s">
        <v>27255</v>
      </c>
      <c r="L2838" s="10" t="s">
        <v>27256</v>
      </c>
    </row>
    <row r="2839">
      <c r="A2839" s="2" t="s">
        <v>4523</v>
      </c>
      <c r="B2839" s="2" t="s">
        <v>27257</v>
      </c>
      <c r="C2839" s="2">
        <v>3.0709783E7</v>
      </c>
      <c r="D2839" s="2" t="s">
        <v>27258</v>
      </c>
      <c r="E2839" s="2">
        <v>3946307.0</v>
      </c>
      <c r="F2839" s="2">
        <v>2941.0</v>
      </c>
      <c r="G2839" s="2">
        <v>853.0</v>
      </c>
      <c r="H2839" s="2" t="s">
        <v>5906</v>
      </c>
      <c r="I2839" s="2" t="s">
        <v>5905</v>
      </c>
      <c r="J2839" s="2" t="s">
        <v>5993</v>
      </c>
      <c r="K2839" s="2" t="s">
        <v>27259</v>
      </c>
      <c r="L2839" s="10" t="s">
        <v>27260</v>
      </c>
    </row>
    <row r="2840">
      <c r="A2840" s="2" t="s">
        <v>32</v>
      </c>
      <c r="B2840" s="2" t="s">
        <v>27261</v>
      </c>
      <c r="C2840" s="2">
        <v>3.02232668E8</v>
      </c>
      <c r="D2840" s="2" t="s">
        <v>27262</v>
      </c>
      <c r="E2840" s="2">
        <v>45327.0</v>
      </c>
      <c r="F2840" s="2">
        <v>1544.0</v>
      </c>
      <c r="G2840" s="2">
        <v>1919.0</v>
      </c>
      <c r="H2840" s="2" t="s">
        <v>5905</v>
      </c>
      <c r="I2840" s="2" t="s">
        <v>5905</v>
      </c>
      <c r="J2840" s="2" t="s">
        <v>9793</v>
      </c>
      <c r="K2840" s="2" t="s">
        <v>27263</v>
      </c>
      <c r="L2840" s="10" t="s">
        <v>27264</v>
      </c>
    </row>
    <row r="2841">
      <c r="A2841" s="2" t="s">
        <v>32</v>
      </c>
      <c r="B2841" s="2" t="s">
        <v>27265</v>
      </c>
      <c r="C2841" s="2">
        <v>5.435975245E9</v>
      </c>
      <c r="D2841" s="2" t="s">
        <v>27266</v>
      </c>
      <c r="E2841" s="2">
        <v>1935789.0</v>
      </c>
      <c r="F2841" s="2">
        <v>429.0</v>
      </c>
      <c r="G2841" s="2">
        <v>7723.0</v>
      </c>
      <c r="H2841" s="2" t="s">
        <v>5905</v>
      </c>
      <c r="I2841" s="2" t="s">
        <v>5906</v>
      </c>
      <c r="J2841" s="2" t="s">
        <v>6393</v>
      </c>
      <c r="K2841" s="2" t="s">
        <v>27267</v>
      </c>
    </row>
    <row r="2842">
      <c r="A2842" s="2" t="s">
        <v>32</v>
      </c>
      <c r="B2842" s="2" t="s">
        <v>27268</v>
      </c>
      <c r="C2842" s="2">
        <v>7.5857075852E10</v>
      </c>
      <c r="D2842" s="2" t="s">
        <v>27269</v>
      </c>
      <c r="E2842" s="2">
        <v>11531.0</v>
      </c>
      <c r="F2842" s="2">
        <v>1.0</v>
      </c>
      <c r="G2842" s="2">
        <v>329.0</v>
      </c>
      <c r="H2842" s="2" t="s">
        <v>5905</v>
      </c>
      <c r="I2842" s="2" t="s">
        <v>5905</v>
      </c>
      <c r="K2842" s="12" t="s">
        <v>27270</v>
      </c>
    </row>
    <row r="2843">
      <c r="A2843" s="2" t="s">
        <v>32</v>
      </c>
      <c r="B2843" s="2" t="s">
        <v>27271</v>
      </c>
      <c r="C2843" s="2">
        <v>3.29503223E8</v>
      </c>
      <c r="D2843" s="2" t="s">
        <v>27272</v>
      </c>
      <c r="E2843" s="2">
        <v>24763.0</v>
      </c>
      <c r="F2843" s="2">
        <v>3685.0</v>
      </c>
      <c r="G2843" s="2">
        <v>3838.0</v>
      </c>
      <c r="H2843" s="2" t="s">
        <v>5905</v>
      </c>
      <c r="I2843" s="2" t="s">
        <v>5906</v>
      </c>
      <c r="J2843" s="2" t="s">
        <v>17093</v>
      </c>
      <c r="K2843" s="2" t="s">
        <v>27273</v>
      </c>
    </row>
    <row r="2844">
      <c r="A2844" s="2" t="s">
        <v>32</v>
      </c>
      <c r="B2844" s="2" t="s">
        <v>27274</v>
      </c>
      <c r="C2844" s="2">
        <v>4.035529651E9</v>
      </c>
      <c r="D2844" s="2" t="s">
        <v>27275</v>
      </c>
      <c r="E2844" s="2">
        <v>276968.0</v>
      </c>
      <c r="F2844" s="2">
        <v>735.0</v>
      </c>
      <c r="G2844" s="2">
        <v>33.0</v>
      </c>
      <c r="H2844" s="2" t="s">
        <v>5906</v>
      </c>
      <c r="I2844" s="2" t="s">
        <v>5905</v>
      </c>
      <c r="J2844" s="2" t="s">
        <v>5928</v>
      </c>
      <c r="K2844" s="2" t="s">
        <v>27276</v>
      </c>
      <c r="L2844" s="10" t="s">
        <v>27277</v>
      </c>
    </row>
    <row r="2845">
      <c r="A2845" s="2" t="s">
        <v>32</v>
      </c>
      <c r="B2845" s="2" t="s">
        <v>27278</v>
      </c>
      <c r="C2845" s="2">
        <v>5.0114080429E10</v>
      </c>
      <c r="D2845" s="2" t="s">
        <v>27279</v>
      </c>
      <c r="E2845" s="2">
        <v>161271.0</v>
      </c>
      <c r="F2845" s="2">
        <v>353.0</v>
      </c>
      <c r="G2845" s="2">
        <v>97.0</v>
      </c>
      <c r="H2845" s="2" t="s">
        <v>5905</v>
      </c>
      <c r="I2845" s="2" t="s">
        <v>5906</v>
      </c>
      <c r="J2845" s="2" t="s">
        <v>13763</v>
      </c>
      <c r="K2845" s="2" t="s">
        <v>27280</v>
      </c>
    </row>
    <row r="2846">
      <c r="A2846" s="2" t="s">
        <v>32</v>
      </c>
      <c r="B2846" s="2" t="s">
        <v>32</v>
      </c>
      <c r="C2846" s="2">
        <v>5.2946723E7</v>
      </c>
      <c r="D2846" s="2" t="s">
        <v>27269</v>
      </c>
      <c r="E2846" s="2">
        <v>4212002.0</v>
      </c>
      <c r="F2846" s="2">
        <v>401.0</v>
      </c>
      <c r="G2846" s="2">
        <v>7767.0</v>
      </c>
      <c r="H2846" s="2" t="s">
        <v>5906</v>
      </c>
      <c r="I2846" s="2" t="s">
        <v>5906</v>
      </c>
      <c r="K2846" s="2" t="s">
        <v>27281</v>
      </c>
      <c r="L2846" s="10" t="s">
        <v>27282</v>
      </c>
    </row>
    <row r="2847">
      <c r="A2847" s="2" t="s">
        <v>32</v>
      </c>
      <c r="B2847" s="2" t="s">
        <v>27283</v>
      </c>
      <c r="C2847" s="2">
        <v>2.68117705E8</v>
      </c>
      <c r="D2847" s="2" t="s">
        <v>27284</v>
      </c>
      <c r="E2847" s="2">
        <v>1449242.0</v>
      </c>
      <c r="F2847" s="2">
        <v>1879.0</v>
      </c>
      <c r="G2847" s="2">
        <v>3160.0</v>
      </c>
      <c r="H2847" s="2" t="s">
        <v>5906</v>
      </c>
      <c r="I2847" s="2" t="s">
        <v>5905</v>
      </c>
      <c r="K2847" s="2" t="s">
        <v>27285</v>
      </c>
      <c r="L2847" s="10" t="s">
        <v>27286</v>
      </c>
    </row>
    <row r="2848">
      <c r="A2848" s="2" t="s">
        <v>32</v>
      </c>
      <c r="B2848" s="2" t="s">
        <v>27287</v>
      </c>
      <c r="C2848" s="2">
        <v>5.1562050144E10</v>
      </c>
      <c r="D2848" s="2" t="s">
        <v>27288</v>
      </c>
      <c r="E2848" s="2">
        <v>931420.0</v>
      </c>
      <c r="F2848" s="2">
        <v>433.0</v>
      </c>
      <c r="G2848" s="2">
        <v>414.0</v>
      </c>
      <c r="H2848" s="2" t="s">
        <v>5906</v>
      </c>
      <c r="I2848" s="2" t="s">
        <v>5905</v>
      </c>
      <c r="J2848" s="2" t="s">
        <v>13763</v>
      </c>
      <c r="K2848" s="2" t="s">
        <v>27289</v>
      </c>
      <c r="L2848" s="10" t="s">
        <v>27290</v>
      </c>
    </row>
    <row r="2849">
      <c r="A2849" s="2" t="s">
        <v>32</v>
      </c>
      <c r="B2849" s="2" t="s">
        <v>27291</v>
      </c>
      <c r="C2849" s="2">
        <v>3.69468961E8</v>
      </c>
      <c r="D2849" s="2" t="s">
        <v>27292</v>
      </c>
      <c r="E2849" s="2">
        <v>701901.0</v>
      </c>
      <c r="F2849" s="2">
        <v>871.0</v>
      </c>
      <c r="G2849" s="2">
        <v>1124.0</v>
      </c>
      <c r="H2849" s="2" t="s">
        <v>5906</v>
      </c>
      <c r="I2849" s="2" t="s">
        <v>5906</v>
      </c>
      <c r="J2849" s="2" t="s">
        <v>6414</v>
      </c>
      <c r="K2849" s="2" t="s">
        <v>27293</v>
      </c>
      <c r="L2849" s="10" t="s">
        <v>27294</v>
      </c>
    </row>
  </sheetData>
  <hyperlinks>
    <hyperlink r:id="rId1" ref="L2"/>
    <hyperlink r:id="rId2" ref="L3"/>
    <hyperlink r:id="rId3" ref="L4"/>
    <hyperlink r:id="rId4" ref="L5"/>
    <hyperlink r:id="rId5" ref="L6"/>
    <hyperlink r:id="rId6" ref="L7"/>
    <hyperlink r:id="rId7" ref="L9"/>
    <hyperlink r:id="rId8" ref="L12"/>
    <hyperlink r:id="rId9" ref="L13"/>
    <hyperlink r:id="rId10" ref="L14"/>
    <hyperlink r:id="rId11" ref="L15"/>
    <hyperlink r:id="rId12" ref="L16"/>
    <hyperlink r:id="rId13" ref="L18"/>
    <hyperlink r:id="rId14" ref="L20"/>
    <hyperlink r:id="rId15" ref="L22"/>
    <hyperlink r:id="rId16" ref="L23"/>
    <hyperlink r:id="rId17" ref="L24"/>
    <hyperlink r:id="rId18" ref="L25"/>
    <hyperlink r:id="rId19" ref="L27"/>
    <hyperlink r:id="rId20" ref="L28"/>
    <hyperlink r:id="rId21" ref="L29"/>
    <hyperlink r:id="rId22" ref="L30"/>
    <hyperlink r:id="rId23" ref="L31"/>
    <hyperlink r:id="rId24" ref="L32"/>
    <hyperlink r:id="rId25" ref="K33"/>
    <hyperlink r:id="rId26" ref="L33"/>
    <hyperlink r:id="rId27" ref="L34"/>
    <hyperlink r:id="rId28" ref="L35"/>
    <hyperlink r:id="rId29" ref="L36"/>
    <hyperlink r:id="rId30" ref="L37"/>
    <hyperlink r:id="rId31" ref="L38"/>
    <hyperlink r:id="rId32" ref="L39"/>
    <hyperlink r:id="rId33" ref="L40"/>
    <hyperlink r:id="rId34" ref="L42"/>
    <hyperlink r:id="rId35" ref="L44"/>
    <hyperlink r:id="rId36" ref="L47"/>
    <hyperlink r:id="rId37" ref="L49"/>
    <hyperlink r:id="rId38" ref="L50"/>
    <hyperlink r:id="rId39" ref="L52"/>
    <hyperlink r:id="rId40" ref="L54"/>
    <hyperlink r:id="rId41" ref="L55"/>
    <hyperlink r:id="rId42" ref="B58"/>
    <hyperlink r:id="rId43" ref="L59"/>
    <hyperlink r:id="rId44" ref="B60"/>
    <hyperlink r:id="rId45" ref="L60"/>
    <hyperlink r:id="rId46" ref="L61"/>
    <hyperlink r:id="rId47" ref="L62"/>
    <hyperlink r:id="rId48" ref="L63"/>
    <hyperlink r:id="rId49" ref="B64"/>
    <hyperlink r:id="rId50" ref="L65"/>
    <hyperlink r:id="rId51" ref="L66"/>
    <hyperlink r:id="rId52" ref="L67"/>
    <hyperlink r:id="rId53" ref="B68"/>
    <hyperlink r:id="rId54" ref="L68"/>
    <hyperlink r:id="rId55" ref="L69"/>
    <hyperlink r:id="rId56" ref="L71"/>
    <hyperlink r:id="rId57" ref="L72"/>
    <hyperlink r:id="rId58" ref="B73"/>
    <hyperlink r:id="rId59" ref="L74"/>
    <hyperlink r:id="rId60" ref="B75"/>
    <hyperlink r:id="rId61" ref="L75"/>
    <hyperlink r:id="rId62" ref="L76"/>
    <hyperlink r:id="rId63" ref="L77"/>
    <hyperlink r:id="rId64" ref="L78"/>
    <hyperlink r:id="rId65" ref="L79"/>
    <hyperlink r:id="rId66" ref="L80"/>
    <hyperlink r:id="rId67" ref="L81"/>
    <hyperlink r:id="rId68" ref="L82"/>
    <hyperlink r:id="rId69" ref="L84"/>
    <hyperlink r:id="rId70" ref="L85"/>
    <hyperlink r:id="rId71" ref="L86"/>
    <hyperlink r:id="rId72" ref="L87"/>
    <hyperlink r:id="rId73" ref="L88"/>
    <hyperlink r:id="rId74" ref="L89"/>
    <hyperlink r:id="rId75" ref="L90"/>
    <hyperlink r:id="rId76" ref="L91"/>
    <hyperlink r:id="rId77" ref="L92"/>
    <hyperlink r:id="rId78" ref="L93"/>
    <hyperlink r:id="rId79" ref="L94"/>
    <hyperlink r:id="rId80" ref="L95"/>
    <hyperlink r:id="rId81" ref="L100"/>
    <hyperlink r:id="rId82" ref="L101"/>
    <hyperlink r:id="rId83" ref="L102"/>
    <hyperlink r:id="rId84" ref="L103"/>
    <hyperlink r:id="rId85" ref="L104"/>
    <hyperlink r:id="rId86" ref="L105"/>
    <hyperlink r:id="rId87" ref="L106"/>
    <hyperlink r:id="rId88" ref="L107"/>
    <hyperlink r:id="rId89" ref="L108"/>
    <hyperlink r:id="rId90" ref="L109"/>
    <hyperlink r:id="rId91" ref="L110"/>
    <hyperlink r:id="rId92" ref="L111"/>
    <hyperlink r:id="rId93" ref="L112"/>
    <hyperlink r:id="rId94" ref="L113"/>
    <hyperlink r:id="rId95" ref="L115"/>
    <hyperlink r:id="rId96" ref="L116"/>
    <hyperlink r:id="rId97" ref="L117"/>
    <hyperlink r:id="rId98" ref="L118"/>
    <hyperlink r:id="rId99" ref="L120"/>
    <hyperlink r:id="rId100" ref="L121"/>
    <hyperlink r:id="rId101" ref="L122"/>
    <hyperlink r:id="rId102" ref="L123"/>
    <hyperlink r:id="rId103" ref="L124"/>
    <hyperlink r:id="rId104" ref="L126"/>
    <hyperlink r:id="rId105" ref="L127"/>
    <hyperlink r:id="rId106" ref="L128"/>
    <hyperlink r:id="rId107" ref="L129"/>
    <hyperlink r:id="rId108" ref="L130"/>
    <hyperlink r:id="rId109" ref="L131"/>
    <hyperlink r:id="rId110" ref="L132"/>
    <hyperlink r:id="rId111" ref="L133"/>
    <hyperlink r:id="rId112" ref="L134"/>
    <hyperlink r:id="rId113" ref="L135"/>
    <hyperlink r:id="rId114" ref="L136"/>
    <hyperlink r:id="rId115" ref="B137"/>
    <hyperlink r:id="rId116" ref="L138"/>
    <hyperlink r:id="rId117" ref="L139"/>
    <hyperlink r:id="rId118" ref="L141"/>
    <hyperlink r:id="rId119" ref="L142"/>
    <hyperlink r:id="rId120" ref="L143"/>
    <hyperlink r:id="rId121" ref="L144"/>
    <hyperlink r:id="rId122" ref="L145"/>
    <hyperlink r:id="rId123" ref="L146"/>
    <hyperlink r:id="rId124" ref="L147"/>
    <hyperlink r:id="rId125" ref="L148"/>
    <hyperlink r:id="rId126" ref="K150"/>
    <hyperlink r:id="rId127" ref="L150"/>
    <hyperlink r:id="rId128" ref="L151"/>
    <hyperlink r:id="rId129" ref="L155"/>
    <hyperlink r:id="rId130" ref="L157"/>
    <hyperlink r:id="rId131" ref="L158"/>
    <hyperlink r:id="rId132" ref="L160"/>
    <hyperlink r:id="rId133" ref="L161"/>
    <hyperlink r:id="rId134" ref="L162"/>
    <hyperlink r:id="rId135" ref="L163"/>
    <hyperlink r:id="rId136" ref="L164"/>
    <hyperlink r:id="rId137" ref="L166"/>
    <hyperlink r:id="rId138" ref="L167"/>
    <hyperlink r:id="rId139" ref="L169"/>
    <hyperlink r:id="rId140" ref="L170"/>
    <hyperlink r:id="rId141" ref="L172"/>
    <hyperlink r:id="rId142" ref="L173"/>
    <hyperlink r:id="rId143" ref="L174"/>
    <hyperlink r:id="rId144" ref="L175"/>
    <hyperlink r:id="rId145" ref="L176"/>
    <hyperlink r:id="rId146" ref="L177"/>
    <hyperlink r:id="rId147" ref="L178"/>
    <hyperlink r:id="rId148" ref="L179"/>
    <hyperlink r:id="rId149" ref="L180"/>
    <hyperlink r:id="rId150" ref="L181"/>
    <hyperlink r:id="rId151" ref="L182"/>
    <hyperlink r:id="rId152" ref="L183"/>
    <hyperlink r:id="rId153" ref="L184"/>
    <hyperlink r:id="rId154" ref="L185"/>
    <hyperlink r:id="rId155" ref="L186"/>
    <hyperlink r:id="rId156" ref="L187"/>
    <hyperlink r:id="rId157" ref="L188"/>
    <hyperlink r:id="rId158" ref="L189"/>
    <hyperlink r:id="rId159" ref="L190"/>
    <hyperlink r:id="rId160" ref="L192"/>
    <hyperlink r:id="rId161" ref="B193"/>
    <hyperlink r:id="rId162" ref="L193"/>
    <hyperlink r:id="rId163" ref="L196"/>
    <hyperlink r:id="rId164" ref="L198"/>
    <hyperlink r:id="rId165" ref="L199"/>
    <hyperlink r:id="rId166" ref="L201"/>
    <hyperlink r:id="rId167" ref="L202"/>
    <hyperlink r:id="rId168" ref="L203"/>
    <hyperlink r:id="rId169" ref="L204"/>
    <hyperlink r:id="rId170" ref="L205"/>
    <hyperlink r:id="rId171" ref="L206"/>
    <hyperlink r:id="rId172" ref="L211"/>
    <hyperlink r:id="rId173" ref="L212"/>
    <hyperlink r:id="rId174" ref="L214"/>
    <hyperlink r:id="rId175" ref="L217"/>
    <hyperlink r:id="rId176" ref="L218"/>
    <hyperlink r:id="rId177" ref="L221"/>
    <hyperlink r:id="rId178" ref="L222"/>
    <hyperlink r:id="rId179" ref="L223"/>
    <hyperlink r:id="rId180" ref="L224"/>
    <hyperlink r:id="rId181" ref="L225"/>
    <hyperlink r:id="rId182" ref="L226"/>
    <hyperlink r:id="rId183" ref="L227"/>
    <hyperlink r:id="rId184" ref="L228"/>
    <hyperlink r:id="rId185" ref="L229"/>
    <hyperlink r:id="rId186" ref="L231"/>
    <hyperlink r:id="rId187" ref="L233"/>
    <hyperlink r:id="rId188" ref="D234"/>
    <hyperlink r:id="rId189" ref="L234"/>
    <hyperlink r:id="rId190" ref="L235"/>
    <hyperlink r:id="rId191" ref="L236"/>
    <hyperlink r:id="rId192" ref="L238"/>
    <hyperlink r:id="rId193" ref="L240"/>
    <hyperlink r:id="rId194" ref="L241"/>
    <hyperlink r:id="rId195" ref="L242"/>
    <hyperlink r:id="rId196" ref="L243"/>
    <hyperlink r:id="rId197" ref="L245"/>
    <hyperlink r:id="rId198" ref="L247"/>
    <hyperlink r:id="rId199" ref="L248"/>
    <hyperlink r:id="rId200" ref="L251"/>
    <hyperlink r:id="rId201" ref="L252"/>
    <hyperlink r:id="rId202" ref="L254"/>
    <hyperlink r:id="rId203" ref="L255"/>
    <hyperlink r:id="rId204" ref="L259"/>
    <hyperlink r:id="rId205" ref="L260"/>
    <hyperlink r:id="rId206" ref="L261"/>
    <hyperlink r:id="rId207" ref="L264"/>
    <hyperlink r:id="rId208" ref="L266"/>
    <hyperlink r:id="rId209" ref="L267"/>
    <hyperlink r:id="rId210" ref="L268"/>
    <hyperlink r:id="rId211" ref="L270"/>
    <hyperlink r:id="rId212" ref="L272"/>
    <hyperlink r:id="rId213" ref="L273"/>
    <hyperlink r:id="rId214" ref="L274"/>
    <hyperlink r:id="rId215" ref="B275"/>
    <hyperlink r:id="rId216" ref="L275"/>
    <hyperlink r:id="rId217" ref="L276"/>
    <hyperlink r:id="rId218" ref="L277"/>
    <hyperlink r:id="rId219" ref="L278"/>
    <hyperlink r:id="rId220" ref="L279"/>
    <hyperlink r:id="rId221" ref="L280"/>
    <hyperlink r:id="rId222" ref="L281"/>
    <hyperlink r:id="rId223" ref="B282"/>
    <hyperlink r:id="rId224" ref="B283"/>
    <hyperlink r:id="rId225" ref="L284"/>
    <hyperlink r:id="rId226" ref="L285"/>
    <hyperlink r:id="rId227" ref="L286"/>
    <hyperlink r:id="rId228" ref="L287"/>
    <hyperlink r:id="rId229" ref="B288"/>
    <hyperlink r:id="rId230" ref="L289"/>
    <hyperlink r:id="rId231" ref="L290"/>
    <hyperlink r:id="rId232" ref="L291"/>
    <hyperlink r:id="rId233" ref="L292"/>
    <hyperlink r:id="rId234" ref="B293"/>
    <hyperlink r:id="rId235" ref="L294"/>
    <hyperlink r:id="rId236" ref="L296"/>
    <hyperlink r:id="rId237" ref="L297"/>
    <hyperlink r:id="rId238" ref="L298"/>
    <hyperlink r:id="rId239" ref="L300"/>
    <hyperlink r:id="rId240" ref="L303"/>
    <hyperlink r:id="rId241" ref="L305"/>
    <hyperlink r:id="rId242" ref="B306"/>
    <hyperlink r:id="rId243" ref="L307"/>
    <hyperlink r:id="rId244" ref="L308"/>
    <hyperlink r:id="rId245" ref="L310"/>
    <hyperlink r:id="rId246" ref="L312"/>
    <hyperlink r:id="rId247" ref="L314"/>
    <hyperlink r:id="rId248" ref="L315"/>
    <hyperlink r:id="rId249" ref="L317"/>
    <hyperlink r:id="rId250" ref="L318"/>
    <hyperlink r:id="rId251" ref="L319"/>
    <hyperlink r:id="rId252" ref="L320"/>
    <hyperlink r:id="rId253" ref="L321"/>
    <hyperlink r:id="rId254" ref="L322"/>
    <hyperlink r:id="rId255" ref="L323"/>
    <hyperlink r:id="rId256" ref="L324"/>
    <hyperlink r:id="rId257" ref="L325"/>
    <hyperlink r:id="rId258" ref="L326"/>
    <hyperlink r:id="rId259" ref="L327"/>
    <hyperlink r:id="rId260" ref="L328"/>
    <hyperlink r:id="rId261" ref="L329"/>
    <hyperlink r:id="rId262" ref="L330"/>
    <hyperlink r:id="rId263" ref="L331"/>
    <hyperlink r:id="rId264" ref="L332"/>
    <hyperlink r:id="rId265" ref="L333"/>
    <hyperlink r:id="rId266" ref="L334"/>
    <hyperlink r:id="rId267" ref="L335"/>
    <hyperlink r:id="rId268" ref="L336"/>
    <hyperlink r:id="rId269" ref="L337"/>
    <hyperlink r:id="rId270" ref="L338"/>
    <hyperlink r:id="rId271" ref="L339"/>
    <hyperlink r:id="rId272" ref="L340"/>
    <hyperlink r:id="rId273" ref="L342"/>
    <hyperlink r:id="rId274" ref="L343"/>
    <hyperlink r:id="rId275" ref="L344"/>
    <hyperlink r:id="rId276" ref="L346"/>
    <hyperlink r:id="rId277" ref="B347"/>
    <hyperlink r:id="rId278" ref="L348"/>
    <hyperlink r:id="rId279" ref="L349"/>
    <hyperlink r:id="rId280" ref="L350"/>
    <hyperlink r:id="rId281" ref="L351"/>
    <hyperlink r:id="rId282" ref="L352"/>
    <hyperlink r:id="rId283" ref="L353"/>
    <hyperlink r:id="rId284" ref="L354"/>
    <hyperlink r:id="rId285" ref="L355"/>
    <hyperlink r:id="rId286" ref="L356"/>
    <hyperlink r:id="rId287" ref="B357"/>
    <hyperlink r:id="rId288" ref="L357"/>
    <hyperlink r:id="rId289" ref="L358"/>
    <hyperlink r:id="rId290" ref="L359"/>
    <hyperlink r:id="rId291" ref="L361"/>
    <hyperlink r:id="rId292" ref="L362"/>
    <hyperlink r:id="rId293" ref="L363"/>
    <hyperlink r:id="rId294" ref="L364"/>
    <hyperlink r:id="rId295" ref="L366"/>
    <hyperlink r:id="rId296" ref="L367"/>
    <hyperlink r:id="rId297" ref="L368"/>
    <hyperlink r:id="rId298" ref="L369"/>
    <hyperlink r:id="rId299" ref="L370"/>
    <hyperlink r:id="rId300" ref="L371"/>
    <hyperlink r:id="rId301" ref="L372"/>
    <hyperlink r:id="rId302" ref="L373"/>
    <hyperlink r:id="rId303" ref="L374"/>
    <hyperlink r:id="rId304" ref="L375"/>
    <hyperlink r:id="rId305" ref="L377"/>
    <hyperlink r:id="rId306" ref="L378"/>
    <hyperlink r:id="rId307" ref="L379"/>
    <hyperlink r:id="rId308" ref="L380"/>
    <hyperlink r:id="rId309" ref="L381"/>
    <hyperlink r:id="rId310" ref="L382"/>
    <hyperlink r:id="rId311" ref="L383"/>
    <hyperlink r:id="rId312" ref="L384"/>
    <hyperlink r:id="rId313" ref="L385"/>
    <hyperlink r:id="rId314" ref="L386"/>
    <hyperlink r:id="rId315" ref="L387"/>
    <hyperlink r:id="rId316" ref="L388"/>
    <hyperlink r:id="rId317" ref="L390"/>
    <hyperlink r:id="rId318" ref="L391"/>
    <hyperlink r:id="rId319" ref="L392"/>
    <hyperlink r:id="rId320" ref="L393"/>
    <hyperlink r:id="rId321" ref="L394"/>
    <hyperlink r:id="rId322" ref="L395"/>
    <hyperlink r:id="rId323" ref="L397"/>
    <hyperlink r:id="rId324" ref="L398"/>
    <hyperlink r:id="rId325" ref="L399"/>
    <hyperlink r:id="rId326" ref="L401"/>
    <hyperlink r:id="rId327" ref="L402"/>
    <hyperlink r:id="rId328" ref="L403"/>
    <hyperlink r:id="rId329" ref="L408"/>
    <hyperlink r:id="rId330" ref="L409"/>
    <hyperlink r:id="rId331" ref="L410"/>
    <hyperlink r:id="rId332" ref="L412"/>
    <hyperlink r:id="rId333" ref="L413"/>
    <hyperlink r:id="rId334" ref="L414"/>
    <hyperlink r:id="rId335" ref="L417"/>
    <hyperlink r:id="rId336" ref="L418"/>
    <hyperlink r:id="rId337" ref="L419"/>
    <hyperlink r:id="rId338" ref="L420"/>
    <hyperlink r:id="rId339" ref="L421"/>
    <hyperlink r:id="rId340" ref="L422"/>
    <hyperlink r:id="rId341" ref="L423"/>
    <hyperlink r:id="rId342" ref="L424"/>
    <hyperlink r:id="rId343" ref="L425"/>
    <hyperlink r:id="rId344" ref="B426"/>
    <hyperlink r:id="rId345" ref="D426"/>
    <hyperlink r:id="rId346" ref="L426"/>
    <hyperlink r:id="rId347" ref="L427"/>
    <hyperlink r:id="rId348" ref="L428"/>
    <hyperlink r:id="rId349" ref="L433"/>
    <hyperlink r:id="rId350" ref="L434"/>
    <hyperlink r:id="rId351" ref="L435"/>
    <hyperlink r:id="rId352" ref="L436"/>
    <hyperlink r:id="rId353" ref="L437"/>
    <hyperlink r:id="rId354" ref="L438"/>
    <hyperlink r:id="rId355" ref="L439"/>
    <hyperlink r:id="rId356" ref="L440"/>
    <hyperlink r:id="rId357" ref="L441"/>
    <hyperlink r:id="rId358" ref="L442"/>
    <hyperlink r:id="rId359" ref="L444"/>
    <hyperlink r:id="rId360" ref="L445"/>
    <hyperlink r:id="rId361" ref="L446"/>
    <hyperlink r:id="rId362" ref="L447"/>
    <hyperlink r:id="rId363" ref="L448"/>
    <hyperlink r:id="rId364" ref="L449"/>
    <hyperlink r:id="rId365" ref="L450"/>
    <hyperlink r:id="rId366" ref="L451"/>
    <hyperlink r:id="rId367" ref="L452"/>
    <hyperlink r:id="rId368" ref="L453"/>
    <hyperlink r:id="rId369" ref="L454"/>
    <hyperlink r:id="rId370" ref="L455"/>
    <hyperlink r:id="rId371" ref="L457"/>
    <hyperlink r:id="rId372" ref="L458"/>
    <hyperlink r:id="rId373" ref="L459"/>
    <hyperlink r:id="rId374" ref="L460"/>
    <hyperlink r:id="rId375" ref="L461"/>
    <hyperlink r:id="rId376" ref="L462"/>
    <hyperlink r:id="rId377" ref="L463"/>
    <hyperlink r:id="rId378" ref="L464"/>
    <hyperlink r:id="rId379" ref="L465"/>
    <hyperlink r:id="rId380" ref="L466"/>
    <hyperlink r:id="rId381" ref="L467"/>
    <hyperlink r:id="rId382" ref="L469"/>
    <hyperlink r:id="rId383" ref="L474"/>
    <hyperlink r:id="rId384" ref="L475"/>
    <hyperlink r:id="rId385" ref="L476"/>
    <hyperlink r:id="rId386" ref="L477"/>
    <hyperlink r:id="rId387" ref="L478"/>
    <hyperlink r:id="rId388" ref="L479"/>
    <hyperlink r:id="rId389" ref="L480"/>
    <hyperlink r:id="rId390" ref="L481"/>
    <hyperlink r:id="rId391" ref="L482"/>
    <hyperlink r:id="rId392" ref="L483"/>
    <hyperlink r:id="rId393" ref="L484"/>
    <hyperlink r:id="rId394" ref="L485"/>
    <hyperlink r:id="rId395" ref="L486"/>
    <hyperlink r:id="rId396" ref="L488"/>
    <hyperlink r:id="rId397" ref="L489"/>
    <hyperlink r:id="rId398" ref="L491"/>
    <hyperlink r:id="rId399" ref="L492"/>
    <hyperlink r:id="rId400" ref="L493"/>
    <hyperlink r:id="rId401" ref="L494"/>
    <hyperlink r:id="rId402" ref="L496"/>
    <hyperlink r:id="rId403" ref="L497"/>
    <hyperlink r:id="rId404" ref="L498"/>
    <hyperlink r:id="rId405" ref="L500"/>
    <hyperlink r:id="rId406" ref="L501"/>
    <hyperlink r:id="rId407" ref="L503"/>
    <hyperlink r:id="rId408" ref="L504"/>
    <hyperlink r:id="rId409" ref="L505"/>
    <hyperlink r:id="rId410" ref="L507"/>
    <hyperlink r:id="rId411" ref="L508"/>
    <hyperlink r:id="rId412" ref="L509"/>
    <hyperlink r:id="rId413" ref="L510"/>
    <hyperlink r:id="rId414" ref="L511"/>
    <hyperlink r:id="rId415" ref="L512"/>
    <hyperlink r:id="rId416" ref="B513"/>
    <hyperlink r:id="rId417" ref="L513"/>
    <hyperlink r:id="rId418" ref="L514"/>
    <hyperlink r:id="rId419" ref="L515"/>
    <hyperlink r:id="rId420" ref="L516"/>
    <hyperlink r:id="rId421" ref="L517"/>
    <hyperlink r:id="rId422" ref="L519"/>
    <hyperlink r:id="rId423" ref="L520"/>
    <hyperlink r:id="rId424" ref="L521"/>
    <hyperlink r:id="rId425" ref="L522"/>
    <hyperlink r:id="rId426" ref="L523"/>
    <hyperlink r:id="rId427" ref="L525"/>
    <hyperlink r:id="rId428" ref="L526"/>
    <hyperlink r:id="rId429" ref="L527"/>
    <hyperlink r:id="rId430" ref="D528"/>
    <hyperlink r:id="rId431" ref="L528"/>
    <hyperlink r:id="rId432" ref="L529"/>
    <hyperlink r:id="rId433" ref="L530"/>
    <hyperlink r:id="rId434" ref="L531"/>
    <hyperlink r:id="rId435" ref="L532"/>
    <hyperlink r:id="rId436" ref="L533"/>
    <hyperlink r:id="rId437" ref="L534"/>
    <hyperlink r:id="rId438" ref="L536"/>
    <hyperlink r:id="rId439" ref="L537"/>
    <hyperlink r:id="rId440" ref="L538"/>
    <hyperlink r:id="rId441" ref="L539"/>
    <hyperlink r:id="rId442" ref="B540"/>
    <hyperlink r:id="rId443" ref="L540"/>
    <hyperlink r:id="rId444" ref="L541"/>
    <hyperlink r:id="rId445" ref="L542"/>
    <hyperlink r:id="rId446" ref="L545"/>
    <hyperlink r:id="rId447" ref="L546"/>
    <hyperlink r:id="rId448" ref="L547"/>
    <hyperlink r:id="rId449" ref="L548"/>
    <hyperlink r:id="rId450" ref="L549"/>
    <hyperlink r:id="rId451" ref="L550"/>
    <hyperlink r:id="rId452" ref="L551"/>
    <hyperlink r:id="rId453" ref="L552"/>
    <hyperlink r:id="rId454" ref="L553"/>
    <hyperlink r:id="rId455" ref="L554"/>
    <hyperlink r:id="rId456" ref="L555"/>
    <hyperlink r:id="rId457" ref="L556"/>
    <hyperlink r:id="rId458" ref="L557"/>
    <hyperlink r:id="rId459" ref="L558"/>
    <hyperlink r:id="rId460" ref="L559"/>
    <hyperlink r:id="rId461" ref="L560"/>
    <hyperlink r:id="rId462" ref="L561"/>
    <hyperlink r:id="rId463" ref="L562"/>
    <hyperlink r:id="rId464" ref="L563"/>
    <hyperlink r:id="rId465" ref="L564"/>
    <hyperlink r:id="rId466" ref="L565"/>
    <hyperlink r:id="rId467" ref="L567"/>
    <hyperlink r:id="rId468" ref="L568"/>
    <hyperlink r:id="rId469" ref="L574"/>
    <hyperlink r:id="rId470" ref="L575"/>
    <hyperlink r:id="rId471" ref="L576"/>
    <hyperlink r:id="rId472" ref="L577"/>
    <hyperlink r:id="rId473" ref="L579"/>
    <hyperlink r:id="rId474" ref="L580"/>
    <hyperlink r:id="rId475" ref="L581"/>
    <hyperlink r:id="rId476" ref="L582"/>
    <hyperlink r:id="rId477" ref="L584"/>
    <hyperlink r:id="rId478" ref="L585"/>
    <hyperlink r:id="rId479" ref="L587"/>
    <hyperlink r:id="rId480" ref="L588"/>
    <hyperlink r:id="rId481" ref="L590"/>
    <hyperlink r:id="rId482" ref="L591"/>
    <hyperlink r:id="rId483" ref="L592"/>
    <hyperlink r:id="rId484" ref="L593"/>
    <hyperlink r:id="rId485" ref="L594"/>
    <hyperlink r:id="rId486" ref="L595"/>
    <hyperlink r:id="rId487" ref="L598"/>
    <hyperlink r:id="rId488" ref="L599"/>
    <hyperlink r:id="rId489" ref="L600"/>
    <hyperlink r:id="rId490" ref="L601"/>
    <hyperlink r:id="rId491" ref="L602"/>
    <hyperlink r:id="rId492" ref="L603"/>
    <hyperlink r:id="rId493" ref="L604"/>
    <hyperlink r:id="rId494" ref="L605"/>
    <hyperlink r:id="rId495" ref="L606"/>
    <hyperlink r:id="rId496" ref="L607"/>
    <hyperlink r:id="rId497" ref="L608"/>
    <hyperlink r:id="rId498" ref="L609"/>
    <hyperlink r:id="rId499" ref="L610"/>
    <hyperlink r:id="rId500" ref="L611"/>
    <hyperlink r:id="rId501" ref="L612"/>
    <hyperlink r:id="rId502" ref="L613"/>
    <hyperlink r:id="rId503" ref="L615"/>
    <hyperlink r:id="rId504" ref="L616"/>
    <hyperlink r:id="rId505" ref="L617"/>
    <hyperlink r:id="rId506" ref="L618"/>
    <hyperlink r:id="rId507" ref="L619"/>
    <hyperlink r:id="rId508" ref="L620"/>
    <hyperlink r:id="rId509" ref="L621"/>
    <hyperlink r:id="rId510" ref="L622"/>
    <hyperlink r:id="rId511" ref="L624"/>
    <hyperlink r:id="rId512" ref="L625"/>
    <hyperlink r:id="rId513" ref="L626"/>
    <hyperlink r:id="rId514" ref="L627"/>
    <hyperlink r:id="rId515" ref="L628"/>
    <hyperlink r:id="rId516" ref="L631"/>
    <hyperlink r:id="rId517" ref="L632"/>
    <hyperlink r:id="rId518" ref="L634"/>
    <hyperlink r:id="rId519" ref="L635"/>
    <hyperlink r:id="rId520" ref="L636"/>
    <hyperlink r:id="rId521" ref="L637"/>
    <hyperlink r:id="rId522" ref="L638"/>
    <hyperlink r:id="rId523" ref="B641"/>
    <hyperlink r:id="rId524" ref="L641"/>
    <hyperlink r:id="rId525" ref="L642"/>
    <hyperlink r:id="rId526" ref="L644"/>
    <hyperlink r:id="rId527" ref="L645"/>
    <hyperlink r:id="rId528" ref="L646"/>
    <hyperlink r:id="rId529" ref="L647"/>
    <hyperlink r:id="rId530" ref="L649"/>
    <hyperlink r:id="rId531" ref="L650"/>
    <hyperlink r:id="rId532" ref="L652"/>
    <hyperlink r:id="rId533" ref="L653"/>
    <hyperlink r:id="rId534" ref="L654"/>
    <hyperlink r:id="rId535" ref="L655"/>
    <hyperlink r:id="rId536" ref="L656"/>
    <hyperlink r:id="rId537" ref="L657"/>
    <hyperlink r:id="rId538" ref="L658"/>
    <hyperlink r:id="rId539" ref="L659"/>
    <hyperlink r:id="rId540" ref="L660"/>
    <hyperlink r:id="rId541" ref="L661"/>
    <hyperlink r:id="rId542" ref="L662"/>
    <hyperlink r:id="rId543" ref="L663"/>
    <hyperlink r:id="rId544" ref="L664"/>
    <hyperlink r:id="rId545" ref="L665"/>
    <hyperlink r:id="rId546" ref="L666"/>
    <hyperlink r:id="rId547" ref="L667"/>
    <hyperlink r:id="rId548" ref="L668"/>
    <hyperlink r:id="rId549" ref="L669"/>
    <hyperlink r:id="rId550" ref="L670"/>
    <hyperlink r:id="rId551" ref="L672"/>
    <hyperlink r:id="rId552" ref="L673"/>
    <hyperlink r:id="rId553" ref="L674"/>
    <hyperlink r:id="rId554" ref="B675"/>
    <hyperlink r:id="rId555" ref="L677"/>
    <hyperlink r:id="rId556" ref="L678"/>
    <hyperlink r:id="rId557" ref="L679"/>
    <hyperlink r:id="rId558" ref="L680"/>
    <hyperlink r:id="rId559" ref="L681"/>
    <hyperlink r:id="rId560" ref="L682"/>
    <hyperlink r:id="rId561" ref="L683"/>
    <hyperlink r:id="rId562" ref="L684"/>
    <hyperlink r:id="rId563" ref="L685"/>
    <hyperlink r:id="rId564" ref="L687"/>
    <hyperlink r:id="rId565" ref="L689"/>
    <hyperlink r:id="rId566" ref="L690"/>
    <hyperlink r:id="rId567" ref="L691"/>
    <hyperlink r:id="rId568" ref="L692"/>
    <hyperlink r:id="rId569" ref="L693"/>
    <hyperlink r:id="rId570" ref="L694"/>
    <hyperlink r:id="rId571" ref="L695"/>
    <hyperlink r:id="rId572" ref="L699"/>
    <hyperlink r:id="rId573" ref="L701"/>
    <hyperlink r:id="rId574" ref="L702"/>
    <hyperlink r:id="rId575" ref="L703"/>
    <hyperlink r:id="rId576" ref="L704"/>
    <hyperlink r:id="rId577" ref="L705"/>
    <hyperlink r:id="rId578" ref="L706"/>
    <hyperlink r:id="rId579" ref="L707"/>
    <hyperlink r:id="rId580" ref="L708"/>
    <hyperlink r:id="rId581" ref="L709"/>
    <hyperlink r:id="rId582" ref="L710"/>
    <hyperlink r:id="rId583" ref="L711"/>
    <hyperlink r:id="rId584" ref="L713"/>
    <hyperlink r:id="rId585" ref="D714"/>
    <hyperlink r:id="rId586" ref="L714"/>
    <hyperlink r:id="rId587" ref="L715"/>
    <hyperlink r:id="rId588" ref="L718"/>
    <hyperlink r:id="rId589" ref="L719"/>
    <hyperlink r:id="rId590" ref="B720"/>
    <hyperlink r:id="rId591" ref="L720"/>
    <hyperlink r:id="rId592" ref="L721"/>
    <hyperlink r:id="rId593" ref="L722"/>
    <hyperlink r:id="rId594" ref="L725"/>
    <hyperlink r:id="rId595" ref="L727"/>
    <hyperlink r:id="rId596" ref="L730"/>
    <hyperlink r:id="rId597" ref="L731"/>
    <hyperlink r:id="rId598" ref="L732"/>
    <hyperlink r:id="rId599" ref="L734"/>
    <hyperlink r:id="rId600" ref="L736"/>
    <hyperlink r:id="rId601" ref="L740"/>
    <hyperlink r:id="rId602" ref="L742"/>
    <hyperlink r:id="rId603" ref="L744"/>
    <hyperlink r:id="rId604" ref="L746"/>
    <hyperlink r:id="rId605" ref="L747"/>
    <hyperlink r:id="rId606" ref="L748"/>
    <hyperlink r:id="rId607" ref="L752"/>
    <hyperlink r:id="rId608" ref="L753"/>
    <hyperlink r:id="rId609" ref="L754"/>
    <hyperlink r:id="rId610" ref="L755"/>
    <hyperlink r:id="rId611" ref="L756"/>
    <hyperlink r:id="rId612" ref="B757"/>
    <hyperlink r:id="rId613" ref="L757"/>
    <hyperlink r:id="rId614" ref="L758"/>
    <hyperlink r:id="rId615" ref="L760"/>
    <hyperlink r:id="rId616" ref="L761"/>
    <hyperlink r:id="rId617" ref="L762"/>
    <hyperlink r:id="rId618" ref="L764"/>
    <hyperlink r:id="rId619" ref="L765"/>
    <hyperlink r:id="rId620" ref="L768"/>
    <hyperlink r:id="rId621" ref="L769"/>
    <hyperlink r:id="rId622" ref="L770"/>
    <hyperlink r:id="rId623" ref="L771"/>
    <hyperlink r:id="rId624" ref="L772"/>
    <hyperlink r:id="rId625" ref="L773"/>
    <hyperlink r:id="rId626" ref="L775"/>
    <hyperlink r:id="rId627" ref="L776"/>
    <hyperlink r:id="rId628" ref="L777"/>
    <hyperlink r:id="rId629" ref="L778"/>
    <hyperlink r:id="rId630" ref="L780"/>
    <hyperlink r:id="rId631" ref="L782"/>
    <hyperlink r:id="rId632" ref="L784"/>
    <hyperlink r:id="rId633" ref="L785"/>
    <hyperlink r:id="rId634" ref="L786"/>
    <hyperlink r:id="rId635" ref="L787"/>
    <hyperlink r:id="rId636" ref="L788"/>
    <hyperlink r:id="rId637" ref="L789"/>
    <hyperlink r:id="rId638" ref="L790"/>
    <hyperlink r:id="rId639" ref="L791"/>
    <hyperlink r:id="rId640" ref="L793"/>
    <hyperlink r:id="rId641" ref="L794"/>
    <hyperlink r:id="rId642" ref="L796"/>
    <hyperlink r:id="rId643" ref="L797"/>
    <hyperlink r:id="rId644" ref="L799"/>
    <hyperlink r:id="rId645" ref="L802"/>
    <hyperlink r:id="rId646" ref="L803"/>
    <hyperlink r:id="rId647" ref="L804"/>
    <hyperlink r:id="rId648" ref="L805"/>
    <hyperlink r:id="rId649" ref="L806"/>
    <hyperlink r:id="rId650" ref="L807"/>
    <hyperlink r:id="rId651" ref="K810"/>
    <hyperlink r:id="rId652" ref="L810"/>
    <hyperlink r:id="rId653" ref="L811"/>
    <hyperlink r:id="rId654" ref="L812"/>
    <hyperlink r:id="rId655" ref="L814"/>
    <hyperlink r:id="rId656" ref="L815"/>
    <hyperlink r:id="rId657" ref="L816"/>
    <hyperlink r:id="rId658" ref="L817"/>
    <hyperlink r:id="rId659" ref="L819"/>
    <hyperlink r:id="rId660" ref="L820"/>
    <hyperlink r:id="rId661" ref="L822"/>
    <hyperlink r:id="rId662" ref="L824"/>
    <hyperlink r:id="rId663" ref="L825"/>
    <hyperlink r:id="rId664" ref="L826"/>
    <hyperlink r:id="rId665" ref="L827"/>
    <hyperlink r:id="rId666" ref="L828"/>
    <hyperlink r:id="rId667" ref="L829"/>
    <hyperlink r:id="rId668" ref="L830"/>
    <hyperlink r:id="rId669" ref="L831"/>
    <hyperlink r:id="rId670" ref="L834"/>
    <hyperlink r:id="rId671" ref="B835"/>
    <hyperlink r:id="rId672" ref="L836"/>
    <hyperlink r:id="rId673" ref="L838"/>
    <hyperlink r:id="rId674" ref="L839"/>
    <hyperlink r:id="rId675" ref="L841"/>
    <hyperlink r:id="rId676" ref="L842"/>
    <hyperlink r:id="rId677" ref="L843"/>
    <hyperlink r:id="rId678" ref="L844"/>
    <hyperlink r:id="rId679" ref="L845"/>
    <hyperlink r:id="rId680" ref="L846"/>
    <hyperlink r:id="rId681" ref="B847"/>
    <hyperlink r:id="rId682" ref="L848"/>
    <hyperlink r:id="rId683" ref="L849"/>
    <hyperlink r:id="rId684" ref="L850"/>
    <hyperlink r:id="rId685" ref="L851"/>
    <hyperlink r:id="rId686" ref="L852"/>
    <hyperlink r:id="rId687" ref="L853"/>
    <hyperlink r:id="rId688" ref="L854"/>
    <hyperlink r:id="rId689" ref="L855"/>
    <hyperlink r:id="rId690" ref="L856"/>
    <hyperlink r:id="rId691" ref="L857"/>
    <hyperlink r:id="rId692" ref="L858"/>
    <hyperlink r:id="rId693" ref="B859"/>
    <hyperlink r:id="rId694" ref="L859"/>
    <hyperlink r:id="rId695" ref="L861"/>
    <hyperlink r:id="rId696" ref="L862"/>
    <hyperlink r:id="rId697" ref="L866"/>
    <hyperlink r:id="rId698" ref="L868"/>
    <hyperlink r:id="rId699" ref="L869"/>
    <hyperlink r:id="rId700" ref="L871"/>
    <hyperlink r:id="rId701" ref="L873"/>
    <hyperlink r:id="rId702" ref="L874"/>
    <hyperlink r:id="rId703" ref="L875"/>
    <hyperlink r:id="rId704" ref="L876"/>
    <hyperlink r:id="rId705" ref="L877"/>
    <hyperlink r:id="rId706" ref="L880"/>
    <hyperlink r:id="rId707" ref="L882"/>
    <hyperlink r:id="rId708" ref="L884"/>
    <hyperlink r:id="rId709" ref="L885"/>
    <hyperlink r:id="rId710" ref="L886"/>
    <hyperlink r:id="rId711" ref="L891"/>
    <hyperlink r:id="rId712" ref="L892"/>
    <hyperlink r:id="rId713" ref="L894"/>
    <hyperlink r:id="rId714" ref="L895"/>
    <hyperlink r:id="rId715" ref="L896"/>
    <hyperlink r:id="rId716" ref="L897"/>
    <hyperlink r:id="rId717" ref="L899"/>
    <hyperlink r:id="rId718" ref="L900"/>
    <hyperlink r:id="rId719" ref="B901"/>
    <hyperlink r:id="rId720" ref="L901"/>
    <hyperlink r:id="rId721" ref="L902"/>
    <hyperlink r:id="rId722" ref="L903"/>
    <hyperlink r:id="rId723" ref="L904"/>
    <hyperlink r:id="rId724" ref="L909"/>
    <hyperlink r:id="rId725" ref="L910"/>
    <hyperlink r:id="rId726" ref="L912"/>
    <hyperlink r:id="rId727" ref="L917"/>
    <hyperlink r:id="rId728" ref="L921"/>
    <hyperlink r:id="rId729" ref="L923"/>
    <hyperlink r:id="rId730" ref="L924"/>
    <hyperlink r:id="rId731" ref="L925"/>
    <hyperlink r:id="rId732" ref="B926"/>
    <hyperlink r:id="rId733" ref="D926"/>
    <hyperlink r:id="rId734" ref="L926"/>
    <hyperlink r:id="rId735" ref="L927"/>
    <hyperlink r:id="rId736" ref="L929"/>
    <hyperlink r:id="rId737" ref="L930"/>
    <hyperlink r:id="rId738" ref="L932"/>
    <hyperlink r:id="rId739" ref="L933"/>
    <hyperlink r:id="rId740" ref="L935"/>
    <hyperlink r:id="rId741" ref="L936"/>
    <hyperlink r:id="rId742" ref="L937"/>
    <hyperlink r:id="rId743" ref="L938"/>
    <hyperlink r:id="rId744" ref="L939"/>
    <hyperlink r:id="rId745" ref="L940"/>
    <hyperlink r:id="rId746" ref="L941"/>
    <hyperlink r:id="rId747" ref="L942"/>
    <hyperlink r:id="rId748" ref="L943"/>
    <hyperlink r:id="rId749" ref="L944"/>
    <hyperlink r:id="rId750" ref="L945"/>
    <hyperlink r:id="rId751" ref="L946"/>
    <hyperlink r:id="rId752" ref="L947"/>
    <hyperlink r:id="rId753" ref="L948"/>
    <hyperlink r:id="rId754" ref="L949"/>
    <hyperlink r:id="rId755" ref="L950"/>
    <hyperlink r:id="rId756" ref="L951"/>
    <hyperlink r:id="rId757" ref="L952"/>
    <hyperlink r:id="rId758" ref="L953"/>
    <hyperlink r:id="rId759" ref="L954"/>
    <hyperlink r:id="rId760" ref="L955"/>
    <hyperlink r:id="rId761" ref="L956"/>
    <hyperlink r:id="rId762" ref="L957"/>
    <hyperlink r:id="rId763" ref="B958"/>
    <hyperlink r:id="rId764" ref="L958"/>
    <hyperlink r:id="rId765" ref="L959"/>
    <hyperlink r:id="rId766" ref="L960"/>
    <hyperlink r:id="rId767" ref="L961"/>
    <hyperlink r:id="rId768" ref="L963"/>
    <hyperlink r:id="rId769" ref="L964"/>
    <hyperlink r:id="rId770" ref="L965"/>
    <hyperlink r:id="rId771" ref="L966"/>
    <hyperlink r:id="rId772" ref="L967"/>
    <hyperlink r:id="rId773" ref="L968"/>
    <hyperlink r:id="rId774" ref="L969"/>
    <hyperlink r:id="rId775" ref="L970"/>
    <hyperlink r:id="rId776" ref="L971"/>
    <hyperlink r:id="rId777" ref="L972"/>
    <hyperlink r:id="rId778" ref="L973"/>
    <hyperlink r:id="rId779" ref="L975"/>
    <hyperlink r:id="rId780" ref="L978"/>
    <hyperlink r:id="rId781" ref="L982"/>
    <hyperlink r:id="rId782" ref="L983"/>
    <hyperlink r:id="rId783" ref="L984"/>
    <hyperlink r:id="rId784" ref="L985"/>
    <hyperlink r:id="rId785" ref="L986"/>
    <hyperlink r:id="rId786" ref="L987"/>
    <hyperlink r:id="rId787" ref="L989"/>
    <hyperlink r:id="rId788" ref="L992"/>
    <hyperlink r:id="rId789" ref="L993"/>
    <hyperlink r:id="rId790" ref="L994"/>
    <hyperlink r:id="rId791" ref="L995"/>
    <hyperlink r:id="rId792" ref="L1000"/>
    <hyperlink r:id="rId793" ref="L1003"/>
    <hyperlink r:id="rId794" ref="L1007"/>
    <hyperlink r:id="rId795" ref="L1008"/>
    <hyperlink r:id="rId796" ref="L1012"/>
    <hyperlink r:id="rId797" ref="L1016"/>
    <hyperlink r:id="rId798" ref="L1018"/>
    <hyperlink r:id="rId799" ref="L1019"/>
    <hyperlink r:id="rId800" ref="L1020"/>
    <hyperlink r:id="rId801" ref="L1021"/>
    <hyperlink r:id="rId802" ref="L1022"/>
    <hyperlink r:id="rId803" ref="L1023"/>
    <hyperlink r:id="rId804" ref="L1024"/>
    <hyperlink r:id="rId805" ref="L1025"/>
    <hyperlink r:id="rId806" ref="L1027"/>
    <hyperlink r:id="rId807" ref="L1028"/>
    <hyperlink r:id="rId808" ref="L1029"/>
    <hyperlink r:id="rId809" ref="L1030"/>
    <hyperlink r:id="rId810" ref="L1032"/>
    <hyperlink r:id="rId811" ref="L1033"/>
    <hyperlink r:id="rId812" ref="L1034"/>
    <hyperlink r:id="rId813" ref="L1036"/>
    <hyperlink r:id="rId814" ref="L1037"/>
    <hyperlink r:id="rId815" ref="L1038"/>
    <hyperlink r:id="rId816" ref="L1039"/>
    <hyperlink r:id="rId817" ref="B1040"/>
    <hyperlink r:id="rId818" ref="L1040"/>
    <hyperlink r:id="rId819" ref="L1042"/>
    <hyperlink r:id="rId820" ref="L1043"/>
    <hyperlink r:id="rId821" ref="L1046"/>
    <hyperlink r:id="rId822" ref="L1047"/>
    <hyperlink r:id="rId823" ref="L1049"/>
    <hyperlink r:id="rId824" ref="L1052"/>
    <hyperlink r:id="rId825" ref="L1053"/>
    <hyperlink r:id="rId826" ref="L1057"/>
    <hyperlink r:id="rId827" ref="L1059"/>
    <hyperlink r:id="rId828" ref="L1060"/>
    <hyperlink r:id="rId829" ref="L1062"/>
    <hyperlink r:id="rId830" ref="L1063"/>
    <hyperlink r:id="rId831" ref="L1070"/>
    <hyperlink r:id="rId832" ref="L1071"/>
    <hyperlink r:id="rId833" ref="L1072"/>
    <hyperlink r:id="rId834" ref="L1073"/>
    <hyperlink r:id="rId835" ref="L1074"/>
    <hyperlink r:id="rId836" ref="L1075"/>
    <hyperlink r:id="rId837" ref="L1078"/>
    <hyperlink r:id="rId838" ref="L1079"/>
    <hyperlink r:id="rId839" ref="L1080"/>
    <hyperlink r:id="rId840" ref="L1081"/>
    <hyperlink r:id="rId841" ref="L1082"/>
    <hyperlink r:id="rId842" ref="B1083"/>
    <hyperlink r:id="rId843" ref="L1083"/>
    <hyperlink r:id="rId844" ref="B1084"/>
    <hyperlink r:id="rId845" ref="L1084"/>
    <hyperlink r:id="rId846" ref="L1085"/>
    <hyperlink r:id="rId847" ref="L1086"/>
    <hyperlink r:id="rId848" ref="L1087"/>
    <hyperlink r:id="rId849" ref="L1088"/>
    <hyperlink r:id="rId850" ref="L1089"/>
    <hyperlink r:id="rId851" ref="L1090"/>
    <hyperlink r:id="rId852" ref="L1091"/>
    <hyperlink r:id="rId853" ref="L1093"/>
    <hyperlink r:id="rId854" ref="L1094"/>
    <hyperlink r:id="rId855" ref="L1095"/>
    <hyperlink r:id="rId856" ref="L1096"/>
    <hyperlink r:id="rId857" ref="L1097"/>
    <hyperlink r:id="rId858" ref="B1101"/>
    <hyperlink r:id="rId859" ref="L1103"/>
    <hyperlink r:id="rId860" ref="L1105"/>
    <hyperlink r:id="rId861" ref="L1107"/>
    <hyperlink r:id="rId862" ref="L1109"/>
    <hyperlink r:id="rId863" ref="L1111"/>
    <hyperlink r:id="rId864" ref="L1112"/>
    <hyperlink r:id="rId865" ref="B1113"/>
    <hyperlink r:id="rId866" ref="L1113"/>
    <hyperlink r:id="rId867" ref="L1114"/>
    <hyperlink r:id="rId868" ref="L1116"/>
    <hyperlink r:id="rId869" ref="L1118"/>
    <hyperlink r:id="rId870" ref="L1120"/>
    <hyperlink r:id="rId871" ref="L1121"/>
    <hyperlink r:id="rId872" ref="L1123"/>
    <hyperlink r:id="rId873" ref="L1124"/>
    <hyperlink r:id="rId874" ref="L1125"/>
    <hyperlink r:id="rId875" ref="L1126"/>
    <hyperlink r:id="rId876" ref="L1127"/>
    <hyperlink r:id="rId877" ref="L1129"/>
    <hyperlink r:id="rId878" ref="B1131"/>
    <hyperlink r:id="rId879" ref="D1134"/>
    <hyperlink r:id="rId880" ref="L1134"/>
    <hyperlink r:id="rId881" ref="L1136"/>
    <hyperlink r:id="rId882" ref="L1137"/>
    <hyperlink r:id="rId883" ref="L1139"/>
    <hyperlink r:id="rId884" ref="L1140"/>
    <hyperlink r:id="rId885" ref="L1141"/>
    <hyperlink r:id="rId886" ref="L1143"/>
    <hyperlink r:id="rId887" ref="L1144"/>
    <hyperlink r:id="rId888" ref="L1145"/>
    <hyperlink r:id="rId889" ref="L1146"/>
    <hyperlink r:id="rId890" ref="L1147"/>
    <hyperlink r:id="rId891" ref="L1150"/>
    <hyperlink r:id="rId892" ref="L1151"/>
    <hyperlink r:id="rId893" ref="L1152"/>
    <hyperlink r:id="rId894" ref="L1153"/>
    <hyperlink r:id="rId895" ref="L1156"/>
    <hyperlink r:id="rId896" ref="L1157"/>
    <hyperlink r:id="rId897" ref="L1158"/>
    <hyperlink r:id="rId898" ref="L1160"/>
    <hyperlink r:id="rId899" ref="L1161"/>
    <hyperlink r:id="rId900" ref="L1162"/>
    <hyperlink r:id="rId901" ref="L1163"/>
    <hyperlink r:id="rId902" ref="B1164"/>
    <hyperlink r:id="rId903" ref="L1164"/>
    <hyperlink r:id="rId904" ref="L1165"/>
    <hyperlink r:id="rId905" ref="L1167"/>
    <hyperlink r:id="rId906" ref="L1168"/>
    <hyperlink r:id="rId907" ref="L1172"/>
    <hyperlink r:id="rId908" ref="L1173"/>
    <hyperlink r:id="rId909" ref="L1175"/>
    <hyperlink r:id="rId910" ref="L1176"/>
    <hyperlink r:id="rId911" ref="L1177"/>
    <hyperlink r:id="rId912" ref="L1178"/>
    <hyperlink r:id="rId913" ref="L1179"/>
    <hyperlink r:id="rId914" ref="L1180"/>
    <hyperlink r:id="rId915" ref="L1181"/>
    <hyperlink r:id="rId916" ref="L1182"/>
    <hyperlink r:id="rId917" ref="L1185"/>
    <hyperlink r:id="rId918" ref="L1186"/>
    <hyperlink r:id="rId919" ref="L1187"/>
    <hyperlink r:id="rId920" ref="L1188"/>
    <hyperlink r:id="rId921" ref="L1189"/>
    <hyperlink r:id="rId922" ref="L1190"/>
    <hyperlink r:id="rId923" ref="L1192"/>
    <hyperlink r:id="rId924" ref="L1193"/>
    <hyperlink r:id="rId925" ref="L1194"/>
    <hyperlink r:id="rId926" ref="L1195"/>
    <hyperlink r:id="rId927" ref="L1196"/>
    <hyperlink r:id="rId928" ref="L1197"/>
    <hyperlink r:id="rId929" ref="L1198"/>
    <hyperlink r:id="rId930" ref="L1199"/>
    <hyperlink r:id="rId931" ref="L1200"/>
    <hyperlink r:id="rId932" ref="L1201"/>
    <hyperlink r:id="rId933" ref="L1202"/>
    <hyperlink r:id="rId934" ref="L1203"/>
    <hyperlink r:id="rId935" ref="L1204"/>
    <hyperlink r:id="rId936" ref="L1205"/>
    <hyperlink r:id="rId937" ref="L1207"/>
    <hyperlink r:id="rId938" ref="L1209"/>
    <hyperlink r:id="rId939" ref="L1210"/>
    <hyperlink r:id="rId940" ref="L1214"/>
    <hyperlink r:id="rId941" ref="L1216"/>
    <hyperlink r:id="rId942" ref="L1219"/>
    <hyperlink r:id="rId943" ref="L1221"/>
    <hyperlink r:id="rId944" ref="L1222"/>
    <hyperlink r:id="rId945" ref="L1223"/>
    <hyperlink r:id="rId946" ref="L1225"/>
    <hyperlink r:id="rId947" ref="L1226"/>
    <hyperlink r:id="rId948" ref="L1229"/>
    <hyperlink r:id="rId949" ref="L1230"/>
    <hyperlink r:id="rId950" ref="L1231"/>
    <hyperlink r:id="rId951" ref="L1234"/>
    <hyperlink r:id="rId952" ref="L1235"/>
    <hyperlink r:id="rId953" ref="L1237"/>
    <hyperlink r:id="rId954" ref="L1238"/>
    <hyperlink r:id="rId955" ref="L1239"/>
    <hyperlink r:id="rId956" ref="L1240"/>
    <hyperlink r:id="rId957" ref="L1241"/>
    <hyperlink r:id="rId958" ref="L1242"/>
    <hyperlink r:id="rId959" ref="L1244"/>
    <hyperlink r:id="rId960" ref="L1245"/>
    <hyperlink r:id="rId961" ref="L1246"/>
    <hyperlink r:id="rId962" ref="L1247"/>
    <hyperlink r:id="rId963" ref="L1248"/>
    <hyperlink r:id="rId964" ref="L1249"/>
    <hyperlink r:id="rId965" ref="L1250"/>
    <hyperlink r:id="rId966" ref="L1251"/>
    <hyperlink r:id="rId967" ref="L1252"/>
    <hyperlink r:id="rId968" ref="L1253"/>
    <hyperlink r:id="rId969" ref="L1254"/>
    <hyperlink r:id="rId970" ref="L1255"/>
    <hyperlink r:id="rId971" ref="L1257"/>
    <hyperlink r:id="rId972" ref="L1258"/>
    <hyperlink r:id="rId973" ref="L1260"/>
    <hyperlink r:id="rId974" ref="L1261"/>
    <hyperlink r:id="rId975" ref="L1262"/>
    <hyperlink r:id="rId976" ref="L1263"/>
    <hyperlink r:id="rId977" ref="B1264"/>
    <hyperlink r:id="rId978" ref="L1264"/>
    <hyperlink r:id="rId979" ref="L1265"/>
    <hyperlink r:id="rId980" ref="L1266"/>
    <hyperlink r:id="rId981" ref="L1267"/>
    <hyperlink r:id="rId982" ref="L1268"/>
    <hyperlink r:id="rId983" ref="L1269"/>
    <hyperlink r:id="rId984" ref="L1270"/>
    <hyperlink r:id="rId985" ref="L1272"/>
    <hyperlink r:id="rId986" ref="L1273"/>
    <hyperlink r:id="rId987" ref="L1274"/>
    <hyperlink r:id="rId988" ref="L1275"/>
    <hyperlink r:id="rId989" ref="L1276"/>
    <hyperlink r:id="rId990" ref="L1280"/>
    <hyperlink r:id="rId991" ref="L1281"/>
    <hyperlink r:id="rId992" ref="L1282"/>
    <hyperlink r:id="rId993" ref="L1283"/>
    <hyperlink r:id="rId994" ref="L1284"/>
    <hyperlink r:id="rId995" ref="L1285"/>
    <hyperlink r:id="rId996" ref="L1287"/>
    <hyperlink r:id="rId997" ref="L1288"/>
    <hyperlink r:id="rId998" ref="L1289"/>
    <hyperlink r:id="rId999" ref="L1291"/>
    <hyperlink r:id="rId1000" ref="L1293"/>
    <hyperlink r:id="rId1001" ref="L1295"/>
    <hyperlink r:id="rId1002" ref="L1296"/>
    <hyperlink r:id="rId1003" ref="L1297"/>
    <hyperlink r:id="rId1004" ref="L1298"/>
    <hyperlink r:id="rId1005" ref="L1299"/>
    <hyperlink r:id="rId1006" ref="L1300"/>
    <hyperlink r:id="rId1007" ref="L1302"/>
    <hyperlink r:id="rId1008" ref="L1304"/>
    <hyperlink r:id="rId1009" ref="L1305"/>
    <hyperlink r:id="rId1010" ref="L1306"/>
    <hyperlink r:id="rId1011" ref="L1307"/>
    <hyperlink r:id="rId1012" ref="L1308"/>
    <hyperlink r:id="rId1013" ref="L1309"/>
    <hyperlink r:id="rId1014" ref="L1310"/>
    <hyperlink r:id="rId1015" ref="L1312"/>
    <hyperlink r:id="rId1016" ref="L1313"/>
    <hyperlink r:id="rId1017" ref="L1314"/>
    <hyperlink r:id="rId1018" ref="L1316"/>
    <hyperlink r:id="rId1019" ref="L1317"/>
    <hyperlink r:id="rId1020" ref="L1318"/>
    <hyperlink r:id="rId1021" ref="L1319"/>
    <hyperlink r:id="rId1022" ref="L1320"/>
    <hyperlink r:id="rId1023" ref="L1321"/>
    <hyperlink r:id="rId1024" ref="L1322"/>
    <hyperlink r:id="rId1025" ref="L1323"/>
    <hyperlink r:id="rId1026" ref="L1324"/>
    <hyperlink r:id="rId1027" ref="L1325"/>
    <hyperlink r:id="rId1028" ref="L1326"/>
    <hyperlink r:id="rId1029" ref="L1327"/>
    <hyperlink r:id="rId1030" ref="L1328"/>
    <hyperlink r:id="rId1031" ref="L1329"/>
    <hyperlink r:id="rId1032" ref="L1331"/>
    <hyperlink r:id="rId1033" ref="L1332"/>
    <hyperlink r:id="rId1034" ref="L1333"/>
    <hyperlink r:id="rId1035" ref="L1334"/>
    <hyperlink r:id="rId1036" ref="L1335"/>
    <hyperlink r:id="rId1037" ref="L1336"/>
    <hyperlink r:id="rId1038" ref="L1337"/>
    <hyperlink r:id="rId1039" ref="L1339"/>
    <hyperlink r:id="rId1040" ref="L1340"/>
    <hyperlink r:id="rId1041" ref="L1341"/>
    <hyperlink r:id="rId1042" ref="L1342"/>
    <hyperlink r:id="rId1043" ref="L1343"/>
    <hyperlink r:id="rId1044" ref="L1345"/>
    <hyperlink r:id="rId1045" ref="L1346"/>
    <hyperlink r:id="rId1046" ref="L1347"/>
    <hyperlink r:id="rId1047" ref="L1348"/>
    <hyperlink r:id="rId1048" ref="L1349"/>
    <hyperlink r:id="rId1049" ref="L1350"/>
    <hyperlink r:id="rId1050" ref="L1351"/>
    <hyperlink r:id="rId1051" ref="L1352"/>
    <hyperlink r:id="rId1052" ref="L1353"/>
    <hyperlink r:id="rId1053" ref="L1354"/>
    <hyperlink r:id="rId1054" ref="L1355"/>
    <hyperlink r:id="rId1055" ref="L1356"/>
    <hyperlink r:id="rId1056" ref="L1357"/>
    <hyperlink r:id="rId1057" ref="L1358"/>
    <hyperlink r:id="rId1058" ref="L1359"/>
    <hyperlink r:id="rId1059" ref="L1360"/>
    <hyperlink r:id="rId1060" ref="L1361"/>
    <hyperlink r:id="rId1061" ref="L1362"/>
    <hyperlink r:id="rId1062" ref="L1363"/>
    <hyperlink r:id="rId1063" ref="L1364"/>
    <hyperlink r:id="rId1064" ref="L1365"/>
    <hyperlink r:id="rId1065" ref="L1366"/>
    <hyperlink r:id="rId1066" ref="L1367"/>
    <hyperlink r:id="rId1067" ref="L1369"/>
    <hyperlink r:id="rId1068" ref="L1370"/>
    <hyperlink r:id="rId1069" ref="L1371"/>
    <hyperlink r:id="rId1070" ref="L1373"/>
    <hyperlink r:id="rId1071" ref="L1375"/>
    <hyperlink r:id="rId1072" ref="L1378"/>
    <hyperlink r:id="rId1073" ref="L1379"/>
    <hyperlink r:id="rId1074" ref="L1380"/>
    <hyperlink r:id="rId1075" ref="L1381"/>
    <hyperlink r:id="rId1076" ref="L1385"/>
    <hyperlink r:id="rId1077" ref="L1386"/>
    <hyperlink r:id="rId1078" ref="L1387"/>
    <hyperlink r:id="rId1079" ref="L1388"/>
    <hyperlink r:id="rId1080" ref="L1389"/>
    <hyperlink r:id="rId1081" ref="L1390"/>
    <hyperlink r:id="rId1082" ref="L1392"/>
    <hyperlink r:id="rId1083" ref="L1393"/>
    <hyperlink r:id="rId1084" ref="L1395"/>
    <hyperlink r:id="rId1085" ref="L1396"/>
    <hyperlink r:id="rId1086" ref="L1397"/>
    <hyperlink r:id="rId1087" ref="L1398"/>
    <hyperlink r:id="rId1088" ref="L1399"/>
    <hyperlink r:id="rId1089" ref="L1401"/>
    <hyperlink r:id="rId1090" ref="L1402"/>
    <hyperlink r:id="rId1091" ref="L1403"/>
    <hyperlink r:id="rId1092" ref="L1404"/>
    <hyperlink r:id="rId1093" ref="L1405"/>
    <hyperlink r:id="rId1094" ref="L1406"/>
    <hyperlink r:id="rId1095" ref="L1407"/>
    <hyperlink r:id="rId1096" ref="L1408"/>
    <hyperlink r:id="rId1097" ref="L1409"/>
    <hyperlink r:id="rId1098" ref="L1411"/>
    <hyperlink r:id="rId1099" ref="L1412"/>
    <hyperlink r:id="rId1100" ref="L1413"/>
    <hyperlink r:id="rId1101" ref="L1414"/>
    <hyperlink r:id="rId1102" ref="L1415"/>
    <hyperlink r:id="rId1103" ref="L1416"/>
    <hyperlink r:id="rId1104" ref="L1417"/>
    <hyperlink r:id="rId1105" ref="L1418"/>
    <hyperlink r:id="rId1106" ref="L1419"/>
    <hyperlink r:id="rId1107" ref="L1421"/>
    <hyperlink r:id="rId1108" ref="L1423"/>
    <hyperlink r:id="rId1109" ref="L1424"/>
    <hyperlink r:id="rId1110" ref="L1425"/>
    <hyperlink r:id="rId1111" ref="B1428"/>
    <hyperlink r:id="rId1112" ref="L1428"/>
    <hyperlink r:id="rId1113" ref="L1430"/>
    <hyperlink r:id="rId1114" ref="L1431"/>
    <hyperlink r:id="rId1115" ref="L1434"/>
    <hyperlink r:id="rId1116" ref="L1435"/>
    <hyperlink r:id="rId1117" ref="L1436"/>
    <hyperlink r:id="rId1118" ref="L1437"/>
    <hyperlink r:id="rId1119" ref="L1439"/>
    <hyperlink r:id="rId1120" ref="L1440"/>
    <hyperlink r:id="rId1121" ref="L1441"/>
    <hyperlink r:id="rId1122" ref="L1442"/>
    <hyperlink r:id="rId1123" ref="L1443"/>
    <hyperlink r:id="rId1124" ref="L1444"/>
    <hyperlink r:id="rId1125" ref="L1445"/>
    <hyperlink r:id="rId1126" ref="L1446"/>
    <hyperlink r:id="rId1127" ref="L1447"/>
    <hyperlink r:id="rId1128" ref="L1448"/>
    <hyperlink r:id="rId1129" ref="L1449"/>
    <hyperlink r:id="rId1130" ref="L1450"/>
    <hyperlink r:id="rId1131" ref="L1451"/>
    <hyperlink r:id="rId1132" ref="L1452"/>
    <hyperlink r:id="rId1133" ref="L1453"/>
    <hyperlink r:id="rId1134" ref="L1454"/>
    <hyperlink r:id="rId1135" ref="L1455"/>
    <hyperlink r:id="rId1136" ref="L1456"/>
    <hyperlink r:id="rId1137" ref="L1457"/>
    <hyperlink r:id="rId1138" ref="L1460"/>
    <hyperlink r:id="rId1139" ref="L1461"/>
    <hyperlink r:id="rId1140" ref="L1462"/>
    <hyperlink r:id="rId1141" ref="L1464"/>
    <hyperlink r:id="rId1142" ref="L1465"/>
    <hyperlink r:id="rId1143" ref="L1467"/>
    <hyperlink r:id="rId1144" ref="L1468"/>
    <hyperlink r:id="rId1145" ref="L1471"/>
    <hyperlink r:id="rId1146" ref="L1472"/>
    <hyperlink r:id="rId1147" ref="L1473"/>
    <hyperlink r:id="rId1148" ref="L1474"/>
    <hyperlink r:id="rId1149" ref="L1476"/>
    <hyperlink r:id="rId1150" ref="L1477"/>
    <hyperlink r:id="rId1151" ref="L1478"/>
    <hyperlink r:id="rId1152" ref="L1481"/>
    <hyperlink r:id="rId1153" ref="L1482"/>
    <hyperlink r:id="rId1154" ref="L1483"/>
    <hyperlink r:id="rId1155" ref="L1484"/>
    <hyperlink r:id="rId1156" ref="L1486"/>
    <hyperlink r:id="rId1157" ref="L1487"/>
    <hyperlink r:id="rId1158" ref="L1488"/>
    <hyperlink r:id="rId1159" ref="L1489"/>
    <hyperlink r:id="rId1160" ref="L1490"/>
    <hyperlink r:id="rId1161" ref="L1491"/>
    <hyperlink r:id="rId1162" ref="L1492"/>
    <hyperlink r:id="rId1163" ref="L1493"/>
    <hyperlink r:id="rId1164" ref="L1494"/>
    <hyperlink r:id="rId1165" ref="L1500"/>
    <hyperlink r:id="rId1166" ref="L1501"/>
    <hyperlink r:id="rId1167" ref="L1502"/>
    <hyperlink r:id="rId1168" ref="L1504"/>
    <hyperlink r:id="rId1169" ref="L1506"/>
    <hyperlink r:id="rId1170" ref="L1507"/>
    <hyperlink r:id="rId1171" ref="L1508"/>
    <hyperlink r:id="rId1172" ref="L1509"/>
    <hyperlink r:id="rId1173" ref="L1510"/>
    <hyperlink r:id="rId1174" ref="L1512"/>
    <hyperlink r:id="rId1175" ref="L1513"/>
    <hyperlink r:id="rId1176" ref="L1514"/>
    <hyperlink r:id="rId1177" ref="L1515"/>
    <hyperlink r:id="rId1178" ref="L1516"/>
    <hyperlink r:id="rId1179" ref="L1517"/>
    <hyperlink r:id="rId1180" ref="L1518"/>
    <hyperlink r:id="rId1181" ref="L1519"/>
    <hyperlink r:id="rId1182" ref="L1520"/>
    <hyperlink r:id="rId1183" ref="L1521"/>
    <hyperlink r:id="rId1184" ref="L1522"/>
    <hyperlink r:id="rId1185" ref="L1523"/>
    <hyperlink r:id="rId1186" ref="L1524"/>
    <hyperlink r:id="rId1187" ref="L1525"/>
    <hyperlink r:id="rId1188" ref="L1526"/>
    <hyperlink r:id="rId1189" ref="L1527"/>
    <hyperlink r:id="rId1190" ref="L1528"/>
    <hyperlink r:id="rId1191" ref="L1529"/>
    <hyperlink r:id="rId1192" ref="L1531"/>
    <hyperlink r:id="rId1193" ref="L1532"/>
    <hyperlink r:id="rId1194" ref="L1533"/>
    <hyperlink r:id="rId1195" ref="L1534"/>
    <hyperlink r:id="rId1196" ref="L1535"/>
    <hyperlink r:id="rId1197" ref="L1536"/>
    <hyperlink r:id="rId1198" ref="L1537"/>
    <hyperlink r:id="rId1199" ref="L1538"/>
    <hyperlink r:id="rId1200" ref="L1539"/>
    <hyperlink r:id="rId1201" ref="L1540"/>
    <hyperlink r:id="rId1202" ref="L1541"/>
    <hyperlink r:id="rId1203" ref="L1543"/>
    <hyperlink r:id="rId1204" ref="B1544"/>
    <hyperlink r:id="rId1205" ref="B1545"/>
    <hyperlink r:id="rId1206" ref="L1545"/>
    <hyperlink r:id="rId1207" ref="L1546"/>
    <hyperlink r:id="rId1208" ref="L1547"/>
    <hyperlink r:id="rId1209" ref="L1550"/>
    <hyperlink r:id="rId1210" ref="L1551"/>
    <hyperlink r:id="rId1211" ref="L1552"/>
    <hyperlink r:id="rId1212" ref="L1554"/>
    <hyperlink r:id="rId1213" ref="L1556"/>
    <hyperlink r:id="rId1214" ref="L1557"/>
    <hyperlink r:id="rId1215" ref="L1558"/>
    <hyperlink r:id="rId1216" ref="L1559"/>
    <hyperlink r:id="rId1217" ref="L1560"/>
    <hyperlink r:id="rId1218" ref="L1561"/>
    <hyperlink r:id="rId1219" ref="L1563"/>
    <hyperlink r:id="rId1220" ref="L1564"/>
    <hyperlink r:id="rId1221" ref="L1565"/>
    <hyperlink r:id="rId1222" ref="L1566"/>
    <hyperlink r:id="rId1223" ref="L1567"/>
    <hyperlink r:id="rId1224" ref="L1569"/>
    <hyperlink r:id="rId1225" ref="L1570"/>
    <hyperlink r:id="rId1226" ref="L1571"/>
    <hyperlink r:id="rId1227" ref="L1573"/>
    <hyperlink r:id="rId1228" ref="L1574"/>
    <hyperlink r:id="rId1229" ref="L1576"/>
    <hyperlink r:id="rId1230" ref="L1577"/>
    <hyperlink r:id="rId1231" ref="L1578"/>
    <hyperlink r:id="rId1232" ref="L1579"/>
    <hyperlink r:id="rId1233" ref="L1582"/>
    <hyperlink r:id="rId1234" ref="L1584"/>
    <hyperlink r:id="rId1235" ref="L1585"/>
    <hyperlink r:id="rId1236" ref="L1587"/>
    <hyperlink r:id="rId1237" ref="L1588"/>
    <hyperlink r:id="rId1238" ref="L1589"/>
    <hyperlink r:id="rId1239" ref="L1591"/>
    <hyperlink r:id="rId1240" ref="L1592"/>
    <hyperlink r:id="rId1241" ref="L1594"/>
    <hyperlink r:id="rId1242" ref="L1595"/>
    <hyperlink r:id="rId1243" ref="L1596"/>
    <hyperlink r:id="rId1244" ref="L1597"/>
    <hyperlink r:id="rId1245" ref="L1599"/>
    <hyperlink r:id="rId1246" ref="L1600"/>
    <hyperlink r:id="rId1247" ref="L1603"/>
    <hyperlink r:id="rId1248" ref="L1604"/>
    <hyperlink r:id="rId1249" ref="L1605"/>
    <hyperlink r:id="rId1250" ref="L1606"/>
    <hyperlink r:id="rId1251" ref="L1610"/>
    <hyperlink r:id="rId1252" ref="L1611"/>
    <hyperlink r:id="rId1253" ref="L1612"/>
    <hyperlink r:id="rId1254" ref="L1613"/>
    <hyperlink r:id="rId1255" ref="L1614"/>
    <hyperlink r:id="rId1256" ref="L1616"/>
    <hyperlink r:id="rId1257" ref="L1617"/>
    <hyperlink r:id="rId1258" ref="L1618"/>
    <hyperlink r:id="rId1259" ref="L1621"/>
    <hyperlink r:id="rId1260" ref="L1623"/>
    <hyperlink r:id="rId1261" ref="L1624"/>
    <hyperlink r:id="rId1262" ref="L1625"/>
    <hyperlink r:id="rId1263" ref="L1626"/>
    <hyperlink r:id="rId1264" ref="L1628"/>
    <hyperlink r:id="rId1265" ref="L1629"/>
    <hyperlink r:id="rId1266" ref="L1630"/>
    <hyperlink r:id="rId1267" ref="L1631"/>
    <hyperlink r:id="rId1268" ref="L1632"/>
    <hyperlink r:id="rId1269" ref="L1633"/>
    <hyperlink r:id="rId1270" ref="L1634"/>
    <hyperlink r:id="rId1271" ref="L1636"/>
    <hyperlink r:id="rId1272" ref="L1638"/>
    <hyperlink r:id="rId1273" ref="L1639"/>
    <hyperlink r:id="rId1274" ref="L1641"/>
    <hyperlink r:id="rId1275" ref="L1642"/>
    <hyperlink r:id="rId1276" ref="L1643"/>
    <hyperlink r:id="rId1277" ref="L1644"/>
    <hyperlink r:id="rId1278" ref="L1645"/>
    <hyperlink r:id="rId1279" ref="L1646"/>
    <hyperlink r:id="rId1280" ref="L1647"/>
    <hyperlink r:id="rId1281" ref="L1648"/>
    <hyperlink r:id="rId1282" ref="L1649"/>
    <hyperlink r:id="rId1283" ref="L1651"/>
    <hyperlink r:id="rId1284" ref="L1652"/>
    <hyperlink r:id="rId1285" ref="L1654"/>
    <hyperlink r:id="rId1286" ref="L1655"/>
    <hyperlink r:id="rId1287" ref="L1658"/>
    <hyperlink r:id="rId1288" ref="L1659"/>
    <hyperlink r:id="rId1289" ref="L1660"/>
    <hyperlink r:id="rId1290" ref="L1662"/>
    <hyperlink r:id="rId1291" ref="L1663"/>
    <hyperlink r:id="rId1292" ref="L1664"/>
    <hyperlink r:id="rId1293" ref="B1665"/>
    <hyperlink r:id="rId1294" ref="L1665"/>
    <hyperlink r:id="rId1295" ref="L1667"/>
    <hyperlink r:id="rId1296" ref="L1668"/>
    <hyperlink r:id="rId1297" ref="L1669"/>
    <hyperlink r:id="rId1298" ref="L1670"/>
    <hyperlink r:id="rId1299" ref="L1672"/>
    <hyperlink r:id="rId1300" ref="L1673"/>
    <hyperlink r:id="rId1301" ref="L1674"/>
    <hyperlink r:id="rId1302" ref="L1676"/>
    <hyperlink r:id="rId1303" ref="L1677"/>
    <hyperlink r:id="rId1304" ref="L1678"/>
    <hyperlink r:id="rId1305" ref="L1679"/>
    <hyperlink r:id="rId1306" ref="L1680"/>
    <hyperlink r:id="rId1307" ref="L1681"/>
    <hyperlink r:id="rId1308" ref="L1682"/>
    <hyperlink r:id="rId1309" ref="L1683"/>
    <hyperlink r:id="rId1310" ref="L1684"/>
    <hyperlink r:id="rId1311" ref="L1685"/>
    <hyperlink r:id="rId1312" ref="L1686"/>
    <hyperlink r:id="rId1313" ref="L1687"/>
    <hyperlink r:id="rId1314" ref="L1689"/>
    <hyperlink r:id="rId1315" ref="L1690"/>
    <hyperlink r:id="rId1316" ref="L1691"/>
    <hyperlink r:id="rId1317" ref="L1695"/>
    <hyperlink r:id="rId1318" ref="L1698"/>
    <hyperlink r:id="rId1319" ref="L1699"/>
    <hyperlink r:id="rId1320" ref="L1700"/>
    <hyperlink r:id="rId1321" ref="L1703"/>
    <hyperlink r:id="rId1322" ref="L1704"/>
    <hyperlink r:id="rId1323" ref="L1705"/>
    <hyperlink r:id="rId1324" ref="L1708"/>
    <hyperlink r:id="rId1325" ref="L1710"/>
    <hyperlink r:id="rId1326" ref="L1711"/>
    <hyperlink r:id="rId1327" ref="L1712"/>
    <hyperlink r:id="rId1328" ref="L1713"/>
    <hyperlink r:id="rId1329" ref="L1714"/>
    <hyperlink r:id="rId1330" ref="L1716"/>
    <hyperlink r:id="rId1331" ref="L1717"/>
    <hyperlink r:id="rId1332" ref="L1723"/>
    <hyperlink r:id="rId1333" ref="L1724"/>
    <hyperlink r:id="rId1334" ref="L1725"/>
    <hyperlink r:id="rId1335" ref="L1726"/>
    <hyperlink r:id="rId1336" ref="L1727"/>
    <hyperlink r:id="rId1337" ref="L1729"/>
    <hyperlink r:id="rId1338" ref="L1730"/>
    <hyperlink r:id="rId1339" ref="L1732"/>
    <hyperlink r:id="rId1340" ref="L1735"/>
    <hyperlink r:id="rId1341" ref="L1738"/>
    <hyperlink r:id="rId1342" ref="L1739"/>
    <hyperlink r:id="rId1343" ref="L1740"/>
    <hyperlink r:id="rId1344" ref="L1741"/>
    <hyperlink r:id="rId1345" ref="L1743"/>
    <hyperlink r:id="rId1346" ref="L1744"/>
    <hyperlink r:id="rId1347" ref="L1745"/>
    <hyperlink r:id="rId1348" ref="L1748"/>
    <hyperlink r:id="rId1349" ref="L1750"/>
    <hyperlink r:id="rId1350" ref="L1752"/>
    <hyperlink r:id="rId1351" ref="L1753"/>
    <hyperlink r:id="rId1352" ref="L1754"/>
    <hyperlink r:id="rId1353" ref="L1758"/>
    <hyperlink r:id="rId1354" ref="L1759"/>
    <hyperlink r:id="rId1355" ref="L1760"/>
    <hyperlink r:id="rId1356" ref="L1761"/>
    <hyperlink r:id="rId1357" ref="L1762"/>
    <hyperlink r:id="rId1358" ref="L1763"/>
    <hyperlink r:id="rId1359" ref="L1764"/>
    <hyperlink r:id="rId1360" ref="L1765"/>
    <hyperlink r:id="rId1361" ref="L1767"/>
    <hyperlink r:id="rId1362" ref="L1768"/>
    <hyperlink r:id="rId1363" ref="L1769"/>
    <hyperlink r:id="rId1364" ref="L1770"/>
    <hyperlink r:id="rId1365" ref="L1771"/>
    <hyperlink r:id="rId1366" ref="L1772"/>
    <hyperlink r:id="rId1367" ref="L1773"/>
    <hyperlink r:id="rId1368" ref="L1774"/>
    <hyperlink r:id="rId1369" ref="L1775"/>
    <hyperlink r:id="rId1370" ref="L1776"/>
    <hyperlink r:id="rId1371" ref="L1777"/>
    <hyperlink r:id="rId1372" ref="L1778"/>
    <hyperlink r:id="rId1373" ref="L1780"/>
    <hyperlink r:id="rId1374" ref="L1781"/>
    <hyperlink r:id="rId1375" ref="L1782"/>
    <hyperlink r:id="rId1376" ref="L1783"/>
    <hyperlink r:id="rId1377" ref="L1784"/>
    <hyperlink r:id="rId1378" ref="L1785"/>
    <hyperlink r:id="rId1379" ref="L1788"/>
    <hyperlink r:id="rId1380" ref="L1790"/>
    <hyperlink r:id="rId1381" ref="B1791"/>
    <hyperlink r:id="rId1382" ref="L1792"/>
    <hyperlink r:id="rId1383" ref="L1794"/>
    <hyperlink r:id="rId1384" ref="L1795"/>
    <hyperlink r:id="rId1385" ref="L1796"/>
    <hyperlink r:id="rId1386" ref="L1797"/>
    <hyperlink r:id="rId1387" ref="L1798"/>
    <hyperlink r:id="rId1388" ref="L1799"/>
    <hyperlink r:id="rId1389" ref="L1800"/>
    <hyperlink r:id="rId1390" ref="L1801"/>
    <hyperlink r:id="rId1391" ref="L1802"/>
    <hyperlink r:id="rId1392" ref="L1803"/>
    <hyperlink r:id="rId1393" ref="L1804"/>
    <hyperlink r:id="rId1394" ref="L1805"/>
    <hyperlink r:id="rId1395" ref="L1806"/>
    <hyperlink r:id="rId1396" ref="L1807"/>
    <hyperlink r:id="rId1397" ref="L1808"/>
    <hyperlink r:id="rId1398" ref="L1809"/>
    <hyperlink r:id="rId1399" ref="L1810"/>
    <hyperlink r:id="rId1400" ref="L1811"/>
    <hyperlink r:id="rId1401" ref="L1812"/>
    <hyperlink r:id="rId1402" ref="L1813"/>
    <hyperlink r:id="rId1403" ref="L1816"/>
    <hyperlink r:id="rId1404" ref="L1817"/>
    <hyperlink r:id="rId1405" ref="L1818"/>
    <hyperlink r:id="rId1406" ref="L1819"/>
    <hyperlink r:id="rId1407" ref="L1820"/>
    <hyperlink r:id="rId1408" ref="L1821"/>
    <hyperlink r:id="rId1409" ref="L1822"/>
    <hyperlink r:id="rId1410" ref="L1824"/>
    <hyperlink r:id="rId1411" ref="L1825"/>
    <hyperlink r:id="rId1412" ref="L1826"/>
    <hyperlink r:id="rId1413" ref="L1827"/>
    <hyperlink r:id="rId1414" ref="L1828"/>
    <hyperlink r:id="rId1415" ref="L1829"/>
    <hyperlink r:id="rId1416" ref="L1831"/>
    <hyperlink r:id="rId1417" ref="B1832"/>
    <hyperlink r:id="rId1418" ref="L1834"/>
    <hyperlink r:id="rId1419" ref="L1835"/>
    <hyperlink r:id="rId1420" ref="L1836"/>
    <hyperlink r:id="rId1421" ref="L1837"/>
    <hyperlink r:id="rId1422" ref="L1838"/>
    <hyperlink r:id="rId1423" ref="L1839"/>
    <hyperlink r:id="rId1424" ref="L1840"/>
    <hyperlink r:id="rId1425" ref="L1841"/>
    <hyperlink r:id="rId1426" ref="L1842"/>
    <hyperlink r:id="rId1427" ref="L1843"/>
    <hyperlink r:id="rId1428" ref="L1844"/>
    <hyperlink r:id="rId1429" ref="L1845"/>
    <hyperlink r:id="rId1430" ref="L1846"/>
    <hyperlink r:id="rId1431" ref="L1847"/>
    <hyperlink r:id="rId1432" ref="L1849"/>
    <hyperlink r:id="rId1433" ref="L1850"/>
    <hyperlink r:id="rId1434" ref="L1851"/>
    <hyperlink r:id="rId1435" ref="B1852"/>
    <hyperlink r:id="rId1436" ref="L1852"/>
    <hyperlink r:id="rId1437" ref="L1853"/>
    <hyperlink r:id="rId1438" ref="L1854"/>
    <hyperlink r:id="rId1439" ref="L1856"/>
    <hyperlink r:id="rId1440" ref="L1857"/>
    <hyperlink r:id="rId1441" ref="L1858"/>
    <hyperlink r:id="rId1442" ref="L1859"/>
    <hyperlink r:id="rId1443" ref="L1860"/>
    <hyperlink r:id="rId1444" ref="B1861"/>
    <hyperlink r:id="rId1445" ref="L1861"/>
    <hyperlink r:id="rId1446" ref="L1862"/>
    <hyperlink r:id="rId1447" ref="L1863"/>
    <hyperlink r:id="rId1448" ref="L1864"/>
    <hyperlink r:id="rId1449" ref="L1865"/>
    <hyperlink r:id="rId1450" ref="L1866"/>
    <hyperlink r:id="rId1451" ref="L1867"/>
    <hyperlink r:id="rId1452" ref="L1868"/>
    <hyperlink r:id="rId1453" ref="L1870"/>
    <hyperlink r:id="rId1454" ref="L1871"/>
    <hyperlink r:id="rId1455" ref="L1872"/>
    <hyperlink r:id="rId1456" ref="L1873"/>
    <hyperlink r:id="rId1457" ref="L1874"/>
    <hyperlink r:id="rId1458" ref="L1875"/>
    <hyperlink r:id="rId1459" ref="L1877"/>
    <hyperlink r:id="rId1460" ref="L1878"/>
    <hyperlink r:id="rId1461" ref="L1879"/>
    <hyperlink r:id="rId1462" ref="L1880"/>
    <hyperlink r:id="rId1463" ref="L1882"/>
    <hyperlink r:id="rId1464" ref="L1883"/>
    <hyperlink r:id="rId1465" ref="L1885"/>
    <hyperlink r:id="rId1466" ref="L1886"/>
    <hyperlink r:id="rId1467" ref="L1888"/>
    <hyperlink r:id="rId1468" ref="L1889"/>
    <hyperlink r:id="rId1469" ref="L1890"/>
    <hyperlink r:id="rId1470" ref="L1891"/>
    <hyperlink r:id="rId1471" ref="L1896"/>
    <hyperlink r:id="rId1472" ref="L1899"/>
    <hyperlink r:id="rId1473" ref="L1900"/>
    <hyperlink r:id="rId1474" ref="L1902"/>
    <hyperlink r:id="rId1475" ref="L1903"/>
    <hyperlink r:id="rId1476" ref="L1904"/>
    <hyperlink r:id="rId1477" ref="L1905"/>
    <hyperlink r:id="rId1478" ref="L1906"/>
    <hyperlink r:id="rId1479" ref="L1907"/>
    <hyperlink r:id="rId1480" ref="L1908"/>
    <hyperlink r:id="rId1481" ref="L1910"/>
    <hyperlink r:id="rId1482" ref="L1911"/>
    <hyperlink r:id="rId1483" ref="L1912"/>
    <hyperlink r:id="rId1484" ref="L1913"/>
    <hyperlink r:id="rId1485" ref="L1914"/>
    <hyperlink r:id="rId1486" ref="L1916"/>
    <hyperlink r:id="rId1487" ref="L1917"/>
    <hyperlink r:id="rId1488" ref="L1918"/>
    <hyperlink r:id="rId1489" ref="L1919"/>
    <hyperlink r:id="rId1490" ref="L1920"/>
    <hyperlink r:id="rId1491" ref="L1921"/>
    <hyperlink r:id="rId1492" ref="L1922"/>
    <hyperlink r:id="rId1493" ref="L1923"/>
    <hyperlink r:id="rId1494" ref="L1924"/>
    <hyperlink r:id="rId1495" ref="L1925"/>
    <hyperlink r:id="rId1496" ref="L1926"/>
    <hyperlink r:id="rId1497" ref="L1927"/>
    <hyperlink r:id="rId1498" ref="L1928"/>
    <hyperlink r:id="rId1499" ref="L1929"/>
    <hyperlink r:id="rId1500" ref="L1930"/>
    <hyperlink r:id="rId1501" ref="L1931"/>
    <hyperlink r:id="rId1502" ref="L1932"/>
    <hyperlink r:id="rId1503" ref="L1933"/>
    <hyperlink r:id="rId1504" ref="L1934"/>
    <hyperlink r:id="rId1505" ref="L1935"/>
    <hyperlink r:id="rId1506" ref="L1936"/>
    <hyperlink r:id="rId1507" ref="B1938"/>
    <hyperlink r:id="rId1508" ref="L1938"/>
    <hyperlink r:id="rId1509" ref="L1939"/>
    <hyperlink r:id="rId1510" ref="L1941"/>
    <hyperlink r:id="rId1511" ref="L1942"/>
    <hyperlink r:id="rId1512" ref="L1943"/>
    <hyperlink r:id="rId1513" ref="L1945"/>
    <hyperlink r:id="rId1514" ref="B1950"/>
    <hyperlink r:id="rId1515" ref="L1950"/>
    <hyperlink r:id="rId1516" ref="L1951"/>
    <hyperlink r:id="rId1517" ref="L1952"/>
    <hyperlink r:id="rId1518" ref="L1953"/>
    <hyperlink r:id="rId1519" ref="L1954"/>
    <hyperlink r:id="rId1520" ref="L1955"/>
    <hyperlink r:id="rId1521" ref="L1956"/>
    <hyperlink r:id="rId1522" ref="L1958"/>
    <hyperlink r:id="rId1523" ref="L1960"/>
    <hyperlink r:id="rId1524" ref="L1961"/>
    <hyperlink r:id="rId1525" ref="L1962"/>
    <hyperlink r:id="rId1526" ref="L1963"/>
    <hyperlink r:id="rId1527" ref="L1964"/>
    <hyperlink r:id="rId1528" ref="L1965"/>
    <hyperlink r:id="rId1529" ref="L1966"/>
    <hyperlink r:id="rId1530" ref="L1967"/>
    <hyperlink r:id="rId1531" ref="L1968"/>
    <hyperlink r:id="rId1532" ref="L1970"/>
    <hyperlink r:id="rId1533" ref="L1973"/>
    <hyperlink r:id="rId1534" ref="L1975"/>
    <hyperlink r:id="rId1535" ref="L1979"/>
    <hyperlink r:id="rId1536" ref="L1981"/>
    <hyperlink r:id="rId1537" ref="L1983"/>
    <hyperlink r:id="rId1538" ref="L1984"/>
    <hyperlink r:id="rId1539" ref="L1985"/>
    <hyperlink r:id="rId1540" ref="L1986"/>
    <hyperlink r:id="rId1541" ref="L1987"/>
    <hyperlink r:id="rId1542" ref="L1988"/>
    <hyperlink r:id="rId1543" ref="L1990"/>
    <hyperlink r:id="rId1544" ref="L1991"/>
    <hyperlink r:id="rId1545" ref="L1992"/>
    <hyperlink r:id="rId1546" ref="L1993"/>
    <hyperlink r:id="rId1547" ref="L1995"/>
    <hyperlink r:id="rId1548" ref="L1996"/>
    <hyperlink r:id="rId1549" ref="L1997"/>
    <hyperlink r:id="rId1550" ref="L1999"/>
    <hyperlink r:id="rId1551" ref="L2000"/>
    <hyperlink r:id="rId1552" ref="L2001"/>
    <hyperlink r:id="rId1553" ref="L2002"/>
    <hyperlink r:id="rId1554" ref="L2003"/>
    <hyperlink r:id="rId1555" ref="L2004"/>
    <hyperlink r:id="rId1556" ref="L2005"/>
    <hyperlink r:id="rId1557" ref="L2006"/>
    <hyperlink r:id="rId1558" ref="L2007"/>
    <hyperlink r:id="rId1559" ref="L2008"/>
    <hyperlink r:id="rId1560" ref="L2009"/>
    <hyperlink r:id="rId1561" ref="L2010"/>
    <hyperlink r:id="rId1562" ref="L2011"/>
    <hyperlink r:id="rId1563" ref="L2012"/>
    <hyperlink r:id="rId1564" ref="L2013"/>
    <hyperlink r:id="rId1565" ref="L2014"/>
    <hyperlink r:id="rId1566" ref="L2015"/>
    <hyperlink r:id="rId1567" ref="L2016"/>
    <hyperlink r:id="rId1568" ref="L2017"/>
    <hyperlink r:id="rId1569" ref="L2018"/>
    <hyperlink r:id="rId1570" ref="L2019"/>
    <hyperlink r:id="rId1571" ref="L2020"/>
    <hyperlink r:id="rId1572" ref="L2021"/>
    <hyperlink r:id="rId1573" ref="L2022"/>
    <hyperlink r:id="rId1574" ref="L2023"/>
    <hyperlink r:id="rId1575" ref="L2024"/>
    <hyperlink r:id="rId1576" ref="L2025"/>
    <hyperlink r:id="rId1577" ref="L2026"/>
    <hyperlink r:id="rId1578" ref="L2027"/>
    <hyperlink r:id="rId1579" ref="L2028"/>
    <hyperlink r:id="rId1580" ref="L2030"/>
    <hyperlink r:id="rId1581" ref="B2031"/>
    <hyperlink r:id="rId1582" ref="D2031"/>
    <hyperlink r:id="rId1583" ref="L2031"/>
    <hyperlink r:id="rId1584" ref="L2032"/>
    <hyperlink r:id="rId1585" ref="L2033"/>
    <hyperlink r:id="rId1586" ref="L2036"/>
    <hyperlink r:id="rId1587" ref="B2037"/>
    <hyperlink r:id="rId1588" ref="L2037"/>
    <hyperlink r:id="rId1589" ref="L2038"/>
    <hyperlink r:id="rId1590" ref="L2041"/>
    <hyperlink r:id="rId1591" ref="L2048"/>
    <hyperlink r:id="rId1592" ref="L2049"/>
    <hyperlink r:id="rId1593" ref="L2053"/>
    <hyperlink r:id="rId1594" ref="L2056"/>
    <hyperlink r:id="rId1595" ref="L2057"/>
    <hyperlink r:id="rId1596" ref="L2058"/>
    <hyperlink r:id="rId1597" ref="L2059"/>
    <hyperlink r:id="rId1598" ref="L2060"/>
    <hyperlink r:id="rId1599" ref="L2061"/>
    <hyperlink r:id="rId1600" ref="L2062"/>
    <hyperlink r:id="rId1601" ref="L2064"/>
    <hyperlink r:id="rId1602" ref="L2065"/>
    <hyperlink r:id="rId1603" ref="L2066"/>
    <hyperlink r:id="rId1604" ref="L2067"/>
    <hyperlink r:id="rId1605" ref="L2068"/>
    <hyperlink r:id="rId1606" ref="L2069"/>
    <hyperlink r:id="rId1607" ref="L2070"/>
    <hyperlink r:id="rId1608" ref="L2071"/>
    <hyperlink r:id="rId1609" ref="B2072"/>
    <hyperlink r:id="rId1610" ref="L2072"/>
    <hyperlink r:id="rId1611" ref="L2073"/>
    <hyperlink r:id="rId1612" ref="L2075"/>
    <hyperlink r:id="rId1613" ref="L2081"/>
    <hyperlink r:id="rId1614" ref="L2084"/>
    <hyperlink r:id="rId1615" ref="L2086"/>
    <hyperlink r:id="rId1616" ref="L2087"/>
    <hyperlink r:id="rId1617" ref="L2088"/>
    <hyperlink r:id="rId1618" ref="L2091"/>
    <hyperlink r:id="rId1619" ref="L2092"/>
    <hyperlink r:id="rId1620" ref="L2093"/>
    <hyperlink r:id="rId1621" ref="L2095"/>
    <hyperlink r:id="rId1622" ref="L2096"/>
    <hyperlink r:id="rId1623" ref="L2097"/>
    <hyperlink r:id="rId1624" ref="L2098"/>
    <hyperlink r:id="rId1625" ref="L2099"/>
    <hyperlink r:id="rId1626" ref="L2100"/>
    <hyperlink r:id="rId1627" ref="L2101"/>
    <hyperlink r:id="rId1628" ref="L2103"/>
    <hyperlink r:id="rId1629" ref="L2104"/>
    <hyperlink r:id="rId1630" ref="L2105"/>
    <hyperlink r:id="rId1631" ref="L2106"/>
    <hyperlink r:id="rId1632" ref="L2107"/>
    <hyperlink r:id="rId1633" ref="L2108"/>
    <hyperlink r:id="rId1634" ref="L2109"/>
    <hyperlink r:id="rId1635" ref="L2110"/>
    <hyperlink r:id="rId1636" ref="L2111"/>
    <hyperlink r:id="rId1637" ref="L2112"/>
    <hyperlink r:id="rId1638" ref="L2113"/>
    <hyperlink r:id="rId1639" ref="L2115"/>
    <hyperlink r:id="rId1640" ref="L2116"/>
    <hyperlink r:id="rId1641" ref="L2117"/>
    <hyperlink r:id="rId1642" ref="L2119"/>
    <hyperlink r:id="rId1643" ref="L2121"/>
    <hyperlink r:id="rId1644" ref="L2122"/>
    <hyperlink r:id="rId1645" ref="L2123"/>
    <hyperlink r:id="rId1646" ref="L2125"/>
    <hyperlink r:id="rId1647" ref="L2126"/>
    <hyperlink r:id="rId1648" ref="L2127"/>
    <hyperlink r:id="rId1649" ref="L2128"/>
    <hyperlink r:id="rId1650" ref="L2130"/>
    <hyperlink r:id="rId1651" ref="L2134"/>
    <hyperlink r:id="rId1652" ref="L2135"/>
    <hyperlink r:id="rId1653" ref="L2136"/>
    <hyperlink r:id="rId1654" ref="L2137"/>
    <hyperlink r:id="rId1655" ref="L2138"/>
    <hyperlink r:id="rId1656" ref="L2139"/>
    <hyperlink r:id="rId1657" ref="L2140"/>
    <hyperlink r:id="rId1658" ref="L2141"/>
    <hyperlink r:id="rId1659" ref="L2142"/>
    <hyperlink r:id="rId1660" ref="L2143"/>
    <hyperlink r:id="rId1661" ref="L2144"/>
    <hyperlink r:id="rId1662" ref="L2145"/>
    <hyperlink r:id="rId1663" ref="L2147"/>
    <hyperlink r:id="rId1664" ref="L2148"/>
    <hyperlink r:id="rId1665" ref="L2149"/>
    <hyperlink r:id="rId1666" ref="L2150"/>
    <hyperlink r:id="rId1667" ref="L2151"/>
    <hyperlink r:id="rId1668" ref="L2152"/>
    <hyperlink r:id="rId1669" ref="L2153"/>
    <hyperlink r:id="rId1670" ref="L2154"/>
    <hyperlink r:id="rId1671" ref="L2156"/>
    <hyperlink r:id="rId1672" ref="L2157"/>
    <hyperlink r:id="rId1673" ref="L2158"/>
    <hyperlink r:id="rId1674" ref="L2159"/>
    <hyperlink r:id="rId1675" ref="L2160"/>
    <hyperlink r:id="rId1676" ref="L2161"/>
    <hyperlink r:id="rId1677" ref="L2162"/>
    <hyperlink r:id="rId1678" ref="L2163"/>
    <hyperlink r:id="rId1679" ref="L2164"/>
    <hyperlink r:id="rId1680" ref="L2165"/>
    <hyperlink r:id="rId1681" ref="L2170"/>
    <hyperlink r:id="rId1682" ref="L2173"/>
    <hyperlink r:id="rId1683" ref="B2174"/>
    <hyperlink r:id="rId1684" ref="L2175"/>
    <hyperlink r:id="rId1685" ref="L2176"/>
    <hyperlink r:id="rId1686" ref="L2177"/>
    <hyperlink r:id="rId1687" ref="L2178"/>
    <hyperlink r:id="rId1688" ref="L2179"/>
    <hyperlink r:id="rId1689" ref="L2180"/>
    <hyperlink r:id="rId1690" ref="L2181"/>
    <hyperlink r:id="rId1691" ref="L2182"/>
    <hyperlink r:id="rId1692" ref="L2183"/>
    <hyperlink r:id="rId1693" ref="L2184"/>
    <hyperlink r:id="rId1694" ref="L2185"/>
    <hyperlink r:id="rId1695" ref="L2186"/>
    <hyperlink r:id="rId1696" ref="L2187"/>
    <hyperlink r:id="rId1697" ref="L2190"/>
    <hyperlink r:id="rId1698" ref="L2191"/>
    <hyperlink r:id="rId1699" ref="L2192"/>
    <hyperlink r:id="rId1700" ref="L2196"/>
    <hyperlink r:id="rId1701" ref="L2197"/>
    <hyperlink r:id="rId1702" ref="L2198"/>
    <hyperlink r:id="rId1703" ref="L2199"/>
    <hyperlink r:id="rId1704" ref="L2201"/>
    <hyperlink r:id="rId1705" ref="L2202"/>
    <hyperlink r:id="rId1706" ref="L2203"/>
    <hyperlink r:id="rId1707" ref="L2204"/>
    <hyperlink r:id="rId1708" ref="L2205"/>
    <hyperlink r:id="rId1709" ref="L2207"/>
    <hyperlink r:id="rId1710" ref="L2208"/>
    <hyperlink r:id="rId1711" ref="L2209"/>
    <hyperlink r:id="rId1712" ref="B2212"/>
    <hyperlink r:id="rId1713" ref="L2212"/>
    <hyperlink r:id="rId1714" ref="L2213"/>
    <hyperlink r:id="rId1715" ref="L2214"/>
    <hyperlink r:id="rId1716" ref="L2215"/>
    <hyperlink r:id="rId1717" ref="L2217"/>
    <hyperlink r:id="rId1718" ref="L2218"/>
    <hyperlink r:id="rId1719" ref="L2219"/>
    <hyperlink r:id="rId1720" ref="L2220"/>
    <hyperlink r:id="rId1721" ref="L2222"/>
    <hyperlink r:id="rId1722" ref="L2223"/>
    <hyperlink r:id="rId1723" ref="L2224"/>
    <hyperlink r:id="rId1724" ref="L2225"/>
    <hyperlink r:id="rId1725" ref="L2226"/>
    <hyperlink r:id="rId1726" ref="B2228"/>
    <hyperlink r:id="rId1727" ref="L2228"/>
    <hyperlink r:id="rId1728" ref="L2229"/>
    <hyperlink r:id="rId1729" ref="L2230"/>
    <hyperlink r:id="rId1730" ref="L2233"/>
    <hyperlink r:id="rId1731" ref="L2234"/>
    <hyperlink r:id="rId1732" ref="L2235"/>
    <hyperlink r:id="rId1733" ref="L2236"/>
    <hyperlink r:id="rId1734" ref="L2238"/>
    <hyperlink r:id="rId1735" ref="L2239"/>
    <hyperlink r:id="rId1736" ref="L2240"/>
    <hyperlink r:id="rId1737" ref="L2241"/>
    <hyperlink r:id="rId1738" ref="L2242"/>
    <hyperlink r:id="rId1739" ref="L2243"/>
    <hyperlink r:id="rId1740" ref="L2244"/>
    <hyperlink r:id="rId1741" ref="L2245"/>
    <hyperlink r:id="rId1742" ref="B2247"/>
    <hyperlink r:id="rId1743" ref="L2248"/>
    <hyperlink r:id="rId1744" ref="L2252"/>
    <hyperlink r:id="rId1745" ref="L2253"/>
    <hyperlink r:id="rId1746" ref="L2254"/>
    <hyperlink r:id="rId1747" ref="L2255"/>
    <hyperlink r:id="rId1748" ref="L2256"/>
    <hyperlink r:id="rId1749" ref="L2257"/>
    <hyperlink r:id="rId1750" ref="L2258"/>
    <hyperlink r:id="rId1751" ref="L2260"/>
    <hyperlink r:id="rId1752" ref="L2261"/>
    <hyperlink r:id="rId1753" ref="L2262"/>
    <hyperlink r:id="rId1754" ref="L2265"/>
    <hyperlink r:id="rId1755" ref="L2266"/>
    <hyperlink r:id="rId1756" ref="L2267"/>
    <hyperlink r:id="rId1757" ref="L2268"/>
    <hyperlink r:id="rId1758" ref="L2269"/>
    <hyperlink r:id="rId1759" ref="L2270"/>
    <hyperlink r:id="rId1760" ref="L2271"/>
    <hyperlink r:id="rId1761" ref="L2272"/>
    <hyperlink r:id="rId1762" ref="L2273"/>
    <hyperlink r:id="rId1763" ref="L2274"/>
    <hyperlink r:id="rId1764" ref="L2276"/>
    <hyperlink r:id="rId1765" ref="L2277"/>
    <hyperlink r:id="rId1766" ref="L2278"/>
    <hyperlink r:id="rId1767" ref="L2279"/>
    <hyperlink r:id="rId1768" ref="L2281"/>
    <hyperlink r:id="rId1769" ref="L2282"/>
    <hyperlink r:id="rId1770" ref="L2283"/>
    <hyperlink r:id="rId1771" ref="L2284"/>
    <hyperlink r:id="rId1772" ref="L2287"/>
    <hyperlink r:id="rId1773" ref="L2288"/>
    <hyperlink r:id="rId1774" ref="L2290"/>
    <hyperlink r:id="rId1775" ref="L2291"/>
    <hyperlink r:id="rId1776" ref="B2292"/>
    <hyperlink r:id="rId1777" ref="L2292"/>
    <hyperlink r:id="rId1778" ref="L2294"/>
    <hyperlink r:id="rId1779" ref="B2295"/>
    <hyperlink r:id="rId1780" ref="L2296"/>
    <hyperlink r:id="rId1781" ref="L2298"/>
    <hyperlink r:id="rId1782" ref="L2299"/>
    <hyperlink r:id="rId1783" ref="L2300"/>
    <hyperlink r:id="rId1784" ref="L2304"/>
    <hyperlink r:id="rId1785" ref="L2305"/>
    <hyperlink r:id="rId1786" ref="L2306"/>
    <hyperlink r:id="rId1787" ref="L2308"/>
    <hyperlink r:id="rId1788" ref="B2309"/>
    <hyperlink r:id="rId1789" ref="L2309"/>
    <hyperlink r:id="rId1790" ref="L2310"/>
    <hyperlink r:id="rId1791" ref="L2311"/>
    <hyperlink r:id="rId1792" ref="L2312"/>
    <hyperlink r:id="rId1793" ref="L2313"/>
    <hyperlink r:id="rId1794" ref="L2314"/>
    <hyperlink r:id="rId1795" ref="L2315"/>
    <hyperlink r:id="rId1796" ref="L2316"/>
    <hyperlink r:id="rId1797" ref="L2317"/>
    <hyperlink r:id="rId1798" ref="L2318"/>
    <hyperlink r:id="rId1799" ref="L2319"/>
    <hyperlink r:id="rId1800" ref="L2321"/>
    <hyperlink r:id="rId1801" ref="L2322"/>
    <hyperlink r:id="rId1802" ref="L2323"/>
    <hyperlink r:id="rId1803" ref="L2324"/>
    <hyperlink r:id="rId1804" ref="L2325"/>
    <hyperlink r:id="rId1805" ref="L2326"/>
    <hyperlink r:id="rId1806" ref="L2329"/>
    <hyperlink r:id="rId1807" ref="L2331"/>
    <hyperlink r:id="rId1808" ref="L2332"/>
    <hyperlink r:id="rId1809" ref="L2333"/>
    <hyperlink r:id="rId1810" ref="L2334"/>
    <hyperlink r:id="rId1811" ref="L2336"/>
    <hyperlink r:id="rId1812" ref="L2338"/>
    <hyperlink r:id="rId1813" ref="L2340"/>
    <hyperlink r:id="rId1814" ref="L2341"/>
    <hyperlink r:id="rId1815" ref="L2342"/>
    <hyperlink r:id="rId1816" ref="L2343"/>
    <hyperlink r:id="rId1817" ref="L2345"/>
    <hyperlink r:id="rId1818" ref="L2346"/>
    <hyperlink r:id="rId1819" ref="L2347"/>
    <hyperlink r:id="rId1820" ref="L2348"/>
    <hyperlink r:id="rId1821" ref="L2349"/>
    <hyperlink r:id="rId1822" ref="L2350"/>
    <hyperlink r:id="rId1823" ref="L2351"/>
    <hyperlink r:id="rId1824" ref="L2352"/>
    <hyperlink r:id="rId1825" ref="L2353"/>
    <hyperlink r:id="rId1826" ref="L2354"/>
    <hyperlink r:id="rId1827" ref="L2355"/>
    <hyperlink r:id="rId1828" ref="L2356"/>
    <hyperlink r:id="rId1829" ref="L2357"/>
    <hyperlink r:id="rId1830" ref="L2358"/>
    <hyperlink r:id="rId1831" ref="L2360"/>
    <hyperlink r:id="rId1832" ref="L2361"/>
    <hyperlink r:id="rId1833" ref="L2362"/>
    <hyperlink r:id="rId1834" ref="L2365"/>
    <hyperlink r:id="rId1835" ref="L2366"/>
    <hyperlink r:id="rId1836" ref="L2367"/>
    <hyperlink r:id="rId1837" ref="L2368"/>
    <hyperlink r:id="rId1838" ref="L2369"/>
    <hyperlink r:id="rId1839" ref="L2372"/>
    <hyperlink r:id="rId1840" ref="L2374"/>
    <hyperlink r:id="rId1841" ref="L2375"/>
    <hyperlink r:id="rId1842" ref="L2378"/>
    <hyperlink r:id="rId1843" ref="L2382"/>
    <hyperlink r:id="rId1844" ref="L2383"/>
    <hyperlink r:id="rId1845" ref="L2385"/>
    <hyperlink r:id="rId1846" ref="L2387"/>
    <hyperlink r:id="rId1847" ref="L2388"/>
    <hyperlink r:id="rId1848" ref="L2390"/>
    <hyperlink r:id="rId1849" ref="L2392"/>
    <hyperlink r:id="rId1850" ref="L2396"/>
    <hyperlink r:id="rId1851" ref="L2398"/>
    <hyperlink r:id="rId1852" ref="L2399"/>
    <hyperlink r:id="rId1853" ref="L2400"/>
    <hyperlink r:id="rId1854" ref="L2401"/>
    <hyperlink r:id="rId1855" ref="L2402"/>
    <hyperlink r:id="rId1856" ref="L2403"/>
    <hyperlink r:id="rId1857" ref="B2404"/>
    <hyperlink r:id="rId1858" ref="L2404"/>
    <hyperlink r:id="rId1859" ref="L2405"/>
    <hyperlink r:id="rId1860" ref="L2407"/>
    <hyperlink r:id="rId1861" ref="L2408"/>
    <hyperlink r:id="rId1862" ref="L2409"/>
    <hyperlink r:id="rId1863" ref="L2410"/>
    <hyperlink r:id="rId1864" ref="L2412"/>
    <hyperlink r:id="rId1865" ref="L2413"/>
    <hyperlink r:id="rId1866" ref="B2414"/>
    <hyperlink r:id="rId1867" ref="L2414"/>
    <hyperlink r:id="rId1868" ref="L2415"/>
    <hyperlink r:id="rId1869" ref="L2416"/>
    <hyperlink r:id="rId1870" ref="L2417"/>
    <hyperlink r:id="rId1871" ref="L2418"/>
    <hyperlink r:id="rId1872" ref="L2420"/>
    <hyperlink r:id="rId1873" ref="B2421"/>
    <hyperlink r:id="rId1874" ref="L2423"/>
    <hyperlink r:id="rId1875" ref="L2426"/>
    <hyperlink r:id="rId1876" ref="L2428"/>
    <hyperlink r:id="rId1877" ref="L2429"/>
    <hyperlink r:id="rId1878" ref="L2431"/>
    <hyperlink r:id="rId1879" ref="L2432"/>
    <hyperlink r:id="rId1880" ref="L2433"/>
    <hyperlink r:id="rId1881" ref="L2434"/>
    <hyperlink r:id="rId1882" ref="L2435"/>
    <hyperlink r:id="rId1883" ref="B2436"/>
    <hyperlink r:id="rId1884" ref="L2436"/>
    <hyperlink r:id="rId1885" ref="L2437"/>
    <hyperlink r:id="rId1886" ref="L2438"/>
    <hyperlink r:id="rId1887" ref="L2439"/>
    <hyperlink r:id="rId1888" ref="L2440"/>
    <hyperlink r:id="rId1889" ref="L2441"/>
    <hyperlink r:id="rId1890" ref="L2442"/>
    <hyperlink r:id="rId1891" ref="L2444"/>
    <hyperlink r:id="rId1892" ref="L2445"/>
    <hyperlink r:id="rId1893" ref="L2446"/>
    <hyperlink r:id="rId1894" ref="L2447"/>
    <hyperlink r:id="rId1895" ref="L2448"/>
    <hyperlink r:id="rId1896" ref="L2453"/>
    <hyperlink r:id="rId1897" ref="L2454"/>
    <hyperlink r:id="rId1898" ref="L2459"/>
    <hyperlink r:id="rId1899" ref="L2460"/>
    <hyperlink r:id="rId1900" ref="L2463"/>
    <hyperlink r:id="rId1901" ref="L2464"/>
    <hyperlink r:id="rId1902" ref="L2466"/>
    <hyperlink r:id="rId1903" ref="L2468"/>
    <hyperlink r:id="rId1904" ref="L2470"/>
    <hyperlink r:id="rId1905" ref="L2471"/>
    <hyperlink r:id="rId1906" ref="B2472"/>
    <hyperlink r:id="rId1907" ref="L2473"/>
    <hyperlink r:id="rId1908" ref="L2475"/>
    <hyperlink r:id="rId1909" ref="L2477"/>
    <hyperlink r:id="rId1910" ref="L2478"/>
    <hyperlink r:id="rId1911" ref="L2481"/>
    <hyperlink r:id="rId1912" ref="L2482"/>
    <hyperlink r:id="rId1913" ref="L2484"/>
    <hyperlink r:id="rId1914" ref="L2485"/>
    <hyperlink r:id="rId1915" ref="L2486"/>
    <hyperlink r:id="rId1916" ref="L2487"/>
    <hyperlink r:id="rId1917" ref="L2488"/>
    <hyperlink r:id="rId1918" ref="L2489"/>
    <hyperlink r:id="rId1919" ref="L2492"/>
    <hyperlink r:id="rId1920" ref="L2493"/>
    <hyperlink r:id="rId1921" ref="L2494"/>
    <hyperlink r:id="rId1922" ref="L2495"/>
    <hyperlink r:id="rId1923" ref="L2496"/>
    <hyperlink r:id="rId1924" ref="L2497"/>
    <hyperlink r:id="rId1925" ref="L2498"/>
    <hyperlink r:id="rId1926" ref="L2499"/>
    <hyperlink r:id="rId1927" ref="L2500"/>
    <hyperlink r:id="rId1928" ref="B2501"/>
    <hyperlink r:id="rId1929" ref="L2501"/>
    <hyperlink r:id="rId1930" ref="L2502"/>
    <hyperlink r:id="rId1931" ref="L2503"/>
    <hyperlink r:id="rId1932" ref="L2504"/>
    <hyperlink r:id="rId1933" ref="L2506"/>
    <hyperlink r:id="rId1934" ref="L2507"/>
    <hyperlink r:id="rId1935" ref="L2510"/>
    <hyperlink r:id="rId1936" ref="L2511"/>
    <hyperlink r:id="rId1937" ref="L2513"/>
    <hyperlink r:id="rId1938" ref="L2514"/>
    <hyperlink r:id="rId1939" ref="L2515"/>
    <hyperlink r:id="rId1940" ref="L2516"/>
    <hyperlink r:id="rId1941" ref="L2517"/>
    <hyperlink r:id="rId1942" ref="L2518"/>
    <hyperlink r:id="rId1943" ref="L2519"/>
    <hyperlink r:id="rId1944" ref="L2520"/>
    <hyperlink r:id="rId1945" ref="L2521"/>
    <hyperlink r:id="rId1946" ref="L2523"/>
    <hyperlink r:id="rId1947" ref="L2525"/>
    <hyperlink r:id="rId1948" ref="L2528"/>
    <hyperlink r:id="rId1949" ref="L2530"/>
    <hyperlink r:id="rId1950" ref="L2531"/>
    <hyperlink r:id="rId1951" ref="L2534"/>
    <hyperlink r:id="rId1952" ref="L2536"/>
    <hyperlink r:id="rId1953" ref="L2537"/>
    <hyperlink r:id="rId1954" ref="L2539"/>
    <hyperlink r:id="rId1955" ref="L2540"/>
    <hyperlink r:id="rId1956" ref="L2542"/>
    <hyperlink r:id="rId1957" ref="L2546"/>
    <hyperlink r:id="rId1958" ref="L2547"/>
    <hyperlink r:id="rId1959" ref="L2551"/>
    <hyperlink r:id="rId1960" ref="L2553"/>
    <hyperlink r:id="rId1961" ref="L2554"/>
    <hyperlink r:id="rId1962" ref="L2556"/>
    <hyperlink r:id="rId1963" ref="L2557"/>
    <hyperlink r:id="rId1964" ref="B2559"/>
    <hyperlink r:id="rId1965" ref="D2559"/>
    <hyperlink r:id="rId1966" ref="L2560"/>
    <hyperlink r:id="rId1967" ref="L2561"/>
    <hyperlink r:id="rId1968" ref="L2562"/>
    <hyperlink r:id="rId1969" ref="L2563"/>
    <hyperlink r:id="rId1970" ref="L2564"/>
    <hyperlink r:id="rId1971" ref="L2565"/>
    <hyperlink r:id="rId1972" ref="L2568"/>
    <hyperlink r:id="rId1973" ref="L2569"/>
    <hyperlink r:id="rId1974" ref="L2570"/>
    <hyperlink r:id="rId1975" ref="L2571"/>
    <hyperlink r:id="rId1976" ref="L2574"/>
    <hyperlink r:id="rId1977" ref="L2575"/>
    <hyperlink r:id="rId1978" ref="L2576"/>
    <hyperlink r:id="rId1979" ref="L2577"/>
    <hyperlink r:id="rId1980" ref="L2578"/>
    <hyperlink r:id="rId1981" ref="L2579"/>
    <hyperlink r:id="rId1982" ref="L2580"/>
    <hyperlink r:id="rId1983" ref="L2581"/>
    <hyperlink r:id="rId1984" ref="L2582"/>
    <hyperlink r:id="rId1985" ref="L2583"/>
    <hyperlink r:id="rId1986" ref="L2584"/>
    <hyperlink r:id="rId1987" ref="L2585"/>
    <hyperlink r:id="rId1988" ref="L2586"/>
    <hyperlink r:id="rId1989" ref="L2587"/>
    <hyperlink r:id="rId1990" ref="L2588"/>
    <hyperlink r:id="rId1991" ref="L2589"/>
    <hyperlink r:id="rId1992" ref="L2590"/>
    <hyperlink r:id="rId1993" ref="L2591"/>
    <hyperlink r:id="rId1994" ref="L2592"/>
    <hyperlink r:id="rId1995" ref="L2593"/>
    <hyperlink r:id="rId1996" ref="L2594"/>
    <hyperlink r:id="rId1997" ref="L2596"/>
    <hyperlink r:id="rId1998" ref="L2597"/>
    <hyperlink r:id="rId1999" ref="L2598"/>
    <hyperlink r:id="rId2000" ref="L2599"/>
    <hyperlink r:id="rId2001" ref="L2600"/>
    <hyperlink r:id="rId2002" ref="L2601"/>
    <hyperlink r:id="rId2003" ref="L2604"/>
    <hyperlink r:id="rId2004" ref="L2605"/>
    <hyperlink r:id="rId2005" ref="B2606"/>
    <hyperlink r:id="rId2006" ref="L2606"/>
    <hyperlink r:id="rId2007" ref="L2608"/>
    <hyperlink r:id="rId2008" ref="L2609"/>
    <hyperlink r:id="rId2009" ref="L2611"/>
    <hyperlink r:id="rId2010" ref="L2613"/>
    <hyperlink r:id="rId2011" ref="B2614"/>
    <hyperlink r:id="rId2012" ref="L2615"/>
    <hyperlink r:id="rId2013" ref="L2617"/>
    <hyperlink r:id="rId2014" ref="L2618"/>
    <hyperlink r:id="rId2015" ref="L2619"/>
    <hyperlink r:id="rId2016" ref="L2620"/>
    <hyperlink r:id="rId2017" ref="L2621"/>
    <hyperlink r:id="rId2018" ref="L2622"/>
    <hyperlink r:id="rId2019" ref="L2624"/>
    <hyperlink r:id="rId2020" ref="L2625"/>
    <hyperlink r:id="rId2021" ref="L2626"/>
    <hyperlink r:id="rId2022" ref="L2627"/>
    <hyperlink r:id="rId2023" ref="L2628"/>
    <hyperlink r:id="rId2024" ref="L2629"/>
    <hyperlink r:id="rId2025" ref="L2631"/>
    <hyperlink r:id="rId2026" ref="L2633"/>
    <hyperlink r:id="rId2027" ref="L2634"/>
    <hyperlink r:id="rId2028" ref="B2635"/>
    <hyperlink r:id="rId2029" ref="L2635"/>
    <hyperlink r:id="rId2030" ref="L2636"/>
    <hyperlink r:id="rId2031" ref="L2637"/>
    <hyperlink r:id="rId2032" ref="L2639"/>
    <hyperlink r:id="rId2033" ref="L2640"/>
    <hyperlink r:id="rId2034" ref="L2641"/>
    <hyperlink r:id="rId2035" ref="L2643"/>
    <hyperlink r:id="rId2036" ref="L2644"/>
    <hyperlink r:id="rId2037" ref="L2645"/>
    <hyperlink r:id="rId2038" ref="L2646"/>
    <hyperlink r:id="rId2039" ref="L2647"/>
    <hyperlink r:id="rId2040" ref="L2648"/>
    <hyperlink r:id="rId2041" ref="L2649"/>
    <hyperlink r:id="rId2042" ref="L2650"/>
    <hyperlink r:id="rId2043" ref="L2651"/>
    <hyperlink r:id="rId2044" ref="L2652"/>
    <hyperlink r:id="rId2045" ref="L2653"/>
    <hyperlink r:id="rId2046" ref="L2654"/>
    <hyperlink r:id="rId2047" ref="L2655"/>
    <hyperlink r:id="rId2048" ref="L2656"/>
    <hyperlink r:id="rId2049" ref="L2657"/>
    <hyperlink r:id="rId2050" ref="L2658"/>
    <hyperlink r:id="rId2051" ref="L2661"/>
    <hyperlink r:id="rId2052" ref="L2664"/>
    <hyperlink r:id="rId2053" ref="L2665"/>
    <hyperlink r:id="rId2054" ref="L2667"/>
    <hyperlink r:id="rId2055" ref="B2668"/>
    <hyperlink r:id="rId2056" ref="L2668"/>
    <hyperlink r:id="rId2057" ref="L2670"/>
    <hyperlink r:id="rId2058" ref="L2671"/>
    <hyperlink r:id="rId2059" ref="L2672"/>
    <hyperlink r:id="rId2060" ref="L2673"/>
    <hyperlink r:id="rId2061" ref="L2674"/>
    <hyperlink r:id="rId2062" ref="L2675"/>
    <hyperlink r:id="rId2063" ref="L2677"/>
    <hyperlink r:id="rId2064" ref="L2678"/>
    <hyperlink r:id="rId2065" ref="L2680"/>
    <hyperlink r:id="rId2066" ref="L2681"/>
    <hyperlink r:id="rId2067" ref="L2682"/>
    <hyperlink r:id="rId2068" ref="L2683"/>
    <hyperlink r:id="rId2069" ref="L2684"/>
    <hyperlink r:id="rId2070" ref="L2685"/>
    <hyperlink r:id="rId2071" ref="L2687"/>
    <hyperlink r:id="rId2072" ref="L2688"/>
    <hyperlink r:id="rId2073" ref="L2689"/>
    <hyperlink r:id="rId2074" ref="L2690"/>
    <hyperlink r:id="rId2075" ref="L2691"/>
    <hyperlink r:id="rId2076" ref="L2692"/>
    <hyperlink r:id="rId2077" ref="L2693"/>
    <hyperlink r:id="rId2078" ref="L2694"/>
    <hyperlink r:id="rId2079" ref="L2695"/>
    <hyperlink r:id="rId2080" ref="L2696"/>
    <hyperlink r:id="rId2081" ref="L2697"/>
    <hyperlink r:id="rId2082" ref="L2698"/>
    <hyperlink r:id="rId2083" ref="L2700"/>
    <hyperlink r:id="rId2084" ref="L2701"/>
    <hyperlink r:id="rId2085" ref="L2703"/>
    <hyperlink r:id="rId2086" ref="L2704"/>
    <hyperlink r:id="rId2087" ref="L2705"/>
    <hyperlink r:id="rId2088" ref="L2706"/>
    <hyperlink r:id="rId2089" ref="L2707"/>
    <hyperlink r:id="rId2090" ref="L2709"/>
    <hyperlink r:id="rId2091" ref="L2710"/>
    <hyperlink r:id="rId2092" ref="L2711"/>
    <hyperlink r:id="rId2093" ref="L2712"/>
    <hyperlink r:id="rId2094" ref="L2713"/>
    <hyperlink r:id="rId2095" ref="L2715"/>
    <hyperlink r:id="rId2096" ref="L2717"/>
    <hyperlink r:id="rId2097" ref="L2718"/>
    <hyperlink r:id="rId2098" ref="L2719"/>
    <hyperlink r:id="rId2099" ref="L2720"/>
    <hyperlink r:id="rId2100" ref="L2721"/>
    <hyperlink r:id="rId2101" ref="L2723"/>
    <hyperlink r:id="rId2102" ref="L2724"/>
    <hyperlink r:id="rId2103" ref="L2725"/>
    <hyperlink r:id="rId2104" ref="L2727"/>
    <hyperlink r:id="rId2105" ref="L2728"/>
    <hyperlink r:id="rId2106" ref="L2729"/>
    <hyperlink r:id="rId2107" ref="L2731"/>
    <hyperlink r:id="rId2108" ref="L2732"/>
    <hyperlink r:id="rId2109" ref="L2733"/>
    <hyperlink r:id="rId2110" ref="L2734"/>
    <hyperlink r:id="rId2111" ref="L2738"/>
    <hyperlink r:id="rId2112" ref="L2739"/>
    <hyperlink r:id="rId2113" ref="L2741"/>
    <hyperlink r:id="rId2114" ref="L2742"/>
    <hyperlink r:id="rId2115" ref="L2743"/>
    <hyperlink r:id="rId2116" ref="L2744"/>
    <hyperlink r:id="rId2117" ref="L2745"/>
    <hyperlink r:id="rId2118" ref="L2747"/>
    <hyperlink r:id="rId2119" ref="L2748"/>
    <hyperlink r:id="rId2120" ref="L2749"/>
    <hyperlink r:id="rId2121" ref="L2750"/>
    <hyperlink r:id="rId2122" ref="L2751"/>
    <hyperlink r:id="rId2123" ref="L2752"/>
    <hyperlink r:id="rId2124" ref="L2753"/>
    <hyperlink r:id="rId2125" ref="B2754"/>
    <hyperlink r:id="rId2126" ref="L2754"/>
    <hyperlink r:id="rId2127" ref="L2755"/>
    <hyperlink r:id="rId2128" ref="L2756"/>
    <hyperlink r:id="rId2129" ref="L2757"/>
    <hyperlink r:id="rId2130" ref="L2758"/>
    <hyperlink r:id="rId2131" ref="L2760"/>
    <hyperlink r:id="rId2132" ref="L2761"/>
    <hyperlink r:id="rId2133" ref="L2762"/>
    <hyperlink r:id="rId2134" ref="L2763"/>
    <hyperlink r:id="rId2135" ref="L2764"/>
    <hyperlink r:id="rId2136" ref="L2765"/>
    <hyperlink r:id="rId2137" ref="L2767"/>
    <hyperlink r:id="rId2138" ref="L2768"/>
    <hyperlink r:id="rId2139" ref="L2769"/>
    <hyperlink r:id="rId2140" ref="L2770"/>
    <hyperlink r:id="rId2141" ref="L2771"/>
    <hyperlink r:id="rId2142" ref="L2772"/>
    <hyperlink r:id="rId2143" ref="L2774"/>
    <hyperlink r:id="rId2144" ref="L2775"/>
    <hyperlink r:id="rId2145" ref="L2776"/>
    <hyperlink r:id="rId2146" ref="L2777"/>
    <hyperlink r:id="rId2147" ref="L2778"/>
    <hyperlink r:id="rId2148" ref="L2779"/>
    <hyperlink r:id="rId2149" ref="L2780"/>
    <hyperlink r:id="rId2150" ref="L2781"/>
    <hyperlink r:id="rId2151" ref="L2782"/>
    <hyperlink r:id="rId2152" ref="L2783"/>
    <hyperlink r:id="rId2153" ref="L2784"/>
    <hyperlink r:id="rId2154" ref="L2785"/>
    <hyperlink r:id="rId2155" ref="L2787"/>
    <hyperlink r:id="rId2156" ref="L2788"/>
    <hyperlink r:id="rId2157" ref="L2789"/>
    <hyperlink r:id="rId2158" ref="L2790"/>
    <hyperlink r:id="rId2159" ref="L2791"/>
    <hyperlink r:id="rId2160" ref="L2792"/>
    <hyperlink r:id="rId2161" ref="L2793"/>
    <hyperlink r:id="rId2162" ref="L2795"/>
    <hyperlink r:id="rId2163" ref="L2796"/>
    <hyperlink r:id="rId2164" ref="L2797"/>
    <hyperlink r:id="rId2165" ref="L2798"/>
    <hyperlink r:id="rId2166" ref="L2799"/>
    <hyperlink r:id="rId2167" ref="L2800"/>
    <hyperlink r:id="rId2168" ref="L2801"/>
    <hyperlink r:id="rId2169" ref="L2802"/>
    <hyperlink r:id="rId2170" ref="L2803"/>
    <hyperlink r:id="rId2171" ref="L2806"/>
    <hyperlink r:id="rId2172" ref="L2807"/>
    <hyperlink r:id="rId2173" ref="L2809"/>
    <hyperlink r:id="rId2174" ref="L2810"/>
    <hyperlink r:id="rId2175" ref="L2813"/>
    <hyperlink r:id="rId2176" ref="L2818"/>
    <hyperlink r:id="rId2177" ref="L2820"/>
    <hyperlink r:id="rId2178" ref="L2821"/>
    <hyperlink r:id="rId2179" ref="L2822"/>
    <hyperlink r:id="rId2180" ref="L2823"/>
    <hyperlink r:id="rId2181" ref="L2824"/>
    <hyperlink r:id="rId2182" ref="L2829"/>
    <hyperlink r:id="rId2183" ref="L2830"/>
    <hyperlink r:id="rId2184" ref="L2831"/>
    <hyperlink r:id="rId2185" ref="B2832"/>
    <hyperlink r:id="rId2186" ref="L2832"/>
    <hyperlink r:id="rId2187" ref="L2833"/>
    <hyperlink r:id="rId2188" ref="L2834"/>
    <hyperlink r:id="rId2189" ref="L2835"/>
    <hyperlink r:id="rId2190" ref="L2836"/>
    <hyperlink r:id="rId2191" ref="D2837"/>
    <hyperlink r:id="rId2192" ref="L2837"/>
    <hyperlink r:id="rId2193" ref="L2838"/>
    <hyperlink r:id="rId2194" ref="L2839"/>
    <hyperlink r:id="rId2195" ref="L2840"/>
    <hyperlink r:id="rId2196" ref="L2844"/>
    <hyperlink r:id="rId2197" ref="L2846"/>
    <hyperlink r:id="rId2198" ref="L2847"/>
    <hyperlink r:id="rId2199" ref="L2848"/>
    <hyperlink r:id="rId2200" ref="L2849"/>
  </hyperlinks>
  <drawing r:id="rId220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27295</v>
      </c>
      <c r="B2" s="2" t="s">
        <v>27296</v>
      </c>
      <c r="C2" s="2">
        <v>1.283868243E10</v>
      </c>
      <c r="D2" s="2" t="s">
        <v>27297</v>
      </c>
      <c r="E2" s="2">
        <v>69580.0</v>
      </c>
      <c r="F2" s="2">
        <v>379.0</v>
      </c>
      <c r="G2" s="2">
        <v>756.0</v>
      </c>
      <c r="H2" s="2" t="s">
        <v>5906</v>
      </c>
      <c r="I2" s="2" t="s">
        <v>5905</v>
      </c>
      <c r="J2" s="2" t="s">
        <v>5391</v>
      </c>
      <c r="K2" s="2" t="s">
        <v>27298</v>
      </c>
      <c r="L2" s="10" t="s">
        <v>27299</v>
      </c>
    </row>
    <row r="3">
      <c r="A3" s="2" t="s">
        <v>27295</v>
      </c>
      <c r="B3" s="2" t="s">
        <v>27300</v>
      </c>
      <c r="C3" s="2">
        <v>1.18515332E10</v>
      </c>
      <c r="D3" s="2" t="s">
        <v>27301</v>
      </c>
      <c r="E3" s="2">
        <v>726828.0</v>
      </c>
      <c r="F3" s="2">
        <v>69.0</v>
      </c>
      <c r="G3" s="2">
        <v>1064.0</v>
      </c>
      <c r="H3" s="2" t="s">
        <v>5905</v>
      </c>
      <c r="I3" s="2" t="s">
        <v>5905</v>
      </c>
      <c r="J3" s="2" t="s">
        <v>5959</v>
      </c>
      <c r="K3" s="2" t="s">
        <v>27302</v>
      </c>
    </row>
    <row r="4">
      <c r="A4" s="2" t="s">
        <v>27295</v>
      </c>
      <c r="B4" s="2" t="s">
        <v>27303</v>
      </c>
      <c r="C4" s="2">
        <v>3.608756299E9</v>
      </c>
      <c r="D4" s="2" t="s">
        <v>27304</v>
      </c>
      <c r="E4" s="2">
        <v>78575.0</v>
      </c>
      <c r="F4" s="2">
        <v>7317.0</v>
      </c>
      <c r="G4" s="2">
        <v>2622.0</v>
      </c>
      <c r="H4" s="2" t="s">
        <v>5905</v>
      </c>
      <c r="I4" s="2" t="s">
        <v>5906</v>
      </c>
      <c r="J4" s="2" t="s">
        <v>5968</v>
      </c>
      <c r="K4" s="2" t="s">
        <v>27305</v>
      </c>
      <c r="L4" s="10" t="s">
        <v>27306</v>
      </c>
    </row>
    <row r="5">
      <c r="A5" s="2" t="s">
        <v>27295</v>
      </c>
      <c r="B5" s="2" t="s">
        <v>27307</v>
      </c>
      <c r="C5" s="2">
        <v>9.047710689E9</v>
      </c>
      <c r="D5" s="2" t="s">
        <v>27308</v>
      </c>
      <c r="E5" s="2">
        <v>47031.0</v>
      </c>
      <c r="F5" s="2">
        <v>612.0</v>
      </c>
      <c r="G5" s="2">
        <v>599.0</v>
      </c>
      <c r="H5" s="2" t="s">
        <v>5905</v>
      </c>
      <c r="I5" s="2" t="s">
        <v>5906</v>
      </c>
      <c r="J5" s="2" t="s">
        <v>7414</v>
      </c>
      <c r="K5" s="2" t="s">
        <v>27309</v>
      </c>
      <c r="L5" s="10" t="s">
        <v>27310</v>
      </c>
    </row>
    <row r="6">
      <c r="A6" s="2" t="s">
        <v>27295</v>
      </c>
      <c r="B6" s="2" t="s">
        <v>27311</v>
      </c>
      <c r="C6" s="2">
        <v>2.8503757E8</v>
      </c>
      <c r="D6" s="2" t="s">
        <v>27312</v>
      </c>
      <c r="E6" s="2">
        <v>37293.0</v>
      </c>
      <c r="F6" s="2">
        <v>7497.0</v>
      </c>
      <c r="G6" s="2">
        <v>308.0</v>
      </c>
      <c r="H6" s="2" t="s">
        <v>5905</v>
      </c>
      <c r="I6" s="2" t="s">
        <v>5906</v>
      </c>
      <c r="J6" s="2" t="s">
        <v>5993</v>
      </c>
      <c r="K6" s="2" t="s">
        <v>27313</v>
      </c>
      <c r="L6" s="10" t="s">
        <v>27314</v>
      </c>
    </row>
    <row r="7">
      <c r="A7" s="2" t="s">
        <v>27315</v>
      </c>
      <c r="B7" s="2" t="s">
        <v>27316</v>
      </c>
      <c r="C7" s="2">
        <v>1.25263983E9</v>
      </c>
      <c r="D7" s="2" t="s">
        <v>27317</v>
      </c>
      <c r="E7" s="2">
        <v>18232.0</v>
      </c>
      <c r="F7" s="2">
        <v>891.0</v>
      </c>
      <c r="G7" s="2">
        <v>1303.0</v>
      </c>
      <c r="H7" s="2" t="s">
        <v>5905</v>
      </c>
      <c r="I7" s="2" t="s">
        <v>5906</v>
      </c>
      <c r="J7" s="2" t="s">
        <v>5959</v>
      </c>
      <c r="K7" s="2" t="s">
        <v>27318</v>
      </c>
      <c r="L7" s="10" t="s">
        <v>27319</v>
      </c>
    </row>
    <row r="8">
      <c r="A8" s="2" t="s">
        <v>27320</v>
      </c>
      <c r="B8" s="2" t="s">
        <v>27321</v>
      </c>
      <c r="C8" s="2">
        <v>2.63391908E8</v>
      </c>
      <c r="D8" s="2" t="s">
        <v>27322</v>
      </c>
      <c r="E8" s="2">
        <v>17082.0</v>
      </c>
      <c r="F8" s="2">
        <v>803.0</v>
      </c>
      <c r="G8" s="2">
        <v>2478.0</v>
      </c>
      <c r="H8" s="2" t="s">
        <v>5905</v>
      </c>
      <c r="I8" s="2" t="s">
        <v>5906</v>
      </c>
      <c r="J8" s="2" t="s">
        <v>7414</v>
      </c>
      <c r="K8" s="2" t="s">
        <v>27323</v>
      </c>
      <c r="L8" s="10" t="s">
        <v>27324</v>
      </c>
    </row>
    <row r="9">
      <c r="A9" s="2" t="s">
        <v>27320</v>
      </c>
      <c r="B9" s="2" t="s">
        <v>27325</v>
      </c>
      <c r="C9" s="2">
        <v>1.521527348E9</v>
      </c>
      <c r="D9" s="2" t="s">
        <v>27326</v>
      </c>
      <c r="E9" s="2">
        <v>20716.0</v>
      </c>
      <c r="F9" s="2">
        <v>490.0</v>
      </c>
      <c r="G9" s="2">
        <v>37.0</v>
      </c>
      <c r="H9" s="2" t="s">
        <v>5905</v>
      </c>
      <c r="I9" s="2" t="s">
        <v>5906</v>
      </c>
      <c r="J9" s="2" t="s">
        <v>7414</v>
      </c>
      <c r="K9" s="2" t="s">
        <v>27327</v>
      </c>
      <c r="L9" s="10" t="s">
        <v>27328</v>
      </c>
    </row>
    <row r="10">
      <c r="A10" s="2" t="s">
        <v>27320</v>
      </c>
      <c r="B10" s="2" t="s">
        <v>27329</v>
      </c>
      <c r="C10" s="2">
        <v>3.729635621E9</v>
      </c>
      <c r="D10" s="2" t="s">
        <v>27330</v>
      </c>
      <c r="E10" s="2">
        <v>10262.0</v>
      </c>
      <c r="F10" s="2">
        <v>2220.0</v>
      </c>
      <c r="G10" s="2">
        <v>31.0</v>
      </c>
      <c r="H10" s="2" t="s">
        <v>5905</v>
      </c>
      <c r="I10" s="2" t="s">
        <v>5905</v>
      </c>
      <c r="J10" s="2" t="s">
        <v>6393</v>
      </c>
      <c r="K10" s="2" t="s">
        <v>27331</v>
      </c>
    </row>
    <row r="11">
      <c r="A11" s="2" t="s">
        <v>27332</v>
      </c>
      <c r="B11" s="2" t="s">
        <v>27333</v>
      </c>
      <c r="C11" s="2">
        <v>1.674753254E9</v>
      </c>
      <c r="D11" s="2" t="s">
        <v>27334</v>
      </c>
      <c r="E11" s="2">
        <v>19174.0</v>
      </c>
      <c r="F11" s="2">
        <v>450.0</v>
      </c>
      <c r="G11" s="2">
        <v>739.0</v>
      </c>
      <c r="H11" s="2" t="s">
        <v>5905</v>
      </c>
      <c r="I11" s="2" t="s">
        <v>5906</v>
      </c>
      <c r="J11" s="2" t="s">
        <v>6393</v>
      </c>
      <c r="K11" s="2" t="s">
        <v>27335</v>
      </c>
      <c r="L11" s="10" t="s">
        <v>27336</v>
      </c>
    </row>
    <row r="12">
      <c r="A12" s="2" t="s">
        <v>27337</v>
      </c>
      <c r="B12" s="2" t="s">
        <v>27338</v>
      </c>
      <c r="C12" s="2">
        <v>4.5047270193E10</v>
      </c>
      <c r="D12" s="2" t="s">
        <v>27339</v>
      </c>
      <c r="E12" s="2">
        <v>33384.0</v>
      </c>
      <c r="F12" s="2">
        <v>7483.0</v>
      </c>
      <c r="G12" s="2">
        <v>146.0</v>
      </c>
      <c r="H12" s="2" t="s">
        <v>5906</v>
      </c>
      <c r="I12" s="2" t="s">
        <v>5906</v>
      </c>
      <c r="J12" s="2" t="s">
        <v>7414</v>
      </c>
      <c r="K12" s="2" t="s">
        <v>27340</v>
      </c>
    </row>
    <row r="13">
      <c r="A13" s="2" t="s">
        <v>27341</v>
      </c>
      <c r="B13" s="2" t="s">
        <v>27342</v>
      </c>
      <c r="C13" s="2">
        <v>2.43648097E8</v>
      </c>
      <c r="D13" s="2" t="s">
        <v>27343</v>
      </c>
      <c r="E13" s="2">
        <v>13757.0</v>
      </c>
      <c r="F13" s="2">
        <v>4613.0</v>
      </c>
      <c r="G13" s="2">
        <v>239.0</v>
      </c>
      <c r="H13" s="2" t="s">
        <v>5906</v>
      </c>
      <c r="I13" s="2" t="s">
        <v>5905</v>
      </c>
      <c r="J13" s="2" t="s">
        <v>7620</v>
      </c>
      <c r="K13" s="2" t="s">
        <v>27344</v>
      </c>
      <c r="L13" s="10" t="s">
        <v>27345</v>
      </c>
    </row>
    <row r="14">
      <c r="A14" s="2" t="s">
        <v>27346</v>
      </c>
      <c r="B14" s="2" t="s">
        <v>27342</v>
      </c>
      <c r="C14" s="2">
        <v>2.43648097E8</v>
      </c>
      <c r="D14" s="2" t="s">
        <v>27343</v>
      </c>
      <c r="E14" s="2">
        <v>13757.0</v>
      </c>
      <c r="F14" s="2">
        <v>4613.0</v>
      </c>
      <c r="G14" s="2">
        <v>239.0</v>
      </c>
      <c r="H14" s="2" t="s">
        <v>5906</v>
      </c>
      <c r="I14" s="2" t="s">
        <v>5905</v>
      </c>
      <c r="J14" s="2" t="s">
        <v>7620</v>
      </c>
      <c r="K14" s="2" t="s">
        <v>27344</v>
      </c>
      <c r="L14" s="10" t="s">
        <v>27345</v>
      </c>
    </row>
    <row r="15">
      <c r="A15" s="2" t="s">
        <v>27347</v>
      </c>
      <c r="B15" s="2" t="s">
        <v>27348</v>
      </c>
      <c r="C15" s="2">
        <v>3.01596282E8</v>
      </c>
      <c r="D15" s="2" t="s">
        <v>27349</v>
      </c>
      <c r="E15" s="2">
        <v>11749.0</v>
      </c>
      <c r="F15" s="2">
        <v>1484.0</v>
      </c>
      <c r="G15" s="2">
        <v>251.0</v>
      </c>
      <c r="H15" s="2" t="s">
        <v>5906</v>
      </c>
      <c r="I15" s="2" t="s">
        <v>5906</v>
      </c>
      <c r="J15" s="2" t="s">
        <v>14778</v>
      </c>
      <c r="K15" s="2" t="s">
        <v>27350</v>
      </c>
    </row>
    <row r="16">
      <c r="A16" s="2" t="s">
        <v>27347</v>
      </c>
      <c r="B16" s="2" t="s">
        <v>27351</v>
      </c>
      <c r="C16" s="2">
        <v>4.90856575E8</v>
      </c>
      <c r="D16" s="2" t="s">
        <v>27352</v>
      </c>
      <c r="E16" s="2">
        <v>21817.0</v>
      </c>
      <c r="F16" s="2">
        <v>1404.0</v>
      </c>
      <c r="G16" s="2">
        <v>489.0</v>
      </c>
      <c r="H16" s="2" t="s">
        <v>5905</v>
      </c>
      <c r="I16" s="2" t="s">
        <v>5906</v>
      </c>
      <c r="J16" s="2" t="s">
        <v>5391</v>
      </c>
      <c r="K16" s="2" t="s">
        <v>27353</v>
      </c>
      <c r="L16" s="10" t="s">
        <v>27354</v>
      </c>
    </row>
    <row r="17">
      <c r="A17" s="2" t="s">
        <v>27347</v>
      </c>
      <c r="B17" s="2" t="s">
        <v>27355</v>
      </c>
      <c r="C17" s="2">
        <v>1.512948816E9</v>
      </c>
      <c r="D17" s="2" t="s">
        <v>27356</v>
      </c>
      <c r="E17" s="2">
        <v>17782.0</v>
      </c>
      <c r="F17" s="2">
        <v>732.0</v>
      </c>
      <c r="G17" s="2">
        <v>308.0</v>
      </c>
      <c r="H17" s="2" t="s">
        <v>5905</v>
      </c>
      <c r="I17" s="2" t="s">
        <v>5906</v>
      </c>
      <c r="J17" s="2" t="s">
        <v>5391</v>
      </c>
      <c r="K17" s="2" t="s">
        <v>27357</v>
      </c>
    </row>
    <row r="18">
      <c r="A18" s="2" t="s">
        <v>27358</v>
      </c>
      <c r="B18" s="2" t="s">
        <v>27359</v>
      </c>
      <c r="C18" s="2">
        <v>1.8545898491E10</v>
      </c>
      <c r="D18" s="2" t="s">
        <v>27360</v>
      </c>
      <c r="E18" s="2">
        <v>10304.0</v>
      </c>
      <c r="F18" s="2">
        <v>277.0</v>
      </c>
      <c r="G18" s="2">
        <v>88.0</v>
      </c>
      <c r="H18" s="2" t="s">
        <v>5905</v>
      </c>
      <c r="I18" s="2" t="s">
        <v>5905</v>
      </c>
      <c r="K18" s="2" t="s">
        <v>27361</v>
      </c>
    </row>
    <row r="19">
      <c r="A19" s="2" t="s">
        <v>27362</v>
      </c>
      <c r="B19" s="2" t="s">
        <v>27363</v>
      </c>
      <c r="C19" s="2">
        <v>2.865197904E9</v>
      </c>
      <c r="D19" s="2" t="s">
        <v>27364</v>
      </c>
      <c r="E19" s="2">
        <v>108172.0</v>
      </c>
      <c r="F19" s="2">
        <v>663.0</v>
      </c>
      <c r="G19" s="2">
        <v>1102.0</v>
      </c>
      <c r="H19" s="2" t="s">
        <v>5906</v>
      </c>
      <c r="I19" s="2" t="s">
        <v>5905</v>
      </c>
      <c r="J19" s="2" t="s">
        <v>27365</v>
      </c>
      <c r="K19" s="2" t="s">
        <v>27366</v>
      </c>
      <c r="L19" s="10" t="s">
        <v>27367</v>
      </c>
    </row>
    <row r="20">
      <c r="A20" s="2" t="s">
        <v>27362</v>
      </c>
      <c r="B20" s="2" t="s">
        <v>27368</v>
      </c>
      <c r="C20" s="2">
        <v>4.17610189E8</v>
      </c>
      <c r="D20" s="2" t="s">
        <v>27369</v>
      </c>
      <c r="E20" s="2">
        <v>166614.0</v>
      </c>
      <c r="F20" s="2">
        <v>2880.0</v>
      </c>
      <c r="G20" s="2">
        <v>1356.0</v>
      </c>
      <c r="H20" s="2" t="s">
        <v>5906</v>
      </c>
      <c r="I20" s="2" t="s">
        <v>5905</v>
      </c>
      <c r="J20" s="2" t="s">
        <v>5959</v>
      </c>
      <c r="K20" s="2" t="s">
        <v>27370</v>
      </c>
      <c r="L20" s="10" t="s">
        <v>27371</v>
      </c>
    </row>
    <row r="21">
      <c r="A21" s="2" t="s">
        <v>27362</v>
      </c>
      <c r="B21" s="2" t="s">
        <v>27372</v>
      </c>
      <c r="C21" s="2">
        <v>4.4464491586E10</v>
      </c>
      <c r="D21" s="2" t="s">
        <v>27373</v>
      </c>
      <c r="E21" s="2">
        <v>110818.0</v>
      </c>
      <c r="F21" s="2">
        <v>939.0</v>
      </c>
      <c r="G21" s="2">
        <v>666.0</v>
      </c>
      <c r="H21" s="2" t="s">
        <v>5905</v>
      </c>
      <c r="I21" s="2" t="s">
        <v>5906</v>
      </c>
      <c r="J21" s="2" t="s">
        <v>12715</v>
      </c>
      <c r="K21" s="2" t="s">
        <v>27374</v>
      </c>
    </row>
    <row r="22">
      <c r="A22" s="2" t="s">
        <v>27362</v>
      </c>
      <c r="B22" s="2" t="s">
        <v>27375</v>
      </c>
      <c r="C22" s="2">
        <v>3.3634939562E10</v>
      </c>
      <c r="D22" s="2" t="s">
        <v>27376</v>
      </c>
      <c r="E22" s="2">
        <v>11928.0</v>
      </c>
      <c r="F22" s="2">
        <v>1990.0</v>
      </c>
      <c r="G22" s="2">
        <v>520.0</v>
      </c>
      <c r="H22" s="2" t="s">
        <v>5905</v>
      </c>
      <c r="I22" s="2" t="s">
        <v>5906</v>
      </c>
      <c r="J22" s="2" t="s">
        <v>7414</v>
      </c>
      <c r="K22" s="2" t="s">
        <v>27377</v>
      </c>
      <c r="L22" s="10" t="s">
        <v>27378</v>
      </c>
    </row>
    <row r="23">
      <c r="A23" s="2" t="s">
        <v>27362</v>
      </c>
      <c r="B23" s="2" t="s">
        <v>27379</v>
      </c>
      <c r="C23" s="2">
        <v>2.06570746E9</v>
      </c>
      <c r="D23" s="2" t="s">
        <v>27380</v>
      </c>
      <c r="E23" s="2">
        <v>33953.0</v>
      </c>
      <c r="F23" s="2">
        <v>25.0</v>
      </c>
      <c r="G23" s="2">
        <v>275.0</v>
      </c>
      <c r="H23" s="2" t="s">
        <v>5905</v>
      </c>
      <c r="I23" s="2" t="s">
        <v>5906</v>
      </c>
      <c r="K23" s="2" t="s">
        <v>27381</v>
      </c>
    </row>
    <row r="24">
      <c r="A24" s="2" t="s">
        <v>27362</v>
      </c>
      <c r="B24" s="2" t="s">
        <v>27382</v>
      </c>
      <c r="C24" s="2">
        <v>3.9403194566E10</v>
      </c>
      <c r="D24" s="2" t="s">
        <v>27383</v>
      </c>
      <c r="E24" s="2">
        <v>31253.0</v>
      </c>
      <c r="F24" s="2">
        <v>1458.0</v>
      </c>
      <c r="G24" s="2">
        <v>990.0</v>
      </c>
      <c r="H24" s="2" t="s">
        <v>5905</v>
      </c>
      <c r="I24" s="2" t="s">
        <v>5905</v>
      </c>
      <c r="J24" s="2" t="s">
        <v>27384</v>
      </c>
      <c r="K24" s="2" t="s">
        <v>27385</v>
      </c>
      <c r="L24" s="10" t="s">
        <v>27386</v>
      </c>
    </row>
    <row r="25">
      <c r="A25" s="2" t="s">
        <v>27362</v>
      </c>
      <c r="B25" s="2" t="s">
        <v>27387</v>
      </c>
      <c r="C25" s="2">
        <v>3070970.0</v>
      </c>
      <c r="D25" s="2" t="s">
        <v>27388</v>
      </c>
      <c r="E25" s="2">
        <v>28587.0</v>
      </c>
      <c r="F25" s="2">
        <v>3030.0</v>
      </c>
      <c r="G25" s="2">
        <v>1528.0</v>
      </c>
      <c r="H25" s="2" t="s">
        <v>5905</v>
      </c>
      <c r="I25" s="2" t="s">
        <v>5905</v>
      </c>
      <c r="K25" s="2" t="s">
        <v>27389</v>
      </c>
      <c r="L25" s="10" t="s">
        <v>27390</v>
      </c>
    </row>
    <row r="26">
      <c r="A26" s="2" t="s">
        <v>27362</v>
      </c>
      <c r="B26" s="2" t="s">
        <v>27391</v>
      </c>
      <c r="C26" s="2">
        <v>5.572047386E9</v>
      </c>
      <c r="D26" s="2" t="s">
        <v>27392</v>
      </c>
      <c r="E26" s="2">
        <v>32109.0</v>
      </c>
      <c r="F26" s="2">
        <v>998.0</v>
      </c>
      <c r="G26" s="2">
        <v>335.0</v>
      </c>
      <c r="H26" s="2" t="s">
        <v>5905</v>
      </c>
      <c r="I26" s="2" t="s">
        <v>5906</v>
      </c>
      <c r="J26" s="2" t="s">
        <v>24636</v>
      </c>
      <c r="K26" s="2" t="s">
        <v>27393</v>
      </c>
      <c r="L26" s="10" t="s">
        <v>27394</v>
      </c>
    </row>
    <row r="27">
      <c r="A27" s="2" t="s">
        <v>27395</v>
      </c>
      <c r="B27" s="2" t="s">
        <v>27396</v>
      </c>
      <c r="C27" s="2">
        <v>5.1199963125E10</v>
      </c>
      <c r="D27" s="2" t="s">
        <v>27397</v>
      </c>
      <c r="E27" s="2">
        <v>13923.0</v>
      </c>
      <c r="F27" s="2">
        <v>584.0</v>
      </c>
      <c r="G27" s="2">
        <v>793.0</v>
      </c>
      <c r="H27" s="2" t="s">
        <v>5905</v>
      </c>
      <c r="I27" s="2" t="s">
        <v>5905</v>
      </c>
      <c r="J27" s="2" t="s">
        <v>11316</v>
      </c>
      <c r="K27" s="2" t="s">
        <v>27398</v>
      </c>
      <c r="L27" s="10" t="s">
        <v>27399</v>
      </c>
    </row>
    <row r="28">
      <c r="A28" s="2" t="s">
        <v>27395</v>
      </c>
      <c r="B28" s="2" t="s">
        <v>27400</v>
      </c>
      <c r="C28" s="2">
        <v>3.194079657E9</v>
      </c>
      <c r="D28" s="2" t="s">
        <v>27401</v>
      </c>
      <c r="E28" s="2">
        <v>52948.0</v>
      </c>
      <c r="F28" s="2">
        <v>1238.0</v>
      </c>
      <c r="G28" s="2">
        <v>692.0</v>
      </c>
      <c r="H28" s="2" t="s">
        <v>5906</v>
      </c>
      <c r="I28" s="2" t="s">
        <v>5906</v>
      </c>
      <c r="J28" s="2" t="s">
        <v>4996</v>
      </c>
      <c r="K28" s="2" t="s">
        <v>27402</v>
      </c>
      <c r="L28" s="10" t="s">
        <v>27403</v>
      </c>
    </row>
    <row r="29">
      <c r="A29" s="2" t="s">
        <v>27395</v>
      </c>
      <c r="B29" s="2" t="s">
        <v>27404</v>
      </c>
      <c r="C29" s="2">
        <v>2.39215038E8</v>
      </c>
      <c r="D29" s="2" t="s">
        <v>27405</v>
      </c>
      <c r="E29" s="2">
        <v>1426688.0</v>
      </c>
      <c r="F29" s="2">
        <v>0.0</v>
      </c>
      <c r="G29" s="2">
        <v>34.0</v>
      </c>
      <c r="H29" s="2" t="s">
        <v>5905</v>
      </c>
      <c r="I29" s="2" t="s">
        <v>5906</v>
      </c>
      <c r="J29" s="2" t="s">
        <v>6354</v>
      </c>
      <c r="K29" s="2" t="s">
        <v>27406</v>
      </c>
    </row>
    <row r="30">
      <c r="A30" s="2" t="s">
        <v>27395</v>
      </c>
      <c r="B30" s="2" t="s">
        <v>27407</v>
      </c>
      <c r="C30" s="2">
        <v>7.2244248716E10</v>
      </c>
      <c r="D30" s="2" t="s">
        <v>27408</v>
      </c>
      <c r="E30" s="2">
        <v>30353.0</v>
      </c>
      <c r="F30" s="2">
        <v>3.0</v>
      </c>
      <c r="G30" s="2">
        <v>285.0</v>
      </c>
      <c r="H30" s="2" t="s">
        <v>5905</v>
      </c>
      <c r="I30" s="2" t="s">
        <v>5905</v>
      </c>
      <c r="J30" s="2" t="s">
        <v>7669</v>
      </c>
      <c r="K30" s="2" t="s">
        <v>27409</v>
      </c>
    </row>
    <row r="31">
      <c r="A31" s="2" t="s">
        <v>27395</v>
      </c>
      <c r="B31" s="2" t="s">
        <v>27410</v>
      </c>
      <c r="C31" s="2">
        <v>5.3659946936E10</v>
      </c>
      <c r="D31" s="2" t="s">
        <v>27411</v>
      </c>
      <c r="E31" s="2">
        <v>21268.0</v>
      </c>
      <c r="F31" s="2">
        <v>1065.0</v>
      </c>
      <c r="G31" s="2">
        <v>153.0</v>
      </c>
      <c r="H31" s="2" t="s">
        <v>5905</v>
      </c>
      <c r="I31" s="2" t="s">
        <v>5906</v>
      </c>
      <c r="J31" s="2" t="s">
        <v>5963</v>
      </c>
      <c r="K31" s="2" t="s">
        <v>27412</v>
      </c>
      <c r="L31" s="10" t="s">
        <v>27413</v>
      </c>
    </row>
    <row r="32">
      <c r="A32" s="2" t="s">
        <v>27414</v>
      </c>
      <c r="B32" s="2" t="s">
        <v>27415</v>
      </c>
      <c r="C32" s="2">
        <v>3.38135168E8</v>
      </c>
      <c r="D32" s="2" t="s">
        <v>27416</v>
      </c>
      <c r="E32" s="2">
        <v>115538.0</v>
      </c>
      <c r="F32" s="2">
        <v>48.0</v>
      </c>
      <c r="G32" s="2">
        <v>35.0</v>
      </c>
      <c r="H32" s="2" t="s">
        <v>5905</v>
      </c>
      <c r="I32" s="2" t="s">
        <v>5905</v>
      </c>
      <c r="K32" s="2" t="s">
        <v>27417</v>
      </c>
    </row>
    <row r="33">
      <c r="A33" s="2" t="s">
        <v>27418</v>
      </c>
      <c r="B33" s="2" t="s">
        <v>27419</v>
      </c>
      <c r="C33" s="2">
        <v>1.88415633E8</v>
      </c>
      <c r="D33" s="2" t="s">
        <v>27420</v>
      </c>
      <c r="E33" s="2">
        <v>21188.0</v>
      </c>
      <c r="F33" s="2">
        <v>1748.0</v>
      </c>
      <c r="G33" s="2">
        <v>786.0</v>
      </c>
      <c r="H33" s="2" t="s">
        <v>5905</v>
      </c>
      <c r="I33" s="2" t="s">
        <v>5906</v>
      </c>
      <c r="J33" s="2" t="s">
        <v>7140</v>
      </c>
      <c r="K33" s="2" t="s">
        <v>27421</v>
      </c>
      <c r="L33" s="10" t="s">
        <v>27422</v>
      </c>
    </row>
    <row r="34">
      <c r="A34" s="2" t="s">
        <v>27418</v>
      </c>
      <c r="B34" s="2" t="s">
        <v>27423</v>
      </c>
      <c r="C34" s="2">
        <v>9.427598264E9</v>
      </c>
      <c r="D34" s="2" t="s">
        <v>27424</v>
      </c>
      <c r="E34" s="2">
        <v>15047.0</v>
      </c>
      <c r="F34" s="2">
        <v>498.0</v>
      </c>
      <c r="G34" s="2">
        <v>406.0</v>
      </c>
      <c r="H34" s="2" t="s">
        <v>5905</v>
      </c>
      <c r="I34" s="2" t="s">
        <v>5905</v>
      </c>
      <c r="J34" s="2" t="s">
        <v>5928</v>
      </c>
      <c r="K34" s="2" t="s">
        <v>27425</v>
      </c>
      <c r="L34" s="10" t="s">
        <v>27426</v>
      </c>
    </row>
    <row r="35">
      <c r="A35" s="2" t="s">
        <v>27427</v>
      </c>
      <c r="B35" s="2" t="s">
        <v>27428</v>
      </c>
      <c r="C35" s="2">
        <v>4.5387976732E10</v>
      </c>
      <c r="D35" s="2" t="s">
        <v>27429</v>
      </c>
      <c r="E35" s="2">
        <v>168196.0</v>
      </c>
      <c r="F35" s="2">
        <v>365.0</v>
      </c>
      <c r="G35" s="2">
        <v>98.0</v>
      </c>
      <c r="H35" s="2" t="s">
        <v>5905</v>
      </c>
      <c r="I35" s="2" t="s">
        <v>5905</v>
      </c>
      <c r="J35" s="2" t="s">
        <v>14778</v>
      </c>
      <c r="K35" s="2" t="s">
        <v>27430</v>
      </c>
    </row>
    <row r="36">
      <c r="A36" s="2" t="s">
        <v>27431</v>
      </c>
      <c r="B36" s="2" t="s">
        <v>27432</v>
      </c>
      <c r="C36" s="2">
        <v>2.4724013E7</v>
      </c>
      <c r="D36" s="2" t="s">
        <v>27433</v>
      </c>
      <c r="E36" s="2">
        <v>24715.0</v>
      </c>
      <c r="F36" s="2">
        <v>4735.0</v>
      </c>
      <c r="G36" s="2">
        <v>3835.0</v>
      </c>
      <c r="H36" s="2" t="s">
        <v>5905</v>
      </c>
      <c r="I36" s="2" t="s">
        <v>5905</v>
      </c>
      <c r="J36" s="2" t="s">
        <v>14778</v>
      </c>
      <c r="K36" s="2" t="s">
        <v>27434</v>
      </c>
      <c r="L36" s="10" t="s">
        <v>27435</v>
      </c>
    </row>
    <row r="37">
      <c r="A37" s="2" t="s">
        <v>27431</v>
      </c>
      <c r="B37" s="2" t="s">
        <v>27436</v>
      </c>
      <c r="C37" s="2">
        <v>2.369859702E9</v>
      </c>
      <c r="D37" s="2" t="s">
        <v>27437</v>
      </c>
      <c r="E37" s="2">
        <v>88044.0</v>
      </c>
      <c r="F37" s="2">
        <v>1971.0</v>
      </c>
      <c r="G37" s="2">
        <v>348.0</v>
      </c>
      <c r="H37" s="2" t="s">
        <v>5905</v>
      </c>
      <c r="I37" s="2" t="s">
        <v>5905</v>
      </c>
      <c r="J37" s="2" t="s">
        <v>14778</v>
      </c>
      <c r="K37" s="2" t="s">
        <v>27438</v>
      </c>
      <c r="L37" s="10" t="s">
        <v>27439</v>
      </c>
    </row>
    <row r="38">
      <c r="A38" s="2" t="s">
        <v>27431</v>
      </c>
      <c r="B38" s="2" t="s">
        <v>27440</v>
      </c>
      <c r="C38" s="2">
        <v>1.0718819454E10</v>
      </c>
      <c r="D38" s="2" t="s">
        <v>27441</v>
      </c>
      <c r="E38" s="2">
        <v>22384.0</v>
      </c>
      <c r="F38" s="2">
        <v>591.0</v>
      </c>
      <c r="G38" s="2">
        <v>986.0</v>
      </c>
      <c r="H38" s="2" t="s">
        <v>5905</v>
      </c>
      <c r="I38" s="2" t="s">
        <v>5905</v>
      </c>
      <c r="J38" s="2" t="s">
        <v>7414</v>
      </c>
      <c r="K38" s="2" t="s">
        <v>27442</v>
      </c>
      <c r="L38" s="10" t="s">
        <v>27443</v>
      </c>
    </row>
    <row r="39">
      <c r="A39" s="2" t="s">
        <v>27431</v>
      </c>
      <c r="B39" s="2" t="s">
        <v>27444</v>
      </c>
      <c r="C39" s="2">
        <v>1.83306604E8</v>
      </c>
      <c r="D39" s="2" t="s">
        <v>27445</v>
      </c>
      <c r="E39" s="2">
        <v>18736.0</v>
      </c>
      <c r="F39" s="2">
        <v>3785.0</v>
      </c>
      <c r="G39" s="2">
        <v>1273.0</v>
      </c>
      <c r="H39" s="2" t="s">
        <v>5905</v>
      </c>
      <c r="I39" s="2" t="s">
        <v>5906</v>
      </c>
      <c r="J39" s="2" t="s">
        <v>5993</v>
      </c>
      <c r="K39" s="2" t="s">
        <v>27446</v>
      </c>
    </row>
    <row r="40">
      <c r="A40" s="2" t="s">
        <v>27431</v>
      </c>
      <c r="B40" s="2" t="s">
        <v>27447</v>
      </c>
      <c r="C40" s="2">
        <v>2.2238637E9</v>
      </c>
      <c r="D40" s="2" t="s">
        <v>27448</v>
      </c>
      <c r="E40" s="2">
        <v>30787.0</v>
      </c>
      <c r="F40" s="2">
        <v>903.0</v>
      </c>
      <c r="G40" s="2">
        <v>2013.0</v>
      </c>
      <c r="H40" s="2" t="s">
        <v>5905</v>
      </c>
      <c r="I40" s="2" t="s">
        <v>5905</v>
      </c>
      <c r="J40" s="2" t="s">
        <v>14778</v>
      </c>
      <c r="K40" s="2" t="s">
        <v>27449</v>
      </c>
      <c r="L40" s="10" t="s">
        <v>27450</v>
      </c>
    </row>
    <row r="41">
      <c r="A41" s="2" t="s">
        <v>27431</v>
      </c>
      <c r="B41" s="2" t="s">
        <v>27451</v>
      </c>
      <c r="C41" s="2">
        <v>4.69652629E8</v>
      </c>
      <c r="D41" s="2" t="s">
        <v>27452</v>
      </c>
      <c r="E41" s="2">
        <v>19826.0</v>
      </c>
      <c r="F41" s="2">
        <v>196.0</v>
      </c>
      <c r="G41" s="2">
        <v>227.0</v>
      </c>
      <c r="H41" s="2" t="s">
        <v>5905</v>
      </c>
      <c r="I41" s="2" t="s">
        <v>5905</v>
      </c>
      <c r="J41" s="2" t="s">
        <v>14778</v>
      </c>
      <c r="K41" s="2" t="s">
        <v>27453</v>
      </c>
      <c r="L41" s="10" t="s">
        <v>27454</v>
      </c>
    </row>
    <row r="42">
      <c r="A42" s="2" t="s">
        <v>27455</v>
      </c>
      <c r="B42" s="2" t="s">
        <v>27456</v>
      </c>
      <c r="C42" s="2">
        <v>3.4307714E8</v>
      </c>
      <c r="D42" s="2" t="s">
        <v>27457</v>
      </c>
      <c r="E42" s="2">
        <v>26373.0</v>
      </c>
      <c r="F42" s="2">
        <v>95.0</v>
      </c>
      <c r="G42" s="2">
        <v>1883.0</v>
      </c>
      <c r="H42" s="2" t="s">
        <v>5905</v>
      </c>
      <c r="I42" s="2" t="s">
        <v>5905</v>
      </c>
      <c r="J42" s="2" t="s">
        <v>14778</v>
      </c>
      <c r="K42" s="2" t="s">
        <v>27458</v>
      </c>
      <c r="L42" s="10" t="s">
        <v>27459</v>
      </c>
    </row>
    <row r="43">
      <c r="A43" s="2" t="s">
        <v>27455</v>
      </c>
      <c r="B43" s="2" t="s">
        <v>27460</v>
      </c>
      <c r="C43" s="2">
        <v>5.1717779132E10</v>
      </c>
      <c r="D43" s="2" t="s">
        <v>27461</v>
      </c>
      <c r="E43" s="2">
        <v>12163.0</v>
      </c>
      <c r="F43" s="2">
        <v>6959.0</v>
      </c>
      <c r="G43" s="2">
        <v>476.0</v>
      </c>
      <c r="H43" s="2" t="s">
        <v>5905</v>
      </c>
      <c r="I43" s="2" t="s">
        <v>5905</v>
      </c>
      <c r="J43" s="2" t="s">
        <v>6002</v>
      </c>
      <c r="K43" s="2" t="s">
        <v>27462</v>
      </c>
    </row>
    <row r="44">
      <c r="A44" s="2" t="s">
        <v>27463</v>
      </c>
      <c r="B44" s="2" t="s">
        <v>27464</v>
      </c>
      <c r="C44" s="2">
        <v>2.3679579797E10</v>
      </c>
      <c r="D44" s="2" t="s">
        <v>27465</v>
      </c>
      <c r="E44" s="2">
        <v>100085.0</v>
      </c>
      <c r="F44" s="2">
        <v>938.0</v>
      </c>
      <c r="G44" s="2">
        <v>795.0</v>
      </c>
      <c r="H44" s="2" t="s">
        <v>5906</v>
      </c>
      <c r="I44" s="2" t="s">
        <v>5905</v>
      </c>
      <c r="J44" s="2" t="s">
        <v>5492</v>
      </c>
      <c r="K44" s="2" t="s">
        <v>27466</v>
      </c>
      <c r="L44" s="10" t="s">
        <v>27467</v>
      </c>
    </row>
    <row r="45">
      <c r="A45" s="2" t="s">
        <v>27463</v>
      </c>
      <c r="B45" s="2" t="s">
        <v>27382</v>
      </c>
      <c r="C45" s="2">
        <v>3.9403194566E10</v>
      </c>
      <c r="D45" s="2" t="s">
        <v>27383</v>
      </c>
      <c r="E45" s="2">
        <v>31253.0</v>
      </c>
      <c r="F45" s="2">
        <v>1458.0</v>
      </c>
      <c r="G45" s="2">
        <v>990.0</v>
      </c>
      <c r="H45" s="2" t="s">
        <v>5905</v>
      </c>
      <c r="I45" s="2" t="s">
        <v>5905</v>
      </c>
      <c r="J45" s="2" t="s">
        <v>27384</v>
      </c>
      <c r="K45" s="2" t="s">
        <v>27385</v>
      </c>
      <c r="L45" s="10" t="s">
        <v>27386</v>
      </c>
    </row>
    <row r="46">
      <c r="A46" s="2" t="s">
        <v>27463</v>
      </c>
      <c r="B46" s="2" t="s">
        <v>27468</v>
      </c>
      <c r="C46" s="2">
        <v>4.0219033344E10</v>
      </c>
      <c r="D46" s="2" t="s">
        <v>27469</v>
      </c>
      <c r="E46" s="2">
        <v>28236.0</v>
      </c>
      <c r="F46" s="2">
        <v>264.0</v>
      </c>
      <c r="G46" s="2">
        <v>875.0</v>
      </c>
      <c r="H46" s="2" t="s">
        <v>5905</v>
      </c>
      <c r="I46" s="2" t="s">
        <v>5906</v>
      </c>
      <c r="J46" s="2" t="s">
        <v>6393</v>
      </c>
      <c r="K46" s="2" t="s">
        <v>27470</v>
      </c>
      <c r="L46" s="10" t="s">
        <v>27471</v>
      </c>
    </row>
    <row r="47">
      <c r="A47" s="2" t="s">
        <v>27463</v>
      </c>
      <c r="B47" s="2" t="s">
        <v>27472</v>
      </c>
      <c r="C47" s="2">
        <v>4.9514726994E10</v>
      </c>
      <c r="D47" s="2" t="s">
        <v>27473</v>
      </c>
      <c r="E47" s="2">
        <v>19599.0</v>
      </c>
      <c r="F47" s="2">
        <v>623.0</v>
      </c>
      <c r="G47" s="2">
        <v>818.0</v>
      </c>
      <c r="H47" s="2" t="s">
        <v>5905</v>
      </c>
      <c r="I47" s="2" t="s">
        <v>5906</v>
      </c>
      <c r="J47" s="2" t="s">
        <v>5993</v>
      </c>
      <c r="K47" s="2" t="s">
        <v>27474</v>
      </c>
      <c r="L47" s="10" t="s">
        <v>27475</v>
      </c>
    </row>
    <row r="48">
      <c r="A48" s="2" t="s">
        <v>27476</v>
      </c>
      <c r="B48" s="2" t="s">
        <v>27477</v>
      </c>
      <c r="C48" s="2">
        <v>1.8151971E8</v>
      </c>
      <c r="D48" s="2" t="s">
        <v>27478</v>
      </c>
      <c r="E48" s="2">
        <v>41290.0</v>
      </c>
      <c r="F48" s="2">
        <v>36.0</v>
      </c>
      <c r="G48" s="2">
        <v>497.0</v>
      </c>
      <c r="H48" s="2" t="s">
        <v>5905</v>
      </c>
      <c r="I48" s="2" t="s">
        <v>5906</v>
      </c>
      <c r="J48" s="2" t="s">
        <v>5968</v>
      </c>
      <c r="K48" s="2" t="s">
        <v>27479</v>
      </c>
      <c r="L48" s="10" t="s">
        <v>27480</v>
      </c>
    </row>
    <row r="49">
      <c r="A49" s="2" t="s">
        <v>27476</v>
      </c>
      <c r="B49" s="2" t="s">
        <v>27481</v>
      </c>
      <c r="C49" s="2">
        <v>3.323236713E9</v>
      </c>
      <c r="D49" s="2" t="s">
        <v>27482</v>
      </c>
      <c r="E49" s="2">
        <v>10941.0</v>
      </c>
      <c r="F49" s="2">
        <v>135.0</v>
      </c>
      <c r="G49" s="2">
        <v>3659.0</v>
      </c>
      <c r="H49" s="2" t="s">
        <v>5905</v>
      </c>
      <c r="I49" s="2" t="s">
        <v>5905</v>
      </c>
      <c r="J49" s="2" t="s">
        <v>16170</v>
      </c>
      <c r="K49" s="2" t="s">
        <v>27483</v>
      </c>
      <c r="L49" s="10" t="s">
        <v>27484</v>
      </c>
    </row>
    <row r="50">
      <c r="A50" s="2" t="s">
        <v>27485</v>
      </c>
      <c r="B50" s="2" t="s">
        <v>27486</v>
      </c>
      <c r="C50" s="2">
        <v>8.367272732E9</v>
      </c>
      <c r="D50" s="2" t="s">
        <v>27487</v>
      </c>
      <c r="E50" s="2">
        <v>19325.0</v>
      </c>
      <c r="F50" s="2">
        <v>622.0</v>
      </c>
      <c r="G50" s="2">
        <v>1113.0</v>
      </c>
      <c r="H50" s="2" t="s">
        <v>5905</v>
      </c>
      <c r="I50" s="2" t="s">
        <v>5906</v>
      </c>
      <c r="J50" s="2" t="s">
        <v>5993</v>
      </c>
      <c r="K50" s="2" t="s">
        <v>27488</v>
      </c>
      <c r="L50" s="10" t="s">
        <v>27489</v>
      </c>
    </row>
    <row r="51">
      <c r="A51" s="2" t="s">
        <v>27490</v>
      </c>
      <c r="B51" s="2" t="s">
        <v>27491</v>
      </c>
      <c r="C51" s="2">
        <v>4.4713691849E10</v>
      </c>
      <c r="D51" s="2" t="s">
        <v>27492</v>
      </c>
      <c r="E51" s="2">
        <v>21118.0</v>
      </c>
      <c r="F51" s="2">
        <v>4648.0</v>
      </c>
      <c r="G51" s="2">
        <v>351.0</v>
      </c>
      <c r="H51" s="2" t="s">
        <v>5905</v>
      </c>
      <c r="I51" s="2" t="s">
        <v>5906</v>
      </c>
      <c r="J51" s="2" t="s">
        <v>5391</v>
      </c>
      <c r="K51" s="2" t="s">
        <v>27493</v>
      </c>
    </row>
    <row r="52">
      <c r="A52" s="2" t="s">
        <v>27494</v>
      </c>
      <c r="B52" s="2" t="s">
        <v>27495</v>
      </c>
      <c r="C52" s="2">
        <v>1.521681713E9</v>
      </c>
      <c r="D52" s="2" t="s">
        <v>27496</v>
      </c>
      <c r="E52" s="2">
        <v>19357.0</v>
      </c>
      <c r="F52" s="2">
        <v>1165.0</v>
      </c>
      <c r="G52" s="2">
        <v>979.0</v>
      </c>
      <c r="H52" s="2" t="s">
        <v>5905</v>
      </c>
      <c r="I52" s="2" t="s">
        <v>5905</v>
      </c>
      <c r="J52" s="2" t="s">
        <v>5959</v>
      </c>
      <c r="K52" s="2" t="s">
        <v>27497</v>
      </c>
    </row>
    <row r="53">
      <c r="A53" s="2" t="s">
        <v>27498</v>
      </c>
      <c r="B53" s="2" t="s">
        <v>27499</v>
      </c>
      <c r="C53" s="2">
        <v>5.20734331E8</v>
      </c>
      <c r="D53" s="2" t="s">
        <v>27500</v>
      </c>
      <c r="E53" s="2">
        <v>17304.0</v>
      </c>
      <c r="F53" s="2">
        <v>1823.0</v>
      </c>
      <c r="G53" s="2">
        <v>2856.0</v>
      </c>
      <c r="H53" s="2" t="s">
        <v>5905</v>
      </c>
      <c r="I53" s="2" t="s">
        <v>5906</v>
      </c>
      <c r="J53" s="2" t="s">
        <v>6002</v>
      </c>
      <c r="K53" s="2" t="s">
        <v>27501</v>
      </c>
      <c r="L53" s="10" t="s">
        <v>27502</v>
      </c>
    </row>
    <row r="54">
      <c r="A54" s="2" t="s">
        <v>27498</v>
      </c>
      <c r="B54" s="2" t="s">
        <v>27503</v>
      </c>
      <c r="C54" s="2">
        <v>4.42878546E8</v>
      </c>
      <c r="D54" s="2" t="s">
        <v>27504</v>
      </c>
      <c r="E54" s="2">
        <v>11373.0</v>
      </c>
      <c r="F54" s="2">
        <v>1688.0</v>
      </c>
      <c r="G54" s="2">
        <v>1214.0</v>
      </c>
      <c r="H54" s="2" t="s">
        <v>5905</v>
      </c>
      <c r="I54" s="2" t="s">
        <v>5906</v>
      </c>
      <c r="J54" s="2" t="s">
        <v>12030</v>
      </c>
      <c r="K54" s="2" t="s">
        <v>27505</v>
      </c>
      <c r="L54" s="10" t="s">
        <v>27506</v>
      </c>
    </row>
    <row r="55">
      <c r="A55" s="2" t="s">
        <v>27498</v>
      </c>
      <c r="B55" s="2" t="s">
        <v>27507</v>
      </c>
      <c r="C55" s="2">
        <v>2.8223346128E10</v>
      </c>
      <c r="D55" s="2" t="s">
        <v>27508</v>
      </c>
      <c r="E55" s="2">
        <v>47513.0</v>
      </c>
      <c r="F55" s="2">
        <v>7490.0</v>
      </c>
      <c r="G55" s="2">
        <v>383.0</v>
      </c>
      <c r="H55" s="2" t="s">
        <v>5905</v>
      </c>
      <c r="I55" s="2" t="s">
        <v>5906</v>
      </c>
      <c r="J55" s="2" t="s">
        <v>12030</v>
      </c>
      <c r="K55" s="2" t="s">
        <v>27509</v>
      </c>
      <c r="L55" s="10" t="s">
        <v>27510</v>
      </c>
    </row>
    <row r="56">
      <c r="A56" s="2" t="s">
        <v>27498</v>
      </c>
      <c r="B56" s="2" t="s">
        <v>27511</v>
      </c>
      <c r="C56" s="2">
        <v>5.659354297E10</v>
      </c>
      <c r="D56" s="2" t="s">
        <v>27512</v>
      </c>
      <c r="E56" s="2">
        <v>17670.0</v>
      </c>
      <c r="F56" s="2">
        <v>403.0</v>
      </c>
      <c r="G56" s="2">
        <v>451.0</v>
      </c>
      <c r="H56" s="2" t="s">
        <v>5905</v>
      </c>
      <c r="I56" s="2" t="s">
        <v>5906</v>
      </c>
      <c r="J56" s="2" t="s">
        <v>12030</v>
      </c>
      <c r="K56" s="2" t="s">
        <v>27513</v>
      </c>
      <c r="L56" s="10" t="s">
        <v>27514</v>
      </c>
    </row>
    <row r="57">
      <c r="A57" s="2" t="s">
        <v>27498</v>
      </c>
      <c r="B57" s="2" t="s">
        <v>27515</v>
      </c>
      <c r="C57" s="2">
        <v>3.683503852E9</v>
      </c>
      <c r="D57" s="2" t="s">
        <v>27516</v>
      </c>
      <c r="E57" s="2">
        <v>13028.0</v>
      </c>
      <c r="F57" s="2">
        <v>912.0</v>
      </c>
      <c r="G57" s="2">
        <v>1091.0</v>
      </c>
      <c r="H57" s="2" t="s">
        <v>5905</v>
      </c>
      <c r="I57" s="2" t="s">
        <v>5906</v>
      </c>
      <c r="J57" s="2" t="s">
        <v>12030</v>
      </c>
      <c r="K57" s="2" t="s">
        <v>27517</v>
      </c>
      <c r="L57" s="10" t="s">
        <v>27518</v>
      </c>
    </row>
    <row r="58">
      <c r="A58" s="2" t="s">
        <v>27498</v>
      </c>
      <c r="B58" s="2" t="s">
        <v>27519</v>
      </c>
      <c r="C58" s="2">
        <v>3.236968693E9</v>
      </c>
      <c r="D58" s="2" t="s">
        <v>27520</v>
      </c>
      <c r="E58" s="2">
        <v>10701.0</v>
      </c>
      <c r="F58" s="2">
        <v>1392.0</v>
      </c>
      <c r="G58" s="2">
        <v>202.0</v>
      </c>
      <c r="H58" s="2" t="s">
        <v>5905</v>
      </c>
      <c r="I58" s="2" t="s">
        <v>5905</v>
      </c>
      <c r="J58" s="2" t="s">
        <v>5391</v>
      </c>
      <c r="K58" s="2" t="s">
        <v>27521</v>
      </c>
      <c r="L58" s="10" t="s">
        <v>27522</v>
      </c>
    </row>
    <row r="59">
      <c r="A59" s="2" t="s">
        <v>27523</v>
      </c>
      <c r="B59" s="10" t="s">
        <v>27524</v>
      </c>
      <c r="C59" s="2">
        <v>3.05547758E8</v>
      </c>
      <c r="D59" s="2" t="s">
        <v>27525</v>
      </c>
      <c r="E59" s="2">
        <v>19836.0</v>
      </c>
      <c r="F59" s="2">
        <v>5967.0</v>
      </c>
      <c r="G59" s="2">
        <v>11769.0</v>
      </c>
      <c r="H59" s="2" t="s">
        <v>5905</v>
      </c>
      <c r="I59" s="2" t="s">
        <v>5905</v>
      </c>
      <c r="J59" s="2" t="s">
        <v>5561</v>
      </c>
      <c r="K59" s="2" t="s">
        <v>27526</v>
      </c>
      <c r="L59" s="10" t="s">
        <v>27527</v>
      </c>
    </row>
    <row r="60">
      <c r="A60" s="2" t="s">
        <v>27523</v>
      </c>
      <c r="B60" s="10" t="s">
        <v>27528</v>
      </c>
      <c r="C60" s="2">
        <v>4.831036185E9</v>
      </c>
      <c r="D60" s="2" t="s">
        <v>27529</v>
      </c>
      <c r="E60" s="2">
        <v>24059.0</v>
      </c>
      <c r="F60" s="2">
        <v>220.0</v>
      </c>
      <c r="G60" s="2">
        <v>1208.0</v>
      </c>
      <c r="H60" s="2" t="s">
        <v>5905</v>
      </c>
      <c r="I60" s="2" t="s">
        <v>5906</v>
      </c>
      <c r="J60" s="2" t="s">
        <v>11684</v>
      </c>
      <c r="L60" s="10" t="s">
        <v>27530</v>
      </c>
    </row>
    <row r="61">
      <c r="A61" s="2" t="s">
        <v>27531</v>
      </c>
      <c r="B61" s="2" t="s">
        <v>27532</v>
      </c>
      <c r="C61" s="2">
        <v>4.83142209E9</v>
      </c>
      <c r="D61" s="2" t="s">
        <v>27533</v>
      </c>
      <c r="E61" s="2">
        <v>41242.0</v>
      </c>
      <c r="F61" s="2">
        <v>80.0</v>
      </c>
      <c r="G61" s="2">
        <v>1278.0</v>
      </c>
      <c r="H61" s="2" t="s">
        <v>5905</v>
      </c>
      <c r="I61" s="2" t="s">
        <v>5906</v>
      </c>
      <c r="J61" s="2" t="s">
        <v>20513</v>
      </c>
      <c r="K61" s="2" t="s">
        <v>27534</v>
      </c>
      <c r="L61" s="10" t="s">
        <v>27535</v>
      </c>
    </row>
    <row r="62">
      <c r="A62" s="2" t="s">
        <v>27536</v>
      </c>
      <c r="B62" s="2" t="s">
        <v>27537</v>
      </c>
      <c r="C62" s="2">
        <v>1.4476233842E10</v>
      </c>
      <c r="D62" s="2" t="s">
        <v>27538</v>
      </c>
      <c r="E62" s="2">
        <v>26468.0</v>
      </c>
      <c r="F62" s="2">
        <v>4055.0</v>
      </c>
      <c r="G62" s="2">
        <v>144.0</v>
      </c>
      <c r="H62" s="2" t="s">
        <v>5905</v>
      </c>
      <c r="I62" s="2" t="s">
        <v>5906</v>
      </c>
      <c r="J62" s="2" t="s">
        <v>5963</v>
      </c>
      <c r="K62" s="2" t="s">
        <v>27539</v>
      </c>
    </row>
    <row r="63">
      <c r="A63" s="2" t="s">
        <v>27540</v>
      </c>
      <c r="B63" s="2" t="s">
        <v>27541</v>
      </c>
      <c r="C63" s="2">
        <v>5.88169626E8</v>
      </c>
      <c r="D63" s="2" t="s">
        <v>27542</v>
      </c>
      <c r="E63" s="2">
        <v>10000.0</v>
      </c>
      <c r="F63" s="2">
        <v>370.0</v>
      </c>
      <c r="G63" s="2">
        <v>5557.0</v>
      </c>
      <c r="H63" s="2" t="s">
        <v>5906</v>
      </c>
      <c r="I63" s="2" t="s">
        <v>5905</v>
      </c>
      <c r="J63" s="2" t="s">
        <v>5391</v>
      </c>
      <c r="K63" s="2" t="s">
        <v>27543</v>
      </c>
      <c r="L63" s="10" t="s">
        <v>27544</v>
      </c>
    </row>
    <row r="64">
      <c r="A64" s="2" t="s">
        <v>27545</v>
      </c>
      <c r="B64" s="2" t="s">
        <v>27546</v>
      </c>
      <c r="C64" s="2">
        <v>6.733480345E9</v>
      </c>
      <c r="D64" s="2" t="s">
        <v>27547</v>
      </c>
      <c r="E64" s="2">
        <v>13451.0</v>
      </c>
      <c r="F64" s="2">
        <v>3788.0</v>
      </c>
      <c r="G64" s="2">
        <v>1041.0</v>
      </c>
      <c r="H64" s="2" t="s">
        <v>5906</v>
      </c>
      <c r="I64" s="2" t="s">
        <v>5905</v>
      </c>
      <c r="J64" s="2" t="s">
        <v>5993</v>
      </c>
      <c r="K64" s="2" t="s">
        <v>27548</v>
      </c>
      <c r="L64" s="10" t="s">
        <v>27549</v>
      </c>
    </row>
    <row r="65">
      <c r="A65" s="2" t="s">
        <v>27550</v>
      </c>
      <c r="B65" s="2" t="s">
        <v>27551</v>
      </c>
      <c r="C65" s="2">
        <v>2.06325369E8</v>
      </c>
      <c r="D65" s="2" t="s">
        <v>27552</v>
      </c>
      <c r="E65" s="2">
        <v>32188.0</v>
      </c>
      <c r="F65" s="2">
        <v>6094.0</v>
      </c>
      <c r="G65" s="2">
        <v>3343.0</v>
      </c>
      <c r="H65" s="2" t="s">
        <v>5905</v>
      </c>
      <c r="I65" s="2" t="s">
        <v>5906</v>
      </c>
      <c r="J65" s="2" t="s">
        <v>5963</v>
      </c>
      <c r="K65" s="2" t="s">
        <v>27553</v>
      </c>
      <c r="L65" s="10" t="s">
        <v>27554</v>
      </c>
    </row>
    <row r="66">
      <c r="A66" s="2" t="s">
        <v>27555</v>
      </c>
      <c r="B66" s="2" t="s">
        <v>27556</v>
      </c>
      <c r="C66" s="2">
        <v>1.987221759E9</v>
      </c>
      <c r="D66" s="2" t="s">
        <v>27557</v>
      </c>
      <c r="E66" s="2">
        <v>10445.0</v>
      </c>
      <c r="F66" s="2">
        <v>1580.0</v>
      </c>
      <c r="G66" s="2">
        <v>429.0</v>
      </c>
      <c r="H66" s="2" t="s">
        <v>5905</v>
      </c>
      <c r="I66" s="2" t="s">
        <v>5906</v>
      </c>
      <c r="J66" s="2" t="s">
        <v>13199</v>
      </c>
      <c r="K66" s="2" t="s">
        <v>27558</v>
      </c>
      <c r="L66" s="10" t="s">
        <v>27559</v>
      </c>
    </row>
    <row r="67">
      <c r="A67" s="2" t="s">
        <v>27555</v>
      </c>
      <c r="B67" s="2" t="s">
        <v>27560</v>
      </c>
      <c r="C67" s="2">
        <v>1.57552429E9</v>
      </c>
      <c r="D67" s="2" t="s">
        <v>27561</v>
      </c>
      <c r="E67" s="2">
        <v>34548.0</v>
      </c>
      <c r="F67" s="2">
        <v>1300.0</v>
      </c>
      <c r="G67" s="2">
        <v>1039.0</v>
      </c>
      <c r="H67" s="2" t="s">
        <v>5905</v>
      </c>
      <c r="I67" s="2" t="s">
        <v>5905</v>
      </c>
      <c r="J67" s="2" t="s">
        <v>7414</v>
      </c>
      <c r="K67" s="2" t="s">
        <v>27562</v>
      </c>
    </row>
    <row r="68">
      <c r="A68" s="2" t="s">
        <v>27563</v>
      </c>
      <c r="B68" s="2" t="s">
        <v>27564</v>
      </c>
      <c r="C68" s="2">
        <v>4.08333535E8</v>
      </c>
      <c r="D68" s="2" t="s">
        <v>27565</v>
      </c>
      <c r="E68" s="2">
        <v>23015.0</v>
      </c>
      <c r="F68" s="2">
        <v>2277.0</v>
      </c>
      <c r="G68" s="2">
        <v>975.0</v>
      </c>
      <c r="H68" s="2" t="s">
        <v>5905</v>
      </c>
      <c r="I68" s="2" t="s">
        <v>5906</v>
      </c>
      <c r="J68" s="2" t="s">
        <v>4404</v>
      </c>
      <c r="K68" s="2" t="s">
        <v>27566</v>
      </c>
    </row>
    <row r="69">
      <c r="A69" s="2" t="s">
        <v>27567</v>
      </c>
      <c r="B69" s="2" t="s">
        <v>27568</v>
      </c>
      <c r="C69" s="2">
        <v>8.150658398E9</v>
      </c>
      <c r="D69" s="2" t="s">
        <v>27569</v>
      </c>
      <c r="E69" s="2">
        <v>21634.0</v>
      </c>
      <c r="F69" s="2">
        <v>384.0</v>
      </c>
      <c r="G69" s="2">
        <v>209.0</v>
      </c>
      <c r="H69" s="2" t="s">
        <v>5906</v>
      </c>
      <c r="I69" s="2" t="s">
        <v>5906</v>
      </c>
      <c r="J69" s="2" t="s">
        <v>5391</v>
      </c>
      <c r="K69" s="2" t="s">
        <v>27570</v>
      </c>
      <c r="L69" s="10" t="s">
        <v>27571</v>
      </c>
    </row>
    <row r="70">
      <c r="A70" s="2" t="s">
        <v>27567</v>
      </c>
      <c r="B70" s="2" t="s">
        <v>27572</v>
      </c>
      <c r="C70" s="2">
        <v>1.7075824E9</v>
      </c>
      <c r="D70" s="2" t="s">
        <v>27573</v>
      </c>
      <c r="E70" s="2">
        <v>41869.0</v>
      </c>
      <c r="F70" s="2">
        <v>63.0</v>
      </c>
      <c r="G70" s="2">
        <v>52.0</v>
      </c>
      <c r="H70" s="2" t="s">
        <v>5905</v>
      </c>
      <c r="I70" s="2" t="s">
        <v>5906</v>
      </c>
      <c r="J70" s="2" t="s">
        <v>6393</v>
      </c>
      <c r="K70" s="2" t="s">
        <v>27574</v>
      </c>
    </row>
    <row r="71">
      <c r="A71" s="2" t="s">
        <v>27575</v>
      </c>
      <c r="B71" s="2" t="s">
        <v>27576</v>
      </c>
      <c r="C71" s="2">
        <v>6.2186523719E10</v>
      </c>
      <c r="D71" s="2" t="s">
        <v>27577</v>
      </c>
      <c r="E71" s="2">
        <v>10442.0</v>
      </c>
      <c r="F71" s="2">
        <v>2.0</v>
      </c>
      <c r="G71" s="2">
        <v>472.0</v>
      </c>
      <c r="H71" s="2" t="s">
        <v>5905</v>
      </c>
      <c r="I71" s="2" t="s">
        <v>5906</v>
      </c>
      <c r="J71" s="2" t="s">
        <v>27578</v>
      </c>
      <c r="K71" s="2" t="s">
        <v>27579</v>
      </c>
      <c r="L71" s="10" t="s">
        <v>27580</v>
      </c>
    </row>
    <row r="72">
      <c r="A72" s="2" t="s">
        <v>27575</v>
      </c>
      <c r="B72" s="2" t="s">
        <v>27581</v>
      </c>
      <c r="C72" s="2">
        <v>4.6232768E7</v>
      </c>
      <c r="D72" s="2" t="s">
        <v>27582</v>
      </c>
      <c r="E72" s="2">
        <v>30724.0</v>
      </c>
      <c r="F72" s="2">
        <v>1290.0</v>
      </c>
      <c r="G72" s="2">
        <v>2424.0</v>
      </c>
      <c r="H72" s="2" t="s">
        <v>5906</v>
      </c>
      <c r="I72" s="2" t="s">
        <v>5905</v>
      </c>
      <c r="J72" s="2" t="s">
        <v>13763</v>
      </c>
      <c r="K72" s="2" t="s">
        <v>27583</v>
      </c>
      <c r="L72" s="10" t="s">
        <v>27584</v>
      </c>
    </row>
    <row r="73">
      <c r="A73" s="2" t="s">
        <v>27585</v>
      </c>
      <c r="B73" s="2" t="s">
        <v>27586</v>
      </c>
      <c r="C73" s="2">
        <v>4.98924722E8</v>
      </c>
      <c r="D73" s="2" t="s">
        <v>27587</v>
      </c>
      <c r="E73" s="2">
        <v>11759.0</v>
      </c>
      <c r="F73" s="2">
        <v>922.0</v>
      </c>
      <c r="G73" s="2">
        <v>5374.0</v>
      </c>
      <c r="H73" s="2" t="s">
        <v>5906</v>
      </c>
      <c r="I73" s="2" t="s">
        <v>5905</v>
      </c>
      <c r="J73" s="2" t="s">
        <v>7809</v>
      </c>
      <c r="K73" s="2" t="s">
        <v>27588</v>
      </c>
      <c r="L73" s="10" t="s">
        <v>27589</v>
      </c>
    </row>
    <row r="74">
      <c r="A74" s="2" t="s">
        <v>27585</v>
      </c>
      <c r="B74" s="2" t="s">
        <v>27590</v>
      </c>
      <c r="C74" s="2">
        <v>1.74385668E8</v>
      </c>
      <c r="D74" s="2" t="s">
        <v>27591</v>
      </c>
      <c r="E74" s="2">
        <v>82929.0</v>
      </c>
      <c r="F74" s="2">
        <v>259.0</v>
      </c>
      <c r="G74" s="2">
        <v>14.0</v>
      </c>
      <c r="H74" s="2" t="s">
        <v>5905</v>
      </c>
      <c r="I74" s="2" t="s">
        <v>5906</v>
      </c>
      <c r="J74" s="2" t="s">
        <v>5959</v>
      </c>
      <c r="K74" s="2" t="s">
        <v>27592</v>
      </c>
      <c r="L74" s="10" t="s">
        <v>27593</v>
      </c>
    </row>
    <row r="75">
      <c r="A75" s="2" t="s">
        <v>27594</v>
      </c>
      <c r="B75" s="2" t="s">
        <v>27595</v>
      </c>
      <c r="C75" s="2">
        <v>3.6963748082E10</v>
      </c>
      <c r="D75" s="2" t="s">
        <v>27596</v>
      </c>
      <c r="E75" s="2">
        <v>11293.0</v>
      </c>
      <c r="F75" s="2">
        <v>294.0</v>
      </c>
      <c r="G75" s="2">
        <v>337.0</v>
      </c>
      <c r="H75" s="2" t="s">
        <v>5905</v>
      </c>
      <c r="I75" s="2" t="s">
        <v>5906</v>
      </c>
      <c r="J75" s="2" t="s">
        <v>11797</v>
      </c>
      <c r="K75" s="2" t="s">
        <v>27597</v>
      </c>
    </row>
    <row r="76">
      <c r="A76" s="2" t="s">
        <v>27594</v>
      </c>
      <c r="B76" s="2" t="s">
        <v>27598</v>
      </c>
      <c r="C76" s="2">
        <v>1.519262484E9</v>
      </c>
      <c r="D76" s="2" t="s">
        <v>27599</v>
      </c>
      <c r="E76" s="2">
        <v>33312.0</v>
      </c>
      <c r="F76" s="2">
        <v>2.0</v>
      </c>
      <c r="G76" s="2">
        <v>339.0</v>
      </c>
      <c r="H76" s="2" t="s">
        <v>5905</v>
      </c>
      <c r="I76" s="2" t="s">
        <v>5906</v>
      </c>
      <c r="J76" s="2" t="s">
        <v>11675</v>
      </c>
      <c r="K76" s="2" t="s">
        <v>27600</v>
      </c>
    </row>
    <row r="77">
      <c r="A77" s="2" t="s">
        <v>27594</v>
      </c>
      <c r="B77" s="2" t="s">
        <v>27601</v>
      </c>
      <c r="C77" s="2">
        <v>6.1714597668E10</v>
      </c>
      <c r="D77" s="2" t="s">
        <v>27602</v>
      </c>
      <c r="E77" s="2">
        <v>27436.0</v>
      </c>
      <c r="F77" s="2">
        <v>37.0</v>
      </c>
      <c r="G77" s="2">
        <v>335.0</v>
      </c>
      <c r="H77" s="2" t="s">
        <v>5905</v>
      </c>
      <c r="I77" s="2" t="s">
        <v>5906</v>
      </c>
      <c r="J77" s="2" t="s">
        <v>5561</v>
      </c>
      <c r="K77" s="2" t="s">
        <v>27603</v>
      </c>
      <c r="L77" s="10" t="s">
        <v>27604</v>
      </c>
    </row>
    <row r="78">
      <c r="A78" s="2" t="s">
        <v>27594</v>
      </c>
      <c r="B78" s="2" t="s">
        <v>27605</v>
      </c>
      <c r="C78" s="2">
        <v>4.1692199863E10</v>
      </c>
      <c r="D78" s="2" t="s">
        <v>27606</v>
      </c>
      <c r="E78" s="2">
        <v>111185.0</v>
      </c>
      <c r="F78" s="2">
        <v>808.0</v>
      </c>
      <c r="G78" s="2">
        <v>591.0</v>
      </c>
      <c r="H78" s="2" t="s">
        <v>5905</v>
      </c>
      <c r="I78" s="2" t="s">
        <v>5905</v>
      </c>
      <c r="J78" s="2" t="s">
        <v>6002</v>
      </c>
      <c r="K78" s="2" t="s">
        <v>27607</v>
      </c>
      <c r="L78" s="10" t="s">
        <v>27608</v>
      </c>
    </row>
    <row r="79">
      <c r="A79" s="2" t="s">
        <v>27594</v>
      </c>
      <c r="B79" s="2" t="s">
        <v>27609</v>
      </c>
      <c r="C79" s="2">
        <v>1.4002243051E10</v>
      </c>
      <c r="D79" s="2" t="s">
        <v>27610</v>
      </c>
      <c r="E79" s="2">
        <v>39965.0</v>
      </c>
      <c r="F79" s="2">
        <v>123.0</v>
      </c>
      <c r="G79" s="2">
        <v>819.0</v>
      </c>
      <c r="H79" s="2" t="s">
        <v>5905</v>
      </c>
      <c r="I79" s="2" t="s">
        <v>5906</v>
      </c>
      <c r="J79" s="2" t="s">
        <v>7140</v>
      </c>
      <c r="K79" s="2" t="s">
        <v>27611</v>
      </c>
      <c r="L79" s="10" t="s">
        <v>27612</v>
      </c>
    </row>
    <row r="80">
      <c r="A80" s="2" t="s">
        <v>27613</v>
      </c>
      <c r="B80" s="2" t="s">
        <v>27614</v>
      </c>
      <c r="C80" s="2">
        <v>2.16485962E9</v>
      </c>
      <c r="D80" s="2" t="s">
        <v>27615</v>
      </c>
      <c r="E80" s="2">
        <v>66165.0</v>
      </c>
      <c r="F80" s="2">
        <v>231.0</v>
      </c>
      <c r="G80" s="2">
        <v>29.0</v>
      </c>
      <c r="H80" s="2" t="s">
        <v>5905</v>
      </c>
      <c r="I80" s="2" t="s">
        <v>5905</v>
      </c>
      <c r="J80" s="2" t="s">
        <v>14778</v>
      </c>
      <c r="K80" s="2" t="s">
        <v>27616</v>
      </c>
    </row>
    <row r="81">
      <c r="A81" s="2" t="s">
        <v>27613</v>
      </c>
      <c r="B81" s="2" t="s">
        <v>27617</v>
      </c>
      <c r="C81" s="2">
        <v>5.555140187E9</v>
      </c>
      <c r="D81" s="2" t="s">
        <v>27618</v>
      </c>
      <c r="E81" s="2">
        <v>13865.0</v>
      </c>
      <c r="F81" s="2">
        <v>250.0</v>
      </c>
      <c r="G81" s="2">
        <v>345.0</v>
      </c>
      <c r="H81" s="2" t="s">
        <v>5905</v>
      </c>
      <c r="I81" s="2" t="s">
        <v>5905</v>
      </c>
      <c r="J81" s="2" t="s">
        <v>5391</v>
      </c>
      <c r="K81" s="2" t="s">
        <v>27619</v>
      </c>
      <c r="L81" s="10" t="s">
        <v>27620</v>
      </c>
    </row>
    <row r="82">
      <c r="A82" s="2" t="s">
        <v>27613</v>
      </c>
      <c r="B82" s="2" t="s">
        <v>27621</v>
      </c>
      <c r="C82" s="2">
        <v>1.742990734E9</v>
      </c>
      <c r="D82" s="2" t="s">
        <v>27622</v>
      </c>
      <c r="E82" s="2">
        <v>320282.0</v>
      </c>
      <c r="F82" s="2">
        <v>312.0</v>
      </c>
      <c r="G82" s="2">
        <v>1553.0</v>
      </c>
      <c r="H82" s="2" t="s">
        <v>5905</v>
      </c>
      <c r="I82" s="2" t="s">
        <v>5906</v>
      </c>
      <c r="J82" s="2" t="s">
        <v>14778</v>
      </c>
      <c r="K82" s="2" t="s">
        <v>27623</v>
      </c>
      <c r="L82" s="10" t="s">
        <v>27624</v>
      </c>
    </row>
    <row r="83">
      <c r="A83" s="2" t="s">
        <v>27625</v>
      </c>
      <c r="B83" s="2" t="s">
        <v>27626</v>
      </c>
      <c r="C83" s="2">
        <v>2.1157290054E10</v>
      </c>
      <c r="D83" s="2" t="s">
        <v>27627</v>
      </c>
      <c r="E83" s="2">
        <v>13030.0</v>
      </c>
      <c r="F83" s="2">
        <v>998.0</v>
      </c>
      <c r="G83" s="2">
        <v>425.0</v>
      </c>
      <c r="H83" s="2" t="s">
        <v>5905</v>
      </c>
      <c r="I83" s="2" t="s">
        <v>5905</v>
      </c>
      <c r="J83" s="2" t="s">
        <v>14778</v>
      </c>
      <c r="K83" s="2" t="s">
        <v>27628</v>
      </c>
      <c r="L83" s="10" t="s">
        <v>27629</v>
      </c>
    </row>
    <row r="84">
      <c r="A84" s="2" t="s">
        <v>27625</v>
      </c>
      <c r="B84" s="2" t="s">
        <v>27630</v>
      </c>
      <c r="C84" s="2">
        <v>1.797630319E9</v>
      </c>
      <c r="D84" s="2" t="s">
        <v>27631</v>
      </c>
      <c r="E84" s="2">
        <v>15206.0</v>
      </c>
      <c r="F84" s="2">
        <v>1013.0</v>
      </c>
      <c r="G84" s="2">
        <v>966.0</v>
      </c>
      <c r="H84" s="2" t="s">
        <v>5906</v>
      </c>
      <c r="I84" s="2" t="s">
        <v>5905</v>
      </c>
      <c r="J84" s="2" t="s">
        <v>7140</v>
      </c>
      <c r="K84" s="2" t="s">
        <v>27632</v>
      </c>
      <c r="L84" s="10" t="s">
        <v>27633</v>
      </c>
    </row>
    <row r="85">
      <c r="A85" s="2" t="s">
        <v>27625</v>
      </c>
      <c r="B85" s="2" t="s">
        <v>27634</v>
      </c>
      <c r="C85" s="2">
        <v>3.44410267E8</v>
      </c>
      <c r="D85" s="2" t="s">
        <v>27635</v>
      </c>
      <c r="E85" s="2">
        <v>20776.0</v>
      </c>
      <c r="F85" s="2">
        <v>892.0</v>
      </c>
      <c r="G85" s="2">
        <v>304.0</v>
      </c>
      <c r="H85" s="2" t="s">
        <v>5905</v>
      </c>
      <c r="I85" s="2" t="s">
        <v>5906</v>
      </c>
      <c r="J85" s="2" t="s">
        <v>5993</v>
      </c>
      <c r="K85" s="2" t="s">
        <v>27636</v>
      </c>
    </row>
    <row r="86">
      <c r="A86" s="2" t="s">
        <v>27625</v>
      </c>
      <c r="B86" s="2" t="s">
        <v>27637</v>
      </c>
      <c r="C86" s="2">
        <v>1.3367956E7</v>
      </c>
      <c r="D86" s="2" t="s">
        <v>27638</v>
      </c>
      <c r="E86" s="2">
        <v>26964.0</v>
      </c>
      <c r="F86" s="2">
        <v>4774.0</v>
      </c>
      <c r="G86" s="2">
        <v>2096.0</v>
      </c>
      <c r="H86" s="2" t="s">
        <v>5906</v>
      </c>
      <c r="I86" s="2" t="s">
        <v>5905</v>
      </c>
      <c r="J86" s="2" t="s">
        <v>14778</v>
      </c>
      <c r="K86" s="2" t="s">
        <v>27639</v>
      </c>
      <c r="L86" s="10" t="s">
        <v>27640</v>
      </c>
    </row>
    <row r="87">
      <c r="A87" s="2" t="s">
        <v>27641</v>
      </c>
      <c r="B87" s="2" t="s">
        <v>27642</v>
      </c>
      <c r="C87" s="2">
        <v>8.655044926E9</v>
      </c>
      <c r="D87" s="2" t="s">
        <v>27643</v>
      </c>
      <c r="E87" s="2">
        <v>43104.0</v>
      </c>
      <c r="F87" s="2">
        <v>1339.0</v>
      </c>
      <c r="G87" s="2">
        <v>496.0</v>
      </c>
      <c r="H87" s="2" t="s">
        <v>5905</v>
      </c>
      <c r="I87" s="2" t="s">
        <v>5906</v>
      </c>
      <c r="J87" s="2" t="s">
        <v>7414</v>
      </c>
      <c r="K87" s="2" t="s">
        <v>27644</v>
      </c>
      <c r="L87" s="10" t="s">
        <v>27645</v>
      </c>
    </row>
    <row r="88">
      <c r="A88" s="2" t="s">
        <v>27641</v>
      </c>
      <c r="B88" s="2" t="s">
        <v>27646</v>
      </c>
      <c r="C88" s="2">
        <v>4.917410103E9</v>
      </c>
      <c r="D88" s="2" t="s">
        <v>27647</v>
      </c>
      <c r="E88" s="2">
        <v>36155.0</v>
      </c>
      <c r="F88" s="2">
        <v>322.0</v>
      </c>
      <c r="G88" s="2">
        <v>326.0</v>
      </c>
      <c r="H88" s="2" t="s">
        <v>5905</v>
      </c>
      <c r="I88" s="2" t="s">
        <v>5906</v>
      </c>
      <c r="J88" s="2" t="s">
        <v>6414</v>
      </c>
      <c r="K88" s="2" t="s">
        <v>27648</v>
      </c>
      <c r="L88" s="10" t="s">
        <v>27649</v>
      </c>
    </row>
    <row r="89">
      <c r="A89" s="2" t="s">
        <v>27641</v>
      </c>
      <c r="B89" s="2" t="s">
        <v>27650</v>
      </c>
      <c r="C89" s="2">
        <v>1.689864665E9</v>
      </c>
      <c r="D89" s="2" t="s">
        <v>27651</v>
      </c>
      <c r="E89" s="2">
        <v>19557.0</v>
      </c>
      <c r="F89" s="2">
        <v>1167.0</v>
      </c>
      <c r="G89" s="2">
        <v>509.0</v>
      </c>
      <c r="H89" s="2" t="s">
        <v>5905</v>
      </c>
      <c r="I89" s="2" t="s">
        <v>5906</v>
      </c>
      <c r="J89" s="2" t="s">
        <v>4404</v>
      </c>
      <c r="K89" s="2" t="s">
        <v>27652</v>
      </c>
      <c r="L89" s="10" t="s">
        <v>27653</v>
      </c>
    </row>
    <row r="90">
      <c r="A90" s="2" t="s">
        <v>27641</v>
      </c>
      <c r="B90" s="2" t="s">
        <v>27654</v>
      </c>
      <c r="C90" s="2">
        <v>3.721952684E9</v>
      </c>
      <c r="D90" s="2" t="s">
        <v>27655</v>
      </c>
      <c r="E90" s="2">
        <v>48895.0</v>
      </c>
      <c r="F90" s="2">
        <v>1072.0</v>
      </c>
      <c r="G90" s="2">
        <v>526.0</v>
      </c>
      <c r="H90" s="2" t="s">
        <v>5905</v>
      </c>
      <c r="I90" s="2" t="s">
        <v>5905</v>
      </c>
      <c r="J90" s="2" t="s">
        <v>14778</v>
      </c>
      <c r="K90" s="2" t="s">
        <v>27656</v>
      </c>
      <c r="L90" s="10" t="s">
        <v>27657</v>
      </c>
    </row>
    <row r="91">
      <c r="A91" s="2" t="s">
        <v>27641</v>
      </c>
      <c r="B91" s="10" t="s">
        <v>27658</v>
      </c>
      <c r="C91" s="2">
        <v>3.6285749281E10</v>
      </c>
      <c r="D91" s="2" t="s">
        <v>27659</v>
      </c>
      <c r="E91" s="2">
        <v>14434.0</v>
      </c>
      <c r="F91" s="2">
        <v>271.0</v>
      </c>
      <c r="G91" s="2">
        <v>139.0</v>
      </c>
      <c r="H91" s="2" t="s">
        <v>5905</v>
      </c>
      <c r="I91" s="2" t="s">
        <v>5905</v>
      </c>
      <c r="J91" s="2" t="s">
        <v>14778</v>
      </c>
      <c r="K91" s="2" t="s">
        <v>27660</v>
      </c>
      <c r="L91" s="10" t="s">
        <v>27661</v>
      </c>
    </row>
    <row r="92">
      <c r="A92" s="2" t="s">
        <v>27662</v>
      </c>
      <c r="B92" s="2" t="s">
        <v>27663</v>
      </c>
      <c r="C92" s="2">
        <v>4.704741919E9</v>
      </c>
      <c r="D92" s="2" t="s">
        <v>27664</v>
      </c>
      <c r="E92" s="2">
        <v>20195.0</v>
      </c>
      <c r="F92" s="2">
        <v>1418.0</v>
      </c>
      <c r="G92" s="2">
        <v>321.0</v>
      </c>
      <c r="H92" s="2" t="s">
        <v>5905</v>
      </c>
      <c r="I92" s="2" t="s">
        <v>5905</v>
      </c>
      <c r="J92" s="2" t="s">
        <v>6002</v>
      </c>
      <c r="K92" s="2" t="s">
        <v>27665</v>
      </c>
      <c r="L92" s="10" t="s">
        <v>27666</v>
      </c>
    </row>
    <row r="93">
      <c r="A93" s="2" t="s">
        <v>27662</v>
      </c>
      <c r="B93" s="2" t="s">
        <v>27667</v>
      </c>
      <c r="C93" s="2">
        <v>1.299085073E9</v>
      </c>
      <c r="D93" s="2" t="s">
        <v>27668</v>
      </c>
      <c r="E93" s="2">
        <v>27220.0</v>
      </c>
      <c r="F93" s="2">
        <v>2459.0</v>
      </c>
      <c r="G93" s="2">
        <v>1369.0</v>
      </c>
      <c r="H93" s="2" t="s">
        <v>5905</v>
      </c>
      <c r="I93" s="2" t="s">
        <v>5905</v>
      </c>
      <c r="J93" s="2" t="s">
        <v>5391</v>
      </c>
      <c r="K93" s="2" t="s">
        <v>27669</v>
      </c>
      <c r="L93" s="10" t="s">
        <v>27670</v>
      </c>
    </row>
    <row r="94">
      <c r="A94" s="2" t="s">
        <v>27662</v>
      </c>
      <c r="B94" s="2" t="s">
        <v>27671</v>
      </c>
      <c r="C94" s="2">
        <v>7.904390139E9</v>
      </c>
      <c r="D94" s="2" t="s">
        <v>27664</v>
      </c>
      <c r="E94" s="2">
        <v>17535.0</v>
      </c>
      <c r="F94" s="2">
        <v>863.0</v>
      </c>
      <c r="G94" s="2">
        <v>500.0</v>
      </c>
      <c r="H94" s="2" t="s">
        <v>5905</v>
      </c>
      <c r="I94" s="2" t="s">
        <v>5905</v>
      </c>
      <c r="J94" s="2" t="s">
        <v>14778</v>
      </c>
      <c r="K94" s="2" t="s">
        <v>27672</v>
      </c>
      <c r="L94" s="10" t="s">
        <v>27673</v>
      </c>
    </row>
    <row r="95">
      <c r="A95" s="2" t="s">
        <v>27662</v>
      </c>
      <c r="B95" s="2" t="s">
        <v>27674</v>
      </c>
      <c r="C95" s="2">
        <v>3.8534060272E10</v>
      </c>
      <c r="D95" s="2" t="s">
        <v>27675</v>
      </c>
      <c r="E95" s="2">
        <v>15143.0</v>
      </c>
      <c r="F95" s="2">
        <v>1208.0</v>
      </c>
      <c r="G95" s="2">
        <v>171.0</v>
      </c>
      <c r="H95" s="2" t="s">
        <v>5906</v>
      </c>
      <c r="I95" s="2" t="s">
        <v>5906</v>
      </c>
      <c r="J95" s="2" t="s">
        <v>14778</v>
      </c>
      <c r="K95" s="2" t="s">
        <v>27676</v>
      </c>
      <c r="L95" s="10" t="s">
        <v>27677</v>
      </c>
    </row>
    <row r="96">
      <c r="A96" s="2" t="s">
        <v>27662</v>
      </c>
      <c r="B96" s="2" t="s">
        <v>27678</v>
      </c>
      <c r="C96" s="2">
        <v>4.2258221E7</v>
      </c>
      <c r="D96" s="2" t="s">
        <v>27679</v>
      </c>
      <c r="E96" s="2">
        <v>43134.0</v>
      </c>
      <c r="F96" s="2">
        <v>1207.0</v>
      </c>
      <c r="G96" s="2">
        <v>2157.0</v>
      </c>
      <c r="H96" s="2" t="s">
        <v>5905</v>
      </c>
      <c r="I96" s="2" t="s">
        <v>5905</v>
      </c>
      <c r="J96" s="2" t="s">
        <v>6002</v>
      </c>
      <c r="K96" s="2" t="s">
        <v>27680</v>
      </c>
      <c r="L96" s="10" t="s">
        <v>27681</v>
      </c>
    </row>
    <row r="97">
      <c r="A97" s="2" t="s">
        <v>27662</v>
      </c>
      <c r="B97" s="2" t="s">
        <v>27634</v>
      </c>
      <c r="C97" s="2">
        <v>3.44410267E8</v>
      </c>
      <c r="D97" s="2" t="s">
        <v>27635</v>
      </c>
      <c r="E97" s="2">
        <v>20776.0</v>
      </c>
      <c r="F97" s="2">
        <v>892.0</v>
      </c>
      <c r="G97" s="2">
        <v>304.0</v>
      </c>
      <c r="H97" s="2" t="s">
        <v>5905</v>
      </c>
      <c r="I97" s="2" t="s">
        <v>5906</v>
      </c>
      <c r="J97" s="2" t="s">
        <v>5993</v>
      </c>
      <c r="K97" s="2" t="s">
        <v>27636</v>
      </c>
    </row>
    <row r="98">
      <c r="A98" s="2" t="s">
        <v>27662</v>
      </c>
      <c r="B98" s="2" t="s">
        <v>27682</v>
      </c>
      <c r="C98" s="2">
        <v>4.4971124435E10</v>
      </c>
      <c r="D98" s="2" t="s">
        <v>27683</v>
      </c>
      <c r="E98" s="2">
        <v>23427.0</v>
      </c>
      <c r="F98" s="2">
        <v>100.0</v>
      </c>
      <c r="G98" s="2">
        <v>134.0</v>
      </c>
      <c r="H98" s="2" t="s">
        <v>5905</v>
      </c>
      <c r="I98" s="2" t="s">
        <v>5905</v>
      </c>
      <c r="J98" s="2" t="s">
        <v>14778</v>
      </c>
      <c r="K98" s="2" t="s">
        <v>27684</v>
      </c>
      <c r="L98" s="10" t="s">
        <v>27685</v>
      </c>
    </row>
    <row r="99">
      <c r="A99" s="2" t="s">
        <v>27662</v>
      </c>
      <c r="B99" s="2" t="s">
        <v>27686</v>
      </c>
      <c r="C99" s="2">
        <v>5.33222417E8</v>
      </c>
      <c r="D99" s="2" t="s">
        <v>27687</v>
      </c>
      <c r="E99" s="2">
        <v>90460.0</v>
      </c>
      <c r="F99" s="2">
        <v>2056.0</v>
      </c>
      <c r="G99" s="2">
        <v>730.0</v>
      </c>
      <c r="H99" s="2" t="s">
        <v>5905</v>
      </c>
      <c r="I99" s="2" t="s">
        <v>5905</v>
      </c>
      <c r="J99" s="2" t="s">
        <v>5391</v>
      </c>
      <c r="K99" s="2" t="s">
        <v>27688</v>
      </c>
      <c r="L99" s="10" t="s">
        <v>27689</v>
      </c>
    </row>
    <row r="100">
      <c r="A100" s="2" t="s">
        <v>27662</v>
      </c>
      <c r="B100" s="2" t="s">
        <v>27690</v>
      </c>
      <c r="C100" s="2">
        <v>6.99183977E8</v>
      </c>
      <c r="D100" s="2" t="s">
        <v>27691</v>
      </c>
      <c r="E100" s="2">
        <v>1039656.0</v>
      </c>
      <c r="F100" s="2">
        <v>1790.0</v>
      </c>
      <c r="G100" s="2">
        <v>3830.0</v>
      </c>
      <c r="H100" s="2" t="s">
        <v>5906</v>
      </c>
      <c r="I100" s="2" t="s">
        <v>5905</v>
      </c>
      <c r="J100" s="2" t="s">
        <v>5391</v>
      </c>
      <c r="K100" s="2" t="s">
        <v>27692</v>
      </c>
      <c r="L100" s="10" t="s">
        <v>27693</v>
      </c>
    </row>
    <row r="101">
      <c r="A101" s="2" t="s">
        <v>27694</v>
      </c>
      <c r="B101" s="2" t="s">
        <v>27695</v>
      </c>
      <c r="C101" s="2">
        <v>1.2154840057E10</v>
      </c>
      <c r="D101" s="2" t="s">
        <v>27696</v>
      </c>
      <c r="E101" s="2">
        <v>12332.0</v>
      </c>
      <c r="F101" s="2">
        <v>364.0</v>
      </c>
      <c r="G101" s="2">
        <v>458.0</v>
      </c>
      <c r="H101" s="2" t="s">
        <v>5905</v>
      </c>
      <c r="I101" s="2" t="s">
        <v>5906</v>
      </c>
      <c r="J101" s="2" t="s">
        <v>22861</v>
      </c>
      <c r="L101" s="10" t="s">
        <v>27697</v>
      </c>
    </row>
    <row r="102">
      <c r="A102" s="2" t="s">
        <v>27698</v>
      </c>
      <c r="B102" s="2" t="s">
        <v>27699</v>
      </c>
      <c r="C102" s="2">
        <v>4.872375786E9</v>
      </c>
      <c r="D102" s="2" t="s">
        <v>27700</v>
      </c>
      <c r="E102" s="2">
        <v>15003.0</v>
      </c>
      <c r="F102" s="2">
        <v>0.0</v>
      </c>
      <c r="G102" s="2">
        <v>23.0</v>
      </c>
      <c r="H102" s="2" t="s">
        <v>5905</v>
      </c>
      <c r="I102" s="2" t="s">
        <v>5906</v>
      </c>
      <c r="J102" s="2" t="s">
        <v>6166</v>
      </c>
      <c r="K102" s="2" t="s">
        <v>27701</v>
      </c>
    </row>
    <row r="103">
      <c r="A103" s="2" t="s">
        <v>27702</v>
      </c>
      <c r="B103" s="2" t="s">
        <v>27703</v>
      </c>
      <c r="C103" s="2">
        <v>5.9043433764E10</v>
      </c>
      <c r="D103" s="2" t="s">
        <v>27704</v>
      </c>
      <c r="E103" s="2">
        <v>22831.0</v>
      </c>
      <c r="F103" s="2">
        <v>206.0</v>
      </c>
      <c r="G103" s="2">
        <v>459.0</v>
      </c>
      <c r="H103" s="2" t="s">
        <v>5905</v>
      </c>
      <c r="I103" s="2" t="s">
        <v>5906</v>
      </c>
      <c r="J103" s="2" t="s">
        <v>11977</v>
      </c>
      <c r="K103" s="2" t="s">
        <v>27705</v>
      </c>
      <c r="L103" s="10" t="s">
        <v>27706</v>
      </c>
    </row>
    <row r="104">
      <c r="A104" s="2" t="s">
        <v>27702</v>
      </c>
      <c r="B104" s="2" t="s">
        <v>27707</v>
      </c>
      <c r="C104" s="2">
        <v>6.066296989E10</v>
      </c>
      <c r="D104" s="2" t="s">
        <v>27708</v>
      </c>
      <c r="E104" s="2">
        <v>24340.0</v>
      </c>
      <c r="F104" s="2">
        <v>0.0</v>
      </c>
      <c r="G104" s="2">
        <v>536.0</v>
      </c>
      <c r="H104" s="2" t="s">
        <v>5906</v>
      </c>
      <c r="I104" s="2" t="s">
        <v>5905</v>
      </c>
      <c r="J104" s="2" t="s">
        <v>8878</v>
      </c>
      <c r="K104" s="2" t="s">
        <v>27709</v>
      </c>
      <c r="L104" s="10" t="s">
        <v>27710</v>
      </c>
    </row>
    <row r="105">
      <c r="A105" s="2" t="s">
        <v>27711</v>
      </c>
      <c r="B105" s="2" t="s">
        <v>27712</v>
      </c>
      <c r="C105" s="2">
        <v>2.00466308E9</v>
      </c>
      <c r="D105" s="2" t="s">
        <v>27713</v>
      </c>
      <c r="E105" s="2">
        <v>16447.0</v>
      </c>
      <c r="F105" s="2">
        <v>12.0</v>
      </c>
      <c r="G105" s="2">
        <v>366.0</v>
      </c>
      <c r="H105" s="2" t="s">
        <v>5905</v>
      </c>
      <c r="I105" s="2" t="s">
        <v>5906</v>
      </c>
      <c r="J105" s="2" t="s">
        <v>5959</v>
      </c>
      <c r="K105" s="2" t="s">
        <v>27714</v>
      </c>
      <c r="L105" s="10" t="s">
        <v>27715</v>
      </c>
    </row>
    <row r="106">
      <c r="A106" s="2" t="s">
        <v>27716</v>
      </c>
      <c r="B106" s="2" t="s">
        <v>27717</v>
      </c>
      <c r="C106" s="2">
        <v>4.543198469E9</v>
      </c>
      <c r="D106" s="2" t="s">
        <v>27718</v>
      </c>
      <c r="E106" s="2">
        <v>130813.0</v>
      </c>
      <c r="F106" s="2">
        <v>3093.0</v>
      </c>
      <c r="G106" s="2">
        <v>7303.0</v>
      </c>
      <c r="H106" s="2" t="s">
        <v>5905</v>
      </c>
      <c r="I106" s="2" t="s">
        <v>5905</v>
      </c>
      <c r="J106" s="2" t="s">
        <v>7414</v>
      </c>
      <c r="K106" s="2" t="s">
        <v>27719</v>
      </c>
      <c r="L106" s="10" t="s">
        <v>27720</v>
      </c>
    </row>
    <row r="107">
      <c r="A107" s="2" t="s">
        <v>27716</v>
      </c>
      <c r="B107" s="2" t="s">
        <v>27721</v>
      </c>
      <c r="C107" s="2">
        <v>2.192405235E9</v>
      </c>
      <c r="D107" s="2" t="s">
        <v>27722</v>
      </c>
      <c r="E107" s="2">
        <v>65598.0</v>
      </c>
      <c r="F107" s="2">
        <v>740.0</v>
      </c>
      <c r="G107" s="2">
        <v>625.0</v>
      </c>
      <c r="H107" s="2" t="s">
        <v>5905</v>
      </c>
      <c r="I107" s="2" t="s">
        <v>5906</v>
      </c>
      <c r="J107" s="2" t="s">
        <v>5993</v>
      </c>
      <c r="K107" s="2" t="s">
        <v>27723</v>
      </c>
      <c r="L107" s="10" t="s">
        <v>27724</v>
      </c>
    </row>
    <row r="108">
      <c r="A108" s="2" t="s">
        <v>27716</v>
      </c>
      <c r="B108" s="2" t="s">
        <v>27725</v>
      </c>
      <c r="C108" s="2">
        <v>2.6204713866E10</v>
      </c>
      <c r="D108" s="2" t="s">
        <v>27726</v>
      </c>
      <c r="E108" s="2">
        <v>13701.0</v>
      </c>
      <c r="F108" s="2">
        <v>638.0</v>
      </c>
      <c r="G108" s="2">
        <v>840.0</v>
      </c>
      <c r="H108" s="2" t="s">
        <v>5905</v>
      </c>
      <c r="I108" s="2" t="s">
        <v>5905</v>
      </c>
      <c r="J108" s="2" t="s">
        <v>7414</v>
      </c>
      <c r="K108" s="2" t="s">
        <v>27727</v>
      </c>
      <c r="L108" s="10" t="s">
        <v>27728</v>
      </c>
    </row>
    <row r="109">
      <c r="A109" s="2" t="s">
        <v>27716</v>
      </c>
      <c r="B109" s="2" t="s">
        <v>27729</v>
      </c>
      <c r="C109" s="2">
        <v>1.451301475E9</v>
      </c>
      <c r="D109" s="2" t="s">
        <v>27730</v>
      </c>
      <c r="E109" s="2">
        <v>18109.0</v>
      </c>
      <c r="F109" s="2">
        <v>5325.0</v>
      </c>
      <c r="G109" s="2">
        <v>4799.0</v>
      </c>
      <c r="H109" s="2" t="s">
        <v>5905</v>
      </c>
      <c r="I109" s="2" t="s">
        <v>5906</v>
      </c>
      <c r="J109" s="2" t="s">
        <v>16170</v>
      </c>
      <c r="K109" s="2" t="s">
        <v>27731</v>
      </c>
      <c r="L109" s="10" t="s">
        <v>27732</v>
      </c>
    </row>
    <row r="110">
      <c r="A110" s="2" t="s">
        <v>27733</v>
      </c>
      <c r="B110" s="2" t="s">
        <v>27734</v>
      </c>
      <c r="C110" s="2">
        <v>1.4335195531E10</v>
      </c>
      <c r="D110" s="2" t="s">
        <v>27735</v>
      </c>
      <c r="E110" s="2">
        <v>16724.0</v>
      </c>
      <c r="F110" s="2">
        <v>2463.0</v>
      </c>
      <c r="G110" s="2">
        <v>437.0</v>
      </c>
      <c r="H110" s="2" t="s">
        <v>5905</v>
      </c>
      <c r="I110" s="2" t="s">
        <v>5906</v>
      </c>
      <c r="J110" s="2" t="s">
        <v>7809</v>
      </c>
      <c r="K110" s="2" t="s">
        <v>27736</v>
      </c>
      <c r="L110" s="10" t="s">
        <v>27737</v>
      </c>
    </row>
    <row r="111">
      <c r="A111" s="2" t="s">
        <v>27738</v>
      </c>
      <c r="B111" s="2" t="s">
        <v>27739</v>
      </c>
      <c r="C111" s="2">
        <v>3.255035074E9</v>
      </c>
      <c r="D111" s="2" t="s">
        <v>27740</v>
      </c>
      <c r="E111" s="2">
        <v>17958.0</v>
      </c>
      <c r="F111" s="2">
        <v>388.0</v>
      </c>
      <c r="G111" s="2">
        <v>520.0</v>
      </c>
      <c r="H111" s="2" t="s">
        <v>5905</v>
      </c>
      <c r="I111" s="2" t="s">
        <v>5906</v>
      </c>
      <c r="J111" s="2" t="s">
        <v>6002</v>
      </c>
      <c r="K111" s="2" t="s">
        <v>27741</v>
      </c>
      <c r="L111" s="10" t="s">
        <v>27742</v>
      </c>
    </row>
    <row r="112">
      <c r="A112" s="2" t="s">
        <v>27743</v>
      </c>
      <c r="B112" s="2" t="s">
        <v>27744</v>
      </c>
      <c r="C112" s="2">
        <v>1.490810252E9</v>
      </c>
      <c r="D112" s="2" t="s">
        <v>27745</v>
      </c>
      <c r="E112" s="2">
        <v>52290.0</v>
      </c>
      <c r="F112" s="2">
        <v>841.0</v>
      </c>
      <c r="G112" s="2">
        <v>976.0</v>
      </c>
      <c r="H112" s="2" t="s">
        <v>5906</v>
      </c>
      <c r="I112" s="2" t="s">
        <v>5906</v>
      </c>
      <c r="J112" s="2" t="s">
        <v>5391</v>
      </c>
      <c r="K112" s="2" t="s">
        <v>27746</v>
      </c>
      <c r="L112" s="10" t="s">
        <v>27747</v>
      </c>
    </row>
    <row r="113">
      <c r="A113" s="2" t="s">
        <v>27743</v>
      </c>
      <c r="B113" s="2" t="s">
        <v>27748</v>
      </c>
      <c r="C113" s="2">
        <v>1.9873237381E10</v>
      </c>
      <c r="D113" s="2" t="s">
        <v>27749</v>
      </c>
      <c r="E113" s="2">
        <v>12020.0</v>
      </c>
      <c r="F113" s="2">
        <v>629.0</v>
      </c>
      <c r="G113" s="2">
        <v>555.0</v>
      </c>
      <c r="H113" s="2" t="s">
        <v>5906</v>
      </c>
      <c r="I113" s="2" t="s">
        <v>5905</v>
      </c>
      <c r="J113" s="2" t="s">
        <v>11316</v>
      </c>
      <c r="K113" s="2" t="s">
        <v>27750</v>
      </c>
      <c r="L113" s="10" t="s">
        <v>27751</v>
      </c>
    </row>
    <row r="114">
      <c r="A114" s="2" t="s">
        <v>27743</v>
      </c>
      <c r="B114" s="10" t="s">
        <v>27752</v>
      </c>
      <c r="C114" s="2">
        <v>8.035810008E9</v>
      </c>
      <c r="D114" s="2" t="s">
        <v>27753</v>
      </c>
      <c r="E114" s="2">
        <v>18595.0</v>
      </c>
      <c r="F114" s="2">
        <v>2215.0</v>
      </c>
      <c r="G114" s="2">
        <v>1135.0</v>
      </c>
      <c r="H114" s="2" t="s">
        <v>5906</v>
      </c>
      <c r="I114" s="2" t="s">
        <v>5906</v>
      </c>
      <c r="J114" s="2" t="s">
        <v>5492</v>
      </c>
      <c r="K114" s="2" t="s">
        <v>27754</v>
      </c>
      <c r="L114" s="10" t="s">
        <v>27755</v>
      </c>
    </row>
    <row r="115">
      <c r="A115" s="2" t="s">
        <v>27743</v>
      </c>
      <c r="B115" s="2" t="s">
        <v>27756</v>
      </c>
      <c r="C115" s="2">
        <v>3.7979505929E10</v>
      </c>
      <c r="D115" s="2" t="s">
        <v>27757</v>
      </c>
      <c r="E115" s="2">
        <v>28563.0</v>
      </c>
      <c r="F115" s="2">
        <v>638.0</v>
      </c>
      <c r="G115" s="2">
        <v>862.0</v>
      </c>
      <c r="H115" s="2" t="s">
        <v>5905</v>
      </c>
      <c r="I115" s="2" t="s">
        <v>5906</v>
      </c>
      <c r="J115" s="2" t="s">
        <v>27758</v>
      </c>
      <c r="K115" s="2" t="s">
        <v>27759</v>
      </c>
      <c r="L115" s="10" t="s">
        <v>27760</v>
      </c>
    </row>
    <row r="116">
      <c r="A116" s="2" t="s">
        <v>27761</v>
      </c>
      <c r="B116" s="2" t="s">
        <v>27762</v>
      </c>
      <c r="C116" s="2">
        <v>3.29820185E8</v>
      </c>
      <c r="D116" s="2" t="s">
        <v>27763</v>
      </c>
      <c r="E116" s="2">
        <v>33062.0</v>
      </c>
      <c r="F116" s="2">
        <v>2507.0</v>
      </c>
      <c r="G116" s="2">
        <v>1822.0</v>
      </c>
      <c r="H116" s="2" t="s">
        <v>5906</v>
      </c>
      <c r="I116" s="2" t="s">
        <v>5905</v>
      </c>
      <c r="J116" s="2" t="s">
        <v>9767</v>
      </c>
      <c r="K116" s="2" t="s">
        <v>27764</v>
      </c>
      <c r="L116" s="10" t="s">
        <v>27765</v>
      </c>
    </row>
    <row r="117">
      <c r="A117" s="2" t="s">
        <v>27761</v>
      </c>
      <c r="B117" s="2" t="s">
        <v>27766</v>
      </c>
      <c r="C117" s="2">
        <v>3.0258744282E10</v>
      </c>
      <c r="D117" s="2" t="s">
        <v>27767</v>
      </c>
      <c r="E117" s="2">
        <v>58185.0</v>
      </c>
      <c r="F117" s="2">
        <v>191.0</v>
      </c>
      <c r="G117" s="2">
        <v>464.0</v>
      </c>
      <c r="H117" s="2" t="s">
        <v>5905</v>
      </c>
      <c r="I117" s="2" t="s">
        <v>5906</v>
      </c>
      <c r="J117" s="2" t="s">
        <v>7140</v>
      </c>
      <c r="K117" s="2" t="s">
        <v>27768</v>
      </c>
      <c r="L117" s="10" t="s">
        <v>27769</v>
      </c>
    </row>
    <row r="118">
      <c r="A118" s="2" t="s">
        <v>27761</v>
      </c>
      <c r="B118" s="2" t="s">
        <v>27770</v>
      </c>
      <c r="C118" s="2">
        <v>3.9602292223E10</v>
      </c>
      <c r="D118" s="2" t="s">
        <v>27771</v>
      </c>
      <c r="E118" s="2">
        <v>20286.0</v>
      </c>
      <c r="F118" s="2">
        <v>1929.0</v>
      </c>
      <c r="G118" s="2">
        <v>1442.0</v>
      </c>
      <c r="H118" s="2" t="s">
        <v>5905</v>
      </c>
      <c r="I118" s="2" t="s">
        <v>5906</v>
      </c>
      <c r="J118" s="2" t="s">
        <v>7140</v>
      </c>
      <c r="K118" s="2" t="s">
        <v>27772</v>
      </c>
      <c r="L118" s="10" t="s">
        <v>27773</v>
      </c>
    </row>
    <row r="119">
      <c r="A119" s="2" t="s">
        <v>27774</v>
      </c>
      <c r="B119" s="2" t="s">
        <v>27576</v>
      </c>
      <c r="C119" s="2">
        <v>6.2186523719E10</v>
      </c>
      <c r="D119" s="2" t="s">
        <v>27577</v>
      </c>
      <c r="E119" s="2">
        <v>10442.0</v>
      </c>
      <c r="F119" s="2">
        <v>2.0</v>
      </c>
      <c r="G119" s="2">
        <v>472.0</v>
      </c>
      <c r="H119" s="2" t="s">
        <v>5905</v>
      </c>
      <c r="I119" s="2" t="s">
        <v>5906</v>
      </c>
      <c r="J119" s="2" t="s">
        <v>27578</v>
      </c>
      <c r="K119" s="2" t="s">
        <v>27579</v>
      </c>
      <c r="L119" s="10" t="s">
        <v>27580</v>
      </c>
    </row>
    <row r="120">
      <c r="A120" s="2" t="s">
        <v>27775</v>
      </c>
      <c r="B120" s="2" t="s">
        <v>27776</v>
      </c>
      <c r="C120" s="2">
        <v>2.042715317E9</v>
      </c>
      <c r="D120" s="2" t="s">
        <v>27777</v>
      </c>
      <c r="E120" s="2">
        <v>13264.0</v>
      </c>
      <c r="F120" s="2">
        <v>181.0</v>
      </c>
      <c r="G120" s="2">
        <v>834.0</v>
      </c>
      <c r="H120" s="2" t="s">
        <v>5905</v>
      </c>
      <c r="I120" s="2" t="s">
        <v>5906</v>
      </c>
      <c r="J120" s="2" t="s">
        <v>17753</v>
      </c>
      <c r="K120" s="2" t="s">
        <v>27778</v>
      </c>
      <c r="L120" s="10" t="s">
        <v>27779</v>
      </c>
    </row>
    <row r="121">
      <c r="A121" s="2" t="s">
        <v>27780</v>
      </c>
      <c r="B121" s="2" t="s">
        <v>27781</v>
      </c>
      <c r="C121" s="2">
        <v>1.0600941879E10</v>
      </c>
      <c r="D121" s="2" t="s">
        <v>27782</v>
      </c>
      <c r="E121" s="2">
        <v>13284.0</v>
      </c>
      <c r="F121" s="2">
        <v>574.0</v>
      </c>
      <c r="G121" s="2">
        <v>1569.0</v>
      </c>
      <c r="H121" s="2" t="s">
        <v>5905</v>
      </c>
      <c r="I121" s="2" t="s">
        <v>5906</v>
      </c>
      <c r="J121" s="2" t="s">
        <v>7809</v>
      </c>
      <c r="K121" s="2" t="s">
        <v>27783</v>
      </c>
      <c r="L121" s="10" t="s">
        <v>27784</v>
      </c>
    </row>
    <row r="122">
      <c r="A122" s="2" t="s">
        <v>27785</v>
      </c>
      <c r="B122" s="2" t="s">
        <v>27786</v>
      </c>
      <c r="C122" s="2">
        <v>2.088910328E9</v>
      </c>
      <c r="D122" s="2" t="s">
        <v>27787</v>
      </c>
      <c r="E122" s="2">
        <v>47273.0</v>
      </c>
      <c r="F122" s="2">
        <v>7176.0</v>
      </c>
      <c r="G122" s="2">
        <v>865.0</v>
      </c>
      <c r="H122" s="2" t="s">
        <v>5906</v>
      </c>
      <c r="I122" s="2" t="s">
        <v>5906</v>
      </c>
      <c r="J122" s="2" t="s">
        <v>7140</v>
      </c>
      <c r="K122" s="2" t="s">
        <v>27788</v>
      </c>
      <c r="L122" s="10" t="s">
        <v>27789</v>
      </c>
    </row>
    <row r="123">
      <c r="A123" s="2" t="s">
        <v>27790</v>
      </c>
      <c r="B123" s="2" t="s">
        <v>27791</v>
      </c>
      <c r="C123" s="2">
        <v>2.68660055E8</v>
      </c>
      <c r="D123" s="2" t="s">
        <v>27792</v>
      </c>
      <c r="E123" s="2">
        <v>42851.0</v>
      </c>
      <c r="F123" s="2">
        <v>5844.0</v>
      </c>
      <c r="G123" s="2">
        <v>239.0</v>
      </c>
      <c r="H123" s="2" t="s">
        <v>5905</v>
      </c>
      <c r="I123" s="2" t="s">
        <v>5905</v>
      </c>
      <c r="J123" s="2" t="s">
        <v>7140</v>
      </c>
      <c r="K123" s="2" t="s">
        <v>27793</v>
      </c>
      <c r="L123" s="10" t="s">
        <v>27794</v>
      </c>
    </row>
    <row r="124">
      <c r="A124" s="2" t="s">
        <v>27795</v>
      </c>
      <c r="B124" s="2" t="s">
        <v>27796</v>
      </c>
      <c r="C124" s="2">
        <v>2.29534496E8</v>
      </c>
      <c r="D124" s="2" t="s">
        <v>27797</v>
      </c>
      <c r="E124" s="2">
        <v>18792.0</v>
      </c>
      <c r="F124" s="2">
        <v>679.0</v>
      </c>
      <c r="G124" s="2">
        <v>1275.0</v>
      </c>
      <c r="H124" s="2" t="s">
        <v>5906</v>
      </c>
      <c r="I124" s="2" t="s">
        <v>5906</v>
      </c>
      <c r="J124" s="2" t="s">
        <v>6027</v>
      </c>
      <c r="K124" s="2" t="s">
        <v>27798</v>
      </c>
      <c r="L124" s="10" t="s">
        <v>27799</v>
      </c>
    </row>
    <row r="125">
      <c r="A125" s="2" t="s">
        <v>27795</v>
      </c>
      <c r="B125" s="2" t="s">
        <v>27800</v>
      </c>
      <c r="C125" s="2">
        <v>1.2368012369E10</v>
      </c>
      <c r="D125" s="2" t="s">
        <v>27801</v>
      </c>
      <c r="E125" s="2">
        <v>57732.0</v>
      </c>
      <c r="F125" s="2">
        <v>5241.0</v>
      </c>
      <c r="G125" s="2">
        <v>1476.0</v>
      </c>
      <c r="H125" s="2" t="s">
        <v>5906</v>
      </c>
      <c r="I125" s="2" t="s">
        <v>5905</v>
      </c>
      <c r="J125" s="2" t="s">
        <v>11797</v>
      </c>
      <c r="K125" s="2" t="s">
        <v>27802</v>
      </c>
    </row>
    <row r="126">
      <c r="A126" s="2" t="s">
        <v>27803</v>
      </c>
      <c r="B126" s="2" t="s">
        <v>27804</v>
      </c>
      <c r="C126" s="2">
        <v>5.636257129E9</v>
      </c>
      <c r="D126" s="2" t="s">
        <v>27805</v>
      </c>
      <c r="E126" s="2">
        <v>12383.0</v>
      </c>
      <c r="F126" s="2">
        <v>1010.0</v>
      </c>
      <c r="G126" s="2">
        <v>776.0</v>
      </c>
      <c r="H126" s="2" t="s">
        <v>5905</v>
      </c>
      <c r="I126" s="2" t="s">
        <v>5906</v>
      </c>
      <c r="J126" s="2" t="s">
        <v>14778</v>
      </c>
      <c r="K126" s="2" t="s">
        <v>27806</v>
      </c>
      <c r="L126" s="10" t="s">
        <v>27807</v>
      </c>
    </row>
    <row r="127">
      <c r="A127" s="2" t="s">
        <v>27803</v>
      </c>
      <c r="B127" s="2" t="s">
        <v>27808</v>
      </c>
      <c r="C127" s="2">
        <v>3.657436782E9</v>
      </c>
      <c r="D127" s="2" t="s">
        <v>27809</v>
      </c>
      <c r="E127" s="2">
        <v>56544.0</v>
      </c>
      <c r="F127" s="2">
        <v>1763.0</v>
      </c>
      <c r="G127" s="2">
        <v>121.0</v>
      </c>
      <c r="H127" s="2" t="s">
        <v>5906</v>
      </c>
      <c r="I127" s="2" t="s">
        <v>5905</v>
      </c>
      <c r="J127" s="2" t="s">
        <v>14778</v>
      </c>
      <c r="K127" s="2" t="s">
        <v>27810</v>
      </c>
      <c r="L127" s="10" t="s">
        <v>27811</v>
      </c>
    </row>
    <row r="128">
      <c r="A128" s="2" t="s">
        <v>27803</v>
      </c>
      <c r="B128" s="2" t="s">
        <v>27812</v>
      </c>
      <c r="C128" s="2">
        <v>2.654749E7</v>
      </c>
      <c r="D128" s="2" t="s">
        <v>27813</v>
      </c>
      <c r="E128" s="2">
        <v>22150.0</v>
      </c>
      <c r="F128" s="2">
        <v>2144.0</v>
      </c>
      <c r="G128" s="2">
        <v>692.0</v>
      </c>
      <c r="H128" s="2" t="s">
        <v>5905</v>
      </c>
      <c r="I128" s="2" t="s">
        <v>5905</v>
      </c>
      <c r="J128" s="2" t="s">
        <v>14778</v>
      </c>
      <c r="K128" s="2" t="s">
        <v>27814</v>
      </c>
      <c r="L128" s="10" t="s">
        <v>27815</v>
      </c>
    </row>
    <row r="129">
      <c r="A129" s="2" t="s">
        <v>27816</v>
      </c>
      <c r="B129" s="2" t="s">
        <v>27817</v>
      </c>
      <c r="C129" s="2">
        <v>2.6055697357E10</v>
      </c>
      <c r="D129" s="2" t="s">
        <v>27818</v>
      </c>
      <c r="E129" s="2">
        <v>12592.0</v>
      </c>
      <c r="F129" s="2">
        <v>893.0</v>
      </c>
      <c r="G129" s="2">
        <v>656.0</v>
      </c>
      <c r="H129" s="2" t="s">
        <v>5906</v>
      </c>
      <c r="I129" s="2" t="s">
        <v>5906</v>
      </c>
      <c r="J129" s="2" t="s">
        <v>14778</v>
      </c>
      <c r="K129" s="2" t="s">
        <v>27819</v>
      </c>
      <c r="L129" s="10" t="s">
        <v>27820</v>
      </c>
    </row>
    <row r="130">
      <c r="A130" s="2" t="s">
        <v>27816</v>
      </c>
      <c r="B130" s="2" t="s">
        <v>27821</v>
      </c>
      <c r="C130" s="2">
        <v>7.10957582E8</v>
      </c>
      <c r="D130" s="2" t="s">
        <v>27822</v>
      </c>
      <c r="E130" s="2">
        <v>26404.0</v>
      </c>
      <c r="F130" s="2">
        <v>214.0</v>
      </c>
      <c r="G130" s="2">
        <v>2732.0</v>
      </c>
      <c r="H130" s="2" t="s">
        <v>5906</v>
      </c>
      <c r="I130" s="2" t="s">
        <v>5905</v>
      </c>
      <c r="J130" s="2" t="s">
        <v>14778</v>
      </c>
      <c r="K130" s="2" t="s">
        <v>27823</v>
      </c>
    </row>
    <row r="131">
      <c r="A131" s="2" t="s">
        <v>27816</v>
      </c>
      <c r="B131" s="2" t="s">
        <v>27824</v>
      </c>
      <c r="C131" s="2">
        <v>1.504586623E9</v>
      </c>
      <c r="D131" s="2" t="s">
        <v>27825</v>
      </c>
      <c r="E131" s="2">
        <v>15433.0</v>
      </c>
      <c r="F131" s="2">
        <v>2452.0</v>
      </c>
      <c r="G131" s="2">
        <v>2730.0</v>
      </c>
      <c r="H131" s="2" t="s">
        <v>5905</v>
      </c>
      <c r="I131" s="2" t="s">
        <v>5905</v>
      </c>
      <c r="J131" s="2" t="s">
        <v>7140</v>
      </c>
      <c r="K131" s="2" t="s">
        <v>27826</v>
      </c>
      <c r="L131" s="10" t="s">
        <v>27827</v>
      </c>
    </row>
    <row r="132">
      <c r="A132" s="2" t="s">
        <v>27828</v>
      </c>
      <c r="B132" s="2" t="s">
        <v>27829</v>
      </c>
      <c r="C132" s="2">
        <v>5.01272178E8</v>
      </c>
      <c r="D132" s="2" t="s">
        <v>27830</v>
      </c>
      <c r="E132" s="2">
        <v>132814.0</v>
      </c>
      <c r="F132" s="2">
        <v>6834.0</v>
      </c>
      <c r="G132" s="2">
        <v>10729.0</v>
      </c>
      <c r="H132" s="2" t="s">
        <v>5905</v>
      </c>
      <c r="I132" s="2" t="s">
        <v>5905</v>
      </c>
      <c r="J132" s="2" t="s">
        <v>5959</v>
      </c>
      <c r="K132" s="2" t="s">
        <v>27831</v>
      </c>
      <c r="L132" s="10" t="s">
        <v>27832</v>
      </c>
    </row>
    <row r="133">
      <c r="A133" s="2" t="s">
        <v>27828</v>
      </c>
      <c r="B133" s="2" t="s">
        <v>27833</v>
      </c>
      <c r="C133" s="2">
        <v>8.120273563E9</v>
      </c>
      <c r="D133" s="2" t="s">
        <v>27834</v>
      </c>
      <c r="E133" s="2">
        <v>57627.0</v>
      </c>
      <c r="F133" s="2">
        <v>491.0</v>
      </c>
      <c r="G133" s="2">
        <v>1153.0</v>
      </c>
      <c r="H133" s="2" t="s">
        <v>5906</v>
      </c>
      <c r="I133" s="2" t="s">
        <v>5905</v>
      </c>
      <c r="J133" s="2" t="s">
        <v>14778</v>
      </c>
      <c r="K133" s="2" t="s">
        <v>27835</v>
      </c>
      <c r="L133" s="10" t="s">
        <v>27836</v>
      </c>
    </row>
    <row r="134">
      <c r="A134" s="2" t="s">
        <v>27828</v>
      </c>
      <c r="B134" s="2" t="s">
        <v>27837</v>
      </c>
      <c r="C134" s="2">
        <v>4.806109701E10</v>
      </c>
      <c r="D134" s="2" t="s">
        <v>27838</v>
      </c>
      <c r="E134" s="2">
        <v>12007.0</v>
      </c>
      <c r="F134" s="2">
        <v>1162.0</v>
      </c>
      <c r="G134" s="2">
        <v>206.0</v>
      </c>
      <c r="H134" s="2" t="s">
        <v>5905</v>
      </c>
      <c r="I134" s="2" t="s">
        <v>5906</v>
      </c>
      <c r="J134" s="2" t="s">
        <v>6393</v>
      </c>
      <c r="K134" s="2" t="s">
        <v>27839</v>
      </c>
      <c r="L134" s="10" t="s">
        <v>27840</v>
      </c>
    </row>
    <row r="135">
      <c r="A135" s="2" t="s">
        <v>27828</v>
      </c>
      <c r="B135" s="2" t="s">
        <v>27841</v>
      </c>
      <c r="C135" s="2">
        <v>7.010462745E9</v>
      </c>
      <c r="D135" s="2" t="s">
        <v>27842</v>
      </c>
      <c r="E135" s="2">
        <v>82854.0</v>
      </c>
      <c r="F135" s="2">
        <v>1169.0</v>
      </c>
      <c r="G135" s="2">
        <v>490.0</v>
      </c>
      <c r="H135" s="2" t="s">
        <v>5906</v>
      </c>
      <c r="I135" s="2" t="s">
        <v>5905</v>
      </c>
      <c r="J135" s="2" t="s">
        <v>14778</v>
      </c>
      <c r="K135" s="2" t="s">
        <v>27843</v>
      </c>
      <c r="L135" s="10" t="s">
        <v>27844</v>
      </c>
    </row>
    <row r="136">
      <c r="A136" s="2" t="s">
        <v>27845</v>
      </c>
      <c r="B136" s="2" t="s">
        <v>27846</v>
      </c>
      <c r="C136" s="2">
        <v>3.3612820743E10</v>
      </c>
      <c r="D136" s="2" t="s">
        <v>27847</v>
      </c>
      <c r="E136" s="2">
        <v>45399.0</v>
      </c>
      <c r="F136" s="2">
        <v>1644.0</v>
      </c>
      <c r="G136" s="2">
        <v>449.0</v>
      </c>
      <c r="H136" s="2" t="s">
        <v>5906</v>
      </c>
      <c r="I136" s="2" t="s">
        <v>5906</v>
      </c>
      <c r="J136" s="2" t="s">
        <v>14778</v>
      </c>
      <c r="K136" s="2" t="s">
        <v>27848</v>
      </c>
      <c r="L136" s="10" t="s">
        <v>27849</v>
      </c>
    </row>
    <row r="137">
      <c r="A137" s="2" t="s">
        <v>27845</v>
      </c>
      <c r="B137" s="2" t="s">
        <v>27850</v>
      </c>
      <c r="C137" s="2">
        <v>5.901519188E9</v>
      </c>
      <c r="D137" s="2" t="s">
        <v>27851</v>
      </c>
      <c r="E137" s="2">
        <v>28112.0</v>
      </c>
      <c r="F137" s="2">
        <v>1180.0</v>
      </c>
      <c r="G137" s="2">
        <v>1811.0</v>
      </c>
      <c r="H137" s="2" t="s">
        <v>5905</v>
      </c>
      <c r="I137" s="2" t="s">
        <v>5906</v>
      </c>
      <c r="J137" s="2" t="s">
        <v>5492</v>
      </c>
      <c r="K137" s="2" t="s">
        <v>27852</v>
      </c>
      <c r="L137" s="10" t="s">
        <v>27853</v>
      </c>
    </row>
    <row r="138">
      <c r="A138" s="2" t="s">
        <v>27845</v>
      </c>
      <c r="B138" s="2" t="s">
        <v>27854</v>
      </c>
      <c r="C138" s="2">
        <v>1.12987652E9</v>
      </c>
      <c r="D138" s="2" t="s">
        <v>27855</v>
      </c>
      <c r="E138" s="2">
        <v>22953.0</v>
      </c>
      <c r="F138" s="2">
        <v>687.0</v>
      </c>
      <c r="G138" s="2">
        <v>1640.0</v>
      </c>
      <c r="H138" s="2" t="s">
        <v>5905</v>
      </c>
      <c r="I138" s="2" t="s">
        <v>5906</v>
      </c>
      <c r="J138" s="2" t="s">
        <v>5391</v>
      </c>
      <c r="K138" s="2" t="s">
        <v>27856</v>
      </c>
      <c r="L138" s="10" t="s">
        <v>27857</v>
      </c>
    </row>
    <row r="139">
      <c r="A139" s="2" t="s">
        <v>27858</v>
      </c>
      <c r="B139" s="2" t="s">
        <v>27859</v>
      </c>
      <c r="C139" s="2">
        <v>2.23844853E8</v>
      </c>
      <c r="D139" s="2" t="s">
        <v>27860</v>
      </c>
      <c r="E139" s="2">
        <v>46069.0</v>
      </c>
      <c r="F139" s="2">
        <v>1061.0</v>
      </c>
      <c r="G139" s="2">
        <v>2016.0</v>
      </c>
      <c r="H139" s="2" t="s">
        <v>5905</v>
      </c>
      <c r="I139" s="2" t="s">
        <v>5905</v>
      </c>
      <c r="J139" s="2" t="s">
        <v>7140</v>
      </c>
      <c r="K139" s="2" t="s">
        <v>27861</v>
      </c>
      <c r="L139" s="10" t="s">
        <v>27862</v>
      </c>
    </row>
    <row r="140">
      <c r="A140" s="2" t="s">
        <v>27858</v>
      </c>
      <c r="B140" s="2" t="s">
        <v>27812</v>
      </c>
      <c r="C140" s="2">
        <v>2.654749E7</v>
      </c>
      <c r="D140" s="2" t="s">
        <v>27813</v>
      </c>
      <c r="E140" s="2">
        <v>22150.0</v>
      </c>
      <c r="F140" s="2">
        <v>2144.0</v>
      </c>
      <c r="G140" s="2">
        <v>692.0</v>
      </c>
      <c r="H140" s="2" t="s">
        <v>5905</v>
      </c>
      <c r="I140" s="2" t="s">
        <v>5905</v>
      </c>
      <c r="J140" s="2" t="s">
        <v>14778</v>
      </c>
      <c r="K140" s="2" t="s">
        <v>27814</v>
      </c>
      <c r="L140" s="10" t="s">
        <v>27815</v>
      </c>
    </row>
    <row r="141">
      <c r="A141" s="2" t="s">
        <v>27863</v>
      </c>
      <c r="B141" s="2" t="s">
        <v>27864</v>
      </c>
      <c r="C141" s="2">
        <v>3.82910551E8</v>
      </c>
      <c r="D141" s="2" t="s">
        <v>27865</v>
      </c>
      <c r="E141" s="2">
        <v>88413.0</v>
      </c>
      <c r="F141" s="2">
        <v>1073.0</v>
      </c>
      <c r="G141" s="2">
        <v>2940.0</v>
      </c>
      <c r="H141" s="2" t="s">
        <v>5905</v>
      </c>
      <c r="I141" s="2" t="s">
        <v>5905</v>
      </c>
      <c r="J141" s="2" t="s">
        <v>5968</v>
      </c>
      <c r="K141" s="2" t="s">
        <v>27866</v>
      </c>
      <c r="L141" s="10" t="s">
        <v>27867</v>
      </c>
    </row>
    <row r="142">
      <c r="A142" s="2" t="s">
        <v>27863</v>
      </c>
      <c r="B142" s="2" t="s">
        <v>27868</v>
      </c>
      <c r="C142" s="2">
        <v>7.522806252E9</v>
      </c>
      <c r="D142" s="2" t="s">
        <v>27869</v>
      </c>
      <c r="E142" s="2">
        <v>12205.0</v>
      </c>
      <c r="F142" s="2">
        <v>4308.0</v>
      </c>
      <c r="G142" s="2">
        <v>725.0</v>
      </c>
      <c r="H142" s="2" t="s">
        <v>5905</v>
      </c>
      <c r="I142" s="2" t="s">
        <v>5906</v>
      </c>
      <c r="J142" s="2" t="s">
        <v>6393</v>
      </c>
      <c r="K142" s="2" t="s">
        <v>27870</v>
      </c>
    </row>
    <row r="143">
      <c r="A143" s="2" t="s">
        <v>27863</v>
      </c>
      <c r="B143" s="2" t="s">
        <v>27871</v>
      </c>
      <c r="C143" s="2">
        <v>1.694295624E9</v>
      </c>
      <c r="D143" s="2" t="s">
        <v>27872</v>
      </c>
      <c r="E143" s="2">
        <v>10395.0</v>
      </c>
      <c r="F143" s="2">
        <v>132.0</v>
      </c>
      <c r="G143" s="2">
        <v>621.0</v>
      </c>
      <c r="H143" s="2" t="s">
        <v>5905</v>
      </c>
      <c r="I143" s="2" t="s">
        <v>5906</v>
      </c>
      <c r="L143" s="10" t="s">
        <v>27873</v>
      </c>
    </row>
    <row r="144">
      <c r="A144" s="2" t="s">
        <v>27874</v>
      </c>
      <c r="B144" s="2" t="s">
        <v>27875</v>
      </c>
      <c r="C144" s="2">
        <v>7.13000566E8</v>
      </c>
      <c r="D144" s="2" t="s">
        <v>27876</v>
      </c>
      <c r="E144" s="2">
        <v>78659.0</v>
      </c>
      <c r="F144" s="2">
        <v>3146.0</v>
      </c>
      <c r="G144" s="2">
        <v>10006.0</v>
      </c>
      <c r="H144" s="2" t="s">
        <v>5906</v>
      </c>
      <c r="I144" s="2" t="s">
        <v>5906</v>
      </c>
      <c r="J144" s="2" t="s">
        <v>6023</v>
      </c>
      <c r="K144" s="2" t="s">
        <v>27877</v>
      </c>
      <c r="L144" s="10" t="s">
        <v>27878</v>
      </c>
    </row>
    <row r="145">
      <c r="A145" s="2" t="s">
        <v>27874</v>
      </c>
      <c r="B145" s="2" t="s">
        <v>27879</v>
      </c>
      <c r="C145" s="2">
        <v>2.219580561E9</v>
      </c>
      <c r="D145" s="2" t="s">
        <v>27880</v>
      </c>
      <c r="E145" s="2">
        <v>75773.0</v>
      </c>
      <c r="F145" s="2">
        <v>528.0</v>
      </c>
      <c r="G145" s="2">
        <v>2190.0</v>
      </c>
      <c r="H145" s="2" t="s">
        <v>5905</v>
      </c>
      <c r="I145" s="2" t="s">
        <v>5906</v>
      </c>
      <c r="J145" s="2" t="s">
        <v>5391</v>
      </c>
      <c r="K145" s="2" t="s">
        <v>27881</v>
      </c>
      <c r="L145" s="10" t="s">
        <v>27882</v>
      </c>
    </row>
    <row r="146">
      <c r="A146" s="2" t="s">
        <v>27874</v>
      </c>
      <c r="B146" s="2" t="s">
        <v>27883</v>
      </c>
      <c r="C146" s="2">
        <v>7.234137239E9</v>
      </c>
      <c r="D146" s="2" t="s">
        <v>27884</v>
      </c>
      <c r="E146" s="2">
        <v>12574.0</v>
      </c>
      <c r="F146" s="2">
        <v>2865.0</v>
      </c>
      <c r="G146" s="2">
        <v>224.0</v>
      </c>
      <c r="H146" s="2" t="s">
        <v>5905</v>
      </c>
      <c r="I146" s="2" t="s">
        <v>5905</v>
      </c>
      <c r="J146" s="2" t="s">
        <v>9815</v>
      </c>
      <c r="K146" s="2" t="s">
        <v>27885</v>
      </c>
      <c r="L146" s="10" t="s">
        <v>27886</v>
      </c>
    </row>
    <row r="147">
      <c r="A147" s="2" t="s">
        <v>27874</v>
      </c>
      <c r="B147" s="2" t="s">
        <v>27887</v>
      </c>
      <c r="C147" s="2">
        <v>1.558172123E9</v>
      </c>
      <c r="D147" s="2" t="s">
        <v>27888</v>
      </c>
      <c r="E147" s="2">
        <v>40706.0</v>
      </c>
      <c r="F147" s="2">
        <v>841.0</v>
      </c>
      <c r="G147" s="2">
        <v>7676.0</v>
      </c>
      <c r="H147" s="2" t="s">
        <v>5906</v>
      </c>
      <c r="I147" s="2" t="s">
        <v>5906</v>
      </c>
      <c r="J147" s="2" t="s">
        <v>5928</v>
      </c>
      <c r="K147" s="2" t="s">
        <v>27889</v>
      </c>
      <c r="L147" s="10" t="s">
        <v>27890</v>
      </c>
    </row>
    <row r="148">
      <c r="A148" s="2" t="s">
        <v>27891</v>
      </c>
      <c r="B148" s="2" t="s">
        <v>27892</v>
      </c>
      <c r="C148" s="2">
        <v>3.444629066E9</v>
      </c>
      <c r="D148" s="2" t="s">
        <v>27893</v>
      </c>
      <c r="E148" s="2">
        <v>11003.0</v>
      </c>
      <c r="F148" s="2">
        <v>6113.0</v>
      </c>
      <c r="G148" s="2">
        <v>4321.0</v>
      </c>
      <c r="H148" s="2" t="s">
        <v>5905</v>
      </c>
      <c r="I148" s="2" t="s">
        <v>5906</v>
      </c>
      <c r="J148" s="2" t="s">
        <v>6023</v>
      </c>
      <c r="K148" s="2" t="s">
        <v>27894</v>
      </c>
      <c r="L148" s="10" t="s">
        <v>27895</v>
      </c>
    </row>
    <row r="149">
      <c r="A149" s="2" t="s">
        <v>27891</v>
      </c>
      <c r="B149" s="2" t="s">
        <v>27896</v>
      </c>
      <c r="C149" s="2">
        <v>1.0425085635E10</v>
      </c>
      <c r="D149" s="2" t="s">
        <v>27897</v>
      </c>
      <c r="E149" s="2">
        <v>10041.0</v>
      </c>
      <c r="F149" s="2">
        <v>4788.0</v>
      </c>
      <c r="G149" s="2">
        <v>169.0</v>
      </c>
      <c r="H149" s="2" t="s">
        <v>5905</v>
      </c>
      <c r="I149" s="2" t="s">
        <v>5905</v>
      </c>
      <c r="J149" s="2" t="s">
        <v>6124</v>
      </c>
      <c r="K149" s="2" t="s">
        <v>27898</v>
      </c>
      <c r="L149" s="10" t="s">
        <v>27899</v>
      </c>
    </row>
    <row r="150">
      <c r="A150" s="2" t="s">
        <v>27891</v>
      </c>
      <c r="B150" s="2" t="s">
        <v>27900</v>
      </c>
      <c r="C150" s="2">
        <v>2.306167251E9</v>
      </c>
      <c r="D150" s="2" t="s">
        <v>27901</v>
      </c>
      <c r="E150" s="2">
        <v>627112.0</v>
      </c>
      <c r="F150" s="2">
        <v>4403.0</v>
      </c>
      <c r="G150" s="2">
        <v>10550.0</v>
      </c>
      <c r="H150" s="2" t="s">
        <v>5905</v>
      </c>
      <c r="I150" s="2" t="s">
        <v>5905</v>
      </c>
      <c r="J150" s="2" t="s">
        <v>6166</v>
      </c>
      <c r="K150" s="2" t="s">
        <v>27902</v>
      </c>
      <c r="L150" s="10" t="s">
        <v>27903</v>
      </c>
    </row>
    <row r="151">
      <c r="A151" s="2" t="s">
        <v>27891</v>
      </c>
      <c r="B151" s="2" t="s">
        <v>27904</v>
      </c>
      <c r="C151" s="2">
        <v>7.380586488E9</v>
      </c>
      <c r="D151" s="2" t="s">
        <v>27905</v>
      </c>
      <c r="E151" s="2">
        <v>19468.0</v>
      </c>
      <c r="F151" s="2">
        <v>5803.0</v>
      </c>
      <c r="G151" s="2">
        <v>610.0</v>
      </c>
      <c r="H151" s="2" t="s">
        <v>5905</v>
      </c>
      <c r="I151" s="2" t="s">
        <v>5906</v>
      </c>
      <c r="J151" s="2" t="s">
        <v>7669</v>
      </c>
      <c r="K151" s="2" t="s">
        <v>27906</v>
      </c>
    </row>
    <row r="152">
      <c r="A152" s="2" t="s">
        <v>27891</v>
      </c>
      <c r="B152" s="10" t="s">
        <v>27907</v>
      </c>
      <c r="C152" s="2">
        <v>1.97843103E8</v>
      </c>
      <c r="D152" s="2" t="s">
        <v>27908</v>
      </c>
      <c r="E152" s="2">
        <v>231432.0</v>
      </c>
      <c r="F152" s="2">
        <v>1.0</v>
      </c>
      <c r="G152" s="2">
        <v>20153.0</v>
      </c>
      <c r="H152" s="2" t="s">
        <v>5905</v>
      </c>
      <c r="I152" s="2" t="s">
        <v>5906</v>
      </c>
      <c r="J152" s="2" t="s">
        <v>5391</v>
      </c>
      <c r="K152" s="2" t="s">
        <v>27909</v>
      </c>
      <c r="L152" s="10" t="s">
        <v>27910</v>
      </c>
    </row>
    <row r="153">
      <c r="A153" s="2" t="s">
        <v>27911</v>
      </c>
      <c r="B153" s="2" t="s">
        <v>27912</v>
      </c>
      <c r="C153" s="2">
        <v>5.0479501934E10</v>
      </c>
      <c r="D153" s="2" t="s">
        <v>27913</v>
      </c>
      <c r="E153" s="2">
        <v>26050.0</v>
      </c>
      <c r="F153" s="2">
        <v>562.0</v>
      </c>
      <c r="G153" s="2">
        <v>324.0</v>
      </c>
      <c r="H153" s="2" t="s">
        <v>5905</v>
      </c>
      <c r="I153" s="2" t="s">
        <v>5906</v>
      </c>
      <c r="J153" s="2" t="s">
        <v>5391</v>
      </c>
      <c r="K153" s="2" t="s">
        <v>27914</v>
      </c>
      <c r="L153" s="10" t="s">
        <v>27915</v>
      </c>
    </row>
    <row r="154">
      <c r="A154" s="2" t="s">
        <v>27916</v>
      </c>
      <c r="B154" s="2" t="s">
        <v>27917</v>
      </c>
      <c r="C154" s="2">
        <v>1.4099690096E10</v>
      </c>
      <c r="D154" s="2" t="s">
        <v>27918</v>
      </c>
      <c r="E154" s="2">
        <v>22429.0</v>
      </c>
      <c r="F154" s="2">
        <v>609.0</v>
      </c>
      <c r="G154" s="2">
        <v>283.0</v>
      </c>
      <c r="H154" s="2" t="s">
        <v>5905</v>
      </c>
      <c r="I154" s="2" t="s">
        <v>5906</v>
      </c>
      <c r="J154" s="2" t="s">
        <v>5391</v>
      </c>
      <c r="K154" s="2" t="s">
        <v>27919</v>
      </c>
    </row>
    <row r="155">
      <c r="A155" s="2" t="s">
        <v>27920</v>
      </c>
      <c r="B155" s="2" t="s">
        <v>27921</v>
      </c>
      <c r="C155" s="2">
        <v>1.259316149E10</v>
      </c>
      <c r="D155" s="2" t="s">
        <v>27922</v>
      </c>
      <c r="E155" s="2">
        <v>16844.0</v>
      </c>
      <c r="F155" s="2">
        <v>2170.0</v>
      </c>
      <c r="G155" s="2">
        <v>302.0</v>
      </c>
      <c r="H155" s="2" t="s">
        <v>5905</v>
      </c>
      <c r="I155" s="2" t="s">
        <v>5906</v>
      </c>
      <c r="J155" s="2" t="s">
        <v>5993</v>
      </c>
      <c r="K155" s="2" t="s">
        <v>27923</v>
      </c>
    </row>
    <row r="156">
      <c r="A156" s="2" t="s">
        <v>27920</v>
      </c>
      <c r="B156" s="2" t="s">
        <v>27924</v>
      </c>
      <c r="C156" s="2">
        <v>1.571905214E9</v>
      </c>
      <c r="D156" s="2" t="s">
        <v>27925</v>
      </c>
      <c r="E156" s="2">
        <v>38369.0</v>
      </c>
      <c r="F156" s="2">
        <v>7331.0</v>
      </c>
      <c r="G156" s="2">
        <v>3422.0</v>
      </c>
      <c r="H156" s="2" t="s">
        <v>5906</v>
      </c>
      <c r="I156" s="2" t="s">
        <v>5906</v>
      </c>
      <c r="J156" s="2" t="s">
        <v>7140</v>
      </c>
      <c r="K156" s="2" t="s">
        <v>27926</v>
      </c>
      <c r="L156" s="2" t="s">
        <v>27927</v>
      </c>
    </row>
    <row r="157">
      <c r="A157" s="2" t="s">
        <v>27928</v>
      </c>
      <c r="B157" s="2" t="s">
        <v>27929</v>
      </c>
      <c r="C157" s="2">
        <v>4.7667219629E10</v>
      </c>
      <c r="D157" s="2" t="s">
        <v>27930</v>
      </c>
      <c r="E157" s="2">
        <v>31238.0</v>
      </c>
      <c r="F157" s="2">
        <v>1298.0</v>
      </c>
      <c r="G157" s="2">
        <v>860.0</v>
      </c>
      <c r="H157" s="2" t="s">
        <v>5906</v>
      </c>
      <c r="I157" s="2" t="s">
        <v>5906</v>
      </c>
      <c r="J157" s="2" t="s">
        <v>5391</v>
      </c>
      <c r="K157" s="2" t="s">
        <v>27931</v>
      </c>
      <c r="L157" s="10" t="s">
        <v>27932</v>
      </c>
    </row>
    <row r="158">
      <c r="A158" s="2" t="s">
        <v>27928</v>
      </c>
      <c r="B158" s="2" t="s">
        <v>27791</v>
      </c>
      <c r="C158" s="2">
        <v>2.68660055E8</v>
      </c>
      <c r="D158" s="2" t="s">
        <v>27792</v>
      </c>
      <c r="E158" s="2">
        <v>42851.0</v>
      </c>
      <c r="F158" s="2">
        <v>5844.0</v>
      </c>
      <c r="G158" s="2">
        <v>239.0</v>
      </c>
      <c r="H158" s="2" t="s">
        <v>5905</v>
      </c>
      <c r="I158" s="2" t="s">
        <v>5905</v>
      </c>
      <c r="J158" s="2" t="s">
        <v>7140</v>
      </c>
      <c r="K158" s="2" t="s">
        <v>27793</v>
      </c>
      <c r="L158" s="10" t="s">
        <v>27794</v>
      </c>
    </row>
    <row r="159">
      <c r="A159" s="2" t="s">
        <v>27933</v>
      </c>
      <c r="B159" s="2" t="s">
        <v>27934</v>
      </c>
      <c r="C159" s="2">
        <v>1.6907660776E10</v>
      </c>
      <c r="D159" s="2" t="s">
        <v>27935</v>
      </c>
      <c r="E159" s="2">
        <v>11743.0</v>
      </c>
      <c r="F159" s="2">
        <v>586.0</v>
      </c>
      <c r="G159" s="2">
        <v>682.0</v>
      </c>
      <c r="H159" s="2" t="s">
        <v>5905</v>
      </c>
      <c r="I159" s="2" t="s">
        <v>5906</v>
      </c>
      <c r="J159" s="2" t="s">
        <v>7140</v>
      </c>
      <c r="K159" s="2" t="s">
        <v>27936</v>
      </c>
      <c r="L159" s="10" t="s">
        <v>27937</v>
      </c>
    </row>
    <row r="160">
      <c r="A160" s="2" t="s">
        <v>27933</v>
      </c>
      <c r="B160" s="2" t="s">
        <v>27938</v>
      </c>
      <c r="C160" s="2">
        <v>3.676881322E9</v>
      </c>
      <c r="D160" s="2" t="s">
        <v>27939</v>
      </c>
      <c r="E160" s="2">
        <v>11915.0</v>
      </c>
      <c r="F160" s="2">
        <v>4250.0</v>
      </c>
      <c r="G160" s="2">
        <v>743.0</v>
      </c>
      <c r="H160" s="2" t="s">
        <v>5905</v>
      </c>
      <c r="I160" s="2" t="s">
        <v>5906</v>
      </c>
      <c r="J160" s="2" t="s">
        <v>7414</v>
      </c>
      <c r="K160" s="2" t="s">
        <v>27940</v>
      </c>
      <c r="L160" s="10" t="s">
        <v>27941</v>
      </c>
    </row>
    <row r="161">
      <c r="A161" s="2" t="s">
        <v>27942</v>
      </c>
      <c r="B161" s="10" t="s">
        <v>27943</v>
      </c>
      <c r="C161" s="2">
        <v>4.357078474E9</v>
      </c>
      <c r="D161" s="2" t="s">
        <v>27944</v>
      </c>
      <c r="E161" s="2">
        <v>40108.0</v>
      </c>
      <c r="F161" s="2">
        <v>1971.0</v>
      </c>
      <c r="G161" s="2">
        <v>4546.0</v>
      </c>
      <c r="H161" s="2" t="s">
        <v>5906</v>
      </c>
      <c r="I161" s="2" t="s">
        <v>5906</v>
      </c>
      <c r="J161" s="2" t="s">
        <v>5907</v>
      </c>
      <c r="K161" s="2" t="s">
        <v>27945</v>
      </c>
      <c r="L161" s="10" t="s">
        <v>27946</v>
      </c>
    </row>
    <row r="162">
      <c r="A162" s="2" t="s">
        <v>27947</v>
      </c>
      <c r="B162" s="2" t="s">
        <v>27948</v>
      </c>
      <c r="C162" s="2">
        <v>6.891498399E9</v>
      </c>
      <c r="D162" s="2" t="s">
        <v>27949</v>
      </c>
      <c r="E162" s="2">
        <v>41060.0</v>
      </c>
      <c r="F162" s="2">
        <v>7289.0</v>
      </c>
      <c r="G162" s="2">
        <v>299.0</v>
      </c>
      <c r="H162" s="2" t="s">
        <v>5905</v>
      </c>
      <c r="I162" s="2" t="s">
        <v>5905</v>
      </c>
      <c r="J162" s="2" t="s">
        <v>11684</v>
      </c>
      <c r="K162" s="2" t="s">
        <v>27950</v>
      </c>
      <c r="L162" s="10" t="s">
        <v>27951</v>
      </c>
    </row>
    <row r="163">
      <c r="A163" s="2" t="s">
        <v>27947</v>
      </c>
      <c r="B163" s="2" t="s">
        <v>27952</v>
      </c>
      <c r="C163" s="2">
        <v>3.9563398691E10</v>
      </c>
      <c r="D163" s="2" t="s">
        <v>27953</v>
      </c>
      <c r="E163" s="2">
        <v>26862.0</v>
      </c>
      <c r="F163" s="2">
        <v>3.0</v>
      </c>
      <c r="G163" s="2">
        <v>342.0</v>
      </c>
      <c r="H163" s="2" t="s">
        <v>5905</v>
      </c>
      <c r="I163" s="2" t="s">
        <v>5905</v>
      </c>
      <c r="J163" s="2" t="s">
        <v>11684</v>
      </c>
      <c r="K163" s="2" t="s">
        <v>27954</v>
      </c>
      <c r="L163" s="10" t="s">
        <v>27955</v>
      </c>
    </row>
    <row r="164">
      <c r="A164" s="2" t="s">
        <v>27956</v>
      </c>
      <c r="B164" s="2" t="s">
        <v>27957</v>
      </c>
      <c r="C164" s="2">
        <v>6.131195978E10</v>
      </c>
      <c r="D164" s="2" t="s">
        <v>27958</v>
      </c>
      <c r="E164" s="2">
        <v>21303.0</v>
      </c>
      <c r="F164" s="2">
        <v>1858.0</v>
      </c>
      <c r="G164" s="2">
        <v>136.0</v>
      </c>
      <c r="H164" s="2" t="s">
        <v>5905</v>
      </c>
      <c r="I164" s="2" t="s">
        <v>5906</v>
      </c>
      <c r="J164" s="2" t="s">
        <v>5391</v>
      </c>
      <c r="K164" s="2" t="s">
        <v>27959</v>
      </c>
      <c r="L164" s="10" t="s">
        <v>27960</v>
      </c>
    </row>
    <row r="165">
      <c r="A165" s="2" t="s">
        <v>27961</v>
      </c>
      <c r="B165" s="2" t="s">
        <v>27962</v>
      </c>
      <c r="C165" s="2">
        <v>2.945070879E9</v>
      </c>
      <c r="D165" s="2" t="s">
        <v>27963</v>
      </c>
      <c r="E165" s="2">
        <v>16300.0</v>
      </c>
      <c r="F165" s="2">
        <v>482.0</v>
      </c>
      <c r="G165" s="2">
        <v>1294.0</v>
      </c>
      <c r="H165" s="2" t="s">
        <v>5905</v>
      </c>
      <c r="I165" s="2" t="s">
        <v>5905</v>
      </c>
      <c r="J165" s="2" t="s">
        <v>5492</v>
      </c>
      <c r="K165" s="2" t="s">
        <v>27964</v>
      </c>
    </row>
    <row r="166">
      <c r="A166" s="2" t="s">
        <v>27965</v>
      </c>
      <c r="B166" s="2" t="s">
        <v>27966</v>
      </c>
      <c r="C166" s="2">
        <v>1.8294333256E10</v>
      </c>
      <c r="D166" s="2" t="s">
        <v>27967</v>
      </c>
      <c r="E166" s="2">
        <v>13021.0</v>
      </c>
      <c r="F166" s="2">
        <v>1849.0</v>
      </c>
      <c r="G166" s="2">
        <v>416.0</v>
      </c>
      <c r="H166" s="2" t="s">
        <v>5905</v>
      </c>
      <c r="I166" s="2" t="s">
        <v>5906</v>
      </c>
      <c r="J166" s="2" t="s">
        <v>5391</v>
      </c>
      <c r="K166" s="2" t="s">
        <v>27968</v>
      </c>
      <c r="L166" s="10" t="s">
        <v>27969</v>
      </c>
    </row>
    <row r="167">
      <c r="A167" s="2" t="s">
        <v>27970</v>
      </c>
      <c r="B167" s="2" t="s">
        <v>27971</v>
      </c>
      <c r="C167" s="2">
        <v>5.1010651927E10</v>
      </c>
      <c r="D167" s="2" t="s">
        <v>27972</v>
      </c>
      <c r="E167" s="2">
        <v>16321.0</v>
      </c>
      <c r="F167" s="2">
        <v>1731.0</v>
      </c>
      <c r="G167" s="2">
        <v>661.0</v>
      </c>
      <c r="H167" s="2" t="s">
        <v>5905</v>
      </c>
      <c r="I167" s="2" t="s">
        <v>5905</v>
      </c>
      <c r="J167" s="2" t="s">
        <v>7321</v>
      </c>
      <c r="K167" s="2" t="s">
        <v>27973</v>
      </c>
      <c r="L167" s="10" t="s">
        <v>27974</v>
      </c>
    </row>
    <row r="168">
      <c r="A168" s="2" t="s">
        <v>27975</v>
      </c>
      <c r="B168" s="2" t="s">
        <v>27976</v>
      </c>
      <c r="C168" s="2">
        <v>5.37131399E9</v>
      </c>
      <c r="D168" s="2" t="s">
        <v>27538</v>
      </c>
      <c r="E168" s="2">
        <v>12049.0</v>
      </c>
      <c r="F168" s="2">
        <v>743.0</v>
      </c>
      <c r="G168" s="2">
        <v>69.0</v>
      </c>
      <c r="H168" s="2" t="s">
        <v>5905</v>
      </c>
      <c r="I168" s="2" t="s">
        <v>5906</v>
      </c>
      <c r="J168" s="2" t="s">
        <v>7689</v>
      </c>
      <c r="K168" s="2" t="s">
        <v>27977</v>
      </c>
    </row>
    <row r="169">
      <c r="A169" s="2" t="s">
        <v>27978</v>
      </c>
      <c r="B169" s="2" t="s">
        <v>27979</v>
      </c>
      <c r="C169" s="2">
        <v>5.544151011E9</v>
      </c>
      <c r="D169" s="2" t="s">
        <v>27980</v>
      </c>
      <c r="E169" s="2">
        <v>12404.0</v>
      </c>
      <c r="F169" s="2">
        <v>475.0</v>
      </c>
      <c r="G169" s="2">
        <v>1145.0</v>
      </c>
      <c r="H169" s="2" t="s">
        <v>5905</v>
      </c>
      <c r="I169" s="2" t="s">
        <v>5906</v>
      </c>
      <c r="J169" s="2" t="s">
        <v>5391</v>
      </c>
      <c r="K169" s="2" t="s">
        <v>27981</v>
      </c>
      <c r="L169" s="10" t="s">
        <v>27982</v>
      </c>
    </row>
    <row r="170">
      <c r="A170" s="2" t="s">
        <v>27983</v>
      </c>
      <c r="B170" s="2" t="s">
        <v>27984</v>
      </c>
      <c r="C170" s="2">
        <v>3.7797302412E10</v>
      </c>
      <c r="D170" s="2" t="s">
        <v>27985</v>
      </c>
      <c r="E170" s="2">
        <v>34021.0</v>
      </c>
      <c r="F170" s="2">
        <v>125.0</v>
      </c>
      <c r="G170" s="2">
        <v>341.0</v>
      </c>
      <c r="H170" s="2" t="s">
        <v>5905</v>
      </c>
      <c r="I170" s="2" t="s">
        <v>5906</v>
      </c>
      <c r="J170" s="2" t="s">
        <v>15526</v>
      </c>
      <c r="K170" s="2" t="s">
        <v>27986</v>
      </c>
      <c r="L170" s="10" t="s">
        <v>27987</v>
      </c>
    </row>
    <row r="171">
      <c r="A171" s="2" t="s">
        <v>27983</v>
      </c>
      <c r="B171" s="2" t="s">
        <v>27988</v>
      </c>
      <c r="C171" s="2">
        <v>7.900402474E9</v>
      </c>
      <c r="D171" s="2" t="s">
        <v>27989</v>
      </c>
      <c r="E171" s="2">
        <v>199752.0</v>
      </c>
      <c r="F171" s="2">
        <v>1192.0</v>
      </c>
      <c r="G171" s="2">
        <v>2036.0</v>
      </c>
      <c r="H171" s="2" t="s">
        <v>5905</v>
      </c>
      <c r="I171" s="2" t="s">
        <v>5905</v>
      </c>
      <c r="J171" s="2" t="s">
        <v>7296</v>
      </c>
      <c r="K171" s="2" t="s">
        <v>27990</v>
      </c>
      <c r="L171" s="10" t="s">
        <v>27991</v>
      </c>
    </row>
    <row r="172">
      <c r="A172" s="2" t="s">
        <v>27983</v>
      </c>
      <c r="B172" s="2" t="s">
        <v>27992</v>
      </c>
      <c r="C172" s="2">
        <v>4.731508184E10</v>
      </c>
      <c r="D172" s="2" t="s">
        <v>27993</v>
      </c>
      <c r="E172" s="2">
        <v>10569.0</v>
      </c>
      <c r="F172" s="2">
        <v>251.0</v>
      </c>
      <c r="G172" s="2">
        <v>780.0</v>
      </c>
      <c r="H172" s="2" t="s">
        <v>5905</v>
      </c>
      <c r="I172" s="2" t="s">
        <v>5905</v>
      </c>
      <c r="J172" s="2" t="s">
        <v>27994</v>
      </c>
      <c r="K172" s="2" t="s">
        <v>27995</v>
      </c>
      <c r="L172" s="10" t="s">
        <v>27996</v>
      </c>
    </row>
    <row r="173">
      <c r="A173" s="2" t="s">
        <v>27983</v>
      </c>
      <c r="B173" s="2" t="s">
        <v>27997</v>
      </c>
      <c r="C173" s="2">
        <v>5.43266769E10</v>
      </c>
      <c r="D173" s="2" t="s">
        <v>27998</v>
      </c>
      <c r="E173" s="2">
        <v>14562.0</v>
      </c>
      <c r="F173" s="2">
        <v>130.0</v>
      </c>
      <c r="G173" s="2">
        <v>595.0</v>
      </c>
      <c r="H173" s="2" t="s">
        <v>5905</v>
      </c>
      <c r="I173" s="2" t="s">
        <v>5905</v>
      </c>
      <c r="K173" s="2" t="s">
        <v>27999</v>
      </c>
    </row>
    <row r="174">
      <c r="A174" s="2" t="s">
        <v>28000</v>
      </c>
      <c r="B174" s="2" t="s">
        <v>28001</v>
      </c>
      <c r="C174" s="2">
        <v>1.699339259E9</v>
      </c>
      <c r="D174" s="2" t="s">
        <v>28002</v>
      </c>
      <c r="E174" s="2">
        <v>30222.0</v>
      </c>
      <c r="F174" s="2">
        <v>7217.0</v>
      </c>
      <c r="G174" s="2">
        <v>1472.0</v>
      </c>
      <c r="H174" s="2" t="s">
        <v>5906</v>
      </c>
      <c r="I174" s="2" t="s">
        <v>5905</v>
      </c>
      <c r="J174" s="2" t="s">
        <v>5993</v>
      </c>
      <c r="K174" s="2" t="s">
        <v>28003</v>
      </c>
    </row>
    <row r="175">
      <c r="A175" s="2" t="s">
        <v>28004</v>
      </c>
      <c r="B175" s="2" t="s">
        <v>28005</v>
      </c>
      <c r="C175" s="2">
        <v>9.06804506E9</v>
      </c>
      <c r="D175" s="2" t="s">
        <v>28006</v>
      </c>
      <c r="E175" s="2">
        <v>11938.0</v>
      </c>
      <c r="F175" s="2">
        <v>1086.0</v>
      </c>
      <c r="G175" s="2">
        <v>1031.0</v>
      </c>
      <c r="H175" s="2" t="s">
        <v>5906</v>
      </c>
      <c r="I175" s="2" t="s">
        <v>5906</v>
      </c>
      <c r="J175" s="2" t="s">
        <v>12715</v>
      </c>
      <c r="K175" s="2" t="s">
        <v>28007</v>
      </c>
      <c r="L175" s="10" t="s">
        <v>28008</v>
      </c>
    </row>
    <row r="176">
      <c r="A176" s="2" t="s">
        <v>28009</v>
      </c>
      <c r="B176" s="2" t="s">
        <v>28010</v>
      </c>
      <c r="C176" s="2">
        <v>2.1196183427E10</v>
      </c>
      <c r="D176" s="2" t="s">
        <v>28011</v>
      </c>
      <c r="E176" s="2">
        <v>15006.0</v>
      </c>
      <c r="F176" s="2">
        <v>3482.0</v>
      </c>
      <c r="G176" s="2">
        <v>1277.0</v>
      </c>
      <c r="H176" s="2" t="s">
        <v>5905</v>
      </c>
      <c r="I176" s="2" t="s">
        <v>5905</v>
      </c>
      <c r="J176" s="2" t="s">
        <v>7414</v>
      </c>
      <c r="K176" s="2" t="s">
        <v>28012</v>
      </c>
      <c r="L176" s="10" t="s">
        <v>28013</v>
      </c>
    </row>
    <row r="177">
      <c r="A177" s="2" t="s">
        <v>28009</v>
      </c>
      <c r="B177" s="2" t="s">
        <v>28014</v>
      </c>
      <c r="C177" s="2">
        <v>2.518514823E9</v>
      </c>
      <c r="D177" s="2" t="s">
        <v>28015</v>
      </c>
      <c r="E177" s="2">
        <v>42288.0</v>
      </c>
      <c r="F177" s="2">
        <v>142.0</v>
      </c>
      <c r="G177" s="2">
        <v>5375.0</v>
      </c>
      <c r="H177" s="2" t="s">
        <v>5905</v>
      </c>
      <c r="I177" s="2" t="s">
        <v>5906</v>
      </c>
      <c r="J177" s="2" t="s">
        <v>7140</v>
      </c>
      <c r="K177" s="2" t="s">
        <v>28016</v>
      </c>
      <c r="L177" s="10" t="s">
        <v>28017</v>
      </c>
    </row>
    <row r="178">
      <c r="A178" s="2" t="s">
        <v>28018</v>
      </c>
      <c r="B178" s="2" t="s">
        <v>28019</v>
      </c>
      <c r="C178" s="2">
        <v>5.840457877E9</v>
      </c>
      <c r="D178" s="2" t="s">
        <v>28020</v>
      </c>
      <c r="E178" s="2">
        <v>17492.0</v>
      </c>
      <c r="F178" s="2">
        <v>1.0</v>
      </c>
      <c r="G178" s="2">
        <v>1387.0</v>
      </c>
      <c r="H178" s="2" t="s">
        <v>5906</v>
      </c>
      <c r="I178" s="2" t="s">
        <v>5906</v>
      </c>
      <c r="J178" s="2" t="s">
        <v>5391</v>
      </c>
      <c r="K178" s="2" t="s">
        <v>28021</v>
      </c>
      <c r="L178" s="10" t="s">
        <v>28022</v>
      </c>
    </row>
    <row r="179">
      <c r="A179" s="2" t="s">
        <v>28023</v>
      </c>
      <c r="B179" s="2" t="s">
        <v>28024</v>
      </c>
      <c r="C179" s="2">
        <v>5.4025157349E10</v>
      </c>
      <c r="D179" s="2" t="s">
        <v>28025</v>
      </c>
      <c r="E179" s="2">
        <v>29211.0</v>
      </c>
      <c r="F179" s="2">
        <v>27.0</v>
      </c>
      <c r="G179" s="2">
        <v>1014.0</v>
      </c>
      <c r="H179" s="2" t="s">
        <v>5905</v>
      </c>
      <c r="I179" s="2" t="s">
        <v>5906</v>
      </c>
      <c r="J179" s="2" t="s">
        <v>5391</v>
      </c>
      <c r="K179" s="2" t="s">
        <v>28026</v>
      </c>
      <c r="L179" s="10" t="s">
        <v>28027</v>
      </c>
    </row>
    <row r="180">
      <c r="A180" s="2" t="s">
        <v>28023</v>
      </c>
      <c r="B180" s="2" t="s">
        <v>28028</v>
      </c>
      <c r="C180" s="2">
        <v>5.9899234335E10</v>
      </c>
      <c r="D180" s="2" t="s">
        <v>28029</v>
      </c>
      <c r="E180" s="2">
        <v>11402.0</v>
      </c>
      <c r="F180" s="2">
        <v>8.0</v>
      </c>
      <c r="G180" s="2">
        <v>1149.0</v>
      </c>
      <c r="H180" s="2" t="s">
        <v>5905</v>
      </c>
      <c r="I180" s="2" t="s">
        <v>5906</v>
      </c>
      <c r="J180" s="2" t="s">
        <v>5391</v>
      </c>
      <c r="K180" s="2" t="s">
        <v>28030</v>
      </c>
      <c r="L180" s="10" t="s">
        <v>28031</v>
      </c>
    </row>
    <row r="181">
      <c r="A181" s="2" t="s">
        <v>28032</v>
      </c>
      <c r="B181" s="2" t="s">
        <v>28033</v>
      </c>
      <c r="C181" s="2">
        <v>4.511642503E9</v>
      </c>
      <c r="D181" s="2" t="s">
        <v>28034</v>
      </c>
      <c r="E181" s="2">
        <v>17668.0</v>
      </c>
      <c r="F181" s="2">
        <v>674.0</v>
      </c>
      <c r="G181" s="2">
        <v>273.0</v>
      </c>
      <c r="H181" s="2" t="s">
        <v>5905</v>
      </c>
      <c r="I181" s="2" t="s">
        <v>5906</v>
      </c>
      <c r="J181" s="2" t="s">
        <v>5391</v>
      </c>
      <c r="K181" s="2" t="s">
        <v>28035</v>
      </c>
      <c r="L181" s="10" t="s">
        <v>28036</v>
      </c>
    </row>
    <row r="182">
      <c r="A182" s="2" t="s">
        <v>28037</v>
      </c>
      <c r="B182" s="2" t="s">
        <v>28038</v>
      </c>
      <c r="C182" s="2">
        <v>5.4641962989E10</v>
      </c>
      <c r="D182" s="2" t="s">
        <v>28039</v>
      </c>
      <c r="E182" s="2">
        <v>32696.0</v>
      </c>
      <c r="F182" s="2">
        <v>479.0</v>
      </c>
      <c r="G182" s="2">
        <v>2117.0</v>
      </c>
      <c r="H182" s="2" t="s">
        <v>5905</v>
      </c>
      <c r="I182" s="2" t="s">
        <v>5906</v>
      </c>
      <c r="J182" s="2" t="s">
        <v>28040</v>
      </c>
      <c r="K182" s="2" t="s">
        <v>28041</v>
      </c>
    </row>
    <row r="183">
      <c r="A183" s="2" t="s">
        <v>28037</v>
      </c>
      <c r="B183" s="2" t="s">
        <v>28042</v>
      </c>
      <c r="C183" s="2">
        <v>3.17372057E9</v>
      </c>
      <c r="D183" s="2" t="s">
        <v>28043</v>
      </c>
      <c r="E183" s="2">
        <v>13529.0</v>
      </c>
      <c r="F183" s="2">
        <v>1262.0</v>
      </c>
      <c r="G183" s="2">
        <v>1733.0</v>
      </c>
      <c r="H183" s="2" t="s">
        <v>5905</v>
      </c>
      <c r="I183" s="2" t="s">
        <v>5906</v>
      </c>
      <c r="J183" s="2" t="s">
        <v>11389</v>
      </c>
      <c r="K183" s="2" t="s">
        <v>28044</v>
      </c>
      <c r="L183" s="10" t="s">
        <v>28045</v>
      </c>
    </row>
    <row r="184">
      <c r="A184" s="2" t="s">
        <v>28046</v>
      </c>
      <c r="B184" s="2" t="s">
        <v>28047</v>
      </c>
      <c r="C184" s="2">
        <v>1.687524397E9</v>
      </c>
      <c r="D184" s="2" t="s">
        <v>28048</v>
      </c>
      <c r="E184" s="2">
        <v>317098.0</v>
      </c>
      <c r="F184" s="2">
        <v>652.0</v>
      </c>
      <c r="G184" s="2">
        <v>1807.0</v>
      </c>
      <c r="H184" s="2" t="s">
        <v>5906</v>
      </c>
      <c r="I184" s="2" t="s">
        <v>5906</v>
      </c>
      <c r="J184" s="2" t="s">
        <v>11389</v>
      </c>
      <c r="K184" s="2" t="s">
        <v>28049</v>
      </c>
      <c r="L184" s="10" t="s">
        <v>28050</v>
      </c>
    </row>
    <row r="185">
      <c r="A185" s="2" t="s">
        <v>28051</v>
      </c>
      <c r="B185" s="2" t="s">
        <v>28052</v>
      </c>
      <c r="C185" s="2">
        <v>2.932232044E9</v>
      </c>
      <c r="D185" s="2" t="s">
        <v>28053</v>
      </c>
      <c r="E185" s="2">
        <v>18015.0</v>
      </c>
      <c r="F185" s="2">
        <v>1711.0</v>
      </c>
      <c r="G185" s="2">
        <v>4055.0</v>
      </c>
      <c r="H185" s="2" t="s">
        <v>5905</v>
      </c>
      <c r="I185" s="2" t="s">
        <v>5905</v>
      </c>
    </row>
    <row r="186">
      <c r="A186" s="2" t="s">
        <v>28054</v>
      </c>
      <c r="B186" s="2" t="s">
        <v>28055</v>
      </c>
      <c r="C186" s="2">
        <v>3.232690875E9</v>
      </c>
      <c r="D186" s="2" t="s">
        <v>28056</v>
      </c>
      <c r="E186" s="2">
        <v>23498.0</v>
      </c>
      <c r="F186" s="2">
        <v>31.0</v>
      </c>
      <c r="G186" s="2">
        <v>23.0</v>
      </c>
      <c r="H186" s="2" t="s">
        <v>5905</v>
      </c>
      <c r="I186" s="2" t="s">
        <v>5906</v>
      </c>
      <c r="J186" s="2" t="s">
        <v>6166</v>
      </c>
      <c r="K186" s="2" t="s">
        <v>28057</v>
      </c>
      <c r="L186" s="10" t="s">
        <v>28058</v>
      </c>
    </row>
    <row r="187">
      <c r="A187" s="2" t="s">
        <v>28059</v>
      </c>
      <c r="B187" s="10" t="s">
        <v>28060</v>
      </c>
      <c r="C187" s="2">
        <v>5.334954156E9</v>
      </c>
      <c r="D187" s="2" t="s">
        <v>28061</v>
      </c>
      <c r="E187" s="2">
        <v>24963.0</v>
      </c>
      <c r="F187" s="2">
        <v>479.0</v>
      </c>
      <c r="G187" s="2">
        <v>697.0</v>
      </c>
      <c r="H187" s="2" t="s">
        <v>5905</v>
      </c>
      <c r="I187" s="2" t="s">
        <v>5906</v>
      </c>
      <c r="J187" s="2" t="s">
        <v>17753</v>
      </c>
      <c r="K187" s="2" t="s">
        <v>28062</v>
      </c>
      <c r="L187" s="10" t="s">
        <v>28063</v>
      </c>
    </row>
    <row r="188">
      <c r="A188" s="2" t="s">
        <v>28064</v>
      </c>
      <c r="B188" s="2" t="s">
        <v>28065</v>
      </c>
      <c r="C188" s="2">
        <v>3.4332609395E10</v>
      </c>
      <c r="D188" s="2" t="s">
        <v>28066</v>
      </c>
      <c r="E188" s="2">
        <v>87191.0</v>
      </c>
      <c r="F188" s="2">
        <v>829.0</v>
      </c>
      <c r="G188" s="2">
        <v>1151.0</v>
      </c>
      <c r="H188" s="2" t="s">
        <v>5905</v>
      </c>
      <c r="I188" s="2" t="s">
        <v>5906</v>
      </c>
      <c r="J188" s="2" t="s">
        <v>7414</v>
      </c>
      <c r="K188" s="2" t="s">
        <v>28067</v>
      </c>
      <c r="L188" s="10" t="s">
        <v>28068</v>
      </c>
    </row>
    <row r="189">
      <c r="A189" s="2" t="s">
        <v>28069</v>
      </c>
      <c r="B189" s="2" t="s">
        <v>28070</v>
      </c>
      <c r="C189" s="2">
        <v>3.080370122E9</v>
      </c>
      <c r="D189" s="2" t="s">
        <v>28071</v>
      </c>
      <c r="E189" s="2">
        <v>50124.0</v>
      </c>
      <c r="F189" s="2">
        <v>1025.0</v>
      </c>
      <c r="G189" s="2">
        <v>265.0</v>
      </c>
      <c r="H189" s="2" t="s">
        <v>5905</v>
      </c>
      <c r="I189" s="2" t="s">
        <v>5905</v>
      </c>
      <c r="J189" s="2" t="s">
        <v>5993</v>
      </c>
      <c r="K189" s="2" t="s">
        <v>28072</v>
      </c>
      <c r="L189" s="10" t="s">
        <v>28073</v>
      </c>
    </row>
    <row r="190">
      <c r="A190" s="2" t="s">
        <v>28074</v>
      </c>
      <c r="B190" s="2" t="s">
        <v>28075</v>
      </c>
      <c r="C190" s="2">
        <v>1.3501391558E10</v>
      </c>
      <c r="D190" s="2" t="s">
        <v>28076</v>
      </c>
      <c r="E190" s="2">
        <v>80898.0</v>
      </c>
      <c r="F190" s="2">
        <v>297.0</v>
      </c>
      <c r="G190" s="2">
        <v>302.0</v>
      </c>
      <c r="H190" s="2" t="s">
        <v>5906</v>
      </c>
      <c r="I190" s="2" t="s">
        <v>5906</v>
      </c>
      <c r="J190" s="2" t="s">
        <v>6166</v>
      </c>
      <c r="K190" s="2" t="s">
        <v>28077</v>
      </c>
    </row>
    <row r="191">
      <c r="A191" s="2" t="s">
        <v>28078</v>
      </c>
      <c r="B191" s="2" t="s">
        <v>28079</v>
      </c>
      <c r="C191" s="2">
        <v>1.537944561E9</v>
      </c>
      <c r="D191" s="2" t="s">
        <v>28080</v>
      </c>
      <c r="E191" s="2">
        <v>39843.0</v>
      </c>
      <c r="F191" s="2">
        <v>843.0</v>
      </c>
      <c r="G191" s="2">
        <v>201.0</v>
      </c>
      <c r="H191" s="2" t="s">
        <v>5905</v>
      </c>
      <c r="I191" s="2" t="s">
        <v>5906</v>
      </c>
      <c r="J191" s="2" t="s">
        <v>28081</v>
      </c>
      <c r="K191" s="2" t="s">
        <v>28082</v>
      </c>
      <c r="L191" s="10" t="s">
        <v>28083</v>
      </c>
    </row>
    <row r="192">
      <c r="A192" s="2" t="s">
        <v>28078</v>
      </c>
      <c r="B192" s="10" t="s">
        <v>28084</v>
      </c>
      <c r="C192" s="2">
        <v>4.4555518519E10</v>
      </c>
      <c r="D192" s="2" t="s">
        <v>28085</v>
      </c>
      <c r="E192" s="2">
        <v>41808.0</v>
      </c>
      <c r="F192" s="2">
        <v>546.0</v>
      </c>
      <c r="G192" s="2">
        <v>585.0</v>
      </c>
      <c r="H192" s="2" t="s">
        <v>5905</v>
      </c>
      <c r="I192" s="2" t="s">
        <v>5905</v>
      </c>
      <c r="J192" s="2" t="s">
        <v>13199</v>
      </c>
      <c r="K192" s="12" t="s">
        <v>28086</v>
      </c>
    </row>
    <row r="193">
      <c r="A193" s="2" t="s">
        <v>28087</v>
      </c>
      <c r="B193" s="2" t="s">
        <v>28088</v>
      </c>
      <c r="C193" s="2">
        <v>8.026299119E9</v>
      </c>
      <c r="D193" s="2" t="s">
        <v>28089</v>
      </c>
      <c r="E193" s="2">
        <v>23785.0</v>
      </c>
      <c r="F193" s="2">
        <v>1230.0</v>
      </c>
      <c r="G193" s="2">
        <v>194.0</v>
      </c>
      <c r="H193" s="2" t="s">
        <v>5905</v>
      </c>
      <c r="I193" s="2" t="s">
        <v>5905</v>
      </c>
      <c r="J193" s="2" t="s">
        <v>7140</v>
      </c>
      <c r="K193" s="2" t="s">
        <v>28090</v>
      </c>
    </row>
    <row r="194">
      <c r="A194" s="2" t="s">
        <v>28091</v>
      </c>
      <c r="B194" s="2" t="s">
        <v>28092</v>
      </c>
      <c r="C194" s="2">
        <v>1.41663193E9</v>
      </c>
      <c r="D194" s="2" t="s">
        <v>28093</v>
      </c>
      <c r="E194" s="2">
        <v>10194.0</v>
      </c>
      <c r="F194" s="2">
        <v>732.0</v>
      </c>
      <c r="G194" s="2">
        <v>24.0</v>
      </c>
      <c r="H194" s="2" t="s">
        <v>5905</v>
      </c>
      <c r="I194" s="2" t="s">
        <v>5906</v>
      </c>
      <c r="J194" s="2" t="s">
        <v>8245</v>
      </c>
      <c r="K194" s="2" t="s">
        <v>28094</v>
      </c>
      <c r="L194" s="10" t="s">
        <v>28095</v>
      </c>
    </row>
    <row r="195">
      <c r="A195" s="2" t="s">
        <v>28096</v>
      </c>
      <c r="B195" s="2" t="s">
        <v>28097</v>
      </c>
      <c r="C195" s="2">
        <v>1.4737079358E10</v>
      </c>
      <c r="D195" s="2" t="s">
        <v>28098</v>
      </c>
      <c r="E195" s="2">
        <v>88936.0</v>
      </c>
      <c r="F195" s="2">
        <v>461.0</v>
      </c>
      <c r="G195" s="2">
        <v>1352.0</v>
      </c>
      <c r="H195" s="2" t="s">
        <v>5905</v>
      </c>
      <c r="I195" s="2" t="s">
        <v>5905</v>
      </c>
      <c r="J195" s="2" t="s">
        <v>28099</v>
      </c>
      <c r="K195" s="2" t="s">
        <v>28100</v>
      </c>
      <c r="L195" s="10" t="s">
        <v>28101</v>
      </c>
    </row>
    <row r="196">
      <c r="A196" s="2" t="s">
        <v>28102</v>
      </c>
      <c r="B196" s="2" t="s">
        <v>28103</v>
      </c>
      <c r="C196" s="2">
        <v>1.545975208E9</v>
      </c>
      <c r="D196" s="2" t="s">
        <v>28104</v>
      </c>
      <c r="E196" s="2">
        <v>14149.0</v>
      </c>
      <c r="F196" s="2">
        <v>5266.0</v>
      </c>
      <c r="G196" s="2">
        <v>732.0</v>
      </c>
      <c r="H196" s="2" t="s">
        <v>5905</v>
      </c>
      <c r="I196" s="2" t="s">
        <v>5905</v>
      </c>
      <c r="K196" s="2" t="s">
        <v>28105</v>
      </c>
    </row>
    <row r="197">
      <c r="A197" s="2" t="s">
        <v>28102</v>
      </c>
      <c r="B197" s="2" t="s">
        <v>28106</v>
      </c>
      <c r="C197" s="2">
        <v>3.917985172E9</v>
      </c>
      <c r="D197" s="2" t="s">
        <v>28107</v>
      </c>
      <c r="E197" s="2">
        <v>237707.0</v>
      </c>
      <c r="F197" s="2">
        <v>7501.0</v>
      </c>
      <c r="G197" s="2">
        <v>4404.0</v>
      </c>
      <c r="H197" s="2" t="s">
        <v>5905</v>
      </c>
      <c r="I197" s="2" t="s">
        <v>5905</v>
      </c>
      <c r="J197" s="2" t="s">
        <v>5485</v>
      </c>
      <c r="K197" s="2" t="s">
        <v>28108</v>
      </c>
      <c r="L197" s="10" t="s">
        <v>28109</v>
      </c>
    </row>
    <row r="198">
      <c r="A198" s="2" t="s">
        <v>28102</v>
      </c>
      <c r="B198" s="2" t="s">
        <v>28110</v>
      </c>
      <c r="C198" s="2">
        <v>4.173849914E9</v>
      </c>
      <c r="D198" s="2" t="s">
        <v>28111</v>
      </c>
      <c r="E198" s="2">
        <v>53450.0</v>
      </c>
      <c r="F198" s="2">
        <v>862.0</v>
      </c>
      <c r="G198" s="2">
        <v>1597.0</v>
      </c>
      <c r="H198" s="2" t="s">
        <v>5905</v>
      </c>
      <c r="I198" s="2" t="s">
        <v>5906</v>
      </c>
      <c r="J198" s="2" t="s">
        <v>7482</v>
      </c>
      <c r="K198" s="2" t="s">
        <v>28112</v>
      </c>
      <c r="L198" s="10" t="s">
        <v>28113</v>
      </c>
    </row>
    <row r="199">
      <c r="A199" s="2" t="s">
        <v>28114</v>
      </c>
      <c r="B199" s="2" t="s">
        <v>28115</v>
      </c>
      <c r="C199" s="2">
        <v>5.26858895E8</v>
      </c>
      <c r="D199" s="2" t="s">
        <v>28116</v>
      </c>
      <c r="E199" s="2">
        <v>19151.0</v>
      </c>
      <c r="F199" s="2">
        <v>1028.0</v>
      </c>
      <c r="G199" s="2">
        <v>1116.0</v>
      </c>
      <c r="H199" s="2" t="s">
        <v>5906</v>
      </c>
      <c r="I199" s="2" t="s">
        <v>5905</v>
      </c>
      <c r="J199" s="2" t="s">
        <v>13763</v>
      </c>
      <c r="K199" s="2" t="s">
        <v>28117</v>
      </c>
      <c r="L199" s="10" t="s">
        <v>28118</v>
      </c>
    </row>
    <row r="200">
      <c r="A200" s="2" t="s">
        <v>28119</v>
      </c>
      <c r="B200" s="2" t="s">
        <v>28120</v>
      </c>
      <c r="C200" s="2">
        <v>4.936888589E10</v>
      </c>
      <c r="D200" s="2" t="s">
        <v>28121</v>
      </c>
      <c r="E200" s="2">
        <v>13651.0</v>
      </c>
      <c r="F200" s="2">
        <v>20.0</v>
      </c>
      <c r="G200" s="2">
        <v>122.0</v>
      </c>
      <c r="H200" s="2" t="s">
        <v>5905</v>
      </c>
      <c r="I200" s="2" t="s">
        <v>5906</v>
      </c>
      <c r="J200" s="2" t="s">
        <v>6027</v>
      </c>
      <c r="K200" s="2" t="s">
        <v>28122</v>
      </c>
      <c r="L200" s="10" t="s">
        <v>28123</v>
      </c>
    </row>
    <row r="201">
      <c r="A201" s="2" t="s">
        <v>28119</v>
      </c>
      <c r="B201" s="2" t="s">
        <v>28124</v>
      </c>
      <c r="C201" s="2">
        <v>4.4070265892E10</v>
      </c>
      <c r="D201" s="2" t="s">
        <v>28125</v>
      </c>
      <c r="E201" s="2">
        <v>21413.0</v>
      </c>
      <c r="F201" s="2">
        <v>1341.0</v>
      </c>
      <c r="G201" s="2">
        <v>546.0</v>
      </c>
      <c r="H201" s="2" t="s">
        <v>5905</v>
      </c>
      <c r="I201" s="2" t="s">
        <v>5906</v>
      </c>
      <c r="J201" s="2" t="s">
        <v>5963</v>
      </c>
      <c r="K201" s="2" t="s">
        <v>28126</v>
      </c>
      <c r="L201" s="10" t="s">
        <v>28127</v>
      </c>
    </row>
    <row r="202">
      <c r="A202" s="2" t="s">
        <v>28119</v>
      </c>
      <c r="B202" s="2" t="s">
        <v>28128</v>
      </c>
      <c r="C202" s="2">
        <v>1.97133757E8</v>
      </c>
      <c r="D202" s="2" t="s">
        <v>28129</v>
      </c>
      <c r="E202" s="2">
        <v>12627.0</v>
      </c>
      <c r="F202" s="2">
        <v>5758.0</v>
      </c>
      <c r="G202" s="2">
        <v>2928.0</v>
      </c>
      <c r="H202" s="2" t="s">
        <v>5906</v>
      </c>
      <c r="I202" s="2" t="s">
        <v>5906</v>
      </c>
      <c r="J202" s="2" t="s">
        <v>18886</v>
      </c>
      <c r="K202" s="2" t="s">
        <v>28130</v>
      </c>
      <c r="L202" s="10" t="s">
        <v>28131</v>
      </c>
    </row>
    <row r="203">
      <c r="A203" s="2" t="s">
        <v>28132</v>
      </c>
      <c r="B203" s="2" t="s">
        <v>28133</v>
      </c>
      <c r="C203" s="2">
        <v>1.1391136234E10</v>
      </c>
      <c r="D203" s="2" t="s">
        <v>28134</v>
      </c>
      <c r="E203" s="2">
        <v>96240.0</v>
      </c>
      <c r="F203" s="2">
        <v>221.0</v>
      </c>
      <c r="G203" s="2">
        <v>100.0</v>
      </c>
      <c r="H203" s="2" t="s">
        <v>5906</v>
      </c>
      <c r="I203" s="2" t="s">
        <v>5905</v>
      </c>
      <c r="J203" s="2" t="s">
        <v>5959</v>
      </c>
      <c r="K203" s="2" t="s">
        <v>28135</v>
      </c>
    </row>
    <row r="204">
      <c r="A204" s="2" t="s">
        <v>28132</v>
      </c>
      <c r="B204" s="2" t="s">
        <v>28136</v>
      </c>
      <c r="C204" s="2">
        <v>5.8447815935E10</v>
      </c>
      <c r="D204" s="2" t="s">
        <v>28137</v>
      </c>
      <c r="E204" s="2">
        <v>12031.0</v>
      </c>
      <c r="F204" s="2">
        <v>527.0</v>
      </c>
      <c r="G204" s="2">
        <v>362.0</v>
      </c>
      <c r="H204" s="2" t="s">
        <v>5905</v>
      </c>
      <c r="I204" s="2" t="s">
        <v>5906</v>
      </c>
      <c r="J204" s="2" t="s">
        <v>7414</v>
      </c>
      <c r="K204" s="2" t="s">
        <v>28138</v>
      </c>
      <c r="L204" s="10" t="s">
        <v>28139</v>
      </c>
    </row>
    <row r="205">
      <c r="A205" s="2" t="s">
        <v>28132</v>
      </c>
      <c r="B205" s="2" t="s">
        <v>28140</v>
      </c>
      <c r="C205" s="2">
        <v>1.5695497426E10</v>
      </c>
      <c r="D205" s="2" t="s">
        <v>28141</v>
      </c>
      <c r="E205" s="2">
        <v>38076.0</v>
      </c>
      <c r="F205" s="2">
        <v>2961.0</v>
      </c>
      <c r="G205" s="2">
        <v>2077.0</v>
      </c>
      <c r="H205" s="2" t="s">
        <v>5905</v>
      </c>
      <c r="I205" s="2" t="s">
        <v>5906</v>
      </c>
      <c r="J205" s="2" t="s">
        <v>16170</v>
      </c>
      <c r="K205" s="2" t="s">
        <v>28142</v>
      </c>
      <c r="L205" s="10" t="s">
        <v>28143</v>
      </c>
    </row>
    <row r="206">
      <c r="A206" s="2" t="s">
        <v>28144</v>
      </c>
      <c r="B206" s="2" t="s">
        <v>28145</v>
      </c>
      <c r="C206" s="2">
        <v>2.230636983E9</v>
      </c>
      <c r="D206" s="2" t="s">
        <v>28146</v>
      </c>
      <c r="E206" s="2">
        <v>95045.0</v>
      </c>
      <c r="F206" s="2">
        <v>2003.0</v>
      </c>
      <c r="G206" s="2">
        <v>1289.0</v>
      </c>
      <c r="H206" s="2" t="s">
        <v>5905</v>
      </c>
      <c r="I206" s="2" t="s">
        <v>5906</v>
      </c>
      <c r="J206" s="2" t="s">
        <v>6166</v>
      </c>
      <c r="K206" s="2" t="s">
        <v>28147</v>
      </c>
      <c r="L206" s="10" t="s">
        <v>28148</v>
      </c>
    </row>
    <row r="207">
      <c r="A207" s="2" t="s">
        <v>28144</v>
      </c>
      <c r="B207" s="2" t="s">
        <v>28149</v>
      </c>
      <c r="C207" s="2">
        <v>1.602953347E9</v>
      </c>
      <c r="D207" s="2" t="s">
        <v>28150</v>
      </c>
      <c r="E207" s="2">
        <v>30105.0</v>
      </c>
      <c r="F207" s="2">
        <v>6765.0</v>
      </c>
      <c r="G207" s="2">
        <v>329.0</v>
      </c>
      <c r="H207" s="2" t="s">
        <v>5905</v>
      </c>
      <c r="I207" s="2" t="s">
        <v>5905</v>
      </c>
      <c r="J207" s="2" t="s">
        <v>11730</v>
      </c>
      <c r="K207" s="2" t="s">
        <v>28151</v>
      </c>
      <c r="L207" s="10" t="s">
        <v>28152</v>
      </c>
    </row>
    <row r="208">
      <c r="A208" s="2" t="s">
        <v>28144</v>
      </c>
      <c r="B208" s="2" t="s">
        <v>28153</v>
      </c>
      <c r="C208" s="2">
        <v>1.916937851E9</v>
      </c>
      <c r="D208" s="2" t="s">
        <v>28154</v>
      </c>
      <c r="E208" s="2">
        <v>119760.0</v>
      </c>
      <c r="F208" s="2">
        <v>391.0</v>
      </c>
      <c r="G208" s="2">
        <v>3301.0</v>
      </c>
      <c r="H208" s="2" t="s">
        <v>5906</v>
      </c>
      <c r="I208" s="2" t="s">
        <v>5906</v>
      </c>
      <c r="J208" s="2" t="s">
        <v>5518</v>
      </c>
      <c r="K208" s="2" t="s">
        <v>28155</v>
      </c>
      <c r="L208" s="10" t="s">
        <v>28156</v>
      </c>
    </row>
    <row r="209">
      <c r="A209" s="2" t="s">
        <v>28144</v>
      </c>
      <c r="B209" s="2" t="s">
        <v>28157</v>
      </c>
      <c r="C209" s="2">
        <v>3.8547235573E10</v>
      </c>
      <c r="D209" s="2" t="s">
        <v>28158</v>
      </c>
      <c r="E209" s="2">
        <v>975751.0</v>
      </c>
      <c r="F209" s="2">
        <v>1654.0</v>
      </c>
      <c r="G209" s="2">
        <v>1162.0</v>
      </c>
      <c r="H209" s="2" t="s">
        <v>5905</v>
      </c>
      <c r="I209" s="2" t="s">
        <v>5905</v>
      </c>
      <c r="J209" s="2" t="s">
        <v>6166</v>
      </c>
      <c r="K209" s="2" t="s">
        <v>28159</v>
      </c>
      <c r="L209" s="10" t="s">
        <v>28160</v>
      </c>
    </row>
    <row r="210">
      <c r="A210" s="2" t="s">
        <v>28144</v>
      </c>
      <c r="B210" s="10" t="s">
        <v>28161</v>
      </c>
      <c r="C210" s="2">
        <v>6.6304648856E10</v>
      </c>
      <c r="D210" s="2" t="s">
        <v>28162</v>
      </c>
      <c r="E210" s="2">
        <v>16033.0</v>
      </c>
      <c r="F210" s="2">
        <v>671.0</v>
      </c>
      <c r="G210" s="2">
        <v>105.0</v>
      </c>
      <c r="H210" s="2" t="s">
        <v>5906</v>
      </c>
      <c r="I210" s="2" t="s">
        <v>5906</v>
      </c>
      <c r="J210" s="2" t="s">
        <v>8455</v>
      </c>
      <c r="K210" s="2" t="s">
        <v>28163</v>
      </c>
    </row>
    <row r="211">
      <c r="A211" s="2" t="s">
        <v>28164</v>
      </c>
      <c r="B211" s="2" t="s">
        <v>28047</v>
      </c>
      <c r="C211" s="2">
        <v>1.687524397E9</v>
      </c>
      <c r="D211" s="2" t="s">
        <v>28048</v>
      </c>
      <c r="E211" s="2">
        <v>317098.0</v>
      </c>
      <c r="F211" s="2">
        <v>652.0</v>
      </c>
      <c r="G211" s="2">
        <v>1807.0</v>
      </c>
      <c r="H211" s="2" t="s">
        <v>5906</v>
      </c>
      <c r="I211" s="2" t="s">
        <v>5906</v>
      </c>
      <c r="J211" s="2" t="s">
        <v>11389</v>
      </c>
      <c r="K211" s="2" t="s">
        <v>28049</v>
      </c>
      <c r="L211" s="10" t="s">
        <v>28050</v>
      </c>
    </row>
    <row r="212">
      <c r="A212" s="2" t="s">
        <v>28164</v>
      </c>
      <c r="B212" s="2" t="s">
        <v>28165</v>
      </c>
      <c r="C212" s="2">
        <v>1.1833396479E10</v>
      </c>
      <c r="D212" s="2" t="s">
        <v>28166</v>
      </c>
      <c r="E212" s="2">
        <v>34040.0</v>
      </c>
      <c r="F212" s="2">
        <v>1338.0</v>
      </c>
      <c r="G212" s="2">
        <v>86.0</v>
      </c>
      <c r="H212" s="2" t="s">
        <v>5905</v>
      </c>
      <c r="I212" s="2" t="s">
        <v>5906</v>
      </c>
      <c r="J212" s="2" t="s">
        <v>5963</v>
      </c>
      <c r="K212" s="2" t="s">
        <v>28167</v>
      </c>
      <c r="L212" s="10" t="s">
        <v>28168</v>
      </c>
    </row>
    <row r="213">
      <c r="A213" s="2" t="s">
        <v>28169</v>
      </c>
      <c r="B213" s="2" t="s">
        <v>28170</v>
      </c>
      <c r="C213" s="2">
        <v>5.630666064E9</v>
      </c>
      <c r="D213" s="2" t="s">
        <v>28171</v>
      </c>
      <c r="E213" s="2">
        <v>21943.0</v>
      </c>
      <c r="F213" s="2">
        <v>1074.0</v>
      </c>
      <c r="G213" s="2">
        <v>255.0</v>
      </c>
      <c r="H213" s="2" t="s">
        <v>5905</v>
      </c>
      <c r="I213" s="2" t="s">
        <v>5905</v>
      </c>
      <c r="J213" s="2" t="s">
        <v>6002</v>
      </c>
      <c r="K213" s="2" t="s">
        <v>28172</v>
      </c>
      <c r="L213" s="10" t="s">
        <v>28173</v>
      </c>
    </row>
    <row r="214">
      <c r="A214" s="2" t="s">
        <v>28169</v>
      </c>
      <c r="B214" s="2" t="s">
        <v>28174</v>
      </c>
      <c r="C214" s="2">
        <v>5.1791085004E10</v>
      </c>
      <c r="D214" s="2" t="s">
        <v>28175</v>
      </c>
      <c r="E214" s="2">
        <v>54986.0</v>
      </c>
      <c r="F214" s="2">
        <v>1262.0</v>
      </c>
      <c r="G214" s="2">
        <v>686.0</v>
      </c>
      <c r="H214" s="2" t="s">
        <v>5905</v>
      </c>
      <c r="I214" s="2" t="s">
        <v>5905</v>
      </c>
      <c r="J214" s="2" t="s">
        <v>5492</v>
      </c>
      <c r="K214" s="2" t="s">
        <v>28176</v>
      </c>
    </row>
    <row r="215">
      <c r="A215" s="2" t="s">
        <v>28169</v>
      </c>
      <c r="B215" s="2" t="s">
        <v>28177</v>
      </c>
      <c r="C215" s="2">
        <v>4.678655154E9</v>
      </c>
      <c r="D215" s="2" t="s">
        <v>28178</v>
      </c>
      <c r="E215" s="2">
        <v>12928.0</v>
      </c>
      <c r="F215" s="2">
        <v>274.0</v>
      </c>
      <c r="G215" s="2">
        <v>1002.0</v>
      </c>
      <c r="H215" s="2" t="s">
        <v>5905</v>
      </c>
      <c r="I215" s="2" t="s">
        <v>5906</v>
      </c>
      <c r="J215" s="2" t="s">
        <v>20527</v>
      </c>
      <c r="K215" s="2" t="s">
        <v>28179</v>
      </c>
      <c r="L215" s="10" t="s">
        <v>28180</v>
      </c>
    </row>
    <row r="216">
      <c r="A216" s="2" t="s">
        <v>28181</v>
      </c>
      <c r="B216" s="2" t="s">
        <v>28182</v>
      </c>
      <c r="C216" s="2">
        <v>7.2723369127E10</v>
      </c>
      <c r="D216" s="2" t="s">
        <v>28183</v>
      </c>
      <c r="E216" s="2">
        <v>11911.0</v>
      </c>
      <c r="F216" s="2">
        <v>9.0</v>
      </c>
      <c r="G216" s="2">
        <v>299.0</v>
      </c>
      <c r="H216" s="2" t="s">
        <v>5906</v>
      </c>
      <c r="I216" s="2" t="s">
        <v>5906</v>
      </c>
      <c r="J216" s="2" t="s">
        <v>7669</v>
      </c>
      <c r="K216" s="2" t="s">
        <v>28184</v>
      </c>
    </row>
    <row r="217">
      <c r="A217" s="2" t="s">
        <v>28181</v>
      </c>
      <c r="B217" s="2" t="s">
        <v>28185</v>
      </c>
      <c r="C217" s="2">
        <v>1.4254611227E10</v>
      </c>
      <c r="D217" s="2" t="s">
        <v>28186</v>
      </c>
      <c r="E217" s="2">
        <v>68081.0</v>
      </c>
      <c r="F217" s="2">
        <v>408.0</v>
      </c>
      <c r="G217" s="2">
        <v>3575.0</v>
      </c>
      <c r="H217" s="2" t="s">
        <v>5905</v>
      </c>
      <c r="I217" s="2" t="s">
        <v>5906</v>
      </c>
      <c r="J217" s="2" t="s">
        <v>5391</v>
      </c>
      <c r="K217" s="2" t="s">
        <v>28187</v>
      </c>
    </row>
    <row r="218">
      <c r="A218" s="2" t="s">
        <v>28188</v>
      </c>
      <c r="B218" s="2" t="s">
        <v>28189</v>
      </c>
      <c r="C218" s="2">
        <v>1.0024247432E10</v>
      </c>
      <c r="D218" s="2" t="s">
        <v>28190</v>
      </c>
      <c r="E218" s="2">
        <v>12971.0</v>
      </c>
      <c r="F218" s="2">
        <v>1514.0</v>
      </c>
      <c r="G218" s="2">
        <v>202.0</v>
      </c>
      <c r="H218" s="2" t="s">
        <v>5905</v>
      </c>
      <c r="I218" s="2" t="s">
        <v>5906</v>
      </c>
      <c r="J218" s="2" t="s">
        <v>7414</v>
      </c>
      <c r="K218" s="2" t="s">
        <v>28191</v>
      </c>
      <c r="L218" s="10" t="s">
        <v>28192</v>
      </c>
    </row>
    <row r="219">
      <c r="A219" s="2" t="s">
        <v>28188</v>
      </c>
      <c r="B219" s="2" t="s">
        <v>28193</v>
      </c>
      <c r="C219" s="2">
        <v>1.397500822E9</v>
      </c>
      <c r="D219" s="2" t="s">
        <v>28194</v>
      </c>
      <c r="E219" s="2">
        <v>32248.0</v>
      </c>
      <c r="F219" s="2">
        <v>2988.0</v>
      </c>
      <c r="G219" s="2">
        <v>2277.0</v>
      </c>
      <c r="H219" s="2" t="s">
        <v>5905</v>
      </c>
      <c r="I219" s="2" t="s">
        <v>5906</v>
      </c>
      <c r="K219" s="2" t="s">
        <v>28195</v>
      </c>
      <c r="L219" s="10" t="s">
        <v>28196</v>
      </c>
    </row>
    <row r="220">
      <c r="A220" s="2" t="s">
        <v>28197</v>
      </c>
      <c r="B220" s="2" t="s">
        <v>28198</v>
      </c>
      <c r="C220" s="2">
        <v>3.26033499E8</v>
      </c>
      <c r="D220" s="2" t="s">
        <v>28199</v>
      </c>
      <c r="E220" s="2">
        <v>16572.0</v>
      </c>
      <c r="F220" s="2">
        <v>2824.0</v>
      </c>
      <c r="G220" s="2">
        <v>1826.0</v>
      </c>
      <c r="H220" s="2" t="s">
        <v>5905</v>
      </c>
      <c r="I220" s="2" t="s">
        <v>5905</v>
      </c>
      <c r="J220" s="2" t="s">
        <v>7140</v>
      </c>
      <c r="K220" s="2" t="s">
        <v>28200</v>
      </c>
      <c r="L220" s="10" t="s">
        <v>28201</v>
      </c>
    </row>
    <row r="221">
      <c r="A221" s="2" t="s">
        <v>28197</v>
      </c>
      <c r="B221" s="2" t="s">
        <v>28202</v>
      </c>
      <c r="C221" s="2">
        <v>4.46409825E9</v>
      </c>
      <c r="D221" s="2" t="s">
        <v>28203</v>
      </c>
      <c r="E221" s="2">
        <v>44980.0</v>
      </c>
      <c r="F221" s="2">
        <v>3001.0</v>
      </c>
      <c r="G221" s="2">
        <v>1093.0</v>
      </c>
      <c r="H221" s="2" t="s">
        <v>5906</v>
      </c>
      <c r="I221" s="2" t="s">
        <v>5905</v>
      </c>
      <c r="J221" s="2" t="s">
        <v>7140</v>
      </c>
      <c r="K221" s="2" t="s">
        <v>28204</v>
      </c>
      <c r="L221" s="10" t="s">
        <v>28205</v>
      </c>
    </row>
    <row r="222">
      <c r="A222" s="2" t="s">
        <v>28197</v>
      </c>
      <c r="B222" s="2" t="s">
        <v>28206</v>
      </c>
      <c r="C222" s="2">
        <v>2.77786899E8</v>
      </c>
      <c r="D222" s="2" t="s">
        <v>28207</v>
      </c>
      <c r="E222" s="2">
        <v>23090.0</v>
      </c>
      <c r="F222" s="2">
        <v>719.0</v>
      </c>
      <c r="G222" s="2">
        <v>506.0</v>
      </c>
      <c r="H222" s="2" t="s">
        <v>5905</v>
      </c>
      <c r="I222" s="2" t="s">
        <v>5906</v>
      </c>
      <c r="K222" s="2" t="s">
        <v>28208</v>
      </c>
    </row>
    <row r="223">
      <c r="A223" s="2" t="s">
        <v>28209</v>
      </c>
      <c r="B223" s="2" t="s">
        <v>28210</v>
      </c>
      <c r="C223" s="2">
        <v>1.056394282E9</v>
      </c>
      <c r="D223" s="2" t="s">
        <v>28211</v>
      </c>
      <c r="E223" s="2">
        <v>11137.0</v>
      </c>
      <c r="F223" s="2">
        <v>437.0</v>
      </c>
      <c r="G223" s="2">
        <v>597.0</v>
      </c>
      <c r="H223" s="2" t="s">
        <v>5905</v>
      </c>
      <c r="I223" s="2" t="s">
        <v>5905</v>
      </c>
      <c r="J223" s="2" t="s">
        <v>14778</v>
      </c>
      <c r="K223" s="2" t="s">
        <v>28212</v>
      </c>
      <c r="L223" s="10" t="s">
        <v>28213</v>
      </c>
    </row>
    <row r="224">
      <c r="A224" s="2" t="s">
        <v>28209</v>
      </c>
      <c r="B224" s="2" t="s">
        <v>28214</v>
      </c>
      <c r="C224" s="2">
        <v>6.725809617E9</v>
      </c>
      <c r="D224" s="2" t="s">
        <v>28215</v>
      </c>
      <c r="E224" s="2">
        <v>102749.0</v>
      </c>
      <c r="F224" s="2">
        <v>2616.0</v>
      </c>
      <c r="G224" s="2">
        <v>484.0</v>
      </c>
      <c r="H224" s="2" t="s">
        <v>5905</v>
      </c>
      <c r="I224" s="2" t="s">
        <v>5905</v>
      </c>
      <c r="J224" s="2" t="s">
        <v>14778</v>
      </c>
      <c r="K224" s="2" t="s">
        <v>28216</v>
      </c>
    </row>
    <row r="225">
      <c r="A225" s="2" t="s">
        <v>28209</v>
      </c>
      <c r="B225" s="2" t="s">
        <v>28217</v>
      </c>
      <c r="C225" s="2">
        <v>5.777480328E9</v>
      </c>
      <c r="D225" s="2" t="s">
        <v>28218</v>
      </c>
      <c r="E225" s="2">
        <v>10888.0</v>
      </c>
      <c r="F225" s="2">
        <v>2416.0</v>
      </c>
      <c r="G225" s="2">
        <v>238.0</v>
      </c>
      <c r="H225" s="2" t="s">
        <v>5905</v>
      </c>
      <c r="I225" s="2" t="s">
        <v>5905</v>
      </c>
      <c r="J225" s="2" t="s">
        <v>14778</v>
      </c>
      <c r="K225" s="2" t="s">
        <v>28219</v>
      </c>
      <c r="L225" s="10" t="s">
        <v>28220</v>
      </c>
    </row>
    <row r="226">
      <c r="A226" s="2" t="s">
        <v>28209</v>
      </c>
      <c r="B226" s="2" t="s">
        <v>28221</v>
      </c>
      <c r="C226" s="2">
        <v>2.0251941E7</v>
      </c>
      <c r="D226" s="2" t="s">
        <v>28222</v>
      </c>
      <c r="E226" s="2">
        <v>85861.0</v>
      </c>
      <c r="F226" s="2">
        <v>699.0</v>
      </c>
      <c r="G226" s="2">
        <v>123.0</v>
      </c>
      <c r="H226" s="2" t="s">
        <v>5906</v>
      </c>
      <c r="I226" s="2" t="s">
        <v>5905</v>
      </c>
      <c r="J226" s="2" t="s">
        <v>6393</v>
      </c>
      <c r="K226" s="2" t="s">
        <v>28223</v>
      </c>
      <c r="L226" s="10" t="s">
        <v>28224</v>
      </c>
    </row>
    <row r="227">
      <c r="A227" s="2" t="s">
        <v>28209</v>
      </c>
      <c r="B227" s="2" t="s">
        <v>28225</v>
      </c>
      <c r="C227" s="2">
        <v>1.4284884E7</v>
      </c>
      <c r="D227" s="2" t="s">
        <v>28226</v>
      </c>
      <c r="E227" s="2">
        <v>10741.0</v>
      </c>
      <c r="F227" s="2">
        <v>606.0</v>
      </c>
      <c r="G227" s="2">
        <v>213.0</v>
      </c>
      <c r="H227" s="2" t="s">
        <v>5905</v>
      </c>
      <c r="I227" s="2" t="s">
        <v>5905</v>
      </c>
      <c r="J227" s="2" t="s">
        <v>14778</v>
      </c>
      <c r="K227" s="2" t="s">
        <v>28227</v>
      </c>
      <c r="L227" s="10" t="s">
        <v>28228</v>
      </c>
    </row>
    <row r="228">
      <c r="A228" s="2" t="s">
        <v>28229</v>
      </c>
      <c r="B228" s="2" t="s">
        <v>28230</v>
      </c>
      <c r="C228" s="2">
        <v>3.96714835E8</v>
      </c>
      <c r="D228" s="2" t="s">
        <v>28231</v>
      </c>
      <c r="E228" s="2">
        <v>36809.0</v>
      </c>
      <c r="F228" s="2">
        <v>1644.0</v>
      </c>
      <c r="G228" s="2">
        <v>391.0</v>
      </c>
      <c r="H228" s="2" t="s">
        <v>5906</v>
      </c>
      <c r="I228" s="2" t="s">
        <v>5905</v>
      </c>
      <c r="J228" s="2" t="s">
        <v>14778</v>
      </c>
      <c r="K228" s="2" t="s">
        <v>28232</v>
      </c>
      <c r="L228" s="10" t="s">
        <v>28233</v>
      </c>
    </row>
    <row r="229">
      <c r="A229" s="2" t="s">
        <v>28234</v>
      </c>
      <c r="B229" s="2" t="s">
        <v>28235</v>
      </c>
      <c r="C229" s="2">
        <v>2.82120038E8</v>
      </c>
      <c r="D229" s="2" t="s">
        <v>28236</v>
      </c>
      <c r="E229" s="2">
        <v>26270.0</v>
      </c>
      <c r="F229" s="2">
        <v>1596.0</v>
      </c>
      <c r="G229" s="2">
        <v>2961.0</v>
      </c>
      <c r="H229" s="2" t="s">
        <v>5905</v>
      </c>
      <c r="I229" s="2" t="s">
        <v>5906</v>
      </c>
      <c r="J229" s="2" t="s">
        <v>5968</v>
      </c>
      <c r="K229" s="2" t="s">
        <v>28237</v>
      </c>
      <c r="L229" s="10" t="s">
        <v>28238</v>
      </c>
    </row>
    <row r="230">
      <c r="A230" s="2" t="s">
        <v>28234</v>
      </c>
      <c r="B230" s="2" t="s">
        <v>28202</v>
      </c>
      <c r="C230" s="2">
        <v>4.46409825E9</v>
      </c>
      <c r="D230" s="2" t="s">
        <v>28203</v>
      </c>
      <c r="E230" s="2">
        <v>44980.0</v>
      </c>
      <c r="F230" s="2">
        <v>3001.0</v>
      </c>
      <c r="G230" s="2">
        <v>1093.0</v>
      </c>
      <c r="H230" s="2" t="s">
        <v>5906</v>
      </c>
      <c r="I230" s="2" t="s">
        <v>5905</v>
      </c>
      <c r="J230" s="2" t="s">
        <v>7140</v>
      </c>
      <c r="K230" s="2" t="s">
        <v>28204</v>
      </c>
      <c r="L230" s="10" t="s">
        <v>28205</v>
      </c>
    </row>
    <row r="231">
      <c r="A231" s="2" t="s">
        <v>28234</v>
      </c>
      <c r="B231" s="2" t="s">
        <v>28239</v>
      </c>
      <c r="C231" s="2">
        <v>1.5245925024E10</v>
      </c>
      <c r="D231" s="2" t="s">
        <v>28240</v>
      </c>
      <c r="E231" s="2">
        <v>13235.0</v>
      </c>
      <c r="F231" s="2">
        <v>1655.0</v>
      </c>
      <c r="G231" s="2">
        <v>122.0</v>
      </c>
      <c r="H231" s="2" t="s">
        <v>5906</v>
      </c>
      <c r="I231" s="2" t="s">
        <v>5905</v>
      </c>
      <c r="J231" s="2" t="s">
        <v>14778</v>
      </c>
      <c r="K231" s="2" t="s">
        <v>28241</v>
      </c>
    </row>
    <row r="232">
      <c r="A232" s="2" t="s">
        <v>28242</v>
      </c>
      <c r="B232" s="2" t="s">
        <v>28243</v>
      </c>
      <c r="C232" s="2">
        <v>5.9218241967E10</v>
      </c>
      <c r="D232" s="2" t="s">
        <v>28244</v>
      </c>
      <c r="E232" s="2">
        <v>10132.0</v>
      </c>
      <c r="F232" s="2">
        <v>45.0</v>
      </c>
      <c r="G232" s="2">
        <v>0.0</v>
      </c>
      <c r="H232" s="2" t="s">
        <v>5905</v>
      </c>
      <c r="I232" s="2" t="s">
        <v>5906</v>
      </c>
      <c r="J232" s="2" t="s">
        <v>14778</v>
      </c>
    </row>
    <row r="233">
      <c r="A233" s="2" t="s">
        <v>28242</v>
      </c>
      <c r="B233" s="2" t="s">
        <v>28245</v>
      </c>
      <c r="C233" s="2">
        <v>3.012878456E9</v>
      </c>
      <c r="D233" s="2" t="s">
        <v>28246</v>
      </c>
      <c r="E233" s="2">
        <v>19132.0</v>
      </c>
      <c r="F233" s="2">
        <v>500.0</v>
      </c>
      <c r="G233" s="2">
        <v>16.0</v>
      </c>
      <c r="H233" s="2" t="s">
        <v>5905</v>
      </c>
      <c r="I233" s="2" t="s">
        <v>5906</v>
      </c>
      <c r="J233" s="2" t="s">
        <v>5993</v>
      </c>
      <c r="K233" s="2" t="s">
        <v>28247</v>
      </c>
    </row>
    <row r="234">
      <c r="A234" s="2" t="s">
        <v>28248</v>
      </c>
      <c r="B234" s="2" t="s">
        <v>28249</v>
      </c>
      <c r="C234" s="2">
        <v>2.8103757888E10</v>
      </c>
      <c r="E234" s="2">
        <v>24490.0</v>
      </c>
      <c r="F234" s="2">
        <v>1287.0</v>
      </c>
      <c r="G234" s="2">
        <v>486.0</v>
      </c>
      <c r="H234" s="2" t="s">
        <v>5905</v>
      </c>
      <c r="I234" s="2" t="s">
        <v>5906</v>
      </c>
      <c r="J234" s="2" t="s">
        <v>14778</v>
      </c>
      <c r="K234" s="2" t="s">
        <v>28250</v>
      </c>
    </row>
    <row r="235">
      <c r="A235" s="2" t="s">
        <v>28251</v>
      </c>
      <c r="B235" s="2" t="s">
        <v>28252</v>
      </c>
      <c r="C235" s="2">
        <v>7.0014149E8</v>
      </c>
      <c r="D235" s="2" t="s">
        <v>28253</v>
      </c>
      <c r="E235" s="2">
        <v>11366.0</v>
      </c>
      <c r="F235" s="2">
        <v>178.0</v>
      </c>
      <c r="G235" s="2">
        <v>291.0</v>
      </c>
      <c r="H235" s="2" t="s">
        <v>5906</v>
      </c>
      <c r="I235" s="2" t="s">
        <v>5905</v>
      </c>
      <c r="J235" s="2" t="s">
        <v>14778</v>
      </c>
      <c r="K235" s="2" t="s">
        <v>28254</v>
      </c>
      <c r="L235" s="10" t="s">
        <v>28255</v>
      </c>
    </row>
    <row r="236">
      <c r="A236" s="2" t="s">
        <v>28256</v>
      </c>
      <c r="B236" s="2" t="s">
        <v>28257</v>
      </c>
      <c r="C236" s="2">
        <v>4.123009797E9</v>
      </c>
      <c r="D236" s="2" t="s">
        <v>28258</v>
      </c>
      <c r="E236" s="2">
        <v>64462.0</v>
      </c>
      <c r="F236" s="2">
        <v>999.0</v>
      </c>
      <c r="G236" s="2">
        <v>2375.0</v>
      </c>
      <c r="H236" s="2" t="s">
        <v>5905</v>
      </c>
      <c r="I236" s="2" t="s">
        <v>5905</v>
      </c>
      <c r="J236" s="2" t="s">
        <v>6166</v>
      </c>
      <c r="K236" s="2" t="s">
        <v>28259</v>
      </c>
    </row>
    <row r="237">
      <c r="A237" s="2" t="s">
        <v>28256</v>
      </c>
      <c r="B237" s="2" t="s">
        <v>28260</v>
      </c>
      <c r="C237" s="2">
        <v>1.5169059E7</v>
      </c>
      <c r="D237" s="2" t="s">
        <v>28261</v>
      </c>
      <c r="E237" s="2">
        <v>80845.0</v>
      </c>
      <c r="F237" s="2">
        <v>1011.0</v>
      </c>
      <c r="G237" s="2">
        <v>3245.0</v>
      </c>
      <c r="H237" s="2" t="s">
        <v>5905</v>
      </c>
      <c r="I237" s="2" t="s">
        <v>5905</v>
      </c>
      <c r="J237" s="2" t="s">
        <v>7620</v>
      </c>
      <c r="K237" s="2" t="s">
        <v>28262</v>
      </c>
      <c r="L237" s="10" t="s">
        <v>28263</v>
      </c>
    </row>
    <row r="238">
      <c r="A238" s="2" t="s">
        <v>28256</v>
      </c>
      <c r="B238" s="2" t="s">
        <v>28264</v>
      </c>
      <c r="C238" s="2">
        <v>2.5228497E8</v>
      </c>
      <c r="D238" s="2" t="s">
        <v>28265</v>
      </c>
      <c r="E238" s="2">
        <v>13485.0</v>
      </c>
      <c r="F238" s="2">
        <v>282.0</v>
      </c>
      <c r="G238" s="2">
        <v>1862.0</v>
      </c>
      <c r="H238" s="2" t="s">
        <v>5905</v>
      </c>
      <c r="I238" s="2" t="s">
        <v>5906</v>
      </c>
      <c r="J238" s="2" t="s">
        <v>6166</v>
      </c>
      <c r="K238" s="2" t="s">
        <v>28266</v>
      </c>
      <c r="L238" s="10" t="s">
        <v>28267</v>
      </c>
    </row>
    <row r="239">
      <c r="A239" s="2" t="s">
        <v>28256</v>
      </c>
      <c r="B239" s="2" t="s">
        <v>28268</v>
      </c>
      <c r="C239" s="2">
        <v>6.583667113E10</v>
      </c>
      <c r="D239" s="2" t="s">
        <v>28269</v>
      </c>
      <c r="E239" s="2">
        <v>10273.0</v>
      </c>
      <c r="F239" s="2">
        <v>127.0</v>
      </c>
      <c r="G239" s="2">
        <v>14.0</v>
      </c>
      <c r="H239" s="2" t="s">
        <v>5905</v>
      </c>
      <c r="I239" s="2" t="s">
        <v>5906</v>
      </c>
      <c r="J239" s="2" t="s">
        <v>6166</v>
      </c>
      <c r="K239" s="2" t="s">
        <v>28270</v>
      </c>
      <c r="L239" s="10" t="s">
        <v>28271</v>
      </c>
    </row>
    <row r="240">
      <c r="A240" s="2" t="s">
        <v>28272</v>
      </c>
      <c r="B240" s="2" t="s">
        <v>28273</v>
      </c>
      <c r="C240" s="2">
        <v>2.07198679E8</v>
      </c>
      <c r="D240" s="2" t="s">
        <v>28274</v>
      </c>
      <c r="E240" s="2">
        <v>26584.0</v>
      </c>
      <c r="F240" s="2">
        <v>1868.0</v>
      </c>
      <c r="G240" s="2">
        <v>1073.0</v>
      </c>
      <c r="H240" s="2" t="s">
        <v>5906</v>
      </c>
      <c r="I240" s="2" t="s">
        <v>5906</v>
      </c>
      <c r="J240" s="2" t="s">
        <v>6414</v>
      </c>
      <c r="K240" s="2" t="s">
        <v>28275</v>
      </c>
      <c r="L240" s="10" t="s">
        <v>28276</v>
      </c>
    </row>
    <row r="241">
      <c r="A241" s="2" t="s">
        <v>28277</v>
      </c>
      <c r="B241" s="2" t="s">
        <v>28278</v>
      </c>
      <c r="C241" s="2">
        <v>5.0327135323E10</v>
      </c>
      <c r="D241" s="2" t="s">
        <v>28279</v>
      </c>
      <c r="E241" s="2">
        <v>58279.0</v>
      </c>
      <c r="F241" s="2">
        <v>4.0</v>
      </c>
      <c r="G241" s="2">
        <v>347.0</v>
      </c>
      <c r="H241" s="2" t="s">
        <v>5905</v>
      </c>
      <c r="I241" s="2" t="s">
        <v>5906</v>
      </c>
      <c r="J241" s="2" t="s">
        <v>8915</v>
      </c>
      <c r="K241" s="2" t="s">
        <v>28280</v>
      </c>
    </row>
    <row r="242">
      <c r="A242" s="2" t="s">
        <v>28281</v>
      </c>
      <c r="B242" s="2" t="s">
        <v>28282</v>
      </c>
      <c r="C242" s="2">
        <v>4.3230592255E10</v>
      </c>
      <c r="D242" s="2" t="s">
        <v>28283</v>
      </c>
      <c r="E242" s="2">
        <v>10002.0</v>
      </c>
      <c r="F242" s="2">
        <v>675.0</v>
      </c>
      <c r="G242" s="2">
        <v>447.0</v>
      </c>
      <c r="H242" s="2" t="s">
        <v>5905</v>
      </c>
      <c r="I242" s="2" t="s">
        <v>5905</v>
      </c>
      <c r="J242" s="2" t="s">
        <v>6027</v>
      </c>
      <c r="K242" s="2" t="s">
        <v>28284</v>
      </c>
      <c r="L242" s="10" t="s">
        <v>28285</v>
      </c>
    </row>
    <row r="243">
      <c r="A243" s="2" t="s">
        <v>28281</v>
      </c>
      <c r="B243" s="2" t="s">
        <v>28286</v>
      </c>
      <c r="C243" s="2">
        <v>2.343148259E9</v>
      </c>
      <c r="D243" s="2" t="s">
        <v>28287</v>
      </c>
      <c r="E243" s="2">
        <v>23187.0</v>
      </c>
      <c r="F243" s="2">
        <v>2619.0</v>
      </c>
      <c r="G243" s="2">
        <v>151.0</v>
      </c>
      <c r="H243" s="2" t="s">
        <v>5905</v>
      </c>
      <c r="I243" s="2" t="s">
        <v>5906</v>
      </c>
      <c r="J243" s="2" t="s">
        <v>4996</v>
      </c>
      <c r="K243" s="2" t="s">
        <v>28288</v>
      </c>
      <c r="L243" s="10" t="s">
        <v>28289</v>
      </c>
    </row>
    <row r="244">
      <c r="A244" s="2" t="s">
        <v>28290</v>
      </c>
      <c r="B244" s="2" t="s">
        <v>28291</v>
      </c>
      <c r="C244" s="2">
        <v>4.6220898266E10</v>
      </c>
      <c r="D244" s="2" t="s">
        <v>28292</v>
      </c>
      <c r="E244" s="2">
        <v>13133.0</v>
      </c>
      <c r="F244" s="2">
        <v>0.0</v>
      </c>
      <c r="G244" s="2">
        <v>3101.0</v>
      </c>
      <c r="H244" s="2" t="s">
        <v>5905</v>
      </c>
      <c r="I244" s="2" t="s">
        <v>5906</v>
      </c>
      <c r="J244" s="2" t="s">
        <v>5963</v>
      </c>
      <c r="K244" s="2" t="s">
        <v>28293</v>
      </c>
    </row>
    <row r="245">
      <c r="A245" s="2" t="s">
        <v>28290</v>
      </c>
      <c r="B245" s="2" t="s">
        <v>28294</v>
      </c>
      <c r="C245" s="2">
        <v>6.2275276657E10</v>
      </c>
      <c r="D245" s="2" t="s">
        <v>28295</v>
      </c>
      <c r="E245" s="2">
        <v>18810.0</v>
      </c>
      <c r="F245" s="2">
        <v>15.0</v>
      </c>
      <c r="G245" s="2">
        <v>134.0</v>
      </c>
      <c r="H245" s="2" t="s">
        <v>5905</v>
      </c>
      <c r="I245" s="2" t="s">
        <v>5906</v>
      </c>
      <c r="J245" s="2" t="s">
        <v>6166</v>
      </c>
      <c r="K245" s="2" t="s">
        <v>28296</v>
      </c>
      <c r="L245" s="10" t="s">
        <v>28297</v>
      </c>
    </row>
    <row r="246">
      <c r="A246" s="2" t="s">
        <v>28298</v>
      </c>
      <c r="B246" s="2" t="s">
        <v>28299</v>
      </c>
      <c r="C246" s="2">
        <v>1.476381584E9</v>
      </c>
      <c r="D246" s="2" t="s">
        <v>28300</v>
      </c>
      <c r="E246" s="2">
        <v>49692.0</v>
      </c>
      <c r="F246" s="2">
        <v>477.0</v>
      </c>
      <c r="G246" s="2">
        <v>1073.0</v>
      </c>
      <c r="H246" s="2" t="s">
        <v>5905</v>
      </c>
      <c r="I246" s="2" t="s">
        <v>5905</v>
      </c>
      <c r="J246" s="2" t="s">
        <v>7482</v>
      </c>
      <c r="K246" s="2" t="s">
        <v>28301</v>
      </c>
    </row>
    <row r="247">
      <c r="A247" s="2" t="s">
        <v>28298</v>
      </c>
      <c r="B247" s="2" t="s">
        <v>28302</v>
      </c>
      <c r="C247" s="2">
        <v>3.416930098E10</v>
      </c>
      <c r="D247" s="2" t="s">
        <v>28303</v>
      </c>
      <c r="E247" s="2">
        <v>106953.0</v>
      </c>
      <c r="F247" s="2">
        <v>991.0</v>
      </c>
      <c r="G247" s="2">
        <v>555.0</v>
      </c>
      <c r="H247" s="2" t="s">
        <v>5905</v>
      </c>
      <c r="I247" s="2" t="s">
        <v>5906</v>
      </c>
      <c r="J247" s="2" t="s">
        <v>5391</v>
      </c>
      <c r="K247" s="2" t="s">
        <v>28304</v>
      </c>
    </row>
    <row r="248">
      <c r="A248" s="2" t="s">
        <v>28298</v>
      </c>
      <c r="B248" s="2" t="s">
        <v>28305</v>
      </c>
      <c r="C248" s="2">
        <v>2.227449303E9</v>
      </c>
      <c r="D248" s="2" t="s">
        <v>28306</v>
      </c>
      <c r="E248" s="2">
        <v>12764.0</v>
      </c>
      <c r="F248" s="2">
        <v>1067.0</v>
      </c>
      <c r="G248" s="2">
        <v>2762.0</v>
      </c>
      <c r="H248" s="2" t="s">
        <v>5906</v>
      </c>
      <c r="I248" s="2" t="s">
        <v>5906</v>
      </c>
      <c r="J248" s="2" t="s">
        <v>6166</v>
      </c>
      <c r="K248" s="2" t="s">
        <v>28307</v>
      </c>
    </row>
    <row r="249">
      <c r="A249" s="2" t="s">
        <v>28298</v>
      </c>
      <c r="B249" s="2" t="s">
        <v>28308</v>
      </c>
      <c r="C249" s="2">
        <v>7.292937703E9</v>
      </c>
      <c r="D249" s="2" t="s">
        <v>28309</v>
      </c>
      <c r="E249" s="2">
        <v>14168.0</v>
      </c>
      <c r="F249" s="2">
        <v>1962.0</v>
      </c>
      <c r="G249" s="2">
        <v>1167.0</v>
      </c>
      <c r="H249" s="2" t="s">
        <v>5905</v>
      </c>
      <c r="I249" s="2" t="s">
        <v>5905</v>
      </c>
      <c r="J249" s="2" t="s">
        <v>28310</v>
      </c>
      <c r="K249" s="2" t="s">
        <v>28311</v>
      </c>
      <c r="L249" s="10" t="s">
        <v>28312</v>
      </c>
    </row>
    <row r="250">
      <c r="A250" s="2" t="s">
        <v>28298</v>
      </c>
      <c r="B250" s="2" t="s">
        <v>28313</v>
      </c>
      <c r="C250" s="2">
        <v>4.711327481E9</v>
      </c>
      <c r="D250" s="2" t="s">
        <v>28314</v>
      </c>
      <c r="E250" s="2">
        <v>79032.0</v>
      </c>
      <c r="F250" s="2">
        <v>2612.0</v>
      </c>
      <c r="G250" s="2">
        <v>2787.0</v>
      </c>
      <c r="H250" s="2" t="s">
        <v>5905</v>
      </c>
      <c r="I250" s="2" t="s">
        <v>5905</v>
      </c>
      <c r="J250" s="2" t="s">
        <v>6023</v>
      </c>
      <c r="K250" s="2" t="s">
        <v>28315</v>
      </c>
      <c r="L250" s="10" t="s">
        <v>28316</v>
      </c>
    </row>
    <row r="251">
      <c r="A251" s="2" t="s">
        <v>28317</v>
      </c>
      <c r="B251" s="2" t="s">
        <v>28318</v>
      </c>
      <c r="C251" s="2">
        <v>2.56337388E8</v>
      </c>
      <c r="D251" s="2" t="s">
        <v>28319</v>
      </c>
      <c r="E251" s="2">
        <v>29422.0</v>
      </c>
      <c r="F251" s="2">
        <v>4880.0</v>
      </c>
      <c r="G251" s="2">
        <v>5649.0</v>
      </c>
      <c r="H251" s="2" t="s">
        <v>5905</v>
      </c>
      <c r="I251" s="2" t="s">
        <v>5906</v>
      </c>
      <c r="J251" s="2" t="s">
        <v>7414</v>
      </c>
      <c r="K251" s="2" t="s">
        <v>28320</v>
      </c>
      <c r="L251" s="10" t="s">
        <v>28321</v>
      </c>
    </row>
    <row r="252">
      <c r="A252" s="2" t="s">
        <v>28322</v>
      </c>
      <c r="B252" s="2" t="s">
        <v>28323</v>
      </c>
      <c r="C252" s="2">
        <v>6.6841738853E10</v>
      </c>
      <c r="D252" s="2" t="s">
        <v>28324</v>
      </c>
      <c r="E252" s="2">
        <v>27236.0</v>
      </c>
      <c r="F252" s="2">
        <v>2253.0</v>
      </c>
      <c r="G252" s="2">
        <v>178.0</v>
      </c>
      <c r="H252" s="2" t="s">
        <v>5906</v>
      </c>
      <c r="I252" s="2" t="s">
        <v>5905</v>
      </c>
      <c r="J252" s="2" t="s">
        <v>9237</v>
      </c>
      <c r="K252" s="2" t="s">
        <v>28325</v>
      </c>
      <c r="L252" s="10" t="s">
        <v>28326</v>
      </c>
    </row>
    <row r="253">
      <c r="A253" s="2" t="s">
        <v>28327</v>
      </c>
      <c r="B253" s="2" t="s">
        <v>28328</v>
      </c>
      <c r="C253" s="2">
        <v>2.12113434E8</v>
      </c>
      <c r="D253" s="2" t="s">
        <v>28329</v>
      </c>
      <c r="E253" s="2">
        <v>14659.0</v>
      </c>
      <c r="F253" s="2">
        <v>3071.0</v>
      </c>
      <c r="G253" s="2">
        <v>391.0</v>
      </c>
      <c r="H253" s="2" t="s">
        <v>5905</v>
      </c>
      <c r="I253" s="2" t="s">
        <v>5906</v>
      </c>
      <c r="J253" s="2" t="s">
        <v>7140</v>
      </c>
      <c r="K253" s="2" t="s">
        <v>28330</v>
      </c>
      <c r="L253" s="10" t="s">
        <v>28331</v>
      </c>
    </row>
    <row r="254">
      <c r="A254" s="2" t="s">
        <v>28332</v>
      </c>
      <c r="B254" s="2" t="s">
        <v>28333</v>
      </c>
      <c r="C254" s="2">
        <v>4.159716126E9</v>
      </c>
      <c r="D254" s="2" t="s">
        <v>28334</v>
      </c>
      <c r="E254" s="2">
        <v>15280.0</v>
      </c>
      <c r="F254" s="2">
        <v>994.0</v>
      </c>
      <c r="G254" s="2">
        <v>1509.0</v>
      </c>
      <c r="H254" s="2" t="s">
        <v>5905</v>
      </c>
      <c r="I254" s="2" t="s">
        <v>5906</v>
      </c>
      <c r="J254" s="2" t="s">
        <v>7414</v>
      </c>
      <c r="K254" s="2" t="s">
        <v>28335</v>
      </c>
      <c r="L254" s="10" t="s">
        <v>28336</v>
      </c>
    </row>
    <row r="255">
      <c r="A255" s="2" t="s">
        <v>28337</v>
      </c>
      <c r="B255" s="2" t="s">
        <v>28338</v>
      </c>
      <c r="C255" s="2">
        <v>1.9031846572E10</v>
      </c>
      <c r="D255" s="2" t="s">
        <v>28339</v>
      </c>
      <c r="E255" s="2">
        <v>603408.0</v>
      </c>
      <c r="F255" s="2">
        <v>67.0</v>
      </c>
      <c r="G255" s="2">
        <v>435.0</v>
      </c>
      <c r="H255" s="2" t="s">
        <v>5905</v>
      </c>
      <c r="I255" s="2" t="s">
        <v>5906</v>
      </c>
      <c r="J255" s="2" t="s">
        <v>5963</v>
      </c>
      <c r="K255" s="12" t="s">
        <v>28340</v>
      </c>
      <c r="L255" s="10" t="s">
        <v>28341</v>
      </c>
    </row>
    <row r="256">
      <c r="A256" s="2" t="s">
        <v>28337</v>
      </c>
      <c r="B256" s="10" t="s">
        <v>28342</v>
      </c>
      <c r="C256" s="2">
        <v>6.2458469016E10</v>
      </c>
      <c r="D256" s="2" t="s">
        <v>28343</v>
      </c>
      <c r="E256" s="2">
        <v>14492.0</v>
      </c>
      <c r="F256" s="2">
        <v>1.0</v>
      </c>
      <c r="G256" s="2">
        <v>143.0</v>
      </c>
      <c r="H256" s="2" t="s">
        <v>5905</v>
      </c>
      <c r="I256" s="2" t="s">
        <v>5905</v>
      </c>
      <c r="J256" s="2" t="s">
        <v>7414</v>
      </c>
      <c r="K256" s="2" t="s">
        <v>28344</v>
      </c>
      <c r="L256" s="10" t="s">
        <v>28345</v>
      </c>
    </row>
    <row r="257">
      <c r="A257" s="2" t="s">
        <v>28346</v>
      </c>
      <c r="B257" s="10" t="s">
        <v>28347</v>
      </c>
      <c r="C257" s="2">
        <v>5.3550017547E10</v>
      </c>
      <c r="D257" s="2" t="s">
        <v>28348</v>
      </c>
      <c r="E257" s="2">
        <v>31620.0</v>
      </c>
      <c r="F257" s="2">
        <v>817.0</v>
      </c>
      <c r="G257" s="2">
        <v>656.0</v>
      </c>
      <c r="H257" s="2" t="s">
        <v>5905</v>
      </c>
      <c r="I257" s="2" t="s">
        <v>5905</v>
      </c>
      <c r="J257" s="2" t="s">
        <v>7414</v>
      </c>
      <c r="K257" s="2" t="s">
        <v>28349</v>
      </c>
      <c r="L257" s="10" t="s">
        <v>28350</v>
      </c>
    </row>
    <row r="258">
      <c r="A258" s="2" t="s">
        <v>28351</v>
      </c>
      <c r="B258" s="2" t="s">
        <v>28352</v>
      </c>
      <c r="C258" s="2">
        <v>1.749740892E9</v>
      </c>
      <c r="D258" s="2" t="s">
        <v>28353</v>
      </c>
      <c r="E258" s="2">
        <v>15751.0</v>
      </c>
      <c r="F258" s="2">
        <v>751.0</v>
      </c>
      <c r="G258" s="2">
        <v>92.0</v>
      </c>
      <c r="H258" s="2" t="s">
        <v>5905</v>
      </c>
      <c r="I258" s="2" t="s">
        <v>5906</v>
      </c>
      <c r="J258" s="2" t="s">
        <v>7140</v>
      </c>
      <c r="K258" s="2" t="s">
        <v>28354</v>
      </c>
      <c r="L258" s="10" t="s">
        <v>28355</v>
      </c>
    </row>
    <row r="259">
      <c r="A259" s="2" t="s">
        <v>28356</v>
      </c>
      <c r="B259" s="2" t="s">
        <v>28357</v>
      </c>
      <c r="C259" s="2">
        <v>1.1290511588E10</v>
      </c>
      <c r="D259" s="2" t="s">
        <v>28358</v>
      </c>
      <c r="E259" s="2">
        <v>21127.0</v>
      </c>
      <c r="F259" s="2">
        <v>170.0</v>
      </c>
      <c r="G259" s="2">
        <v>3501.0</v>
      </c>
      <c r="H259" s="2" t="s">
        <v>5906</v>
      </c>
      <c r="I259" s="2" t="s">
        <v>5905</v>
      </c>
      <c r="J259" s="2" t="s">
        <v>12030</v>
      </c>
      <c r="K259" s="2" t="s">
        <v>28359</v>
      </c>
      <c r="L259" s="10" t="s">
        <v>28360</v>
      </c>
    </row>
    <row r="260">
      <c r="A260" s="2" t="s">
        <v>28361</v>
      </c>
      <c r="B260" s="10" t="s">
        <v>28362</v>
      </c>
      <c r="C260" s="2">
        <v>1.04534216E10</v>
      </c>
      <c r="D260" s="2" t="s">
        <v>28363</v>
      </c>
      <c r="E260" s="2">
        <v>45587.0</v>
      </c>
      <c r="F260" s="2">
        <v>2428.0</v>
      </c>
      <c r="G260" s="2">
        <v>819.0</v>
      </c>
      <c r="H260" s="2" t="s">
        <v>5906</v>
      </c>
      <c r="I260" s="2" t="s">
        <v>5905</v>
      </c>
      <c r="J260" s="2" t="s">
        <v>7414</v>
      </c>
      <c r="K260" s="2" t="s">
        <v>28364</v>
      </c>
      <c r="L260" s="10" t="s">
        <v>28365</v>
      </c>
    </row>
    <row r="261">
      <c r="A261" s="2" t="s">
        <v>28366</v>
      </c>
      <c r="B261" s="2" t="s">
        <v>28367</v>
      </c>
      <c r="C261" s="2">
        <v>1.601306183E9</v>
      </c>
      <c r="D261" s="2" t="s">
        <v>28368</v>
      </c>
      <c r="E261" s="2">
        <v>52461.0</v>
      </c>
      <c r="F261" s="2">
        <v>1033.0</v>
      </c>
      <c r="G261" s="2">
        <v>928.0</v>
      </c>
      <c r="H261" s="2" t="s">
        <v>5905</v>
      </c>
      <c r="I261" s="2" t="s">
        <v>5905</v>
      </c>
      <c r="K261" s="2" t="s">
        <v>28369</v>
      </c>
    </row>
    <row r="262">
      <c r="A262" s="2" t="s">
        <v>28370</v>
      </c>
      <c r="B262" s="2" t="s">
        <v>28371</v>
      </c>
      <c r="C262" s="2">
        <v>8.201464988E9</v>
      </c>
      <c r="D262" s="2" t="s">
        <v>28372</v>
      </c>
      <c r="E262" s="2">
        <v>10707.0</v>
      </c>
      <c r="F262" s="2">
        <v>1.0</v>
      </c>
      <c r="G262" s="2">
        <v>18.0</v>
      </c>
      <c r="H262" s="2" t="s">
        <v>5905</v>
      </c>
      <c r="I262" s="2" t="s">
        <v>5906</v>
      </c>
      <c r="J262" s="2" t="s">
        <v>4996</v>
      </c>
      <c r="K262" s="2" t="s">
        <v>28373</v>
      </c>
      <c r="L262" s="10" t="s">
        <v>28374</v>
      </c>
    </row>
    <row r="263">
      <c r="A263" s="2" t="s">
        <v>28370</v>
      </c>
      <c r="B263" s="2" t="s">
        <v>28375</v>
      </c>
      <c r="C263" s="2">
        <v>6.5335256918E10</v>
      </c>
      <c r="D263" s="2" t="s">
        <v>28376</v>
      </c>
      <c r="E263" s="2">
        <v>12806.0</v>
      </c>
      <c r="F263" s="2">
        <v>0.0</v>
      </c>
      <c r="G263" s="2">
        <v>12.0</v>
      </c>
      <c r="H263" s="2" t="s">
        <v>5905</v>
      </c>
      <c r="I263" s="2" t="s">
        <v>5906</v>
      </c>
      <c r="J263" s="2" t="s">
        <v>5963</v>
      </c>
      <c r="K263" s="2" t="s">
        <v>28377</v>
      </c>
      <c r="L263" s="10" t="s">
        <v>28378</v>
      </c>
    </row>
    <row r="264">
      <c r="A264" s="2" t="s">
        <v>28379</v>
      </c>
      <c r="B264" s="2" t="s">
        <v>28380</v>
      </c>
      <c r="C264" s="2">
        <v>9.704795923E9</v>
      </c>
      <c r="D264" s="2" t="s">
        <v>28381</v>
      </c>
      <c r="E264" s="2">
        <v>19503.0</v>
      </c>
      <c r="F264" s="2">
        <v>89.0</v>
      </c>
      <c r="G264" s="2">
        <v>330.0</v>
      </c>
      <c r="H264" s="2" t="s">
        <v>5905</v>
      </c>
      <c r="I264" s="2" t="s">
        <v>5906</v>
      </c>
      <c r="J264" s="2" t="s">
        <v>6002</v>
      </c>
      <c r="K264" s="2" t="s">
        <v>28382</v>
      </c>
      <c r="L264" s="10" t="s">
        <v>28383</v>
      </c>
    </row>
    <row r="265">
      <c r="A265" s="2" t="s">
        <v>28379</v>
      </c>
      <c r="B265" s="2" t="s">
        <v>28384</v>
      </c>
      <c r="C265" s="2">
        <v>1.829083323E9</v>
      </c>
      <c r="D265" s="2" t="s">
        <v>28385</v>
      </c>
      <c r="E265" s="2">
        <v>20737.0</v>
      </c>
      <c r="F265" s="2">
        <v>1301.0</v>
      </c>
      <c r="G265" s="2">
        <v>1844.0</v>
      </c>
      <c r="H265" s="2" t="s">
        <v>5905</v>
      </c>
      <c r="I265" s="2" t="s">
        <v>5906</v>
      </c>
      <c r="J265" s="2" t="s">
        <v>4996</v>
      </c>
      <c r="K265" s="2" t="s">
        <v>28386</v>
      </c>
    </row>
    <row r="266">
      <c r="A266" s="2" t="s">
        <v>28387</v>
      </c>
      <c r="B266" s="2" t="s">
        <v>28388</v>
      </c>
      <c r="C266" s="2">
        <v>6.9644848E8</v>
      </c>
      <c r="D266" s="2" t="s">
        <v>28389</v>
      </c>
      <c r="E266" s="2">
        <v>377053.0</v>
      </c>
      <c r="F266" s="2">
        <v>1432.0</v>
      </c>
      <c r="G266" s="2">
        <v>2519.0</v>
      </c>
      <c r="H266" s="2" t="s">
        <v>5905</v>
      </c>
      <c r="I266" s="2" t="s">
        <v>5906</v>
      </c>
      <c r="J266" s="2" t="s">
        <v>6002</v>
      </c>
      <c r="K266" s="2" t="s">
        <v>28390</v>
      </c>
    </row>
    <row r="267">
      <c r="A267" s="2" t="s">
        <v>28387</v>
      </c>
      <c r="B267" s="2" t="s">
        <v>28391</v>
      </c>
      <c r="C267" s="2">
        <v>2.902525432E9</v>
      </c>
      <c r="D267" s="2" t="s">
        <v>28392</v>
      </c>
      <c r="E267" s="2">
        <v>913442.0</v>
      </c>
      <c r="F267" s="2">
        <v>344.0</v>
      </c>
      <c r="G267" s="2">
        <v>25172.0</v>
      </c>
      <c r="H267" s="2" t="s">
        <v>5905</v>
      </c>
      <c r="I267" s="2" t="s">
        <v>5905</v>
      </c>
      <c r="J267" s="2" t="s">
        <v>5492</v>
      </c>
      <c r="K267" s="2" t="s">
        <v>28393</v>
      </c>
    </row>
    <row r="268">
      <c r="A268" s="2" t="s">
        <v>28394</v>
      </c>
      <c r="B268" s="2" t="s">
        <v>28395</v>
      </c>
      <c r="C268" s="2">
        <v>6.747362085E9</v>
      </c>
      <c r="D268" s="2" t="s">
        <v>28396</v>
      </c>
      <c r="E268" s="2">
        <v>127634.0</v>
      </c>
      <c r="F268" s="2">
        <v>630.0</v>
      </c>
      <c r="G268" s="2">
        <v>1885.0</v>
      </c>
      <c r="H268" s="2" t="s">
        <v>5905</v>
      </c>
      <c r="I268" s="2" t="s">
        <v>5905</v>
      </c>
      <c r="J268" s="2" t="s">
        <v>5561</v>
      </c>
      <c r="K268" s="2" t="s">
        <v>28397</v>
      </c>
    </row>
    <row r="269">
      <c r="A269" s="2" t="s">
        <v>28394</v>
      </c>
      <c r="B269" s="2" t="s">
        <v>16858</v>
      </c>
      <c r="C269" s="2">
        <v>2.038106247E9</v>
      </c>
      <c r="D269" s="2" t="s">
        <v>16858</v>
      </c>
      <c r="E269" s="2">
        <v>1346347.0</v>
      </c>
      <c r="F269" s="2">
        <v>432.0</v>
      </c>
      <c r="G269" s="2">
        <v>19029.0</v>
      </c>
      <c r="H269" s="2" t="s">
        <v>5905</v>
      </c>
      <c r="I269" s="2" t="s">
        <v>5906</v>
      </c>
      <c r="J269" s="2" t="s">
        <v>5492</v>
      </c>
      <c r="K269" s="2" t="s">
        <v>16859</v>
      </c>
    </row>
    <row r="270">
      <c r="A270" s="2" t="s">
        <v>28398</v>
      </c>
      <c r="B270" s="2" t="s">
        <v>28399</v>
      </c>
      <c r="C270" s="2">
        <v>6.531666244E9</v>
      </c>
      <c r="D270" s="2" t="s">
        <v>28400</v>
      </c>
      <c r="E270" s="2">
        <v>17740.0</v>
      </c>
      <c r="F270" s="2">
        <v>5886.0</v>
      </c>
      <c r="G270" s="2">
        <v>288.0</v>
      </c>
      <c r="H270" s="2" t="s">
        <v>5905</v>
      </c>
      <c r="I270" s="2" t="s">
        <v>5906</v>
      </c>
      <c r="K270" s="2" t="s">
        <v>28400</v>
      </c>
    </row>
    <row r="271">
      <c r="A271" s="2" t="s">
        <v>28401</v>
      </c>
      <c r="B271" s="10" t="s">
        <v>28402</v>
      </c>
      <c r="C271" s="2">
        <v>5.8051749693E10</v>
      </c>
      <c r="D271" s="2" t="s">
        <v>28403</v>
      </c>
      <c r="E271" s="2">
        <v>41446.0</v>
      </c>
      <c r="F271" s="2">
        <v>7119.0</v>
      </c>
      <c r="G271" s="2">
        <v>230.0</v>
      </c>
      <c r="H271" s="2" t="s">
        <v>5905</v>
      </c>
      <c r="I271" s="2" t="s">
        <v>5906</v>
      </c>
      <c r="J271" s="2" t="s">
        <v>5391</v>
      </c>
      <c r="K271" s="2" t="s">
        <v>28404</v>
      </c>
      <c r="L271" s="10" t="s">
        <v>28405</v>
      </c>
    </row>
    <row r="272">
      <c r="A272" s="2" t="s">
        <v>28406</v>
      </c>
      <c r="B272" s="2" t="s">
        <v>28407</v>
      </c>
      <c r="C272" s="2">
        <v>4.9586267612E10</v>
      </c>
      <c r="D272" s="2" t="s">
        <v>28408</v>
      </c>
      <c r="E272" s="2">
        <v>10836.0</v>
      </c>
      <c r="F272" s="2">
        <v>663.0</v>
      </c>
      <c r="G272" s="2">
        <v>67.0</v>
      </c>
      <c r="H272" s="2" t="s">
        <v>5906</v>
      </c>
      <c r="I272" s="2" t="s">
        <v>5906</v>
      </c>
      <c r="J272" s="2" t="s">
        <v>5391</v>
      </c>
      <c r="K272" s="2" t="s">
        <v>28409</v>
      </c>
      <c r="L272" s="10" t="s">
        <v>28410</v>
      </c>
    </row>
    <row r="273">
      <c r="A273" s="2" t="s">
        <v>28411</v>
      </c>
      <c r="B273" s="2" t="s">
        <v>28412</v>
      </c>
      <c r="C273" s="2">
        <v>3.5536858766E10</v>
      </c>
      <c r="D273" s="2" t="s">
        <v>28413</v>
      </c>
      <c r="E273" s="2">
        <v>11047.0</v>
      </c>
      <c r="F273" s="2">
        <v>1107.0</v>
      </c>
      <c r="G273" s="2">
        <v>178.0</v>
      </c>
      <c r="H273" s="2" t="s">
        <v>5905</v>
      </c>
      <c r="I273" s="2" t="s">
        <v>5906</v>
      </c>
      <c r="J273" s="2" t="s">
        <v>7482</v>
      </c>
      <c r="K273" s="2" t="s">
        <v>28414</v>
      </c>
      <c r="L273" s="10" t="s">
        <v>28415</v>
      </c>
    </row>
    <row r="274">
      <c r="A274" s="2" t="s">
        <v>28411</v>
      </c>
      <c r="B274" s="2" t="s">
        <v>28416</v>
      </c>
      <c r="C274" s="2">
        <v>1.50604649E9</v>
      </c>
      <c r="D274" s="2" t="s">
        <v>28417</v>
      </c>
      <c r="E274" s="2">
        <v>37244.0</v>
      </c>
      <c r="F274" s="2">
        <v>2384.0</v>
      </c>
      <c r="G274" s="2">
        <v>3271.0</v>
      </c>
      <c r="H274" s="2" t="s">
        <v>5906</v>
      </c>
      <c r="I274" s="2" t="s">
        <v>5906</v>
      </c>
      <c r="J274" s="2" t="s">
        <v>9945</v>
      </c>
      <c r="K274" s="2" t="s">
        <v>28418</v>
      </c>
      <c r="L274" s="10" t="s">
        <v>28419</v>
      </c>
    </row>
    <row r="275">
      <c r="A275" s="2" t="s">
        <v>28411</v>
      </c>
      <c r="B275" s="2" t="s">
        <v>27537</v>
      </c>
      <c r="C275" s="2">
        <v>1.4476233842E10</v>
      </c>
      <c r="D275" s="2" t="s">
        <v>27538</v>
      </c>
      <c r="E275" s="2">
        <v>26468.0</v>
      </c>
      <c r="F275" s="2">
        <v>4055.0</v>
      </c>
      <c r="G275" s="2">
        <v>144.0</v>
      </c>
      <c r="H275" s="2" t="s">
        <v>5905</v>
      </c>
      <c r="I275" s="2" t="s">
        <v>5906</v>
      </c>
      <c r="J275" s="2" t="s">
        <v>5963</v>
      </c>
      <c r="K275" s="2" t="s">
        <v>27539</v>
      </c>
    </row>
    <row r="276">
      <c r="A276" s="2" t="s">
        <v>28420</v>
      </c>
      <c r="B276" s="2" t="s">
        <v>28421</v>
      </c>
      <c r="C276" s="2">
        <v>1.095311725E9</v>
      </c>
      <c r="D276" s="2" t="s">
        <v>28422</v>
      </c>
      <c r="E276" s="2">
        <v>11237.0</v>
      </c>
      <c r="F276" s="2">
        <v>212.0</v>
      </c>
      <c r="G276" s="2">
        <v>1260.0</v>
      </c>
      <c r="H276" s="2" t="s">
        <v>5906</v>
      </c>
      <c r="I276" s="2" t="s">
        <v>5906</v>
      </c>
      <c r="J276" s="2" t="s">
        <v>5993</v>
      </c>
      <c r="K276" s="2" t="s">
        <v>28423</v>
      </c>
      <c r="L276" s="10" t="s">
        <v>28424</v>
      </c>
    </row>
    <row r="277">
      <c r="A277" s="2" t="s">
        <v>28420</v>
      </c>
      <c r="B277" s="2" t="s">
        <v>28425</v>
      </c>
      <c r="C277" s="2">
        <v>3.026082515E9</v>
      </c>
      <c r="D277" s="2" t="s">
        <v>28426</v>
      </c>
      <c r="E277" s="2">
        <v>53092.0</v>
      </c>
      <c r="F277" s="2">
        <v>1782.0</v>
      </c>
      <c r="G277" s="2">
        <v>2442.0</v>
      </c>
      <c r="H277" s="2" t="s">
        <v>5906</v>
      </c>
      <c r="I277" s="2" t="s">
        <v>5905</v>
      </c>
      <c r="J277" s="2" t="s">
        <v>5963</v>
      </c>
      <c r="K277" s="2" t="s">
        <v>28427</v>
      </c>
      <c r="L277" s="10" t="s">
        <v>28428</v>
      </c>
    </row>
    <row r="278">
      <c r="A278" s="2" t="s">
        <v>28429</v>
      </c>
      <c r="B278" s="10" t="s">
        <v>28430</v>
      </c>
      <c r="C278" s="2">
        <v>1.36219464E9</v>
      </c>
      <c r="D278" s="2" t="s">
        <v>28431</v>
      </c>
      <c r="E278" s="2">
        <v>25065.0</v>
      </c>
      <c r="F278" s="2">
        <v>673.0</v>
      </c>
      <c r="G278" s="2">
        <v>3315.0</v>
      </c>
      <c r="H278" s="2" t="s">
        <v>5905</v>
      </c>
      <c r="I278" s="2" t="s">
        <v>5906</v>
      </c>
      <c r="J278" s="2" t="s">
        <v>5391</v>
      </c>
      <c r="K278" s="2" t="s">
        <v>28432</v>
      </c>
    </row>
    <row r="279">
      <c r="A279" s="2" t="s">
        <v>28429</v>
      </c>
      <c r="B279" s="2" t="s">
        <v>28433</v>
      </c>
      <c r="C279" s="2">
        <v>1.27794421E9</v>
      </c>
      <c r="D279" s="2" t="s">
        <v>28434</v>
      </c>
      <c r="E279" s="2">
        <v>22665.0</v>
      </c>
      <c r="F279" s="2">
        <v>1283.0</v>
      </c>
      <c r="G279" s="2">
        <v>2223.0</v>
      </c>
      <c r="H279" s="2" t="s">
        <v>5905</v>
      </c>
      <c r="I279" s="2" t="s">
        <v>5906</v>
      </c>
      <c r="J279" s="2" t="s">
        <v>11389</v>
      </c>
      <c r="K279" s="2" t="s">
        <v>28435</v>
      </c>
    </row>
    <row r="280">
      <c r="A280" s="2" t="s">
        <v>28436</v>
      </c>
      <c r="B280" s="2" t="s">
        <v>28437</v>
      </c>
      <c r="C280" s="2">
        <v>4.2047575779E10</v>
      </c>
      <c r="D280" s="2" t="s">
        <v>28438</v>
      </c>
      <c r="E280" s="2">
        <v>19800.0</v>
      </c>
      <c r="F280" s="2">
        <v>1105.0</v>
      </c>
      <c r="G280" s="2">
        <v>1688.0</v>
      </c>
      <c r="H280" s="2" t="s">
        <v>5905</v>
      </c>
      <c r="I280" s="2" t="s">
        <v>5906</v>
      </c>
      <c r="J280" s="2" t="s">
        <v>5391</v>
      </c>
      <c r="K280" s="2" t="s">
        <v>28439</v>
      </c>
      <c r="L280" s="10" t="s">
        <v>28440</v>
      </c>
    </row>
    <row r="281">
      <c r="A281" s="2" t="s">
        <v>28441</v>
      </c>
      <c r="B281" s="2" t="s">
        <v>28442</v>
      </c>
      <c r="C281" s="2">
        <v>8.555606083E9</v>
      </c>
      <c r="D281" s="2" t="s">
        <v>28443</v>
      </c>
      <c r="E281" s="2">
        <v>11712.0</v>
      </c>
      <c r="F281" s="2">
        <v>61.0</v>
      </c>
      <c r="G281" s="2">
        <v>0.0</v>
      </c>
      <c r="H281" s="2" t="s">
        <v>5905</v>
      </c>
      <c r="I281" s="2" t="s">
        <v>5906</v>
      </c>
      <c r="J281" s="2" t="s">
        <v>17753</v>
      </c>
    </row>
    <row r="282">
      <c r="A282" s="2" t="s">
        <v>28444</v>
      </c>
      <c r="B282" s="2" t="s">
        <v>28445</v>
      </c>
      <c r="C282" s="2">
        <v>4.8320543306E10</v>
      </c>
      <c r="D282" s="2" t="s">
        <v>28446</v>
      </c>
      <c r="E282" s="2">
        <v>38395.0</v>
      </c>
      <c r="F282" s="2">
        <v>7.0</v>
      </c>
      <c r="G282" s="2">
        <v>78.0</v>
      </c>
      <c r="H282" s="2" t="s">
        <v>5905</v>
      </c>
      <c r="I282" s="2" t="s">
        <v>5905</v>
      </c>
      <c r="J282" s="2" t="s">
        <v>7809</v>
      </c>
      <c r="K282" s="2" t="s">
        <v>28447</v>
      </c>
    </row>
    <row r="283">
      <c r="A283" s="2" t="s">
        <v>28448</v>
      </c>
      <c r="B283" s="2" t="s">
        <v>28449</v>
      </c>
      <c r="C283" s="2">
        <v>1.167083777E9</v>
      </c>
      <c r="D283" s="2" t="s">
        <v>28450</v>
      </c>
      <c r="E283" s="2">
        <v>11522.0</v>
      </c>
      <c r="F283" s="2">
        <v>831.0</v>
      </c>
      <c r="G283" s="2">
        <v>933.0</v>
      </c>
      <c r="H283" s="2" t="s">
        <v>5905</v>
      </c>
      <c r="I283" s="2" t="s">
        <v>5905</v>
      </c>
      <c r="J283" s="2" t="s">
        <v>14778</v>
      </c>
      <c r="K283" s="2" t="s">
        <v>28451</v>
      </c>
      <c r="L283" s="10" t="s">
        <v>28452</v>
      </c>
    </row>
    <row r="284">
      <c r="A284" s="2" t="s">
        <v>28453</v>
      </c>
      <c r="B284" s="2" t="s">
        <v>28454</v>
      </c>
      <c r="C284" s="2">
        <v>4.529062693E10</v>
      </c>
      <c r="D284" s="2" t="s">
        <v>28455</v>
      </c>
      <c r="E284" s="2">
        <v>11587.0</v>
      </c>
      <c r="F284" s="2">
        <v>52.0</v>
      </c>
      <c r="G284" s="2">
        <v>18.0</v>
      </c>
      <c r="H284" s="2" t="s">
        <v>5905</v>
      </c>
      <c r="I284" s="2" t="s">
        <v>5905</v>
      </c>
      <c r="J284" s="2" t="s">
        <v>13199</v>
      </c>
      <c r="L284" s="10" t="s">
        <v>28456</v>
      </c>
    </row>
    <row r="285">
      <c r="A285" s="2" t="s">
        <v>28457</v>
      </c>
      <c r="B285" s="2" t="s">
        <v>28458</v>
      </c>
      <c r="C285" s="2">
        <v>1.525390214E9</v>
      </c>
      <c r="D285" s="2" t="s">
        <v>28459</v>
      </c>
      <c r="E285" s="2">
        <v>21607.0</v>
      </c>
      <c r="F285" s="2">
        <v>596.0</v>
      </c>
      <c r="G285" s="2">
        <v>664.0</v>
      </c>
      <c r="H285" s="2" t="s">
        <v>5905</v>
      </c>
      <c r="I285" s="2" t="s">
        <v>5905</v>
      </c>
      <c r="J285" s="2" t="s">
        <v>5391</v>
      </c>
      <c r="K285" s="2" t="s">
        <v>28460</v>
      </c>
      <c r="L285" s="10" t="s">
        <v>28461</v>
      </c>
    </row>
    <row r="286">
      <c r="A286" s="2" t="s">
        <v>28462</v>
      </c>
      <c r="B286" s="2" t="s">
        <v>28463</v>
      </c>
      <c r="C286" s="2">
        <v>6.1374808882E10</v>
      </c>
      <c r="D286" s="2" t="s">
        <v>28464</v>
      </c>
      <c r="E286" s="2">
        <v>10780.0</v>
      </c>
      <c r="F286" s="2">
        <v>195.0</v>
      </c>
      <c r="G286" s="2">
        <v>330.0</v>
      </c>
      <c r="H286" s="2" t="s">
        <v>5906</v>
      </c>
      <c r="I286" s="2" t="s">
        <v>5905</v>
      </c>
      <c r="J286" s="2" t="s">
        <v>5993</v>
      </c>
      <c r="K286" s="2" t="s">
        <v>28465</v>
      </c>
      <c r="L286" s="10" t="s">
        <v>28466</v>
      </c>
    </row>
    <row r="287">
      <c r="A287" s="2" t="s">
        <v>28462</v>
      </c>
      <c r="B287" s="2" t="s">
        <v>28467</v>
      </c>
      <c r="C287" s="2">
        <v>7885047.0</v>
      </c>
      <c r="D287" s="2" t="s">
        <v>28468</v>
      </c>
      <c r="E287" s="2">
        <v>18467.0</v>
      </c>
      <c r="F287" s="2">
        <v>546.0</v>
      </c>
      <c r="G287" s="2">
        <v>565.0</v>
      </c>
      <c r="H287" s="2" t="s">
        <v>5905</v>
      </c>
      <c r="I287" s="2" t="s">
        <v>5905</v>
      </c>
      <c r="J287" s="2" t="s">
        <v>6393</v>
      </c>
      <c r="K287" s="2" t="s">
        <v>28469</v>
      </c>
      <c r="L287" s="10" t="s">
        <v>28470</v>
      </c>
    </row>
    <row r="288">
      <c r="A288" s="2" t="s">
        <v>28471</v>
      </c>
      <c r="B288" s="2" t="s">
        <v>28472</v>
      </c>
      <c r="C288" s="2">
        <v>3.3264097032E10</v>
      </c>
      <c r="D288" s="2" t="s">
        <v>28473</v>
      </c>
      <c r="E288" s="2">
        <v>18525.0</v>
      </c>
      <c r="F288" s="2">
        <v>1495.0</v>
      </c>
      <c r="G288" s="2">
        <v>1626.0</v>
      </c>
      <c r="H288" s="2" t="s">
        <v>5905</v>
      </c>
      <c r="I288" s="2" t="s">
        <v>5906</v>
      </c>
      <c r="J288" s="2" t="s">
        <v>24524</v>
      </c>
      <c r="K288" s="2" t="s">
        <v>28474</v>
      </c>
      <c r="L288" s="10" t="s">
        <v>28475</v>
      </c>
    </row>
    <row r="289">
      <c r="A289" s="2" t="s">
        <v>28471</v>
      </c>
      <c r="B289" s="2" t="s">
        <v>28476</v>
      </c>
      <c r="C289" s="2">
        <v>1.1457868532E10</v>
      </c>
      <c r="D289" s="2" t="s">
        <v>28477</v>
      </c>
      <c r="E289" s="2">
        <v>10442.0</v>
      </c>
      <c r="F289" s="2">
        <v>1859.0</v>
      </c>
      <c r="G289" s="2">
        <v>430.0</v>
      </c>
      <c r="H289" s="2" t="s">
        <v>5905</v>
      </c>
      <c r="I289" s="2" t="s">
        <v>5905</v>
      </c>
      <c r="J289" s="2" t="s">
        <v>11797</v>
      </c>
      <c r="K289" s="2" t="s">
        <v>28478</v>
      </c>
      <c r="L289" s="10" t="s">
        <v>28479</v>
      </c>
    </row>
    <row r="290">
      <c r="A290" s="2" t="s">
        <v>28480</v>
      </c>
      <c r="B290" s="2" t="s">
        <v>28481</v>
      </c>
      <c r="C290" s="2">
        <v>2.190219488E10</v>
      </c>
      <c r="D290" s="2" t="s">
        <v>28482</v>
      </c>
      <c r="E290" s="2">
        <v>12045.0</v>
      </c>
      <c r="F290" s="2">
        <v>2393.0</v>
      </c>
      <c r="G290" s="2">
        <v>1629.0</v>
      </c>
      <c r="H290" s="2" t="s">
        <v>5905</v>
      </c>
      <c r="I290" s="2" t="s">
        <v>5906</v>
      </c>
      <c r="J290" s="2" t="s">
        <v>11797</v>
      </c>
      <c r="K290" s="2" t="s">
        <v>28483</v>
      </c>
      <c r="L290" s="10" t="s">
        <v>28484</v>
      </c>
    </row>
    <row r="291">
      <c r="A291" s="2" t="s">
        <v>28480</v>
      </c>
      <c r="B291" s="2" t="s">
        <v>28485</v>
      </c>
      <c r="C291" s="2">
        <v>4.8869036525E10</v>
      </c>
      <c r="D291" s="2" t="s">
        <v>28486</v>
      </c>
      <c r="E291" s="2">
        <v>13884.0</v>
      </c>
      <c r="F291" s="2">
        <v>170.0</v>
      </c>
      <c r="G291" s="2">
        <v>838.0</v>
      </c>
      <c r="H291" s="2" t="s">
        <v>5905</v>
      </c>
      <c r="I291" s="2" t="s">
        <v>5905</v>
      </c>
      <c r="J291" s="2" t="s">
        <v>5391</v>
      </c>
      <c r="K291" s="2" t="s">
        <v>28487</v>
      </c>
      <c r="L291" s="10" t="s">
        <v>28488</v>
      </c>
    </row>
    <row r="292">
      <c r="A292" s="2" t="s">
        <v>28489</v>
      </c>
      <c r="B292" s="2" t="s">
        <v>28490</v>
      </c>
      <c r="C292" s="2">
        <v>8.29383551E8</v>
      </c>
      <c r="D292" s="2" t="s">
        <v>28491</v>
      </c>
      <c r="E292" s="2">
        <v>91435.0</v>
      </c>
      <c r="F292" s="2">
        <v>3481.0</v>
      </c>
      <c r="G292" s="2">
        <v>835.0</v>
      </c>
      <c r="H292" s="2" t="s">
        <v>5906</v>
      </c>
      <c r="I292" s="2" t="s">
        <v>5906</v>
      </c>
      <c r="J292" s="2" t="s">
        <v>7940</v>
      </c>
      <c r="K292" s="2" t="s">
        <v>28492</v>
      </c>
      <c r="L292" s="10" t="s">
        <v>28493</v>
      </c>
    </row>
    <row r="293">
      <c r="A293" s="2" t="s">
        <v>28489</v>
      </c>
      <c r="B293" s="2" t="s">
        <v>28494</v>
      </c>
      <c r="C293" s="2">
        <v>1.505181648E9</v>
      </c>
      <c r="D293" s="2" t="s">
        <v>28495</v>
      </c>
      <c r="E293" s="2">
        <v>10870.0</v>
      </c>
      <c r="F293" s="2">
        <v>340.0</v>
      </c>
      <c r="G293" s="2">
        <v>1172.0</v>
      </c>
      <c r="H293" s="2" t="s">
        <v>5905</v>
      </c>
      <c r="I293" s="2" t="s">
        <v>5906</v>
      </c>
      <c r="J293" s="2" t="s">
        <v>5963</v>
      </c>
      <c r="K293" s="2" t="s">
        <v>28496</v>
      </c>
      <c r="L293" s="10" t="s">
        <v>28497</v>
      </c>
    </row>
    <row r="294">
      <c r="A294" s="2" t="s">
        <v>28498</v>
      </c>
      <c r="B294" s="2" t="s">
        <v>28189</v>
      </c>
      <c r="C294" s="2">
        <v>1.0024247432E10</v>
      </c>
      <c r="D294" s="2" t="s">
        <v>28190</v>
      </c>
      <c r="E294" s="2">
        <v>12971.0</v>
      </c>
      <c r="F294" s="2">
        <v>1514.0</v>
      </c>
      <c r="G294" s="2">
        <v>202.0</v>
      </c>
      <c r="H294" s="2" t="s">
        <v>5905</v>
      </c>
      <c r="I294" s="2" t="s">
        <v>5906</v>
      </c>
      <c r="J294" s="2" t="s">
        <v>7414</v>
      </c>
      <c r="K294" s="2" t="s">
        <v>28191</v>
      </c>
      <c r="L294" s="10" t="s">
        <v>28192</v>
      </c>
    </row>
    <row r="295">
      <c r="A295" s="2" t="s">
        <v>28499</v>
      </c>
      <c r="B295" s="2" t="s">
        <v>28500</v>
      </c>
      <c r="C295" s="2">
        <v>4.5196451465E10</v>
      </c>
      <c r="D295" s="2" t="s">
        <v>28501</v>
      </c>
      <c r="E295" s="2">
        <v>20381.0</v>
      </c>
      <c r="F295" s="2">
        <v>3081.0</v>
      </c>
      <c r="G295" s="2">
        <v>942.0</v>
      </c>
      <c r="H295" s="2" t="s">
        <v>5905</v>
      </c>
      <c r="I295" s="2" t="s">
        <v>5905</v>
      </c>
      <c r="J295" s="2" t="s">
        <v>6393</v>
      </c>
      <c r="K295" s="2" t="s">
        <v>28502</v>
      </c>
      <c r="L295" s="10" t="s">
        <v>28503</v>
      </c>
    </row>
    <row r="296">
      <c r="A296" s="2" t="s">
        <v>28504</v>
      </c>
      <c r="B296" s="2" t="s">
        <v>28505</v>
      </c>
      <c r="C296" s="2">
        <v>2.092138233E9</v>
      </c>
      <c r="D296" s="2" t="s">
        <v>28506</v>
      </c>
      <c r="E296" s="2">
        <v>64305.0</v>
      </c>
      <c r="F296" s="2">
        <v>1469.0</v>
      </c>
      <c r="G296" s="2">
        <v>440.0</v>
      </c>
      <c r="H296" s="2" t="s">
        <v>5905</v>
      </c>
      <c r="I296" s="2" t="s">
        <v>5905</v>
      </c>
      <c r="J296" s="2" t="s">
        <v>5391</v>
      </c>
      <c r="K296" s="2" t="s">
        <v>28507</v>
      </c>
    </row>
    <row r="297">
      <c r="A297" s="2" t="s">
        <v>28508</v>
      </c>
      <c r="B297" s="2" t="s">
        <v>28509</v>
      </c>
      <c r="C297" s="2">
        <v>5.700113448E9</v>
      </c>
      <c r="D297" s="2" t="s">
        <v>28510</v>
      </c>
      <c r="E297" s="2">
        <v>41707.0</v>
      </c>
      <c r="F297" s="2">
        <v>1208.0</v>
      </c>
      <c r="G297" s="2">
        <v>611.0</v>
      </c>
      <c r="H297" s="2" t="s">
        <v>5906</v>
      </c>
      <c r="I297" s="2" t="s">
        <v>5906</v>
      </c>
      <c r="J297" s="2" t="s">
        <v>7669</v>
      </c>
      <c r="K297" s="2" t="s">
        <v>28511</v>
      </c>
      <c r="L297" s="10" t="s">
        <v>28512</v>
      </c>
    </row>
    <row r="298">
      <c r="A298" s="2" t="s">
        <v>28513</v>
      </c>
      <c r="B298" s="2" t="s">
        <v>28514</v>
      </c>
      <c r="C298" s="2">
        <v>5.41023304E8</v>
      </c>
      <c r="D298" s="2" t="s">
        <v>28515</v>
      </c>
      <c r="E298" s="2">
        <v>86164.0</v>
      </c>
      <c r="F298" s="2">
        <v>1708.0</v>
      </c>
      <c r="G298" s="2">
        <v>4734.0</v>
      </c>
      <c r="H298" s="2" t="s">
        <v>5906</v>
      </c>
      <c r="I298" s="2" t="s">
        <v>5906</v>
      </c>
      <c r="K298" s="2" t="s">
        <v>28516</v>
      </c>
      <c r="L298" s="10" t="s">
        <v>28517</v>
      </c>
    </row>
    <row r="299">
      <c r="A299" s="2" t="s">
        <v>28513</v>
      </c>
      <c r="B299" s="2" t="s">
        <v>28518</v>
      </c>
      <c r="C299" s="2">
        <v>4.6055892613E10</v>
      </c>
      <c r="D299" s="2" t="s">
        <v>28519</v>
      </c>
      <c r="E299" s="2">
        <v>10368.0</v>
      </c>
      <c r="F299" s="2">
        <v>0.0</v>
      </c>
      <c r="G299" s="2">
        <v>213.0</v>
      </c>
      <c r="H299" s="2" t="s">
        <v>5905</v>
      </c>
      <c r="I299" s="2" t="s">
        <v>5905</v>
      </c>
      <c r="K299" s="2" t="s">
        <v>28520</v>
      </c>
    </row>
    <row r="300">
      <c r="A300" s="2" t="s">
        <v>28521</v>
      </c>
      <c r="B300" s="2" t="s">
        <v>28522</v>
      </c>
      <c r="C300" s="2">
        <v>1.5962455302E10</v>
      </c>
      <c r="E300" s="2">
        <v>10683.0</v>
      </c>
      <c r="F300" s="2">
        <v>1956.0</v>
      </c>
      <c r="G300" s="2">
        <v>1043.0</v>
      </c>
      <c r="H300" s="2" t="s">
        <v>5905</v>
      </c>
      <c r="I300" s="2" t="s">
        <v>5905</v>
      </c>
      <c r="J300" s="2" t="s">
        <v>6166</v>
      </c>
      <c r="K300" s="2" t="s">
        <v>28523</v>
      </c>
    </row>
    <row r="301">
      <c r="A301" s="2" t="s">
        <v>28524</v>
      </c>
      <c r="B301" s="2" t="s">
        <v>28525</v>
      </c>
      <c r="C301" s="2">
        <v>3.26120769E8</v>
      </c>
      <c r="D301" s="2" t="s">
        <v>28526</v>
      </c>
      <c r="E301" s="2">
        <v>15844.0</v>
      </c>
      <c r="F301" s="2">
        <v>3439.0</v>
      </c>
      <c r="G301" s="2">
        <v>1198.0</v>
      </c>
      <c r="H301" s="2" t="s">
        <v>5905</v>
      </c>
      <c r="I301" s="2" t="s">
        <v>5906</v>
      </c>
      <c r="J301" s="2" t="s">
        <v>7414</v>
      </c>
      <c r="K301" s="2" t="s">
        <v>28527</v>
      </c>
      <c r="L301" s="10" t="s">
        <v>28528</v>
      </c>
    </row>
    <row r="302">
      <c r="A302" s="2" t="s">
        <v>28529</v>
      </c>
      <c r="B302" s="2" t="s">
        <v>28530</v>
      </c>
      <c r="C302" s="2">
        <v>2.1432420132E10</v>
      </c>
      <c r="D302" s="2" t="s">
        <v>28531</v>
      </c>
      <c r="E302" s="2">
        <v>21734.0</v>
      </c>
      <c r="F302" s="2">
        <v>1211.0</v>
      </c>
      <c r="G302" s="2">
        <v>404.0</v>
      </c>
      <c r="H302" s="2" t="s">
        <v>5905</v>
      </c>
      <c r="I302" s="2" t="s">
        <v>5906</v>
      </c>
      <c r="K302" s="2" t="s">
        <v>28532</v>
      </c>
      <c r="L302" s="10" t="s">
        <v>28533</v>
      </c>
    </row>
    <row r="303">
      <c r="A303" s="2" t="s">
        <v>28534</v>
      </c>
      <c r="B303" s="2" t="s">
        <v>28535</v>
      </c>
      <c r="C303" s="2">
        <v>3.77462761E8</v>
      </c>
      <c r="D303" s="2" t="s">
        <v>28536</v>
      </c>
      <c r="E303" s="2">
        <v>26166.0</v>
      </c>
      <c r="F303" s="2">
        <v>2607.0</v>
      </c>
      <c r="G303" s="2">
        <v>739.0</v>
      </c>
      <c r="H303" s="2" t="s">
        <v>5906</v>
      </c>
      <c r="I303" s="2" t="s">
        <v>5906</v>
      </c>
      <c r="J303" s="2" t="s">
        <v>5928</v>
      </c>
      <c r="K303" s="2" t="s">
        <v>28537</v>
      </c>
      <c r="L303" s="10" t="s">
        <v>28538</v>
      </c>
    </row>
    <row r="304">
      <c r="A304" s="2" t="s">
        <v>28539</v>
      </c>
      <c r="B304" s="2" t="s">
        <v>28540</v>
      </c>
      <c r="C304" s="2">
        <v>9.20325664E9</v>
      </c>
      <c r="D304" s="2" t="s">
        <v>28541</v>
      </c>
      <c r="E304" s="2">
        <v>11834.0</v>
      </c>
      <c r="F304" s="2">
        <v>7205.0</v>
      </c>
      <c r="G304" s="2">
        <v>104.0</v>
      </c>
      <c r="H304" s="2" t="s">
        <v>5905</v>
      </c>
      <c r="I304" s="2" t="s">
        <v>5905</v>
      </c>
      <c r="J304" s="2" t="s">
        <v>5391</v>
      </c>
      <c r="K304" s="2" t="s">
        <v>28542</v>
      </c>
      <c r="L304" s="10" t="s">
        <v>28543</v>
      </c>
    </row>
    <row r="305">
      <c r="A305" s="2" t="s">
        <v>28544</v>
      </c>
      <c r="B305" s="2" t="s">
        <v>28545</v>
      </c>
      <c r="C305" s="2">
        <v>4.32893667E8</v>
      </c>
      <c r="D305" s="2" t="s">
        <v>28546</v>
      </c>
      <c r="E305" s="2">
        <v>43954.0</v>
      </c>
      <c r="F305" s="2">
        <v>549.0</v>
      </c>
      <c r="G305" s="2">
        <v>632.0</v>
      </c>
      <c r="H305" s="2" t="s">
        <v>5905</v>
      </c>
      <c r="I305" s="2" t="s">
        <v>5906</v>
      </c>
      <c r="J305" s="2" t="s">
        <v>7414</v>
      </c>
      <c r="K305" s="2" t="s">
        <v>28547</v>
      </c>
      <c r="L305" s="10" t="s">
        <v>28548</v>
      </c>
    </row>
    <row r="306">
      <c r="A306" s="2" t="s">
        <v>28549</v>
      </c>
      <c r="B306" s="2" t="s">
        <v>28550</v>
      </c>
      <c r="C306" s="2">
        <v>5.426011481E9</v>
      </c>
      <c r="D306" s="2" t="s">
        <v>28551</v>
      </c>
      <c r="E306" s="2">
        <v>12712.0</v>
      </c>
      <c r="F306" s="2">
        <v>380.0</v>
      </c>
      <c r="G306" s="2">
        <v>200.0</v>
      </c>
      <c r="H306" s="2" t="s">
        <v>5905</v>
      </c>
      <c r="I306" s="2" t="s">
        <v>5906</v>
      </c>
      <c r="J306" s="2" t="s">
        <v>5963</v>
      </c>
      <c r="K306" s="2" t="s">
        <v>28552</v>
      </c>
    </row>
    <row r="307">
      <c r="A307" s="2" t="s">
        <v>28553</v>
      </c>
      <c r="B307" s="2" t="s">
        <v>28554</v>
      </c>
      <c r="C307" s="2">
        <v>4.3975055336E10</v>
      </c>
      <c r="D307" s="2" t="s">
        <v>28555</v>
      </c>
      <c r="E307" s="2">
        <v>16830.0</v>
      </c>
      <c r="F307" s="2">
        <v>0.0</v>
      </c>
      <c r="G307" s="2">
        <v>889.0</v>
      </c>
      <c r="H307" s="2" t="s">
        <v>5905</v>
      </c>
      <c r="I307" s="2" t="s">
        <v>5906</v>
      </c>
      <c r="J307" s="2" t="s">
        <v>6002</v>
      </c>
      <c r="K307" s="2" t="s">
        <v>28556</v>
      </c>
      <c r="L307" s="10" t="s">
        <v>28557</v>
      </c>
    </row>
    <row r="308">
      <c r="A308" s="2" t="s">
        <v>28558</v>
      </c>
      <c r="B308" s="2" t="s">
        <v>28559</v>
      </c>
      <c r="C308" s="2">
        <v>2.53761277E8</v>
      </c>
      <c r="D308" s="2" t="s">
        <v>28560</v>
      </c>
      <c r="E308" s="2">
        <v>10359.0</v>
      </c>
      <c r="F308" s="2">
        <v>1787.0</v>
      </c>
      <c r="G308" s="2">
        <v>2895.0</v>
      </c>
      <c r="H308" s="2" t="s">
        <v>5905</v>
      </c>
      <c r="I308" s="2" t="s">
        <v>5906</v>
      </c>
      <c r="J308" s="2" t="s">
        <v>5959</v>
      </c>
      <c r="K308" s="2" t="s">
        <v>28561</v>
      </c>
      <c r="L308" s="10" t="s">
        <v>28562</v>
      </c>
    </row>
    <row r="309">
      <c r="A309" s="2" t="s">
        <v>28563</v>
      </c>
      <c r="B309" s="2" t="s">
        <v>28564</v>
      </c>
      <c r="C309" s="2">
        <v>5.4658722437E10</v>
      </c>
      <c r="D309" s="2" t="s">
        <v>28565</v>
      </c>
      <c r="E309" s="2">
        <v>12331.0</v>
      </c>
      <c r="F309" s="2">
        <v>0.0</v>
      </c>
      <c r="G309" s="2">
        <v>8.0</v>
      </c>
      <c r="H309" s="2" t="s">
        <v>5905</v>
      </c>
      <c r="I309" s="2" t="s">
        <v>5905</v>
      </c>
      <c r="K309" s="2" t="s">
        <v>28566</v>
      </c>
    </row>
    <row r="310">
      <c r="A310" s="2" t="s">
        <v>28567</v>
      </c>
      <c r="B310" s="2" t="s">
        <v>28568</v>
      </c>
      <c r="C310" s="2">
        <v>9.86210427E8</v>
      </c>
      <c r="D310" s="2" t="s">
        <v>28569</v>
      </c>
      <c r="E310" s="2">
        <v>16927.0</v>
      </c>
      <c r="F310" s="2">
        <v>101.0</v>
      </c>
      <c r="G310" s="2">
        <v>1566.0</v>
      </c>
      <c r="H310" s="2" t="s">
        <v>5905</v>
      </c>
      <c r="I310" s="2" t="s">
        <v>5906</v>
      </c>
      <c r="K310" s="2" t="s">
        <v>28570</v>
      </c>
      <c r="L310" s="10" t="s">
        <v>28571</v>
      </c>
    </row>
    <row r="311">
      <c r="A311" s="2" t="s">
        <v>28572</v>
      </c>
      <c r="B311" s="2" t="s">
        <v>28573</v>
      </c>
      <c r="C311" s="2">
        <v>1.148547516E9</v>
      </c>
      <c r="D311" s="2" t="s">
        <v>28574</v>
      </c>
      <c r="E311" s="2">
        <v>38837.0</v>
      </c>
      <c r="F311" s="2">
        <v>97.0</v>
      </c>
      <c r="G311" s="2">
        <v>4245.0</v>
      </c>
      <c r="H311" s="2" t="s">
        <v>5905</v>
      </c>
      <c r="I311" s="2" t="s">
        <v>5906</v>
      </c>
      <c r="J311" s="2" t="s">
        <v>5963</v>
      </c>
      <c r="K311" s="2" t="s">
        <v>28575</v>
      </c>
      <c r="L311" s="10" t="s">
        <v>28576</v>
      </c>
    </row>
    <row r="312">
      <c r="A312" s="2" t="s">
        <v>28577</v>
      </c>
      <c r="B312" s="2" t="s">
        <v>28578</v>
      </c>
      <c r="C312" s="2">
        <v>1.928976655E9</v>
      </c>
      <c r="D312" s="2" t="s">
        <v>28579</v>
      </c>
      <c r="E312" s="2">
        <v>307373.0</v>
      </c>
      <c r="F312" s="2">
        <v>660.0</v>
      </c>
      <c r="G312" s="2">
        <v>373.0</v>
      </c>
      <c r="H312" s="2" t="s">
        <v>5906</v>
      </c>
      <c r="I312" s="2" t="s">
        <v>5905</v>
      </c>
      <c r="J312" s="2" t="s">
        <v>5928</v>
      </c>
      <c r="K312" s="2" t="s">
        <v>28580</v>
      </c>
      <c r="L312" s="10" t="s">
        <v>28581</v>
      </c>
    </row>
    <row r="313">
      <c r="A313" s="2" t="s">
        <v>28582</v>
      </c>
      <c r="B313" s="2" t="s">
        <v>28583</v>
      </c>
      <c r="C313" s="2">
        <v>2.34895237E8</v>
      </c>
      <c r="D313" s="2" t="s">
        <v>28584</v>
      </c>
      <c r="E313" s="2">
        <v>17283.0</v>
      </c>
      <c r="F313" s="2">
        <v>1960.0</v>
      </c>
      <c r="G313" s="2">
        <v>1017.0</v>
      </c>
      <c r="H313" s="2" t="s">
        <v>5905</v>
      </c>
      <c r="I313" s="2" t="s">
        <v>5905</v>
      </c>
      <c r="J313" s="2" t="s">
        <v>6166</v>
      </c>
      <c r="K313" s="2" t="s">
        <v>28585</v>
      </c>
      <c r="L313" s="10" t="s">
        <v>28586</v>
      </c>
    </row>
    <row r="314">
      <c r="A314" s="2" t="s">
        <v>28587</v>
      </c>
      <c r="B314" s="2" t="s">
        <v>28588</v>
      </c>
      <c r="C314" s="2">
        <v>3.234049919E9</v>
      </c>
      <c r="D314" s="2" t="s">
        <v>28589</v>
      </c>
      <c r="E314" s="2">
        <v>24179.0</v>
      </c>
      <c r="F314" s="2">
        <v>2066.0</v>
      </c>
      <c r="G314" s="2">
        <v>1439.0</v>
      </c>
      <c r="H314" s="2" t="s">
        <v>5905</v>
      </c>
      <c r="I314" s="2" t="s">
        <v>5906</v>
      </c>
      <c r="J314" s="2" t="s">
        <v>8245</v>
      </c>
      <c r="K314" s="2" t="s">
        <v>28590</v>
      </c>
      <c r="L314" s="10" t="s">
        <v>28591</v>
      </c>
    </row>
    <row r="315">
      <c r="A315" s="2" t="s">
        <v>28587</v>
      </c>
      <c r="B315" s="10" t="s">
        <v>28592</v>
      </c>
      <c r="C315" s="2">
        <v>1.0423295356E10</v>
      </c>
      <c r="D315" s="2" t="s">
        <v>28593</v>
      </c>
      <c r="E315" s="2">
        <v>10429.0</v>
      </c>
      <c r="F315" s="2">
        <v>1614.0</v>
      </c>
      <c r="G315" s="2">
        <v>463.0</v>
      </c>
      <c r="H315" s="2" t="s">
        <v>5905</v>
      </c>
      <c r="I315" s="2" t="s">
        <v>5906</v>
      </c>
      <c r="J315" s="2" t="s">
        <v>5963</v>
      </c>
      <c r="K315" s="2" t="s">
        <v>28594</v>
      </c>
      <c r="L315" s="10" t="s">
        <v>28595</v>
      </c>
    </row>
    <row r="316">
      <c r="A316" s="2" t="s">
        <v>28587</v>
      </c>
      <c r="B316" s="2" t="s">
        <v>28596</v>
      </c>
      <c r="C316" s="2">
        <v>3.616441964E9</v>
      </c>
      <c r="D316" s="2" t="s">
        <v>28597</v>
      </c>
      <c r="E316" s="2">
        <v>17762.0</v>
      </c>
      <c r="F316" s="2">
        <v>1890.0</v>
      </c>
      <c r="G316" s="2">
        <v>434.0</v>
      </c>
      <c r="H316" s="2" t="s">
        <v>5905</v>
      </c>
      <c r="I316" s="2" t="s">
        <v>5905</v>
      </c>
      <c r="K316" s="2" t="s">
        <v>28598</v>
      </c>
      <c r="L316" s="10" t="s">
        <v>28599</v>
      </c>
    </row>
    <row r="317">
      <c r="A317" s="2" t="s">
        <v>28600</v>
      </c>
      <c r="B317" s="2" t="s">
        <v>26057</v>
      </c>
      <c r="C317" s="2">
        <v>5.0721110887E10</v>
      </c>
      <c r="D317" s="2" t="s">
        <v>26058</v>
      </c>
      <c r="E317" s="2">
        <v>241681.0</v>
      </c>
      <c r="F317" s="2">
        <v>1551.0</v>
      </c>
      <c r="G317" s="2">
        <v>1214.0</v>
      </c>
      <c r="H317" s="2" t="s">
        <v>5906</v>
      </c>
      <c r="I317" s="2" t="s">
        <v>5906</v>
      </c>
      <c r="J317" s="2" t="s">
        <v>5391</v>
      </c>
      <c r="K317" s="2" t="s">
        <v>26059</v>
      </c>
      <c r="L317" s="10" t="s">
        <v>26060</v>
      </c>
    </row>
    <row r="318">
      <c r="A318" s="2" t="s">
        <v>28600</v>
      </c>
      <c r="B318" s="2" t="s">
        <v>28601</v>
      </c>
      <c r="C318" s="2">
        <v>2.3931601495E10</v>
      </c>
      <c r="D318" s="2" t="s">
        <v>28602</v>
      </c>
      <c r="E318" s="2">
        <v>13947.0</v>
      </c>
      <c r="F318" s="2">
        <v>60.0</v>
      </c>
      <c r="G318" s="2">
        <v>580.0</v>
      </c>
      <c r="H318" s="2" t="s">
        <v>5905</v>
      </c>
      <c r="I318" s="2" t="s">
        <v>5905</v>
      </c>
      <c r="J318" s="2" t="s">
        <v>6166</v>
      </c>
      <c r="K318" s="2" t="s">
        <v>28603</v>
      </c>
      <c r="L318" s="10" t="s">
        <v>28604</v>
      </c>
    </row>
    <row r="319">
      <c r="A319" s="2" t="s">
        <v>28605</v>
      </c>
      <c r="B319" s="2" t="s">
        <v>28606</v>
      </c>
      <c r="C319" s="2">
        <v>2.1460289806E10</v>
      </c>
      <c r="E319" s="2">
        <v>27322.0</v>
      </c>
      <c r="F319" s="2">
        <v>11.0</v>
      </c>
      <c r="G319" s="2">
        <v>200.0</v>
      </c>
      <c r="H319" s="2" t="s">
        <v>5905</v>
      </c>
      <c r="I319" s="2" t="s">
        <v>5905</v>
      </c>
      <c r="J319" s="2" t="s">
        <v>10494</v>
      </c>
      <c r="K319" s="2" t="s">
        <v>28607</v>
      </c>
      <c r="L319" s="10" t="s">
        <v>28608</v>
      </c>
    </row>
    <row r="320">
      <c r="A320" s="2" t="s">
        <v>28609</v>
      </c>
      <c r="B320" s="2" t="s">
        <v>28610</v>
      </c>
      <c r="C320" s="2">
        <v>3.0052848526E10</v>
      </c>
      <c r="D320" s="2" t="s">
        <v>28611</v>
      </c>
      <c r="E320" s="2">
        <v>14021.0</v>
      </c>
      <c r="F320" s="2">
        <v>103.0</v>
      </c>
      <c r="G320" s="2">
        <v>404.0</v>
      </c>
      <c r="H320" s="2" t="s">
        <v>5905</v>
      </c>
      <c r="I320" s="2" t="s">
        <v>5905</v>
      </c>
      <c r="J320" s="2" t="s">
        <v>4996</v>
      </c>
      <c r="K320" s="2" t="s">
        <v>28612</v>
      </c>
      <c r="L320" s="10" t="s">
        <v>28613</v>
      </c>
    </row>
    <row r="321">
      <c r="A321" s="2" t="s">
        <v>28609</v>
      </c>
      <c r="B321" s="2" t="s">
        <v>28614</v>
      </c>
      <c r="C321" s="2">
        <v>5.679441823E10</v>
      </c>
      <c r="D321" s="2" t="s">
        <v>28615</v>
      </c>
      <c r="E321" s="2">
        <v>55439.0</v>
      </c>
      <c r="F321" s="2">
        <v>630.0</v>
      </c>
      <c r="G321" s="2">
        <v>1255.0</v>
      </c>
      <c r="H321" s="2" t="s">
        <v>5906</v>
      </c>
      <c r="I321" s="2" t="s">
        <v>5906</v>
      </c>
      <c r="J321" s="2" t="s">
        <v>5391</v>
      </c>
      <c r="K321" s="2" t="s">
        <v>28616</v>
      </c>
      <c r="L321" s="10" t="s">
        <v>28617</v>
      </c>
    </row>
    <row r="322">
      <c r="A322" s="2" t="s">
        <v>28609</v>
      </c>
      <c r="B322" s="2" t="s">
        <v>28618</v>
      </c>
      <c r="C322" s="2">
        <v>6.005885846E9</v>
      </c>
      <c r="D322" s="12" t="s">
        <v>28619</v>
      </c>
      <c r="E322" s="2">
        <v>43816.0</v>
      </c>
      <c r="F322" s="2">
        <v>0.0</v>
      </c>
      <c r="G322" s="2">
        <v>637.0</v>
      </c>
      <c r="H322" s="2" t="s">
        <v>5905</v>
      </c>
      <c r="I322" s="2" t="s">
        <v>5906</v>
      </c>
      <c r="J322" s="2" t="s">
        <v>7931</v>
      </c>
      <c r="K322" s="12" t="s">
        <v>28620</v>
      </c>
    </row>
    <row r="323">
      <c r="A323" s="2" t="s">
        <v>28621</v>
      </c>
      <c r="B323" s="2" t="s">
        <v>28622</v>
      </c>
      <c r="C323" s="2">
        <v>2.22789285E9</v>
      </c>
      <c r="E323" s="2">
        <v>10367.0</v>
      </c>
      <c r="F323" s="2">
        <v>4449.0</v>
      </c>
      <c r="G323" s="2">
        <v>4.0</v>
      </c>
      <c r="H323" s="2" t="s">
        <v>5905</v>
      </c>
      <c r="I323" s="2" t="s">
        <v>5905</v>
      </c>
      <c r="K323" s="12" t="s">
        <v>28623</v>
      </c>
    </row>
    <row r="324">
      <c r="A324" s="2" t="s">
        <v>28624</v>
      </c>
      <c r="B324" s="2" t="s">
        <v>28625</v>
      </c>
      <c r="C324" s="2">
        <v>5.944615668E9</v>
      </c>
      <c r="D324" s="2" t="s">
        <v>28626</v>
      </c>
      <c r="E324" s="2">
        <v>15201.0</v>
      </c>
      <c r="F324" s="2">
        <v>45.0</v>
      </c>
      <c r="G324" s="2">
        <v>0.0</v>
      </c>
      <c r="H324" s="2" t="s">
        <v>5905</v>
      </c>
      <c r="I324" s="2" t="s">
        <v>5905</v>
      </c>
    </row>
    <row r="325">
      <c r="A325" s="2" t="s">
        <v>28624</v>
      </c>
      <c r="B325" s="2" t="s">
        <v>28627</v>
      </c>
      <c r="C325" s="2">
        <v>6.9100742225E10</v>
      </c>
      <c r="D325" s="2" t="s">
        <v>28628</v>
      </c>
      <c r="E325" s="2">
        <v>22607.0</v>
      </c>
      <c r="F325" s="2">
        <v>3.0</v>
      </c>
      <c r="G325" s="2">
        <v>478.0</v>
      </c>
      <c r="H325" s="2" t="s">
        <v>5905</v>
      </c>
      <c r="I325" s="2" t="s">
        <v>5906</v>
      </c>
      <c r="J325" s="2" t="s">
        <v>6161</v>
      </c>
      <c r="K325" s="2" t="s">
        <v>28629</v>
      </c>
    </row>
    <row r="326">
      <c r="A326" s="2" t="s">
        <v>28630</v>
      </c>
      <c r="B326" s="2" t="s">
        <v>28631</v>
      </c>
      <c r="C326" s="2">
        <v>1.384726532E9</v>
      </c>
      <c r="D326" s="2" t="s">
        <v>28632</v>
      </c>
      <c r="E326" s="2">
        <v>129604.0</v>
      </c>
      <c r="F326" s="2">
        <v>205.0</v>
      </c>
      <c r="G326" s="2">
        <v>2023.0</v>
      </c>
      <c r="H326" s="2" t="s">
        <v>5905</v>
      </c>
      <c r="I326" s="2" t="s">
        <v>5906</v>
      </c>
      <c r="J326" s="2" t="s">
        <v>17753</v>
      </c>
      <c r="K326" s="2" t="s">
        <v>28633</v>
      </c>
      <c r="L326" s="10" t="s">
        <v>28634</v>
      </c>
    </row>
    <row r="327">
      <c r="A327" s="2" t="s">
        <v>28635</v>
      </c>
      <c r="B327" s="2" t="s">
        <v>28636</v>
      </c>
      <c r="C327" s="2">
        <v>5.541058807E9</v>
      </c>
      <c r="D327" s="2" t="s">
        <v>28637</v>
      </c>
      <c r="E327" s="2">
        <v>25018.0</v>
      </c>
      <c r="F327" s="2">
        <v>102.0</v>
      </c>
      <c r="G327" s="2">
        <v>554.0</v>
      </c>
      <c r="H327" s="2" t="s">
        <v>5905</v>
      </c>
      <c r="I327" s="2" t="s">
        <v>5906</v>
      </c>
      <c r="K327" s="2" t="s">
        <v>28638</v>
      </c>
      <c r="L327" s="10" t="s">
        <v>28639</v>
      </c>
    </row>
    <row r="328">
      <c r="A328" s="2" t="s">
        <v>28640</v>
      </c>
      <c r="B328" s="2" t="s">
        <v>28641</v>
      </c>
      <c r="C328" s="2">
        <v>1.972908308E9</v>
      </c>
      <c r="D328" s="2" t="s">
        <v>28642</v>
      </c>
      <c r="E328" s="2">
        <v>18046.0</v>
      </c>
      <c r="F328" s="2">
        <v>7499.0</v>
      </c>
      <c r="G328" s="2">
        <v>381.0</v>
      </c>
      <c r="H328" s="2" t="s">
        <v>5905</v>
      </c>
      <c r="I328" s="2" t="s">
        <v>5906</v>
      </c>
      <c r="J328" s="2" t="s">
        <v>17753</v>
      </c>
      <c r="K328" s="2" t="s">
        <v>28643</v>
      </c>
      <c r="L328" s="10" t="s">
        <v>28644</v>
      </c>
    </row>
    <row r="329">
      <c r="A329" s="2" t="s">
        <v>28645</v>
      </c>
      <c r="B329" s="2" t="s">
        <v>28646</v>
      </c>
      <c r="C329" s="2">
        <v>2.176290339E9</v>
      </c>
      <c r="D329" s="2" t="s">
        <v>28647</v>
      </c>
      <c r="E329" s="2">
        <v>284123.0</v>
      </c>
      <c r="F329" s="2">
        <v>918.0</v>
      </c>
      <c r="G329" s="2">
        <v>121.0</v>
      </c>
      <c r="H329" s="2" t="s">
        <v>5906</v>
      </c>
      <c r="I329" s="2" t="s">
        <v>5905</v>
      </c>
      <c r="J329" s="2" t="s">
        <v>6414</v>
      </c>
      <c r="K329" s="2" t="s">
        <v>28648</v>
      </c>
    </row>
    <row r="330">
      <c r="A330" s="2" t="s">
        <v>28649</v>
      </c>
      <c r="B330" s="2" t="s">
        <v>28075</v>
      </c>
      <c r="C330" s="2">
        <v>1.3501391558E10</v>
      </c>
      <c r="D330" s="2" t="s">
        <v>28076</v>
      </c>
      <c r="E330" s="2">
        <v>80899.0</v>
      </c>
      <c r="F330" s="2">
        <v>297.0</v>
      </c>
      <c r="G330" s="2">
        <v>302.0</v>
      </c>
      <c r="H330" s="2" t="s">
        <v>5906</v>
      </c>
      <c r="I330" s="2" t="s">
        <v>5906</v>
      </c>
      <c r="J330" s="2" t="s">
        <v>6166</v>
      </c>
      <c r="K330" s="2" t="s">
        <v>28077</v>
      </c>
    </row>
    <row r="331">
      <c r="A331" s="2" t="s">
        <v>28650</v>
      </c>
      <c r="B331" s="2" t="s">
        <v>28651</v>
      </c>
      <c r="C331" s="2">
        <v>1.90486938E9</v>
      </c>
      <c r="D331" s="2" t="s">
        <v>28652</v>
      </c>
      <c r="E331" s="2">
        <v>26866.0</v>
      </c>
      <c r="F331" s="2">
        <v>421.0</v>
      </c>
      <c r="G331" s="2">
        <v>149.0</v>
      </c>
      <c r="H331" s="2" t="s">
        <v>5905</v>
      </c>
      <c r="I331" s="2" t="s">
        <v>5905</v>
      </c>
      <c r="J331" s="2" t="s">
        <v>7809</v>
      </c>
      <c r="K331" s="12" t="s">
        <v>28653</v>
      </c>
      <c r="L331" s="10" t="s">
        <v>28654</v>
      </c>
    </row>
    <row r="332">
      <c r="A332" s="2" t="s">
        <v>28650</v>
      </c>
      <c r="B332" s="2" t="s">
        <v>28655</v>
      </c>
      <c r="C332" s="2">
        <v>2.460104153E9</v>
      </c>
      <c r="D332" s="2" t="s">
        <v>28656</v>
      </c>
      <c r="E332" s="2">
        <v>14892.0</v>
      </c>
      <c r="F332" s="2">
        <v>605.0</v>
      </c>
      <c r="G332" s="2">
        <v>1093.0</v>
      </c>
      <c r="H332" s="2" t="s">
        <v>5905</v>
      </c>
      <c r="I332" s="2" t="s">
        <v>5905</v>
      </c>
      <c r="J332" s="2" t="s">
        <v>6393</v>
      </c>
      <c r="K332" s="2" t="s">
        <v>28657</v>
      </c>
      <c r="L332" s="10" t="s">
        <v>28658</v>
      </c>
    </row>
    <row r="333">
      <c r="A333" s="2" t="s">
        <v>28659</v>
      </c>
      <c r="B333" s="2" t="s">
        <v>28660</v>
      </c>
      <c r="C333" s="2">
        <v>4.99821318E8</v>
      </c>
      <c r="D333" s="2" t="s">
        <v>28661</v>
      </c>
      <c r="E333" s="2">
        <v>41309.0</v>
      </c>
      <c r="F333" s="2">
        <v>2205.0</v>
      </c>
      <c r="G333" s="2">
        <v>3643.0</v>
      </c>
      <c r="H333" s="2" t="s">
        <v>5905</v>
      </c>
      <c r="I333" s="2" t="s">
        <v>5906</v>
      </c>
      <c r="J333" s="2" t="s">
        <v>5993</v>
      </c>
      <c r="K333" s="2" t="s">
        <v>28662</v>
      </c>
      <c r="L333" s="10" t="s">
        <v>28663</v>
      </c>
    </row>
    <row r="334">
      <c r="A334" s="2" t="s">
        <v>28664</v>
      </c>
      <c r="B334" s="2" t="s">
        <v>28665</v>
      </c>
      <c r="C334" s="2">
        <v>5.9820402537E10</v>
      </c>
      <c r="D334" s="2" t="s">
        <v>28666</v>
      </c>
      <c r="E334" s="2">
        <v>48802.0</v>
      </c>
      <c r="F334" s="2">
        <v>1334.0</v>
      </c>
      <c r="G334" s="2">
        <v>798.0</v>
      </c>
      <c r="H334" s="2" t="s">
        <v>5905</v>
      </c>
      <c r="I334" s="2" t="s">
        <v>5906</v>
      </c>
      <c r="J334" s="2" t="s">
        <v>5391</v>
      </c>
      <c r="K334" s="2" t="s">
        <v>28667</v>
      </c>
      <c r="L334" s="10" t="s">
        <v>28668</v>
      </c>
    </row>
    <row r="335">
      <c r="A335" s="2" t="s">
        <v>28669</v>
      </c>
      <c r="B335" s="2" t="s">
        <v>28670</v>
      </c>
      <c r="C335" s="2">
        <v>5.2000465269E10</v>
      </c>
      <c r="D335" s="2" t="s">
        <v>28671</v>
      </c>
      <c r="E335" s="2">
        <v>11268.0</v>
      </c>
      <c r="F335" s="2">
        <v>1957.0</v>
      </c>
      <c r="G335" s="2">
        <v>134.0</v>
      </c>
      <c r="H335" s="2" t="s">
        <v>5905</v>
      </c>
      <c r="I335" s="2" t="s">
        <v>5906</v>
      </c>
      <c r="J335" s="2" t="s">
        <v>6023</v>
      </c>
      <c r="K335" s="2" t="s">
        <v>28672</v>
      </c>
    </row>
    <row r="336">
      <c r="A336" s="2" t="s">
        <v>28673</v>
      </c>
      <c r="B336" s="2" t="s">
        <v>28674</v>
      </c>
      <c r="C336" s="2">
        <v>1.4312305654E10</v>
      </c>
      <c r="D336" s="2" t="s">
        <v>28675</v>
      </c>
      <c r="E336" s="2">
        <v>24661.0</v>
      </c>
      <c r="F336" s="2">
        <v>41.0</v>
      </c>
      <c r="G336" s="2">
        <v>192.0</v>
      </c>
      <c r="H336" s="2" t="s">
        <v>5905</v>
      </c>
      <c r="I336" s="2" t="s">
        <v>5905</v>
      </c>
      <c r="J336" s="2" t="s">
        <v>6166</v>
      </c>
      <c r="K336" s="2" t="s">
        <v>28676</v>
      </c>
      <c r="L336" s="10" t="s">
        <v>28677</v>
      </c>
    </row>
    <row r="337">
      <c r="A337" s="2" t="s">
        <v>28678</v>
      </c>
      <c r="B337" s="2" t="s">
        <v>28679</v>
      </c>
      <c r="C337" s="2">
        <v>3.18919994E8</v>
      </c>
      <c r="D337" s="2" t="s">
        <v>28680</v>
      </c>
      <c r="E337" s="2">
        <v>37476.0</v>
      </c>
      <c r="F337" s="2">
        <v>469.0</v>
      </c>
      <c r="G337" s="2">
        <v>107.0</v>
      </c>
      <c r="H337" s="2" t="s">
        <v>5905</v>
      </c>
      <c r="I337" s="2" t="s">
        <v>5905</v>
      </c>
      <c r="J337" s="2" t="s">
        <v>13763</v>
      </c>
      <c r="K337" s="2" t="s">
        <v>28681</v>
      </c>
      <c r="L337" s="10" t="s">
        <v>28682</v>
      </c>
    </row>
    <row r="338">
      <c r="A338" s="2" t="s">
        <v>28683</v>
      </c>
      <c r="B338" s="2" t="s">
        <v>28684</v>
      </c>
      <c r="C338" s="2">
        <v>1.328762453E9</v>
      </c>
      <c r="D338" s="2" t="s">
        <v>28685</v>
      </c>
      <c r="E338" s="2">
        <v>10708.0</v>
      </c>
      <c r="F338" s="2">
        <v>464.0</v>
      </c>
      <c r="G338" s="2">
        <v>989.0</v>
      </c>
      <c r="H338" s="2" t="s">
        <v>5905</v>
      </c>
      <c r="I338" s="2" t="s">
        <v>5905</v>
      </c>
      <c r="J338" s="2" t="s">
        <v>5963</v>
      </c>
      <c r="K338" s="2" t="s">
        <v>28686</v>
      </c>
      <c r="L338" s="10" t="s">
        <v>28687</v>
      </c>
    </row>
    <row r="339">
      <c r="A339" s="2" t="s">
        <v>28688</v>
      </c>
      <c r="B339" s="2" t="s">
        <v>28689</v>
      </c>
      <c r="C339" s="2">
        <v>1.586523229E9</v>
      </c>
      <c r="D339" s="2" t="s">
        <v>28690</v>
      </c>
      <c r="E339" s="2">
        <v>1602018.0</v>
      </c>
      <c r="F339" s="2">
        <v>1180.0</v>
      </c>
      <c r="G339" s="2">
        <v>28880.0</v>
      </c>
      <c r="H339" s="2" t="s">
        <v>5906</v>
      </c>
      <c r="I339" s="2" t="s">
        <v>5905</v>
      </c>
      <c r="J339" s="2" t="s">
        <v>9237</v>
      </c>
      <c r="K339" s="2" t="s">
        <v>28691</v>
      </c>
    </row>
    <row r="340">
      <c r="A340" s="2" t="s">
        <v>28688</v>
      </c>
      <c r="B340" s="2" t="s">
        <v>28692</v>
      </c>
      <c r="C340" s="2">
        <v>4.8998747234E10</v>
      </c>
      <c r="D340" s="2" t="s">
        <v>28693</v>
      </c>
      <c r="E340" s="2">
        <v>12169.0</v>
      </c>
      <c r="F340" s="2">
        <v>3644.0</v>
      </c>
      <c r="G340" s="2">
        <v>103.0</v>
      </c>
      <c r="H340" s="2" t="s">
        <v>5905</v>
      </c>
      <c r="I340" s="2" t="s">
        <v>5906</v>
      </c>
      <c r="J340" s="2" t="s">
        <v>17057</v>
      </c>
      <c r="K340" s="2" t="s">
        <v>28694</v>
      </c>
    </row>
    <row r="341">
      <c r="A341" s="2" t="s">
        <v>28695</v>
      </c>
      <c r="B341" s="2" t="s">
        <v>28696</v>
      </c>
      <c r="C341" s="2">
        <v>4.6345904599E10</v>
      </c>
      <c r="D341" s="2" t="s">
        <v>28697</v>
      </c>
      <c r="E341" s="2">
        <v>10918.0</v>
      </c>
      <c r="F341" s="2">
        <v>61.0</v>
      </c>
      <c r="G341" s="2">
        <v>44.0</v>
      </c>
      <c r="H341" s="2" t="s">
        <v>5905</v>
      </c>
      <c r="I341" s="2" t="s">
        <v>5906</v>
      </c>
      <c r="J341" s="2" t="s">
        <v>6166</v>
      </c>
      <c r="K341" s="2" t="s">
        <v>28698</v>
      </c>
      <c r="L341" s="10" t="s">
        <v>28699</v>
      </c>
    </row>
    <row r="342">
      <c r="A342" s="2" t="s">
        <v>28700</v>
      </c>
      <c r="B342" s="2" t="s">
        <v>28701</v>
      </c>
      <c r="C342" s="2">
        <v>6.0914521029E10</v>
      </c>
      <c r="D342" s="2" t="s">
        <v>28702</v>
      </c>
      <c r="E342" s="2">
        <v>23359.0</v>
      </c>
      <c r="F342" s="2">
        <v>185.0</v>
      </c>
      <c r="G342" s="2">
        <v>1965.0</v>
      </c>
      <c r="H342" s="2" t="s">
        <v>5906</v>
      </c>
      <c r="I342" s="2" t="s">
        <v>5905</v>
      </c>
      <c r="J342" s="2" t="s">
        <v>7414</v>
      </c>
      <c r="K342" s="12" t="s">
        <v>28703</v>
      </c>
      <c r="L342" s="10" t="s">
        <v>28704</v>
      </c>
    </row>
    <row r="343">
      <c r="A343" s="2" t="s">
        <v>28700</v>
      </c>
      <c r="B343" s="2" t="s">
        <v>28705</v>
      </c>
      <c r="C343" s="2">
        <v>1.145510681E10</v>
      </c>
      <c r="D343" s="2" t="s">
        <v>28706</v>
      </c>
      <c r="E343" s="2">
        <v>18554.0</v>
      </c>
      <c r="F343" s="2">
        <v>64.0</v>
      </c>
      <c r="G343" s="2">
        <v>6.0</v>
      </c>
      <c r="H343" s="2" t="s">
        <v>5905</v>
      </c>
      <c r="I343" s="2" t="s">
        <v>5905</v>
      </c>
    </row>
    <row r="344">
      <c r="A344" s="2" t="s">
        <v>28707</v>
      </c>
      <c r="B344" s="2" t="s">
        <v>28708</v>
      </c>
      <c r="C344" s="2">
        <v>1.818372464E9</v>
      </c>
      <c r="D344" s="2" t="s">
        <v>28709</v>
      </c>
      <c r="E344" s="2">
        <v>17510.0</v>
      </c>
      <c r="F344" s="2">
        <v>499.0</v>
      </c>
      <c r="G344" s="2">
        <v>191.0</v>
      </c>
      <c r="H344" s="2" t="s">
        <v>5905</v>
      </c>
      <c r="I344" s="2" t="s">
        <v>5905</v>
      </c>
      <c r="J344" s="2" t="s">
        <v>5993</v>
      </c>
      <c r="K344" s="2" t="s">
        <v>28710</v>
      </c>
      <c r="L344" s="10" t="s">
        <v>28711</v>
      </c>
    </row>
    <row r="345">
      <c r="A345" s="2" t="s">
        <v>28707</v>
      </c>
      <c r="B345" s="2" t="s">
        <v>28712</v>
      </c>
      <c r="C345" s="2">
        <v>2.136936415E9</v>
      </c>
      <c r="D345" s="2" t="s">
        <v>28713</v>
      </c>
      <c r="E345" s="2">
        <v>10264.0</v>
      </c>
      <c r="F345" s="2">
        <v>1245.0</v>
      </c>
      <c r="G345" s="2">
        <v>529.0</v>
      </c>
      <c r="H345" s="2" t="s">
        <v>5905</v>
      </c>
      <c r="I345" s="2" t="s">
        <v>5905</v>
      </c>
      <c r="J345" s="2" t="s">
        <v>14778</v>
      </c>
      <c r="K345" s="2" t="s">
        <v>28714</v>
      </c>
    </row>
    <row r="346">
      <c r="A346" s="2" t="s">
        <v>28707</v>
      </c>
      <c r="B346" s="2" t="s">
        <v>28715</v>
      </c>
      <c r="C346" s="2">
        <v>2.34601147E8</v>
      </c>
      <c r="D346" s="2" t="s">
        <v>28716</v>
      </c>
      <c r="E346" s="2">
        <v>38720.0</v>
      </c>
      <c r="F346" s="2">
        <v>2720.0</v>
      </c>
      <c r="G346" s="2">
        <v>1048.0</v>
      </c>
      <c r="H346" s="2" t="s">
        <v>5906</v>
      </c>
      <c r="I346" s="2" t="s">
        <v>5906</v>
      </c>
      <c r="J346" s="2" t="s">
        <v>14778</v>
      </c>
      <c r="K346" s="2" t="s">
        <v>28717</v>
      </c>
    </row>
    <row r="347">
      <c r="A347" s="2" t="s">
        <v>28718</v>
      </c>
      <c r="B347" s="2" t="s">
        <v>28719</v>
      </c>
      <c r="C347" s="2">
        <v>1.556263912E9</v>
      </c>
      <c r="D347" s="2" t="s">
        <v>28720</v>
      </c>
      <c r="E347" s="2">
        <v>13720.0</v>
      </c>
      <c r="F347" s="2">
        <v>3822.0</v>
      </c>
      <c r="G347" s="2">
        <v>1082.0</v>
      </c>
      <c r="H347" s="2" t="s">
        <v>5905</v>
      </c>
      <c r="I347" s="2" t="s">
        <v>5906</v>
      </c>
      <c r="J347" s="2" t="s">
        <v>5959</v>
      </c>
      <c r="K347" s="2" t="s">
        <v>28721</v>
      </c>
      <c r="L347" s="10" t="s">
        <v>28722</v>
      </c>
    </row>
    <row r="348">
      <c r="A348" s="2" t="s">
        <v>28718</v>
      </c>
      <c r="B348" s="2" t="s">
        <v>28723</v>
      </c>
      <c r="C348" s="2">
        <v>6.783547307E9</v>
      </c>
      <c r="D348" s="2" t="s">
        <v>28724</v>
      </c>
      <c r="E348" s="2">
        <v>22323.0</v>
      </c>
      <c r="F348" s="2">
        <v>481.0</v>
      </c>
      <c r="G348" s="2">
        <v>23.0</v>
      </c>
      <c r="H348" s="2" t="s">
        <v>5905</v>
      </c>
      <c r="I348" s="2" t="s">
        <v>5905</v>
      </c>
      <c r="J348" s="2" t="s">
        <v>14778</v>
      </c>
      <c r="K348" s="2" t="s">
        <v>28725</v>
      </c>
    </row>
    <row r="349">
      <c r="A349" s="2" t="s">
        <v>28726</v>
      </c>
      <c r="B349" s="2" t="s">
        <v>28727</v>
      </c>
      <c r="C349" s="2">
        <v>1.593352203E9</v>
      </c>
      <c r="D349" s="2" t="s">
        <v>28728</v>
      </c>
      <c r="E349" s="2">
        <v>104754.0</v>
      </c>
      <c r="F349" s="2">
        <v>648.0</v>
      </c>
      <c r="G349" s="2">
        <v>1251.0</v>
      </c>
      <c r="H349" s="2" t="s">
        <v>5905</v>
      </c>
      <c r="I349" s="2" t="s">
        <v>5906</v>
      </c>
      <c r="J349" s="2" t="s">
        <v>4404</v>
      </c>
      <c r="K349" s="2" t="s">
        <v>28729</v>
      </c>
      <c r="L349" s="10" t="s">
        <v>28730</v>
      </c>
    </row>
    <row r="350">
      <c r="A350" s="2" t="s">
        <v>28731</v>
      </c>
      <c r="B350" s="2" t="s">
        <v>28732</v>
      </c>
      <c r="C350" s="2">
        <v>3.965804465E9</v>
      </c>
      <c r="D350" s="2" t="s">
        <v>28733</v>
      </c>
      <c r="E350" s="2">
        <v>20900.0</v>
      </c>
      <c r="F350" s="2">
        <v>3326.0</v>
      </c>
      <c r="G350" s="2">
        <v>1192.0</v>
      </c>
      <c r="H350" s="2" t="s">
        <v>5906</v>
      </c>
      <c r="I350" s="2" t="s">
        <v>5905</v>
      </c>
      <c r="J350" s="2" t="s">
        <v>7140</v>
      </c>
      <c r="K350" s="2" t="s">
        <v>28734</v>
      </c>
      <c r="L350" s="10" t="s">
        <v>28735</v>
      </c>
    </row>
    <row r="351">
      <c r="A351" s="2" t="s">
        <v>28731</v>
      </c>
      <c r="B351" s="2" t="s">
        <v>28736</v>
      </c>
      <c r="C351" s="2">
        <v>9.70177417E8</v>
      </c>
      <c r="D351" s="2" t="s">
        <v>28737</v>
      </c>
      <c r="E351" s="2">
        <v>21623.0</v>
      </c>
      <c r="F351" s="2">
        <v>559.0</v>
      </c>
      <c r="G351" s="2">
        <v>2889.0</v>
      </c>
      <c r="H351" s="2" t="s">
        <v>5905</v>
      </c>
      <c r="I351" s="2" t="s">
        <v>5905</v>
      </c>
      <c r="J351" s="2" t="s">
        <v>6393</v>
      </c>
      <c r="K351" s="2" t="s">
        <v>28738</v>
      </c>
    </row>
    <row r="352">
      <c r="A352" s="2" t="s">
        <v>28731</v>
      </c>
      <c r="B352" s="2" t="s">
        <v>28739</v>
      </c>
      <c r="C352" s="2">
        <v>3.65169816E10</v>
      </c>
      <c r="D352" s="2" t="s">
        <v>28740</v>
      </c>
      <c r="E352" s="2">
        <v>16393.0</v>
      </c>
      <c r="F352" s="2">
        <v>5146.0</v>
      </c>
      <c r="G352" s="2">
        <v>467.0</v>
      </c>
      <c r="H352" s="2" t="s">
        <v>5905</v>
      </c>
      <c r="I352" s="2" t="s">
        <v>5905</v>
      </c>
      <c r="J352" s="2" t="s">
        <v>5959</v>
      </c>
      <c r="K352" s="2" t="s">
        <v>28741</v>
      </c>
      <c r="L352" s="10" t="s">
        <v>28742</v>
      </c>
    </row>
    <row r="353">
      <c r="A353" s="2" t="s">
        <v>28743</v>
      </c>
      <c r="B353" s="2" t="s">
        <v>28744</v>
      </c>
      <c r="C353" s="2">
        <v>1.338315837E9</v>
      </c>
      <c r="D353" s="2" t="s">
        <v>28745</v>
      </c>
      <c r="E353" s="2">
        <v>73232.0</v>
      </c>
      <c r="F353" s="2">
        <v>1411.0</v>
      </c>
      <c r="G353" s="2">
        <v>3568.0</v>
      </c>
      <c r="H353" s="2" t="s">
        <v>5905</v>
      </c>
      <c r="I353" s="2" t="s">
        <v>5906</v>
      </c>
      <c r="J353" s="2" t="s">
        <v>6393</v>
      </c>
      <c r="K353" s="2" t="s">
        <v>28746</v>
      </c>
    </row>
    <row r="354">
      <c r="A354" s="2" t="s">
        <v>28743</v>
      </c>
      <c r="B354" s="2" t="s">
        <v>28660</v>
      </c>
      <c r="C354" s="2">
        <v>4.99821318E8</v>
      </c>
      <c r="D354" s="2" t="s">
        <v>28661</v>
      </c>
      <c r="E354" s="2">
        <v>41309.0</v>
      </c>
      <c r="F354" s="2">
        <v>2205.0</v>
      </c>
      <c r="G354" s="2">
        <v>3643.0</v>
      </c>
      <c r="H354" s="2" t="s">
        <v>5905</v>
      </c>
      <c r="I354" s="2" t="s">
        <v>5906</v>
      </c>
      <c r="J354" s="2" t="s">
        <v>5993</v>
      </c>
      <c r="K354" s="2" t="s">
        <v>28662</v>
      </c>
      <c r="L354" s="10" t="s">
        <v>28663</v>
      </c>
    </row>
    <row r="355">
      <c r="A355" s="2" t="s">
        <v>28747</v>
      </c>
      <c r="B355" s="2" t="s">
        <v>28748</v>
      </c>
      <c r="C355" s="2">
        <v>3.648397276E9</v>
      </c>
      <c r="D355" s="2" t="s">
        <v>28749</v>
      </c>
      <c r="E355" s="2">
        <v>24265.0</v>
      </c>
      <c r="F355" s="2">
        <v>3677.0</v>
      </c>
      <c r="G355" s="2">
        <v>458.0</v>
      </c>
      <c r="H355" s="2" t="s">
        <v>5905</v>
      </c>
      <c r="I355" s="2" t="s">
        <v>5906</v>
      </c>
      <c r="K355" s="2" t="s">
        <v>28750</v>
      </c>
    </row>
    <row r="356">
      <c r="A356" s="2" t="s">
        <v>28751</v>
      </c>
      <c r="B356" s="2" t="s">
        <v>28752</v>
      </c>
      <c r="C356" s="2">
        <v>5.9978346065E10</v>
      </c>
      <c r="D356" s="2" t="s">
        <v>28753</v>
      </c>
      <c r="E356" s="2">
        <v>10606.0</v>
      </c>
      <c r="F356" s="2">
        <v>62.0</v>
      </c>
      <c r="G356" s="2">
        <v>35.0</v>
      </c>
      <c r="H356" s="2" t="s">
        <v>5905</v>
      </c>
      <c r="I356" s="2" t="s">
        <v>5906</v>
      </c>
      <c r="J356" s="2" t="s">
        <v>5963</v>
      </c>
      <c r="K356" s="2" t="s">
        <v>28754</v>
      </c>
      <c r="L356" s="10" t="s">
        <v>28755</v>
      </c>
    </row>
    <row r="357">
      <c r="A357" s="2" t="s">
        <v>28751</v>
      </c>
      <c r="B357" s="2" t="s">
        <v>28756</v>
      </c>
      <c r="C357" s="2">
        <v>2.6044995E10</v>
      </c>
      <c r="D357" s="2" t="s">
        <v>28757</v>
      </c>
      <c r="E357" s="2">
        <v>12351.0</v>
      </c>
      <c r="F357" s="2">
        <v>1805.0</v>
      </c>
      <c r="G357" s="2">
        <v>1824.0</v>
      </c>
      <c r="H357" s="2" t="s">
        <v>5905</v>
      </c>
      <c r="I357" s="2" t="s">
        <v>5905</v>
      </c>
      <c r="J357" s="2" t="s">
        <v>8245</v>
      </c>
      <c r="K357" s="2" t="s">
        <v>28758</v>
      </c>
      <c r="L357" s="10" t="s">
        <v>28759</v>
      </c>
    </row>
    <row r="358">
      <c r="A358" s="2" t="s">
        <v>28751</v>
      </c>
      <c r="B358" s="2" t="s">
        <v>28760</v>
      </c>
      <c r="C358" s="2">
        <v>1.83403899E9</v>
      </c>
      <c r="D358" s="2" t="s">
        <v>28761</v>
      </c>
      <c r="E358" s="2">
        <v>61388.0</v>
      </c>
      <c r="F358" s="2">
        <v>4508.0</v>
      </c>
      <c r="G358" s="2">
        <v>1978.0</v>
      </c>
      <c r="H358" s="2" t="s">
        <v>5905</v>
      </c>
      <c r="I358" s="2" t="s">
        <v>5906</v>
      </c>
      <c r="J358" s="2" t="s">
        <v>6023</v>
      </c>
      <c r="K358" s="2" t="s">
        <v>28762</v>
      </c>
      <c r="L358" s="10" t="s">
        <v>28763</v>
      </c>
    </row>
    <row r="359">
      <c r="A359" s="2" t="s">
        <v>28764</v>
      </c>
      <c r="B359" s="2" t="s">
        <v>28765</v>
      </c>
      <c r="C359" s="2">
        <v>8.211144492E9</v>
      </c>
      <c r="D359" s="2" t="s">
        <v>28766</v>
      </c>
      <c r="E359" s="2">
        <v>15943.0</v>
      </c>
      <c r="F359" s="2">
        <v>1.0</v>
      </c>
      <c r="G359" s="2">
        <v>302.0</v>
      </c>
      <c r="H359" s="2" t="s">
        <v>5906</v>
      </c>
      <c r="I359" s="2" t="s">
        <v>5905</v>
      </c>
      <c r="J359" s="2" t="s">
        <v>6166</v>
      </c>
      <c r="K359" s="2" t="s">
        <v>28767</v>
      </c>
      <c r="L359" s="10" t="s">
        <v>28768</v>
      </c>
    </row>
    <row r="360">
      <c r="A360" s="2" t="s">
        <v>28764</v>
      </c>
      <c r="B360" s="2" t="s">
        <v>28769</v>
      </c>
      <c r="C360" s="2">
        <v>2.29804989E9</v>
      </c>
      <c r="D360" s="2" t="s">
        <v>28770</v>
      </c>
      <c r="E360" s="2">
        <v>53206.0</v>
      </c>
      <c r="F360" s="2">
        <v>47.0</v>
      </c>
      <c r="G360" s="2">
        <v>1152.0</v>
      </c>
      <c r="H360" s="2" t="s">
        <v>5905</v>
      </c>
      <c r="I360" s="2" t="s">
        <v>5906</v>
      </c>
      <c r="J360" s="2" t="s">
        <v>11684</v>
      </c>
      <c r="K360" s="2" t="s">
        <v>28771</v>
      </c>
    </row>
    <row r="361">
      <c r="A361" s="2" t="s">
        <v>28764</v>
      </c>
      <c r="B361" s="2" t="s">
        <v>28772</v>
      </c>
      <c r="C361" s="2">
        <v>3.692739527E9</v>
      </c>
      <c r="D361" s="2" t="s">
        <v>28773</v>
      </c>
      <c r="E361" s="2">
        <v>55137.0</v>
      </c>
      <c r="F361" s="2">
        <v>7356.0</v>
      </c>
      <c r="G361" s="2">
        <v>4019.0</v>
      </c>
      <c r="H361" s="2" t="s">
        <v>5905</v>
      </c>
      <c r="I361" s="2" t="s">
        <v>5905</v>
      </c>
      <c r="J361" s="2" t="s">
        <v>6166</v>
      </c>
      <c r="K361" s="2" t="s">
        <v>28774</v>
      </c>
    </row>
    <row r="362">
      <c r="A362" s="2" t="s">
        <v>28775</v>
      </c>
      <c r="B362" s="2" t="s">
        <v>28776</v>
      </c>
      <c r="C362" s="2">
        <v>6.9706860547E10</v>
      </c>
      <c r="D362" s="2" t="s">
        <v>28777</v>
      </c>
      <c r="E362" s="2">
        <v>16960.0</v>
      </c>
      <c r="F362" s="2">
        <v>1.0</v>
      </c>
      <c r="G362" s="2">
        <v>3.0</v>
      </c>
      <c r="H362" s="2" t="s">
        <v>5905</v>
      </c>
      <c r="I362" s="2" t="s">
        <v>5906</v>
      </c>
      <c r="J362" s="2" t="s">
        <v>6166</v>
      </c>
    </row>
    <row r="363">
      <c r="A363" s="2" t="s">
        <v>28775</v>
      </c>
      <c r="B363" s="2" t="s">
        <v>28778</v>
      </c>
      <c r="C363" s="2">
        <v>6.9738017514E10</v>
      </c>
      <c r="D363" s="2" t="s">
        <v>28779</v>
      </c>
      <c r="E363" s="2">
        <v>11045.0</v>
      </c>
      <c r="F363" s="2">
        <v>19.0</v>
      </c>
      <c r="G363" s="2">
        <v>42.0</v>
      </c>
      <c r="H363" s="2" t="s">
        <v>5905</v>
      </c>
      <c r="I363" s="2" t="s">
        <v>5906</v>
      </c>
      <c r="J363" s="2" t="s">
        <v>5963</v>
      </c>
      <c r="K363" s="2" t="s">
        <v>28780</v>
      </c>
      <c r="L363" s="10" t="s">
        <v>28781</v>
      </c>
    </row>
    <row r="364">
      <c r="A364" s="2" t="s">
        <v>28782</v>
      </c>
      <c r="B364" s="2" t="s">
        <v>28783</v>
      </c>
      <c r="C364" s="2">
        <v>9.288476791E9</v>
      </c>
      <c r="D364" s="2" t="s">
        <v>28784</v>
      </c>
      <c r="E364" s="2">
        <v>15746.0</v>
      </c>
      <c r="F364" s="2">
        <v>1.0</v>
      </c>
      <c r="G364" s="2">
        <v>42.0</v>
      </c>
      <c r="H364" s="2" t="s">
        <v>5905</v>
      </c>
      <c r="I364" s="2" t="s">
        <v>5906</v>
      </c>
      <c r="J364" s="2" t="s">
        <v>6166</v>
      </c>
      <c r="L364" s="10" t="s">
        <v>28785</v>
      </c>
    </row>
    <row r="365">
      <c r="A365" s="2" t="s">
        <v>28782</v>
      </c>
      <c r="B365" s="2" t="s">
        <v>28786</v>
      </c>
      <c r="C365" s="2">
        <v>4.0328558894E10</v>
      </c>
      <c r="D365" s="2" t="s">
        <v>28787</v>
      </c>
      <c r="E365" s="2">
        <v>17626.0</v>
      </c>
      <c r="F365" s="2">
        <v>140.0</v>
      </c>
      <c r="G365" s="2">
        <v>0.0</v>
      </c>
      <c r="H365" s="2" t="s">
        <v>5905</v>
      </c>
      <c r="I365" s="2" t="s">
        <v>5905</v>
      </c>
      <c r="J365" s="2" t="s">
        <v>5391</v>
      </c>
      <c r="K365" s="2" t="s">
        <v>28788</v>
      </c>
    </row>
    <row r="366">
      <c r="A366" s="2" t="s">
        <v>28789</v>
      </c>
      <c r="B366" s="2" t="s">
        <v>28790</v>
      </c>
      <c r="C366" s="2">
        <v>5.9727855174E10</v>
      </c>
      <c r="D366" s="12" t="s">
        <v>28791</v>
      </c>
      <c r="E366" s="2">
        <v>11756.0</v>
      </c>
      <c r="F366" s="2">
        <v>0.0</v>
      </c>
      <c r="G366" s="2">
        <v>626.0</v>
      </c>
      <c r="H366" s="2" t="s">
        <v>5905</v>
      </c>
      <c r="I366" s="2" t="s">
        <v>5906</v>
      </c>
      <c r="J366" s="2" t="s">
        <v>7414</v>
      </c>
      <c r="K366" s="12" t="s">
        <v>28792</v>
      </c>
    </row>
    <row r="367">
      <c r="A367" s="2" t="s">
        <v>28793</v>
      </c>
      <c r="B367" s="2" t="s">
        <v>28794</v>
      </c>
      <c r="C367" s="2">
        <v>9.245882259E9</v>
      </c>
      <c r="D367" s="12" t="s">
        <v>28795</v>
      </c>
      <c r="E367" s="2">
        <v>10597.0</v>
      </c>
      <c r="F367" s="2">
        <v>39.0</v>
      </c>
      <c r="G367" s="2">
        <v>49.0</v>
      </c>
      <c r="H367" s="2" t="s">
        <v>5905</v>
      </c>
      <c r="I367" s="2" t="s">
        <v>5906</v>
      </c>
      <c r="J367" s="2" t="s">
        <v>7414</v>
      </c>
      <c r="K367" s="12" t="s">
        <v>28796</v>
      </c>
    </row>
    <row r="368">
      <c r="A368" s="2" t="s">
        <v>28793</v>
      </c>
      <c r="B368" s="2" t="s">
        <v>28797</v>
      </c>
      <c r="C368" s="2">
        <v>1.979910632E9</v>
      </c>
      <c r="D368" s="2" t="s">
        <v>28798</v>
      </c>
      <c r="E368" s="2">
        <v>17429.0</v>
      </c>
      <c r="F368" s="2">
        <v>68.0</v>
      </c>
      <c r="G368" s="2">
        <v>14.0</v>
      </c>
      <c r="H368" s="2" t="s">
        <v>5905</v>
      </c>
      <c r="I368" s="2" t="s">
        <v>5906</v>
      </c>
      <c r="J368" s="2" t="s">
        <v>7414</v>
      </c>
      <c r="K368" s="2" t="s">
        <v>28799</v>
      </c>
      <c r="L368" s="10" t="s">
        <v>28800</v>
      </c>
    </row>
    <row r="369">
      <c r="A369" s="2" t="s">
        <v>28801</v>
      </c>
      <c r="B369" s="2" t="s">
        <v>28802</v>
      </c>
      <c r="C369" s="2">
        <v>3.6633407735E10</v>
      </c>
      <c r="D369" s="2" t="s">
        <v>28803</v>
      </c>
      <c r="E369" s="2">
        <v>34056.0</v>
      </c>
      <c r="F369" s="2">
        <v>24.0</v>
      </c>
      <c r="G369" s="2">
        <v>710.0</v>
      </c>
      <c r="H369" s="2" t="s">
        <v>5905</v>
      </c>
      <c r="I369" s="2" t="s">
        <v>5906</v>
      </c>
      <c r="J369" s="2" t="s">
        <v>7414</v>
      </c>
      <c r="K369" s="12" t="s">
        <v>28804</v>
      </c>
      <c r="L369" s="10" t="s">
        <v>28805</v>
      </c>
    </row>
    <row r="370">
      <c r="A370" s="2" t="s">
        <v>28801</v>
      </c>
      <c r="B370" s="2" t="s">
        <v>28806</v>
      </c>
      <c r="C370" s="2">
        <v>2.7196102077E10</v>
      </c>
      <c r="D370" s="12" t="s">
        <v>28807</v>
      </c>
      <c r="E370" s="2">
        <v>23201.0</v>
      </c>
      <c r="F370" s="2">
        <v>0.0</v>
      </c>
      <c r="G370" s="2">
        <v>43.0</v>
      </c>
      <c r="H370" s="2" t="s">
        <v>5905</v>
      </c>
      <c r="I370" s="2" t="s">
        <v>5906</v>
      </c>
      <c r="J370" s="2" t="s">
        <v>7140</v>
      </c>
      <c r="K370" s="12" t="s">
        <v>28808</v>
      </c>
    </row>
    <row r="371">
      <c r="A371" s="2" t="s">
        <v>28809</v>
      </c>
      <c r="B371" s="2" t="s">
        <v>28810</v>
      </c>
      <c r="C371" s="2">
        <v>7.392684306E10</v>
      </c>
      <c r="D371" s="12" t="s">
        <v>28811</v>
      </c>
      <c r="E371" s="2">
        <v>11578.0</v>
      </c>
      <c r="F371" s="2">
        <v>77.0</v>
      </c>
      <c r="G371" s="2">
        <v>451.0</v>
      </c>
      <c r="H371" s="2" t="s">
        <v>5905</v>
      </c>
      <c r="I371" s="2" t="s">
        <v>5906</v>
      </c>
      <c r="J371" s="2" t="s">
        <v>5928</v>
      </c>
      <c r="K371" s="12" t="s">
        <v>28812</v>
      </c>
    </row>
    <row r="372">
      <c r="A372" s="2" t="s">
        <v>28813</v>
      </c>
      <c r="B372" s="2" t="s">
        <v>28814</v>
      </c>
      <c r="C372" s="2">
        <v>2.1048526105E10</v>
      </c>
      <c r="D372" s="2" t="s">
        <v>28815</v>
      </c>
      <c r="E372" s="2">
        <v>13025.0</v>
      </c>
      <c r="F372" s="2">
        <v>217.0</v>
      </c>
      <c r="G372" s="2">
        <v>81.0</v>
      </c>
      <c r="H372" s="2" t="s">
        <v>5905</v>
      </c>
      <c r="I372" s="2" t="s">
        <v>5906</v>
      </c>
      <c r="J372" s="2" t="s">
        <v>5993</v>
      </c>
      <c r="K372" s="2" t="s">
        <v>28816</v>
      </c>
      <c r="L372" s="10" t="s">
        <v>28817</v>
      </c>
    </row>
    <row r="373">
      <c r="A373" s="2" t="s">
        <v>28813</v>
      </c>
      <c r="B373" s="2" t="s">
        <v>28818</v>
      </c>
      <c r="C373" s="2">
        <v>4.4827521816E10</v>
      </c>
      <c r="D373" s="2" t="s">
        <v>28819</v>
      </c>
      <c r="E373" s="2">
        <v>22516.0</v>
      </c>
      <c r="F373" s="2">
        <v>574.0</v>
      </c>
      <c r="G373" s="2">
        <v>3593.0</v>
      </c>
      <c r="H373" s="2" t="s">
        <v>5906</v>
      </c>
      <c r="I373" s="2" t="s">
        <v>5906</v>
      </c>
      <c r="J373" s="2" t="s">
        <v>7414</v>
      </c>
      <c r="K373" s="2" t="s">
        <v>28820</v>
      </c>
      <c r="L373" s="10" t="s">
        <v>28821</v>
      </c>
    </row>
    <row r="374">
      <c r="A374" s="2" t="s">
        <v>28822</v>
      </c>
      <c r="B374" s="10" t="s">
        <v>28823</v>
      </c>
      <c r="C374" s="2">
        <v>2.332749824E9</v>
      </c>
      <c r="D374" s="2" t="s">
        <v>28824</v>
      </c>
      <c r="E374" s="2">
        <v>16229.0</v>
      </c>
      <c r="F374" s="2">
        <v>2310.0</v>
      </c>
      <c r="G374" s="2">
        <v>1846.0</v>
      </c>
      <c r="H374" s="2" t="s">
        <v>5905</v>
      </c>
      <c r="I374" s="2" t="s">
        <v>5906</v>
      </c>
      <c r="J374" s="2" t="s">
        <v>7140</v>
      </c>
      <c r="K374" s="2" t="s">
        <v>28825</v>
      </c>
      <c r="L374" s="10" t="s">
        <v>28826</v>
      </c>
    </row>
    <row r="375">
      <c r="A375" s="2" t="s">
        <v>28827</v>
      </c>
      <c r="B375" s="2" t="s">
        <v>28828</v>
      </c>
      <c r="C375" s="2">
        <v>5.31986477E9</v>
      </c>
      <c r="D375" s="2" t="s">
        <v>28829</v>
      </c>
      <c r="E375" s="2">
        <v>63890.0</v>
      </c>
      <c r="F375" s="2">
        <v>747.0</v>
      </c>
      <c r="G375" s="2">
        <v>29.0</v>
      </c>
      <c r="H375" s="2" t="s">
        <v>5905</v>
      </c>
      <c r="I375" s="2" t="s">
        <v>5905</v>
      </c>
      <c r="J375" s="2" t="s">
        <v>5391</v>
      </c>
      <c r="K375" s="2" t="s">
        <v>28830</v>
      </c>
    </row>
    <row r="376">
      <c r="A376" s="2" t="s">
        <v>28831</v>
      </c>
      <c r="B376" s="2" t="s">
        <v>28832</v>
      </c>
      <c r="C376" s="2">
        <v>4.737375706E9</v>
      </c>
      <c r="D376" s="2" t="s">
        <v>28833</v>
      </c>
      <c r="E376" s="2">
        <v>18802.0</v>
      </c>
      <c r="F376" s="2">
        <v>7500.0</v>
      </c>
      <c r="G376" s="2">
        <v>5261.0</v>
      </c>
      <c r="H376" s="2" t="s">
        <v>5905</v>
      </c>
      <c r="I376" s="2" t="s">
        <v>5905</v>
      </c>
      <c r="J376" s="2" t="s">
        <v>7140</v>
      </c>
      <c r="K376" s="2" t="s">
        <v>28834</v>
      </c>
      <c r="L376" s="10" t="s">
        <v>28835</v>
      </c>
    </row>
    <row r="377">
      <c r="A377" s="2" t="s">
        <v>28836</v>
      </c>
      <c r="B377" s="2" t="s">
        <v>28837</v>
      </c>
      <c r="C377" s="2">
        <v>6.0370042697E10</v>
      </c>
      <c r="D377" s="2" t="s">
        <v>28838</v>
      </c>
      <c r="E377" s="2">
        <v>41423.0</v>
      </c>
      <c r="F377" s="2">
        <v>199.0</v>
      </c>
      <c r="G377" s="2">
        <v>281.0</v>
      </c>
      <c r="H377" s="2" t="s">
        <v>5905</v>
      </c>
      <c r="I377" s="2" t="s">
        <v>5906</v>
      </c>
      <c r="J377" s="2" t="s">
        <v>11684</v>
      </c>
      <c r="K377" s="2" t="s">
        <v>28839</v>
      </c>
    </row>
    <row r="378">
      <c r="A378" s="2" t="s">
        <v>28836</v>
      </c>
      <c r="B378" s="2" t="s">
        <v>28840</v>
      </c>
      <c r="C378" s="2">
        <v>6.7124031343E10</v>
      </c>
      <c r="D378" s="2" t="s">
        <v>28840</v>
      </c>
      <c r="E378" s="2">
        <v>22877.0</v>
      </c>
      <c r="F378" s="2">
        <v>27.0</v>
      </c>
      <c r="G378" s="2">
        <v>156.0</v>
      </c>
      <c r="H378" s="2" t="s">
        <v>5905</v>
      </c>
      <c r="I378" s="2" t="s">
        <v>5906</v>
      </c>
      <c r="J378" s="2" t="s">
        <v>5963</v>
      </c>
      <c r="K378" s="12" t="s">
        <v>28841</v>
      </c>
      <c r="L378" s="10" t="s">
        <v>28842</v>
      </c>
    </row>
    <row r="379">
      <c r="A379" s="2" t="s">
        <v>28843</v>
      </c>
      <c r="B379" s="2" t="s">
        <v>28844</v>
      </c>
      <c r="C379" s="2">
        <v>4.7933961756E10</v>
      </c>
      <c r="D379" s="2" t="s">
        <v>28845</v>
      </c>
      <c r="E379" s="2">
        <v>10809.0</v>
      </c>
      <c r="F379" s="2">
        <v>108.0</v>
      </c>
      <c r="G379" s="2">
        <v>126.0</v>
      </c>
      <c r="H379" s="2" t="s">
        <v>5905</v>
      </c>
      <c r="I379" s="2" t="s">
        <v>5906</v>
      </c>
      <c r="J379" s="2" t="s">
        <v>5561</v>
      </c>
      <c r="K379" s="2" t="s">
        <v>28846</v>
      </c>
    </row>
    <row r="380">
      <c r="A380" s="2" t="s">
        <v>28843</v>
      </c>
      <c r="B380" s="2" t="s">
        <v>28847</v>
      </c>
      <c r="C380" s="2">
        <v>2.231273815E9</v>
      </c>
      <c r="D380" s="2" t="s">
        <v>28848</v>
      </c>
      <c r="E380" s="2">
        <v>12119.0</v>
      </c>
      <c r="F380" s="2">
        <v>45.0</v>
      </c>
      <c r="G380" s="2">
        <v>1613.0</v>
      </c>
      <c r="H380" s="2" t="s">
        <v>5905</v>
      </c>
      <c r="I380" s="2" t="s">
        <v>5906</v>
      </c>
    </row>
    <row r="381">
      <c r="A381" s="2" t="s">
        <v>28849</v>
      </c>
      <c r="B381" s="2" t="s">
        <v>28850</v>
      </c>
      <c r="C381" s="2">
        <v>1.446256863E9</v>
      </c>
      <c r="D381" s="2" t="s">
        <v>28851</v>
      </c>
      <c r="E381" s="2">
        <v>88951.0</v>
      </c>
      <c r="F381" s="2">
        <v>632.0</v>
      </c>
      <c r="G381" s="2">
        <v>1578.0</v>
      </c>
      <c r="H381" s="2" t="s">
        <v>5905</v>
      </c>
      <c r="I381" s="2" t="s">
        <v>5906</v>
      </c>
      <c r="J381" s="2" t="s">
        <v>6166</v>
      </c>
      <c r="K381" s="2" t="s">
        <v>28852</v>
      </c>
      <c r="L381" s="10" t="s">
        <v>28853</v>
      </c>
    </row>
    <row r="382">
      <c r="A382" s="2" t="s">
        <v>28854</v>
      </c>
      <c r="B382" s="2" t="s">
        <v>28855</v>
      </c>
      <c r="C382" s="2">
        <v>4.2878735371E10</v>
      </c>
      <c r="D382" s="2" t="s">
        <v>28856</v>
      </c>
      <c r="E382" s="2">
        <v>10044.0</v>
      </c>
      <c r="F382" s="2">
        <v>1.0</v>
      </c>
      <c r="G382" s="2">
        <v>374.0</v>
      </c>
      <c r="H382" s="2" t="s">
        <v>5905</v>
      </c>
      <c r="I382" s="2" t="s">
        <v>5905</v>
      </c>
      <c r="J382" s="2" t="s">
        <v>5963</v>
      </c>
      <c r="K382" s="2" t="s">
        <v>28857</v>
      </c>
      <c r="L382" s="10" t="s">
        <v>28858</v>
      </c>
    </row>
    <row r="383">
      <c r="A383" s="2" t="s">
        <v>28859</v>
      </c>
      <c r="B383" s="2" t="s">
        <v>28860</v>
      </c>
      <c r="C383" s="2">
        <v>5.0405672229E10</v>
      </c>
      <c r="D383" s="2" t="s">
        <v>28861</v>
      </c>
      <c r="E383" s="2">
        <v>14540.0</v>
      </c>
      <c r="F383" s="2">
        <v>295.0</v>
      </c>
      <c r="G383" s="2">
        <v>474.0</v>
      </c>
      <c r="H383" s="2" t="s">
        <v>5905</v>
      </c>
      <c r="I383" s="2" t="s">
        <v>5906</v>
      </c>
      <c r="J383" s="2" t="s">
        <v>17753</v>
      </c>
      <c r="K383" s="2" t="s">
        <v>28862</v>
      </c>
      <c r="L383" s="10" t="s">
        <v>28863</v>
      </c>
    </row>
    <row r="384">
      <c r="A384" s="2" t="s">
        <v>28864</v>
      </c>
      <c r="B384" s="2" t="s">
        <v>28865</v>
      </c>
      <c r="C384" s="2">
        <v>8.603594335E9</v>
      </c>
      <c r="D384" s="2" t="s">
        <v>28866</v>
      </c>
      <c r="E384" s="2">
        <v>15506.0</v>
      </c>
      <c r="F384" s="2">
        <v>950.0</v>
      </c>
      <c r="G384" s="2">
        <v>296.0</v>
      </c>
      <c r="H384" s="2" t="s">
        <v>5906</v>
      </c>
      <c r="I384" s="2" t="s">
        <v>5906</v>
      </c>
      <c r="J384" s="2" t="s">
        <v>4404</v>
      </c>
      <c r="K384" s="2" t="s">
        <v>28867</v>
      </c>
      <c r="L384" s="10" t="s">
        <v>28868</v>
      </c>
    </row>
    <row r="385">
      <c r="A385" s="2" t="s">
        <v>28869</v>
      </c>
      <c r="B385" s="2" t="s">
        <v>28870</v>
      </c>
      <c r="C385" s="2">
        <v>2.109731547E9</v>
      </c>
      <c r="D385" s="2" t="s">
        <v>28871</v>
      </c>
      <c r="E385" s="2">
        <v>10566.0</v>
      </c>
      <c r="F385" s="2">
        <v>5092.0</v>
      </c>
      <c r="G385" s="2">
        <v>4401.0</v>
      </c>
      <c r="H385" s="2" t="s">
        <v>5905</v>
      </c>
      <c r="I385" s="2" t="s">
        <v>5905</v>
      </c>
      <c r="J385" s="2" t="s">
        <v>5993</v>
      </c>
      <c r="K385" s="2" t="s">
        <v>28872</v>
      </c>
    </row>
    <row r="386">
      <c r="A386" s="2" t="s">
        <v>28873</v>
      </c>
      <c r="B386" s="2" t="s">
        <v>28874</v>
      </c>
      <c r="C386" s="2">
        <v>2.12971471E8</v>
      </c>
      <c r="D386" s="2" t="s">
        <v>28875</v>
      </c>
      <c r="E386" s="2">
        <v>10511.0</v>
      </c>
      <c r="F386" s="2">
        <v>916.0</v>
      </c>
      <c r="G386" s="2">
        <v>406.0</v>
      </c>
      <c r="H386" s="2" t="s">
        <v>5905</v>
      </c>
      <c r="I386" s="2" t="s">
        <v>5906</v>
      </c>
      <c r="J386" s="2" t="s">
        <v>7140</v>
      </c>
      <c r="K386" s="2" t="s">
        <v>28876</v>
      </c>
      <c r="L386" s="10" t="s">
        <v>28877</v>
      </c>
    </row>
    <row r="387">
      <c r="A387" s="2" t="s">
        <v>28873</v>
      </c>
      <c r="B387" s="2" t="s">
        <v>28878</v>
      </c>
      <c r="C387" s="2">
        <v>3.037721712E9</v>
      </c>
      <c r="D387" s="2" t="s">
        <v>28879</v>
      </c>
      <c r="E387" s="2">
        <v>15936.0</v>
      </c>
      <c r="F387" s="2">
        <v>948.0</v>
      </c>
      <c r="G387" s="2">
        <v>1496.0</v>
      </c>
      <c r="H387" s="2" t="s">
        <v>5905</v>
      </c>
      <c r="I387" s="2" t="s">
        <v>5906</v>
      </c>
      <c r="J387" s="2" t="s">
        <v>6393</v>
      </c>
      <c r="K387" s="2" t="s">
        <v>28880</v>
      </c>
    </row>
    <row r="388">
      <c r="A388" s="2" t="s">
        <v>28873</v>
      </c>
      <c r="B388" s="2" t="s">
        <v>28881</v>
      </c>
      <c r="C388" s="2">
        <v>2.280587373E9</v>
      </c>
      <c r="D388" s="2" t="s">
        <v>28882</v>
      </c>
      <c r="E388" s="2">
        <v>26101.0</v>
      </c>
      <c r="F388" s="2">
        <v>110.0</v>
      </c>
      <c r="G388" s="2">
        <v>1539.0</v>
      </c>
      <c r="H388" s="2" t="s">
        <v>5905</v>
      </c>
      <c r="I388" s="2" t="s">
        <v>5905</v>
      </c>
      <c r="J388" s="2" t="s">
        <v>28883</v>
      </c>
      <c r="K388" s="2" t="s">
        <v>28884</v>
      </c>
      <c r="L388" s="10" t="s">
        <v>28885</v>
      </c>
    </row>
    <row r="389">
      <c r="A389" s="2" t="s">
        <v>28886</v>
      </c>
      <c r="B389" s="2" t="s">
        <v>28887</v>
      </c>
      <c r="C389" s="2">
        <v>5.8392734404E10</v>
      </c>
      <c r="D389" s="2" t="s">
        <v>28888</v>
      </c>
      <c r="E389" s="2">
        <v>14994.0</v>
      </c>
      <c r="F389" s="2">
        <v>1803.0</v>
      </c>
      <c r="G389" s="2">
        <v>481.0</v>
      </c>
      <c r="H389" s="2" t="s">
        <v>5905</v>
      </c>
      <c r="I389" s="2" t="s">
        <v>5905</v>
      </c>
      <c r="J389" s="2" t="s">
        <v>6166</v>
      </c>
      <c r="K389" s="2" t="s">
        <v>28889</v>
      </c>
    </row>
    <row r="390">
      <c r="A390" s="2" t="s">
        <v>28886</v>
      </c>
      <c r="B390" s="2" t="s">
        <v>28890</v>
      </c>
      <c r="C390" s="2">
        <v>3.892197645E9</v>
      </c>
      <c r="D390" s="2" t="s">
        <v>28891</v>
      </c>
      <c r="E390" s="2">
        <v>19665.0</v>
      </c>
      <c r="F390" s="2">
        <v>1556.0</v>
      </c>
      <c r="G390" s="2">
        <v>185.0</v>
      </c>
      <c r="H390" s="2" t="s">
        <v>5905</v>
      </c>
      <c r="I390" s="2" t="s">
        <v>5905</v>
      </c>
      <c r="J390" s="2" t="s">
        <v>7482</v>
      </c>
      <c r="K390" s="2" t="s">
        <v>28892</v>
      </c>
    </row>
    <row r="391">
      <c r="A391" s="2" t="s">
        <v>28886</v>
      </c>
      <c r="B391" s="2" t="s">
        <v>28893</v>
      </c>
      <c r="C391" s="2">
        <v>4.9514345949E10</v>
      </c>
      <c r="D391" s="2" t="s">
        <v>28894</v>
      </c>
      <c r="E391" s="2">
        <v>16914.0</v>
      </c>
      <c r="F391" s="2">
        <v>9.0</v>
      </c>
      <c r="G391" s="2">
        <v>181.0</v>
      </c>
      <c r="H391" s="2" t="s">
        <v>5905</v>
      </c>
      <c r="I391" s="2" t="s">
        <v>5905</v>
      </c>
      <c r="J391" s="2" t="s">
        <v>6166</v>
      </c>
      <c r="K391" s="12" t="s">
        <v>28895</v>
      </c>
      <c r="L391" s="10" t="s">
        <v>28896</v>
      </c>
    </row>
    <row r="392">
      <c r="A392" s="2" t="s">
        <v>28897</v>
      </c>
      <c r="B392" s="2" t="s">
        <v>28898</v>
      </c>
      <c r="C392" s="2">
        <v>3.51523343E8</v>
      </c>
      <c r="D392" s="2" t="s">
        <v>28899</v>
      </c>
      <c r="E392" s="2">
        <v>28395.0</v>
      </c>
      <c r="F392" s="2">
        <v>516.0</v>
      </c>
      <c r="G392" s="2">
        <v>1615.0</v>
      </c>
      <c r="H392" s="2" t="s">
        <v>5905</v>
      </c>
      <c r="I392" s="2" t="s">
        <v>5905</v>
      </c>
      <c r="J392" s="2" t="s">
        <v>13763</v>
      </c>
      <c r="K392" s="2" t="s">
        <v>28900</v>
      </c>
      <c r="L392" s="10" t="s">
        <v>28901</v>
      </c>
    </row>
    <row r="393">
      <c r="A393" s="2" t="s">
        <v>28902</v>
      </c>
      <c r="B393" s="2" t="s">
        <v>28903</v>
      </c>
      <c r="C393" s="2">
        <v>3.9304262231E10</v>
      </c>
      <c r="D393" s="2" t="s">
        <v>28904</v>
      </c>
      <c r="E393" s="2">
        <v>34682.0</v>
      </c>
      <c r="F393" s="2">
        <v>609.0</v>
      </c>
      <c r="G393" s="2">
        <v>374.0</v>
      </c>
      <c r="H393" s="2" t="s">
        <v>5905</v>
      </c>
      <c r="I393" s="2" t="s">
        <v>5905</v>
      </c>
      <c r="J393" s="2" t="s">
        <v>5928</v>
      </c>
      <c r="K393" s="2" t="s">
        <v>28905</v>
      </c>
      <c r="L393" s="10" t="s">
        <v>28906</v>
      </c>
    </row>
    <row r="394">
      <c r="A394" s="2" t="s">
        <v>28907</v>
      </c>
      <c r="B394" s="2" t="s">
        <v>28908</v>
      </c>
      <c r="C394" s="2">
        <v>1.270085687E9</v>
      </c>
      <c r="D394" s="2" t="s">
        <v>28909</v>
      </c>
      <c r="E394" s="2">
        <v>50279.0</v>
      </c>
      <c r="F394" s="2">
        <v>893.0</v>
      </c>
      <c r="G394" s="2">
        <v>2214.0</v>
      </c>
      <c r="H394" s="2" t="s">
        <v>5906</v>
      </c>
      <c r="I394" s="2" t="s">
        <v>5906</v>
      </c>
      <c r="J394" s="2" t="s">
        <v>6393</v>
      </c>
      <c r="K394" s="2" t="s">
        <v>28910</v>
      </c>
      <c r="L394" s="10" t="s">
        <v>28911</v>
      </c>
    </row>
    <row r="395">
      <c r="A395" s="2" t="s">
        <v>28912</v>
      </c>
      <c r="B395" s="2" t="s">
        <v>28913</v>
      </c>
      <c r="C395" s="2">
        <v>2.233428638E9</v>
      </c>
      <c r="D395" s="2" t="s">
        <v>28914</v>
      </c>
      <c r="E395" s="2">
        <v>48915.0</v>
      </c>
      <c r="F395" s="2">
        <v>1370.0</v>
      </c>
      <c r="G395" s="2">
        <v>713.0</v>
      </c>
      <c r="H395" s="2" t="s">
        <v>5906</v>
      </c>
      <c r="I395" s="2" t="s">
        <v>5905</v>
      </c>
      <c r="J395" s="2" t="s">
        <v>5993</v>
      </c>
      <c r="K395" s="2" t="s">
        <v>28915</v>
      </c>
      <c r="L395" s="10" t="s">
        <v>28916</v>
      </c>
    </row>
    <row r="396">
      <c r="A396" s="2" t="s">
        <v>28912</v>
      </c>
      <c r="B396" s="2" t="s">
        <v>28917</v>
      </c>
      <c r="C396" s="2">
        <v>1.492631993E9</v>
      </c>
      <c r="D396" s="2" t="s">
        <v>28918</v>
      </c>
      <c r="E396" s="2">
        <v>23058.0</v>
      </c>
      <c r="F396" s="2">
        <v>231.0</v>
      </c>
      <c r="G396" s="2">
        <v>628.0</v>
      </c>
      <c r="H396" s="2" t="s">
        <v>5905</v>
      </c>
      <c r="I396" s="2" t="s">
        <v>5906</v>
      </c>
      <c r="J396" s="2" t="s">
        <v>7296</v>
      </c>
      <c r="K396" s="2" t="s">
        <v>28919</v>
      </c>
      <c r="L396" s="10" t="s">
        <v>28920</v>
      </c>
    </row>
    <row r="397">
      <c r="A397" s="2" t="s">
        <v>28921</v>
      </c>
      <c r="B397" s="2" t="s">
        <v>28922</v>
      </c>
      <c r="C397" s="2">
        <v>2.06767728E9</v>
      </c>
      <c r="D397" s="2" t="s">
        <v>28923</v>
      </c>
      <c r="E397" s="2">
        <v>16614.0</v>
      </c>
      <c r="F397" s="2">
        <v>1542.0</v>
      </c>
      <c r="G397" s="2">
        <v>1082.0</v>
      </c>
      <c r="H397" s="2" t="s">
        <v>5905</v>
      </c>
      <c r="I397" s="2" t="s">
        <v>5906</v>
      </c>
      <c r="J397" s="2" t="s">
        <v>7414</v>
      </c>
      <c r="K397" s="2" t="s">
        <v>28924</v>
      </c>
      <c r="L397" s="10" t="s">
        <v>28925</v>
      </c>
    </row>
    <row r="398">
      <c r="A398" s="2" t="s">
        <v>28921</v>
      </c>
      <c r="B398" s="2" t="s">
        <v>28926</v>
      </c>
      <c r="C398" s="2">
        <v>4.8906039242E10</v>
      </c>
      <c r="D398" s="2" t="s">
        <v>28927</v>
      </c>
      <c r="E398" s="2">
        <v>10903.0</v>
      </c>
      <c r="F398" s="2">
        <v>2280.0</v>
      </c>
      <c r="G398" s="2">
        <v>164.0</v>
      </c>
      <c r="H398" s="2" t="s">
        <v>5905</v>
      </c>
      <c r="I398" s="2" t="s">
        <v>5906</v>
      </c>
      <c r="J398" s="2" t="s">
        <v>14778</v>
      </c>
      <c r="K398" s="2" t="s">
        <v>28928</v>
      </c>
    </row>
    <row r="399">
      <c r="A399" s="2" t="s">
        <v>28929</v>
      </c>
      <c r="B399" s="2" t="s">
        <v>28930</v>
      </c>
      <c r="C399" s="2">
        <v>2.68902019E8</v>
      </c>
      <c r="D399" s="2" t="s">
        <v>28931</v>
      </c>
      <c r="E399" s="2">
        <v>12573.0</v>
      </c>
      <c r="F399" s="2">
        <v>3999.0</v>
      </c>
      <c r="G399" s="2">
        <v>378.0</v>
      </c>
      <c r="H399" s="2" t="s">
        <v>5905</v>
      </c>
      <c r="I399" s="2" t="s">
        <v>5905</v>
      </c>
      <c r="J399" s="2" t="s">
        <v>5492</v>
      </c>
      <c r="K399" s="2" t="s">
        <v>28932</v>
      </c>
      <c r="L399" s="10" t="s">
        <v>28933</v>
      </c>
    </row>
    <row r="400">
      <c r="A400" s="2" t="s">
        <v>28934</v>
      </c>
      <c r="B400" s="2" t="s">
        <v>28935</v>
      </c>
      <c r="C400" s="2">
        <v>3.9481529172E10</v>
      </c>
      <c r="D400" s="2" t="s">
        <v>28936</v>
      </c>
      <c r="E400" s="2">
        <v>22700.0</v>
      </c>
      <c r="F400" s="2">
        <v>348.0</v>
      </c>
      <c r="G400" s="2">
        <v>299.0</v>
      </c>
      <c r="H400" s="2" t="s">
        <v>5905</v>
      </c>
      <c r="I400" s="2" t="s">
        <v>5905</v>
      </c>
      <c r="J400" s="2" t="s">
        <v>14778</v>
      </c>
      <c r="K400" s="2" t="s">
        <v>28937</v>
      </c>
      <c r="L400" s="10" t="s">
        <v>28938</v>
      </c>
    </row>
    <row r="401">
      <c r="A401" s="2" t="s">
        <v>28934</v>
      </c>
      <c r="B401" s="2" t="s">
        <v>28939</v>
      </c>
      <c r="C401" s="2">
        <v>1.45484391E8</v>
      </c>
      <c r="D401" s="2" t="s">
        <v>28940</v>
      </c>
      <c r="E401" s="2">
        <v>21493.0</v>
      </c>
      <c r="F401" s="2">
        <v>924.0</v>
      </c>
      <c r="G401" s="2">
        <v>2532.0</v>
      </c>
      <c r="H401" s="2" t="s">
        <v>5905</v>
      </c>
      <c r="I401" s="2" t="s">
        <v>5906</v>
      </c>
      <c r="J401" s="2" t="s">
        <v>14778</v>
      </c>
      <c r="K401" s="2" t="s">
        <v>28941</v>
      </c>
    </row>
    <row r="402">
      <c r="A402" s="2" t="s">
        <v>28942</v>
      </c>
      <c r="B402" s="2" t="s">
        <v>28922</v>
      </c>
      <c r="C402" s="2">
        <v>2.06767728E9</v>
      </c>
      <c r="D402" s="2" t="s">
        <v>28923</v>
      </c>
      <c r="E402" s="2">
        <v>16614.0</v>
      </c>
      <c r="F402" s="2">
        <v>1542.0</v>
      </c>
      <c r="G402" s="2">
        <v>1082.0</v>
      </c>
      <c r="H402" s="2" t="s">
        <v>5905</v>
      </c>
      <c r="I402" s="2" t="s">
        <v>5906</v>
      </c>
      <c r="J402" s="2" t="s">
        <v>7414</v>
      </c>
      <c r="K402" s="2" t="s">
        <v>28924</v>
      </c>
      <c r="L402" s="10" t="s">
        <v>28925</v>
      </c>
    </row>
    <row r="403">
      <c r="A403" s="2" t="s">
        <v>28942</v>
      </c>
      <c r="B403" s="2" t="s">
        <v>28943</v>
      </c>
      <c r="C403" s="2">
        <v>3.58282495E8</v>
      </c>
      <c r="D403" s="2" t="s">
        <v>28944</v>
      </c>
      <c r="E403" s="2">
        <v>12381.0</v>
      </c>
      <c r="F403" s="2">
        <v>1463.0</v>
      </c>
      <c r="G403" s="2">
        <v>198.0</v>
      </c>
      <c r="H403" s="2" t="s">
        <v>5905</v>
      </c>
      <c r="I403" s="2" t="s">
        <v>5905</v>
      </c>
      <c r="J403" s="2" t="s">
        <v>5993</v>
      </c>
      <c r="K403" s="2" t="s">
        <v>28945</v>
      </c>
    </row>
    <row r="404">
      <c r="A404" s="2" t="s">
        <v>28942</v>
      </c>
      <c r="B404" s="2" t="s">
        <v>28870</v>
      </c>
      <c r="C404" s="2">
        <v>2.109731547E9</v>
      </c>
      <c r="D404" s="2" t="s">
        <v>28871</v>
      </c>
      <c r="E404" s="2">
        <v>10566.0</v>
      </c>
      <c r="F404" s="2">
        <v>5092.0</v>
      </c>
      <c r="G404" s="2">
        <v>4401.0</v>
      </c>
      <c r="H404" s="2" t="s">
        <v>5905</v>
      </c>
      <c r="I404" s="2" t="s">
        <v>5905</v>
      </c>
      <c r="J404" s="2" t="s">
        <v>5993</v>
      </c>
      <c r="K404" s="2" t="s">
        <v>28872</v>
      </c>
    </row>
    <row r="405">
      <c r="A405" s="2" t="s">
        <v>28946</v>
      </c>
      <c r="B405" s="2" t="s">
        <v>28947</v>
      </c>
      <c r="C405" s="2">
        <v>4.6487046425E10</v>
      </c>
      <c r="D405" s="2" t="s">
        <v>28948</v>
      </c>
      <c r="E405" s="2">
        <v>10583.0</v>
      </c>
      <c r="F405" s="2">
        <v>1108.0</v>
      </c>
      <c r="G405" s="2">
        <v>151.0</v>
      </c>
      <c r="H405" s="2" t="s">
        <v>5905</v>
      </c>
      <c r="I405" s="2" t="s">
        <v>5906</v>
      </c>
      <c r="J405" s="2" t="s">
        <v>7140</v>
      </c>
      <c r="K405" s="2" t="s">
        <v>28949</v>
      </c>
      <c r="L405" s="10" t="s">
        <v>28950</v>
      </c>
    </row>
    <row r="406">
      <c r="A406" s="2" t="s">
        <v>28946</v>
      </c>
      <c r="B406" s="2" t="s">
        <v>28217</v>
      </c>
      <c r="C406" s="2">
        <v>5.777480328E9</v>
      </c>
      <c r="D406" s="2" t="s">
        <v>28218</v>
      </c>
      <c r="E406" s="2">
        <v>10888.0</v>
      </c>
      <c r="F406" s="2">
        <v>2416.0</v>
      </c>
      <c r="G406" s="2">
        <v>238.0</v>
      </c>
      <c r="H406" s="2" t="s">
        <v>5905</v>
      </c>
      <c r="I406" s="2" t="s">
        <v>5905</v>
      </c>
      <c r="J406" s="2" t="s">
        <v>14778</v>
      </c>
      <c r="K406" s="2" t="s">
        <v>28219</v>
      </c>
      <c r="L406" s="10" t="s">
        <v>28220</v>
      </c>
    </row>
    <row r="407">
      <c r="A407" s="2" t="s">
        <v>28951</v>
      </c>
      <c r="B407" s="2" t="s">
        <v>28952</v>
      </c>
      <c r="C407" s="2">
        <v>3.528848781E9</v>
      </c>
      <c r="D407" s="2" t="s">
        <v>28953</v>
      </c>
      <c r="E407" s="2">
        <v>16102.0</v>
      </c>
      <c r="F407" s="2">
        <v>1873.0</v>
      </c>
      <c r="G407" s="2">
        <v>1093.0</v>
      </c>
      <c r="H407" s="2" t="s">
        <v>5905</v>
      </c>
      <c r="I407" s="2" t="s">
        <v>5905</v>
      </c>
      <c r="J407" s="2" t="s">
        <v>7140</v>
      </c>
      <c r="K407" s="2" t="s">
        <v>28954</v>
      </c>
    </row>
    <row r="408">
      <c r="A408" s="2" t="s">
        <v>28955</v>
      </c>
      <c r="B408" s="2" t="s">
        <v>28956</v>
      </c>
      <c r="C408" s="2">
        <v>1.837439873E9</v>
      </c>
      <c r="D408" s="2" t="s">
        <v>28957</v>
      </c>
      <c r="E408" s="2">
        <v>27503.0</v>
      </c>
      <c r="F408" s="2">
        <v>934.0</v>
      </c>
      <c r="G408" s="2">
        <v>1541.0</v>
      </c>
      <c r="H408" s="2" t="s">
        <v>5905</v>
      </c>
      <c r="I408" s="2" t="s">
        <v>5906</v>
      </c>
      <c r="J408" s="2" t="s">
        <v>28958</v>
      </c>
      <c r="K408" s="2" t="s">
        <v>28959</v>
      </c>
      <c r="L408" s="10" t="s">
        <v>28960</v>
      </c>
    </row>
    <row r="409">
      <c r="A409" s="2" t="s">
        <v>28961</v>
      </c>
      <c r="B409" s="2" t="s">
        <v>28962</v>
      </c>
      <c r="C409" s="2">
        <v>3.5578294011E10</v>
      </c>
      <c r="D409" s="2" t="s">
        <v>28963</v>
      </c>
      <c r="E409" s="2">
        <v>23688.0</v>
      </c>
      <c r="F409" s="2">
        <v>853.0</v>
      </c>
      <c r="G409" s="2">
        <v>323.0</v>
      </c>
      <c r="H409" s="2" t="s">
        <v>5905</v>
      </c>
      <c r="I409" s="2" t="s">
        <v>5905</v>
      </c>
      <c r="K409" s="2" t="s">
        <v>28964</v>
      </c>
    </row>
    <row r="410">
      <c r="A410" s="2" t="s">
        <v>28965</v>
      </c>
      <c r="B410" s="2" t="s">
        <v>28966</v>
      </c>
      <c r="C410" s="2">
        <v>6.2913674626E10</v>
      </c>
      <c r="D410" s="2" t="s">
        <v>28967</v>
      </c>
      <c r="E410" s="2">
        <v>12769.0</v>
      </c>
      <c r="F410" s="2">
        <v>0.0</v>
      </c>
      <c r="G410" s="2">
        <v>12.0</v>
      </c>
      <c r="H410" s="2" t="s">
        <v>5905</v>
      </c>
      <c r="I410" s="2" t="s">
        <v>5906</v>
      </c>
      <c r="J410" s="2" t="s">
        <v>6166</v>
      </c>
      <c r="K410" s="2" t="s">
        <v>28968</v>
      </c>
      <c r="L410" s="10" t="s">
        <v>28969</v>
      </c>
    </row>
    <row r="411">
      <c r="A411" s="2" t="s">
        <v>28970</v>
      </c>
      <c r="B411" s="2" t="s">
        <v>28971</v>
      </c>
      <c r="C411" s="2">
        <v>4.4068046405E10</v>
      </c>
      <c r="D411" s="2" t="s">
        <v>28972</v>
      </c>
      <c r="E411" s="2">
        <v>10905.0</v>
      </c>
      <c r="F411" s="2">
        <v>2540.0</v>
      </c>
      <c r="G411" s="2">
        <v>279.0</v>
      </c>
      <c r="H411" s="2" t="s">
        <v>5906</v>
      </c>
      <c r="I411" s="2" t="s">
        <v>5906</v>
      </c>
      <c r="J411" s="2" t="s">
        <v>5993</v>
      </c>
      <c r="K411" s="2" t="s">
        <v>28973</v>
      </c>
      <c r="L411" s="10" t="s">
        <v>28974</v>
      </c>
    </row>
    <row r="412">
      <c r="A412" s="2" t="s">
        <v>28975</v>
      </c>
      <c r="B412" s="2" t="s">
        <v>28976</v>
      </c>
      <c r="C412" s="2">
        <v>1.136102545E9</v>
      </c>
      <c r="D412" s="2" t="s">
        <v>28977</v>
      </c>
      <c r="E412" s="2">
        <v>13267.0</v>
      </c>
      <c r="F412" s="2">
        <v>648.0</v>
      </c>
      <c r="G412" s="2">
        <v>698.0</v>
      </c>
      <c r="H412" s="2" t="s">
        <v>5905</v>
      </c>
      <c r="I412" s="2" t="s">
        <v>5906</v>
      </c>
      <c r="J412" s="2" t="s">
        <v>5391</v>
      </c>
      <c r="K412" s="2" t="s">
        <v>28978</v>
      </c>
      <c r="L412" s="10" t="s">
        <v>28979</v>
      </c>
    </row>
    <row r="413">
      <c r="A413" s="2" t="s">
        <v>28980</v>
      </c>
      <c r="B413" s="2" t="s">
        <v>28981</v>
      </c>
      <c r="C413" s="2">
        <v>2.21411006E8</v>
      </c>
      <c r="D413" s="2" t="s">
        <v>28982</v>
      </c>
      <c r="E413" s="2">
        <v>227464.0</v>
      </c>
      <c r="F413" s="2">
        <v>1898.0</v>
      </c>
      <c r="G413" s="2">
        <v>1993.0</v>
      </c>
      <c r="H413" s="2" t="s">
        <v>5905</v>
      </c>
      <c r="I413" s="2" t="s">
        <v>5905</v>
      </c>
      <c r="J413" s="2" t="s">
        <v>5959</v>
      </c>
      <c r="K413" s="2" t="s">
        <v>28983</v>
      </c>
      <c r="L413" s="10" t="s">
        <v>28984</v>
      </c>
    </row>
    <row r="414">
      <c r="A414" s="2" t="s">
        <v>28985</v>
      </c>
      <c r="B414" s="2" t="s">
        <v>28986</v>
      </c>
      <c r="C414" s="2">
        <v>3.3280107367E10</v>
      </c>
      <c r="D414" s="2" t="s">
        <v>28987</v>
      </c>
      <c r="E414" s="2">
        <v>19458.0</v>
      </c>
      <c r="F414" s="2">
        <v>473.0</v>
      </c>
      <c r="G414" s="2">
        <v>559.0</v>
      </c>
      <c r="H414" s="2" t="s">
        <v>5905</v>
      </c>
      <c r="I414" s="2" t="s">
        <v>5906</v>
      </c>
      <c r="J414" s="2" t="s">
        <v>5963</v>
      </c>
      <c r="K414" s="2" t="s">
        <v>28988</v>
      </c>
    </row>
    <row r="415">
      <c r="A415" s="2" t="s">
        <v>28989</v>
      </c>
      <c r="B415" s="2" t="s">
        <v>28990</v>
      </c>
      <c r="C415" s="2">
        <v>8.538234167E9</v>
      </c>
      <c r="D415" s="2" t="s">
        <v>28991</v>
      </c>
      <c r="E415" s="2">
        <v>30623.0</v>
      </c>
      <c r="F415" s="2">
        <v>49.0</v>
      </c>
      <c r="G415" s="2">
        <v>2589.0</v>
      </c>
      <c r="H415" s="2" t="s">
        <v>5905</v>
      </c>
      <c r="I415" s="2" t="s">
        <v>5906</v>
      </c>
      <c r="J415" s="2" t="s">
        <v>7321</v>
      </c>
      <c r="K415" s="2" t="s">
        <v>28992</v>
      </c>
      <c r="L415" s="10" t="s">
        <v>28993</v>
      </c>
    </row>
    <row r="416">
      <c r="A416" s="2" t="s">
        <v>28994</v>
      </c>
      <c r="B416" s="2" t="s">
        <v>28995</v>
      </c>
      <c r="C416" s="2">
        <v>2.994095194E9</v>
      </c>
      <c r="D416" s="2" t="s">
        <v>28996</v>
      </c>
      <c r="E416" s="2">
        <v>30668.0</v>
      </c>
      <c r="F416" s="2">
        <v>1444.0</v>
      </c>
      <c r="G416" s="2">
        <v>17.0</v>
      </c>
      <c r="H416" s="2" t="s">
        <v>5905</v>
      </c>
      <c r="I416" s="2" t="s">
        <v>5905</v>
      </c>
      <c r="K416" s="2" t="s">
        <v>28997</v>
      </c>
    </row>
    <row r="417">
      <c r="A417" s="2" t="s">
        <v>28998</v>
      </c>
      <c r="B417" s="2" t="s">
        <v>27976</v>
      </c>
      <c r="C417" s="2">
        <v>5.37131399E9</v>
      </c>
      <c r="D417" s="2" t="s">
        <v>27538</v>
      </c>
      <c r="E417" s="2">
        <v>12049.0</v>
      </c>
      <c r="F417" s="2">
        <v>743.0</v>
      </c>
      <c r="G417" s="2">
        <v>69.0</v>
      </c>
      <c r="H417" s="2" t="s">
        <v>5905</v>
      </c>
      <c r="I417" s="2" t="s">
        <v>5906</v>
      </c>
      <c r="J417" s="2" t="s">
        <v>7689</v>
      </c>
      <c r="K417" s="2" t="s">
        <v>27977</v>
      </c>
    </row>
    <row r="418">
      <c r="A418" s="2" t="s">
        <v>28999</v>
      </c>
      <c r="B418" s="2" t="s">
        <v>29000</v>
      </c>
      <c r="C418" s="2">
        <v>7.533624346E9</v>
      </c>
      <c r="D418" s="12" t="s">
        <v>29001</v>
      </c>
      <c r="E418" s="2">
        <v>167806.0</v>
      </c>
      <c r="F418" s="2">
        <v>309.0</v>
      </c>
      <c r="G418" s="2">
        <v>6274.0</v>
      </c>
      <c r="H418" s="2" t="s">
        <v>5905</v>
      </c>
      <c r="I418" s="2" t="s">
        <v>5906</v>
      </c>
      <c r="J418" s="2" t="s">
        <v>5963</v>
      </c>
      <c r="K418" s="12" t="s">
        <v>29002</v>
      </c>
      <c r="L418" s="10" t="s">
        <v>29003</v>
      </c>
    </row>
    <row r="419">
      <c r="A419" s="2" t="s">
        <v>28999</v>
      </c>
      <c r="B419" s="2" t="s">
        <v>29004</v>
      </c>
      <c r="C419" s="2">
        <v>5.39168842E8</v>
      </c>
      <c r="D419" s="2" t="s">
        <v>29005</v>
      </c>
      <c r="E419" s="2">
        <v>52274.0</v>
      </c>
      <c r="F419" s="2">
        <v>2756.0</v>
      </c>
      <c r="G419" s="2">
        <v>1329.0</v>
      </c>
      <c r="H419" s="2" t="s">
        <v>5905</v>
      </c>
      <c r="I419" s="2" t="s">
        <v>5906</v>
      </c>
      <c r="J419" s="2" t="s">
        <v>7931</v>
      </c>
      <c r="K419" s="2" t="s">
        <v>29006</v>
      </c>
    </row>
    <row r="420">
      <c r="A420" s="2" t="s">
        <v>29007</v>
      </c>
      <c r="B420" s="2" t="s">
        <v>29008</v>
      </c>
      <c r="C420" s="2">
        <v>8.662469545E9</v>
      </c>
      <c r="D420" s="2" t="s">
        <v>29009</v>
      </c>
      <c r="E420" s="2">
        <v>20187.0</v>
      </c>
      <c r="F420" s="2">
        <v>1.0</v>
      </c>
      <c r="G420" s="2">
        <v>321.0</v>
      </c>
      <c r="H420" s="2" t="s">
        <v>5905</v>
      </c>
      <c r="I420" s="2" t="s">
        <v>5906</v>
      </c>
      <c r="J420" s="2" t="s">
        <v>7809</v>
      </c>
      <c r="K420" s="2" t="s">
        <v>29010</v>
      </c>
    </row>
    <row r="421">
      <c r="A421" s="2" t="s">
        <v>29007</v>
      </c>
      <c r="B421" s="2" t="s">
        <v>29011</v>
      </c>
      <c r="C421" s="2">
        <v>3.271085239E9</v>
      </c>
      <c r="D421" s="2" t="s">
        <v>29012</v>
      </c>
      <c r="E421" s="2">
        <v>12184.0</v>
      </c>
      <c r="F421" s="2">
        <v>2874.0</v>
      </c>
      <c r="G421" s="2">
        <v>224.0</v>
      </c>
      <c r="H421" s="2" t="s">
        <v>5905</v>
      </c>
      <c r="I421" s="2" t="s">
        <v>5906</v>
      </c>
      <c r="J421" s="2" t="s">
        <v>7414</v>
      </c>
      <c r="K421" s="2" t="s">
        <v>29013</v>
      </c>
    </row>
    <row r="422">
      <c r="A422" s="2" t="s">
        <v>29014</v>
      </c>
      <c r="B422" s="2" t="s">
        <v>29015</v>
      </c>
      <c r="C422" s="2">
        <v>3.04753428E9</v>
      </c>
      <c r="D422" s="2" t="s">
        <v>29016</v>
      </c>
      <c r="E422" s="2">
        <v>15966.0</v>
      </c>
      <c r="F422" s="2">
        <v>393.0</v>
      </c>
      <c r="G422" s="2">
        <v>1353.0</v>
      </c>
      <c r="H422" s="2" t="s">
        <v>5906</v>
      </c>
      <c r="I422" s="2" t="s">
        <v>5906</v>
      </c>
      <c r="J422" s="2" t="s">
        <v>7809</v>
      </c>
      <c r="K422" s="2" t="s">
        <v>29017</v>
      </c>
      <c r="L422" s="10" t="s">
        <v>29018</v>
      </c>
    </row>
    <row r="423">
      <c r="A423" s="2" t="s">
        <v>29019</v>
      </c>
      <c r="B423" s="2" t="s">
        <v>29020</v>
      </c>
      <c r="C423" s="2">
        <v>1.258558947E10</v>
      </c>
      <c r="D423" s="2" t="s">
        <v>29021</v>
      </c>
      <c r="E423" s="2">
        <v>10941.0</v>
      </c>
      <c r="F423" s="2">
        <v>1115.0</v>
      </c>
      <c r="G423" s="2">
        <v>709.0</v>
      </c>
      <c r="H423" s="2" t="s">
        <v>5906</v>
      </c>
      <c r="I423" s="2" t="s">
        <v>5905</v>
      </c>
      <c r="J423" s="2" t="s">
        <v>5959</v>
      </c>
      <c r="K423" s="2" t="s">
        <v>29022</v>
      </c>
      <c r="L423" s="10" t="s">
        <v>29023</v>
      </c>
    </row>
    <row r="424">
      <c r="A424" s="2" t="s">
        <v>29019</v>
      </c>
      <c r="B424" s="2" t="s">
        <v>29024</v>
      </c>
      <c r="C424" s="2">
        <v>5.4777119227E10</v>
      </c>
      <c r="D424" s="2" t="s">
        <v>29025</v>
      </c>
      <c r="E424" s="2">
        <v>148822.0</v>
      </c>
      <c r="F424" s="2">
        <v>192.0</v>
      </c>
      <c r="G424" s="2">
        <v>262.0</v>
      </c>
      <c r="H424" s="2" t="s">
        <v>5905</v>
      </c>
      <c r="I424" s="2" t="s">
        <v>5906</v>
      </c>
      <c r="J424" s="2" t="s">
        <v>11316</v>
      </c>
      <c r="K424" s="2" t="s">
        <v>29026</v>
      </c>
      <c r="L424" s="10" t="s">
        <v>29027</v>
      </c>
    </row>
    <row r="425">
      <c r="A425" s="2" t="s">
        <v>29028</v>
      </c>
      <c r="B425" s="2" t="s">
        <v>29029</v>
      </c>
      <c r="C425" s="2">
        <v>1.91353096E8</v>
      </c>
      <c r="D425" s="2" t="s">
        <v>29030</v>
      </c>
      <c r="E425" s="2">
        <v>14929.0</v>
      </c>
      <c r="F425" s="2">
        <v>343.0</v>
      </c>
      <c r="G425" s="2">
        <v>715.0</v>
      </c>
      <c r="H425" s="2" t="s">
        <v>5905</v>
      </c>
      <c r="I425" s="2" t="s">
        <v>5905</v>
      </c>
      <c r="J425" s="2" t="s">
        <v>14778</v>
      </c>
      <c r="K425" s="2" t="s">
        <v>29031</v>
      </c>
      <c r="L425" s="10" t="s">
        <v>29032</v>
      </c>
    </row>
    <row r="426">
      <c r="A426" s="2" t="s">
        <v>29033</v>
      </c>
      <c r="B426" s="2" t="s">
        <v>29034</v>
      </c>
      <c r="C426" s="2">
        <v>1.091752787E9</v>
      </c>
      <c r="D426" s="2" t="s">
        <v>29035</v>
      </c>
      <c r="E426" s="2">
        <v>31227.0</v>
      </c>
      <c r="F426" s="2">
        <v>4887.0</v>
      </c>
      <c r="G426" s="2">
        <v>68.0</v>
      </c>
      <c r="H426" s="2" t="s">
        <v>5905</v>
      </c>
      <c r="I426" s="2" t="s">
        <v>5906</v>
      </c>
      <c r="J426" s="2" t="s">
        <v>6166</v>
      </c>
      <c r="K426" s="2" t="s">
        <v>29036</v>
      </c>
      <c r="L426" s="10" t="s">
        <v>29037</v>
      </c>
    </row>
    <row r="427">
      <c r="A427" s="2" t="s">
        <v>29038</v>
      </c>
      <c r="B427" s="2" t="s">
        <v>29039</v>
      </c>
      <c r="C427" s="2">
        <v>6.1119210314E10</v>
      </c>
      <c r="D427" s="2" t="s">
        <v>29040</v>
      </c>
      <c r="E427" s="2">
        <v>23025.0</v>
      </c>
      <c r="F427" s="2">
        <v>2.0</v>
      </c>
      <c r="G427" s="2">
        <v>136.0</v>
      </c>
      <c r="H427" s="2" t="s">
        <v>5905</v>
      </c>
      <c r="I427" s="2" t="s">
        <v>5906</v>
      </c>
      <c r="J427" s="2" t="s">
        <v>6393</v>
      </c>
      <c r="K427" s="2" t="s">
        <v>29041</v>
      </c>
      <c r="L427" s="10" t="s">
        <v>29042</v>
      </c>
    </row>
    <row r="428">
      <c r="A428" s="2" t="s">
        <v>29038</v>
      </c>
      <c r="B428" s="2" t="s">
        <v>29043</v>
      </c>
      <c r="C428" s="2">
        <v>9.0433366E8</v>
      </c>
      <c r="D428" s="2" t="s">
        <v>29044</v>
      </c>
      <c r="E428" s="2">
        <v>16687.0</v>
      </c>
      <c r="F428" s="2">
        <v>97.0</v>
      </c>
      <c r="G428" s="2">
        <v>200.0</v>
      </c>
      <c r="H428" s="2" t="s">
        <v>5905</v>
      </c>
      <c r="I428" s="2" t="s">
        <v>5906</v>
      </c>
      <c r="J428" s="2" t="s">
        <v>6393</v>
      </c>
      <c r="K428" s="2" t="s">
        <v>29045</v>
      </c>
      <c r="L428" s="10" t="s">
        <v>29046</v>
      </c>
    </row>
    <row r="429">
      <c r="A429" s="2" t="s">
        <v>29038</v>
      </c>
      <c r="B429" s="2" t="s">
        <v>29047</v>
      </c>
      <c r="C429" s="2">
        <v>1.82968146E8</v>
      </c>
      <c r="D429" s="2" t="s">
        <v>29048</v>
      </c>
      <c r="E429" s="2">
        <v>16825.0</v>
      </c>
      <c r="F429" s="2">
        <v>292.0</v>
      </c>
      <c r="G429" s="2">
        <v>177.0</v>
      </c>
      <c r="H429" s="2" t="s">
        <v>5905</v>
      </c>
      <c r="I429" s="2" t="s">
        <v>5906</v>
      </c>
      <c r="J429" s="2" t="s">
        <v>4404</v>
      </c>
      <c r="K429" s="2" t="s">
        <v>29049</v>
      </c>
    </row>
    <row r="430">
      <c r="A430" s="2" t="s">
        <v>29038</v>
      </c>
      <c r="B430" s="2" t="s">
        <v>29050</v>
      </c>
      <c r="C430" s="2">
        <v>5.67786318E8</v>
      </c>
      <c r="D430" s="2" t="s">
        <v>29051</v>
      </c>
      <c r="E430" s="2">
        <v>10383.0</v>
      </c>
      <c r="F430" s="2">
        <v>4518.0</v>
      </c>
      <c r="G430" s="2">
        <v>653.0</v>
      </c>
      <c r="H430" s="2" t="s">
        <v>5906</v>
      </c>
      <c r="I430" s="2" t="s">
        <v>5905</v>
      </c>
      <c r="J430" s="2" t="s">
        <v>5492</v>
      </c>
      <c r="K430" s="2" t="s">
        <v>29052</v>
      </c>
    </row>
    <row r="431">
      <c r="A431" s="2" t="s">
        <v>29038</v>
      </c>
      <c r="B431" s="2" t="s">
        <v>29053</v>
      </c>
      <c r="C431" s="2">
        <v>1.465452476E9</v>
      </c>
      <c r="D431" s="2" t="s">
        <v>29054</v>
      </c>
      <c r="E431" s="2">
        <v>17864.0</v>
      </c>
      <c r="F431" s="2">
        <v>1026.0</v>
      </c>
      <c r="G431" s="2">
        <v>758.0</v>
      </c>
      <c r="H431" s="2" t="s">
        <v>5905</v>
      </c>
      <c r="I431" s="2" t="s">
        <v>5906</v>
      </c>
      <c r="J431" s="2" t="s">
        <v>19328</v>
      </c>
      <c r="K431" s="2" t="s">
        <v>29055</v>
      </c>
      <c r="L431" s="10" t="s">
        <v>29056</v>
      </c>
    </row>
    <row r="432">
      <c r="A432" s="2" t="s">
        <v>29057</v>
      </c>
      <c r="B432" s="2" t="s">
        <v>29058</v>
      </c>
      <c r="C432" s="2">
        <v>3.004847276E9</v>
      </c>
      <c r="D432" s="2" t="s">
        <v>29059</v>
      </c>
      <c r="E432" s="2">
        <v>46389.0</v>
      </c>
      <c r="F432" s="2">
        <v>23.0</v>
      </c>
      <c r="G432" s="2">
        <v>3108.0</v>
      </c>
      <c r="H432" s="2" t="s">
        <v>5906</v>
      </c>
      <c r="I432" s="2" t="s">
        <v>5906</v>
      </c>
      <c r="J432" s="2" t="s">
        <v>29060</v>
      </c>
      <c r="K432" s="2" t="s">
        <v>29061</v>
      </c>
      <c r="L432" s="10" t="s">
        <v>29062</v>
      </c>
    </row>
    <row r="433">
      <c r="A433" s="2" t="s">
        <v>29057</v>
      </c>
      <c r="B433" s="2" t="s">
        <v>29063</v>
      </c>
      <c r="C433" s="2">
        <v>5.7814467176E10</v>
      </c>
      <c r="D433" s="2" t="s">
        <v>29064</v>
      </c>
      <c r="E433" s="2">
        <v>14289.0</v>
      </c>
      <c r="F433" s="2">
        <v>0.0</v>
      </c>
      <c r="G433" s="2">
        <v>623.0</v>
      </c>
      <c r="H433" s="2" t="s">
        <v>5905</v>
      </c>
      <c r="I433" s="2" t="s">
        <v>5906</v>
      </c>
      <c r="J433" s="2" t="s">
        <v>8604</v>
      </c>
    </row>
    <row r="434">
      <c r="A434" s="2" t="s">
        <v>29057</v>
      </c>
      <c r="B434" s="2" t="s">
        <v>29065</v>
      </c>
      <c r="C434" s="2">
        <v>3.220474871E9</v>
      </c>
      <c r="D434" s="2" t="s">
        <v>29066</v>
      </c>
      <c r="E434" s="2">
        <v>12122.0</v>
      </c>
      <c r="F434" s="2">
        <v>4982.0</v>
      </c>
      <c r="G434" s="2">
        <v>624.0</v>
      </c>
      <c r="H434" s="2" t="s">
        <v>5905</v>
      </c>
      <c r="I434" s="2" t="s">
        <v>5906</v>
      </c>
      <c r="J434" s="2" t="s">
        <v>5963</v>
      </c>
      <c r="K434" s="2" t="s">
        <v>29067</v>
      </c>
    </row>
    <row r="435">
      <c r="A435" s="2" t="s">
        <v>29057</v>
      </c>
      <c r="B435" s="2" t="s">
        <v>29068</v>
      </c>
      <c r="C435" s="2">
        <v>6.221977627E9</v>
      </c>
      <c r="D435" s="2" t="s">
        <v>29069</v>
      </c>
      <c r="E435" s="2">
        <v>28276.0</v>
      </c>
      <c r="F435" s="2">
        <v>1523.0</v>
      </c>
      <c r="G435" s="2">
        <v>1471.0</v>
      </c>
      <c r="H435" s="2" t="s">
        <v>5906</v>
      </c>
      <c r="I435" s="2" t="s">
        <v>5905</v>
      </c>
      <c r="J435" s="2" t="s">
        <v>7931</v>
      </c>
      <c r="K435" s="2" t="s">
        <v>29070</v>
      </c>
    </row>
    <row r="436">
      <c r="A436" s="2" t="s">
        <v>29071</v>
      </c>
      <c r="B436" s="2" t="s">
        <v>29072</v>
      </c>
      <c r="C436" s="2">
        <v>7.2436125E9</v>
      </c>
      <c r="D436" s="2" t="s">
        <v>29073</v>
      </c>
      <c r="E436" s="2">
        <v>20641.0</v>
      </c>
      <c r="F436" s="2">
        <v>198.0</v>
      </c>
      <c r="G436" s="2">
        <v>712.0</v>
      </c>
      <c r="H436" s="2" t="s">
        <v>5905</v>
      </c>
      <c r="I436" s="2" t="s">
        <v>5906</v>
      </c>
      <c r="J436" s="2" t="s">
        <v>24519</v>
      </c>
      <c r="K436" s="2" t="s">
        <v>29074</v>
      </c>
      <c r="L436" s="10" t="s">
        <v>29075</v>
      </c>
    </row>
    <row r="437">
      <c r="A437" s="2" t="s">
        <v>29071</v>
      </c>
      <c r="B437" s="2" t="s">
        <v>29076</v>
      </c>
      <c r="C437" s="2">
        <v>4.8686230958E10</v>
      </c>
      <c r="D437" s="2" t="s">
        <v>29077</v>
      </c>
      <c r="E437" s="2">
        <v>29567.0</v>
      </c>
      <c r="F437" s="2">
        <v>1719.0</v>
      </c>
      <c r="G437" s="2">
        <v>1017.0</v>
      </c>
      <c r="H437" s="2" t="s">
        <v>5906</v>
      </c>
      <c r="I437" s="2" t="s">
        <v>5906</v>
      </c>
      <c r="J437" s="2" t="s">
        <v>5959</v>
      </c>
      <c r="K437" s="2" t="s">
        <v>29078</v>
      </c>
    </row>
    <row r="438">
      <c r="A438" s="2" t="s">
        <v>29071</v>
      </c>
      <c r="B438" s="2" t="s">
        <v>29079</v>
      </c>
      <c r="C438" s="2">
        <v>6.2050819369E10</v>
      </c>
      <c r="D438" s="2" t="s">
        <v>29080</v>
      </c>
      <c r="E438" s="2">
        <v>10101.0</v>
      </c>
      <c r="F438" s="2">
        <v>0.0</v>
      </c>
      <c r="G438" s="2">
        <v>135.0</v>
      </c>
      <c r="H438" s="2" t="s">
        <v>5905</v>
      </c>
      <c r="I438" s="2" t="s">
        <v>5906</v>
      </c>
      <c r="J438" s="2" t="s">
        <v>5963</v>
      </c>
      <c r="K438" s="2" t="s">
        <v>29081</v>
      </c>
    </row>
    <row r="439">
      <c r="A439" s="2" t="s">
        <v>29071</v>
      </c>
      <c r="B439" s="2" t="s">
        <v>29082</v>
      </c>
      <c r="C439" s="2">
        <v>4.6522326104E10</v>
      </c>
      <c r="D439" s="2" t="s">
        <v>29083</v>
      </c>
      <c r="E439" s="2">
        <v>91519.0</v>
      </c>
      <c r="F439" s="2">
        <v>5880.0</v>
      </c>
      <c r="G439" s="2">
        <v>280.0</v>
      </c>
      <c r="H439" s="2" t="s">
        <v>5906</v>
      </c>
      <c r="I439" s="2" t="s">
        <v>5905</v>
      </c>
      <c r="J439" s="2" t="s">
        <v>29084</v>
      </c>
      <c r="K439" s="2" t="s">
        <v>29085</v>
      </c>
      <c r="L439" s="10" t="s">
        <v>29086</v>
      </c>
    </row>
    <row r="440">
      <c r="A440" s="2" t="s">
        <v>29087</v>
      </c>
      <c r="B440" s="10" t="s">
        <v>29088</v>
      </c>
      <c r="C440" s="2">
        <v>2.260088587E9</v>
      </c>
      <c r="D440" s="2" t="s">
        <v>29089</v>
      </c>
      <c r="E440" s="2">
        <v>23166.0</v>
      </c>
      <c r="F440" s="2">
        <v>3.0</v>
      </c>
      <c r="G440" s="2">
        <v>81.0</v>
      </c>
      <c r="H440" s="2" t="s">
        <v>5905</v>
      </c>
      <c r="I440" s="2" t="s">
        <v>5906</v>
      </c>
      <c r="J440" s="2" t="s">
        <v>6002</v>
      </c>
      <c r="K440" s="2" t="s">
        <v>29090</v>
      </c>
    </row>
    <row r="441">
      <c r="A441" s="2" t="s">
        <v>29091</v>
      </c>
      <c r="B441" s="2" t="s">
        <v>29092</v>
      </c>
      <c r="C441" s="2">
        <v>5.6534015755E10</v>
      </c>
      <c r="D441" s="2" t="s">
        <v>29093</v>
      </c>
      <c r="E441" s="2">
        <v>10408.0</v>
      </c>
      <c r="F441" s="2">
        <v>85.0</v>
      </c>
      <c r="G441" s="2">
        <v>94.0</v>
      </c>
      <c r="H441" s="2" t="s">
        <v>5906</v>
      </c>
      <c r="I441" s="2" t="s">
        <v>5906</v>
      </c>
      <c r="J441" s="2" t="s">
        <v>8201</v>
      </c>
      <c r="K441" s="2" t="s">
        <v>29094</v>
      </c>
    </row>
    <row r="442">
      <c r="A442" s="2" t="s">
        <v>29095</v>
      </c>
      <c r="B442" s="2" t="s">
        <v>29096</v>
      </c>
      <c r="C442" s="2">
        <v>2.73582539E8</v>
      </c>
      <c r="D442" s="2" t="s">
        <v>29097</v>
      </c>
      <c r="E442" s="2">
        <v>19563.0</v>
      </c>
      <c r="F442" s="2">
        <v>2616.0</v>
      </c>
      <c r="G442" s="2">
        <v>1710.0</v>
      </c>
      <c r="H442" s="2" t="s">
        <v>5905</v>
      </c>
      <c r="I442" s="2" t="s">
        <v>5906</v>
      </c>
      <c r="J442" s="2" t="s">
        <v>5492</v>
      </c>
      <c r="K442" s="2" t="s">
        <v>29098</v>
      </c>
      <c r="L442" s="10" t="s">
        <v>29099</v>
      </c>
    </row>
    <row r="443">
      <c r="A443" s="2" t="s">
        <v>29095</v>
      </c>
      <c r="B443" s="2" t="s">
        <v>29100</v>
      </c>
      <c r="C443" s="2">
        <v>6.38037687E8</v>
      </c>
      <c r="D443" s="2" t="s">
        <v>29101</v>
      </c>
      <c r="E443" s="2">
        <v>10829.0</v>
      </c>
      <c r="F443" s="2">
        <v>998.0</v>
      </c>
      <c r="G443" s="2">
        <v>10.0</v>
      </c>
      <c r="H443" s="2" t="s">
        <v>5905</v>
      </c>
      <c r="I443" s="2" t="s">
        <v>5906</v>
      </c>
      <c r="J443" s="2" t="s">
        <v>5993</v>
      </c>
      <c r="K443" s="2" t="s">
        <v>29102</v>
      </c>
    </row>
    <row r="444">
      <c r="A444" s="2" t="s">
        <v>29103</v>
      </c>
      <c r="B444" s="2" t="s">
        <v>29104</v>
      </c>
      <c r="C444" s="2">
        <v>2.951235767E9</v>
      </c>
      <c r="D444" s="2" t="s">
        <v>29105</v>
      </c>
      <c r="E444" s="2">
        <v>19169.0</v>
      </c>
      <c r="F444" s="2">
        <v>977.0</v>
      </c>
      <c r="G444" s="2">
        <v>239.0</v>
      </c>
      <c r="H444" s="2" t="s">
        <v>5906</v>
      </c>
      <c r="I444" s="2" t="s">
        <v>5905</v>
      </c>
      <c r="J444" s="2" t="s">
        <v>7414</v>
      </c>
      <c r="K444" s="2" t="s">
        <v>29106</v>
      </c>
    </row>
    <row r="445">
      <c r="A445" s="2" t="s">
        <v>29103</v>
      </c>
      <c r="B445" s="2" t="s">
        <v>29107</v>
      </c>
      <c r="C445" s="2">
        <v>1.33468194E9</v>
      </c>
      <c r="D445" s="2" t="s">
        <v>29108</v>
      </c>
      <c r="E445" s="2">
        <v>53804.0</v>
      </c>
      <c r="F445" s="2">
        <v>0.0</v>
      </c>
      <c r="G445" s="2">
        <v>727.0</v>
      </c>
      <c r="H445" s="2" t="s">
        <v>5905</v>
      </c>
      <c r="I445" s="2" t="s">
        <v>5906</v>
      </c>
      <c r="J445" s="2" t="s">
        <v>5993</v>
      </c>
      <c r="K445" s="2" t="s">
        <v>29109</v>
      </c>
      <c r="L445" s="10" t="s">
        <v>29110</v>
      </c>
    </row>
    <row r="446">
      <c r="A446" s="2" t="s">
        <v>29103</v>
      </c>
      <c r="B446" s="2" t="s">
        <v>29111</v>
      </c>
      <c r="C446" s="2">
        <v>1.3735779557E10</v>
      </c>
      <c r="D446" s="2" t="s">
        <v>29112</v>
      </c>
      <c r="E446" s="2">
        <v>125479.0</v>
      </c>
      <c r="F446" s="2">
        <v>505.0</v>
      </c>
      <c r="G446" s="2">
        <v>348.0</v>
      </c>
      <c r="H446" s="2" t="s">
        <v>5905</v>
      </c>
      <c r="I446" s="2" t="s">
        <v>5906</v>
      </c>
      <c r="J446" s="2" t="s">
        <v>7140</v>
      </c>
      <c r="K446" s="2" t="s">
        <v>29113</v>
      </c>
    </row>
    <row r="447">
      <c r="A447" s="2" t="s">
        <v>29103</v>
      </c>
      <c r="B447" s="2" t="s">
        <v>29114</v>
      </c>
      <c r="C447" s="2">
        <v>1.490465481E9</v>
      </c>
      <c r="D447" s="2" t="s">
        <v>29115</v>
      </c>
      <c r="E447" s="2">
        <v>39793.0</v>
      </c>
      <c r="F447" s="2">
        <v>2059.0</v>
      </c>
      <c r="G447" s="2">
        <v>518.0</v>
      </c>
      <c r="H447" s="2" t="s">
        <v>5905</v>
      </c>
      <c r="I447" s="2" t="s">
        <v>5905</v>
      </c>
      <c r="J447" s="2" t="s">
        <v>14778</v>
      </c>
      <c r="K447" s="2" t="s">
        <v>29116</v>
      </c>
    </row>
    <row r="448">
      <c r="A448" s="2" t="s">
        <v>29103</v>
      </c>
      <c r="B448" s="2" t="s">
        <v>29117</v>
      </c>
      <c r="C448" s="2">
        <v>3.171578614E9</v>
      </c>
      <c r="D448" s="2" t="s">
        <v>29118</v>
      </c>
      <c r="E448" s="2">
        <v>10609.0</v>
      </c>
      <c r="F448" s="2">
        <v>902.0</v>
      </c>
      <c r="G448" s="2">
        <v>132.0</v>
      </c>
      <c r="H448" s="2" t="s">
        <v>5905</v>
      </c>
      <c r="I448" s="2" t="s">
        <v>5906</v>
      </c>
      <c r="J448" s="2" t="s">
        <v>14778</v>
      </c>
      <c r="K448" s="2" t="s">
        <v>29119</v>
      </c>
    </row>
    <row r="449">
      <c r="A449" s="2" t="s">
        <v>29103</v>
      </c>
      <c r="B449" s="2" t="s">
        <v>29120</v>
      </c>
      <c r="C449" s="2">
        <v>1.317952352E9</v>
      </c>
      <c r="D449" s="2" t="s">
        <v>29121</v>
      </c>
      <c r="E449" s="2">
        <v>18637.0</v>
      </c>
      <c r="F449" s="2">
        <v>3514.0</v>
      </c>
      <c r="G449" s="2">
        <v>650.0</v>
      </c>
      <c r="H449" s="2" t="s">
        <v>5906</v>
      </c>
      <c r="I449" s="2" t="s">
        <v>5906</v>
      </c>
      <c r="J449" s="2" t="s">
        <v>5993</v>
      </c>
      <c r="K449" s="2" t="s">
        <v>29122</v>
      </c>
    </row>
    <row r="450">
      <c r="A450" s="2" t="s">
        <v>29123</v>
      </c>
      <c r="B450" s="2" t="s">
        <v>29124</v>
      </c>
      <c r="C450" s="2">
        <v>5.1511006E7</v>
      </c>
      <c r="D450" s="2" t="s">
        <v>29125</v>
      </c>
      <c r="E450" s="2">
        <v>10949.0</v>
      </c>
      <c r="F450" s="2">
        <v>1766.0</v>
      </c>
      <c r="G450" s="2">
        <v>1473.0</v>
      </c>
      <c r="H450" s="2" t="s">
        <v>5905</v>
      </c>
      <c r="I450" s="2" t="s">
        <v>5905</v>
      </c>
      <c r="J450" s="2" t="s">
        <v>5959</v>
      </c>
      <c r="K450" s="2" t="s">
        <v>29126</v>
      </c>
      <c r="L450" s="10" t="s">
        <v>29127</v>
      </c>
    </row>
    <row r="451">
      <c r="A451" s="2" t="s">
        <v>29128</v>
      </c>
      <c r="B451" s="2" t="s">
        <v>29129</v>
      </c>
      <c r="C451" s="2">
        <v>1.386483356E9</v>
      </c>
      <c r="D451" s="2" t="s">
        <v>29130</v>
      </c>
      <c r="E451" s="2">
        <v>48907.0</v>
      </c>
      <c r="F451" s="2">
        <v>87.0</v>
      </c>
      <c r="G451" s="2">
        <v>1074.0</v>
      </c>
      <c r="H451" s="2" t="s">
        <v>5905</v>
      </c>
      <c r="I451" s="2" t="s">
        <v>5906</v>
      </c>
      <c r="K451" s="2" t="s">
        <v>29131</v>
      </c>
    </row>
    <row r="452">
      <c r="A452" s="2" t="s">
        <v>29128</v>
      </c>
      <c r="B452" s="2" t="s">
        <v>29132</v>
      </c>
      <c r="C452" s="2">
        <v>2.030196742E9</v>
      </c>
      <c r="D452" s="2" t="s">
        <v>29132</v>
      </c>
      <c r="E452" s="2">
        <v>25269.0</v>
      </c>
      <c r="F452" s="2">
        <v>800.0</v>
      </c>
      <c r="G452" s="2">
        <v>86.0</v>
      </c>
      <c r="H452" s="2" t="s">
        <v>5905</v>
      </c>
      <c r="I452" s="2" t="s">
        <v>5905</v>
      </c>
      <c r="K452" s="2" t="s">
        <v>29133</v>
      </c>
      <c r="L452" s="10" t="s">
        <v>29134</v>
      </c>
    </row>
    <row r="453">
      <c r="A453" s="2" t="s">
        <v>29135</v>
      </c>
      <c r="B453" s="2" t="s">
        <v>29136</v>
      </c>
      <c r="C453" s="2">
        <v>5.796528546E9</v>
      </c>
      <c r="D453" s="2" t="s">
        <v>29137</v>
      </c>
      <c r="E453" s="2">
        <v>10130.0</v>
      </c>
      <c r="F453" s="2">
        <v>1044.0</v>
      </c>
      <c r="G453" s="2">
        <v>1814.0</v>
      </c>
      <c r="H453" s="2" t="s">
        <v>5905</v>
      </c>
      <c r="I453" s="2" t="s">
        <v>5906</v>
      </c>
      <c r="J453" s="2" t="s">
        <v>5993</v>
      </c>
      <c r="K453" s="2" t="s">
        <v>29138</v>
      </c>
      <c r="L453" s="10" t="s">
        <v>29139</v>
      </c>
    </row>
    <row r="454">
      <c r="A454" s="2" t="s">
        <v>29135</v>
      </c>
      <c r="B454" s="2" t="s">
        <v>28947</v>
      </c>
      <c r="C454" s="2">
        <v>4.6487046425E10</v>
      </c>
      <c r="D454" s="2" t="s">
        <v>28948</v>
      </c>
      <c r="E454" s="2">
        <v>10583.0</v>
      </c>
      <c r="F454" s="2">
        <v>1108.0</v>
      </c>
      <c r="G454" s="2">
        <v>151.0</v>
      </c>
      <c r="H454" s="2" t="s">
        <v>5905</v>
      </c>
      <c r="I454" s="2" t="s">
        <v>5906</v>
      </c>
      <c r="J454" s="2" t="s">
        <v>7140</v>
      </c>
      <c r="K454" s="2" t="s">
        <v>28949</v>
      </c>
      <c r="L454" s="10" t="s">
        <v>28950</v>
      </c>
    </row>
    <row r="455">
      <c r="A455" s="2" t="s">
        <v>29140</v>
      </c>
      <c r="B455" s="2" t="s">
        <v>29141</v>
      </c>
      <c r="C455" s="2">
        <v>7.59911138E9</v>
      </c>
      <c r="D455" s="2" t="s">
        <v>29142</v>
      </c>
      <c r="E455" s="2">
        <v>27252.0</v>
      </c>
      <c r="F455" s="2">
        <v>7.0</v>
      </c>
      <c r="G455" s="2">
        <v>24.0</v>
      </c>
      <c r="H455" s="2" t="s">
        <v>5905</v>
      </c>
      <c r="I455" s="2" t="s">
        <v>5906</v>
      </c>
      <c r="J455" s="2" t="s">
        <v>14778</v>
      </c>
      <c r="K455" s="12" t="s">
        <v>29143</v>
      </c>
    </row>
    <row r="456">
      <c r="A456" s="2" t="s">
        <v>29140</v>
      </c>
      <c r="B456" s="2" t="s">
        <v>29144</v>
      </c>
      <c r="C456" s="2">
        <v>3.937826809E9</v>
      </c>
      <c r="D456" s="2" t="s">
        <v>29145</v>
      </c>
      <c r="E456" s="2">
        <v>44217.0</v>
      </c>
      <c r="F456" s="2">
        <v>243.0</v>
      </c>
      <c r="G456" s="2">
        <v>458.0</v>
      </c>
      <c r="H456" s="2" t="s">
        <v>5905</v>
      </c>
      <c r="I456" s="2" t="s">
        <v>5906</v>
      </c>
      <c r="J456" s="2" t="s">
        <v>7414</v>
      </c>
      <c r="K456" s="2" t="s">
        <v>29146</v>
      </c>
    </row>
    <row r="457">
      <c r="A457" s="2" t="s">
        <v>29140</v>
      </c>
      <c r="B457" s="2" t="s">
        <v>29147</v>
      </c>
      <c r="C457" s="2">
        <v>4.5708520496E10</v>
      </c>
      <c r="D457" s="2" t="s">
        <v>29148</v>
      </c>
      <c r="E457" s="2">
        <v>15343.0</v>
      </c>
      <c r="F457" s="2">
        <v>7503.0</v>
      </c>
      <c r="G457" s="2">
        <v>328.0</v>
      </c>
      <c r="H457" s="2" t="s">
        <v>5905</v>
      </c>
      <c r="I457" s="2" t="s">
        <v>5906</v>
      </c>
      <c r="J457" s="2" t="s">
        <v>5993</v>
      </c>
      <c r="K457" s="2" t="s">
        <v>29149</v>
      </c>
    </row>
    <row r="458">
      <c r="A458" s="2" t="s">
        <v>29140</v>
      </c>
      <c r="B458" s="2" t="s">
        <v>29150</v>
      </c>
      <c r="C458" s="2">
        <v>4.00945065E9</v>
      </c>
      <c r="D458" s="2" t="s">
        <v>29151</v>
      </c>
      <c r="E458" s="2">
        <v>18455.0</v>
      </c>
      <c r="F458" s="2">
        <v>909.0</v>
      </c>
      <c r="G458" s="2">
        <v>474.0</v>
      </c>
      <c r="H458" s="2" t="s">
        <v>5905</v>
      </c>
      <c r="I458" s="2" t="s">
        <v>5906</v>
      </c>
      <c r="J458" s="2" t="s">
        <v>14778</v>
      </c>
      <c r="K458" s="2" t="s">
        <v>29152</v>
      </c>
    </row>
    <row r="459">
      <c r="A459" s="2" t="s">
        <v>29153</v>
      </c>
      <c r="B459" s="2" t="s">
        <v>29096</v>
      </c>
      <c r="C459" s="2">
        <v>2.73582539E8</v>
      </c>
      <c r="D459" s="2" t="s">
        <v>29097</v>
      </c>
      <c r="E459" s="2">
        <v>19563.0</v>
      </c>
      <c r="F459" s="2">
        <v>2616.0</v>
      </c>
      <c r="G459" s="2">
        <v>1710.0</v>
      </c>
      <c r="H459" s="2" t="s">
        <v>5905</v>
      </c>
      <c r="I459" s="2" t="s">
        <v>5906</v>
      </c>
      <c r="J459" s="2" t="s">
        <v>5492</v>
      </c>
      <c r="K459" s="2" t="s">
        <v>29098</v>
      </c>
      <c r="L459" s="10" t="s">
        <v>29099</v>
      </c>
    </row>
    <row r="460">
      <c r="A460" s="2" t="s">
        <v>29153</v>
      </c>
      <c r="B460" s="2" t="s">
        <v>29100</v>
      </c>
      <c r="C460" s="2">
        <v>6.38037687E8</v>
      </c>
      <c r="D460" s="2" t="s">
        <v>29101</v>
      </c>
      <c r="E460" s="2">
        <v>10829.0</v>
      </c>
      <c r="F460" s="2">
        <v>998.0</v>
      </c>
      <c r="G460" s="2">
        <v>10.0</v>
      </c>
      <c r="H460" s="2" t="s">
        <v>5905</v>
      </c>
      <c r="I460" s="2" t="s">
        <v>5906</v>
      </c>
      <c r="J460" s="2" t="s">
        <v>5993</v>
      </c>
      <c r="K460" s="2" t="s">
        <v>29102</v>
      </c>
    </row>
    <row r="461">
      <c r="A461" s="2" t="s">
        <v>29153</v>
      </c>
      <c r="B461" s="2" t="s">
        <v>29154</v>
      </c>
      <c r="C461" s="2">
        <v>3.47402982E8</v>
      </c>
      <c r="D461" s="2" t="s">
        <v>29155</v>
      </c>
      <c r="E461" s="2">
        <v>12656.0</v>
      </c>
      <c r="F461" s="2">
        <v>1905.0</v>
      </c>
      <c r="G461" s="2">
        <v>1059.0</v>
      </c>
      <c r="H461" s="2" t="s">
        <v>5905</v>
      </c>
      <c r="I461" s="2" t="s">
        <v>5906</v>
      </c>
      <c r="J461" s="2" t="s">
        <v>5492</v>
      </c>
      <c r="K461" s="2" t="s">
        <v>29156</v>
      </c>
      <c r="L461" s="10" t="s">
        <v>29157</v>
      </c>
    </row>
    <row r="462">
      <c r="A462" s="2" t="s">
        <v>29158</v>
      </c>
      <c r="B462" s="2" t="s">
        <v>29029</v>
      </c>
      <c r="C462" s="2">
        <v>1.91353096E8</v>
      </c>
      <c r="D462" s="2" t="s">
        <v>29030</v>
      </c>
      <c r="E462" s="2">
        <v>14929.0</v>
      </c>
      <c r="F462" s="2">
        <v>343.0</v>
      </c>
      <c r="G462" s="2">
        <v>715.0</v>
      </c>
      <c r="H462" s="2" t="s">
        <v>5905</v>
      </c>
      <c r="I462" s="2" t="s">
        <v>5905</v>
      </c>
      <c r="J462" s="2" t="s">
        <v>14778</v>
      </c>
      <c r="K462" s="2" t="s">
        <v>29031</v>
      </c>
      <c r="L462" s="10" t="s">
        <v>29032</v>
      </c>
    </row>
    <row r="463">
      <c r="A463" s="2" t="s">
        <v>29158</v>
      </c>
      <c r="B463" s="2" t="s">
        <v>29159</v>
      </c>
      <c r="C463" s="2">
        <v>3.60776558E9</v>
      </c>
      <c r="D463" s="2" t="s">
        <v>29160</v>
      </c>
      <c r="E463" s="2">
        <v>11481.0</v>
      </c>
      <c r="F463" s="2">
        <v>2887.0</v>
      </c>
      <c r="G463" s="2">
        <v>264.0</v>
      </c>
      <c r="H463" s="2" t="s">
        <v>5906</v>
      </c>
      <c r="I463" s="2" t="s">
        <v>5906</v>
      </c>
      <c r="J463" s="2" t="s">
        <v>5993</v>
      </c>
      <c r="K463" s="12" t="s">
        <v>29161</v>
      </c>
    </row>
    <row r="464">
      <c r="A464" s="2" t="s">
        <v>29158</v>
      </c>
      <c r="B464" s="2" t="s">
        <v>29124</v>
      </c>
      <c r="C464" s="2">
        <v>5.1511006E7</v>
      </c>
      <c r="D464" s="2" t="s">
        <v>29125</v>
      </c>
      <c r="E464" s="2">
        <v>10949.0</v>
      </c>
      <c r="F464" s="2">
        <v>1766.0</v>
      </c>
      <c r="G464" s="2">
        <v>1473.0</v>
      </c>
      <c r="H464" s="2" t="s">
        <v>5905</v>
      </c>
      <c r="I464" s="2" t="s">
        <v>5905</v>
      </c>
      <c r="J464" s="2" t="s">
        <v>5959</v>
      </c>
      <c r="K464" s="2" t="s">
        <v>29126</v>
      </c>
      <c r="L464" s="10" t="s">
        <v>29127</v>
      </c>
    </row>
    <row r="465">
      <c r="A465" s="2" t="s">
        <v>29162</v>
      </c>
      <c r="B465" s="2" t="s">
        <v>29163</v>
      </c>
      <c r="C465" s="2">
        <v>4.553591438E9</v>
      </c>
      <c r="D465" s="2" t="s">
        <v>29164</v>
      </c>
      <c r="E465" s="2">
        <v>13190.0</v>
      </c>
      <c r="F465" s="2">
        <v>353.0</v>
      </c>
      <c r="G465" s="2">
        <v>995.0</v>
      </c>
      <c r="H465" s="2" t="s">
        <v>5905</v>
      </c>
      <c r="I465" s="2" t="s">
        <v>5905</v>
      </c>
      <c r="J465" s="2" t="s">
        <v>6166</v>
      </c>
      <c r="K465" s="2" t="s">
        <v>29165</v>
      </c>
      <c r="L465" s="10" t="s">
        <v>29166</v>
      </c>
    </row>
    <row r="466">
      <c r="A466" s="2" t="s">
        <v>29167</v>
      </c>
      <c r="B466" s="2" t="s">
        <v>29168</v>
      </c>
      <c r="C466" s="2">
        <v>6.461438923E9</v>
      </c>
      <c r="D466" s="2" t="s">
        <v>29168</v>
      </c>
      <c r="E466" s="2">
        <v>20412.0</v>
      </c>
      <c r="F466" s="2">
        <v>0.0</v>
      </c>
      <c r="G466" s="2">
        <v>2464.0</v>
      </c>
      <c r="H466" s="2" t="s">
        <v>5905</v>
      </c>
      <c r="I466" s="2" t="s">
        <v>5906</v>
      </c>
      <c r="J466" s="2" t="s">
        <v>6166</v>
      </c>
      <c r="K466" s="2" t="s">
        <v>29169</v>
      </c>
    </row>
    <row r="467">
      <c r="A467" s="2" t="s">
        <v>29167</v>
      </c>
      <c r="B467" s="2" t="s">
        <v>29170</v>
      </c>
      <c r="C467" s="2">
        <v>3.6286530537E10</v>
      </c>
      <c r="D467" s="2" t="s">
        <v>29171</v>
      </c>
      <c r="E467" s="2">
        <v>25155.0</v>
      </c>
      <c r="F467" s="2">
        <v>339.0</v>
      </c>
      <c r="G467" s="2">
        <v>183.0</v>
      </c>
      <c r="H467" s="2" t="s">
        <v>5905</v>
      </c>
      <c r="I467" s="2" t="s">
        <v>5906</v>
      </c>
      <c r="J467" s="2" t="s">
        <v>6124</v>
      </c>
      <c r="K467" s="2" t="s">
        <v>29172</v>
      </c>
      <c r="L467" s="10" t="s">
        <v>29173</v>
      </c>
    </row>
    <row r="468">
      <c r="A468" s="2" t="s">
        <v>29174</v>
      </c>
      <c r="B468" s="2" t="s">
        <v>29175</v>
      </c>
      <c r="C468" s="2">
        <v>3.60571051E8</v>
      </c>
      <c r="D468" s="2" t="s">
        <v>29176</v>
      </c>
      <c r="E468" s="2">
        <v>14459.0</v>
      </c>
      <c r="F468" s="2">
        <v>6179.0</v>
      </c>
      <c r="G468" s="2">
        <v>2143.0</v>
      </c>
      <c r="H468" s="2" t="s">
        <v>5905</v>
      </c>
      <c r="I468" s="2" t="s">
        <v>5906</v>
      </c>
      <c r="J468" s="2" t="s">
        <v>28958</v>
      </c>
      <c r="K468" s="2" t="s">
        <v>29177</v>
      </c>
      <c r="L468" s="10" t="s">
        <v>29178</v>
      </c>
    </row>
    <row r="469">
      <c r="A469" s="2" t="s">
        <v>29174</v>
      </c>
      <c r="B469" s="2" t="s">
        <v>29179</v>
      </c>
      <c r="C469" s="2">
        <v>6.5444802744E10</v>
      </c>
      <c r="D469" s="2" t="s">
        <v>29180</v>
      </c>
      <c r="E469" s="2">
        <v>27810.0</v>
      </c>
      <c r="F469" s="2">
        <v>310.0</v>
      </c>
      <c r="G469" s="2">
        <v>538.0</v>
      </c>
      <c r="H469" s="2" t="s">
        <v>5905</v>
      </c>
      <c r="I469" s="2" t="s">
        <v>5905</v>
      </c>
      <c r="J469" s="2" t="s">
        <v>6393</v>
      </c>
      <c r="K469" s="2" t="s">
        <v>29181</v>
      </c>
    </row>
    <row r="470">
      <c r="A470" s="2" t="s">
        <v>29174</v>
      </c>
      <c r="B470" s="2" t="s">
        <v>29182</v>
      </c>
      <c r="C470" s="2">
        <v>5.0794667051E10</v>
      </c>
      <c r="D470" s="2" t="s">
        <v>29183</v>
      </c>
      <c r="E470" s="2">
        <v>157143.0</v>
      </c>
      <c r="F470" s="2">
        <v>450.0</v>
      </c>
      <c r="G470" s="2">
        <v>354.0</v>
      </c>
      <c r="H470" s="2" t="s">
        <v>5905</v>
      </c>
      <c r="I470" s="2" t="s">
        <v>5905</v>
      </c>
      <c r="J470" s="2" t="s">
        <v>8604</v>
      </c>
      <c r="K470" s="2" t="s">
        <v>29184</v>
      </c>
      <c r="L470" s="10" t="s">
        <v>29185</v>
      </c>
    </row>
    <row r="471">
      <c r="A471" s="2" t="s">
        <v>29186</v>
      </c>
      <c r="B471" s="2" t="s">
        <v>29187</v>
      </c>
      <c r="C471" s="2">
        <v>1.504333896E9</v>
      </c>
      <c r="D471" s="2" t="s">
        <v>29188</v>
      </c>
      <c r="E471" s="2">
        <v>37447.0</v>
      </c>
      <c r="F471" s="2">
        <v>2545.0</v>
      </c>
      <c r="G471" s="2">
        <v>1920.0</v>
      </c>
      <c r="H471" s="2" t="s">
        <v>5905</v>
      </c>
      <c r="I471" s="2" t="s">
        <v>5906</v>
      </c>
      <c r="J471" s="2" t="s">
        <v>16170</v>
      </c>
      <c r="K471" s="2" t="s">
        <v>29189</v>
      </c>
      <c r="L471" s="10" t="s">
        <v>29190</v>
      </c>
    </row>
    <row r="472">
      <c r="A472" s="2" t="s">
        <v>29186</v>
      </c>
      <c r="B472" s="2" t="s">
        <v>29191</v>
      </c>
      <c r="C472" s="2">
        <v>9.031525357E9</v>
      </c>
      <c r="D472" s="2" t="s">
        <v>29192</v>
      </c>
      <c r="E472" s="2">
        <v>11634.0</v>
      </c>
      <c r="F472" s="2">
        <v>219.0</v>
      </c>
      <c r="G472" s="2">
        <v>318.0</v>
      </c>
      <c r="H472" s="2" t="s">
        <v>5905</v>
      </c>
      <c r="I472" s="2" t="s">
        <v>5906</v>
      </c>
      <c r="J472" s="2" t="s">
        <v>11316</v>
      </c>
      <c r="K472" s="2" t="s">
        <v>29193</v>
      </c>
      <c r="L472" s="10" t="s">
        <v>29194</v>
      </c>
    </row>
    <row r="473">
      <c r="A473" s="2" t="s">
        <v>29186</v>
      </c>
      <c r="B473" s="2" t="s">
        <v>29195</v>
      </c>
      <c r="C473" s="2">
        <v>5.6321707026E10</v>
      </c>
      <c r="D473" s="2" t="s">
        <v>29196</v>
      </c>
      <c r="E473" s="2">
        <v>20305.0</v>
      </c>
      <c r="F473" s="2">
        <v>471.0</v>
      </c>
      <c r="G473" s="2">
        <v>133.0</v>
      </c>
      <c r="H473" s="2" t="s">
        <v>5905</v>
      </c>
      <c r="I473" s="2" t="s">
        <v>5906</v>
      </c>
      <c r="J473" s="2" t="s">
        <v>29197</v>
      </c>
      <c r="K473" s="2" t="s">
        <v>29198</v>
      </c>
    </row>
    <row r="474">
      <c r="A474" s="2" t="s">
        <v>29199</v>
      </c>
      <c r="B474" s="2" t="s">
        <v>29200</v>
      </c>
      <c r="C474" s="2">
        <v>1.924817378E9</v>
      </c>
      <c r="D474" s="2" t="s">
        <v>29201</v>
      </c>
      <c r="E474" s="2">
        <v>11653.0</v>
      </c>
      <c r="F474" s="2">
        <v>68.0</v>
      </c>
      <c r="G474" s="2">
        <v>1471.0</v>
      </c>
      <c r="H474" s="2" t="s">
        <v>5906</v>
      </c>
      <c r="I474" s="2" t="s">
        <v>5906</v>
      </c>
      <c r="J474" s="2" t="s">
        <v>5492</v>
      </c>
      <c r="K474" s="2" t="s">
        <v>29202</v>
      </c>
    </row>
    <row r="475">
      <c r="A475" s="2" t="s">
        <v>29199</v>
      </c>
      <c r="B475" s="2" t="s">
        <v>29203</v>
      </c>
      <c r="C475" s="2">
        <v>4.254970098E9</v>
      </c>
      <c r="D475" s="2" t="s">
        <v>29204</v>
      </c>
      <c r="E475" s="2">
        <v>14091.0</v>
      </c>
      <c r="F475" s="2">
        <v>701.0</v>
      </c>
      <c r="G475" s="2">
        <v>369.0</v>
      </c>
      <c r="H475" s="2" t="s">
        <v>5906</v>
      </c>
      <c r="I475" s="2" t="s">
        <v>5906</v>
      </c>
      <c r="J475" s="2" t="s">
        <v>16170</v>
      </c>
      <c r="K475" s="2" t="s">
        <v>29205</v>
      </c>
    </row>
    <row r="476">
      <c r="A476" s="2" t="s">
        <v>29199</v>
      </c>
      <c r="B476" s="2" t="s">
        <v>29206</v>
      </c>
      <c r="C476" s="2">
        <v>8.712229564E9</v>
      </c>
      <c r="D476" s="2" t="s">
        <v>29207</v>
      </c>
      <c r="E476" s="2">
        <v>26817.0</v>
      </c>
      <c r="F476" s="2">
        <v>7.0</v>
      </c>
      <c r="G476" s="2">
        <v>876.0</v>
      </c>
      <c r="H476" s="2" t="s">
        <v>5905</v>
      </c>
      <c r="I476" s="2" t="s">
        <v>5906</v>
      </c>
      <c r="J476" s="2" t="s">
        <v>11316</v>
      </c>
      <c r="K476" s="2" t="s">
        <v>29208</v>
      </c>
      <c r="L476" s="10" t="s">
        <v>29209</v>
      </c>
    </row>
    <row r="477">
      <c r="A477" s="2" t="s">
        <v>29199</v>
      </c>
      <c r="B477" s="2" t="s">
        <v>29210</v>
      </c>
      <c r="C477" s="2">
        <v>4.7398773672E10</v>
      </c>
      <c r="D477" s="2" t="s">
        <v>29211</v>
      </c>
      <c r="E477" s="2">
        <v>19073.0</v>
      </c>
      <c r="F477" s="2">
        <v>18.0</v>
      </c>
      <c r="G477" s="2">
        <v>671.0</v>
      </c>
      <c r="H477" s="2" t="s">
        <v>5905</v>
      </c>
      <c r="I477" s="2" t="s">
        <v>5906</v>
      </c>
      <c r="J477" s="2" t="s">
        <v>11316</v>
      </c>
      <c r="K477" s="2" t="s">
        <v>29212</v>
      </c>
      <c r="L477" s="10" t="s">
        <v>29213</v>
      </c>
    </row>
    <row r="478">
      <c r="A478" s="2" t="s">
        <v>29214</v>
      </c>
      <c r="B478" s="2" t="s">
        <v>29215</v>
      </c>
      <c r="C478" s="2">
        <v>4.0278084E7</v>
      </c>
      <c r="D478" s="2" t="s">
        <v>29216</v>
      </c>
      <c r="E478" s="2">
        <v>18219.0</v>
      </c>
      <c r="F478" s="2">
        <v>1301.0</v>
      </c>
      <c r="G478" s="2">
        <v>2484.0</v>
      </c>
      <c r="H478" s="2" t="s">
        <v>5905</v>
      </c>
      <c r="I478" s="2" t="s">
        <v>5906</v>
      </c>
      <c r="J478" s="2" t="s">
        <v>6393</v>
      </c>
      <c r="K478" s="2" t="s">
        <v>29217</v>
      </c>
      <c r="L478" s="10" t="s">
        <v>29218</v>
      </c>
    </row>
    <row r="479">
      <c r="A479" s="2" t="s">
        <v>29219</v>
      </c>
      <c r="B479" s="2" t="s">
        <v>29220</v>
      </c>
      <c r="C479" s="2">
        <v>5.6600306485E10</v>
      </c>
      <c r="D479" s="2" t="s">
        <v>29221</v>
      </c>
      <c r="E479" s="2">
        <v>13641.0</v>
      </c>
      <c r="F479" s="2">
        <v>3.0</v>
      </c>
      <c r="G479" s="2">
        <v>36.0</v>
      </c>
      <c r="H479" s="2" t="s">
        <v>5906</v>
      </c>
      <c r="I479" s="2" t="s">
        <v>5906</v>
      </c>
      <c r="J479" s="2" t="s">
        <v>23820</v>
      </c>
      <c r="K479" s="2" t="s">
        <v>29222</v>
      </c>
      <c r="L479" s="10" t="s">
        <v>29223</v>
      </c>
    </row>
    <row r="480">
      <c r="A480" s="2" t="s">
        <v>29224</v>
      </c>
      <c r="B480" s="2" t="s">
        <v>29225</v>
      </c>
      <c r="C480" s="2">
        <v>7.5424550496E10</v>
      </c>
      <c r="D480" s="2" t="s">
        <v>29226</v>
      </c>
      <c r="E480" s="2">
        <v>10008.0</v>
      </c>
      <c r="F480" s="2">
        <v>207.0</v>
      </c>
      <c r="G480" s="2">
        <v>30.0</v>
      </c>
      <c r="H480" s="2" t="s">
        <v>5905</v>
      </c>
      <c r="I480" s="2" t="s">
        <v>5906</v>
      </c>
      <c r="J480" s="2" t="s">
        <v>7140</v>
      </c>
      <c r="K480" s="2" t="s">
        <v>29227</v>
      </c>
      <c r="L480" s="10" t="s">
        <v>29228</v>
      </c>
    </row>
    <row r="481">
      <c r="A481" s="2" t="s">
        <v>29224</v>
      </c>
      <c r="B481" s="2" t="s">
        <v>29229</v>
      </c>
      <c r="C481" s="2">
        <v>2.0546042028E10</v>
      </c>
      <c r="D481" s="2" t="s">
        <v>29229</v>
      </c>
      <c r="E481" s="2">
        <v>74815.0</v>
      </c>
      <c r="F481" s="2">
        <v>6.0</v>
      </c>
      <c r="G481" s="2">
        <v>363.0</v>
      </c>
      <c r="H481" s="2" t="s">
        <v>5905</v>
      </c>
      <c r="I481" s="2" t="s">
        <v>5906</v>
      </c>
      <c r="J481" s="2" t="s">
        <v>7140</v>
      </c>
      <c r="K481" s="2" t="s">
        <v>29230</v>
      </c>
      <c r="L481" s="10" t="s">
        <v>29231</v>
      </c>
    </row>
    <row r="482">
      <c r="A482" s="2" t="s">
        <v>29224</v>
      </c>
      <c r="B482" s="2" t="s">
        <v>29232</v>
      </c>
      <c r="C482" s="2">
        <v>5.8206514773E10</v>
      </c>
      <c r="D482" s="2" t="s">
        <v>29233</v>
      </c>
      <c r="E482" s="2">
        <v>13376.0</v>
      </c>
      <c r="F482" s="2">
        <v>8.0</v>
      </c>
      <c r="G482" s="2">
        <v>11.0</v>
      </c>
      <c r="H482" s="2" t="s">
        <v>5905</v>
      </c>
      <c r="I482" s="2" t="s">
        <v>5905</v>
      </c>
      <c r="J482" s="2" t="s">
        <v>12030</v>
      </c>
      <c r="K482" s="2" t="s">
        <v>29234</v>
      </c>
    </row>
    <row r="483">
      <c r="A483" s="2" t="s">
        <v>29235</v>
      </c>
      <c r="B483" s="10" t="s">
        <v>29236</v>
      </c>
      <c r="C483" s="2">
        <v>4.210434571E9</v>
      </c>
      <c r="D483" s="2" t="s">
        <v>29237</v>
      </c>
      <c r="E483" s="2">
        <v>16057.0</v>
      </c>
      <c r="F483" s="2">
        <v>6041.0</v>
      </c>
      <c r="G483" s="2">
        <v>1072.0</v>
      </c>
      <c r="H483" s="2" t="s">
        <v>5905</v>
      </c>
      <c r="I483" s="2" t="s">
        <v>5905</v>
      </c>
      <c r="J483" s="2" t="s">
        <v>7414</v>
      </c>
      <c r="K483" s="12" t="s">
        <v>29238</v>
      </c>
      <c r="L483" s="10" t="s">
        <v>29239</v>
      </c>
    </row>
    <row r="484">
      <c r="A484" s="2" t="s">
        <v>29240</v>
      </c>
      <c r="B484" s="2" t="s">
        <v>29241</v>
      </c>
      <c r="C484" s="2">
        <v>4.7178542655E10</v>
      </c>
      <c r="D484" s="2" t="s">
        <v>29242</v>
      </c>
      <c r="E484" s="2">
        <v>20731.0</v>
      </c>
      <c r="F484" s="2">
        <v>108.0</v>
      </c>
      <c r="G484" s="2">
        <v>141.0</v>
      </c>
      <c r="H484" s="2" t="s">
        <v>5906</v>
      </c>
      <c r="I484" s="2" t="s">
        <v>5906</v>
      </c>
      <c r="J484" s="2" t="s">
        <v>5391</v>
      </c>
      <c r="K484" s="2" t="s">
        <v>29243</v>
      </c>
    </row>
    <row r="485">
      <c r="A485" s="2" t="s">
        <v>29244</v>
      </c>
      <c r="B485" s="10" t="s">
        <v>29245</v>
      </c>
      <c r="C485" s="2">
        <v>6.4177477053E10</v>
      </c>
      <c r="D485" s="2" t="s">
        <v>29246</v>
      </c>
      <c r="E485" s="2">
        <v>11958.0</v>
      </c>
      <c r="F485" s="2">
        <v>0.0</v>
      </c>
      <c r="G485" s="2">
        <v>6.0</v>
      </c>
      <c r="H485" s="2" t="s">
        <v>5905</v>
      </c>
      <c r="I485" s="2" t="s">
        <v>5906</v>
      </c>
      <c r="J485" s="2" t="s">
        <v>7669</v>
      </c>
      <c r="K485" s="2" t="s">
        <v>29247</v>
      </c>
      <c r="L485" s="10" t="s">
        <v>29248</v>
      </c>
    </row>
    <row r="486">
      <c r="A486" s="2" t="s">
        <v>29249</v>
      </c>
      <c r="B486" s="2" t="s">
        <v>29250</v>
      </c>
      <c r="C486" s="2">
        <v>3.093501242E9</v>
      </c>
      <c r="D486" s="2" t="s">
        <v>29251</v>
      </c>
      <c r="E486" s="2">
        <v>17238.0</v>
      </c>
      <c r="F486" s="2">
        <v>1.0</v>
      </c>
      <c r="G486" s="2">
        <v>89.0</v>
      </c>
      <c r="H486" s="2" t="s">
        <v>5905</v>
      </c>
      <c r="I486" s="2" t="s">
        <v>5906</v>
      </c>
      <c r="J486" s="2" t="s">
        <v>6002</v>
      </c>
      <c r="K486" s="2" t="s">
        <v>29252</v>
      </c>
      <c r="L486" s="10" t="s">
        <v>29253</v>
      </c>
    </row>
    <row r="487">
      <c r="A487" s="2" t="s">
        <v>29254</v>
      </c>
      <c r="B487" s="2" t="s">
        <v>29255</v>
      </c>
      <c r="C487" s="2">
        <v>5.9070189498E10</v>
      </c>
      <c r="E487" s="2">
        <v>10060.0</v>
      </c>
      <c r="F487" s="2">
        <v>1615.0</v>
      </c>
      <c r="G487" s="2">
        <v>14.0</v>
      </c>
      <c r="H487" s="2" t="s">
        <v>5905</v>
      </c>
      <c r="I487" s="2" t="s">
        <v>5905</v>
      </c>
      <c r="K487" s="2" t="s">
        <v>29256</v>
      </c>
      <c r="L487" s="10" t="s">
        <v>29257</v>
      </c>
    </row>
    <row r="488">
      <c r="A488" s="2" t="s">
        <v>29258</v>
      </c>
      <c r="B488" s="10" t="s">
        <v>29259</v>
      </c>
      <c r="C488" s="2">
        <v>9.124543382E9</v>
      </c>
      <c r="D488" s="2" t="s">
        <v>29260</v>
      </c>
      <c r="E488" s="2">
        <v>47045.0</v>
      </c>
      <c r="F488" s="2">
        <v>326.0</v>
      </c>
      <c r="G488" s="2">
        <v>2048.0</v>
      </c>
      <c r="H488" s="2" t="s">
        <v>5905</v>
      </c>
      <c r="I488" s="2" t="s">
        <v>5906</v>
      </c>
      <c r="J488" s="2" t="s">
        <v>7321</v>
      </c>
      <c r="K488" s="2" t="s">
        <v>29261</v>
      </c>
      <c r="L488" s="10" t="s">
        <v>29262</v>
      </c>
    </row>
    <row r="489">
      <c r="A489" s="2" t="s">
        <v>29263</v>
      </c>
      <c r="B489" s="2" t="s">
        <v>29264</v>
      </c>
      <c r="C489" s="2">
        <v>7.5522962564E10</v>
      </c>
      <c r="D489" s="2" t="s">
        <v>29265</v>
      </c>
      <c r="E489" s="2">
        <v>19482.0</v>
      </c>
      <c r="F489" s="2">
        <v>40.0</v>
      </c>
      <c r="G489" s="2">
        <v>123.0</v>
      </c>
      <c r="H489" s="2" t="s">
        <v>5905</v>
      </c>
      <c r="I489" s="2" t="s">
        <v>5905</v>
      </c>
      <c r="J489" s="2" t="s">
        <v>11675</v>
      </c>
      <c r="K489" s="2" t="s">
        <v>29266</v>
      </c>
      <c r="L489" s="10" t="s">
        <v>29267</v>
      </c>
    </row>
    <row r="490">
      <c r="A490" s="2" t="s">
        <v>29268</v>
      </c>
      <c r="B490" s="2" t="s">
        <v>29269</v>
      </c>
      <c r="C490" s="2">
        <v>2.36809665E10</v>
      </c>
      <c r="D490" s="2" t="s">
        <v>29270</v>
      </c>
      <c r="E490" s="2">
        <v>447023.0</v>
      </c>
      <c r="F490" s="2">
        <v>27.0</v>
      </c>
      <c r="G490" s="2">
        <v>2931.0</v>
      </c>
      <c r="H490" s="2" t="s">
        <v>5905</v>
      </c>
      <c r="I490" s="2" t="s">
        <v>5906</v>
      </c>
      <c r="J490" s="2" t="s">
        <v>5391</v>
      </c>
      <c r="K490" s="2" t="s">
        <v>29271</v>
      </c>
      <c r="L490" s="10" t="s">
        <v>29272</v>
      </c>
    </row>
    <row r="491">
      <c r="A491" s="2" t="s">
        <v>29268</v>
      </c>
      <c r="B491" s="2" t="s">
        <v>29273</v>
      </c>
      <c r="C491" s="2">
        <v>5.7562586284E10</v>
      </c>
      <c r="D491" s="2" t="s">
        <v>29270</v>
      </c>
      <c r="E491" s="2">
        <v>67728.0</v>
      </c>
      <c r="F491" s="2">
        <v>8.0</v>
      </c>
      <c r="G491" s="2">
        <v>1946.0</v>
      </c>
      <c r="H491" s="2" t="s">
        <v>5905</v>
      </c>
      <c r="I491" s="2" t="s">
        <v>5906</v>
      </c>
      <c r="J491" s="2" t="s">
        <v>5391</v>
      </c>
      <c r="K491" s="2" t="s">
        <v>29274</v>
      </c>
      <c r="L491" s="10" t="s">
        <v>29272</v>
      </c>
    </row>
    <row r="492">
      <c r="A492" s="2" t="s">
        <v>29268</v>
      </c>
      <c r="B492" s="2" t="s">
        <v>29275</v>
      </c>
      <c r="C492" s="2">
        <v>5.401945494E9</v>
      </c>
      <c r="D492" s="2" t="s">
        <v>29276</v>
      </c>
      <c r="E492" s="2">
        <v>35240.0</v>
      </c>
      <c r="F492" s="2">
        <v>15.0</v>
      </c>
      <c r="G492" s="2">
        <v>3308.0</v>
      </c>
      <c r="H492" s="2" t="s">
        <v>5906</v>
      </c>
      <c r="I492" s="2" t="s">
        <v>5905</v>
      </c>
      <c r="J492" s="2" t="s">
        <v>5391</v>
      </c>
      <c r="K492" s="2" t="s">
        <v>29277</v>
      </c>
      <c r="L492" s="10" t="s">
        <v>29278</v>
      </c>
    </row>
    <row r="493">
      <c r="A493" s="2" t="s">
        <v>29268</v>
      </c>
      <c r="B493" s="10" t="s">
        <v>29279</v>
      </c>
      <c r="C493" s="2">
        <v>4.5205164004E10</v>
      </c>
      <c r="D493" s="2" t="s">
        <v>29280</v>
      </c>
      <c r="E493" s="2">
        <v>22567.0</v>
      </c>
      <c r="F493" s="2">
        <v>184.0</v>
      </c>
      <c r="G493" s="2">
        <v>1937.0</v>
      </c>
      <c r="H493" s="2" t="s">
        <v>5905</v>
      </c>
      <c r="I493" s="2" t="s">
        <v>5906</v>
      </c>
      <c r="J493" s="2" t="s">
        <v>6002</v>
      </c>
      <c r="K493" s="2" t="s">
        <v>29281</v>
      </c>
    </row>
    <row r="494">
      <c r="A494" s="2" t="s">
        <v>29268</v>
      </c>
      <c r="B494" s="2" t="s">
        <v>29282</v>
      </c>
      <c r="C494" s="2">
        <v>4.9959631904E10</v>
      </c>
      <c r="D494" s="2" t="s">
        <v>29283</v>
      </c>
      <c r="E494" s="2">
        <v>29852.0</v>
      </c>
      <c r="F494" s="2">
        <v>633.0</v>
      </c>
      <c r="G494" s="2">
        <v>1693.0</v>
      </c>
      <c r="H494" s="2" t="s">
        <v>5905</v>
      </c>
      <c r="I494" s="2" t="s">
        <v>5906</v>
      </c>
      <c r="J494" s="2" t="s">
        <v>11389</v>
      </c>
      <c r="K494" s="2" t="s">
        <v>29284</v>
      </c>
    </row>
    <row r="495">
      <c r="A495" s="2" t="s">
        <v>29268</v>
      </c>
      <c r="B495" s="10" t="s">
        <v>29285</v>
      </c>
      <c r="C495" s="2">
        <v>5.7381625404E10</v>
      </c>
      <c r="D495" s="2" t="s">
        <v>29286</v>
      </c>
      <c r="E495" s="2">
        <v>16320.0</v>
      </c>
      <c r="F495" s="2">
        <v>289.0</v>
      </c>
      <c r="G495" s="2">
        <v>1836.0</v>
      </c>
      <c r="H495" s="2" t="s">
        <v>5905</v>
      </c>
      <c r="I495" s="2" t="s">
        <v>5906</v>
      </c>
      <c r="J495" s="2" t="s">
        <v>10494</v>
      </c>
      <c r="K495" s="2" t="s">
        <v>29287</v>
      </c>
      <c r="L495" s="10" t="s">
        <v>29288</v>
      </c>
    </row>
    <row r="496">
      <c r="A496" s="2" t="s">
        <v>29289</v>
      </c>
      <c r="B496" s="2" t="s">
        <v>17751</v>
      </c>
      <c r="C496" s="2">
        <v>5.5468475455E10</v>
      </c>
      <c r="D496" s="2" t="s">
        <v>17752</v>
      </c>
      <c r="E496" s="2">
        <v>29204.0</v>
      </c>
      <c r="F496" s="2">
        <v>43.0</v>
      </c>
      <c r="G496" s="2">
        <v>85.0</v>
      </c>
      <c r="H496" s="2" t="s">
        <v>5906</v>
      </c>
      <c r="I496" s="2" t="s">
        <v>5906</v>
      </c>
      <c r="J496" s="2" t="s">
        <v>17753</v>
      </c>
      <c r="K496" s="2" t="s">
        <v>17754</v>
      </c>
      <c r="L496" s="10" t="s">
        <v>17755</v>
      </c>
    </row>
    <row r="497">
      <c r="A497" s="2" t="s">
        <v>29289</v>
      </c>
      <c r="B497" s="2" t="s">
        <v>29290</v>
      </c>
      <c r="C497" s="2">
        <v>1.764185812E9</v>
      </c>
      <c r="D497" s="2" t="s">
        <v>29289</v>
      </c>
      <c r="E497" s="2">
        <v>24983.0</v>
      </c>
      <c r="F497" s="2">
        <v>7437.0</v>
      </c>
      <c r="G497" s="2">
        <v>1663.0</v>
      </c>
      <c r="H497" s="2" t="s">
        <v>5905</v>
      </c>
      <c r="I497" s="2" t="s">
        <v>5906</v>
      </c>
      <c r="J497" s="2" t="s">
        <v>7140</v>
      </c>
      <c r="K497" s="2" t="s">
        <v>29291</v>
      </c>
      <c r="L497" s="10" t="s">
        <v>29292</v>
      </c>
    </row>
    <row r="498">
      <c r="A498" s="2" t="s">
        <v>29293</v>
      </c>
      <c r="B498" s="2" t="s">
        <v>29294</v>
      </c>
      <c r="C498" s="2">
        <v>5.2840623242E10</v>
      </c>
      <c r="D498" s="2" t="s">
        <v>29295</v>
      </c>
      <c r="E498" s="2">
        <v>20431.0</v>
      </c>
      <c r="F498" s="2">
        <v>216.0</v>
      </c>
      <c r="G498" s="2">
        <v>1307.0</v>
      </c>
      <c r="H498" s="2" t="s">
        <v>5906</v>
      </c>
      <c r="I498" s="2" t="s">
        <v>5906</v>
      </c>
      <c r="J498" s="2" t="s">
        <v>11316</v>
      </c>
      <c r="K498" s="2" t="s">
        <v>29296</v>
      </c>
    </row>
    <row r="499">
      <c r="A499" s="2" t="s">
        <v>29297</v>
      </c>
      <c r="B499" s="2" t="s">
        <v>29298</v>
      </c>
      <c r="C499" s="2">
        <v>1.394830209E9</v>
      </c>
      <c r="D499" s="2" t="s">
        <v>29299</v>
      </c>
      <c r="E499" s="2">
        <v>12978.0</v>
      </c>
      <c r="F499" s="2">
        <v>4990.0</v>
      </c>
      <c r="G499" s="2">
        <v>4431.0</v>
      </c>
      <c r="H499" s="2" t="s">
        <v>5905</v>
      </c>
      <c r="I499" s="2" t="s">
        <v>5906</v>
      </c>
      <c r="J499" s="2" t="s">
        <v>5391</v>
      </c>
      <c r="K499" s="2" t="s">
        <v>29300</v>
      </c>
      <c r="L499" s="10" t="s">
        <v>29301</v>
      </c>
    </row>
    <row r="500">
      <c r="A500" s="2" t="s">
        <v>29302</v>
      </c>
      <c r="B500" s="2" t="s">
        <v>29303</v>
      </c>
      <c r="C500" s="2">
        <v>7.849394908E9</v>
      </c>
      <c r="D500" s="2" t="s">
        <v>29304</v>
      </c>
      <c r="E500" s="2">
        <v>111075.0</v>
      </c>
      <c r="F500" s="2">
        <v>1066.0</v>
      </c>
      <c r="G500" s="2">
        <v>746.0</v>
      </c>
      <c r="H500" s="2" t="s">
        <v>5905</v>
      </c>
      <c r="I500" s="2" t="s">
        <v>5906</v>
      </c>
      <c r="J500" s="2" t="s">
        <v>8245</v>
      </c>
      <c r="K500" s="2" t="s">
        <v>29305</v>
      </c>
    </row>
    <row r="501">
      <c r="A501" s="2" t="s">
        <v>29302</v>
      </c>
      <c r="B501" s="2" t="s">
        <v>29306</v>
      </c>
      <c r="C501" s="2">
        <v>5.94243935E8</v>
      </c>
      <c r="D501" s="2" t="s">
        <v>29307</v>
      </c>
      <c r="E501" s="2">
        <v>18711.0</v>
      </c>
      <c r="F501" s="2">
        <v>1281.0</v>
      </c>
      <c r="G501" s="2">
        <v>1236.0</v>
      </c>
      <c r="H501" s="2" t="s">
        <v>5906</v>
      </c>
      <c r="I501" s="2" t="s">
        <v>5906</v>
      </c>
      <c r="J501" s="2" t="s">
        <v>5391</v>
      </c>
      <c r="K501" s="2" t="s">
        <v>29308</v>
      </c>
      <c r="L501" s="10" t="s">
        <v>29309</v>
      </c>
    </row>
    <row r="502">
      <c r="A502" s="2" t="s">
        <v>29302</v>
      </c>
      <c r="B502" s="2" t="s">
        <v>29310</v>
      </c>
      <c r="C502" s="2">
        <v>4.34333097E8</v>
      </c>
      <c r="D502" s="2" t="s">
        <v>29311</v>
      </c>
      <c r="E502" s="2">
        <v>206102.0</v>
      </c>
      <c r="F502" s="2">
        <v>87.0</v>
      </c>
      <c r="G502" s="2">
        <v>8255.0</v>
      </c>
      <c r="H502" s="2" t="s">
        <v>5905</v>
      </c>
      <c r="I502" s="2" t="s">
        <v>5906</v>
      </c>
      <c r="J502" s="2" t="s">
        <v>6393</v>
      </c>
      <c r="K502" s="2" t="s">
        <v>29312</v>
      </c>
      <c r="L502" s="10" t="s">
        <v>29313</v>
      </c>
    </row>
    <row r="503">
      <c r="A503" s="2" t="s">
        <v>29314</v>
      </c>
      <c r="B503" s="2" t="s">
        <v>29315</v>
      </c>
      <c r="C503" s="2">
        <v>1.990752173E9</v>
      </c>
      <c r="D503" s="2" t="s">
        <v>29316</v>
      </c>
      <c r="E503" s="2">
        <v>89008.0</v>
      </c>
      <c r="F503" s="2">
        <v>51.0</v>
      </c>
      <c r="G503" s="2">
        <v>608.0</v>
      </c>
      <c r="H503" s="2" t="s">
        <v>5905</v>
      </c>
      <c r="I503" s="2" t="s">
        <v>5905</v>
      </c>
      <c r="J503" s="2" t="s">
        <v>5492</v>
      </c>
      <c r="K503" s="2" t="s">
        <v>29317</v>
      </c>
    </row>
    <row r="504">
      <c r="A504" s="2" t="s">
        <v>29318</v>
      </c>
      <c r="B504" s="2" t="s">
        <v>29319</v>
      </c>
      <c r="C504" s="2">
        <v>5.9863817171E10</v>
      </c>
      <c r="D504" s="2" t="s">
        <v>29320</v>
      </c>
      <c r="E504" s="2">
        <v>12135.0</v>
      </c>
      <c r="F504" s="2">
        <v>215.0</v>
      </c>
      <c r="G504" s="2">
        <v>164.0</v>
      </c>
      <c r="H504" s="2" t="s">
        <v>5905</v>
      </c>
      <c r="I504" s="2" t="s">
        <v>5905</v>
      </c>
      <c r="J504" s="2" t="s">
        <v>14778</v>
      </c>
      <c r="K504" s="2" t="s">
        <v>29321</v>
      </c>
      <c r="L504" s="10" t="s">
        <v>29322</v>
      </c>
    </row>
    <row r="505">
      <c r="A505" s="2" t="s">
        <v>29318</v>
      </c>
      <c r="B505" s="2" t="s">
        <v>29323</v>
      </c>
      <c r="C505" s="2">
        <v>1.261080433E9</v>
      </c>
      <c r="D505" s="2" t="s">
        <v>29324</v>
      </c>
      <c r="E505" s="2">
        <v>44820.0</v>
      </c>
      <c r="F505" s="2">
        <v>233.0</v>
      </c>
      <c r="G505" s="2">
        <v>252.0</v>
      </c>
      <c r="H505" s="2" t="s">
        <v>5905</v>
      </c>
      <c r="I505" s="2" t="s">
        <v>5906</v>
      </c>
      <c r="J505" s="2" t="s">
        <v>13199</v>
      </c>
      <c r="K505" s="2" t="s">
        <v>29325</v>
      </c>
    </row>
    <row r="506">
      <c r="A506" s="2" t="s">
        <v>29318</v>
      </c>
      <c r="B506" s="2" t="s">
        <v>29326</v>
      </c>
      <c r="C506" s="2">
        <v>1.720457801E9</v>
      </c>
      <c r="D506" s="2" t="s">
        <v>29327</v>
      </c>
      <c r="E506" s="2">
        <v>111511.0</v>
      </c>
      <c r="F506" s="2">
        <v>78.0</v>
      </c>
      <c r="G506" s="2">
        <v>2265.0</v>
      </c>
      <c r="H506" s="2" t="s">
        <v>5905</v>
      </c>
      <c r="I506" s="2" t="s">
        <v>5906</v>
      </c>
      <c r="J506" s="2" t="s">
        <v>7140</v>
      </c>
      <c r="K506" s="2" t="s">
        <v>29328</v>
      </c>
    </row>
    <row r="507">
      <c r="A507" s="2" t="s">
        <v>29318</v>
      </c>
      <c r="B507" s="2" t="s">
        <v>29150</v>
      </c>
      <c r="C507" s="2">
        <v>4.00945065E9</v>
      </c>
      <c r="D507" s="2" t="s">
        <v>29151</v>
      </c>
      <c r="E507" s="2">
        <v>18454.0</v>
      </c>
      <c r="F507" s="2">
        <v>909.0</v>
      </c>
      <c r="G507" s="2">
        <v>474.0</v>
      </c>
      <c r="H507" s="2" t="s">
        <v>5905</v>
      </c>
      <c r="I507" s="2" t="s">
        <v>5906</v>
      </c>
      <c r="J507" s="2" t="s">
        <v>14778</v>
      </c>
      <c r="K507" s="2" t="s">
        <v>29152</v>
      </c>
    </row>
    <row r="508">
      <c r="A508" s="2" t="s">
        <v>29329</v>
      </c>
      <c r="B508" s="10" t="s">
        <v>29330</v>
      </c>
      <c r="C508" s="2">
        <v>5.655964472E10</v>
      </c>
      <c r="D508" s="2" t="s">
        <v>29331</v>
      </c>
      <c r="E508" s="2">
        <v>18088.0</v>
      </c>
      <c r="F508" s="2">
        <v>1769.0</v>
      </c>
      <c r="G508" s="2">
        <v>3457.0</v>
      </c>
      <c r="H508" s="2" t="s">
        <v>5905</v>
      </c>
      <c r="I508" s="2" t="s">
        <v>5906</v>
      </c>
      <c r="J508" s="2" t="s">
        <v>4996</v>
      </c>
      <c r="K508" s="2" t="s">
        <v>29332</v>
      </c>
    </row>
    <row r="509">
      <c r="A509" s="2" t="s">
        <v>29329</v>
      </c>
      <c r="B509" s="2" t="s">
        <v>29269</v>
      </c>
      <c r="C509" s="2">
        <v>2.36809665E10</v>
      </c>
      <c r="D509" s="2" t="s">
        <v>29270</v>
      </c>
      <c r="E509" s="2">
        <v>447022.0</v>
      </c>
      <c r="F509" s="2">
        <v>27.0</v>
      </c>
      <c r="G509" s="2">
        <v>2931.0</v>
      </c>
      <c r="H509" s="2" t="s">
        <v>5905</v>
      </c>
      <c r="I509" s="2" t="s">
        <v>5906</v>
      </c>
      <c r="J509" s="2" t="s">
        <v>5391</v>
      </c>
      <c r="K509" s="2" t="s">
        <v>29271</v>
      </c>
      <c r="L509" s="10" t="s">
        <v>29272</v>
      </c>
    </row>
    <row r="510">
      <c r="A510" s="2" t="s">
        <v>29329</v>
      </c>
      <c r="B510" s="2" t="s">
        <v>29273</v>
      </c>
      <c r="C510" s="2">
        <v>5.7562586284E10</v>
      </c>
      <c r="D510" s="2" t="s">
        <v>29270</v>
      </c>
      <c r="E510" s="2">
        <v>67727.0</v>
      </c>
      <c r="F510" s="2">
        <v>8.0</v>
      </c>
      <c r="G510" s="2">
        <v>1946.0</v>
      </c>
      <c r="H510" s="2" t="s">
        <v>5905</v>
      </c>
      <c r="I510" s="2" t="s">
        <v>5906</v>
      </c>
      <c r="J510" s="2" t="s">
        <v>5391</v>
      </c>
      <c r="K510" s="2" t="s">
        <v>29274</v>
      </c>
      <c r="L510" s="10" t="s">
        <v>29272</v>
      </c>
    </row>
    <row r="511">
      <c r="A511" s="2" t="s">
        <v>29329</v>
      </c>
      <c r="B511" s="2" t="s">
        <v>29333</v>
      </c>
      <c r="C511" s="2">
        <v>4.339312795E9</v>
      </c>
      <c r="D511" s="2" t="s">
        <v>29334</v>
      </c>
      <c r="E511" s="2">
        <v>45531.0</v>
      </c>
      <c r="F511" s="2">
        <v>641.0</v>
      </c>
      <c r="G511" s="2">
        <v>34102.0</v>
      </c>
      <c r="H511" s="2" t="s">
        <v>5906</v>
      </c>
      <c r="I511" s="2" t="s">
        <v>5905</v>
      </c>
      <c r="J511" s="2" t="s">
        <v>5963</v>
      </c>
      <c r="K511" s="2" t="s">
        <v>29335</v>
      </c>
      <c r="L511" s="10" t="s">
        <v>29336</v>
      </c>
    </row>
    <row r="512">
      <c r="A512" s="2" t="s">
        <v>29329</v>
      </c>
      <c r="B512" s="2" t="s">
        <v>29337</v>
      </c>
      <c r="C512" s="2">
        <v>5.1531390646E10</v>
      </c>
      <c r="D512" s="2" t="s">
        <v>29338</v>
      </c>
      <c r="E512" s="2">
        <v>12379.0</v>
      </c>
      <c r="F512" s="2">
        <v>401.0</v>
      </c>
      <c r="G512" s="2">
        <v>4329.0</v>
      </c>
      <c r="H512" s="2" t="s">
        <v>5905</v>
      </c>
      <c r="I512" s="2" t="s">
        <v>5906</v>
      </c>
      <c r="J512" s="2" t="s">
        <v>5391</v>
      </c>
      <c r="K512" s="2" t="s">
        <v>29339</v>
      </c>
      <c r="L512" s="10" t="s">
        <v>29340</v>
      </c>
    </row>
    <row r="513">
      <c r="A513" s="2" t="s">
        <v>29341</v>
      </c>
      <c r="B513" s="2" t="s">
        <v>29342</v>
      </c>
      <c r="C513" s="2">
        <v>6.2255793211E10</v>
      </c>
      <c r="D513" s="2" t="s">
        <v>29343</v>
      </c>
      <c r="E513" s="2">
        <v>32773.0</v>
      </c>
      <c r="F513" s="2">
        <v>66.0</v>
      </c>
      <c r="G513" s="2">
        <v>557.0</v>
      </c>
      <c r="H513" s="2" t="s">
        <v>5905</v>
      </c>
      <c r="I513" s="2" t="s">
        <v>5905</v>
      </c>
      <c r="K513" s="12" t="s">
        <v>29344</v>
      </c>
    </row>
    <row r="514">
      <c r="A514" s="2" t="s">
        <v>29345</v>
      </c>
      <c r="B514" s="2" t="s">
        <v>29346</v>
      </c>
      <c r="C514" s="2">
        <v>5.7150713271E10</v>
      </c>
      <c r="D514" s="2" t="s">
        <v>29347</v>
      </c>
      <c r="E514" s="2">
        <v>53987.0</v>
      </c>
      <c r="F514" s="2">
        <v>178.0</v>
      </c>
      <c r="G514" s="2">
        <v>456.0</v>
      </c>
      <c r="H514" s="2" t="s">
        <v>5905</v>
      </c>
      <c r="I514" s="2" t="s">
        <v>5905</v>
      </c>
      <c r="J514" s="2" t="s">
        <v>17057</v>
      </c>
      <c r="K514" s="2" t="s">
        <v>29348</v>
      </c>
      <c r="L514" s="10" t="s">
        <v>29349</v>
      </c>
    </row>
    <row r="515">
      <c r="A515" s="2" t="s">
        <v>29345</v>
      </c>
      <c r="B515" s="2" t="s">
        <v>29350</v>
      </c>
      <c r="C515" s="2">
        <v>2.24720067E9</v>
      </c>
      <c r="D515" s="2" t="s">
        <v>29351</v>
      </c>
      <c r="E515" s="2">
        <v>15293.0</v>
      </c>
      <c r="F515" s="2">
        <v>982.0</v>
      </c>
      <c r="G515" s="2">
        <v>392.0</v>
      </c>
      <c r="H515" s="2" t="s">
        <v>5905</v>
      </c>
      <c r="I515" s="2" t="s">
        <v>5906</v>
      </c>
      <c r="J515" s="2" t="s">
        <v>11320</v>
      </c>
      <c r="K515" s="2" t="s">
        <v>29352</v>
      </c>
    </row>
    <row r="516">
      <c r="A516" s="2" t="s">
        <v>29345</v>
      </c>
      <c r="B516" s="2" t="s">
        <v>29353</v>
      </c>
      <c r="C516" s="2">
        <v>1.61163997E9</v>
      </c>
      <c r="D516" s="2" t="s">
        <v>29354</v>
      </c>
      <c r="E516" s="2">
        <v>12524.0</v>
      </c>
      <c r="F516" s="2">
        <v>473.0</v>
      </c>
      <c r="G516" s="2">
        <v>71.0</v>
      </c>
      <c r="H516" s="2" t="s">
        <v>5905</v>
      </c>
      <c r="I516" s="2" t="s">
        <v>5906</v>
      </c>
      <c r="J516" s="2" t="s">
        <v>29355</v>
      </c>
      <c r="K516" s="2" t="s">
        <v>29356</v>
      </c>
      <c r="L516" s="10" t="s">
        <v>29357</v>
      </c>
    </row>
    <row r="517">
      <c r="A517" s="2" t="s">
        <v>29358</v>
      </c>
      <c r="B517" s="2" t="s">
        <v>29359</v>
      </c>
      <c r="C517" s="2">
        <v>9.031565921E9</v>
      </c>
      <c r="D517" s="2" t="s">
        <v>29360</v>
      </c>
      <c r="E517" s="2">
        <v>14743.0</v>
      </c>
      <c r="F517" s="2">
        <v>1219.0</v>
      </c>
      <c r="G517" s="2">
        <v>689.0</v>
      </c>
      <c r="H517" s="2" t="s">
        <v>5905</v>
      </c>
      <c r="I517" s="2" t="s">
        <v>5905</v>
      </c>
      <c r="K517" s="2" t="s">
        <v>29361</v>
      </c>
    </row>
    <row r="518">
      <c r="A518" s="2" t="s">
        <v>29362</v>
      </c>
      <c r="B518" s="2" t="s">
        <v>29363</v>
      </c>
      <c r="C518" s="2">
        <v>3.116017134E9</v>
      </c>
      <c r="D518" s="2" t="s">
        <v>29364</v>
      </c>
      <c r="E518" s="2">
        <v>13020.0</v>
      </c>
      <c r="F518" s="2">
        <v>120.0</v>
      </c>
      <c r="G518" s="2">
        <v>207.0</v>
      </c>
      <c r="H518" s="2" t="s">
        <v>5905</v>
      </c>
      <c r="I518" s="2" t="s">
        <v>5905</v>
      </c>
      <c r="J518" s="2" t="s">
        <v>7414</v>
      </c>
      <c r="K518" s="2" t="s">
        <v>29365</v>
      </c>
      <c r="L518" s="10" t="s">
        <v>29366</v>
      </c>
    </row>
    <row r="519">
      <c r="A519" s="2" t="s">
        <v>29362</v>
      </c>
      <c r="B519" s="2" t="s">
        <v>29367</v>
      </c>
      <c r="C519" s="2">
        <v>4.316104149E9</v>
      </c>
      <c r="D519" s="2" t="s">
        <v>29368</v>
      </c>
      <c r="E519" s="2">
        <v>279166.0</v>
      </c>
      <c r="F519" s="2">
        <v>5786.0</v>
      </c>
      <c r="G519" s="2">
        <v>2733.0</v>
      </c>
      <c r="H519" s="2" t="s">
        <v>5905</v>
      </c>
      <c r="I519" s="2" t="s">
        <v>5906</v>
      </c>
      <c r="J519" s="2" t="s">
        <v>24524</v>
      </c>
      <c r="K519" s="2" t="s">
        <v>29369</v>
      </c>
      <c r="L519" s="10" t="s">
        <v>29370</v>
      </c>
    </row>
    <row r="520">
      <c r="A520" s="2" t="s">
        <v>29371</v>
      </c>
      <c r="B520" s="2" t="s">
        <v>29372</v>
      </c>
      <c r="C520" s="2">
        <v>3.9927928735E10</v>
      </c>
      <c r="D520" s="2" t="s">
        <v>29373</v>
      </c>
      <c r="E520" s="2">
        <v>13675.0</v>
      </c>
      <c r="F520" s="2">
        <v>986.0</v>
      </c>
      <c r="G520" s="2">
        <v>5183.0</v>
      </c>
      <c r="H520" s="2" t="s">
        <v>5905</v>
      </c>
      <c r="I520" s="2" t="s">
        <v>5906</v>
      </c>
      <c r="J520" s="2" t="s">
        <v>11684</v>
      </c>
      <c r="K520" s="2" t="s">
        <v>29374</v>
      </c>
    </row>
    <row r="521">
      <c r="A521" s="2" t="s">
        <v>29371</v>
      </c>
      <c r="B521" s="2" t="s">
        <v>29375</v>
      </c>
      <c r="C521" s="2">
        <v>5.481112076E9</v>
      </c>
      <c r="D521" s="2" t="s">
        <v>29376</v>
      </c>
      <c r="E521" s="2">
        <v>21451.0</v>
      </c>
      <c r="F521" s="2">
        <v>616.0</v>
      </c>
      <c r="G521" s="2">
        <v>13491.0</v>
      </c>
      <c r="H521" s="2" t="s">
        <v>5906</v>
      </c>
      <c r="I521" s="2" t="s">
        <v>5905</v>
      </c>
      <c r="J521" s="2" t="s">
        <v>7931</v>
      </c>
      <c r="K521" s="2" t="s">
        <v>29377</v>
      </c>
    </row>
    <row r="522">
      <c r="A522" s="2" t="s">
        <v>29371</v>
      </c>
      <c r="B522" s="2" t="s">
        <v>29378</v>
      </c>
      <c r="C522" s="2">
        <v>1.485915956E9</v>
      </c>
      <c r="D522" s="2" t="s">
        <v>29379</v>
      </c>
      <c r="E522" s="2">
        <v>98310.0</v>
      </c>
      <c r="F522" s="2">
        <v>4129.0</v>
      </c>
      <c r="G522" s="2">
        <v>5802.0</v>
      </c>
      <c r="H522" s="2" t="s">
        <v>5905</v>
      </c>
      <c r="I522" s="2" t="s">
        <v>5906</v>
      </c>
      <c r="J522" s="2" t="s">
        <v>7140</v>
      </c>
      <c r="K522" s="2" t="s">
        <v>29380</v>
      </c>
      <c r="L522" s="10" t="s">
        <v>29381</v>
      </c>
    </row>
    <row r="523">
      <c r="A523" s="2" t="s">
        <v>29371</v>
      </c>
      <c r="B523" s="2" t="s">
        <v>29382</v>
      </c>
      <c r="C523" s="2">
        <v>1.541546848E9</v>
      </c>
      <c r="D523" s="2" t="s">
        <v>29383</v>
      </c>
      <c r="E523" s="2">
        <v>28272.0</v>
      </c>
      <c r="F523" s="2">
        <v>683.0</v>
      </c>
      <c r="G523" s="2">
        <v>3922.0</v>
      </c>
      <c r="H523" s="2" t="s">
        <v>5906</v>
      </c>
      <c r="I523" s="2" t="s">
        <v>5906</v>
      </c>
      <c r="J523" s="2" t="s">
        <v>25365</v>
      </c>
      <c r="K523" s="2" t="s">
        <v>29384</v>
      </c>
    </row>
    <row r="524">
      <c r="A524" s="2" t="s">
        <v>29371</v>
      </c>
      <c r="B524" s="2" t="s">
        <v>29385</v>
      </c>
      <c r="C524" s="2">
        <v>5.5650224582E10</v>
      </c>
      <c r="D524" s="2" t="s">
        <v>29386</v>
      </c>
      <c r="E524" s="2">
        <v>11591.0</v>
      </c>
      <c r="F524" s="2">
        <v>1.0</v>
      </c>
      <c r="G524" s="2">
        <v>744.0</v>
      </c>
      <c r="H524" s="2" t="s">
        <v>5905</v>
      </c>
      <c r="I524" s="2" t="s">
        <v>5906</v>
      </c>
      <c r="J524" s="2" t="s">
        <v>13199</v>
      </c>
      <c r="K524" s="2" t="s">
        <v>29387</v>
      </c>
      <c r="L524" s="10" t="s">
        <v>29388</v>
      </c>
    </row>
    <row r="525">
      <c r="A525" s="2" t="s">
        <v>29371</v>
      </c>
      <c r="B525" s="2" t="s">
        <v>29389</v>
      </c>
      <c r="C525" s="2">
        <v>1.499472123E9</v>
      </c>
      <c r="D525" s="2" t="s">
        <v>29390</v>
      </c>
      <c r="E525" s="2">
        <v>44274.0</v>
      </c>
      <c r="F525" s="2">
        <v>3144.0</v>
      </c>
      <c r="G525" s="2">
        <v>2181.0</v>
      </c>
      <c r="H525" s="2" t="s">
        <v>5906</v>
      </c>
      <c r="I525" s="2" t="s">
        <v>5906</v>
      </c>
      <c r="J525" s="2" t="s">
        <v>5391</v>
      </c>
      <c r="K525" s="2" t="s">
        <v>29391</v>
      </c>
      <c r="L525" s="10" t="s">
        <v>29392</v>
      </c>
    </row>
    <row r="526">
      <c r="A526" s="2" t="s">
        <v>29371</v>
      </c>
      <c r="B526" s="2" t="s">
        <v>29393</v>
      </c>
      <c r="C526" s="2">
        <v>4.5379394345E10</v>
      </c>
      <c r="D526" s="2" t="s">
        <v>29394</v>
      </c>
      <c r="E526" s="2">
        <v>13051.0</v>
      </c>
      <c r="F526" s="2">
        <v>1335.0</v>
      </c>
      <c r="G526" s="2">
        <v>4086.0</v>
      </c>
      <c r="H526" s="2" t="s">
        <v>5905</v>
      </c>
      <c r="I526" s="2" t="s">
        <v>5906</v>
      </c>
      <c r="J526" s="2" t="s">
        <v>25365</v>
      </c>
      <c r="K526" s="2" t="s">
        <v>29395</v>
      </c>
    </row>
    <row r="527">
      <c r="A527" s="2" t="s">
        <v>29371</v>
      </c>
      <c r="B527" s="2" t="s">
        <v>29396</v>
      </c>
      <c r="C527" s="2">
        <v>2.3646960972E10</v>
      </c>
      <c r="D527" s="2" t="s">
        <v>29390</v>
      </c>
      <c r="E527" s="2">
        <v>10449.0</v>
      </c>
      <c r="F527" s="2">
        <v>7202.0</v>
      </c>
      <c r="G527" s="2">
        <v>3135.0</v>
      </c>
      <c r="H527" s="2" t="s">
        <v>5905</v>
      </c>
      <c r="I527" s="2" t="s">
        <v>5906</v>
      </c>
      <c r="J527" s="2" t="s">
        <v>5391</v>
      </c>
      <c r="K527" s="2" t="s">
        <v>29397</v>
      </c>
      <c r="L527" s="10" t="s">
        <v>29398</v>
      </c>
    </row>
    <row r="528">
      <c r="A528" s="2" t="s">
        <v>29399</v>
      </c>
      <c r="B528" s="2" t="s">
        <v>29400</v>
      </c>
      <c r="C528" s="2">
        <v>1.0237997368E10</v>
      </c>
      <c r="D528" s="2" t="s">
        <v>29401</v>
      </c>
      <c r="E528" s="2">
        <v>14588.0</v>
      </c>
      <c r="F528" s="2">
        <v>829.0</v>
      </c>
      <c r="G528" s="2">
        <v>600.0</v>
      </c>
      <c r="H528" s="2" t="s">
        <v>5905</v>
      </c>
      <c r="I528" s="2" t="s">
        <v>5906</v>
      </c>
      <c r="J528" s="2" t="s">
        <v>14778</v>
      </c>
      <c r="K528" s="2" t="s">
        <v>29402</v>
      </c>
    </row>
    <row r="529">
      <c r="A529" s="2" t="s">
        <v>29403</v>
      </c>
      <c r="B529" s="2" t="s">
        <v>29404</v>
      </c>
      <c r="C529" s="2">
        <v>1.0968847713E10</v>
      </c>
      <c r="D529" s="2" t="s">
        <v>29405</v>
      </c>
      <c r="E529" s="2">
        <v>108841.0</v>
      </c>
      <c r="F529" s="2">
        <v>4477.0</v>
      </c>
      <c r="G529" s="2">
        <v>233.0</v>
      </c>
      <c r="H529" s="2" t="s">
        <v>5905</v>
      </c>
      <c r="I529" s="2" t="s">
        <v>5906</v>
      </c>
      <c r="J529" s="2" t="s">
        <v>4404</v>
      </c>
      <c r="K529" s="2" t="s">
        <v>29406</v>
      </c>
      <c r="L529" s="10" t="s">
        <v>29407</v>
      </c>
    </row>
    <row r="530">
      <c r="A530" s="2" t="s">
        <v>29403</v>
      </c>
      <c r="B530" s="2" t="s">
        <v>29408</v>
      </c>
      <c r="C530" s="2">
        <v>5.702385764E9</v>
      </c>
      <c r="D530" s="2" t="s">
        <v>29409</v>
      </c>
      <c r="E530" s="2">
        <v>18314.0</v>
      </c>
      <c r="F530" s="2">
        <v>1499.0</v>
      </c>
      <c r="G530" s="2">
        <v>237.0</v>
      </c>
      <c r="H530" s="2" t="s">
        <v>5905</v>
      </c>
      <c r="I530" s="2" t="s">
        <v>5905</v>
      </c>
      <c r="J530" s="2" t="s">
        <v>5993</v>
      </c>
      <c r="K530" s="12" t="s">
        <v>29410</v>
      </c>
    </row>
    <row r="531">
      <c r="A531" s="2" t="s">
        <v>29403</v>
      </c>
      <c r="B531" s="2" t="s">
        <v>29411</v>
      </c>
      <c r="C531" s="2">
        <v>4.657808488E9</v>
      </c>
      <c r="D531" s="2" t="s">
        <v>29412</v>
      </c>
      <c r="E531" s="2">
        <v>27760.0</v>
      </c>
      <c r="F531" s="2">
        <v>2103.0</v>
      </c>
      <c r="G531" s="2">
        <v>1495.0</v>
      </c>
      <c r="H531" s="2" t="s">
        <v>5905</v>
      </c>
      <c r="I531" s="2" t="s">
        <v>5906</v>
      </c>
      <c r="J531" s="2" t="s">
        <v>5993</v>
      </c>
      <c r="K531" s="2" t="s">
        <v>29413</v>
      </c>
      <c r="L531" s="10" t="s">
        <v>29414</v>
      </c>
    </row>
    <row r="532">
      <c r="A532" s="2" t="s">
        <v>29403</v>
      </c>
      <c r="B532" s="2" t="s">
        <v>29415</v>
      </c>
      <c r="C532" s="2">
        <v>3.028877537E9</v>
      </c>
      <c r="D532" s="12" t="s">
        <v>29416</v>
      </c>
      <c r="E532" s="2">
        <v>98316.0</v>
      </c>
      <c r="F532" s="2">
        <v>257.0</v>
      </c>
      <c r="G532" s="2">
        <v>308.0</v>
      </c>
      <c r="H532" s="2" t="s">
        <v>5905</v>
      </c>
      <c r="I532" s="2" t="s">
        <v>5906</v>
      </c>
      <c r="J532" s="2" t="s">
        <v>7140</v>
      </c>
      <c r="K532" s="2" t="s">
        <v>29417</v>
      </c>
    </row>
    <row r="533">
      <c r="A533" s="2" t="s">
        <v>29418</v>
      </c>
      <c r="B533" s="2" t="s">
        <v>29419</v>
      </c>
      <c r="C533" s="2">
        <v>4.225167038E9</v>
      </c>
      <c r="D533" s="2" t="s">
        <v>29420</v>
      </c>
      <c r="E533" s="2">
        <v>11561.0</v>
      </c>
      <c r="F533" s="2">
        <v>70.0</v>
      </c>
      <c r="G533" s="2">
        <v>126.0</v>
      </c>
      <c r="H533" s="2" t="s">
        <v>5905</v>
      </c>
      <c r="I533" s="2" t="s">
        <v>5906</v>
      </c>
      <c r="J533" s="2" t="s">
        <v>7414</v>
      </c>
      <c r="K533" s="2" t="s">
        <v>29421</v>
      </c>
      <c r="L533" s="10" t="s">
        <v>29422</v>
      </c>
    </row>
    <row r="534">
      <c r="A534" s="2" t="s">
        <v>29418</v>
      </c>
      <c r="B534" s="2" t="s">
        <v>29423</v>
      </c>
      <c r="C534" s="2">
        <v>3.9189527409E10</v>
      </c>
      <c r="D534" s="2" t="s">
        <v>29424</v>
      </c>
      <c r="E534" s="2">
        <v>13230.0</v>
      </c>
      <c r="F534" s="2">
        <v>385.0</v>
      </c>
      <c r="G534" s="2">
        <v>290.0</v>
      </c>
      <c r="H534" s="2" t="s">
        <v>5905</v>
      </c>
      <c r="I534" s="2" t="s">
        <v>5905</v>
      </c>
      <c r="J534" s="2" t="s">
        <v>7140</v>
      </c>
      <c r="K534" s="2" t="s">
        <v>29425</v>
      </c>
      <c r="L534" s="10" t="s">
        <v>29426</v>
      </c>
    </row>
    <row r="535">
      <c r="A535" s="2" t="s">
        <v>29418</v>
      </c>
      <c r="B535" s="2" t="s">
        <v>29427</v>
      </c>
      <c r="C535" s="2">
        <v>6.1420617337E10</v>
      </c>
      <c r="D535" s="2" t="s">
        <v>29428</v>
      </c>
      <c r="E535" s="2">
        <v>214103.0</v>
      </c>
      <c r="F535" s="2">
        <v>709.0</v>
      </c>
      <c r="G535" s="2">
        <v>283.0</v>
      </c>
      <c r="H535" s="2" t="s">
        <v>5906</v>
      </c>
      <c r="I535" s="2" t="s">
        <v>5905</v>
      </c>
      <c r="J535" s="2" t="s">
        <v>7414</v>
      </c>
      <c r="K535" s="2" t="s">
        <v>29429</v>
      </c>
    </row>
    <row r="536">
      <c r="A536" s="2" t="s">
        <v>29418</v>
      </c>
      <c r="B536" s="2" t="s">
        <v>29430</v>
      </c>
      <c r="C536" s="2">
        <v>3.43184653E8</v>
      </c>
      <c r="D536" s="2" t="s">
        <v>29431</v>
      </c>
      <c r="E536" s="2">
        <v>48300.0</v>
      </c>
      <c r="F536" s="2">
        <v>1045.0</v>
      </c>
      <c r="G536" s="2">
        <v>1102.0</v>
      </c>
      <c r="H536" s="2" t="s">
        <v>5905</v>
      </c>
      <c r="I536" s="2" t="s">
        <v>5906</v>
      </c>
      <c r="J536" s="2" t="s">
        <v>5561</v>
      </c>
      <c r="K536" s="2" t="s">
        <v>29432</v>
      </c>
      <c r="L536" s="10" t="s">
        <v>29433</v>
      </c>
    </row>
    <row r="537">
      <c r="A537" s="2" t="s">
        <v>29418</v>
      </c>
      <c r="B537" s="2" t="s">
        <v>29434</v>
      </c>
      <c r="C537" s="2">
        <v>4.93318067E8</v>
      </c>
      <c r="D537" s="2" t="s">
        <v>29435</v>
      </c>
      <c r="E537" s="2">
        <v>10100.0</v>
      </c>
      <c r="F537" s="2">
        <v>1266.0</v>
      </c>
      <c r="G537" s="2">
        <v>1775.0</v>
      </c>
      <c r="H537" s="2" t="s">
        <v>5905</v>
      </c>
      <c r="I537" s="2" t="s">
        <v>5906</v>
      </c>
      <c r="J537" s="2" t="s">
        <v>5492</v>
      </c>
      <c r="K537" s="2" t="s">
        <v>29436</v>
      </c>
      <c r="L537" s="10" t="s">
        <v>29437</v>
      </c>
    </row>
    <row r="538">
      <c r="A538" s="2" t="s">
        <v>29418</v>
      </c>
      <c r="B538" s="2" t="s">
        <v>29438</v>
      </c>
      <c r="C538" s="2">
        <v>5.4643925468E10</v>
      </c>
      <c r="D538" s="2" t="s">
        <v>29420</v>
      </c>
      <c r="E538" s="2">
        <v>17914.0</v>
      </c>
      <c r="F538" s="2">
        <v>631.0</v>
      </c>
      <c r="G538" s="2">
        <v>434.0</v>
      </c>
      <c r="H538" s="2" t="s">
        <v>5905</v>
      </c>
      <c r="I538" s="2" t="s">
        <v>5905</v>
      </c>
      <c r="J538" s="2" t="s">
        <v>14778</v>
      </c>
      <c r="K538" s="2" t="s">
        <v>29439</v>
      </c>
    </row>
    <row r="539">
      <c r="A539" s="2" t="s">
        <v>29418</v>
      </c>
      <c r="B539" s="2" t="s">
        <v>29440</v>
      </c>
      <c r="C539" s="2">
        <v>2.005269358E9</v>
      </c>
      <c r="D539" s="2" t="s">
        <v>29441</v>
      </c>
      <c r="E539" s="2">
        <v>13445.0</v>
      </c>
      <c r="F539" s="2">
        <v>1017.0</v>
      </c>
      <c r="G539" s="2">
        <v>268.0</v>
      </c>
      <c r="H539" s="2" t="s">
        <v>5905</v>
      </c>
      <c r="I539" s="2" t="s">
        <v>5905</v>
      </c>
      <c r="J539" s="2" t="s">
        <v>5993</v>
      </c>
      <c r="K539" s="2" t="s">
        <v>29442</v>
      </c>
    </row>
    <row r="540">
      <c r="A540" s="2" t="s">
        <v>29443</v>
      </c>
      <c r="B540" s="2" t="s">
        <v>29444</v>
      </c>
      <c r="C540" s="2">
        <v>4.026042815E9</v>
      </c>
      <c r="D540" s="2" t="s">
        <v>29445</v>
      </c>
      <c r="E540" s="2">
        <v>39752.0</v>
      </c>
      <c r="F540" s="2">
        <v>1284.0</v>
      </c>
      <c r="G540" s="2">
        <v>1270.0</v>
      </c>
      <c r="H540" s="2" t="s">
        <v>5905</v>
      </c>
      <c r="I540" s="2" t="s">
        <v>5906</v>
      </c>
      <c r="J540" s="2" t="s">
        <v>7414</v>
      </c>
      <c r="K540" s="2" t="s">
        <v>29446</v>
      </c>
      <c r="L540" s="10" t="s">
        <v>29447</v>
      </c>
    </row>
    <row r="541">
      <c r="A541" s="2" t="s">
        <v>29448</v>
      </c>
      <c r="B541" s="2" t="s">
        <v>29449</v>
      </c>
      <c r="C541" s="2">
        <v>2.095742075E9</v>
      </c>
      <c r="D541" s="2" t="s">
        <v>29450</v>
      </c>
      <c r="E541" s="2">
        <v>12908.0</v>
      </c>
      <c r="F541" s="2">
        <v>2912.0</v>
      </c>
      <c r="G541" s="2">
        <v>265.0</v>
      </c>
      <c r="H541" s="2" t="s">
        <v>5905</v>
      </c>
      <c r="I541" s="2" t="s">
        <v>5905</v>
      </c>
      <c r="J541" s="2" t="s">
        <v>14778</v>
      </c>
      <c r="K541" s="2" t="s">
        <v>29451</v>
      </c>
    </row>
    <row r="542">
      <c r="A542" s="2" t="s">
        <v>29448</v>
      </c>
      <c r="B542" s="2" t="s">
        <v>29452</v>
      </c>
      <c r="C542" s="2">
        <v>1.236172407E9</v>
      </c>
      <c r="D542" s="2" t="s">
        <v>29453</v>
      </c>
      <c r="E542" s="2">
        <v>20133.0</v>
      </c>
      <c r="F542" s="2">
        <v>1250.0</v>
      </c>
      <c r="G542" s="2">
        <v>169.0</v>
      </c>
      <c r="H542" s="2" t="s">
        <v>5905</v>
      </c>
      <c r="I542" s="2" t="s">
        <v>5905</v>
      </c>
      <c r="J542" s="2" t="s">
        <v>14778</v>
      </c>
      <c r="K542" s="2" t="s">
        <v>29454</v>
      </c>
      <c r="L542" s="10" t="s">
        <v>29455</v>
      </c>
    </row>
    <row r="543">
      <c r="A543" s="2" t="s">
        <v>29448</v>
      </c>
      <c r="B543" s="2" t="s">
        <v>29456</v>
      </c>
      <c r="C543" s="2">
        <v>3.6970498437E10</v>
      </c>
      <c r="D543" s="2" t="s">
        <v>29457</v>
      </c>
      <c r="E543" s="2">
        <v>22275.0</v>
      </c>
      <c r="F543" s="2">
        <v>1617.0</v>
      </c>
      <c r="G543" s="2">
        <v>247.0</v>
      </c>
      <c r="H543" s="2" t="s">
        <v>5905</v>
      </c>
      <c r="I543" s="2" t="s">
        <v>5906</v>
      </c>
      <c r="J543" s="2" t="s">
        <v>14778</v>
      </c>
      <c r="K543" s="2" t="s">
        <v>29458</v>
      </c>
    </row>
    <row r="544">
      <c r="A544" s="2" t="s">
        <v>29448</v>
      </c>
      <c r="B544" s="2" t="s">
        <v>29459</v>
      </c>
      <c r="C544" s="2">
        <v>2.356292471E9</v>
      </c>
      <c r="D544" s="2" t="s">
        <v>29460</v>
      </c>
      <c r="E544" s="2">
        <v>14326.0</v>
      </c>
      <c r="F544" s="2">
        <v>700.0</v>
      </c>
      <c r="G544" s="2">
        <v>302.0</v>
      </c>
      <c r="H544" s="2" t="s">
        <v>5905</v>
      </c>
      <c r="I544" s="2" t="s">
        <v>5906</v>
      </c>
      <c r="J544" s="2" t="s">
        <v>5391</v>
      </c>
      <c r="K544" s="2" t="s">
        <v>29461</v>
      </c>
      <c r="L544" s="10" t="s">
        <v>29462</v>
      </c>
    </row>
    <row r="545">
      <c r="A545" s="2" t="s">
        <v>29463</v>
      </c>
      <c r="B545" s="2" t="s">
        <v>29464</v>
      </c>
      <c r="C545" s="2">
        <v>4.12256736E10</v>
      </c>
      <c r="D545" s="2" t="s">
        <v>29465</v>
      </c>
      <c r="E545" s="2">
        <v>30812.0</v>
      </c>
      <c r="F545" s="2">
        <v>487.0</v>
      </c>
      <c r="G545" s="2">
        <v>242.0</v>
      </c>
      <c r="H545" s="2" t="s">
        <v>5905</v>
      </c>
      <c r="I545" s="2" t="s">
        <v>5905</v>
      </c>
      <c r="J545" s="2" t="s">
        <v>14778</v>
      </c>
      <c r="K545" s="2" t="s">
        <v>29466</v>
      </c>
      <c r="L545" s="10" t="s">
        <v>29467</v>
      </c>
    </row>
    <row r="546">
      <c r="A546" s="2" t="s">
        <v>29468</v>
      </c>
      <c r="B546" s="2" t="s">
        <v>29469</v>
      </c>
      <c r="C546" s="2">
        <v>1.258888855E9</v>
      </c>
      <c r="D546" s="2" t="s">
        <v>29470</v>
      </c>
      <c r="E546" s="2">
        <v>23144.0</v>
      </c>
      <c r="F546" s="2">
        <v>1016.0</v>
      </c>
      <c r="G546" s="2">
        <v>1056.0</v>
      </c>
      <c r="H546" s="2" t="s">
        <v>5905</v>
      </c>
      <c r="I546" s="2" t="s">
        <v>5905</v>
      </c>
      <c r="J546" s="2" t="s">
        <v>7140</v>
      </c>
      <c r="K546" s="2" t="s">
        <v>29471</v>
      </c>
      <c r="L546" s="10" t="s">
        <v>29472</v>
      </c>
    </row>
    <row r="547">
      <c r="A547" s="2" t="s">
        <v>29473</v>
      </c>
      <c r="B547" s="2" t="s">
        <v>29474</v>
      </c>
      <c r="C547" s="2">
        <v>8.973870307E9</v>
      </c>
      <c r="D547" s="2" t="s">
        <v>29475</v>
      </c>
      <c r="E547" s="2">
        <v>30839.0</v>
      </c>
      <c r="F547" s="2">
        <v>1489.0</v>
      </c>
      <c r="G547" s="2">
        <v>469.0</v>
      </c>
      <c r="H547" s="2" t="s">
        <v>5905</v>
      </c>
      <c r="I547" s="2" t="s">
        <v>5906</v>
      </c>
      <c r="J547" s="2" t="s">
        <v>14778</v>
      </c>
      <c r="K547" s="2" t="s">
        <v>29476</v>
      </c>
      <c r="L547" s="10" t="s">
        <v>29477</v>
      </c>
    </row>
    <row r="548">
      <c r="A548" s="2" t="s">
        <v>29473</v>
      </c>
      <c r="B548" s="2" t="s">
        <v>29478</v>
      </c>
      <c r="C548" s="2">
        <v>3.883845065E9</v>
      </c>
      <c r="D548" s="2" t="s">
        <v>29479</v>
      </c>
      <c r="E548" s="2">
        <v>24308.0</v>
      </c>
      <c r="F548" s="2">
        <v>2357.0</v>
      </c>
      <c r="G548" s="2">
        <v>1652.0</v>
      </c>
      <c r="H548" s="2" t="s">
        <v>5906</v>
      </c>
      <c r="I548" s="2" t="s">
        <v>5905</v>
      </c>
      <c r="J548" s="2" t="s">
        <v>14778</v>
      </c>
      <c r="K548" s="2" t="s">
        <v>29480</v>
      </c>
      <c r="L548" s="10" t="s">
        <v>29481</v>
      </c>
    </row>
    <row r="549">
      <c r="A549" s="2" t="s">
        <v>29473</v>
      </c>
      <c r="B549" s="2" t="s">
        <v>29482</v>
      </c>
      <c r="C549" s="2">
        <v>4.735994153E9</v>
      </c>
      <c r="D549" s="2" t="s">
        <v>29483</v>
      </c>
      <c r="E549" s="2">
        <v>83983.0</v>
      </c>
      <c r="F549" s="2">
        <v>7499.0</v>
      </c>
      <c r="G549" s="2">
        <v>10964.0</v>
      </c>
      <c r="H549" s="2" t="s">
        <v>5906</v>
      </c>
      <c r="I549" s="2" t="s">
        <v>5905</v>
      </c>
      <c r="K549" s="2" t="s">
        <v>29484</v>
      </c>
      <c r="L549" s="10" t="s">
        <v>29485</v>
      </c>
    </row>
    <row r="550">
      <c r="A550" s="2" t="s">
        <v>29473</v>
      </c>
      <c r="B550" s="2" t="s">
        <v>29486</v>
      </c>
      <c r="C550" s="2">
        <v>7.934776522E9</v>
      </c>
      <c r="D550" s="2" t="s">
        <v>29487</v>
      </c>
      <c r="E550" s="2">
        <v>123005.0</v>
      </c>
      <c r="F550" s="2">
        <v>1581.0</v>
      </c>
      <c r="G550" s="2">
        <v>1652.0</v>
      </c>
      <c r="H550" s="2" t="s">
        <v>5906</v>
      </c>
      <c r="I550" s="2" t="s">
        <v>5906</v>
      </c>
      <c r="J550" s="2" t="s">
        <v>14778</v>
      </c>
      <c r="K550" s="2" t="s">
        <v>29488</v>
      </c>
    </row>
    <row r="551">
      <c r="A551" s="2" t="s">
        <v>29473</v>
      </c>
      <c r="B551" s="2" t="s">
        <v>29489</v>
      </c>
      <c r="C551" s="2">
        <v>2.112182302E9</v>
      </c>
      <c r="D551" s="2" t="s">
        <v>29479</v>
      </c>
      <c r="E551" s="2">
        <v>84108.0</v>
      </c>
      <c r="F551" s="2">
        <v>4953.0</v>
      </c>
      <c r="G551" s="2">
        <v>4328.0</v>
      </c>
      <c r="H551" s="2" t="s">
        <v>5906</v>
      </c>
      <c r="I551" s="2" t="s">
        <v>5905</v>
      </c>
      <c r="J551" s="2" t="s">
        <v>6002</v>
      </c>
      <c r="K551" s="2" t="s">
        <v>29490</v>
      </c>
    </row>
    <row r="552">
      <c r="A552" s="2" t="s">
        <v>29473</v>
      </c>
      <c r="B552" s="2" t="s">
        <v>29491</v>
      </c>
      <c r="C552" s="2">
        <v>1.392907507E9</v>
      </c>
      <c r="D552" s="2" t="s">
        <v>29475</v>
      </c>
      <c r="E552" s="2">
        <v>10654.0</v>
      </c>
      <c r="F552" s="2">
        <v>1228.0</v>
      </c>
      <c r="G552" s="2">
        <v>1046.0</v>
      </c>
      <c r="H552" s="2" t="s">
        <v>5905</v>
      </c>
      <c r="I552" s="2" t="s">
        <v>5906</v>
      </c>
      <c r="J552" s="2" t="s">
        <v>5993</v>
      </c>
      <c r="K552" s="2" t="s">
        <v>29492</v>
      </c>
    </row>
    <row r="553">
      <c r="A553" s="2" t="s">
        <v>29473</v>
      </c>
      <c r="B553" s="2" t="s">
        <v>29493</v>
      </c>
      <c r="C553" s="2">
        <v>6.737347256E9</v>
      </c>
      <c r="D553" s="2" t="s">
        <v>29475</v>
      </c>
      <c r="E553" s="2">
        <v>35218.0</v>
      </c>
      <c r="F553" s="2">
        <v>1410.0</v>
      </c>
      <c r="G553" s="2">
        <v>2092.0</v>
      </c>
      <c r="H553" s="2" t="s">
        <v>5905</v>
      </c>
      <c r="I553" s="2" t="s">
        <v>5906</v>
      </c>
      <c r="J553" s="2" t="s">
        <v>5391</v>
      </c>
      <c r="K553" s="2" t="s">
        <v>29494</v>
      </c>
      <c r="L553" s="10" t="s">
        <v>29495</v>
      </c>
    </row>
    <row r="554">
      <c r="A554" s="2" t="s">
        <v>29473</v>
      </c>
      <c r="B554" s="2" t="s">
        <v>29496</v>
      </c>
      <c r="C554" s="2">
        <v>1.55416226E9</v>
      </c>
      <c r="D554" s="2" t="s">
        <v>29497</v>
      </c>
      <c r="E554" s="2">
        <v>17170.0</v>
      </c>
      <c r="F554" s="2">
        <v>3146.0</v>
      </c>
      <c r="G554" s="2">
        <v>1367.0</v>
      </c>
      <c r="H554" s="2" t="s">
        <v>5905</v>
      </c>
      <c r="I554" s="2" t="s">
        <v>5905</v>
      </c>
      <c r="J554" s="2" t="s">
        <v>14778</v>
      </c>
      <c r="K554" s="2" t="s">
        <v>29498</v>
      </c>
    </row>
    <row r="555">
      <c r="A555" s="2" t="s">
        <v>29473</v>
      </c>
      <c r="B555" s="2" t="s">
        <v>29499</v>
      </c>
      <c r="C555" s="2">
        <v>4.089519104E9</v>
      </c>
      <c r="D555" s="2" t="s">
        <v>29500</v>
      </c>
      <c r="E555" s="2">
        <v>16340.0</v>
      </c>
      <c r="F555" s="2">
        <v>2790.0</v>
      </c>
      <c r="G555" s="2">
        <v>2075.0</v>
      </c>
      <c r="H555" s="2" t="s">
        <v>5905</v>
      </c>
      <c r="I555" s="2" t="s">
        <v>5906</v>
      </c>
      <c r="J555" s="2" t="s">
        <v>7414</v>
      </c>
      <c r="K555" s="2" t="s">
        <v>29501</v>
      </c>
    </row>
    <row r="556">
      <c r="A556" s="2" t="s">
        <v>29473</v>
      </c>
      <c r="B556" s="2" t="s">
        <v>29502</v>
      </c>
      <c r="C556" s="2">
        <v>1.508351711E9</v>
      </c>
      <c r="D556" s="2" t="s">
        <v>29503</v>
      </c>
      <c r="E556" s="2">
        <v>35020.0</v>
      </c>
      <c r="F556" s="2">
        <v>7479.0</v>
      </c>
      <c r="G556" s="2">
        <v>5673.0</v>
      </c>
      <c r="H556" s="2" t="s">
        <v>5905</v>
      </c>
      <c r="I556" s="2" t="s">
        <v>5906</v>
      </c>
      <c r="J556" s="2" t="s">
        <v>14778</v>
      </c>
      <c r="K556" s="2" t="s">
        <v>29504</v>
      </c>
    </row>
    <row r="557">
      <c r="A557" s="2" t="s">
        <v>29473</v>
      </c>
      <c r="B557" s="2" t="s">
        <v>29505</v>
      </c>
      <c r="C557" s="2">
        <v>3.05368719E8</v>
      </c>
      <c r="D557" s="2" t="s">
        <v>29479</v>
      </c>
      <c r="E557" s="2">
        <v>54443.0</v>
      </c>
      <c r="F557" s="2">
        <v>2148.0</v>
      </c>
      <c r="G557" s="2">
        <v>4419.0</v>
      </c>
      <c r="H557" s="2" t="s">
        <v>5906</v>
      </c>
      <c r="I557" s="2" t="s">
        <v>5906</v>
      </c>
      <c r="J557" s="2" t="s">
        <v>5391</v>
      </c>
      <c r="K557" s="2" t="s">
        <v>29506</v>
      </c>
    </row>
    <row r="558">
      <c r="A558" s="2" t="s">
        <v>29473</v>
      </c>
      <c r="B558" s="2" t="s">
        <v>29507</v>
      </c>
      <c r="C558" s="2">
        <v>1.497030726E9</v>
      </c>
      <c r="D558" s="2" t="s">
        <v>29497</v>
      </c>
      <c r="E558" s="2">
        <v>45282.0</v>
      </c>
      <c r="F558" s="2">
        <v>1853.0</v>
      </c>
      <c r="G558" s="2">
        <v>3839.0</v>
      </c>
      <c r="H558" s="2" t="s">
        <v>5905</v>
      </c>
      <c r="I558" s="2" t="s">
        <v>5905</v>
      </c>
      <c r="J558" s="2" t="s">
        <v>7140</v>
      </c>
      <c r="K558" s="2" t="s">
        <v>29508</v>
      </c>
    </row>
    <row r="559">
      <c r="A559" s="2" t="s">
        <v>29473</v>
      </c>
      <c r="B559" s="2" t="s">
        <v>29509</v>
      </c>
      <c r="C559" s="2">
        <v>2.7969013296E10</v>
      </c>
      <c r="D559" s="2" t="s">
        <v>29479</v>
      </c>
      <c r="E559" s="2">
        <v>14695.0</v>
      </c>
      <c r="F559" s="2">
        <v>297.0</v>
      </c>
      <c r="G559" s="2">
        <v>1083.0</v>
      </c>
      <c r="H559" s="2" t="s">
        <v>5905</v>
      </c>
      <c r="I559" s="2" t="s">
        <v>5905</v>
      </c>
      <c r="J559" s="2" t="s">
        <v>5993</v>
      </c>
      <c r="K559" s="2" t="s">
        <v>29510</v>
      </c>
    </row>
    <row r="560">
      <c r="A560" s="2" t="s">
        <v>29473</v>
      </c>
      <c r="B560" s="2" t="s">
        <v>29511</v>
      </c>
      <c r="C560" s="2">
        <v>1.459767896E9</v>
      </c>
      <c r="D560" s="2" t="s">
        <v>29475</v>
      </c>
      <c r="E560" s="2">
        <v>11248.0</v>
      </c>
      <c r="F560" s="2">
        <v>1008.0</v>
      </c>
      <c r="G560" s="2">
        <v>1056.0</v>
      </c>
      <c r="H560" s="2" t="s">
        <v>5905</v>
      </c>
      <c r="I560" s="2" t="s">
        <v>5905</v>
      </c>
      <c r="J560" s="2" t="s">
        <v>6002</v>
      </c>
      <c r="K560" s="2" t="s">
        <v>29512</v>
      </c>
    </row>
    <row r="561">
      <c r="A561" s="2" t="s">
        <v>29513</v>
      </c>
      <c r="B561" s="2" t="s">
        <v>29514</v>
      </c>
      <c r="C561" s="2">
        <v>2.279733299E9</v>
      </c>
      <c r="D561" s="2" t="s">
        <v>29515</v>
      </c>
      <c r="E561" s="2">
        <v>32773.0</v>
      </c>
      <c r="F561" s="2">
        <v>628.0</v>
      </c>
      <c r="G561" s="2">
        <v>2285.0</v>
      </c>
      <c r="H561" s="2" t="s">
        <v>5905</v>
      </c>
      <c r="I561" s="2" t="s">
        <v>5906</v>
      </c>
      <c r="J561" s="2" t="s">
        <v>6166</v>
      </c>
      <c r="K561" s="2" t="s">
        <v>29516</v>
      </c>
      <c r="L561" s="10" t="s">
        <v>29517</v>
      </c>
    </row>
    <row r="562">
      <c r="A562" s="2" t="s">
        <v>29513</v>
      </c>
      <c r="B562" s="2" t="s">
        <v>29518</v>
      </c>
      <c r="C562" s="2">
        <v>6.315633638E9</v>
      </c>
      <c r="D562" s="2" t="s">
        <v>29519</v>
      </c>
      <c r="E562" s="2">
        <v>26100.0</v>
      </c>
      <c r="F562" s="2">
        <v>5075.0</v>
      </c>
      <c r="G562" s="2">
        <v>2193.0</v>
      </c>
      <c r="H562" s="2" t="s">
        <v>5905</v>
      </c>
      <c r="I562" s="2" t="s">
        <v>5906</v>
      </c>
      <c r="J562" s="2" t="s">
        <v>22861</v>
      </c>
      <c r="K562" s="2" t="s">
        <v>29520</v>
      </c>
      <c r="L562" s="10" t="s">
        <v>29521</v>
      </c>
    </row>
    <row r="563">
      <c r="A563" s="2" t="s">
        <v>29522</v>
      </c>
      <c r="B563" s="2" t="s">
        <v>29523</v>
      </c>
      <c r="C563" s="2">
        <v>1.202287663E9</v>
      </c>
      <c r="D563" s="2" t="s">
        <v>29524</v>
      </c>
      <c r="E563" s="2">
        <v>10082.0</v>
      </c>
      <c r="F563" s="2">
        <v>1330.0</v>
      </c>
      <c r="G563" s="2">
        <v>720.0</v>
      </c>
      <c r="H563" s="2" t="s">
        <v>5905</v>
      </c>
      <c r="I563" s="2" t="s">
        <v>5905</v>
      </c>
      <c r="J563" s="2" t="s">
        <v>5391</v>
      </c>
      <c r="K563" s="2" t="s">
        <v>29525</v>
      </c>
      <c r="L563" s="10" t="s">
        <v>29526</v>
      </c>
    </row>
    <row r="564">
      <c r="A564" s="2" t="s">
        <v>29527</v>
      </c>
      <c r="B564" s="2" t="s">
        <v>29528</v>
      </c>
      <c r="C564" s="2">
        <v>4.07615529E8</v>
      </c>
      <c r="D564" s="2" t="s">
        <v>29529</v>
      </c>
      <c r="E564" s="2">
        <v>121343.0</v>
      </c>
      <c r="F564" s="2">
        <v>701.0</v>
      </c>
      <c r="G564" s="2">
        <v>2090.0</v>
      </c>
      <c r="H564" s="2" t="s">
        <v>5905</v>
      </c>
      <c r="I564" s="2" t="s">
        <v>5905</v>
      </c>
      <c r="J564" s="2" t="s">
        <v>6166</v>
      </c>
      <c r="K564" s="2" t="s">
        <v>29530</v>
      </c>
      <c r="L564" s="10" t="s">
        <v>29531</v>
      </c>
    </row>
    <row r="565">
      <c r="A565" s="2" t="s">
        <v>29527</v>
      </c>
      <c r="B565" s="2" t="s">
        <v>29532</v>
      </c>
      <c r="C565" s="2">
        <v>1.2189782089E10</v>
      </c>
      <c r="D565" s="2" t="s">
        <v>29533</v>
      </c>
      <c r="E565" s="2">
        <v>151858.0</v>
      </c>
      <c r="F565" s="2">
        <v>4.0</v>
      </c>
      <c r="G565" s="2">
        <v>4123.0</v>
      </c>
      <c r="H565" s="2" t="s">
        <v>5905</v>
      </c>
      <c r="I565" s="2" t="s">
        <v>5905</v>
      </c>
      <c r="J565" s="2" t="s">
        <v>6023</v>
      </c>
      <c r="K565" s="2" t="s">
        <v>29534</v>
      </c>
      <c r="L565" s="10" t="s">
        <v>29535</v>
      </c>
    </row>
    <row r="566">
      <c r="A566" s="2" t="s">
        <v>29536</v>
      </c>
      <c r="B566" s="2" t="s">
        <v>29537</v>
      </c>
      <c r="C566" s="2">
        <v>2.46659167E8</v>
      </c>
      <c r="D566" s="2" t="s">
        <v>29538</v>
      </c>
      <c r="E566" s="2">
        <v>67544.0</v>
      </c>
      <c r="F566" s="2">
        <v>1063.0</v>
      </c>
      <c r="G566" s="2">
        <v>1858.0</v>
      </c>
      <c r="H566" s="2" t="s">
        <v>5906</v>
      </c>
      <c r="I566" s="2" t="s">
        <v>5905</v>
      </c>
      <c r="J566" s="2" t="s">
        <v>5959</v>
      </c>
      <c r="K566" s="2" t="s">
        <v>29539</v>
      </c>
      <c r="L566" s="10" t="s">
        <v>29540</v>
      </c>
    </row>
    <row r="567">
      <c r="A567" s="2" t="s">
        <v>29541</v>
      </c>
      <c r="B567" s="2" t="s">
        <v>29542</v>
      </c>
      <c r="C567" s="2">
        <v>4.6107946044E10</v>
      </c>
      <c r="D567" s="2" t="s">
        <v>29543</v>
      </c>
      <c r="E567" s="2">
        <v>19249.0</v>
      </c>
      <c r="F567" s="2">
        <v>4044.0</v>
      </c>
      <c r="G567" s="2">
        <v>2057.0</v>
      </c>
      <c r="H567" s="2" t="s">
        <v>5905</v>
      </c>
      <c r="I567" s="2" t="s">
        <v>5906</v>
      </c>
      <c r="J567" s="2" t="s">
        <v>7414</v>
      </c>
      <c r="K567" s="2" t="s">
        <v>29544</v>
      </c>
      <c r="L567" s="10" t="s">
        <v>29545</v>
      </c>
    </row>
    <row r="568">
      <c r="A568" s="2" t="s">
        <v>29546</v>
      </c>
      <c r="B568" s="10" t="s">
        <v>29547</v>
      </c>
      <c r="C568" s="2">
        <v>4.9094723902E10</v>
      </c>
      <c r="D568" s="2" t="s">
        <v>29548</v>
      </c>
      <c r="E568" s="2">
        <v>18515.0</v>
      </c>
      <c r="F568" s="2">
        <v>12.0</v>
      </c>
      <c r="G568" s="2">
        <v>298.0</v>
      </c>
      <c r="H568" s="2" t="s">
        <v>5905</v>
      </c>
      <c r="I568" s="2" t="s">
        <v>5905</v>
      </c>
      <c r="J568" s="2" t="s">
        <v>11316</v>
      </c>
      <c r="K568" s="2" t="s">
        <v>29549</v>
      </c>
      <c r="L568" s="10" t="s">
        <v>29550</v>
      </c>
    </row>
    <row r="569">
      <c r="A569" s="2" t="s">
        <v>29546</v>
      </c>
      <c r="B569" s="2" t="s">
        <v>29551</v>
      </c>
      <c r="C569" s="2">
        <v>5.2587945995E10</v>
      </c>
      <c r="D569" s="2" t="s">
        <v>29552</v>
      </c>
      <c r="E569" s="2">
        <v>10572.0</v>
      </c>
      <c r="F569" s="2">
        <v>1249.0</v>
      </c>
      <c r="G569" s="2">
        <v>717.0</v>
      </c>
      <c r="H569" s="2" t="s">
        <v>5905</v>
      </c>
      <c r="I569" s="2" t="s">
        <v>5906</v>
      </c>
      <c r="J569" s="2" t="s">
        <v>7140</v>
      </c>
      <c r="K569" s="12" t="s">
        <v>29553</v>
      </c>
      <c r="L569" s="10" t="s">
        <v>29554</v>
      </c>
    </row>
    <row r="570">
      <c r="A570" s="2" t="s">
        <v>29546</v>
      </c>
      <c r="B570" s="2" t="s">
        <v>29555</v>
      </c>
      <c r="C570" s="2">
        <v>1.6868044632E10</v>
      </c>
      <c r="D570" s="2" t="s">
        <v>29556</v>
      </c>
      <c r="E570" s="2">
        <v>22556.0</v>
      </c>
      <c r="F570" s="2">
        <v>3774.0</v>
      </c>
      <c r="G570" s="2">
        <v>617.0</v>
      </c>
      <c r="H570" s="2" t="s">
        <v>5905</v>
      </c>
      <c r="I570" s="2" t="s">
        <v>5906</v>
      </c>
      <c r="J570" s="2" t="s">
        <v>7414</v>
      </c>
      <c r="K570" s="2" t="s">
        <v>29557</v>
      </c>
    </row>
    <row r="571">
      <c r="A571" s="2" t="s">
        <v>29558</v>
      </c>
      <c r="B571" s="2" t="s">
        <v>29559</v>
      </c>
      <c r="C571" s="2">
        <v>1.1111025708E10</v>
      </c>
      <c r="D571" s="2" t="s">
        <v>29560</v>
      </c>
      <c r="E571" s="2">
        <v>13468.0</v>
      </c>
      <c r="F571" s="2">
        <v>369.0</v>
      </c>
      <c r="G571" s="2">
        <v>899.0</v>
      </c>
      <c r="H571" s="2" t="s">
        <v>5906</v>
      </c>
      <c r="I571" s="2" t="s">
        <v>5906</v>
      </c>
      <c r="J571" s="2" t="s">
        <v>5391</v>
      </c>
      <c r="K571" s="2" t="s">
        <v>29561</v>
      </c>
      <c r="L571" s="10" t="s">
        <v>29562</v>
      </c>
    </row>
    <row r="572">
      <c r="A572" s="2" t="s">
        <v>29558</v>
      </c>
      <c r="B572" s="2" t="s">
        <v>29563</v>
      </c>
      <c r="C572" s="2">
        <v>3.232497926E9</v>
      </c>
      <c r="D572" s="2" t="s">
        <v>29564</v>
      </c>
      <c r="E572" s="2">
        <v>13804.0</v>
      </c>
      <c r="F572" s="2">
        <v>213.0</v>
      </c>
      <c r="G572" s="2">
        <v>361.0</v>
      </c>
      <c r="H572" s="2" t="s">
        <v>5905</v>
      </c>
      <c r="I572" s="2" t="s">
        <v>5906</v>
      </c>
      <c r="J572" s="2" t="s">
        <v>10494</v>
      </c>
      <c r="K572" s="2" t="s">
        <v>29565</v>
      </c>
      <c r="L572" s="10" t="s">
        <v>29566</v>
      </c>
    </row>
    <row r="573">
      <c r="A573" s="2" t="s">
        <v>29567</v>
      </c>
      <c r="B573" s="2" t="s">
        <v>29568</v>
      </c>
      <c r="C573" s="2">
        <v>5.714241353E9</v>
      </c>
      <c r="D573" s="2" t="s">
        <v>29569</v>
      </c>
      <c r="E573" s="2">
        <v>27862.0</v>
      </c>
      <c r="F573" s="2">
        <v>5067.0</v>
      </c>
      <c r="G573" s="2">
        <v>2319.0</v>
      </c>
      <c r="H573" s="2" t="s">
        <v>5905</v>
      </c>
      <c r="I573" s="2" t="s">
        <v>5906</v>
      </c>
      <c r="J573" s="2" t="s">
        <v>5391</v>
      </c>
      <c r="K573" s="2" t="s">
        <v>29570</v>
      </c>
      <c r="L573" s="10" t="s">
        <v>29571</v>
      </c>
    </row>
    <row r="574">
      <c r="A574" s="2" t="s">
        <v>29567</v>
      </c>
      <c r="B574" s="2" t="s">
        <v>29572</v>
      </c>
      <c r="C574" s="2">
        <v>2.8862040696E10</v>
      </c>
      <c r="D574" s="2" t="s">
        <v>29573</v>
      </c>
      <c r="E574" s="2">
        <v>12502.0</v>
      </c>
      <c r="F574" s="2">
        <v>217.0</v>
      </c>
      <c r="G574" s="2">
        <v>653.0</v>
      </c>
      <c r="H574" s="2" t="s">
        <v>5905</v>
      </c>
      <c r="I574" s="2" t="s">
        <v>5905</v>
      </c>
      <c r="J574" s="2" t="s">
        <v>7140</v>
      </c>
      <c r="K574" s="2" t="s">
        <v>29574</v>
      </c>
    </row>
    <row r="575">
      <c r="A575" s="2" t="s">
        <v>29567</v>
      </c>
      <c r="B575" s="2" t="s">
        <v>29575</v>
      </c>
      <c r="C575" s="2">
        <v>1.15237083E9</v>
      </c>
      <c r="D575" s="2" t="s">
        <v>29576</v>
      </c>
      <c r="E575" s="2">
        <v>30686.0</v>
      </c>
      <c r="F575" s="2">
        <v>7499.0</v>
      </c>
      <c r="G575" s="2">
        <v>4657.0</v>
      </c>
      <c r="H575" s="2" t="s">
        <v>5905</v>
      </c>
      <c r="I575" s="2" t="s">
        <v>5905</v>
      </c>
      <c r="J575" s="2" t="s">
        <v>7414</v>
      </c>
      <c r="K575" s="2" t="s">
        <v>29577</v>
      </c>
      <c r="L575" s="10" t="s">
        <v>29578</v>
      </c>
    </row>
    <row r="576">
      <c r="A576" s="2" t="s">
        <v>29567</v>
      </c>
      <c r="B576" s="2" t="s">
        <v>29579</v>
      </c>
      <c r="C576" s="2">
        <v>8.061565617E9</v>
      </c>
      <c r="D576" s="2" t="s">
        <v>29580</v>
      </c>
      <c r="E576" s="2">
        <v>15345.0</v>
      </c>
      <c r="F576" s="2">
        <v>790.0</v>
      </c>
      <c r="G576" s="2">
        <v>3614.0</v>
      </c>
      <c r="H576" s="2" t="s">
        <v>5905</v>
      </c>
      <c r="I576" s="2" t="s">
        <v>5905</v>
      </c>
      <c r="J576" s="2" t="s">
        <v>7414</v>
      </c>
      <c r="K576" s="2" t="s">
        <v>29581</v>
      </c>
      <c r="L576" s="10" t="s">
        <v>29582</v>
      </c>
    </row>
    <row r="577">
      <c r="A577" s="2" t="s">
        <v>29567</v>
      </c>
      <c r="B577" s="2" t="s">
        <v>29583</v>
      </c>
      <c r="C577" s="2">
        <v>2.289882061E9</v>
      </c>
      <c r="D577" s="2" t="s">
        <v>29584</v>
      </c>
      <c r="E577" s="2">
        <v>15479.0</v>
      </c>
      <c r="F577" s="2">
        <v>1759.0</v>
      </c>
      <c r="G577" s="2">
        <v>4379.0</v>
      </c>
      <c r="H577" s="2" t="s">
        <v>5905</v>
      </c>
      <c r="I577" s="2" t="s">
        <v>5906</v>
      </c>
      <c r="J577" s="2" t="s">
        <v>5391</v>
      </c>
      <c r="K577" s="2" t="s">
        <v>29585</v>
      </c>
      <c r="L577" s="10" t="s">
        <v>29586</v>
      </c>
    </row>
    <row r="578">
      <c r="A578" s="2" t="s">
        <v>29587</v>
      </c>
      <c r="B578" s="2" t="s">
        <v>29568</v>
      </c>
      <c r="C578" s="2">
        <v>5.714241353E9</v>
      </c>
      <c r="D578" s="2" t="s">
        <v>29569</v>
      </c>
      <c r="E578" s="2">
        <v>27862.0</v>
      </c>
      <c r="F578" s="2">
        <v>5067.0</v>
      </c>
      <c r="G578" s="2">
        <v>2319.0</v>
      </c>
      <c r="H578" s="2" t="s">
        <v>5905</v>
      </c>
      <c r="I578" s="2" t="s">
        <v>5906</v>
      </c>
      <c r="J578" s="2" t="s">
        <v>5391</v>
      </c>
      <c r="K578" s="2" t="s">
        <v>29570</v>
      </c>
      <c r="L578" s="10" t="s">
        <v>29571</v>
      </c>
    </row>
    <row r="579">
      <c r="A579" s="2" t="s">
        <v>29587</v>
      </c>
      <c r="B579" s="10" t="s">
        <v>29588</v>
      </c>
      <c r="C579" s="2">
        <v>6.3456261087E10</v>
      </c>
      <c r="D579" s="2" t="s">
        <v>29589</v>
      </c>
      <c r="E579" s="2">
        <v>13517.0</v>
      </c>
      <c r="F579" s="2">
        <v>1.0</v>
      </c>
      <c r="G579" s="2">
        <v>307.0</v>
      </c>
      <c r="H579" s="2" t="s">
        <v>5905</v>
      </c>
      <c r="I579" s="2" t="s">
        <v>5906</v>
      </c>
      <c r="J579" s="2" t="s">
        <v>7414</v>
      </c>
      <c r="K579" s="2" t="s">
        <v>29590</v>
      </c>
    </row>
    <row r="580">
      <c r="A580" s="2" t="s">
        <v>29587</v>
      </c>
      <c r="B580" s="2" t="s">
        <v>29575</v>
      </c>
      <c r="C580" s="2">
        <v>1.15237083E9</v>
      </c>
      <c r="D580" s="2" t="s">
        <v>29576</v>
      </c>
      <c r="E580" s="2">
        <v>30686.0</v>
      </c>
      <c r="F580" s="2">
        <v>7499.0</v>
      </c>
      <c r="G580" s="2">
        <v>4657.0</v>
      </c>
      <c r="H580" s="2" t="s">
        <v>5905</v>
      </c>
      <c r="I580" s="2" t="s">
        <v>5905</v>
      </c>
      <c r="J580" s="2" t="s">
        <v>7414</v>
      </c>
      <c r="K580" s="2" t="s">
        <v>29577</v>
      </c>
      <c r="L580" s="10" t="s">
        <v>29578</v>
      </c>
    </row>
    <row r="581">
      <c r="A581" s="2" t="s">
        <v>29591</v>
      </c>
      <c r="B581" s="2" t="s">
        <v>29592</v>
      </c>
      <c r="C581" s="2">
        <v>5.3667516945E10</v>
      </c>
      <c r="D581" s="12" t="s">
        <v>29593</v>
      </c>
      <c r="E581" s="2">
        <v>44692.0</v>
      </c>
      <c r="F581" s="2">
        <v>0.0</v>
      </c>
      <c r="G581" s="2">
        <v>159.0</v>
      </c>
      <c r="H581" s="2" t="s">
        <v>5906</v>
      </c>
      <c r="I581" s="2" t="s">
        <v>5905</v>
      </c>
      <c r="J581" s="2" t="s">
        <v>7414</v>
      </c>
      <c r="K581" s="12" t="s">
        <v>29594</v>
      </c>
    </row>
    <row r="582">
      <c r="A582" s="2" t="s">
        <v>29595</v>
      </c>
      <c r="B582" s="2" t="s">
        <v>29596</v>
      </c>
      <c r="C582" s="2">
        <v>1.951931973E9</v>
      </c>
      <c r="D582" s="2" t="s">
        <v>29597</v>
      </c>
      <c r="E582" s="2">
        <v>18130.0</v>
      </c>
      <c r="F582" s="2">
        <v>1312.0</v>
      </c>
      <c r="G582" s="2">
        <v>1434.0</v>
      </c>
      <c r="H582" s="2" t="s">
        <v>5906</v>
      </c>
      <c r="I582" s="2" t="s">
        <v>5906</v>
      </c>
      <c r="J582" s="2" t="s">
        <v>5963</v>
      </c>
      <c r="K582" s="2" t="s">
        <v>29598</v>
      </c>
      <c r="L582" s="10" t="s">
        <v>29599</v>
      </c>
    </row>
    <row r="583">
      <c r="A583" s="2" t="s">
        <v>29595</v>
      </c>
      <c r="B583" s="2" t="s">
        <v>29600</v>
      </c>
      <c r="C583" s="2">
        <v>6.0823649748E10</v>
      </c>
      <c r="D583" s="2" t="s">
        <v>29601</v>
      </c>
      <c r="E583" s="2">
        <v>25087.0</v>
      </c>
      <c r="F583" s="2">
        <v>1059.0</v>
      </c>
      <c r="G583" s="2">
        <v>1019.0</v>
      </c>
      <c r="H583" s="2" t="s">
        <v>5905</v>
      </c>
      <c r="I583" s="2" t="s">
        <v>5906</v>
      </c>
      <c r="J583" s="2" t="s">
        <v>5391</v>
      </c>
      <c r="K583" s="2" t="s">
        <v>29602</v>
      </c>
      <c r="L583" s="10" t="s">
        <v>29603</v>
      </c>
    </row>
    <row r="584">
      <c r="A584" s="2" t="s">
        <v>29595</v>
      </c>
      <c r="B584" s="2" t="s">
        <v>29604</v>
      </c>
      <c r="C584" s="2">
        <v>5.8659055077E10</v>
      </c>
      <c r="D584" s="2" t="s">
        <v>29605</v>
      </c>
      <c r="E584" s="2">
        <v>11192.0</v>
      </c>
      <c r="F584" s="2">
        <v>90.0</v>
      </c>
      <c r="G584" s="2">
        <v>463.0</v>
      </c>
      <c r="H584" s="2" t="s">
        <v>5905</v>
      </c>
      <c r="I584" s="2" t="s">
        <v>5906</v>
      </c>
      <c r="J584" s="2" t="s">
        <v>7140</v>
      </c>
      <c r="K584" s="2" t="s">
        <v>29606</v>
      </c>
      <c r="L584" s="10" t="s">
        <v>29607</v>
      </c>
    </row>
    <row r="585">
      <c r="A585" s="2" t="s">
        <v>29595</v>
      </c>
      <c r="B585" s="2" t="s">
        <v>29608</v>
      </c>
      <c r="C585" s="2">
        <v>5.9942648387E10</v>
      </c>
      <c r="D585" s="2" t="s">
        <v>29601</v>
      </c>
      <c r="E585" s="2">
        <v>38605.0</v>
      </c>
      <c r="F585" s="2">
        <v>658.0</v>
      </c>
      <c r="G585" s="2">
        <v>2310.0</v>
      </c>
      <c r="H585" s="2" t="s">
        <v>5906</v>
      </c>
      <c r="I585" s="2" t="s">
        <v>5906</v>
      </c>
      <c r="J585" s="2" t="s">
        <v>5391</v>
      </c>
      <c r="K585" s="2" t="s">
        <v>29609</v>
      </c>
      <c r="L585" s="10" t="s">
        <v>29610</v>
      </c>
    </row>
    <row r="586">
      <c r="A586" s="2" t="s">
        <v>29595</v>
      </c>
      <c r="B586" s="2" t="s">
        <v>29611</v>
      </c>
      <c r="C586" s="2">
        <v>5.1180482316E10</v>
      </c>
      <c r="D586" s="2" t="s">
        <v>29612</v>
      </c>
      <c r="E586" s="2">
        <v>16742.0</v>
      </c>
      <c r="F586" s="2">
        <v>730.0</v>
      </c>
      <c r="G586" s="2">
        <v>1789.0</v>
      </c>
      <c r="H586" s="2" t="s">
        <v>5905</v>
      </c>
      <c r="I586" s="2" t="s">
        <v>5906</v>
      </c>
      <c r="J586" s="2" t="s">
        <v>5391</v>
      </c>
      <c r="K586" s="2" t="s">
        <v>29613</v>
      </c>
    </row>
    <row r="587">
      <c r="A587" s="2" t="s">
        <v>29614</v>
      </c>
      <c r="B587" s="2" t="s">
        <v>29615</v>
      </c>
      <c r="C587" s="2">
        <v>6.160705242E10</v>
      </c>
      <c r="D587" s="2" t="s">
        <v>29616</v>
      </c>
      <c r="E587" s="2">
        <v>18941.0</v>
      </c>
      <c r="F587" s="2">
        <v>0.0</v>
      </c>
      <c r="G587" s="2">
        <v>311.0</v>
      </c>
      <c r="H587" s="2" t="s">
        <v>5906</v>
      </c>
      <c r="I587" s="2" t="s">
        <v>5906</v>
      </c>
      <c r="J587" s="2" t="s">
        <v>7140</v>
      </c>
      <c r="K587" s="2" t="s">
        <v>29617</v>
      </c>
      <c r="L587" s="10" t="s">
        <v>29618</v>
      </c>
    </row>
    <row r="588">
      <c r="A588" s="2" t="s">
        <v>29619</v>
      </c>
      <c r="B588" s="10" t="s">
        <v>29620</v>
      </c>
      <c r="C588" s="2">
        <v>7.488758466E9</v>
      </c>
      <c r="D588" s="2" t="s">
        <v>29621</v>
      </c>
      <c r="E588" s="2">
        <v>16509.0</v>
      </c>
      <c r="F588" s="2">
        <v>2.0</v>
      </c>
      <c r="G588" s="2">
        <v>493.0</v>
      </c>
      <c r="H588" s="2" t="s">
        <v>5905</v>
      </c>
      <c r="I588" s="2" t="s">
        <v>5905</v>
      </c>
      <c r="J588" s="2" t="s">
        <v>7414</v>
      </c>
      <c r="K588" s="2" t="s">
        <v>29622</v>
      </c>
    </row>
    <row r="589">
      <c r="A589" s="2" t="s">
        <v>29623</v>
      </c>
      <c r="B589" s="2" t="s">
        <v>29624</v>
      </c>
      <c r="C589" s="2">
        <v>6.46949719E8</v>
      </c>
      <c r="D589" s="2" t="s">
        <v>29625</v>
      </c>
      <c r="E589" s="2">
        <v>13023.0</v>
      </c>
      <c r="F589" s="2">
        <v>4220.0</v>
      </c>
      <c r="G589" s="2">
        <v>4027.0</v>
      </c>
      <c r="H589" s="2" t="s">
        <v>5905</v>
      </c>
      <c r="I589" s="2" t="s">
        <v>5906</v>
      </c>
      <c r="J589" s="2" t="s">
        <v>7140</v>
      </c>
      <c r="K589" s="2" t="s">
        <v>29626</v>
      </c>
      <c r="L589" s="10" t="s">
        <v>29627</v>
      </c>
    </row>
    <row r="590">
      <c r="A590" s="2" t="s">
        <v>29623</v>
      </c>
      <c r="B590" s="2" t="s">
        <v>29628</v>
      </c>
      <c r="C590" s="2">
        <v>5.455539326E9</v>
      </c>
      <c r="D590" s="2" t="s">
        <v>29629</v>
      </c>
      <c r="E590" s="2">
        <v>12787.0</v>
      </c>
      <c r="F590" s="2">
        <v>2460.0</v>
      </c>
      <c r="G590" s="2">
        <v>5081.0</v>
      </c>
      <c r="H590" s="2" t="s">
        <v>5905</v>
      </c>
      <c r="I590" s="2" t="s">
        <v>5906</v>
      </c>
      <c r="J590" s="2" t="s">
        <v>5391</v>
      </c>
      <c r="K590" s="2" t="s">
        <v>29630</v>
      </c>
      <c r="L590" s="10" t="s">
        <v>29631</v>
      </c>
    </row>
    <row r="591">
      <c r="A591" s="2" t="s">
        <v>29623</v>
      </c>
      <c r="B591" s="2" t="s">
        <v>29632</v>
      </c>
      <c r="C591" s="2">
        <v>7.168261072E9</v>
      </c>
      <c r="D591" s="2" t="s">
        <v>29633</v>
      </c>
      <c r="E591" s="2">
        <v>17483.0</v>
      </c>
      <c r="F591" s="2">
        <v>3565.0</v>
      </c>
      <c r="G591" s="2">
        <v>2731.0</v>
      </c>
      <c r="H591" s="2" t="s">
        <v>5905</v>
      </c>
      <c r="I591" s="2" t="s">
        <v>5906</v>
      </c>
      <c r="J591" s="2" t="s">
        <v>7414</v>
      </c>
      <c r="K591" s="2" t="s">
        <v>29634</v>
      </c>
      <c r="L591" s="10" t="s">
        <v>29635</v>
      </c>
    </row>
    <row r="592">
      <c r="A592" s="2" t="s">
        <v>29623</v>
      </c>
      <c r="B592" s="10" t="s">
        <v>29636</v>
      </c>
      <c r="C592" s="2">
        <v>3.746389925E10</v>
      </c>
      <c r="D592" s="2" t="s">
        <v>29637</v>
      </c>
      <c r="E592" s="2">
        <v>25817.0</v>
      </c>
      <c r="F592" s="2">
        <v>758.0</v>
      </c>
      <c r="G592" s="2">
        <v>1250.0</v>
      </c>
      <c r="H592" s="2" t="s">
        <v>5906</v>
      </c>
      <c r="I592" s="2" t="s">
        <v>5906</v>
      </c>
      <c r="J592" s="2" t="s">
        <v>5391</v>
      </c>
      <c r="K592" s="2" t="s">
        <v>29638</v>
      </c>
      <c r="L592" s="10" t="s">
        <v>29639</v>
      </c>
    </row>
    <row r="593">
      <c r="A593" s="2" t="s">
        <v>29623</v>
      </c>
      <c r="B593" s="2" t="s">
        <v>29640</v>
      </c>
      <c r="C593" s="2">
        <v>1.5281262612E10</v>
      </c>
      <c r="D593" s="2" t="s">
        <v>29637</v>
      </c>
      <c r="E593" s="2">
        <v>55712.0</v>
      </c>
      <c r="F593" s="2">
        <v>976.0</v>
      </c>
      <c r="G593" s="2">
        <v>3569.0</v>
      </c>
      <c r="H593" s="2" t="s">
        <v>5905</v>
      </c>
      <c r="I593" s="2" t="s">
        <v>5905</v>
      </c>
      <c r="J593" s="2" t="s">
        <v>12030</v>
      </c>
      <c r="K593" s="2" t="s">
        <v>29641</v>
      </c>
      <c r="L593" s="10" t="s">
        <v>29642</v>
      </c>
    </row>
    <row r="594">
      <c r="A594" s="2" t="s">
        <v>29623</v>
      </c>
      <c r="B594" s="2" t="s">
        <v>29643</v>
      </c>
      <c r="C594" s="2">
        <v>5.977797922E9</v>
      </c>
      <c r="D594" s="2" t="s">
        <v>29644</v>
      </c>
      <c r="E594" s="2">
        <v>14608.0</v>
      </c>
      <c r="F594" s="2">
        <v>3258.0</v>
      </c>
      <c r="G594" s="2">
        <v>420.0</v>
      </c>
      <c r="H594" s="2" t="s">
        <v>5906</v>
      </c>
      <c r="I594" s="2" t="s">
        <v>5905</v>
      </c>
      <c r="J594" s="2" t="s">
        <v>5391</v>
      </c>
      <c r="K594" s="2" t="s">
        <v>29645</v>
      </c>
    </row>
    <row r="595">
      <c r="A595" s="2" t="s">
        <v>29623</v>
      </c>
      <c r="B595" s="2" t="s">
        <v>29646</v>
      </c>
      <c r="C595" s="2">
        <v>4.1409201893E10</v>
      </c>
      <c r="D595" s="2" t="s">
        <v>29647</v>
      </c>
      <c r="E595" s="2">
        <v>14550.0</v>
      </c>
      <c r="F595" s="2">
        <v>243.0</v>
      </c>
      <c r="G595" s="2">
        <v>3383.0</v>
      </c>
      <c r="H595" s="2" t="s">
        <v>5905</v>
      </c>
      <c r="I595" s="2" t="s">
        <v>5906</v>
      </c>
      <c r="J595" s="2" t="s">
        <v>7414</v>
      </c>
      <c r="K595" s="2" t="s">
        <v>29648</v>
      </c>
      <c r="L595" s="10" t="s">
        <v>29649</v>
      </c>
    </row>
    <row r="596">
      <c r="A596" s="2" t="s">
        <v>29623</v>
      </c>
      <c r="B596" s="2" t="s">
        <v>29650</v>
      </c>
      <c r="C596" s="2">
        <v>3.1851838743E10</v>
      </c>
      <c r="D596" s="2" t="s">
        <v>29651</v>
      </c>
      <c r="E596" s="2">
        <v>19125.0</v>
      </c>
      <c r="F596" s="2">
        <v>157.0</v>
      </c>
      <c r="G596" s="2">
        <v>850.0</v>
      </c>
      <c r="H596" s="2" t="s">
        <v>5905</v>
      </c>
      <c r="I596" s="2" t="s">
        <v>5906</v>
      </c>
      <c r="J596" s="2" t="s">
        <v>5391</v>
      </c>
      <c r="K596" s="2" t="s">
        <v>29652</v>
      </c>
      <c r="L596" s="10" t="s">
        <v>29653</v>
      </c>
    </row>
    <row r="597">
      <c r="A597" s="2" t="s">
        <v>29623</v>
      </c>
      <c r="B597" s="2" t="s">
        <v>29654</v>
      </c>
      <c r="C597" s="2">
        <v>9.134824343E9</v>
      </c>
      <c r="D597" s="2" t="s">
        <v>29633</v>
      </c>
      <c r="E597" s="2">
        <v>13119.0</v>
      </c>
      <c r="F597" s="2">
        <v>2401.0</v>
      </c>
      <c r="G597" s="2">
        <v>9979.0</v>
      </c>
      <c r="H597" s="2" t="s">
        <v>5905</v>
      </c>
      <c r="I597" s="2" t="s">
        <v>5906</v>
      </c>
      <c r="J597" s="2" t="s">
        <v>12030</v>
      </c>
      <c r="K597" s="2" t="s">
        <v>29655</v>
      </c>
      <c r="L597" s="10" t="s">
        <v>29656</v>
      </c>
    </row>
    <row r="598">
      <c r="A598" s="2" t="s">
        <v>29657</v>
      </c>
      <c r="B598" s="2" t="s">
        <v>29658</v>
      </c>
      <c r="C598" s="2">
        <v>4.5207528167E10</v>
      </c>
      <c r="D598" s="2" t="s">
        <v>29659</v>
      </c>
      <c r="E598" s="2">
        <v>28285.0</v>
      </c>
      <c r="F598" s="2">
        <v>434.0</v>
      </c>
      <c r="G598" s="2">
        <v>703.0</v>
      </c>
      <c r="H598" s="2" t="s">
        <v>5905</v>
      </c>
      <c r="I598" s="2" t="s">
        <v>5906</v>
      </c>
      <c r="J598" s="2" t="s">
        <v>6002</v>
      </c>
      <c r="K598" s="2" t="s">
        <v>29660</v>
      </c>
    </row>
    <row r="599">
      <c r="A599" s="2" t="s">
        <v>29657</v>
      </c>
      <c r="B599" s="10" t="s">
        <v>29661</v>
      </c>
      <c r="C599" s="2">
        <v>1.924979513E9</v>
      </c>
      <c r="D599" s="2" t="s">
        <v>29662</v>
      </c>
      <c r="E599" s="2">
        <v>36814.0</v>
      </c>
      <c r="F599" s="2">
        <v>0.0</v>
      </c>
      <c r="G599" s="2">
        <v>825.0</v>
      </c>
      <c r="H599" s="2" t="s">
        <v>5905</v>
      </c>
      <c r="I599" s="2" t="s">
        <v>5906</v>
      </c>
      <c r="J599" s="2" t="s">
        <v>4996</v>
      </c>
      <c r="K599" s="2" t="s">
        <v>29663</v>
      </c>
      <c r="L599" s="10" t="s">
        <v>29664</v>
      </c>
    </row>
    <row r="600">
      <c r="A600" s="2" t="s">
        <v>29657</v>
      </c>
      <c r="B600" s="2" t="s">
        <v>29665</v>
      </c>
      <c r="C600" s="2">
        <v>7.031975093E9</v>
      </c>
      <c r="D600" s="2" t="s">
        <v>29666</v>
      </c>
      <c r="E600" s="2">
        <v>32540.0</v>
      </c>
      <c r="F600" s="2">
        <v>3050.0</v>
      </c>
      <c r="G600" s="2">
        <v>509.0</v>
      </c>
      <c r="H600" s="2" t="s">
        <v>5905</v>
      </c>
      <c r="I600" s="2" t="s">
        <v>5905</v>
      </c>
      <c r="J600" s="2" t="s">
        <v>11684</v>
      </c>
      <c r="K600" s="2" t="s">
        <v>29667</v>
      </c>
    </row>
    <row r="601">
      <c r="A601" s="2" t="s">
        <v>29668</v>
      </c>
      <c r="B601" s="2" t="s">
        <v>29669</v>
      </c>
      <c r="C601" s="2">
        <v>2.8904053099E10</v>
      </c>
      <c r="D601" s="2" t="s">
        <v>29670</v>
      </c>
      <c r="E601" s="2">
        <v>15670.0</v>
      </c>
      <c r="F601" s="2">
        <v>3870.0</v>
      </c>
      <c r="G601" s="2">
        <v>2495.0</v>
      </c>
      <c r="H601" s="2" t="s">
        <v>5906</v>
      </c>
      <c r="I601" s="2" t="s">
        <v>5906</v>
      </c>
      <c r="J601" s="2" t="s">
        <v>5391</v>
      </c>
      <c r="K601" s="2" t="s">
        <v>29671</v>
      </c>
      <c r="L601" s="10" t="s">
        <v>29672</v>
      </c>
    </row>
    <row r="602">
      <c r="A602" s="2" t="s">
        <v>29668</v>
      </c>
      <c r="B602" s="2" t="s">
        <v>29673</v>
      </c>
      <c r="C602" s="2">
        <v>7.294197608E9</v>
      </c>
      <c r="D602" s="2" t="s">
        <v>29674</v>
      </c>
      <c r="E602" s="2">
        <v>38419.0</v>
      </c>
      <c r="F602" s="2">
        <v>3092.0</v>
      </c>
      <c r="G602" s="2">
        <v>6209.0</v>
      </c>
      <c r="H602" s="2" t="s">
        <v>5905</v>
      </c>
      <c r="I602" s="2" t="s">
        <v>5906</v>
      </c>
      <c r="J602" s="2" t="s">
        <v>5391</v>
      </c>
      <c r="K602" s="2" t="s">
        <v>29675</v>
      </c>
      <c r="L602" s="10" t="s">
        <v>29676</v>
      </c>
    </row>
    <row r="603">
      <c r="A603" s="2" t="s">
        <v>29677</v>
      </c>
      <c r="B603" s="2" t="s">
        <v>29678</v>
      </c>
      <c r="C603" s="2">
        <v>5.31187756E8</v>
      </c>
      <c r="D603" s="2" t="s">
        <v>29679</v>
      </c>
      <c r="E603" s="2">
        <v>15138.0</v>
      </c>
      <c r="F603" s="2">
        <v>1312.0</v>
      </c>
      <c r="G603" s="2">
        <v>120.0</v>
      </c>
      <c r="H603" s="2" t="s">
        <v>5905</v>
      </c>
      <c r="I603" s="2" t="s">
        <v>5905</v>
      </c>
      <c r="K603" s="2" t="s">
        <v>29680</v>
      </c>
    </row>
    <row r="604">
      <c r="A604" s="2" t="s">
        <v>29681</v>
      </c>
      <c r="B604" s="2" t="s">
        <v>29682</v>
      </c>
      <c r="C604" s="2">
        <v>1.0421075614E10</v>
      </c>
      <c r="D604" s="2" t="s">
        <v>29683</v>
      </c>
      <c r="E604" s="2">
        <v>15978.0</v>
      </c>
      <c r="F604" s="2">
        <v>81.0</v>
      </c>
      <c r="G604" s="2">
        <v>1351.0</v>
      </c>
      <c r="H604" s="2" t="s">
        <v>5905</v>
      </c>
      <c r="I604" s="2" t="s">
        <v>5906</v>
      </c>
      <c r="J604" s="2" t="s">
        <v>5391</v>
      </c>
      <c r="K604" s="2" t="s">
        <v>29684</v>
      </c>
    </row>
    <row r="605">
      <c r="A605" s="2" t="s">
        <v>29681</v>
      </c>
      <c r="B605" s="2" t="s">
        <v>29685</v>
      </c>
      <c r="C605" s="2">
        <v>1.547394559E9</v>
      </c>
      <c r="D605" s="2" t="s">
        <v>29686</v>
      </c>
      <c r="E605" s="2">
        <v>10872.0</v>
      </c>
      <c r="F605" s="2">
        <v>361.0</v>
      </c>
      <c r="G605" s="2">
        <v>933.0</v>
      </c>
      <c r="H605" s="2" t="s">
        <v>5905</v>
      </c>
      <c r="I605" s="2" t="s">
        <v>5906</v>
      </c>
      <c r="J605" s="2" t="s">
        <v>7689</v>
      </c>
      <c r="K605" s="2" t="s">
        <v>29687</v>
      </c>
      <c r="L605" s="10" t="s">
        <v>29688</v>
      </c>
    </row>
    <row r="606">
      <c r="A606" s="2" t="s">
        <v>29689</v>
      </c>
      <c r="B606" s="2" t="s">
        <v>29690</v>
      </c>
      <c r="C606" s="2">
        <v>4.5265404924E10</v>
      </c>
      <c r="D606" s="2" t="s">
        <v>29691</v>
      </c>
      <c r="E606" s="2">
        <v>10488.0</v>
      </c>
      <c r="F606" s="2">
        <v>931.0</v>
      </c>
      <c r="G606" s="2">
        <v>2097.0</v>
      </c>
      <c r="H606" s="2" t="s">
        <v>5905</v>
      </c>
      <c r="I606" s="2" t="s">
        <v>5906</v>
      </c>
      <c r="J606" s="2" t="s">
        <v>12667</v>
      </c>
      <c r="K606" s="2" t="s">
        <v>29692</v>
      </c>
    </row>
    <row r="607">
      <c r="A607" s="2" t="s">
        <v>29689</v>
      </c>
      <c r="B607" s="2" t="s">
        <v>29693</v>
      </c>
      <c r="C607" s="2">
        <v>3.9199999752E10</v>
      </c>
      <c r="D607" s="2" t="s">
        <v>29694</v>
      </c>
      <c r="E607" s="2">
        <v>21580.0</v>
      </c>
      <c r="F607" s="2">
        <v>95.0</v>
      </c>
      <c r="G607" s="2">
        <v>2362.0</v>
      </c>
      <c r="H607" s="2" t="s">
        <v>5905</v>
      </c>
      <c r="I607" s="2" t="s">
        <v>5906</v>
      </c>
      <c r="J607" s="2" t="s">
        <v>28081</v>
      </c>
      <c r="K607" s="2" t="s">
        <v>29695</v>
      </c>
    </row>
    <row r="608">
      <c r="A608" s="2" t="s">
        <v>29689</v>
      </c>
      <c r="B608" s="2" t="s">
        <v>29696</v>
      </c>
      <c r="C608" s="2">
        <v>2.0190399617E10</v>
      </c>
      <c r="D608" s="2" t="s">
        <v>29697</v>
      </c>
      <c r="E608" s="2">
        <v>12026.0</v>
      </c>
      <c r="F608" s="2">
        <v>119.0</v>
      </c>
      <c r="G608" s="2">
        <v>51437.0</v>
      </c>
      <c r="H608" s="2" t="s">
        <v>5905</v>
      </c>
      <c r="I608" s="2" t="s">
        <v>5906</v>
      </c>
      <c r="J608" s="2" t="s">
        <v>6166</v>
      </c>
      <c r="K608" s="2" t="s">
        <v>29698</v>
      </c>
      <c r="L608" s="10" t="s">
        <v>29699</v>
      </c>
    </row>
    <row r="609">
      <c r="A609" s="2" t="s">
        <v>29689</v>
      </c>
      <c r="B609" s="2" t="s">
        <v>29700</v>
      </c>
      <c r="C609" s="2">
        <v>5.0079887697E10</v>
      </c>
      <c r="D609" s="2" t="s">
        <v>29701</v>
      </c>
      <c r="E609" s="2">
        <v>20155.0</v>
      </c>
      <c r="F609" s="2">
        <v>86.0</v>
      </c>
      <c r="G609" s="2">
        <v>12155.0</v>
      </c>
      <c r="H609" s="2" t="s">
        <v>5905</v>
      </c>
      <c r="I609" s="2" t="s">
        <v>5906</v>
      </c>
      <c r="J609" s="2" t="s">
        <v>5391</v>
      </c>
      <c r="K609" s="2" t="s">
        <v>29702</v>
      </c>
      <c r="L609" s="10" t="s">
        <v>29703</v>
      </c>
    </row>
    <row r="610">
      <c r="A610" s="2" t="s">
        <v>29689</v>
      </c>
      <c r="B610" s="2" t="s">
        <v>29704</v>
      </c>
      <c r="C610" s="2">
        <v>6.1503997158E10</v>
      </c>
      <c r="D610" s="2" t="s">
        <v>29705</v>
      </c>
      <c r="E610" s="2">
        <v>37655.0</v>
      </c>
      <c r="F610" s="2">
        <v>792.0</v>
      </c>
      <c r="G610" s="2">
        <v>12011.0</v>
      </c>
      <c r="H610" s="2" t="s">
        <v>5906</v>
      </c>
      <c r="I610" s="2" t="s">
        <v>5906</v>
      </c>
      <c r="J610" s="2" t="s">
        <v>5391</v>
      </c>
      <c r="K610" s="2" t="s">
        <v>29706</v>
      </c>
      <c r="L610" s="10" t="s">
        <v>29707</v>
      </c>
    </row>
    <row r="611">
      <c r="A611" s="2" t="s">
        <v>29689</v>
      </c>
      <c r="B611" s="2" t="s">
        <v>29708</v>
      </c>
      <c r="C611" s="2">
        <v>6.2425390876E10</v>
      </c>
      <c r="D611" s="2" t="s">
        <v>29709</v>
      </c>
      <c r="E611" s="2">
        <v>13127.0</v>
      </c>
      <c r="F611" s="2">
        <v>67.0</v>
      </c>
      <c r="G611" s="2">
        <v>17129.0</v>
      </c>
      <c r="H611" s="2" t="s">
        <v>5906</v>
      </c>
      <c r="I611" s="2" t="s">
        <v>5906</v>
      </c>
      <c r="J611" s="2" t="s">
        <v>29710</v>
      </c>
      <c r="K611" s="2" t="s">
        <v>29711</v>
      </c>
      <c r="L611" s="10" t="s">
        <v>29712</v>
      </c>
    </row>
    <row r="612">
      <c r="A612" s="2" t="s">
        <v>29689</v>
      </c>
      <c r="B612" s="2" t="s">
        <v>29713</v>
      </c>
      <c r="C612" s="2">
        <v>7.611220225E9</v>
      </c>
      <c r="D612" s="2" t="s">
        <v>29714</v>
      </c>
      <c r="E612" s="2">
        <v>12529.0</v>
      </c>
      <c r="F612" s="2">
        <v>371.0</v>
      </c>
      <c r="G612" s="2">
        <v>10079.0</v>
      </c>
      <c r="H612" s="2" t="s">
        <v>5906</v>
      </c>
      <c r="I612" s="2" t="s">
        <v>5906</v>
      </c>
      <c r="J612" s="2" t="s">
        <v>5963</v>
      </c>
      <c r="K612" s="2" t="s">
        <v>29715</v>
      </c>
      <c r="L612" s="10" t="s">
        <v>29716</v>
      </c>
    </row>
    <row r="613">
      <c r="A613" s="2" t="s">
        <v>29689</v>
      </c>
      <c r="B613" s="2" t="s">
        <v>29717</v>
      </c>
      <c r="C613" s="2">
        <v>4.8928594595E10</v>
      </c>
      <c r="D613" s="2" t="s">
        <v>29718</v>
      </c>
      <c r="E613" s="2">
        <v>28671.0</v>
      </c>
      <c r="F613" s="2">
        <v>371.0</v>
      </c>
      <c r="G613" s="2">
        <v>11677.0</v>
      </c>
      <c r="H613" s="2" t="s">
        <v>5905</v>
      </c>
      <c r="I613" s="2" t="s">
        <v>5905</v>
      </c>
      <c r="J613" s="2" t="s">
        <v>6166</v>
      </c>
      <c r="K613" s="2" t="s">
        <v>29719</v>
      </c>
      <c r="L613" s="10" t="s">
        <v>29720</v>
      </c>
    </row>
    <row r="614">
      <c r="A614" s="2" t="s">
        <v>29689</v>
      </c>
      <c r="B614" s="2" t="s">
        <v>29721</v>
      </c>
      <c r="C614" s="2">
        <v>1.141689906E10</v>
      </c>
      <c r="D614" s="2" t="s">
        <v>29722</v>
      </c>
      <c r="E614" s="2">
        <v>11085.0</v>
      </c>
      <c r="F614" s="2">
        <v>75.0</v>
      </c>
      <c r="G614" s="2">
        <v>7215.0</v>
      </c>
      <c r="H614" s="2" t="s">
        <v>5905</v>
      </c>
      <c r="I614" s="2" t="s">
        <v>5906</v>
      </c>
      <c r="J614" s="2" t="s">
        <v>29710</v>
      </c>
      <c r="K614" s="2" t="s">
        <v>29723</v>
      </c>
    </row>
    <row r="615">
      <c r="A615" s="2" t="s">
        <v>29724</v>
      </c>
      <c r="B615" s="2" t="s">
        <v>29725</v>
      </c>
      <c r="C615" s="2">
        <v>5.2636923294E10</v>
      </c>
      <c r="D615" s="2" t="s">
        <v>29726</v>
      </c>
      <c r="E615" s="2">
        <v>122053.0</v>
      </c>
      <c r="F615" s="2">
        <v>865.0</v>
      </c>
      <c r="G615" s="2">
        <v>20.0</v>
      </c>
      <c r="H615" s="2" t="s">
        <v>5905</v>
      </c>
      <c r="I615" s="2" t="s">
        <v>5906</v>
      </c>
      <c r="J615" s="2" t="s">
        <v>6166</v>
      </c>
      <c r="K615" s="2" t="s">
        <v>29727</v>
      </c>
      <c r="L615" s="10" t="s">
        <v>29728</v>
      </c>
    </row>
    <row r="616">
      <c r="A616" s="2" t="s">
        <v>29729</v>
      </c>
      <c r="B616" s="2" t="s">
        <v>29730</v>
      </c>
      <c r="C616" s="2">
        <v>4.133704402E9</v>
      </c>
      <c r="D616" s="2" t="s">
        <v>29731</v>
      </c>
      <c r="E616" s="2">
        <v>10530.0</v>
      </c>
      <c r="F616" s="2">
        <v>841.0</v>
      </c>
      <c r="G616" s="2">
        <v>878.0</v>
      </c>
      <c r="H616" s="2" t="s">
        <v>5905</v>
      </c>
      <c r="I616" s="2" t="s">
        <v>5906</v>
      </c>
      <c r="J616" s="2" t="s">
        <v>5391</v>
      </c>
      <c r="K616" s="2" t="s">
        <v>29732</v>
      </c>
    </row>
    <row r="617">
      <c r="A617" s="2" t="s">
        <v>29733</v>
      </c>
      <c r="B617" s="2" t="s">
        <v>29734</v>
      </c>
      <c r="C617" s="2">
        <v>1.384024924E9</v>
      </c>
      <c r="D617" s="2" t="s">
        <v>29735</v>
      </c>
      <c r="E617" s="2">
        <v>10148.0</v>
      </c>
      <c r="F617" s="2">
        <v>1529.0</v>
      </c>
      <c r="G617" s="2">
        <v>5379.0</v>
      </c>
      <c r="H617" s="2" t="s">
        <v>5905</v>
      </c>
      <c r="I617" s="2" t="s">
        <v>5906</v>
      </c>
      <c r="J617" s="2" t="s">
        <v>5391</v>
      </c>
      <c r="K617" s="2" t="s">
        <v>29736</v>
      </c>
    </row>
    <row r="618">
      <c r="A618" s="2" t="s">
        <v>29737</v>
      </c>
      <c r="B618" s="2" t="s">
        <v>29738</v>
      </c>
      <c r="C618" s="2">
        <v>5.5513441464E10</v>
      </c>
      <c r="D618" s="2" t="s">
        <v>29739</v>
      </c>
      <c r="E618" s="2">
        <v>10479.0</v>
      </c>
      <c r="F618" s="2">
        <v>1.0</v>
      </c>
      <c r="G618" s="2">
        <v>665.0</v>
      </c>
      <c r="H618" s="2" t="s">
        <v>5906</v>
      </c>
      <c r="I618" s="2" t="s">
        <v>5905</v>
      </c>
      <c r="J618" s="2" t="s">
        <v>5963</v>
      </c>
      <c r="K618" s="2" t="s">
        <v>29740</v>
      </c>
    </row>
    <row r="619">
      <c r="A619" s="2" t="s">
        <v>29741</v>
      </c>
      <c r="B619" s="2" t="s">
        <v>29742</v>
      </c>
      <c r="C619" s="2">
        <v>2.183643052E9</v>
      </c>
      <c r="D619" s="2" t="s">
        <v>29743</v>
      </c>
      <c r="E619" s="2">
        <v>47420.0</v>
      </c>
      <c r="F619" s="2">
        <v>201.0</v>
      </c>
      <c r="G619" s="2">
        <v>927.0</v>
      </c>
      <c r="H619" s="2" t="s">
        <v>5905</v>
      </c>
      <c r="I619" s="2" t="s">
        <v>5906</v>
      </c>
      <c r="J619" s="2" t="s">
        <v>7809</v>
      </c>
      <c r="K619" s="2" t="s">
        <v>29744</v>
      </c>
      <c r="L619" s="10" t="s">
        <v>29745</v>
      </c>
    </row>
    <row r="620">
      <c r="A620" s="2" t="s">
        <v>29746</v>
      </c>
      <c r="B620" s="2" t="s">
        <v>29747</v>
      </c>
      <c r="C620" s="2">
        <v>4.5668399942E10</v>
      </c>
      <c r="D620" s="2" t="s">
        <v>29748</v>
      </c>
      <c r="E620" s="2">
        <v>12958.0</v>
      </c>
      <c r="F620" s="2">
        <v>114.0</v>
      </c>
      <c r="G620" s="2">
        <v>379.0</v>
      </c>
      <c r="H620" s="2" t="s">
        <v>5905</v>
      </c>
      <c r="I620" s="2" t="s">
        <v>5905</v>
      </c>
      <c r="J620" s="2" t="s">
        <v>13199</v>
      </c>
      <c r="K620" s="2" t="s">
        <v>29749</v>
      </c>
      <c r="L620" s="10" t="s">
        <v>29750</v>
      </c>
    </row>
    <row r="621">
      <c r="A621" s="2" t="s">
        <v>29751</v>
      </c>
      <c r="B621" s="2" t="s">
        <v>29752</v>
      </c>
      <c r="C621" s="2">
        <v>5.535909878E10</v>
      </c>
      <c r="D621" s="2" t="s">
        <v>29753</v>
      </c>
      <c r="E621" s="2">
        <v>13313.0</v>
      </c>
      <c r="F621" s="2">
        <v>747.0</v>
      </c>
      <c r="G621" s="2">
        <v>1045.0</v>
      </c>
      <c r="H621" s="2" t="s">
        <v>5905</v>
      </c>
      <c r="I621" s="2" t="s">
        <v>5906</v>
      </c>
      <c r="J621" s="2" t="s">
        <v>5391</v>
      </c>
      <c r="K621" s="2" t="s">
        <v>29754</v>
      </c>
    </row>
    <row r="622">
      <c r="A622" s="2" t="s">
        <v>29751</v>
      </c>
      <c r="B622" s="2" t="s">
        <v>29755</v>
      </c>
      <c r="C622" s="2">
        <v>9.123986227E9</v>
      </c>
      <c r="D622" s="2" t="s">
        <v>29756</v>
      </c>
      <c r="E622" s="2">
        <v>15891.0</v>
      </c>
      <c r="F622" s="2">
        <v>5142.0</v>
      </c>
      <c r="G622" s="2">
        <v>8406.0</v>
      </c>
      <c r="H622" s="2" t="s">
        <v>5905</v>
      </c>
      <c r="I622" s="2" t="s">
        <v>5906</v>
      </c>
      <c r="J622" s="2" t="s">
        <v>5391</v>
      </c>
      <c r="K622" s="2" t="s">
        <v>29757</v>
      </c>
      <c r="L622" s="10" t="s">
        <v>29758</v>
      </c>
    </row>
    <row r="623">
      <c r="A623" s="2" t="s">
        <v>29759</v>
      </c>
      <c r="B623" s="2" t="s">
        <v>29760</v>
      </c>
      <c r="C623" s="2">
        <v>3.3245891676E10</v>
      </c>
      <c r="D623" s="2" t="s">
        <v>29761</v>
      </c>
      <c r="E623" s="2">
        <v>73133.0</v>
      </c>
      <c r="F623" s="2">
        <v>2370.0</v>
      </c>
      <c r="G623" s="2">
        <v>2350.0</v>
      </c>
      <c r="H623" s="2" t="s">
        <v>5905</v>
      </c>
      <c r="I623" s="2" t="s">
        <v>5906</v>
      </c>
      <c r="J623" s="2" t="s">
        <v>5963</v>
      </c>
      <c r="K623" s="2" t="s">
        <v>29762</v>
      </c>
      <c r="L623" s="10" t="s">
        <v>29763</v>
      </c>
    </row>
    <row r="624">
      <c r="A624" s="2" t="s">
        <v>29764</v>
      </c>
      <c r="B624" s="2" t="s">
        <v>29765</v>
      </c>
      <c r="C624" s="2">
        <v>9.004990515E9</v>
      </c>
      <c r="D624" s="2" t="s">
        <v>29766</v>
      </c>
      <c r="E624" s="2">
        <v>10274.0</v>
      </c>
      <c r="F624" s="2">
        <v>4273.0</v>
      </c>
      <c r="G624" s="2">
        <v>277.0</v>
      </c>
      <c r="H624" s="2" t="s">
        <v>5905</v>
      </c>
      <c r="I624" s="2" t="s">
        <v>5906</v>
      </c>
      <c r="J624" s="2" t="s">
        <v>25386</v>
      </c>
      <c r="K624" s="2" t="s">
        <v>29767</v>
      </c>
      <c r="L624" s="10" t="s">
        <v>29768</v>
      </c>
    </row>
    <row r="625">
      <c r="A625" s="2" t="s">
        <v>29764</v>
      </c>
      <c r="B625" s="2" t="s">
        <v>29769</v>
      </c>
      <c r="C625" s="2">
        <v>5.1419796721E10</v>
      </c>
      <c r="D625" s="2" t="s">
        <v>29770</v>
      </c>
      <c r="E625" s="2">
        <v>27378.0</v>
      </c>
      <c r="F625" s="2">
        <v>196.0</v>
      </c>
      <c r="G625" s="2">
        <v>794.0</v>
      </c>
      <c r="H625" s="2" t="s">
        <v>5905</v>
      </c>
      <c r="I625" s="2" t="s">
        <v>5905</v>
      </c>
      <c r="J625" s="2" t="s">
        <v>28081</v>
      </c>
      <c r="K625" s="2" t="s">
        <v>29771</v>
      </c>
    </row>
    <row r="626">
      <c r="A626" s="2" t="s">
        <v>29764</v>
      </c>
      <c r="B626" s="2" t="s">
        <v>29772</v>
      </c>
      <c r="C626" s="2">
        <v>4.5493148719E10</v>
      </c>
      <c r="D626" s="2" t="s">
        <v>29773</v>
      </c>
      <c r="E626" s="2">
        <v>26293.0</v>
      </c>
      <c r="F626" s="2">
        <v>604.0</v>
      </c>
      <c r="G626" s="2">
        <v>1623.0</v>
      </c>
      <c r="H626" s="2" t="s">
        <v>5905</v>
      </c>
      <c r="I626" s="2" t="s">
        <v>5905</v>
      </c>
      <c r="J626" s="2" t="s">
        <v>29774</v>
      </c>
      <c r="K626" s="2" t="s">
        <v>29775</v>
      </c>
      <c r="L626" s="10" t="s">
        <v>29776</v>
      </c>
    </row>
    <row r="627">
      <c r="A627" s="2" t="s">
        <v>29764</v>
      </c>
      <c r="B627" s="2" t="s">
        <v>29777</v>
      </c>
      <c r="C627" s="2">
        <v>5.4189921847E10</v>
      </c>
      <c r="D627" s="2" t="s">
        <v>29778</v>
      </c>
      <c r="E627" s="2">
        <v>23961.0</v>
      </c>
      <c r="F627" s="2">
        <v>334.0</v>
      </c>
      <c r="G627" s="2">
        <v>257.0</v>
      </c>
      <c r="H627" s="2" t="s">
        <v>5905</v>
      </c>
      <c r="I627" s="2" t="s">
        <v>5905</v>
      </c>
      <c r="J627" s="2" t="s">
        <v>24519</v>
      </c>
      <c r="K627" s="2" t="s">
        <v>29779</v>
      </c>
    </row>
    <row r="628">
      <c r="A628" s="2" t="s">
        <v>29764</v>
      </c>
      <c r="B628" s="2" t="s">
        <v>29780</v>
      </c>
      <c r="C628" s="2">
        <v>7.219808119E9</v>
      </c>
      <c r="D628" s="2" t="s">
        <v>29781</v>
      </c>
      <c r="E628" s="2">
        <v>18128.0</v>
      </c>
      <c r="F628" s="2">
        <v>1105.0</v>
      </c>
      <c r="G628" s="2">
        <v>2174.0</v>
      </c>
      <c r="H628" s="2" t="s">
        <v>5905</v>
      </c>
      <c r="I628" s="2" t="s">
        <v>5906</v>
      </c>
      <c r="K628" s="2" t="s">
        <v>29782</v>
      </c>
    </row>
    <row r="629">
      <c r="A629" s="2" t="s">
        <v>29764</v>
      </c>
      <c r="B629" s="2" t="s">
        <v>29783</v>
      </c>
      <c r="C629" s="2">
        <v>4.6138829365E10</v>
      </c>
      <c r="D629" s="2" t="s">
        <v>29784</v>
      </c>
      <c r="E629" s="2">
        <v>10221.0</v>
      </c>
      <c r="F629" s="2">
        <v>145.0</v>
      </c>
      <c r="G629" s="2">
        <v>1413.0</v>
      </c>
      <c r="H629" s="2" t="s">
        <v>5905</v>
      </c>
      <c r="I629" s="2" t="s">
        <v>5905</v>
      </c>
      <c r="J629" s="2" t="s">
        <v>7414</v>
      </c>
      <c r="K629" s="2" t="s">
        <v>29785</v>
      </c>
    </row>
    <row r="630">
      <c r="A630" s="2" t="s">
        <v>29786</v>
      </c>
      <c r="B630" s="2" t="s">
        <v>29787</v>
      </c>
      <c r="C630" s="2">
        <v>5.385152637E9</v>
      </c>
      <c r="D630" s="2" t="s">
        <v>29788</v>
      </c>
      <c r="E630" s="2">
        <v>19846.0</v>
      </c>
      <c r="F630" s="2">
        <v>579.0</v>
      </c>
      <c r="G630" s="2">
        <v>2445.0</v>
      </c>
      <c r="H630" s="2" t="s">
        <v>5906</v>
      </c>
      <c r="I630" s="2" t="s">
        <v>5905</v>
      </c>
      <c r="J630" s="2" t="s">
        <v>5963</v>
      </c>
      <c r="K630" s="2" t="s">
        <v>29789</v>
      </c>
      <c r="L630" s="10" t="s">
        <v>29790</v>
      </c>
    </row>
    <row r="631">
      <c r="A631" s="2" t="s">
        <v>29786</v>
      </c>
      <c r="B631" s="2" t="s">
        <v>29791</v>
      </c>
      <c r="C631" s="2">
        <v>3.4098015756E10</v>
      </c>
      <c r="D631" s="2" t="s">
        <v>29792</v>
      </c>
      <c r="E631" s="2">
        <v>21847.0</v>
      </c>
      <c r="F631" s="2">
        <v>174.0</v>
      </c>
      <c r="G631" s="2">
        <v>460.0</v>
      </c>
      <c r="H631" s="2" t="s">
        <v>5905</v>
      </c>
      <c r="I631" s="2" t="s">
        <v>5906</v>
      </c>
      <c r="J631" s="2" t="s">
        <v>29793</v>
      </c>
      <c r="K631" s="2" t="s">
        <v>29794</v>
      </c>
    </row>
    <row r="632">
      <c r="A632" s="2" t="s">
        <v>29795</v>
      </c>
      <c r="B632" s="2" t="s">
        <v>29760</v>
      </c>
      <c r="C632" s="2">
        <v>3.3245891676E10</v>
      </c>
      <c r="D632" s="2" t="s">
        <v>29761</v>
      </c>
      <c r="E632" s="2">
        <v>73133.0</v>
      </c>
      <c r="F632" s="2">
        <v>2370.0</v>
      </c>
      <c r="G632" s="2">
        <v>2350.0</v>
      </c>
      <c r="H632" s="2" t="s">
        <v>5905</v>
      </c>
      <c r="I632" s="2" t="s">
        <v>5906</v>
      </c>
      <c r="J632" s="2" t="s">
        <v>5963</v>
      </c>
      <c r="K632" s="2" t="s">
        <v>29762</v>
      </c>
      <c r="L632" s="10" t="s">
        <v>29763</v>
      </c>
    </row>
    <row r="633">
      <c r="A633" s="2" t="s">
        <v>29795</v>
      </c>
      <c r="B633" s="2" t="s">
        <v>29796</v>
      </c>
      <c r="C633" s="2">
        <v>6.8951644931E10</v>
      </c>
      <c r="D633" s="2" t="s">
        <v>29797</v>
      </c>
      <c r="E633" s="2">
        <v>11073.0</v>
      </c>
      <c r="F633" s="2">
        <v>1.0</v>
      </c>
      <c r="G633" s="2">
        <v>34.0</v>
      </c>
      <c r="H633" s="2" t="s">
        <v>5905</v>
      </c>
      <c r="I633" s="2" t="s">
        <v>5905</v>
      </c>
      <c r="J633" s="2" t="s">
        <v>5391</v>
      </c>
      <c r="K633" s="2" t="s">
        <v>29798</v>
      </c>
    </row>
    <row r="634">
      <c r="A634" s="2" t="s">
        <v>29799</v>
      </c>
      <c r="B634" s="2" t="s">
        <v>29800</v>
      </c>
      <c r="C634" s="2">
        <v>2.996129227E9</v>
      </c>
      <c r="D634" s="2" t="s">
        <v>29801</v>
      </c>
      <c r="E634" s="2">
        <v>10793.0</v>
      </c>
      <c r="F634" s="2">
        <v>2035.0</v>
      </c>
      <c r="G634" s="2">
        <v>3060.0</v>
      </c>
      <c r="H634" s="2" t="s">
        <v>5905</v>
      </c>
      <c r="I634" s="2" t="s">
        <v>5906</v>
      </c>
      <c r="J634" s="2" t="s">
        <v>7414</v>
      </c>
      <c r="K634" s="2" t="s">
        <v>29802</v>
      </c>
    </row>
    <row r="635">
      <c r="A635" s="2" t="s">
        <v>29799</v>
      </c>
      <c r="B635" s="2" t="s">
        <v>29803</v>
      </c>
      <c r="C635" s="2">
        <v>3.194498861E9</v>
      </c>
      <c r="D635" s="2" t="s">
        <v>29804</v>
      </c>
      <c r="E635" s="2">
        <v>10037.0</v>
      </c>
      <c r="F635" s="2">
        <v>2711.0</v>
      </c>
      <c r="G635" s="2">
        <v>1092.0</v>
      </c>
      <c r="H635" s="2" t="s">
        <v>5905</v>
      </c>
      <c r="I635" s="2" t="s">
        <v>5905</v>
      </c>
      <c r="J635" s="2" t="s">
        <v>7414</v>
      </c>
      <c r="K635" s="2" t="s">
        <v>29805</v>
      </c>
      <c r="L635" s="10" t="s">
        <v>29806</v>
      </c>
    </row>
    <row r="636">
      <c r="A636" s="2" t="s">
        <v>29799</v>
      </c>
      <c r="B636" s="2" t="s">
        <v>29807</v>
      </c>
      <c r="C636" s="2">
        <v>8.493612238E9</v>
      </c>
      <c r="D636" s="2" t="s">
        <v>29804</v>
      </c>
      <c r="E636" s="2">
        <v>14929.0</v>
      </c>
      <c r="F636" s="2">
        <v>1435.0</v>
      </c>
      <c r="G636" s="2">
        <v>847.0</v>
      </c>
      <c r="H636" s="2" t="s">
        <v>5905</v>
      </c>
      <c r="I636" s="2" t="s">
        <v>5906</v>
      </c>
      <c r="J636" s="2" t="s">
        <v>5391</v>
      </c>
      <c r="K636" s="2" t="s">
        <v>29808</v>
      </c>
    </row>
    <row r="637">
      <c r="A637" s="2" t="s">
        <v>29809</v>
      </c>
      <c r="B637" s="2" t="s">
        <v>29810</v>
      </c>
      <c r="C637" s="2">
        <v>6.30290019E8</v>
      </c>
      <c r="D637" s="2" t="s">
        <v>29811</v>
      </c>
      <c r="E637" s="2">
        <v>28148.0</v>
      </c>
      <c r="F637" s="2">
        <v>5221.0</v>
      </c>
      <c r="G637" s="2">
        <v>3709.0</v>
      </c>
      <c r="H637" s="2" t="s">
        <v>5905</v>
      </c>
      <c r="I637" s="2" t="s">
        <v>5906</v>
      </c>
      <c r="J637" s="2" t="s">
        <v>5391</v>
      </c>
      <c r="K637" s="2" t="s">
        <v>29812</v>
      </c>
      <c r="L637" s="10" t="s">
        <v>29813</v>
      </c>
    </row>
    <row r="638">
      <c r="A638" s="2" t="s">
        <v>29814</v>
      </c>
      <c r="B638" s="2" t="s">
        <v>29815</v>
      </c>
      <c r="C638" s="2">
        <v>3.228314044E9</v>
      </c>
      <c r="D638" s="2" t="s">
        <v>29816</v>
      </c>
      <c r="E638" s="2">
        <v>17132.0</v>
      </c>
      <c r="F638" s="2">
        <v>4072.0</v>
      </c>
      <c r="G638" s="2">
        <v>2261.0</v>
      </c>
      <c r="H638" s="2" t="s">
        <v>5905</v>
      </c>
      <c r="I638" s="2" t="s">
        <v>5905</v>
      </c>
      <c r="J638" s="2" t="s">
        <v>7414</v>
      </c>
      <c r="K638" s="2" t="s">
        <v>29817</v>
      </c>
      <c r="L638" s="10" t="s">
        <v>29818</v>
      </c>
    </row>
    <row r="639">
      <c r="A639" s="2" t="s">
        <v>29819</v>
      </c>
      <c r="B639" s="2" t="s">
        <v>29820</v>
      </c>
      <c r="C639" s="2">
        <v>5.4663214235E10</v>
      </c>
      <c r="D639" s="2" t="s">
        <v>29821</v>
      </c>
      <c r="E639" s="2">
        <v>11584.0</v>
      </c>
      <c r="F639" s="2">
        <v>0.0</v>
      </c>
      <c r="G639" s="2">
        <v>796.0</v>
      </c>
      <c r="H639" s="2" t="s">
        <v>5905</v>
      </c>
      <c r="I639" s="2" t="s">
        <v>5906</v>
      </c>
      <c r="J639" s="2" t="s">
        <v>6166</v>
      </c>
      <c r="K639" s="2" t="s">
        <v>29822</v>
      </c>
      <c r="L639" s="10" t="s">
        <v>29823</v>
      </c>
    </row>
    <row r="640">
      <c r="A640" s="2" t="s">
        <v>29824</v>
      </c>
      <c r="B640" s="2" t="s">
        <v>29825</v>
      </c>
      <c r="C640" s="2">
        <v>4.7410510762E10</v>
      </c>
      <c r="D640" s="2" t="s">
        <v>29826</v>
      </c>
      <c r="E640" s="2">
        <v>13442.0</v>
      </c>
      <c r="F640" s="2">
        <v>542.0</v>
      </c>
      <c r="G640" s="2">
        <v>749.0</v>
      </c>
      <c r="H640" s="2" t="s">
        <v>5905</v>
      </c>
      <c r="I640" s="2" t="s">
        <v>5906</v>
      </c>
      <c r="J640" s="2" t="s">
        <v>7414</v>
      </c>
      <c r="K640" s="2" t="s">
        <v>29827</v>
      </c>
    </row>
    <row r="641">
      <c r="A641" s="2" t="s">
        <v>29824</v>
      </c>
      <c r="B641" s="2" t="s">
        <v>29828</v>
      </c>
      <c r="C641" s="2">
        <v>5.978101902E9</v>
      </c>
      <c r="D641" s="2" t="s">
        <v>29829</v>
      </c>
      <c r="E641" s="2">
        <v>13499.0</v>
      </c>
      <c r="F641" s="2">
        <v>1.0</v>
      </c>
      <c r="G641" s="2">
        <v>463.0</v>
      </c>
      <c r="H641" s="2" t="s">
        <v>5905</v>
      </c>
      <c r="I641" s="2" t="s">
        <v>5906</v>
      </c>
      <c r="J641" s="2" t="s">
        <v>16170</v>
      </c>
      <c r="K641" s="2" t="s">
        <v>29830</v>
      </c>
      <c r="L641" s="10" t="s">
        <v>29831</v>
      </c>
    </row>
    <row r="642">
      <c r="A642" s="2" t="s">
        <v>29832</v>
      </c>
      <c r="B642" s="2" t="s">
        <v>29833</v>
      </c>
      <c r="C642" s="2">
        <v>2.0872055E9</v>
      </c>
      <c r="D642" s="2" t="s">
        <v>29834</v>
      </c>
      <c r="E642" s="2">
        <v>17280.0</v>
      </c>
      <c r="F642" s="2">
        <v>5791.0</v>
      </c>
      <c r="G642" s="2">
        <v>668.0</v>
      </c>
      <c r="H642" s="2" t="s">
        <v>5905</v>
      </c>
      <c r="I642" s="2" t="s">
        <v>5906</v>
      </c>
      <c r="J642" s="2" t="s">
        <v>7414</v>
      </c>
      <c r="K642" s="2" t="s">
        <v>29835</v>
      </c>
    </row>
    <row r="643">
      <c r="A643" s="2" t="s">
        <v>29832</v>
      </c>
      <c r="B643" s="2" t="s">
        <v>29836</v>
      </c>
      <c r="C643" s="2">
        <v>8.46929529E9</v>
      </c>
      <c r="D643" s="2" t="s">
        <v>29837</v>
      </c>
      <c r="E643" s="2">
        <v>14114.0</v>
      </c>
      <c r="F643" s="2">
        <v>170.0</v>
      </c>
      <c r="G643" s="2">
        <v>1843.0</v>
      </c>
      <c r="H643" s="2" t="s">
        <v>5905</v>
      </c>
      <c r="I643" s="2" t="s">
        <v>5906</v>
      </c>
      <c r="J643" s="2" t="s">
        <v>6002</v>
      </c>
      <c r="K643" s="2" t="s">
        <v>29838</v>
      </c>
    </row>
    <row r="644">
      <c r="A644" s="2" t="s">
        <v>29832</v>
      </c>
      <c r="B644" s="2" t="s">
        <v>29839</v>
      </c>
      <c r="C644" s="2">
        <v>5.455338413E9</v>
      </c>
      <c r="D644" s="2" t="s">
        <v>29840</v>
      </c>
      <c r="E644" s="2">
        <v>28213.0</v>
      </c>
      <c r="F644" s="2">
        <v>109.0</v>
      </c>
      <c r="G644" s="2">
        <v>753.0</v>
      </c>
      <c r="H644" s="2" t="s">
        <v>5905</v>
      </c>
      <c r="I644" s="2" t="s">
        <v>5906</v>
      </c>
      <c r="J644" s="2" t="s">
        <v>7140</v>
      </c>
      <c r="K644" s="2" t="s">
        <v>29841</v>
      </c>
    </row>
    <row r="645">
      <c r="A645" s="2" t="s">
        <v>29832</v>
      </c>
      <c r="B645" s="2" t="s">
        <v>29842</v>
      </c>
      <c r="C645" s="2">
        <v>4.50469267E8</v>
      </c>
      <c r="D645" s="2" t="s">
        <v>29843</v>
      </c>
      <c r="E645" s="2">
        <v>12305.0</v>
      </c>
      <c r="F645" s="2">
        <v>4847.0</v>
      </c>
      <c r="G645" s="2">
        <v>9718.0</v>
      </c>
      <c r="H645" s="2" t="s">
        <v>5905</v>
      </c>
      <c r="I645" s="2" t="s">
        <v>5906</v>
      </c>
      <c r="J645" s="2" t="s">
        <v>5391</v>
      </c>
      <c r="K645" s="2" t="s">
        <v>29844</v>
      </c>
      <c r="L645" s="10" t="s">
        <v>29845</v>
      </c>
    </row>
    <row r="646">
      <c r="A646" s="2" t="s">
        <v>29832</v>
      </c>
      <c r="B646" s="2" t="s">
        <v>29846</v>
      </c>
      <c r="C646" s="2">
        <v>1.522828783E9</v>
      </c>
      <c r="D646" s="2" t="s">
        <v>29847</v>
      </c>
      <c r="E646" s="2">
        <v>20539.0</v>
      </c>
      <c r="F646" s="2">
        <v>6714.0</v>
      </c>
      <c r="G646" s="2">
        <v>3049.0</v>
      </c>
      <c r="H646" s="2" t="s">
        <v>5905</v>
      </c>
      <c r="I646" s="2" t="s">
        <v>5905</v>
      </c>
      <c r="J646" s="2" t="s">
        <v>7414</v>
      </c>
      <c r="K646" s="2" t="s">
        <v>29848</v>
      </c>
    </row>
    <row r="647">
      <c r="A647" s="2" t="s">
        <v>29849</v>
      </c>
      <c r="B647" s="2" t="s">
        <v>29850</v>
      </c>
      <c r="C647" s="2">
        <v>1.73620447E8</v>
      </c>
      <c r="D647" s="2" t="s">
        <v>29851</v>
      </c>
      <c r="E647" s="2">
        <v>59624.0</v>
      </c>
      <c r="F647" s="2">
        <v>201.0</v>
      </c>
      <c r="G647" s="2">
        <v>6134.0</v>
      </c>
      <c r="H647" s="2" t="s">
        <v>5905</v>
      </c>
      <c r="I647" s="2" t="s">
        <v>5906</v>
      </c>
      <c r="J647" s="2" t="s">
        <v>4404</v>
      </c>
      <c r="K647" s="2" t="s">
        <v>29852</v>
      </c>
      <c r="L647" s="10" t="s">
        <v>29853</v>
      </c>
    </row>
    <row r="648">
      <c r="A648" s="2" t="s">
        <v>29854</v>
      </c>
      <c r="B648" s="2" t="s">
        <v>29855</v>
      </c>
      <c r="C648" s="2">
        <v>8.970309115E9</v>
      </c>
      <c r="D648" s="2" t="s">
        <v>29856</v>
      </c>
      <c r="E648" s="2">
        <v>41217.0</v>
      </c>
      <c r="F648" s="2">
        <v>21.0</v>
      </c>
      <c r="G648" s="2">
        <v>4.0</v>
      </c>
      <c r="H648" s="2" t="s">
        <v>5905</v>
      </c>
      <c r="I648" s="2" t="s">
        <v>5906</v>
      </c>
      <c r="J648" s="2" t="s">
        <v>5993</v>
      </c>
      <c r="K648" s="2" t="s">
        <v>29857</v>
      </c>
      <c r="L648" s="10" t="s">
        <v>29858</v>
      </c>
    </row>
    <row r="649">
      <c r="A649" s="2" t="s">
        <v>29859</v>
      </c>
      <c r="B649" s="2" t="s">
        <v>29860</v>
      </c>
      <c r="C649" s="2">
        <v>4.4707823008E10</v>
      </c>
      <c r="D649" s="2" t="s">
        <v>29861</v>
      </c>
      <c r="E649" s="2">
        <v>15368.0</v>
      </c>
      <c r="F649" s="2">
        <v>181.0</v>
      </c>
      <c r="G649" s="2">
        <v>1931.0</v>
      </c>
      <c r="H649" s="2" t="s">
        <v>5906</v>
      </c>
      <c r="I649" s="2" t="s">
        <v>5906</v>
      </c>
      <c r="J649" s="2" t="s">
        <v>7414</v>
      </c>
      <c r="K649" s="2" t="s">
        <v>29862</v>
      </c>
      <c r="L649" s="10" t="s">
        <v>29863</v>
      </c>
    </row>
    <row r="650">
      <c r="A650" s="2" t="s">
        <v>29859</v>
      </c>
      <c r="B650" s="2" t="s">
        <v>29864</v>
      </c>
      <c r="C650" s="2">
        <v>1.900925979E9</v>
      </c>
      <c r="D650" s="2" t="s">
        <v>29865</v>
      </c>
      <c r="E650" s="2">
        <v>10238.0</v>
      </c>
      <c r="F650" s="2">
        <v>0.0</v>
      </c>
      <c r="G650" s="2">
        <v>2628.0</v>
      </c>
      <c r="H650" s="2" t="s">
        <v>5905</v>
      </c>
      <c r="I650" s="2" t="s">
        <v>5906</v>
      </c>
      <c r="J650" s="2" t="s">
        <v>5391</v>
      </c>
      <c r="K650" s="2" t="s">
        <v>29866</v>
      </c>
      <c r="L650" s="10" t="s">
        <v>29867</v>
      </c>
    </row>
    <row r="651">
      <c r="A651" s="2" t="s">
        <v>29859</v>
      </c>
      <c r="B651" s="2" t="s">
        <v>29868</v>
      </c>
      <c r="C651" s="2">
        <v>6.7097713242E10</v>
      </c>
      <c r="D651" s="2" t="s">
        <v>29869</v>
      </c>
      <c r="E651" s="2">
        <v>11435.0</v>
      </c>
      <c r="F651" s="2">
        <v>49.0</v>
      </c>
      <c r="G651" s="2">
        <v>152.0</v>
      </c>
      <c r="H651" s="2" t="s">
        <v>5905</v>
      </c>
      <c r="I651" s="2" t="s">
        <v>5906</v>
      </c>
      <c r="J651" s="2" t="s">
        <v>7414</v>
      </c>
      <c r="K651" s="2" t="s">
        <v>29870</v>
      </c>
      <c r="L651" s="10" t="s">
        <v>29871</v>
      </c>
    </row>
    <row r="652">
      <c r="A652" s="2" t="s">
        <v>29859</v>
      </c>
      <c r="B652" s="2" t="s">
        <v>29872</v>
      </c>
      <c r="C652" s="2">
        <v>5.5654309409E10</v>
      </c>
      <c r="D652" s="2" t="s">
        <v>29873</v>
      </c>
      <c r="E652" s="2">
        <v>13834.0</v>
      </c>
      <c r="F652" s="2">
        <v>1160.0</v>
      </c>
      <c r="G652" s="2">
        <v>3396.0</v>
      </c>
      <c r="H652" s="2" t="s">
        <v>5905</v>
      </c>
      <c r="I652" s="2" t="s">
        <v>5906</v>
      </c>
      <c r="J652" s="2" t="s">
        <v>5963</v>
      </c>
      <c r="K652" s="2" t="s">
        <v>29874</v>
      </c>
    </row>
    <row r="653">
      <c r="A653" s="2" t="s">
        <v>29875</v>
      </c>
      <c r="B653" s="2" t="s">
        <v>29876</v>
      </c>
      <c r="C653" s="2">
        <v>1.438354964E9</v>
      </c>
      <c r="D653" s="2" t="s">
        <v>29877</v>
      </c>
      <c r="E653" s="2">
        <v>33255.0</v>
      </c>
      <c r="F653" s="2">
        <v>7203.0</v>
      </c>
      <c r="G653" s="2">
        <v>251.0</v>
      </c>
      <c r="H653" s="2" t="s">
        <v>5905</v>
      </c>
      <c r="I653" s="2" t="s">
        <v>5906</v>
      </c>
      <c r="J653" s="2" t="s">
        <v>7414</v>
      </c>
      <c r="K653" s="2" t="s">
        <v>29878</v>
      </c>
    </row>
    <row r="654">
      <c r="A654" s="2" t="s">
        <v>29879</v>
      </c>
      <c r="B654" s="2" t="s">
        <v>29800</v>
      </c>
      <c r="C654" s="2">
        <v>2.996129227E9</v>
      </c>
      <c r="D654" s="2" t="s">
        <v>29801</v>
      </c>
      <c r="E654" s="2">
        <v>10793.0</v>
      </c>
      <c r="F654" s="2">
        <v>2035.0</v>
      </c>
      <c r="G654" s="2">
        <v>3060.0</v>
      </c>
      <c r="H654" s="2" t="s">
        <v>5905</v>
      </c>
      <c r="I654" s="2" t="s">
        <v>5906</v>
      </c>
      <c r="J654" s="2" t="s">
        <v>7414</v>
      </c>
      <c r="K654" s="2" t="s">
        <v>29802</v>
      </c>
    </row>
    <row r="655">
      <c r="A655" s="2" t="s">
        <v>29879</v>
      </c>
      <c r="B655" s="2" t="s">
        <v>29880</v>
      </c>
      <c r="C655" s="2">
        <v>1.370575013E9</v>
      </c>
      <c r="D655" s="2" t="s">
        <v>29881</v>
      </c>
      <c r="E655" s="2">
        <v>97030.0</v>
      </c>
      <c r="F655" s="2">
        <v>1176.0</v>
      </c>
      <c r="G655" s="2">
        <v>1424.0</v>
      </c>
      <c r="H655" s="2" t="s">
        <v>5905</v>
      </c>
      <c r="I655" s="2" t="s">
        <v>5906</v>
      </c>
      <c r="J655" s="2" t="s">
        <v>7414</v>
      </c>
      <c r="K655" s="2" t="s">
        <v>29882</v>
      </c>
      <c r="L655" s="10" t="s">
        <v>29883</v>
      </c>
    </row>
    <row r="656">
      <c r="A656" s="2" t="s">
        <v>29884</v>
      </c>
      <c r="B656" s="2" t="s">
        <v>29885</v>
      </c>
      <c r="C656" s="2">
        <v>7.98828244E8</v>
      </c>
      <c r="D656" s="2" t="s">
        <v>29886</v>
      </c>
      <c r="E656" s="2">
        <v>12279.0</v>
      </c>
      <c r="F656" s="2">
        <v>5723.0</v>
      </c>
      <c r="G656" s="2">
        <v>661.0</v>
      </c>
      <c r="H656" s="2" t="s">
        <v>5905</v>
      </c>
      <c r="I656" s="2" t="s">
        <v>5906</v>
      </c>
      <c r="J656" s="2" t="s">
        <v>9767</v>
      </c>
      <c r="K656" s="2" t="s">
        <v>29887</v>
      </c>
      <c r="L656" s="10" t="s">
        <v>29888</v>
      </c>
    </row>
    <row r="657">
      <c r="A657" s="2" t="s">
        <v>29889</v>
      </c>
      <c r="B657" s="2" t="s">
        <v>29890</v>
      </c>
      <c r="C657" s="2">
        <v>1.0962363938E10</v>
      </c>
      <c r="D657" s="2" t="s">
        <v>29891</v>
      </c>
      <c r="E657" s="2">
        <v>25815.0</v>
      </c>
      <c r="F657" s="2">
        <v>630.0</v>
      </c>
      <c r="G657" s="2">
        <v>755.0</v>
      </c>
      <c r="H657" s="2" t="s">
        <v>5905</v>
      </c>
      <c r="I657" s="2" t="s">
        <v>5906</v>
      </c>
      <c r="J657" s="2" t="s">
        <v>7140</v>
      </c>
      <c r="K657" s="2" t="s">
        <v>29892</v>
      </c>
      <c r="L657" s="10" t="s">
        <v>29893</v>
      </c>
    </row>
    <row r="658">
      <c r="A658" s="2" t="s">
        <v>29889</v>
      </c>
      <c r="B658" s="2" t="s">
        <v>29894</v>
      </c>
      <c r="C658" s="2">
        <v>4.898424928E9</v>
      </c>
      <c r="D658" s="2" t="s">
        <v>29895</v>
      </c>
      <c r="E658" s="2">
        <v>32216.0</v>
      </c>
      <c r="F658" s="2">
        <v>5495.0</v>
      </c>
      <c r="G658" s="2">
        <v>110.0</v>
      </c>
      <c r="H658" s="2" t="s">
        <v>5905</v>
      </c>
      <c r="I658" s="2" t="s">
        <v>5906</v>
      </c>
      <c r="J658" s="2" t="s">
        <v>7140</v>
      </c>
      <c r="K658" s="2" t="s">
        <v>29896</v>
      </c>
    </row>
    <row r="659">
      <c r="A659" s="2" t="s">
        <v>29889</v>
      </c>
      <c r="B659" s="2" t="s">
        <v>29897</v>
      </c>
      <c r="C659" s="2">
        <v>3.7389267305E10</v>
      </c>
      <c r="D659" s="2" t="s">
        <v>29898</v>
      </c>
      <c r="E659" s="2">
        <v>82212.0</v>
      </c>
      <c r="F659" s="2">
        <v>132.0</v>
      </c>
      <c r="G659" s="2">
        <v>616.0</v>
      </c>
      <c r="H659" s="2" t="s">
        <v>5905</v>
      </c>
      <c r="I659" s="2" t="s">
        <v>5905</v>
      </c>
      <c r="J659" s="2" t="s">
        <v>5959</v>
      </c>
      <c r="K659" s="2" t="s">
        <v>29899</v>
      </c>
      <c r="L659" s="10" t="s">
        <v>29900</v>
      </c>
    </row>
    <row r="660">
      <c r="A660" s="2" t="s">
        <v>29901</v>
      </c>
      <c r="B660" s="2" t="s">
        <v>29902</v>
      </c>
      <c r="C660" s="2">
        <v>6.4234444178E10</v>
      </c>
      <c r="D660" s="2" t="s">
        <v>29903</v>
      </c>
      <c r="E660" s="2">
        <v>14284.0</v>
      </c>
      <c r="F660" s="2">
        <v>336.0</v>
      </c>
      <c r="G660" s="2">
        <v>2617.0</v>
      </c>
      <c r="H660" s="2" t="s">
        <v>5906</v>
      </c>
      <c r="I660" s="2" t="s">
        <v>5906</v>
      </c>
      <c r="J660" s="2" t="s">
        <v>11684</v>
      </c>
      <c r="K660" s="2" t="s">
        <v>29904</v>
      </c>
    </row>
    <row r="661">
      <c r="A661" s="2" t="s">
        <v>29905</v>
      </c>
      <c r="B661" s="2" t="s">
        <v>29906</v>
      </c>
      <c r="C661" s="2">
        <v>3.008607908E9</v>
      </c>
      <c r="D661" s="2" t="s">
        <v>29907</v>
      </c>
      <c r="E661" s="2">
        <v>14595.0</v>
      </c>
      <c r="F661" s="2">
        <v>473.0</v>
      </c>
      <c r="G661" s="2">
        <v>752.0</v>
      </c>
      <c r="H661" s="2" t="s">
        <v>5905</v>
      </c>
      <c r="I661" s="2" t="s">
        <v>5906</v>
      </c>
      <c r="J661" s="2" t="s">
        <v>5907</v>
      </c>
      <c r="K661" s="2" t="s">
        <v>29908</v>
      </c>
      <c r="L661" s="10" t="s">
        <v>29909</v>
      </c>
    </row>
    <row r="662">
      <c r="A662" s="2" t="s">
        <v>29910</v>
      </c>
      <c r="B662" s="2" t="s">
        <v>29911</v>
      </c>
      <c r="C662" s="2">
        <v>3.171615335E9</v>
      </c>
      <c r="D662" s="2" t="s">
        <v>29912</v>
      </c>
      <c r="E662" s="2">
        <v>14765.0</v>
      </c>
      <c r="F662" s="2">
        <v>7292.0</v>
      </c>
      <c r="G662" s="2">
        <v>6386.0</v>
      </c>
      <c r="H662" s="2" t="s">
        <v>5905</v>
      </c>
      <c r="I662" s="2" t="s">
        <v>5906</v>
      </c>
      <c r="J662" s="2" t="s">
        <v>7669</v>
      </c>
      <c r="K662" s="2" t="s">
        <v>29913</v>
      </c>
    </row>
    <row r="663">
      <c r="A663" s="2" t="s">
        <v>29910</v>
      </c>
      <c r="B663" s="2" t="s">
        <v>29914</v>
      </c>
      <c r="C663" s="2">
        <v>4.663875433E9</v>
      </c>
      <c r="D663" s="2" t="s">
        <v>29915</v>
      </c>
      <c r="E663" s="2">
        <v>18288.0</v>
      </c>
      <c r="F663" s="2">
        <v>7495.0</v>
      </c>
      <c r="G663" s="2">
        <v>6460.0</v>
      </c>
      <c r="H663" s="2" t="s">
        <v>5905</v>
      </c>
      <c r="I663" s="2" t="s">
        <v>5905</v>
      </c>
      <c r="K663" s="2" t="s">
        <v>29916</v>
      </c>
      <c r="L663" s="10" t="s">
        <v>29917</v>
      </c>
    </row>
    <row r="664">
      <c r="A664" s="2" t="s">
        <v>29910</v>
      </c>
      <c r="B664" s="2" t="s">
        <v>29918</v>
      </c>
      <c r="C664" s="2">
        <v>7.015613059E9</v>
      </c>
      <c r="D664" s="2" t="s">
        <v>29919</v>
      </c>
      <c r="E664" s="2">
        <v>51142.0</v>
      </c>
      <c r="F664" s="2">
        <v>7470.0</v>
      </c>
      <c r="G664" s="2">
        <v>28096.0</v>
      </c>
      <c r="H664" s="2" t="s">
        <v>5905</v>
      </c>
      <c r="I664" s="2" t="s">
        <v>5905</v>
      </c>
      <c r="J664" s="2" t="s">
        <v>6002</v>
      </c>
      <c r="K664" s="2" t="s">
        <v>29920</v>
      </c>
      <c r="L664" s="10" t="s">
        <v>29921</v>
      </c>
    </row>
    <row r="665">
      <c r="A665" s="2" t="s">
        <v>29910</v>
      </c>
      <c r="B665" s="2" t="s">
        <v>29922</v>
      </c>
      <c r="C665" s="2">
        <v>2.299898247E9</v>
      </c>
      <c r="D665" s="2" t="s">
        <v>29923</v>
      </c>
      <c r="E665" s="2">
        <v>29032.0</v>
      </c>
      <c r="F665" s="2">
        <v>441.0</v>
      </c>
      <c r="G665" s="2">
        <v>1443.0</v>
      </c>
      <c r="H665" s="2" t="s">
        <v>5905</v>
      </c>
      <c r="I665" s="2" t="s">
        <v>5905</v>
      </c>
      <c r="J665" s="2" t="s">
        <v>5561</v>
      </c>
      <c r="K665" s="2" t="s">
        <v>29924</v>
      </c>
      <c r="L665" s="10" t="s">
        <v>29925</v>
      </c>
    </row>
    <row r="666">
      <c r="A666" s="2" t="s">
        <v>29910</v>
      </c>
      <c r="B666" s="2" t="s">
        <v>29926</v>
      </c>
      <c r="C666" s="2">
        <v>6.018351618E9</v>
      </c>
      <c r="D666" s="2" t="s">
        <v>29927</v>
      </c>
      <c r="E666" s="2">
        <v>60986.0</v>
      </c>
      <c r="F666" s="2">
        <v>7265.0</v>
      </c>
      <c r="G666" s="2">
        <v>32307.0</v>
      </c>
      <c r="H666" s="2" t="s">
        <v>5905</v>
      </c>
      <c r="I666" s="2" t="s">
        <v>5906</v>
      </c>
      <c r="J666" s="2" t="s">
        <v>5391</v>
      </c>
      <c r="K666" s="2" t="s">
        <v>29928</v>
      </c>
      <c r="L666" s="10" t="s">
        <v>29929</v>
      </c>
    </row>
    <row r="667">
      <c r="A667" s="2" t="s">
        <v>29930</v>
      </c>
      <c r="B667" s="2" t="s">
        <v>29931</v>
      </c>
      <c r="C667" s="2">
        <v>5.69578715E8</v>
      </c>
      <c r="D667" s="2" t="s">
        <v>29932</v>
      </c>
      <c r="E667" s="2">
        <v>18364.0</v>
      </c>
      <c r="F667" s="2">
        <v>863.0</v>
      </c>
      <c r="G667" s="2">
        <v>22285.0</v>
      </c>
      <c r="H667" s="2" t="s">
        <v>5905</v>
      </c>
      <c r="I667" s="2" t="s">
        <v>5905</v>
      </c>
      <c r="J667" s="2" t="s">
        <v>6002</v>
      </c>
      <c r="K667" s="2" t="s">
        <v>29933</v>
      </c>
      <c r="L667" s="10" t="s">
        <v>29934</v>
      </c>
    </row>
    <row r="668">
      <c r="A668" s="2" t="s">
        <v>29935</v>
      </c>
      <c r="B668" s="2" t="s">
        <v>29936</v>
      </c>
      <c r="C668" s="2">
        <v>6.1985305267E10</v>
      </c>
      <c r="D668" s="2" t="s">
        <v>29937</v>
      </c>
      <c r="E668" s="2">
        <v>15491.0</v>
      </c>
      <c r="F668" s="2">
        <v>3.0</v>
      </c>
      <c r="G668" s="2">
        <v>331.0</v>
      </c>
      <c r="H668" s="2" t="s">
        <v>5905</v>
      </c>
      <c r="I668" s="2" t="s">
        <v>5905</v>
      </c>
      <c r="J668" s="2" t="s">
        <v>5963</v>
      </c>
      <c r="K668" s="2" t="s">
        <v>29938</v>
      </c>
      <c r="L668" s="10" t="s">
        <v>29939</v>
      </c>
    </row>
    <row r="669">
      <c r="A669" s="2" t="s">
        <v>29935</v>
      </c>
      <c r="B669" s="2" t="s">
        <v>29940</v>
      </c>
      <c r="C669" s="2">
        <v>4.207125084E9</v>
      </c>
      <c r="D669" s="2" t="s">
        <v>29941</v>
      </c>
      <c r="E669" s="2">
        <v>10114.0</v>
      </c>
      <c r="F669" s="2">
        <v>51.0</v>
      </c>
      <c r="G669" s="2">
        <v>185.0</v>
      </c>
      <c r="H669" s="2" t="s">
        <v>5905</v>
      </c>
      <c r="I669" s="2" t="s">
        <v>5906</v>
      </c>
      <c r="J669" s="2" t="s">
        <v>5561</v>
      </c>
      <c r="K669" s="2" t="s">
        <v>29942</v>
      </c>
      <c r="L669" s="10" t="s">
        <v>29943</v>
      </c>
    </row>
    <row r="670">
      <c r="A670" s="2" t="s">
        <v>29935</v>
      </c>
      <c r="B670" s="2" t="s">
        <v>29944</v>
      </c>
      <c r="C670" s="2">
        <v>5.574487351E10</v>
      </c>
      <c r="D670" s="2" t="s">
        <v>29945</v>
      </c>
      <c r="E670" s="2">
        <v>18490.0</v>
      </c>
      <c r="F670" s="2">
        <v>2.0</v>
      </c>
      <c r="G670" s="2">
        <v>1068.0</v>
      </c>
      <c r="H670" s="2" t="s">
        <v>5905</v>
      </c>
      <c r="I670" s="2" t="s">
        <v>5906</v>
      </c>
      <c r="J670" s="2" t="s">
        <v>5963</v>
      </c>
      <c r="K670" s="2" t="s">
        <v>29946</v>
      </c>
    </row>
    <row r="671">
      <c r="A671" s="2" t="s">
        <v>29947</v>
      </c>
      <c r="B671" s="2" t="s">
        <v>29948</v>
      </c>
      <c r="C671" s="2">
        <v>1.76757534E8</v>
      </c>
      <c r="D671" s="2" t="s">
        <v>29949</v>
      </c>
      <c r="E671" s="2">
        <v>23020.0</v>
      </c>
      <c r="F671" s="2">
        <v>1847.0</v>
      </c>
      <c r="G671" s="2">
        <v>1767.0</v>
      </c>
      <c r="H671" s="2" t="s">
        <v>5905</v>
      </c>
      <c r="I671" s="2" t="s">
        <v>5906</v>
      </c>
      <c r="J671" s="2" t="s">
        <v>5959</v>
      </c>
      <c r="K671" s="2" t="s">
        <v>29950</v>
      </c>
      <c r="L671" s="10" t="s">
        <v>29951</v>
      </c>
    </row>
    <row r="672">
      <c r="A672" s="2" t="s">
        <v>29947</v>
      </c>
      <c r="B672" s="2" t="s">
        <v>29952</v>
      </c>
      <c r="C672" s="2">
        <v>4.033099005E9</v>
      </c>
      <c r="D672" s="2" t="s">
        <v>29953</v>
      </c>
      <c r="E672" s="2">
        <v>10341.0</v>
      </c>
      <c r="F672" s="2">
        <v>31.0</v>
      </c>
      <c r="G672" s="2">
        <v>493.0</v>
      </c>
      <c r="H672" s="2" t="s">
        <v>5905</v>
      </c>
      <c r="I672" s="2" t="s">
        <v>5906</v>
      </c>
      <c r="J672" s="2" t="s">
        <v>6393</v>
      </c>
      <c r="K672" s="2" t="s">
        <v>29954</v>
      </c>
      <c r="L672" s="10" t="s">
        <v>29955</v>
      </c>
    </row>
    <row r="673">
      <c r="A673" s="2" t="s">
        <v>29956</v>
      </c>
      <c r="B673" s="2" t="s">
        <v>29957</v>
      </c>
      <c r="C673" s="2">
        <v>4.051400821E9</v>
      </c>
      <c r="D673" s="2" t="s">
        <v>29958</v>
      </c>
      <c r="E673" s="2">
        <v>17384.0</v>
      </c>
      <c r="F673" s="2">
        <v>822.0</v>
      </c>
      <c r="G673" s="2">
        <v>605.0</v>
      </c>
      <c r="H673" s="2" t="s">
        <v>5905</v>
      </c>
      <c r="I673" s="2" t="s">
        <v>5905</v>
      </c>
      <c r="J673" s="2" t="s">
        <v>29959</v>
      </c>
      <c r="K673" s="2" t="s">
        <v>29960</v>
      </c>
    </row>
    <row r="674">
      <c r="A674" s="2" t="s">
        <v>29961</v>
      </c>
      <c r="B674" s="2" t="s">
        <v>29962</v>
      </c>
      <c r="C674" s="2">
        <v>8.943765398E9</v>
      </c>
      <c r="D674" s="2" t="s">
        <v>29963</v>
      </c>
      <c r="E674" s="2">
        <v>37572.0</v>
      </c>
      <c r="F674" s="2">
        <v>1.0</v>
      </c>
      <c r="G674" s="2">
        <v>355.0</v>
      </c>
      <c r="H674" s="2" t="s">
        <v>5905</v>
      </c>
      <c r="I674" s="2" t="s">
        <v>5906</v>
      </c>
      <c r="J674" s="2" t="s">
        <v>5963</v>
      </c>
      <c r="K674" s="2" t="s">
        <v>29964</v>
      </c>
    </row>
    <row r="675">
      <c r="A675" s="2" t="s">
        <v>29961</v>
      </c>
      <c r="B675" s="2" t="s">
        <v>29965</v>
      </c>
      <c r="C675" s="2">
        <v>4.3807016747E10</v>
      </c>
      <c r="D675" s="2" t="s">
        <v>29966</v>
      </c>
      <c r="E675" s="2">
        <v>25303.0</v>
      </c>
      <c r="F675" s="2">
        <v>1760.0</v>
      </c>
      <c r="G675" s="2">
        <v>833.0</v>
      </c>
      <c r="H675" s="2" t="s">
        <v>5906</v>
      </c>
      <c r="I675" s="2" t="s">
        <v>5906</v>
      </c>
      <c r="J675" s="2" t="s">
        <v>5963</v>
      </c>
      <c r="K675" s="2" t="s">
        <v>29967</v>
      </c>
      <c r="L675" s="10" t="s">
        <v>29968</v>
      </c>
    </row>
    <row r="676">
      <c r="A676" s="2" t="s">
        <v>29969</v>
      </c>
      <c r="B676" s="2" t="s">
        <v>29970</v>
      </c>
      <c r="C676" s="2">
        <v>5.3389343796E10</v>
      </c>
      <c r="D676" s="2" t="s">
        <v>29971</v>
      </c>
      <c r="E676" s="2">
        <v>11606.0</v>
      </c>
      <c r="F676" s="2">
        <v>704.0</v>
      </c>
      <c r="G676" s="2">
        <v>51.0</v>
      </c>
      <c r="H676" s="2" t="s">
        <v>5905</v>
      </c>
      <c r="I676" s="2" t="s">
        <v>5906</v>
      </c>
      <c r="J676" s="2" t="s">
        <v>29972</v>
      </c>
      <c r="K676" s="2" t="s">
        <v>29973</v>
      </c>
      <c r="L676" s="10" t="s">
        <v>29974</v>
      </c>
    </row>
    <row r="677">
      <c r="A677" s="2" t="s">
        <v>29975</v>
      </c>
      <c r="B677" s="2" t="s">
        <v>29976</v>
      </c>
      <c r="C677" s="2">
        <v>4.83985474E9</v>
      </c>
      <c r="D677" s="2" t="s">
        <v>29977</v>
      </c>
      <c r="E677" s="2">
        <v>12083.0</v>
      </c>
      <c r="F677" s="2">
        <v>1683.0</v>
      </c>
      <c r="G677" s="2">
        <v>2350.0</v>
      </c>
      <c r="H677" s="2" t="s">
        <v>5905</v>
      </c>
      <c r="I677" s="2" t="s">
        <v>5905</v>
      </c>
      <c r="J677" s="2" t="s">
        <v>14778</v>
      </c>
      <c r="K677" s="2" t="s">
        <v>29978</v>
      </c>
      <c r="L677" s="10" t="s">
        <v>29979</v>
      </c>
    </row>
    <row r="678">
      <c r="A678" s="2" t="s">
        <v>29980</v>
      </c>
      <c r="B678" s="2" t="s">
        <v>29981</v>
      </c>
      <c r="C678" s="2">
        <v>1446949.0</v>
      </c>
      <c r="D678" s="2" t="s">
        <v>29982</v>
      </c>
      <c r="E678" s="2">
        <v>22457.0</v>
      </c>
      <c r="F678" s="2">
        <v>876.0</v>
      </c>
      <c r="G678" s="2">
        <v>465.0</v>
      </c>
      <c r="H678" s="2" t="s">
        <v>5906</v>
      </c>
      <c r="I678" s="2" t="s">
        <v>5905</v>
      </c>
      <c r="J678" s="2" t="s">
        <v>14778</v>
      </c>
      <c r="K678" s="2" t="s">
        <v>29983</v>
      </c>
      <c r="L678" s="10" t="s">
        <v>29984</v>
      </c>
    </row>
    <row r="679">
      <c r="A679" s="2" t="s">
        <v>29985</v>
      </c>
      <c r="B679" s="2" t="s">
        <v>29986</v>
      </c>
      <c r="C679" s="2">
        <v>1.89468485E8</v>
      </c>
      <c r="D679" s="2" t="s">
        <v>29987</v>
      </c>
      <c r="E679" s="2">
        <v>19386.0</v>
      </c>
      <c r="F679" s="2">
        <v>6725.0</v>
      </c>
      <c r="G679" s="2">
        <v>3914.0</v>
      </c>
      <c r="H679" s="2" t="s">
        <v>5905</v>
      </c>
      <c r="I679" s="2" t="s">
        <v>5906</v>
      </c>
      <c r="J679" s="2" t="s">
        <v>7140</v>
      </c>
      <c r="K679" s="2" t="s">
        <v>29988</v>
      </c>
    </row>
    <row r="680">
      <c r="A680" s="2" t="s">
        <v>29989</v>
      </c>
      <c r="B680" s="2" t="s">
        <v>29990</v>
      </c>
      <c r="C680" s="2">
        <v>1.5933375165E10</v>
      </c>
      <c r="D680" s="2" t="s">
        <v>29991</v>
      </c>
      <c r="E680" s="2">
        <v>43189.0</v>
      </c>
      <c r="F680" s="2">
        <v>350.0</v>
      </c>
      <c r="G680" s="2">
        <v>6588.0</v>
      </c>
      <c r="H680" s="2" t="s">
        <v>5905</v>
      </c>
      <c r="I680" s="2" t="s">
        <v>5906</v>
      </c>
      <c r="J680" s="2" t="s">
        <v>6002</v>
      </c>
      <c r="K680" s="2" t="s">
        <v>29992</v>
      </c>
      <c r="L680" s="10" t="s">
        <v>29993</v>
      </c>
    </row>
    <row r="681">
      <c r="A681" s="2" t="s">
        <v>29994</v>
      </c>
      <c r="B681" s="2" t="s">
        <v>29995</v>
      </c>
      <c r="C681" s="2">
        <v>5.9365176536E10</v>
      </c>
      <c r="D681" s="2" t="s">
        <v>29996</v>
      </c>
      <c r="E681" s="2">
        <v>30595.0</v>
      </c>
      <c r="F681" s="2">
        <v>50.0</v>
      </c>
      <c r="G681" s="2">
        <v>353.0</v>
      </c>
      <c r="H681" s="2" t="s">
        <v>5905</v>
      </c>
      <c r="I681" s="2" t="s">
        <v>5905</v>
      </c>
      <c r="J681" s="2" t="s">
        <v>5959</v>
      </c>
      <c r="K681" s="2" t="s">
        <v>29997</v>
      </c>
      <c r="L681" s="10" t="s">
        <v>29998</v>
      </c>
    </row>
    <row r="682">
      <c r="A682" s="2" t="s">
        <v>29999</v>
      </c>
      <c r="B682" s="2" t="s">
        <v>30000</v>
      </c>
      <c r="C682" s="2">
        <v>3.490511534E9</v>
      </c>
      <c r="D682" s="2" t="s">
        <v>30001</v>
      </c>
      <c r="E682" s="2">
        <v>18480.0</v>
      </c>
      <c r="F682" s="2">
        <v>1.0</v>
      </c>
      <c r="G682" s="2">
        <v>290.0</v>
      </c>
      <c r="H682" s="2" t="s">
        <v>5905</v>
      </c>
      <c r="I682" s="2" t="s">
        <v>5905</v>
      </c>
      <c r="J682" s="2" t="s">
        <v>5928</v>
      </c>
      <c r="K682" s="2" t="s">
        <v>30002</v>
      </c>
      <c r="L682" s="10" t="s">
        <v>30003</v>
      </c>
    </row>
    <row r="683">
      <c r="A683" s="2" t="s">
        <v>29999</v>
      </c>
      <c r="B683" s="2" t="s">
        <v>30004</v>
      </c>
      <c r="C683" s="2">
        <v>1.741787147E9</v>
      </c>
      <c r="D683" s="2" t="s">
        <v>30005</v>
      </c>
      <c r="E683" s="2">
        <v>12940.0</v>
      </c>
      <c r="F683" s="2">
        <v>5198.0</v>
      </c>
      <c r="G683" s="2">
        <v>246.0</v>
      </c>
      <c r="H683" s="2" t="s">
        <v>5905</v>
      </c>
      <c r="I683" s="2" t="s">
        <v>5905</v>
      </c>
      <c r="J683" s="2" t="s">
        <v>6354</v>
      </c>
      <c r="K683" s="2" t="s">
        <v>30006</v>
      </c>
      <c r="L683" s="10" t="s">
        <v>30007</v>
      </c>
    </row>
    <row r="684">
      <c r="A684" s="2" t="s">
        <v>30008</v>
      </c>
      <c r="B684" s="2" t="s">
        <v>30009</v>
      </c>
      <c r="C684" s="2">
        <v>1.506676175E9</v>
      </c>
      <c r="D684" s="2" t="s">
        <v>30010</v>
      </c>
      <c r="E684" s="2">
        <v>30122.0</v>
      </c>
      <c r="F684" s="2">
        <v>5260.0</v>
      </c>
      <c r="G684" s="2">
        <v>371.0</v>
      </c>
      <c r="H684" s="2" t="s">
        <v>5906</v>
      </c>
      <c r="I684" s="2" t="s">
        <v>5906</v>
      </c>
      <c r="J684" s="2" t="s">
        <v>5391</v>
      </c>
      <c r="K684" s="2" t="s">
        <v>30011</v>
      </c>
      <c r="L684" s="10" t="s">
        <v>30012</v>
      </c>
    </row>
    <row r="685">
      <c r="A685" s="2" t="s">
        <v>30013</v>
      </c>
      <c r="B685" s="2" t="s">
        <v>30014</v>
      </c>
      <c r="C685" s="2">
        <v>8.43923335E9</v>
      </c>
      <c r="D685" s="2" t="s">
        <v>30015</v>
      </c>
      <c r="E685" s="2">
        <v>10988.0</v>
      </c>
      <c r="F685" s="2">
        <v>649.0</v>
      </c>
      <c r="G685" s="2">
        <v>767.0</v>
      </c>
      <c r="H685" s="2" t="s">
        <v>5905</v>
      </c>
      <c r="I685" s="2" t="s">
        <v>5906</v>
      </c>
      <c r="J685" s="2" t="s">
        <v>5391</v>
      </c>
      <c r="K685" s="2" t="s">
        <v>30016</v>
      </c>
      <c r="L685" s="10" t="s">
        <v>30017</v>
      </c>
    </row>
    <row r="686">
      <c r="A686" s="2" t="s">
        <v>30018</v>
      </c>
      <c r="B686" s="2" t="s">
        <v>30019</v>
      </c>
      <c r="C686" s="2">
        <v>3.93647543E8</v>
      </c>
      <c r="D686" s="2" t="s">
        <v>30020</v>
      </c>
      <c r="E686" s="2">
        <v>73737.0</v>
      </c>
      <c r="F686" s="2">
        <v>16.0</v>
      </c>
      <c r="G686" s="2">
        <v>5206.0</v>
      </c>
      <c r="H686" s="2" t="s">
        <v>5905</v>
      </c>
      <c r="I686" s="2" t="s">
        <v>5906</v>
      </c>
      <c r="K686" s="2" t="s">
        <v>30021</v>
      </c>
      <c r="L686" s="10" t="s">
        <v>30022</v>
      </c>
    </row>
    <row r="687">
      <c r="A687" s="2" t="s">
        <v>30018</v>
      </c>
      <c r="B687" s="2" t="s">
        <v>30023</v>
      </c>
      <c r="C687" s="2">
        <v>1.356756122E9</v>
      </c>
      <c r="D687" s="2" t="s">
        <v>30024</v>
      </c>
      <c r="E687" s="2">
        <v>30060.0</v>
      </c>
      <c r="F687" s="2">
        <v>906.0</v>
      </c>
      <c r="G687" s="2">
        <v>3647.0</v>
      </c>
      <c r="H687" s="2" t="s">
        <v>5905</v>
      </c>
      <c r="I687" s="2" t="s">
        <v>5906</v>
      </c>
      <c r="J687" s="2" t="s">
        <v>6166</v>
      </c>
      <c r="K687" s="2" t="s">
        <v>30025</v>
      </c>
      <c r="L687" s="10" t="s">
        <v>30026</v>
      </c>
    </row>
    <row r="688">
      <c r="A688" s="2" t="s">
        <v>30027</v>
      </c>
      <c r="B688" s="2" t="s">
        <v>30028</v>
      </c>
      <c r="C688" s="2">
        <v>2.1548537631E10</v>
      </c>
      <c r="D688" s="2" t="s">
        <v>30029</v>
      </c>
      <c r="E688" s="2">
        <v>50010.0</v>
      </c>
      <c r="F688" s="2">
        <v>9.0</v>
      </c>
      <c r="G688" s="2">
        <v>1412.0</v>
      </c>
      <c r="H688" s="2" t="s">
        <v>5905</v>
      </c>
      <c r="I688" s="2" t="s">
        <v>5906</v>
      </c>
      <c r="J688" s="2" t="s">
        <v>5963</v>
      </c>
      <c r="K688" s="2" t="s">
        <v>27534</v>
      </c>
      <c r="L688" s="10" t="s">
        <v>30030</v>
      </c>
    </row>
    <row r="689">
      <c r="A689" s="2" t="s">
        <v>30031</v>
      </c>
      <c r="B689" s="2" t="s">
        <v>30032</v>
      </c>
      <c r="C689" s="2">
        <v>4.16756564E8</v>
      </c>
      <c r="D689" s="2" t="s">
        <v>30033</v>
      </c>
      <c r="E689" s="2">
        <v>36677.0</v>
      </c>
      <c r="F689" s="2">
        <v>188.0</v>
      </c>
      <c r="G689" s="2">
        <v>5988.0</v>
      </c>
      <c r="H689" s="2" t="s">
        <v>5905</v>
      </c>
      <c r="I689" s="2" t="s">
        <v>5906</v>
      </c>
      <c r="J689" s="2" t="s">
        <v>5963</v>
      </c>
      <c r="K689" s="2" t="s">
        <v>30034</v>
      </c>
      <c r="L689" s="10" t="s">
        <v>30035</v>
      </c>
    </row>
    <row r="690">
      <c r="A690" s="2" t="s">
        <v>30031</v>
      </c>
      <c r="B690" s="2" t="s">
        <v>30036</v>
      </c>
      <c r="C690" s="2">
        <v>2.6488947E8</v>
      </c>
      <c r="D690" s="2" t="s">
        <v>30037</v>
      </c>
      <c r="E690" s="2">
        <v>53596.0</v>
      </c>
      <c r="F690" s="2">
        <v>4606.0</v>
      </c>
      <c r="G690" s="2">
        <v>9288.0</v>
      </c>
      <c r="H690" s="2" t="s">
        <v>5905</v>
      </c>
      <c r="I690" s="2" t="s">
        <v>5906</v>
      </c>
      <c r="J690" s="2" t="s">
        <v>5963</v>
      </c>
      <c r="K690" s="2" t="s">
        <v>30038</v>
      </c>
      <c r="L690" s="10" t="s">
        <v>30039</v>
      </c>
    </row>
    <row r="691">
      <c r="A691" s="2" t="s">
        <v>30040</v>
      </c>
      <c r="B691" s="2" t="s">
        <v>30041</v>
      </c>
      <c r="C691" s="2">
        <v>3.1001417528E10</v>
      </c>
      <c r="D691" s="2" t="s">
        <v>30042</v>
      </c>
      <c r="E691" s="2">
        <v>24168.0</v>
      </c>
      <c r="F691" s="2">
        <v>1.0</v>
      </c>
      <c r="G691" s="2">
        <v>501.0</v>
      </c>
      <c r="H691" s="2" t="s">
        <v>5905</v>
      </c>
      <c r="I691" s="2" t="s">
        <v>5906</v>
      </c>
      <c r="J691" s="2" t="s">
        <v>7669</v>
      </c>
      <c r="K691" s="2" t="s">
        <v>30043</v>
      </c>
      <c r="L691" s="10" t="s">
        <v>30044</v>
      </c>
    </row>
    <row r="692">
      <c r="A692" s="2" t="s">
        <v>30045</v>
      </c>
      <c r="B692" s="2" t="s">
        <v>30046</v>
      </c>
      <c r="C692" s="2">
        <v>1.249917452E9</v>
      </c>
      <c r="D692" s="2" t="s">
        <v>30047</v>
      </c>
      <c r="E692" s="2">
        <v>29387.0</v>
      </c>
      <c r="F692" s="2">
        <v>1859.0</v>
      </c>
      <c r="G692" s="2">
        <v>8381.0</v>
      </c>
      <c r="H692" s="2" t="s">
        <v>5905</v>
      </c>
      <c r="I692" s="2" t="s">
        <v>5906</v>
      </c>
      <c r="J692" s="2" t="s">
        <v>9815</v>
      </c>
      <c r="K692" s="2" t="s">
        <v>30048</v>
      </c>
    </row>
    <row r="693">
      <c r="A693" s="2" t="s">
        <v>30049</v>
      </c>
      <c r="B693" s="2" t="s">
        <v>30050</v>
      </c>
      <c r="C693" s="2">
        <v>4.7905799217E10</v>
      </c>
      <c r="D693" s="2" t="s">
        <v>30051</v>
      </c>
      <c r="E693" s="2">
        <v>17026.0</v>
      </c>
      <c r="F693" s="2">
        <v>1662.0</v>
      </c>
      <c r="G693" s="2">
        <v>538.0</v>
      </c>
      <c r="H693" s="2" t="s">
        <v>5905</v>
      </c>
      <c r="I693" s="2" t="s">
        <v>5906</v>
      </c>
      <c r="J693" s="2" t="s">
        <v>5391</v>
      </c>
      <c r="K693" s="2" t="s">
        <v>30052</v>
      </c>
      <c r="L693" s="10" t="s">
        <v>30053</v>
      </c>
    </row>
    <row r="694">
      <c r="A694" s="2" t="s">
        <v>30054</v>
      </c>
      <c r="B694" s="2" t="s">
        <v>30055</v>
      </c>
      <c r="C694" s="2">
        <v>5.500053899E9</v>
      </c>
      <c r="D694" s="2" t="s">
        <v>30056</v>
      </c>
      <c r="E694" s="2">
        <v>23566.0</v>
      </c>
      <c r="F694" s="2">
        <v>1.0</v>
      </c>
      <c r="G694" s="2">
        <v>33.0</v>
      </c>
      <c r="H694" s="2" t="s">
        <v>5905</v>
      </c>
      <c r="I694" s="2" t="s">
        <v>5906</v>
      </c>
      <c r="J694" s="2" t="s">
        <v>5963</v>
      </c>
      <c r="K694" s="2" t="s">
        <v>30057</v>
      </c>
      <c r="L694" s="10" t="s">
        <v>30058</v>
      </c>
    </row>
    <row r="695">
      <c r="A695" s="2" t="s">
        <v>30054</v>
      </c>
      <c r="B695" s="2" t="s">
        <v>30059</v>
      </c>
      <c r="C695" s="2">
        <v>5.787195658E9</v>
      </c>
      <c r="D695" s="2" t="s">
        <v>30059</v>
      </c>
      <c r="E695" s="2">
        <v>19265.0</v>
      </c>
      <c r="F695" s="2">
        <v>17.0</v>
      </c>
      <c r="G695" s="2">
        <v>0.0</v>
      </c>
      <c r="H695" s="2" t="s">
        <v>5905</v>
      </c>
      <c r="I695" s="2" t="s">
        <v>5905</v>
      </c>
    </row>
    <row r="696">
      <c r="A696" s="2" t="s">
        <v>30054</v>
      </c>
      <c r="B696" s="2" t="s">
        <v>30060</v>
      </c>
      <c r="C696" s="2">
        <v>5.332426857E9</v>
      </c>
      <c r="D696" s="2" t="s">
        <v>30061</v>
      </c>
      <c r="E696" s="2">
        <v>78760.0</v>
      </c>
      <c r="F696" s="2">
        <v>4527.0</v>
      </c>
      <c r="G696" s="2">
        <v>820.0</v>
      </c>
      <c r="H696" s="2" t="s">
        <v>5905</v>
      </c>
      <c r="I696" s="2" t="s">
        <v>5906</v>
      </c>
      <c r="J696" s="2" t="s">
        <v>11675</v>
      </c>
      <c r="K696" s="2" t="s">
        <v>30062</v>
      </c>
      <c r="L696" s="10" t="s">
        <v>30063</v>
      </c>
    </row>
    <row r="697">
      <c r="A697" s="2" t="s">
        <v>30054</v>
      </c>
      <c r="B697" s="2" t="s">
        <v>30064</v>
      </c>
      <c r="C697" s="2">
        <v>3.634869078E9</v>
      </c>
      <c r="D697" s="2" t="s">
        <v>30065</v>
      </c>
      <c r="E697" s="2">
        <v>16923.0</v>
      </c>
      <c r="F697" s="2">
        <v>3010.0</v>
      </c>
      <c r="G697" s="2">
        <v>762.0</v>
      </c>
      <c r="H697" s="2" t="s">
        <v>5905</v>
      </c>
      <c r="I697" s="2" t="s">
        <v>5906</v>
      </c>
      <c r="K697" s="2" t="s">
        <v>30066</v>
      </c>
      <c r="L697" s="10" t="s">
        <v>30067</v>
      </c>
    </row>
    <row r="698">
      <c r="A698" s="2" t="s">
        <v>30054</v>
      </c>
      <c r="B698" s="2" t="s">
        <v>30068</v>
      </c>
      <c r="C698" s="2">
        <v>3.817076969E9</v>
      </c>
      <c r="D698" s="2" t="s">
        <v>30069</v>
      </c>
      <c r="E698" s="2">
        <v>15163.0</v>
      </c>
      <c r="F698" s="2">
        <v>2287.0</v>
      </c>
      <c r="G698" s="2">
        <v>644.0</v>
      </c>
      <c r="H698" s="2" t="s">
        <v>5905</v>
      </c>
      <c r="I698" s="2" t="s">
        <v>5906</v>
      </c>
      <c r="J698" s="2" t="s">
        <v>11675</v>
      </c>
      <c r="K698" s="2" t="s">
        <v>30070</v>
      </c>
      <c r="L698" s="10" t="s">
        <v>30071</v>
      </c>
    </row>
    <row r="699">
      <c r="A699" s="2" t="s">
        <v>30072</v>
      </c>
      <c r="B699" s="2" t="s">
        <v>30073</v>
      </c>
      <c r="C699" s="2">
        <v>1.954550145E9</v>
      </c>
      <c r="D699" s="2" t="s">
        <v>30074</v>
      </c>
      <c r="E699" s="2">
        <v>42925.0</v>
      </c>
      <c r="F699" s="2">
        <v>110.0</v>
      </c>
      <c r="G699" s="2">
        <v>2702.0</v>
      </c>
      <c r="H699" s="2" t="s">
        <v>5906</v>
      </c>
      <c r="I699" s="2" t="s">
        <v>5906</v>
      </c>
      <c r="J699" s="2" t="s">
        <v>20201</v>
      </c>
      <c r="K699" s="2" t="s">
        <v>30075</v>
      </c>
      <c r="L699" s="10" t="s">
        <v>30076</v>
      </c>
    </row>
    <row r="700">
      <c r="A700" s="2" t="s">
        <v>30077</v>
      </c>
      <c r="B700" s="2" t="s">
        <v>30078</v>
      </c>
      <c r="C700" s="2">
        <v>4.5065124001E10</v>
      </c>
      <c r="D700" s="2" t="s">
        <v>30079</v>
      </c>
      <c r="E700" s="2">
        <v>36306.0</v>
      </c>
      <c r="F700" s="2">
        <v>0.0</v>
      </c>
      <c r="G700" s="2">
        <v>559.0</v>
      </c>
      <c r="H700" s="2" t="s">
        <v>5905</v>
      </c>
      <c r="I700" s="2" t="s">
        <v>5905</v>
      </c>
      <c r="J700" s="2" t="s">
        <v>30080</v>
      </c>
      <c r="K700" s="2" t="s">
        <v>30081</v>
      </c>
      <c r="L700" s="10" t="s">
        <v>30082</v>
      </c>
    </row>
    <row r="701">
      <c r="A701" s="2" t="s">
        <v>30083</v>
      </c>
      <c r="B701" s="2" t="s">
        <v>30084</v>
      </c>
      <c r="C701" s="2">
        <v>4.778533921E9</v>
      </c>
      <c r="D701" s="2" t="s">
        <v>30085</v>
      </c>
      <c r="E701" s="2">
        <v>13212.0</v>
      </c>
      <c r="F701" s="2">
        <v>1349.0</v>
      </c>
      <c r="G701" s="2">
        <v>944.0</v>
      </c>
      <c r="H701" s="2" t="s">
        <v>5905</v>
      </c>
      <c r="I701" s="2" t="s">
        <v>5905</v>
      </c>
      <c r="J701" s="2" t="s">
        <v>4996</v>
      </c>
      <c r="K701" s="2" t="s">
        <v>30086</v>
      </c>
      <c r="L701" s="10" t="s">
        <v>30087</v>
      </c>
    </row>
    <row r="702">
      <c r="A702" s="2" t="s">
        <v>30088</v>
      </c>
      <c r="B702" s="2" t="s">
        <v>30089</v>
      </c>
      <c r="C702" s="2">
        <v>5.851629632E9</v>
      </c>
      <c r="D702" s="2" t="s">
        <v>30090</v>
      </c>
      <c r="E702" s="2">
        <v>12900.0</v>
      </c>
      <c r="F702" s="2">
        <v>10.0</v>
      </c>
      <c r="G702" s="2">
        <v>267.0</v>
      </c>
      <c r="H702" s="2" t="s">
        <v>5905</v>
      </c>
      <c r="I702" s="2" t="s">
        <v>5905</v>
      </c>
      <c r="K702" s="2" t="s">
        <v>30091</v>
      </c>
      <c r="L702" s="10" t="s">
        <v>30092</v>
      </c>
    </row>
    <row r="703">
      <c r="A703" s="2" t="s">
        <v>30088</v>
      </c>
      <c r="B703" s="2" t="s">
        <v>30093</v>
      </c>
      <c r="C703" s="2">
        <v>2.96824353E8</v>
      </c>
      <c r="D703" s="2" t="s">
        <v>30094</v>
      </c>
      <c r="E703" s="2">
        <v>15534.0</v>
      </c>
      <c r="F703" s="2">
        <v>3010.0</v>
      </c>
      <c r="G703" s="2">
        <v>1071.0</v>
      </c>
      <c r="H703" s="2" t="s">
        <v>5906</v>
      </c>
      <c r="I703" s="2" t="s">
        <v>5906</v>
      </c>
      <c r="J703" s="2" t="s">
        <v>5993</v>
      </c>
      <c r="K703" s="2" t="s">
        <v>30095</v>
      </c>
      <c r="L703" s="10" t="s">
        <v>30096</v>
      </c>
    </row>
    <row r="704">
      <c r="A704" s="2" t="s">
        <v>30097</v>
      </c>
      <c r="B704" s="2" t="s">
        <v>30098</v>
      </c>
      <c r="C704" s="2">
        <v>2.97526053E8</v>
      </c>
      <c r="D704" s="2" t="s">
        <v>30099</v>
      </c>
      <c r="E704" s="2">
        <v>51259.0</v>
      </c>
      <c r="F704" s="2">
        <v>902.0</v>
      </c>
      <c r="G704" s="2">
        <v>362.0</v>
      </c>
      <c r="H704" s="2" t="s">
        <v>5905</v>
      </c>
      <c r="I704" s="2" t="s">
        <v>5905</v>
      </c>
      <c r="J704" s="2" t="s">
        <v>7414</v>
      </c>
      <c r="K704" s="2" t="s">
        <v>30100</v>
      </c>
      <c r="L704" s="10" t="s">
        <v>30101</v>
      </c>
    </row>
    <row r="705">
      <c r="A705" s="2" t="s">
        <v>30102</v>
      </c>
      <c r="B705" s="2" t="s">
        <v>30103</v>
      </c>
      <c r="C705" s="2">
        <v>4.9800023706E10</v>
      </c>
      <c r="D705" s="2" t="s">
        <v>30104</v>
      </c>
      <c r="E705" s="2">
        <v>146793.0</v>
      </c>
      <c r="F705" s="2">
        <v>693.0</v>
      </c>
      <c r="G705" s="2">
        <v>1563.0</v>
      </c>
      <c r="H705" s="2" t="s">
        <v>5905</v>
      </c>
      <c r="I705" s="2" t="s">
        <v>5905</v>
      </c>
      <c r="J705" s="2" t="s">
        <v>5959</v>
      </c>
      <c r="K705" s="2" t="s">
        <v>30105</v>
      </c>
      <c r="L705" s="10" t="s">
        <v>30106</v>
      </c>
    </row>
    <row r="706">
      <c r="A706" s="2" t="s">
        <v>30107</v>
      </c>
      <c r="B706" s="2" t="s">
        <v>30108</v>
      </c>
      <c r="C706" s="2">
        <v>6.1663050733E10</v>
      </c>
      <c r="D706" s="2" t="s">
        <v>30109</v>
      </c>
      <c r="E706" s="2">
        <v>17088.0</v>
      </c>
      <c r="F706" s="2">
        <v>11.0</v>
      </c>
      <c r="G706" s="2">
        <v>120.0</v>
      </c>
      <c r="H706" s="2" t="s">
        <v>5905</v>
      </c>
      <c r="I706" s="2" t="s">
        <v>5906</v>
      </c>
      <c r="J706" s="2" t="s">
        <v>29355</v>
      </c>
      <c r="K706" s="2" t="s">
        <v>30110</v>
      </c>
      <c r="L706" s="10" t="s">
        <v>30111</v>
      </c>
    </row>
    <row r="707">
      <c r="A707" s="2" t="s">
        <v>30112</v>
      </c>
      <c r="B707" s="10" t="s">
        <v>30113</v>
      </c>
      <c r="C707" s="2">
        <v>1.3699939343E10</v>
      </c>
      <c r="D707" s="2" t="s">
        <v>30114</v>
      </c>
      <c r="E707" s="2">
        <v>10082.0</v>
      </c>
      <c r="F707" s="2">
        <v>2132.0</v>
      </c>
      <c r="G707" s="2">
        <v>229.0</v>
      </c>
      <c r="H707" s="2" t="s">
        <v>5905</v>
      </c>
      <c r="I707" s="2" t="s">
        <v>5906</v>
      </c>
      <c r="J707" s="2" t="s">
        <v>5963</v>
      </c>
      <c r="K707" s="2" t="s">
        <v>30115</v>
      </c>
      <c r="L707" s="10" t="s">
        <v>30116</v>
      </c>
    </row>
    <row r="708">
      <c r="A708" s="2" t="s">
        <v>30112</v>
      </c>
      <c r="B708" s="2" t="s">
        <v>30117</v>
      </c>
      <c r="C708" s="2">
        <v>2.177648394E9</v>
      </c>
      <c r="D708" s="2" t="s">
        <v>30118</v>
      </c>
      <c r="E708" s="2">
        <v>13765.0</v>
      </c>
      <c r="F708" s="2">
        <v>2183.0</v>
      </c>
      <c r="G708" s="2">
        <v>345.0</v>
      </c>
      <c r="H708" s="2" t="s">
        <v>5905</v>
      </c>
      <c r="I708" s="2" t="s">
        <v>5906</v>
      </c>
      <c r="J708" s="2" t="s">
        <v>30119</v>
      </c>
      <c r="K708" s="2" t="s">
        <v>30120</v>
      </c>
      <c r="L708" s="10" t="s">
        <v>30121</v>
      </c>
    </row>
    <row r="709">
      <c r="A709" s="2" t="s">
        <v>30112</v>
      </c>
      <c r="B709" s="2" t="s">
        <v>30122</v>
      </c>
      <c r="C709" s="2">
        <v>4.5187420333E10</v>
      </c>
      <c r="D709" s="2" t="s">
        <v>30123</v>
      </c>
      <c r="E709" s="2">
        <v>15665.0</v>
      </c>
      <c r="F709" s="2">
        <v>7.0</v>
      </c>
      <c r="G709" s="2">
        <v>671.0</v>
      </c>
      <c r="H709" s="2" t="s">
        <v>5905</v>
      </c>
      <c r="I709" s="2" t="s">
        <v>5906</v>
      </c>
      <c r="J709" s="2" t="s">
        <v>5993</v>
      </c>
      <c r="K709" s="2" t="s">
        <v>30124</v>
      </c>
      <c r="L709" s="10" t="s">
        <v>30125</v>
      </c>
    </row>
    <row r="710">
      <c r="A710" s="2" t="s">
        <v>30112</v>
      </c>
      <c r="B710" s="2" t="s">
        <v>30126</v>
      </c>
      <c r="C710" s="2">
        <v>1.486236685E9</v>
      </c>
      <c r="D710" s="2" t="s">
        <v>30127</v>
      </c>
      <c r="E710" s="2">
        <v>45824.0</v>
      </c>
      <c r="F710" s="2">
        <v>100.0</v>
      </c>
      <c r="G710" s="2">
        <v>266.0</v>
      </c>
      <c r="H710" s="2" t="s">
        <v>5905</v>
      </c>
      <c r="I710" s="2" t="s">
        <v>5905</v>
      </c>
      <c r="J710" s="2" t="s">
        <v>16587</v>
      </c>
      <c r="K710" s="2" t="s">
        <v>30128</v>
      </c>
    </row>
    <row r="711">
      <c r="A711" s="2" t="s">
        <v>30112</v>
      </c>
      <c r="B711" s="2" t="s">
        <v>30129</v>
      </c>
      <c r="C711" s="2">
        <v>3.602286487E9</v>
      </c>
      <c r="D711" s="2" t="s">
        <v>30130</v>
      </c>
      <c r="E711" s="2">
        <v>11505.0</v>
      </c>
      <c r="F711" s="2">
        <v>2.0</v>
      </c>
      <c r="G711" s="2">
        <v>1909.0</v>
      </c>
      <c r="H711" s="2" t="s">
        <v>5905</v>
      </c>
      <c r="I711" s="2" t="s">
        <v>5905</v>
      </c>
      <c r="J711" s="2" t="s">
        <v>10494</v>
      </c>
      <c r="K711" s="2" t="s">
        <v>30131</v>
      </c>
      <c r="L711" s="10" t="s">
        <v>30132</v>
      </c>
    </row>
    <row r="712">
      <c r="A712" s="2" t="s">
        <v>30133</v>
      </c>
      <c r="B712" s="2" t="s">
        <v>30134</v>
      </c>
      <c r="C712" s="2">
        <v>5.37302028E8</v>
      </c>
      <c r="D712" s="2" t="s">
        <v>30135</v>
      </c>
      <c r="E712" s="2">
        <v>39902.0</v>
      </c>
      <c r="F712" s="2">
        <v>5156.0</v>
      </c>
      <c r="G712" s="2">
        <v>1722.0</v>
      </c>
      <c r="H712" s="2" t="s">
        <v>5906</v>
      </c>
      <c r="I712" s="2" t="s">
        <v>5906</v>
      </c>
      <c r="J712" s="2" t="s">
        <v>30136</v>
      </c>
      <c r="K712" s="2" t="s">
        <v>30137</v>
      </c>
      <c r="L712" s="10" t="s">
        <v>30138</v>
      </c>
    </row>
    <row r="713">
      <c r="A713" s="2" t="s">
        <v>30133</v>
      </c>
      <c r="B713" s="2" t="s">
        <v>30139</v>
      </c>
      <c r="C713" s="2">
        <v>5.2563633955E10</v>
      </c>
      <c r="D713" s="2" t="s">
        <v>30140</v>
      </c>
      <c r="E713" s="2">
        <v>27931.0</v>
      </c>
      <c r="F713" s="2">
        <v>2329.0</v>
      </c>
      <c r="G713" s="2">
        <v>3326.0</v>
      </c>
      <c r="H713" s="2" t="s">
        <v>5906</v>
      </c>
      <c r="I713" s="2" t="s">
        <v>5906</v>
      </c>
      <c r="J713" s="2" t="s">
        <v>30141</v>
      </c>
      <c r="K713" s="2" t="s">
        <v>30142</v>
      </c>
    </row>
    <row r="714">
      <c r="A714" s="2" t="s">
        <v>30143</v>
      </c>
      <c r="B714" s="2" t="s">
        <v>30144</v>
      </c>
      <c r="C714" s="2">
        <v>9.170373572E9</v>
      </c>
      <c r="D714" s="2" t="s">
        <v>30145</v>
      </c>
      <c r="E714" s="2">
        <v>52986.0</v>
      </c>
      <c r="F714" s="2">
        <v>1.0</v>
      </c>
      <c r="G714" s="2">
        <v>535.0</v>
      </c>
      <c r="H714" s="2" t="s">
        <v>5905</v>
      </c>
      <c r="I714" s="2" t="s">
        <v>5906</v>
      </c>
      <c r="J714" s="2" t="s">
        <v>6393</v>
      </c>
      <c r="K714" s="2" t="s">
        <v>30146</v>
      </c>
    </row>
    <row r="715">
      <c r="A715" s="2" t="s">
        <v>30143</v>
      </c>
      <c r="B715" s="2" t="s">
        <v>30147</v>
      </c>
      <c r="C715" s="2">
        <v>7.4581034819E10</v>
      </c>
      <c r="D715" s="2" t="s">
        <v>30148</v>
      </c>
      <c r="E715" s="2">
        <v>10074.0</v>
      </c>
      <c r="F715" s="2">
        <v>3337.0</v>
      </c>
      <c r="G715" s="2">
        <v>240.0</v>
      </c>
      <c r="H715" s="2" t="s">
        <v>5905</v>
      </c>
      <c r="I715" s="2" t="s">
        <v>5905</v>
      </c>
      <c r="K715" s="2" t="s">
        <v>30149</v>
      </c>
    </row>
    <row r="716">
      <c r="A716" s="2" t="s">
        <v>30143</v>
      </c>
      <c r="B716" s="2" t="s">
        <v>30150</v>
      </c>
      <c r="C716" s="2">
        <v>4.1192120735E10</v>
      </c>
      <c r="D716" s="2" t="s">
        <v>30151</v>
      </c>
      <c r="E716" s="2">
        <v>117332.0</v>
      </c>
      <c r="F716" s="2">
        <v>266.0</v>
      </c>
      <c r="G716" s="2">
        <v>445.0</v>
      </c>
      <c r="H716" s="2" t="s">
        <v>5905</v>
      </c>
      <c r="I716" s="2" t="s">
        <v>5905</v>
      </c>
      <c r="J716" s="2" t="s">
        <v>5561</v>
      </c>
      <c r="K716" s="2" t="s">
        <v>30152</v>
      </c>
    </row>
    <row r="717">
      <c r="A717" s="2" t="s">
        <v>30153</v>
      </c>
      <c r="B717" s="2" t="s">
        <v>30154</v>
      </c>
      <c r="C717" s="2">
        <v>5.4055991112E10</v>
      </c>
      <c r="D717" s="2" t="s">
        <v>30155</v>
      </c>
      <c r="E717" s="2">
        <v>19700.0</v>
      </c>
      <c r="F717" s="2">
        <v>2223.0</v>
      </c>
      <c r="G717" s="2">
        <v>3058.0</v>
      </c>
      <c r="H717" s="2" t="s">
        <v>5906</v>
      </c>
      <c r="I717" s="2" t="s">
        <v>5906</v>
      </c>
      <c r="J717" s="2" t="s">
        <v>5963</v>
      </c>
      <c r="K717" s="2" t="s">
        <v>30156</v>
      </c>
      <c r="L717" s="10" t="s">
        <v>30157</v>
      </c>
    </row>
    <row r="718">
      <c r="A718" s="2" t="s">
        <v>30153</v>
      </c>
      <c r="B718" s="2" t="s">
        <v>30158</v>
      </c>
      <c r="C718" s="2">
        <v>6.0737721401E10</v>
      </c>
      <c r="D718" s="2" t="s">
        <v>30159</v>
      </c>
      <c r="E718" s="2">
        <v>13753.0</v>
      </c>
      <c r="F718" s="2">
        <v>39.0</v>
      </c>
      <c r="G718" s="2">
        <v>282.0</v>
      </c>
      <c r="H718" s="2" t="s">
        <v>5905</v>
      </c>
      <c r="I718" s="2" t="s">
        <v>5905</v>
      </c>
      <c r="J718" s="2" t="s">
        <v>5391</v>
      </c>
      <c r="K718" s="2" t="s">
        <v>30160</v>
      </c>
      <c r="L718" s="10" t="s">
        <v>30161</v>
      </c>
    </row>
    <row r="719">
      <c r="A719" s="2" t="s">
        <v>30162</v>
      </c>
      <c r="B719" s="2" t="s">
        <v>30163</v>
      </c>
      <c r="C719" s="2">
        <v>2.007349623E9</v>
      </c>
      <c r="D719" s="2" t="s">
        <v>30164</v>
      </c>
      <c r="E719" s="2">
        <v>19123.0</v>
      </c>
      <c r="F719" s="2">
        <v>1663.0</v>
      </c>
      <c r="G719" s="2">
        <v>686.0</v>
      </c>
      <c r="H719" s="2" t="s">
        <v>5905</v>
      </c>
      <c r="I719" s="2" t="s">
        <v>5906</v>
      </c>
      <c r="J719" s="2" t="s">
        <v>4404</v>
      </c>
      <c r="K719" s="2" t="s">
        <v>30165</v>
      </c>
    </row>
    <row r="720">
      <c r="A720" s="2" t="s">
        <v>30166</v>
      </c>
      <c r="B720" s="2" t="s">
        <v>30167</v>
      </c>
      <c r="C720" s="2">
        <v>9.9151365E8</v>
      </c>
      <c r="D720" s="2" t="s">
        <v>30168</v>
      </c>
      <c r="E720" s="2">
        <v>14748.0</v>
      </c>
      <c r="F720" s="2">
        <v>1291.0</v>
      </c>
      <c r="G720" s="2">
        <v>425.0</v>
      </c>
      <c r="H720" s="2" t="s">
        <v>5905</v>
      </c>
      <c r="I720" s="2" t="s">
        <v>5905</v>
      </c>
      <c r="J720" s="2" t="s">
        <v>5928</v>
      </c>
      <c r="K720" s="2" t="s">
        <v>30169</v>
      </c>
      <c r="L720" s="10" t="s">
        <v>30170</v>
      </c>
    </row>
    <row r="721">
      <c r="A721" s="2" t="s">
        <v>30171</v>
      </c>
      <c r="B721" s="2" t="s">
        <v>22541</v>
      </c>
      <c r="C721" s="2">
        <v>1.505887434E9</v>
      </c>
      <c r="D721" s="2" t="s">
        <v>22542</v>
      </c>
      <c r="E721" s="2">
        <v>14415.0</v>
      </c>
      <c r="F721" s="2">
        <v>2897.0</v>
      </c>
      <c r="G721" s="2">
        <v>1147.0</v>
      </c>
      <c r="H721" s="2" t="s">
        <v>5905</v>
      </c>
      <c r="I721" s="2" t="s">
        <v>5905</v>
      </c>
      <c r="J721" s="2" t="s">
        <v>5993</v>
      </c>
      <c r="K721" s="2" t="s">
        <v>22543</v>
      </c>
    </row>
    <row r="722">
      <c r="A722" s="2" t="s">
        <v>30171</v>
      </c>
      <c r="B722" s="2" t="s">
        <v>30172</v>
      </c>
      <c r="C722" s="2">
        <v>6.47307932E8</v>
      </c>
      <c r="D722" s="2" t="s">
        <v>30173</v>
      </c>
      <c r="E722" s="2">
        <v>363121.0</v>
      </c>
      <c r="F722" s="2">
        <v>392.0</v>
      </c>
      <c r="G722" s="2">
        <v>2847.0</v>
      </c>
      <c r="H722" s="2" t="s">
        <v>5905</v>
      </c>
      <c r="I722" s="2" t="s">
        <v>5905</v>
      </c>
      <c r="J722" s="2" t="s">
        <v>14778</v>
      </c>
      <c r="K722" s="2" t="s">
        <v>30174</v>
      </c>
      <c r="L722" s="10" t="s">
        <v>30175</v>
      </c>
    </row>
    <row r="723">
      <c r="A723" s="2" t="s">
        <v>30171</v>
      </c>
      <c r="B723" s="2" t="s">
        <v>30176</v>
      </c>
      <c r="C723" s="2">
        <v>1.492329041E9</v>
      </c>
      <c r="D723" s="2" t="s">
        <v>30177</v>
      </c>
      <c r="E723" s="2">
        <v>10045.0</v>
      </c>
      <c r="F723" s="2">
        <v>2103.0</v>
      </c>
      <c r="G723" s="2">
        <v>1719.0</v>
      </c>
      <c r="H723" s="2" t="s">
        <v>5905</v>
      </c>
      <c r="I723" s="2" t="s">
        <v>5906</v>
      </c>
      <c r="J723" s="2" t="s">
        <v>6002</v>
      </c>
      <c r="K723" s="2" t="s">
        <v>30178</v>
      </c>
    </row>
    <row r="724">
      <c r="A724" s="2" t="s">
        <v>30179</v>
      </c>
      <c r="B724" s="2" t="s">
        <v>30180</v>
      </c>
      <c r="C724" s="2">
        <v>9.153392979E9</v>
      </c>
      <c r="D724" s="2" t="s">
        <v>30181</v>
      </c>
      <c r="E724" s="2">
        <v>13161.0</v>
      </c>
      <c r="F724" s="2">
        <v>477.0</v>
      </c>
      <c r="G724" s="2">
        <v>537.0</v>
      </c>
      <c r="H724" s="2" t="s">
        <v>5905</v>
      </c>
      <c r="I724" s="2" t="s">
        <v>5905</v>
      </c>
      <c r="J724" s="2" t="s">
        <v>5561</v>
      </c>
      <c r="K724" s="2" t="s">
        <v>30182</v>
      </c>
    </row>
    <row r="725">
      <c r="A725" s="2" t="s">
        <v>30179</v>
      </c>
      <c r="B725" s="2" t="s">
        <v>30183</v>
      </c>
      <c r="C725" s="2">
        <v>2.939041775E9</v>
      </c>
      <c r="D725" s="2" t="s">
        <v>30184</v>
      </c>
      <c r="E725" s="2">
        <v>12348.0</v>
      </c>
      <c r="F725" s="2">
        <v>1601.0</v>
      </c>
      <c r="G725" s="2">
        <v>361.0</v>
      </c>
      <c r="H725" s="2" t="s">
        <v>5906</v>
      </c>
      <c r="I725" s="2" t="s">
        <v>5905</v>
      </c>
      <c r="J725" s="2" t="s">
        <v>14778</v>
      </c>
      <c r="K725" s="2" t="s">
        <v>30185</v>
      </c>
    </row>
    <row r="726">
      <c r="A726" s="2" t="s">
        <v>30179</v>
      </c>
      <c r="B726" s="2" t="s">
        <v>30186</v>
      </c>
      <c r="C726" s="2">
        <v>1.917963173E9</v>
      </c>
      <c r="D726" s="2" t="s">
        <v>30187</v>
      </c>
      <c r="E726" s="2">
        <v>18878.0</v>
      </c>
      <c r="F726" s="2">
        <v>4491.0</v>
      </c>
      <c r="G726" s="2">
        <v>1105.0</v>
      </c>
      <c r="H726" s="2" t="s">
        <v>5905</v>
      </c>
      <c r="I726" s="2" t="s">
        <v>5905</v>
      </c>
      <c r="J726" s="2" t="s">
        <v>14778</v>
      </c>
      <c r="K726" s="2" t="s">
        <v>30188</v>
      </c>
    </row>
    <row r="727">
      <c r="A727" s="2" t="s">
        <v>30179</v>
      </c>
      <c r="B727" s="2" t="s">
        <v>30189</v>
      </c>
      <c r="C727" s="2">
        <v>1.02510993E9</v>
      </c>
      <c r="D727" s="2" t="s">
        <v>30190</v>
      </c>
      <c r="E727" s="2">
        <v>17629.0</v>
      </c>
      <c r="F727" s="2">
        <v>1394.0</v>
      </c>
      <c r="G727" s="2">
        <v>874.0</v>
      </c>
      <c r="H727" s="2" t="s">
        <v>5905</v>
      </c>
      <c r="I727" s="2" t="s">
        <v>5905</v>
      </c>
      <c r="J727" s="2" t="s">
        <v>5391</v>
      </c>
      <c r="K727" s="2" t="s">
        <v>30191</v>
      </c>
    </row>
    <row r="728">
      <c r="A728" s="2" t="s">
        <v>30179</v>
      </c>
      <c r="B728" s="2" t="s">
        <v>30192</v>
      </c>
      <c r="C728" s="2">
        <v>2.102834698E9</v>
      </c>
      <c r="D728" s="2" t="s">
        <v>30193</v>
      </c>
      <c r="E728" s="2">
        <v>56320.0</v>
      </c>
      <c r="F728" s="2">
        <v>613.0</v>
      </c>
      <c r="G728" s="2">
        <v>751.0</v>
      </c>
      <c r="H728" s="2" t="s">
        <v>5906</v>
      </c>
      <c r="I728" s="2" t="s">
        <v>5905</v>
      </c>
      <c r="J728" s="2" t="s">
        <v>14778</v>
      </c>
      <c r="K728" s="2" t="s">
        <v>30194</v>
      </c>
    </row>
    <row r="729">
      <c r="A729" s="2" t="s">
        <v>30179</v>
      </c>
      <c r="B729" s="2" t="s">
        <v>30195</v>
      </c>
      <c r="C729" s="2">
        <v>1.7167536522E10</v>
      </c>
      <c r="D729" s="2" t="s">
        <v>30196</v>
      </c>
      <c r="E729" s="2">
        <v>12214.0</v>
      </c>
      <c r="F729" s="2">
        <v>1519.0</v>
      </c>
      <c r="G729" s="2">
        <v>1035.0</v>
      </c>
      <c r="H729" s="2" t="s">
        <v>5905</v>
      </c>
      <c r="I729" s="2" t="s">
        <v>5905</v>
      </c>
      <c r="J729" s="2" t="s">
        <v>14778</v>
      </c>
      <c r="K729" s="2" t="s">
        <v>30197</v>
      </c>
    </row>
    <row r="730">
      <c r="A730" s="2" t="s">
        <v>30179</v>
      </c>
      <c r="B730" s="2" t="s">
        <v>30198</v>
      </c>
      <c r="C730" s="2">
        <v>5.865187788E9</v>
      </c>
      <c r="D730" s="2" t="s">
        <v>30199</v>
      </c>
      <c r="E730" s="2">
        <v>21612.0</v>
      </c>
      <c r="F730" s="2">
        <v>103.0</v>
      </c>
      <c r="G730" s="2">
        <v>85.0</v>
      </c>
      <c r="H730" s="2" t="s">
        <v>5905</v>
      </c>
      <c r="I730" s="2" t="s">
        <v>5905</v>
      </c>
    </row>
    <row r="731">
      <c r="A731" s="2" t="s">
        <v>30200</v>
      </c>
      <c r="B731" s="2" t="s">
        <v>30201</v>
      </c>
      <c r="C731" s="2">
        <v>5.452095103E9</v>
      </c>
      <c r="D731" s="2" t="s">
        <v>30202</v>
      </c>
      <c r="E731" s="2">
        <v>12969.0</v>
      </c>
      <c r="F731" s="2">
        <v>887.0</v>
      </c>
      <c r="G731" s="2">
        <v>3178.0</v>
      </c>
      <c r="H731" s="2" t="s">
        <v>5905</v>
      </c>
      <c r="I731" s="2" t="s">
        <v>5906</v>
      </c>
      <c r="J731" s="2" t="s">
        <v>5993</v>
      </c>
      <c r="K731" s="2" t="s">
        <v>30203</v>
      </c>
      <c r="L731" s="10" t="s">
        <v>30204</v>
      </c>
    </row>
    <row r="732">
      <c r="A732" s="2" t="s">
        <v>30200</v>
      </c>
      <c r="B732" s="2" t="s">
        <v>30167</v>
      </c>
      <c r="C732" s="2">
        <v>9.9151365E8</v>
      </c>
      <c r="D732" s="2" t="s">
        <v>30168</v>
      </c>
      <c r="E732" s="2">
        <v>14748.0</v>
      </c>
      <c r="F732" s="2">
        <v>1291.0</v>
      </c>
      <c r="G732" s="2">
        <v>425.0</v>
      </c>
      <c r="H732" s="2" t="s">
        <v>5905</v>
      </c>
      <c r="I732" s="2" t="s">
        <v>5905</v>
      </c>
      <c r="J732" s="2" t="s">
        <v>5928</v>
      </c>
      <c r="K732" s="2" t="s">
        <v>30169</v>
      </c>
      <c r="L732" s="10" t="s">
        <v>30170</v>
      </c>
    </row>
    <row r="733">
      <c r="A733" s="2" t="s">
        <v>30205</v>
      </c>
      <c r="B733" s="2" t="s">
        <v>30206</v>
      </c>
      <c r="C733" s="2">
        <v>4.3088261219E10</v>
      </c>
      <c r="D733" s="2" t="s">
        <v>30207</v>
      </c>
      <c r="E733" s="2">
        <v>17983.0</v>
      </c>
      <c r="F733" s="2">
        <v>5016.0</v>
      </c>
      <c r="G733" s="2">
        <v>1132.0</v>
      </c>
      <c r="H733" s="2" t="s">
        <v>5905</v>
      </c>
      <c r="I733" s="2" t="s">
        <v>5906</v>
      </c>
      <c r="J733" s="2" t="s">
        <v>8245</v>
      </c>
      <c r="K733" s="2" t="s">
        <v>30208</v>
      </c>
    </row>
    <row r="734">
      <c r="A734" s="2" t="s">
        <v>30209</v>
      </c>
      <c r="B734" s="2" t="s">
        <v>30210</v>
      </c>
      <c r="C734" s="2">
        <v>1.383774854E9</v>
      </c>
      <c r="D734" s="2" t="s">
        <v>30211</v>
      </c>
      <c r="E734" s="2">
        <v>29424.0</v>
      </c>
      <c r="F734" s="2">
        <v>17.0</v>
      </c>
      <c r="G734" s="2">
        <v>325.0</v>
      </c>
      <c r="H734" s="2" t="s">
        <v>5905</v>
      </c>
      <c r="I734" s="2" t="s">
        <v>5906</v>
      </c>
      <c r="J734" s="2" t="s">
        <v>8245</v>
      </c>
      <c r="K734" s="2" t="s">
        <v>30212</v>
      </c>
      <c r="L734" s="10" t="s">
        <v>30213</v>
      </c>
    </row>
    <row r="735">
      <c r="A735" s="2" t="s">
        <v>30209</v>
      </c>
      <c r="B735" s="10" t="s">
        <v>30214</v>
      </c>
      <c r="C735" s="2">
        <v>4.20831938E9</v>
      </c>
      <c r="D735" s="2" t="s">
        <v>30215</v>
      </c>
      <c r="E735" s="2">
        <v>15055.0</v>
      </c>
      <c r="F735" s="2">
        <v>7428.0</v>
      </c>
      <c r="G735" s="2">
        <v>992.0</v>
      </c>
      <c r="H735" s="2" t="s">
        <v>5905</v>
      </c>
      <c r="I735" s="2" t="s">
        <v>5906</v>
      </c>
      <c r="J735" s="2" t="s">
        <v>5959</v>
      </c>
      <c r="K735" s="2" t="s">
        <v>30216</v>
      </c>
    </row>
    <row r="736">
      <c r="A736" s="2" t="s">
        <v>30217</v>
      </c>
      <c r="B736" s="2" t="s">
        <v>30218</v>
      </c>
      <c r="C736" s="2">
        <v>6.8329302736E10</v>
      </c>
      <c r="D736" s="2" t="s">
        <v>30219</v>
      </c>
      <c r="E736" s="2">
        <v>12632.0</v>
      </c>
      <c r="F736" s="2">
        <v>10.0</v>
      </c>
      <c r="G736" s="2">
        <v>957.0</v>
      </c>
      <c r="H736" s="2" t="s">
        <v>5905</v>
      </c>
      <c r="I736" s="2" t="s">
        <v>5906</v>
      </c>
      <c r="J736" s="2" t="s">
        <v>7669</v>
      </c>
      <c r="K736" s="2" t="s">
        <v>30220</v>
      </c>
      <c r="L736" s="10" t="s">
        <v>30221</v>
      </c>
    </row>
    <row r="737">
      <c r="A737" s="2" t="s">
        <v>30222</v>
      </c>
      <c r="B737" s="2" t="s">
        <v>30223</v>
      </c>
      <c r="C737" s="2">
        <v>8.626628613E9</v>
      </c>
      <c r="D737" s="2" t="s">
        <v>30224</v>
      </c>
      <c r="E737" s="2">
        <v>14647.0</v>
      </c>
      <c r="F737" s="2">
        <v>592.0</v>
      </c>
      <c r="G737" s="2">
        <v>848.0</v>
      </c>
      <c r="H737" s="2" t="s">
        <v>5905</v>
      </c>
      <c r="I737" s="2" t="s">
        <v>5906</v>
      </c>
      <c r="J737" s="2" t="s">
        <v>6166</v>
      </c>
      <c r="K737" s="2" t="s">
        <v>30225</v>
      </c>
      <c r="L737" s="10" t="s">
        <v>30226</v>
      </c>
    </row>
    <row r="738">
      <c r="A738" s="2" t="s">
        <v>30227</v>
      </c>
      <c r="B738" s="2" t="s">
        <v>30228</v>
      </c>
      <c r="C738" s="2">
        <v>2.07328554E8</v>
      </c>
      <c r="D738" s="2" t="s">
        <v>30229</v>
      </c>
      <c r="E738" s="2">
        <v>33178.0</v>
      </c>
      <c r="F738" s="2">
        <v>6264.0</v>
      </c>
      <c r="G738" s="2">
        <v>1460.0</v>
      </c>
      <c r="H738" s="2" t="s">
        <v>5905</v>
      </c>
      <c r="I738" s="2" t="s">
        <v>5905</v>
      </c>
      <c r="J738" s="2" t="s">
        <v>5391</v>
      </c>
      <c r="K738" s="2" t="s">
        <v>30230</v>
      </c>
      <c r="L738" s="10" t="s">
        <v>30231</v>
      </c>
    </row>
    <row r="739">
      <c r="A739" s="2" t="s">
        <v>30232</v>
      </c>
      <c r="B739" s="2" t="s">
        <v>30233</v>
      </c>
      <c r="C739" s="2">
        <v>2.5518116834E10</v>
      </c>
      <c r="D739" s="2" t="s">
        <v>30234</v>
      </c>
      <c r="E739" s="2">
        <v>17429.0</v>
      </c>
      <c r="F739" s="2">
        <v>896.0</v>
      </c>
      <c r="G739" s="2">
        <v>399.0</v>
      </c>
      <c r="H739" s="2" t="s">
        <v>5906</v>
      </c>
      <c r="I739" s="2" t="s">
        <v>5905</v>
      </c>
      <c r="J739" s="2" t="s">
        <v>5993</v>
      </c>
      <c r="K739" s="2" t="s">
        <v>30235</v>
      </c>
      <c r="L739" s="10" t="s">
        <v>30236</v>
      </c>
    </row>
    <row r="740">
      <c r="A740" s="2" t="s">
        <v>30237</v>
      </c>
      <c r="B740" s="2" t="s">
        <v>30238</v>
      </c>
      <c r="C740" s="2">
        <v>1.73996602E8</v>
      </c>
      <c r="D740" s="2" t="s">
        <v>30239</v>
      </c>
      <c r="E740" s="2">
        <v>162083.0</v>
      </c>
      <c r="F740" s="2">
        <v>76.0</v>
      </c>
      <c r="G740" s="2">
        <v>6410.0</v>
      </c>
      <c r="H740" s="2" t="s">
        <v>5905</v>
      </c>
      <c r="I740" s="2" t="s">
        <v>5905</v>
      </c>
      <c r="J740" s="2" t="s">
        <v>6002</v>
      </c>
      <c r="K740" s="2" t="s">
        <v>30240</v>
      </c>
      <c r="L740" s="10" t="s">
        <v>30241</v>
      </c>
    </row>
    <row r="741">
      <c r="A741" s="2" t="s">
        <v>30242</v>
      </c>
      <c r="B741" s="2" t="s">
        <v>30243</v>
      </c>
      <c r="C741" s="2">
        <v>4.617696539E10</v>
      </c>
      <c r="D741" s="2" t="s">
        <v>30244</v>
      </c>
      <c r="E741" s="2">
        <v>74025.0</v>
      </c>
      <c r="F741" s="2">
        <v>436.0</v>
      </c>
      <c r="G741" s="2">
        <v>246.0</v>
      </c>
      <c r="H741" s="2" t="s">
        <v>5905</v>
      </c>
      <c r="I741" s="2" t="s">
        <v>5905</v>
      </c>
      <c r="J741" s="2" t="s">
        <v>27384</v>
      </c>
      <c r="K741" s="2" t="s">
        <v>30245</v>
      </c>
      <c r="L741" s="10" t="s">
        <v>30246</v>
      </c>
    </row>
    <row r="742">
      <c r="A742" s="2" t="s">
        <v>30247</v>
      </c>
      <c r="B742" s="2" t="s">
        <v>30248</v>
      </c>
      <c r="C742" s="2">
        <v>4.6402019325E10</v>
      </c>
      <c r="D742" s="2" t="s">
        <v>30249</v>
      </c>
      <c r="E742" s="2">
        <v>25524.0</v>
      </c>
      <c r="F742" s="2">
        <v>2.0</v>
      </c>
      <c r="G742" s="2">
        <v>226.0</v>
      </c>
      <c r="H742" s="2" t="s">
        <v>5905</v>
      </c>
      <c r="I742" s="2" t="s">
        <v>5906</v>
      </c>
      <c r="J742" s="2" t="s">
        <v>7414</v>
      </c>
      <c r="K742" s="2" t="s">
        <v>30250</v>
      </c>
    </row>
    <row r="743">
      <c r="A743" s="2" t="s">
        <v>30247</v>
      </c>
      <c r="B743" s="2" t="s">
        <v>30251</v>
      </c>
      <c r="C743" s="2">
        <v>4.6102119367E10</v>
      </c>
      <c r="D743" s="2" t="s">
        <v>30252</v>
      </c>
      <c r="E743" s="2">
        <v>10467.0</v>
      </c>
      <c r="F743" s="2">
        <v>34.0</v>
      </c>
      <c r="G743" s="2">
        <v>679.0</v>
      </c>
      <c r="H743" s="2" t="s">
        <v>5905</v>
      </c>
      <c r="I743" s="2" t="s">
        <v>5905</v>
      </c>
      <c r="J743" s="2" t="s">
        <v>5959</v>
      </c>
      <c r="K743" s="2" t="s">
        <v>30253</v>
      </c>
      <c r="L743" s="10" t="s">
        <v>30254</v>
      </c>
    </row>
    <row r="744">
      <c r="A744" s="2" t="s">
        <v>30255</v>
      </c>
      <c r="B744" s="2" t="s">
        <v>30256</v>
      </c>
      <c r="C744" s="2">
        <v>5.9051600586E10</v>
      </c>
      <c r="D744" s="2" t="s">
        <v>30257</v>
      </c>
      <c r="E744" s="2">
        <v>133391.0</v>
      </c>
      <c r="F744" s="2">
        <v>13.0</v>
      </c>
      <c r="G744" s="2">
        <v>6430.0</v>
      </c>
      <c r="H744" s="2" t="s">
        <v>5905</v>
      </c>
      <c r="I744" s="2" t="s">
        <v>5905</v>
      </c>
      <c r="K744" s="2" t="s">
        <v>30258</v>
      </c>
      <c r="L744" s="10" t="s">
        <v>30259</v>
      </c>
    </row>
    <row r="745">
      <c r="A745" s="2" t="s">
        <v>30260</v>
      </c>
      <c r="B745" s="2" t="s">
        <v>30261</v>
      </c>
      <c r="C745" s="2">
        <v>7.304016657E9</v>
      </c>
      <c r="D745" s="2" t="s">
        <v>30262</v>
      </c>
      <c r="E745" s="2">
        <v>21335.0</v>
      </c>
      <c r="F745" s="2">
        <v>685.0</v>
      </c>
      <c r="G745" s="2">
        <v>2289.0</v>
      </c>
      <c r="H745" s="2" t="s">
        <v>5905</v>
      </c>
      <c r="I745" s="2" t="s">
        <v>5906</v>
      </c>
      <c r="J745" s="2" t="s">
        <v>8518</v>
      </c>
      <c r="K745" s="2" t="s">
        <v>30263</v>
      </c>
      <c r="L745" s="10" t="s">
        <v>30264</v>
      </c>
    </row>
    <row r="746">
      <c r="A746" s="2" t="s">
        <v>30260</v>
      </c>
      <c r="B746" s="2" t="s">
        <v>30265</v>
      </c>
      <c r="C746" s="2">
        <v>6.4322324864E10</v>
      </c>
      <c r="D746" s="2" t="s">
        <v>30266</v>
      </c>
      <c r="E746" s="2">
        <v>22953.0</v>
      </c>
      <c r="F746" s="2">
        <v>164.0</v>
      </c>
      <c r="G746" s="2">
        <v>585.0</v>
      </c>
      <c r="H746" s="2" t="s">
        <v>5905</v>
      </c>
      <c r="I746" s="2" t="s">
        <v>5905</v>
      </c>
      <c r="J746" s="2" t="s">
        <v>6002</v>
      </c>
      <c r="K746" s="2" t="s">
        <v>30267</v>
      </c>
      <c r="L746" s="10" t="s">
        <v>30268</v>
      </c>
    </row>
    <row r="747">
      <c r="A747" s="2" t="s">
        <v>30269</v>
      </c>
      <c r="B747" s="2" t="s">
        <v>30270</v>
      </c>
      <c r="C747" s="2">
        <v>2.226532723E9</v>
      </c>
      <c r="D747" s="2" t="s">
        <v>30271</v>
      </c>
      <c r="E747" s="2">
        <v>29325.0</v>
      </c>
      <c r="F747" s="2">
        <v>474.0</v>
      </c>
      <c r="G747" s="2">
        <v>17.0</v>
      </c>
      <c r="H747" s="2" t="s">
        <v>5905</v>
      </c>
      <c r="I747" s="2" t="s">
        <v>5905</v>
      </c>
      <c r="K747" s="2" t="s">
        <v>30272</v>
      </c>
    </row>
    <row r="748">
      <c r="A748" s="2" t="s">
        <v>30273</v>
      </c>
      <c r="B748" s="2" t="s">
        <v>30274</v>
      </c>
      <c r="C748" s="2">
        <v>3.80912251E8</v>
      </c>
      <c r="D748" s="2" t="s">
        <v>30275</v>
      </c>
      <c r="E748" s="2">
        <v>151467.0</v>
      </c>
      <c r="F748" s="2">
        <v>118.0</v>
      </c>
      <c r="G748" s="2">
        <v>857.0</v>
      </c>
      <c r="H748" s="2" t="s">
        <v>5905</v>
      </c>
      <c r="I748" s="2" t="s">
        <v>5905</v>
      </c>
      <c r="K748" s="2" t="s">
        <v>30276</v>
      </c>
      <c r="L748" s="10" t="s">
        <v>30277</v>
      </c>
    </row>
    <row r="749">
      <c r="A749" s="2" t="s">
        <v>30278</v>
      </c>
      <c r="B749" s="2" t="s">
        <v>30279</v>
      </c>
      <c r="C749" s="2">
        <v>8.491656458E9</v>
      </c>
      <c r="D749" s="2" t="s">
        <v>30280</v>
      </c>
      <c r="E749" s="2">
        <v>13969.0</v>
      </c>
      <c r="F749" s="2">
        <v>1209.0</v>
      </c>
      <c r="G749" s="2">
        <v>19653.0</v>
      </c>
      <c r="H749" s="2" t="s">
        <v>5905</v>
      </c>
      <c r="I749" s="2" t="s">
        <v>5906</v>
      </c>
      <c r="J749" s="2" t="s">
        <v>7414</v>
      </c>
      <c r="K749" s="2" t="s">
        <v>30281</v>
      </c>
      <c r="L749" s="10" t="s">
        <v>30282</v>
      </c>
    </row>
    <row r="750">
      <c r="A750" s="2" t="s">
        <v>30278</v>
      </c>
      <c r="B750" s="2" t="s">
        <v>30283</v>
      </c>
      <c r="C750" s="2">
        <v>7.949566304E9</v>
      </c>
      <c r="D750" s="2" t="s">
        <v>30284</v>
      </c>
      <c r="E750" s="2">
        <v>51172.0</v>
      </c>
      <c r="F750" s="2">
        <v>9.0</v>
      </c>
      <c r="G750" s="2">
        <v>110.0</v>
      </c>
      <c r="H750" s="2" t="s">
        <v>5905</v>
      </c>
      <c r="I750" s="2" t="s">
        <v>5905</v>
      </c>
      <c r="J750" s="2" t="s">
        <v>7414</v>
      </c>
      <c r="K750" s="2" t="s">
        <v>30285</v>
      </c>
    </row>
    <row r="751">
      <c r="A751" s="2" t="s">
        <v>30286</v>
      </c>
      <c r="B751" s="2" t="s">
        <v>30287</v>
      </c>
      <c r="C751" s="2">
        <v>2.7496304256E10</v>
      </c>
      <c r="D751" s="12" t="s">
        <v>30288</v>
      </c>
      <c r="E751" s="2">
        <v>13493.0</v>
      </c>
      <c r="F751" s="2">
        <v>4001.0</v>
      </c>
      <c r="G751" s="2">
        <v>102.0</v>
      </c>
      <c r="H751" s="2" t="s">
        <v>5905</v>
      </c>
      <c r="I751" s="2" t="s">
        <v>5906</v>
      </c>
      <c r="J751" s="2" t="s">
        <v>7140</v>
      </c>
      <c r="K751" s="12" t="s">
        <v>30289</v>
      </c>
    </row>
    <row r="752">
      <c r="A752" s="2" t="s">
        <v>30286</v>
      </c>
      <c r="B752" s="10" t="s">
        <v>30290</v>
      </c>
      <c r="C752" s="2">
        <v>4.7464017207E10</v>
      </c>
      <c r="D752" s="2" t="s">
        <v>30291</v>
      </c>
      <c r="E752" s="2">
        <v>82580.0</v>
      </c>
      <c r="F752" s="2">
        <v>329.0</v>
      </c>
      <c r="G752" s="2">
        <v>168.0</v>
      </c>
      <c r="H752" s="2" t="s">
        <v>5906</v>
      </c>
      <c r="I752" s="2" t="s">
        <v>5906</v>
      </c>
      <c r="J752" s="2" t="s">
        <v>12030</v>
      </c>
      <c r="K752" s="2" t="s">
        <v>30292</v>
      </c>
      <c r="L752" s="10" t="s">
        <v>30293</v>
      </c>
    </row>
    <row r="753">
      <c r="A753" s="2" t="s">
        <v>30294</v>
      </c>
      <c r="B753" s="2" t="s">
        <v>30295</v>
      </c>
      <c r="C753" s="2">
        <v>4.6401370565E10</v>
      </c>
      <c r="D753" s="2" t="s">
        <v>30296</v>
      </c>
      <c r="E753" s="2">
        <v>19202.0</v>
      </c>
      <c r="F753" s="2">
        <v>556.0</v>
      </c>
      <c r="G753" s="2">
        <v>13775.0</v>
      </c>
      <c r="H753" s="2" t="s">
        <v>5905</v>
      </c>
      <c r="I753" s="2" t="s">
        <v>5906</v>
      </c>
      <c r="J753" s="2" t="s">
        <v>8518</v>
      </c>
      <c r="K753" s="2" t="s">
        <v>30297</v>
      </c>
      <c r="L753" s="10" t="s">
        <v>30298</v>
      </c>
    </row>
    <row r="754">
      <c r="A754" s="2" t="s">
        <v>30299</v>
      </c>
      <c r="B754" s="2" t="s">
        <v>30300</v>
      </c>
      <c r="C754" s="2">
        <v>3.549671794E9</v>
      </c>
      <c r="D754" s="2" t="s">
        <v>30301</v>
      </c>
      <c r="E754" s="2">
        <v>15434.0</v>
      </c>
      <c r="F754" s="2">
        <v>5640.0</v>
      </c>
      <c r="G754" s="2">
        <v>2129.0</v>
      </c>
      <c r="H754" s="2" t="s">
        <v>5905</v>
      </c>
      <c r="I754" s="2" t="s">
        <v>5906</v>
      </c>
      <c r="J754" s="2" t="s">
        <v>6002</v>
      </c>
      <c r="K754" s="2" t="s">
        <v>30302</v>
      </c>
    </row>
    <row r="755">
      <c r="A755" s="2" t="s">
        <v>30299</v>
      </c>
      <c r="B755" s="2" t="s">
        <v>30303</v>
      </c>
      <c r="C755" s="2">
        <v>4.8404239855E10</v>
      </c>
      <c r="D755" s="2" t="s">
        <v>30304</v>
      </c>
      <c r="E755" s="2">
        <v>18155.0</v>
      </c>
      <c r="F755" s="2">
        <v>12.0</v>
      </c>
      <c r="G755" s="2">
        <v>50.0</v>
      </c>
      <c r="H755" s="2" t="s">
        <v>5905</v>
      </c>
      <c r="I755" s="2" t="s">
        <v>5906</v>
      </c>
      <c r="J755" s="2" t="s">
        <v>5963</v>
      </c>
      <c r="K755" s="2" t="s">
        <v>30305</v>
      </c>
      <c r="L755" s="10" t="s">
        <v>30306</v>
      </c>
    </row>
    <row r="756">
      <c r="A756" s="2" t="s">
        <v>30307</v>
      </c>
      <c r="B756" s="2" t="s">
        <v>30308</v>
      </c>
      <c r="C756" s="2">
        <v>6.2169140932E10</v>
      </c>
      <c r="D756" s="2" t="s">
        <v>30309</v>
      </c>
      <c r="E756" s="2">
        <v>10507.0</v>
      </c>
      <c r="F756" s="2">
        <v>39.0</v>
      </c>
      <c r="G756" s="2">
        <v>181.0</v>
      </c>
      <c r="H756" s="2" t="s">
        <v>5905</v>
      </c>
      <c r="I756" s="2" t="s">
        <v>5906</v>
      </c>
      <c r="J756" s="2" t="s">
        <v>5963</v>
      </c>
      <c r="K756" s="2" t="s">
        <v>30310</v>
      </c>
      <c r="L756" s="10" t="s">
        <v>30311</v>
      </c>
    </row>
    <row r="757">
      <c r="A757" s="2" t="s">
        <v>30312</v>
      </c>
      <c r="B757" s="2" t="s">
        <v>30313</v>
      </c>
      <c r="C757" s="2">
        <v>7.890828153E9</v>
      </c>
      <c r="D757" s="2" t="s">
        <v>30314</v>
      </c>
      <c r="E757" s="2">
        <v>174562.0</v>
      </c>
      <c r="F757" s="2">
        <v>1.0</v>
      </c>
      <c r="G757" s="2">
        <v>23916.0</v>
      </c>
      <c r="H757" s="2" t="s">
        <v>5905</v>
      </c>
      <c r="I757" s="2" t="s">
        <v>5906</v>
      </c>
      <c r="J757" s="2" t="s">
        <v>5963</v>
      </c>
      <c r="K757" s="2" t="s">
        <v>30315</v>
      </c>
    </row>
    <row r="758">
      <c r="A758" s="2" t="s">
        <v>30316</v>
      </c>
      <c r="B758" s="2" t="s">
        <v>30317</v>
      </c>
      <c r="C758" s="2">
        <v>2.307768216E9</v>
      </c>
      <c r="D758" s="2" t="s">
        <v>30318</v>
      </c>
      <c r="E758" s="2">
        <v>85156.0</v>
      </c>
      <c r="F758" s="2">
        <v>216.0</v>
      </c>
      <c r="G758" s="2">
        <v>1721.0</v>
      </c>
      <c r="H758" s="2" t="s">
        <v>5905</v>
      </c>
      <c r="I758" s="2" t="s">
        <v>5906</v>
      </c>
      <c r="J758" s="2" t="s">
        <v>6393</v>
      </c>
      <c r="K758" s="2" t="s">
        <v>30319</v>
      </c>
    </row>
    <row r="759">
      <c r="A759" s="2" t="s">
        <v>30320</v>
      </c>
      <c r="B759" s="2" t="s">
        <v>30321</v>
      </c>
      <c r="C759" s="2">
        <v>1.347295171E9</v>
      </c>
      <c r="D759" s="2" t="s">
        <v>30322</v>
      </c>
      <c r="E759" s="2">
        <v>34270.0</v>
      </c>
      <c r="F759" s="2">
        <v>170.0</v>
      </c>
      <c r="G759" s="2">
        <v>4108.0</v>
      </c>
      <c r="H759" s="2" t="s">
        <v>5905</v>
      </c>
      <c r="I759" s="2" t="s">
        <v>5906</v>
      </c>
      <c r="J759" s="2" t="s">
        <v>5963</v>
      </c>
      <c r="K759" s="2" t="s">
        <v>30323</v>
      </c>
      <c r="L759" s="10" t="s">
        <v>30324</v>
      </c>
    </row>
    <row r="760">
      <c r="A760" s="2" t="s">
        <v>30325</v>
      </c>
      <c r="B760" s="2" t="s">
        <v>30326</v>
      </c>
      <c r="C760" s="2">
        <v>2.228872107E9</v>
      </c>
      <c r="D760" s="2" t="s">
        <v>30327</v>
      </c>
      <c r="E760" s="2">
        <v>23113.0</v>
      </c>
      <c r="F760" s="2">
        <v>91.0</v>
      </c>
      <c r="G760" s="2">
        <v>165.0</v>
      </c>
      <c r="H760" s="2" t="s">
        <v>5905</v>
      </c>
      <c r="I760" s="2" t="s">
        <v>5906</v>
      </c>
      <c r="J760" s="2" t="s">
        <v>12715</v>
      </c>
      <c r="K760" s="2" t="s">
        <v>30328</v>
      </c>
      <c r="L760" s="10" t="s">
        <v>30329</v>
      </c>
    </row>
    <row r="761">
      <c r="A761" s="2" t="s">
        <v>30330</v>
      </c>
      <c r="B761" s="2" t="s">
        <v>26045</v>
      </c>
      <c r="C761" s="2">
        <v>4.048776208E9</v>
      </c>
      <c r="D761" s="2" t="s">
        <v>26046</v>
      </c>
      <c r="E761" s="2">
        <v>15192.0</v>
      </c>
      <c r="F761" s="2">
        <v>2301.0</v>
      </c>
      <c r="G761" s="2">
        <v>1395.0</v>
      </c>
      <c r="H761" s="2" t="s">
        <v>5905</v>
      </c>
      <c r="I761" s="2" t="s">
        <v>5906</v>
      </c>
      <c r="J761" s="2" t="s">
        <v>6166</v>
      </c>
      <c r="K761" s="2" t="s">
        <v>26047</v>
      </c>
      <c r="L761" s="10" t="s">
        <v>26048</v>
      </c>
    </row>
    <row r="762">
      <c r="A762" s="2" t="s">
        <v>30331</v>
      </c>
      <c r="B762" s="10" t="s">
        <v>28592</v>
      </c>
      <c r="C762" s="2">
        <v>1.0423295356E10</v>
      </c>
      <c r="D762" s="2" t="s">
        <v>28593</v>
      </c>
      <c r="E762" s="2">
        <v>10429.0</v>
      </c>
      <c r="F762" s="2">
        <v>1614.0</v>
      </c>
      <c r="G762" s="2">
        <v>463.0</v>
      </c>
      <c r="H762" s="2" t="s">
        <v>5905</v>
      </c>
      <c r="I762" s="2" t="s">
        <v>5906</v>
      </c>
      <c r="J762" s="2" t="s">
        <v>5963</v>
      </c>
      <c r="K762" s="2" t="s">
        <v>28594</v>
      </c>
      <c r="L762" s="10" t="s">
        <v>28595</v>
      </c>
    </row>
    <row r="763">
      <c r="A763" s="2" t="s">
        <v>30331</v>
      </c>
      <c r="B763" s="2" t="s">
        <v>28596</v>
      </c>
      <c r="C763" s="2">
        <v>3.616441964E9</v>
      </c>
      <c r="D763" s="2" t="s">
        <v>28597</v>
      </c>
      <c r="E763" s="2">
        <v>17762.0</v>
      </c>
      <c r="F763" s="2">
        <v>1890.0</v>
      </c>
      <c r="G763" s="2">
        <v>434.0</v>
      </c>
      <c r="H763" s="2" t="s">
        <v>5905</v>
      </c>
      <c r="I763" s="2" t="s">
        <v>5905</v>
      </c>
      <c r="K763" s="2" t="s">
        <v>28598</v>
      </c>
      <c r="L763" s="10" t="s">
        <v>28599</v>
      </c>
    </row>
    <row r="764">
      <c r="A764" s="2" t="s">
        <v>30332</v>
      </c>
      <c r="B764" s="2" t="s">
        <v>30333</v>
      </c>
      <c r="C764" s="2">
        <v>5.1917157045E10</v>
      </c>
      <c r="D764" s="2" t="s">
        <v>30334</v>
      </c>
      <c r="E764" s="2">
        <v>12317.0</v>
      </c>
      <c r="F764" s="2">
        <v>2991.0</v>
      </c>
      <c r="G764" s="2">
        <v>913.0</v>
      </c>
      <c r="H764" s="2" t="s">
        <v>5905</v>
      </c>
      <c r="I764" s="2" t="s">
        <v>5905</v>
      </c>
      <c r="J764" s="2" t="s">
        <v>6166</v>
      </c>
      <c r="K764" s="2" t="s">
        <v>30335</v>
      </c>
      <c r="L764" s="10" t="s">
        <v>30336</v>
      </c>
    </row>
    <row r="765">
      <c r="A765" s="2" t="s">
        <v>30337</v>
      </c>
      <c r="B765" s="2" t="s">
        <v>30338</v>
      </c>
      <c r="C765" s="2">
        <v>1.100900272E9</v>
      </c>
      <c r="D765" s="2" t="s">
        <v>30339</v>
      </c>
      <c r="E765" s="2">
        <v>98285.0</v>
      </c>
      <c r="F765" s="2">
        <v>864.0</v>
      </c>
      <c r="G765" s="2">
        <v>21628.0</v>
      </c>
      <c r="H765" s="2" t="s">
        <v>5905</v>
      </c>
      <c r="I765" s="2" t="s">
        <v>5905</v>
      </c>
      <c r="J765" s="2" t="s">
        <v>9815</v>
      </c>
      <c r="K765" s="2" t="s">
        <v>30340</v>
      </c>
      <c r="L765" s="10" t="s">
        <v>30341</v>
      </c>
    </row>
    <row r="766">
      <c r="A766" s="2" t="s">
        <v>30342</v>
      </c>
      <c r="B766" s="2" t="s">
        <v>30343</v>
      </c>
      <c r="C766" s="2">
        <v>8.01712379E9</v>
      </c>
      <c r="D766" s="2" t="s">
        <v>30344</v>
      </c>
      <c r="E766" s="2">
        <v>77572.0</v>
      </c>
      <c r="F766" s="2">
        <v>6883.0</v>
      </c>
      <c r="G766" s="2">
        <v>2840.0</v>
      </c>
      <c r="H766" s="2" t="s">
        <v>5905</v>
      </c>
      <c r="I766" s="2" t="s">
        <v>5906</v>
      </c>
      <c r="J766" s="2" t="s">
        <v>7669</v>
      </c>
      <c r="K766" s="2" t="s">
        <v>30345</v>
      </c>
    </row>
    <row r="767">
      <c r="A767" s="2" t="s">
        <v>30346</v>
      </c>
      <c r="B767" s="2" t="s">
        <v>30347</v>
      </c>
      <c r="C767" s="2">
        <v>3.232500569E9</v>
      </c>
      <c r="D767" s="2" t="s">
        <v>30348</v>
      </c>
      <c r="E767" s="2">
        <v>17368.0</v>
      </c>
      <c r="F767" s="2">
        <v>2132.0</v>
      </c>
      <c r="G767" s="2">
        <v>46.0</v>
      </c>
      <c r="H767" s="2" t="s">
        <v>5905</v>
      </c>
      <c r="I767" s="2" t="s">
        <v>5906</v>
      </c>
      <c r="J767" s="2" t="s">
        <v>11675</v>
      </c>
      <c r="K767" s="2" t="s">
        <v>30349</v>
      </c>
      <c r="L767" s="10" t="s">
        <v>30350</v>
      </c>
    </row>
    <row r="768">
      <c r="A768" s="2" t="s">
        <v>30351</v>
      </c>
      <c r="B768" s="10" t="s">
        <v>30214</v>
      </c>
      <c r="C768" s="2">
        <v>4.20831938E9</v>
      </c>
      <c r="D768" s="2" t="s">
        <v>30215</v>
      </c>
      <c r="E768" s="2">
        <v>15055.0</v>
      </c>
      <c r="F768" s="2">
        <v>7428.0</v>
      </c>
      <c r="G768" s="2">
        <v>992.0</v>
      </c>
      <c r="H768" s="2" t="s">
        <v>5905</v>
      </c>
      <c r="I768" s="2" t="s">
        <v>5906</v>
      </c>
      <c r="J768" s="2" t="s">
        <v>5959</v>
      </c>
      <c r="K768" s="2" t="s">
        <v>30216</v>
      </c>
    </row>
    <row r="769">
      <c r="A769" s="2" t="s">
        <v>30352</v>
      </c>
      <c r="B769" s="2" t="s">
        <v>30353</v>
      </c>
      <c r="C769" s="2">
        <v>6.6131471765E10</v>
      </c>
      <c r="D769" s="2" t="s">
        <v>30354</v>
      </c>
      <c r="E769" s="2">
        <v>17550.0</v>
      </c>
      <c r="F769" s="2">
        <v>613.0</v>
      </c>
      <c r="G769" s="2">
        <v>338.0</v>
      </c>
      <c r="H769" s="2" t="s">
        <v>5905</v>
      </c>
      <c r="I769" s="2" t="s">
        <v>5906</v>
      </c>
      <c r="J769" s="2" t="s">
        <v>5959</v>
      </c>
      <c r="K769" s="2" t="s">
        <v>30355</v>
      </c>
    </row>
    <row r="770">
      <c r="A770" s="2" t="s">
        <v>30356</v>
      </c>
      <c r="B770" s="2" t="s">
        <v>30357</v>
      </c>
      <c r="C770" s="2">
        <v>5.3199112197E10</v>
      </c>
      <c r="D770" s="2" t="s">
        <v>30358</v>
      </c>
      <c r="E770" s="2">
        <v>14646.0</v>
      </c>
      <c r="F770" s="2">
        <v>40.0</v>
      </c>
      <c r="G770" s="2">
        <v>19.0</v>
      </c>
      <c r="H770" s="2" t="s">
        <v>5905</v>
      </c>
      <c r="I770" s="2" t="s">
        <v>5906</v>
      </c>
      <c r="J770" s="2" t="s">
        <v>6166</v>
      </c>
      <c r="K770" s="2" t="s">
        <v>30359</v>
      </c>
      <c r="L770" s="10" t="s">
        <v>30360</v>
      </c>
    </row>
    <row r="771">
      <c r="A771" s="2" t="s">
        <v>30356</v>
      </c>
      <c r="B771" s="2" t="s">
        <v>30361</v>
      </c>
      <c r="C771" s="2">
        <v>3.9307172622E10</v>
      </c>
      <c r="D771" s="2" t="s">
        <v>30362</v>
      </c>
      <c r="E771" s="2">
        <v>12841.0</v>
      </c>
      <c r="F771" s="2">
        <v>597.0</v>
      </c>
      <c r="G771" s="2">
        <v>447.0</v>
      </c>
      <c r="H771" s="2" t="s">
        <v>5905</v>
      </c>
      <c r="I771" s="2" t="s">
        <v>5906</v>
      </c>
      <c r="J771" s="2" t="s">
        <v>5391</v>
      </c>
      <c r="K771" s="2" t="s">
        <v>30363</v>
      </c>
      <c r="L771" s="10" t="s">
        <v>30364</v>
      </c>
    </row>
    <row r="772">
      <c r="A772" s="2" t="s">
        <v>30365</v>
      </c>
      <c r="B772" s="2" t="s">
        <v>30366</v>
      </c>
      <c r="C772" s="2">
        <v>4.045632736E9</v>
      </c>
      <c r="D772" s="2" t="s">
        <v>30367</v>
      </c>
      <c r="E772" s="2">
        <v>15350.0</v>
      </c>
      <c r="F772" s="2">
        <v>8.0</v>
      </c>
      <c r="G772" s="2">
        <v>874.0</v>
      </c>
      <c r="H772" s="2" t="s">
        <v>5905</v>
      </c>
      <c r="I772" s="2" t="s">
        <v>5906</v>
      </c>
      <c r="J772" s="2" t="s">
        <v>11675</v>
      </c>
      <c r="K772" s="12" t="s">
        <v>30368</v>
      </c>
    </row>
    <row r="773">
      <c r="A773" s="2" t="s">
        <v>30369</v>
      </c>
      <c r="B773" s="2" t="s">
        <v>30370</v>
      </c>
      <c r="C773" s="2">
        <v>1.7281093281E10</v>
      </c>
      <c r="D773" s="2" t="s">
        <v>30371</v>
      </c>
      <c r="E773" s="2">
        <v>53066.0</v>
      </c>
      <c r="F773" s="2">
        <v>1.0</v>
      </c>
      <c r="G773" s="2">
        <v>2025.0</v>
      </c>
      <c r="H773" s="2" t="s">
        <v>5905</v>
      </c>
      <c r="I773" s="2" t="s">
        <v>5906</v>
      </c>
      <c r="J773" s="2" t="s">
        <v>7414</v>
      </c>
      <c r="K773" s="2" t="s">
        <v>30372</v>
      </c>
      <c r="L773" s="10" t="s">
        <v>30373</v>
      </c>
    </row>
    <row r="774">
      <c r="A774" s="2" t="s">
        <v>30369</v>
      </c>
      <c r="B774" s="2" t="s">
        <v>30374</v>
      </c>
      <c r="C774" s="2">
        <v>1.807268124E9</v>
      </c>
      <c r="D774" s="2" t="s">
        <v>30375</v>
      </c>
      <c r="E774" s="2">
        <v>13843.0</v>
      </c>
      <c r="F774" s="2">
        <v>2025.0</v>
      </c>
      <c r="G774" s="2">
        <v>1901.0</v>
      </c>
      <c r="H774" s="2" t="s">
        <v>5906</v>
      </c>
      <c r="I774" s="2" t="s">
        <v>5906</v>
      </c>
      <c r="J774" s="2" t="s">
        <v>17753</v>
      </c>
      <c r="K774" s="2" t="s">
        <v>30376</v>
      </c>
      <c r="L774" s="10" t="s">
        <v>30377</v>
      </c>
    </row>
    <row r="775">
      <c r="A775" s="2" t="s">
        <v>30369</v>
      </c>
      <c r="B775" s="2" t="s">
        <v>30378</v>
      </c>
      <c r="C775" s="2">
        <v>7.451319753E9</v>
      </c>
      <c r="D775" s="2" t="s">
        <v>30379</v>
      </c>
      <c r="E775" s="2">
        <v>11410.0</v>
      </c>
      <c r="F775" s="2">
        <v>152.0</v>
      </c>
      <c r="G775" s="2">
        <v>29.0</v>
      </c>
      <c r="H775" s="2" t="s">
        <v>5905</v>
      </c>
      <c r="I775" s="2" t="s">
        <v>5905</v>
      </c>
      <c r="J775" s="2" t="s">
        <v>17753</v>
      </c>
      <c r="K775" s="2" t="s">
        <v>30380</v>
      </c>
      <c r="L775" s="10" t="s">
        <v>30381</v>
      </c>
    </row>
    <row r="776">
      <c r="A776" s="2" t="s">
        <v>30382</v>
      </c>
      <c r="B776" s="2" t="s">
        <v>30383</v>
      </c>
      <c r="C776" s="2">
        <v>3.817279999E10</v>
      </c>
      <c r="D776" s="2" t="s">
        <v>30384</v>
      </c>
      <c r="E776" s="2">
        <v>16403.0</v>
      </c>
      <c r="F776" s="2">
        <v>1685.0</v>
      </c>
      <c r="G776" s="2">
        <v>1005.0</v>
      </c>
      <c r="H776" s="2" t="s">
        <v>5905</v>
      </c>
      <c r="I776" s="2" t="s">
        <v>5906</v>
      </c>
      <c r="J776" s="2" t="s">
        <v>17753</v>
      </c>
      <c r="K776" s="2" t="s">
        <v>30385</v>
      </c>
      <c r="L776" s="10" t="s">
        <v>30386</v>
      </c>
    </row>
    <row r="777">
      <c r="A777" s="2" t="s">
        <v>30387</v>
      </c>
      <c r="B777" s="2" t="s">
        <v>30388</v>
      </c>
      <c r="C777" s="2">
        <v>2056351.0</v>
      </c>
      <c r="D777" s="2" t="s">
        <v>30389</v>
      </c>
      <c r="E777" s="2">
        <v>66436.0</v>
      </c>
      <c r="F777" s="2">
        <v>6433.0</v>
      </c>
      <c r="G777" s="2">
        <v>1427.0</v>
      </c>
      <c r="H777" s="2" t="s">
        <v>5905</v>
      </c>
      <c r="I777" s="2" t="s">
        <v>5905</v>
      </c>
      <c r="J777" s="2" t="s">
        <v>5959</v>
      </c>
      <c r="K777" s="2" t="s">
        <v>30390</v>
      </c>
      <c r="L777" s="10" t="s">
        <v>30391</v>
      </c>
    </row>
    <row r="778">
      <c r="A778" s="2" t="s">
        <v>30387</v>
      </c>
      <c r="B778" s="2" t="s">
        <v>30392</v>
      </c>
      <c r="C778" s="2">
        <v>3.71654154E8</v>
      </c>
      <c r="D778" s="2" t="s">
        <v>30393</v>
      </c>
      <c r="E778" s="2">
        <v>15170.0</v>
      </c>
      <c r="F778" s="2">
        <v>2484.0</v>
      </c>
      <c r="G778" s="2">
        <v>1706.0</v>
      </c>
      <c r="H778" s="2" t="s">
        <v>5905</v>
      </c>
      <c r="I778" s="2" t="s">
        <v>5905</v>
      </c>
      <c r="J778" s="2" t="s">
        <v>5968</v>
      </c>
      <c r="K778" s="2" t="s">
        <v>30394</v>
      </c>
      <c r="L778" s="10" t="s">
        <v>30395</v>
      </c>
    </row>
    <row r="779">
      <c r="A779" s="2" t="s">
        <v>30396</v>
      </c>
      <c r="B779" s="2" t="s">
        <v>30397</v>
      </c>
      <c r="C779" s="2">
        <v>7.494627223E9</v>
      </c>
      <c r="D779" s="2" t="s">
        <v>30398</v>
      </c>
      <c r="E779" s="2">
        <v>22978.0</v>
      </c>
      <c r="F779" s="2">
        <v>349.0</v>
      </c>
      <c r="G779" s="2">
        <v>4829.0</v>
      </c>
      <c r="H779" s="2" t="s">
        <v>5905</v>
      </c>
      <c r="I779" s="2" t="s">
        <v>5905</v>
      </c>
      <c r="J779" s="2" t="s">
        <v>7809</v>
      </c>
      <c r="K779" s="2" t="s">
        <v>30399</v>
      </c>
      <c r="L779" s="10" t="s">
        <v>30400</v>
      </c>
    </row>
    <row r="780">
      <c r="A780" s="2" t="s">
        <v>30401</v>
      </c>
      <c r="B780" s="2" t="s">
        <v>30402</v>
      </c>
      <c r="C780" s="2">
        <v>2.1446030235E10</v>
      </c>
      <c r="D780" s="2" t="s">
        <v>30403</v>
      </c>
      <c r="E780" s="2">
        <v>12429.0</v>
      </c>
      <c r="F780" s="2">
        <v>604.0</v>
      </c>
      <c r="G780" s="2">
        <v>359.0</v>
      </c>
      <c r="H780" s="2" t="s">
        <v>5905</v>
      </c>
      <c r="I780" s="2" t="s">
        <v>5905</v>
      </c>
      <c r="J780" s="2" t="s">
        <v>13199</v>
      </c>
      <c r="K780" s="2" t="s">
        <v>30404</v>
      </c>
    </row>
    <row r="781">
      <c r="A781" s="2" t="s">
        <v>30405</v>
      </c>
      <c r="B781" s="2" t="s">
        <v>30406</v>
      </c>
      <c r="C781" s="2">
        <v>6.75896637E8</v>
      </c>
      <c r="D781" s="2" t="s">
        <v>30407</v>
      </c>
      <c r="E781" s="2">
        <v>27853.0</v>
      </c>
      <c r="F781" s="2">
        <v>7499.0</v>
      </c>
      <c r="G781" s="2">
        <v>3544.0</v>
      </c>
      <c r="H781" s="2" t="s">
        <v>5906</v>
      </c>
      <c r="I781" s="2" t="s">
        <v>5905</v>
      </c>
      <c r="J781" s="2" t="s">
        <v>6166</v>
      </c>
      <c r="K781" s="2" t="s">
        <v>30408</v>
      </c>
      <c r="L781" s="10" t="s">
        <v>30409</v>
      </c>
    </row>
    <row r="782">
      <c r="A782" s="2" t="s">
        <v>30410</v>
      </c>
      <c r="B782" s="2" t="s">
        <v>30411</v>
      </c>
      <c r="C782" s="2">
        <v>3.9934778024E10</v>
      </c>
      <c r="D782" s="2" t="s">
        <v>30412</v>
      </c>
      <c r="E782" s="2">
        <v>14642.0</v>
      </c>
      <c r="F782" s="2">
        <v>7.0</v>
      </c>
      <c r="G782" s="2">
        <v>268.0</v>
      </c>
      <c r="H782" s="2" t="s">
        <v>5906</v>
      </c>
      <c r="I782" s="2" t="s">
        <v>5906</v>
      </c>
      <c r="J782" s="2" t="s">
        <v>30413</v>
      </c>
      <c r="K782" s="2" t="s">
        <v>30414</v>
      </c>
    </row>
    <row r="783">
      <c r="A783" s="2" t="s">
        <v>30410</v>
      </c>
      <c r="B783" s="2" t="s">
        <v>30415</v>
      </c>
      <c r="C783" s="2">
        <v>4.9814444E8</v>
      </c>
      <c r="D783" s="2" t="s">
        <v>30416</v>
      </c>
      <c r="E783" s="2">
        <v>129339.0</v>
      </c>
      <c r="F783" s="2">
        <v>326.0</v>
      </c>
      <c r="G783" s="2">
        <v>6399.0</v>
      </c>
      <c r="H783" s="2" t="s">
        <v>5905</v>
      </c>
      <c r="I783" s="2" t="s">
        <v>5906</v>
      </c>
      <c r="J783" s="2" t="s">
        <v>24636</v>
      </c>
      <c r="K783" s="2" t="s">
        <v>30417</v>
      </c>
      <c r="L783" s="10" t="s">
        <v>30418</v>
      </c>
    </row>
    <row r="784">
      <c r="A784" s="2" t="s">
        <v>30410</v>
      </c>
      <c r="B784" s="2" t="s">
        <v>30419</v>
      </c>
      <c r="C784" s="2">
        <v>6.25991519E9</v>
      </c>
      <c r="D784" s="2" t="s">
        <v>30420</v>
      </c>
      <c r="E784" s="2">
        <v>10798.0</v>
      </c>
      <c r="F784" s="2">
        <v>2243.0</v>
      </c>
      <c r="G784" s="2">
        <v>2097.0</v>
      </c>
      <c r="H784" s="2" t="s">
        <v>5905</v>
      </c>
      <c r="I784" s="2" t="s">
        <v>5906</v>
      </c>
      <c r="J784" s="2" t="s">
        <v>7296</v>
      </c>
      <c r="K784" s="2" t="s">
        <v>30421</v>
      </c>
      <c r="L784" s="10" t="s">
        <v>30422</v>
      </c>
    </row>
    <row r="785">
      <c r="A785" s="2" t="s">
        <v>30410</v>
      </c>
      <c r="B785" s="2" t="s">
        <v>30423</v>
      </c>
      <c r="C785" s="2">
        <v>6.8499601034E10</v>
      </c>
      <c r="D785" s="2" t="s">
        <v>30424</v>
      </c>
      <c r="E785" s="2">
        <v>15018.0</v>
      </c>
      <c r="F785" s="2">
        <v>6.0</v>
      </c>
      <c r="G785" s="2">
        <v>210.0</v>
      </c>
      <c r="H785" s="2" t="s">
        <v>5905</v>
      </c>
      <c r="I785" s="2" t="s">
        <v>5906</v>
      </c>
      <c r="J785" s="2" t="s">
        <v>7296</v>
      </c>
      <c r="K785" s="2" t="s">
        <v>30425</v>
      </c>
      <c r="L785" s="10" t="s">
        <v>30426</v>
      </c>
    </row>
    <row r="786">
      <c r="A786" s="2" t="s">
        <v>30410</v>
      </c>
      <c r="B786" s="2" t="s">
        <v>30427</v>
      </c>
      <c r="C786" s="2">
        <v>5.1316190328E10</v>
      </c>
      <c r="D786" s="2" t="s">
        <v>30428</v>
      </c>
      <c r="E786" s="2">
        <v>52914.0</v>
      </c>
      <c r="F786" s="2">
        <v>663.0</v>
      </c>
      <c r="G786" s="2">
        <v>55.0</v>
      </c>
      <c r="H786" s="2" t="s">
        <v>5905</v>
      </c>
      <c r="I786" s="2" t="s">
        <v>5905</v>
      </c>
      <c r="J786" s="2" t="s">
        <v>6002</v>
      </c>
      <c r="K786" s="2" t="s">
        <v>30429</v>
      </c>
    </row>
    <row r="787">
      <c r="A787" s="2" t="s">
        <v>30410</v>
      </c>
      <c r="B787" s="2" t="s">
        <v>30430</v>
      </c>
      <c r="C787" s="2">
        <v>1.45137021E9</v>
      </c>
      <c r="D787" s="2" t="s">
        <v>30431</v>
      </c>
      <c r="E787" s="2">
        <v>299251.0</v>
      </c>
      <c r="F787" s="2">
        <v>1436.0</v>
      </c>
      <c r="G787" s="2">
        <v>2301.0</v>
      </c>
      <c r="H787" s="2" t="s">
        <v>5906</v>
      </c>
      <c r="I787" s="2" t="s">
        <v>5906</v>
      </c>
      <c r="J787" s="2" t="s">
        <v>7431</v>
      </c>
      <c r="K787" s="2" t="s">
        <v>30432</v>
      </c>
      <c r="L787" s="10" t="s">
        <v>30433</v>
      </c>
    </row>
    <row r="788">
      <c r="A788" s="2" t="s">
        <v>30410</v>
      </c>
      <c r="B788" s="2" t="s">
        <v>30434</v>
      </c>
      <c r="C788" s="2">
        <v>1.7451545152E10</v>
      </c>
      <c r="D788" s="2" t="s">
        <v>30435</v>
      </c>
      <c r="E788" s="2">
        <v>230875.0</v>
      </c>
      <c r="F788" s="2">
        <v>237.0</v>
      </c>
      <c r="G788" s="2">
        <v>564.0</v>
      </c>
      <c r="H788" s="2" t="s">
        <v>5905</v>
      </c>
      <c r="I788" s="2" t="s">
        <v>5906</v>
      </c>
      <c r="J788" s="2" t="s">
        <v>22572</v>
      </c>
      <c r="K788" s="2" t="s">
        <v>30436</v>
      </c>
      <c r="L788" s="10" t="s">
        <v>30437</v>
      </c>
    </row>
    <row r="789">
      <c r="A789" s="2" t="s">
        <v>30410</v>
      </c>
      <c r="B789" s="2" t="s">
        <v>30438</v>
      </c>
      <c r="C789" s="2">
        <v>2.7966281434E10</v>
      </c>
      <c r="D789" s="2" t="s">
        <v>30439</v>
      </c>
      <c r="E789" s="2">
        <v>96066.0</v>
      </c>
      <c r="F789" s="2">
        <v>0.0</v>
      </c>
      <c r="G789" s="2">
        <v>252.0</v>
      </c>
      <c r="H789" s="2" t="s">
        <v>5906</v>
      </c>
      <c r="I789" s="2" t="s">
        <v>5906</v>
      </c>
      <c r="J789" s="2" t="s">
        <v>22487</v>
      </c>
      <c r="K789" s="2" t="s">
        <v>30440</v>
      </c>
      <c r="L789" s="10" t="s">
        <v>30441</v>
      </c>
    </row>
    <row r="790">
      <c r="A790" s="2" t="s">
        <v>30442</v>
      </c>
      <c r="B790" s="2" t="s">
        <v>30443</v>
      </c>
      <c r="C790" s="2">
        <v>6.5803837616E10</v>
      </c>
      <c r="D790" s="2" t="s">
        <v>30444</v>
      </c>
      <c r="E790" s="2">
        <v>14977.0</v>
      </c>
      <c r="F790" s="2">
        <v>0.0</v>
      </c>
      <c r="G790" s="2">
        <v>198.0</v>
      </c>
      <c r="H790" s="2" t="s">
        <v>5905</v>
      </c>
      <c r="I790" s="2" t="s">
        <v>5905</v>
      </c>
      <c r="J790" s="2" t="s">
        <v>5928</v>
      </c>
      <c r="K790" s="2" t="s">
        <v>30445</v>
      </c>
    </row>
    <row r="791">
      <c r="A791" s="2" t="s">
        <v>30442</v>
      </c>
      <c r="B791" s="2" t="s">
        <v>30446</v>
      </c>
      <c r="C791" s="2">
        <v>4.949264862E10</v>
      </c>
      <c r="D791" s="2" t="s">
        <v>30447</v>
      </c>
      <c r="E791" s="2">
        <v>14344.0</v>
      </c>
      <c r="F791" s="2">
        <v>325.0</v>
      </c>
      <c r="G791" s="2">
        <v>634.0</v>
      </c>
      <c r="H791" s="2" t="s">
        <v>5905</v>
      </c>
      <c r="I791" s="2" t="s">
        <v>5905</v>
      </c>
      <c r="J791" s="2" t="s">
        <v>7414</v>
      </c>
      <c r="K791" s="2" t="s">
        <v>30448</v>
      </c>
      <c r="L791" s="10" t="s">
        <v>30449</v>
      </c>
    </row>
    <row r="792">
      <c r="A792" s="2" t="s">
        <v>30442</v>
      </c>
      <c r="B792" s="2" t="s">
        <v>30450</v>
      </c>
      <c r="C792" s="2">
        <v>4.956664462E10</v>
      </c>
      <c r="D792" s="2" t="s">
        <v>30451</v>
      </c>
      <c r="E792" s="2">
        <v>47144.0</v>
      </c>
      <c r="F792" s="2">
        <v>72.0</v>
      </c>
      <c r="G792" s="2">
        <v>228.0</v>
      </c>
      <c r="H792" s="2" t="s">
        <v>5905</v>
      </c>
      <c r="I792" s="2" t="s">
        <v>5906</v>
      </c>
      <c r="J792" s="2" t="s">
        <v>24519</v>
      </c>
      <c r="K792" s="2" t="s">
        <v>30452</v>
      </c>
    </row>
    <row r="793">
      <c r="A793" s="2" t="s">
        <v>30453</v>
      </c>
      <c r="B793" s="10" t="s">
        <v>30454</v>
      </c>
      <c r="C793" s="2">
        <v>1.250943824E10</v>
      </c>
      <c r="D793" s="2" t="s">
        <v>30455</v>
      </c>
      <c r="E793" s="2">
        <v>101188.0</v>
      </c>
      <c r="F793" s="2">
        <v>951.0</v>
      </c>
      <c r="G793" s="2">
        <v>779.0</v>
      </c>
      <c r="H793" s="2" t="s">
        <v>5905</v>
      </c>
      <c r="I793" s="2" t="s">
        <v>5905</v>
      </c>
      <c r="J793" s="2" t="s">
        <v>27365</v>
      </c>
      <c r="K793" s="2" t="s">
        <v>30456</v>
      </c>
    </row>
    <row r="794">
      <c r="A794" s="2" t="s">
        <v>30453</v>
      </c>
      <c r="B794" s="2" t="s">
        <v>30457</v>
      </c>
      <c r="C794" s="2">
        <v>4.1769875E7</v>
      </c>
      <c r="D794" s="2" t="s">
        <v>30458</v>
      </c>
      <c r="E794" s="2">
        <v>115573.0</v>
      </c>
      <c r="F794" s="2">
        <v>5099.0</v>
      </c>
      <c r="G794" s="2">
        <v>4595.0</v>
      </c>
      <c r="H794" s="2" t="s">
        <v>5905</v>
      </c>
      <c r="I794" s="2" t="s">
        <v>5906</v>
      </c>
      <c r="J794" s="2" t="s">
        <v>5391</v>
      </c>
      <c r="K794" s="2" t="s">
        <v>30459</v>
      </c>
    </row>
    <row r="795">
      <c r="A795" s="2" t="s">
        <v>30460</v>
      </c>
      <c r="B795" s="2" t="s">
        <v>30461</v>
      </c>
      <c r="C795" s="2">
        <v>2.10655573E8</v>
      </c>
      <c r="D795" s="2" t="s">
        <v>30462</v>
      </c>
      <c r="E795" s="2">
        <v>19980.0</v>
      </c>
      <c r="F795" s="2">
        <v>771.0</v>
      </c>
      <c r="G795" s="2">
        <v>743.0</v>
      </c>
      <c r="H795" s="2" t="s">
        <v>5906</v>
      </c>
      <c r="I795" s="2" t="s">
        <v>5906</v>
      </c>
      <c r="J795" s="2" t="s">
        <v>20428</v>
      </c>
      <c r="K795" s="2" t="s">
        <v>30463</v>
      </c>
      <c r="L795" s="10" t="s">
        <v>30464</v>
      </c>
    </row>
    <row r="796">
      <c r="A796" s="2" t="s">
        <v>30460</v>
      </c>
      <c r="B796" s="2" t="s">
        <v>30465</v>
      </c>
      <c r="C796" s="2">
        <v>3.5062357E8</v>
      </c>
      <c r="D796" s="2" t="s">
        <v>30466</v>
      </c>
      <c r="E796" s="2">
        <v>13243.0</v>
      </c>
      <c r="F796" s="2">
        <v>1124.0</v>
      </c>
      <c r="G796" s="2">
        <v>793.0</v>
      </c>
      <c r="H796" s="2" t="s">
        <v>5905</v>
      </c>
      <c r="I796" s="2" t="s">
        <v>5906</v>
      </c>
      <c r="J796" s="2" t="s">
        <v>5391</v>
      </c>
      <c r="K796" s="2" t="s">
        <v>30467</v>
      </c>
      <c r="L796" s="10" t="s">
        <v>30468</v>
      </c>
    </row>
    <row r="797">
      <c r="A797" s="2" t="s">
        <v>30460</v>
      </c>
      <c r="B797" s="2" t="s">
        <v>22448</v>
      </c>
      <c r="C797" s="2">
        <v>5.0691022637E10</v>
      </c>
      <c r="D797" s="2" t="s">
        <v>22449</v>
      </c>
      <c r="E797" s="2">
        <v>12488.0</v>
      </c>
      <c r="F797" s="2">
        <v>637.0</v>
      </c>
      <c r="G797" s="2">
        <v>59.0</v>
      </c>
      <c r="H797" s="2" t="s">
        <v>5906</v>
      </c>
      <c r="I797" s="2" t="s">
        <v>5905</v>
      </c>
      <c r="J797" s="2" t="s">
        <v>8455</v>
      </c>
      <c r="K797" s="2" t="s">
        <v>22450</v>
      </c>
      <c r="L797" s="10" t="s">
        <v>22451</v>
      </c>
    </row>
    <row r="798">
      <c r="A798" s="2" t="s">
        <v>30469</v>
      </c>
      <c r="B798" s="2" t="s">
        <v>30470</v>
      </c>
      <c r="C798" s="2">
        <v>3.152403651E9</v>
      </c>
      <c r="D798" s="2" t="s">
        <v>30471</v>
      </c>
      <c r="E798" s="2">
        <v>18288.0</v>
      </c>
      <c r="F798" s="2">
        <v>5090.0</v>
      </c>
      <c r="G798" s="2">
        <v>805.0</v>
      </c>
      <c r="H798" s="2" t="s">
        <v>5905</v>
      </c>
      <c r="I798" s="2" t="s">
        <v>5906</v>
      </c>
      <c r="K798" s="2" t="s">
        <v>30472</v>
      </c>
      <c r="L798" s="10" t="s">
        <v>30473</v>
      </c>
    </row>
    <row r="799">
      <c r="A799" s="2" t="s">
        <v>30469</v>
      </c>
      <c r="B799" s="2" t="s">
        <v>30474</v>
      </c>
      <c r="C799" s="2">
        <v>5.3712104E7</v>
      </c>
      <c r="D799" s="2" t="s">
        <v>30475</v>
      </c>
      <c r="E799" s="2">
        <v>53197.0</v>
      </c>
      <c r="F799" s="2">
        <v>7497.0</v>
      </c>
      <c r="G799" s="2">
        <v>4135.0</v>
      </c>
      <c r="H799" s="2" t="s">
        <v>5905</v>
      </c>
      <c r="I799" s="2" t="s">
        <v>5905</v>
      </c>
      <c r="J799" s="2" t="s">
        <v>6393</v>
      </c>
      <c r="K799" s="2" t="s">
        <v>30476</v>
      </c>
    </row>
    <row r="800">
      <c r="A800" s="2" t="s">
        <v>30477</v>
      </c>
      <c r="B800" s="2" t="s">
        <v>30478</v>
      </c>
      <c r="C800" s="2">
        <v>1.4510675837E10</v>
      </c>
      <c r="D800" s="2" t="s">
        <v>30479</v>
      </c>
      <c r="E800" s="2">
        <v>19016.0</v>
      </c>
      <c r="F800" s="2">
        <v>1224.0</v>
      </c>
      <c r="G800" s="2">
        <v>1116.0</v>
      </c>
      <c r="H800" s="2" t="s">
        <v>5906</v>
      </c>
      <c r="I800" s="2" t="s">
        <v>5905</v>
      </c>
      <c r="J800" s="2" t="s">
        <v>14778</v>
      </c>
      <c r="K800" s="2" t="s">
        <v>30480</v>
      </c>
      <c r="L800" s="10" t="s">
        <v>30481</v>
      </c>
    </row>
    <row r="801">
      <c r="A801" s="2" t="s">
        <v>30477</v>
      </c>
      <c r="B801" s="2" t="s">
        <v>30482</v>
      </c>
      <c r="C801" s="2">
        <v>6.5526933291E10</v>
      </c>
      <c r="D801" s="2" t="s">
        <v>30483</v>
      </c>
      <c r="E801" s="2">
        <v>10065.0</v>
      </c>
      <c r="F801" s="2">
        <v>181.0</v>
      </c>
      <c r="G801" s="2">
        <v>112.0</v>
      </c>
      <c r="H801" s="2" t="s">
        <v>5906</v>
      </c>
      <c r="I801" s="2" t="s">
        <v>5906</v>
      </c>
      <c r="J801" s="2" t="s">
        <v>14778</v>
      </c>
      <c r="K801" s="2" t="s">
        <v>30484</v>
      </c>
    </row>
    <row r="802">
      <c r="A802" s="2" t="s">
        <v>30477</v>
      </c>
      <c r="B802" s="2" t="s">
        <v>30485</v>
      </c>
      <c r="C802" s="2">
        <v>4.458429537E9</v>
      </c>
      <c r="D802" s="2" t="s">
        <v>30486</v>
      </c>
      <c r="E802" s="2">
        <v>13543.0</v>
      </c>
      <c r="F802" s="2">
        <v>1465.0</v>
      </c>
      <c r="G802" s="2">
        <v>1101.0</v>
      </c>
      <c r="H802" s="2" t="s">
        <v>5905</v>
      </c>
      <c r="I802" s="2" t="s">
        <v>5906</v>
      </c>
      <c r="J802" s="2" t="s">
        <v>5993</v>
      </c>
      <c r="K802" s="2" t="s">
        <v>30487</v>
      </c>
    </row>
    <row r="803">
      <c r="A803" s="2" t="s">
        <v>30488</v>
      </c>
      <c r="B803" s="2" t="s">
        <v>30489</v>
      </c>
      <c r="C803" s="2">
        <v>2.0770843777E10</v>
      </c>
      <c r="D803" s="2" t="s">
        <v>30490</v>
      </c>
      <c r="E803" s="2">
        <v>15468.0</v>
      </c>
      <c r="F803" s="2">
        <v>50.0</v>
      </c>
      <c r="G803" s="2">
        <v>442.0</v>
      </c>
      <c r="H803" s="2" t="s">
        <v>5905</v>
      </c>
      <c r="I803" s="2" t="s">
        <v>5905</v>
      </c>
      <c r="J803" s="2" t="s">
        <v>14778</v>
      </c>
      <c r="K803" s="2" t="s">
        <v>30491</v>
      </c>
    </row>
    <row r="804">
      <c r="A804" s="2" t="s">
        <v>30488</v>
      </c>
      <c r="B804" s="2" t="s">
        <v>30492</v>
      </c>
      <c r="C804" s="2">
        <v>4.104046167E9</v>
      </c>
      <c r="D804" s="2" t="s">
        <v>30493</v>
      </c>
      <c r="E804" s="2">
        <v>70664.0</v>
      </c>
      <c r="F804" s="2">
        <v>384.0</v>
      </c>
      <c r="G804" s="2">
        <v>2095.0</v>
      </c>
      <c r="H804" s="2" t="s">
        <v>5906</v>
      </c>
      <c r="I804" s="2" t="s">
        <v>5905</v>
      </c>
      <c r="J804" s="2" t="s">
        <v>14778</v>
      </c>
      <c r="K804" s="2" t="s">
        <v>30494</v>
      </c>
      <c r="L804" s="10" t="s">
        <v>30495</v>
      </c>
    </row>
    <row r="805">
      <c r="A805" s="2" t="s">
        <v>30488</v>
      </c>
      <c r="B805" s="2" t="s">
        <v>30496</v>
      </c>
      <c r="C805" s="2">
        <v>4.914468055E9</v>
      </c>
      <c r="D805" s="2" t="s">
        <v>30497</v>
      </c>
      <c r="E805" s="2">
        <v>36417.0</v>
      </c>
      <c r="F805" s="2">
        <v>778.0</v>
      </c>
      <c r="G805" s="2">
        <v>1417.0</v>
      </c>
      <c r="H805" s="2" t="s">
        <v>5905</v>
      </c>
      <c r="I805" s="2" t="s">
        <v>5905</v>
      </c>
      <c r="J805" s="2" t="s">
        <v>5959</v>
      </c>
      <c r="K805" s="2" t="s">
        <v>30498</v>
      </c>
    </row>
    <row r="806">
      <c r="A806" s="2" t="s">
        <v>30488</v>
      </c>
      <c r="B806" s="2" t="s">
        <v>30499</v>
      </c>
      <c r="C806" s="2">
        <v>6.1444892212E10</v>
      </c>
      <c r="D806" s="2" t="s">
        <v>30500</v>
      </c>
      <c r="E806" s="2">
        <v>21871.0</v>
      </c>
      <c r="F806" s="2">
        <v>120.0</v>
      </c>
      <c r="G806" s="2">
        <v>656.0</v>
      </c>
      <c r="H806" s="2" t="s">
        <v>5905</v>
      </c>
      <c r="I806" s="2" t="s">
        <v>5905</v>
      </c>
      <c r="J806" s="2" t="s">
        <v>14778</v>
      </c>
      <c r="K806" s="2" t="s">
        <v>30501</v>
      </c>
    </row>
    <row r="807">
      <c r="A807" s="2" t="s">
        <v>30502</v>
      </c>
      <c r="B807" s="2" t="s">
        <v>30503</v>
      </c>
      <c r="C807" s="2">
        <v>1.519824868E9</v>
      </c>
      <c r="D807" s="2" t="s">
        <v>30504</v>
      </c>
      <c r="E807" s="2">
        <v>14480.0</v>
      </c>
      <c r="F807" s="2">
        <v>640.0</v>
      </c>
      <c r="G807" s="2">
        <v>356.0</v>
      </c>
      <c r="H807" s="2" t="s">
        <v>5905</v>
      </c>
      <c r="I807" s="2" t="s">
        <v>5905</v>
      </c>
      <c r="J807" s="2" t="s">
        <v>5391</v>
      </c>
      <c r="K807" s="2" t="s">
        <v>30505</v>
      </c>
      <c r="L807" s="10" t="s">
        <v>30506</v>
      </c>
    </row>
    <row r="808">
      <c r="A808" s="2" t="s">
        <v>30507</v>
      </c>
      <c r="B808" s="2" t="s">
        <v>30508</v>
      </c>
      <c r="C808" s="2">
        <v>6.039660948E9</v>
      </c>
      <c r="D808" s="2" t="s">
        <v>30509</v>
      </c>
      <c r="E808" s="2">
        <v>14448.0</v>
      </c>
      <c r="F808" s="2">
        <v>1485.0</v>
      </c>
      <c r="G808" s="2">
        <v>3224.0</v>
      </c>
      <c r="H808" s="2" t="s">
        <v>5905</v>
      </c>
      <c r="I808" s="2" t="s">
        <v>5905</v>
      </c>
      <c r="J808" s="2" t="s">
        <v>14778</v>
      </c>
      <c r="K808" s="2" t="s">
        <v>30510</v>
      </c>
      <c r="L808" s="10" t="s">
        <v>30511</v>
      </c>
    </row>
    <row r="809">
      <c r="A809" s="2" t="s">
        <v>30512</v>
      </c>
      <c r="B809" s="2" t="s">
        <v>30513</v>
      </c>
      <c r="C809" s="2">
        <v>3.941419738E9</v>
      </c>
      <c r="D809" s="2" t="s">
        <v>30514</v>
      </c>
      <c r="E809" s="2">
        <v>26656.0</v>
      </c>
      <c r="F809" s="2">
        <v>3352.0</v>
      </c>
      <c r="G809" s="2">
        <v>2306.0</v>
      </c>
      <c r="H809" s="2" t="s">
        <v>5905</v>
      </c>
      <c r="I809" s="2" t="s">
        <v>5906</v>
      </c>
      <c r="K809" s="2" t="s">
        <v>30515</v>
      </c>
    </row>
    <row r="810">
      <c r="A810" s="2" t="s">
        <v>30516</v>
      </c>
      <c r="B810" s="2" t="s">
        <v>30478</v>
      </c>
      <c r="C810" s="2">
        <v>1.4510675837E10</v>
      </c>
      <c r="D810" s="2" t="s">
        <v>30479</v>
      </c>
      <c r="E810" s="2">
        <v>19016.0</v>
      </c>
      <c r="F810" s="2">
        <v>1224.0</v>
      </c>
      <c r="G810" s="2">
        <v>1116.0</v>
      </c>
      <c r="H810" s="2" t="s">
        <v>5906</v>
      </c>
      <c r="I810" s="2" t="s">
        <v>5905</v>
      </c>
      <c r="J810" s="2" t="s">
        <v>14778</v>
      </c>
      <c r="K810" s="2" t="s">
        <v>30480</v>
      </c>
      <c r="L810" s="10" t="s">
        <v>30481</v>
      </c>
    </row>
    <row r="811">
      <c r="A811" s="2" t="s">
        <v>30516</v>
      </c>
      <c r="B811" s="2" t="s">
        <v>30517</v>
      </c>
      <c r="C811" s="2">
        <v>5.5346195E8</v>
      </c>
      <c r="D811" s="2" t="s">
        <v>30518</v>
      </c>
      <c r="E811" s="2">
        <v>21995.0</v>
      </c>
      <c r="F811" s="2">
        <v>1692.0</v>
      </c>
      <c r="G811" s="2">
        <v>3458.0</v>
      </c>
      <c r="H811" s="2" t="s">
        <v>5905</v>
      </c>
      <c r="I811" s="2" t="s">
        <v>5906</v>
      </c>
      <c r="J811" s="2" t="s">
        <v>5993</v>
      </c>
      <c r="K811" s="2" t="s">
        <v>30519</v>
      </c>
      <c r="L811" s="10" t="s">
        <v>30520</v>
      </c>
    </row>
    <row r="812">
      <c r="A812" s="2" t="s">
        <v>30516</v>
      </c>
      <c r="B812" s="2" t="s">
        <v>30521</v>
      </c>
      <c r="C812" s="2">
        <v>9.757361631E9</v>
      </c>
      <c r="D812" s="2" t="s">
        <v>30522</v>
      </c>
      <c r="E812" s="2">
        <v>32491.0</v>
      </c>
      <c r="F812" s="2">
        <v>641.0</v>
      </c>
      <c r="G812" s="2">
        <v>1255.0</v>
      </c>
      <c r="H812" s="2" t="s">
        <v>5906</v>
      </c>
      <c r="I812" s="2" t="s">
        <v>5905</v>
      </c>
      <c r="J812" s="2" t="s">
        <v>14778</v>
      </c>
      <c r="K812" s="2" t="s">
        <v>30523</v>
      </c>
    </row>
    <row r="813">
      <c r="A813" s="2" t="s">
        <v>30516</v>
      </c>
      <c r="B813" s="2" t="s">
        <v>30524</v>
      </c>
      <c r="C813" s="2">
        <v>4.3842962365E10</v>
      </c>
      <c r="D813" s="2" t="s">
        <v>30525</v>
      </c>
      <c r="E813" s="2">
        <v>36487.0</v>
      </c>
      <c r="F813" s="2">
        <v>2229.0</v>
      </c>
      <c r="G813" s="2">
        <v>1794.0</v>
      </c>
      <c r="H813" s="2" t="s">
        <v>5905</v>
      </c>
      <c r="I813" s="2" t="s">
        <v>5905</v>
      </c>
      <c r="J813" s="2" t="s">
        <v>14778</v>
      </c>
      <c r="K813" s="2" t="s">
        <v>30526</v>
      </c>
    </row>
    <row r="814">
      <c r="A814" s="2" t="s">
        <v>30516</v>
      </c>
      <c r="B814" s="2" t="s">
        <v>30485</v>
      </c>
      <c r="C814" s="2">
        <v>4.458429537E9</v>
      </c>
      <c r="D814" s="2" t="s">
        <v>30486</v>
      </c>
      <c r="E814" s="2">
        <v>13543.0</v>
      </c>
      <c r="F814" s="2">
        <v>1465.0</v>
      </c>
      <c r="G814" s="2">
        <v>1101.0</v>
      </c>
      <c r="H814" s="2" t="s">
        <v>5905</v>
      </c>
      <c r="I814" s="2" t="s">
        <v>5906</v>
      </c>
      <c r="J814" s="2" t="s">
        <v>5993</v>
      </c>
      <c r="K814" s="2" t="s">
        <v>30487</v>
      </c>
    </row>
    <row r="815">
      <c r="A815" s="2" t="s">
        <v>30527</v>
      </c>
      <c r="B815" s="2" t="s">
        <v>30528</v>
      </c>
      <c r="C815" s="2">
        <v>5.936165492E9</v>
      </c>
      <c r="D815" s="2" t="s">
        <v>30529</v>
      </c>
      <c r="E815" s="2">
        <v>27441.0</v>
      </c>
      <c r="F815" s="2">
        <v>991.0</v>
      </c>
      <c r="G815" s="2">
        <v>388.0</v>
      </c>
      <c r="H815" s="2" t="s">
        <v>5906</v>
      </c>
      <c r="I815" s="2" t="s">
        <v>5906</v>
      </c>
      <c r="J815" s="2" t="s">
        <v>5391</v>
      </c>
      <c r="K815" s="2" t="s">
        <v>30530</v>
      </c>
    </row>
    <row r="816">
      <c r="A816" s="2" t="s">
        <v>30527</v>
      </c>
      <c r="B816" s="2" t="s">
        <v>30531</v>
      </c>
      <c r="C816" s="2">
        <v>4.816971531E9</v>
      </c>
      <c r="D816" s="2" t="s">
        <v>30532</v>
      </c>
      <c r="E816" s="2">
        <v>57605.0</v>
      </c>
      <c r="F816" s="2">
        <v>2952.0</v>
      </c>
      <c r="G816" s="2">
        <v>4377.0</v>
      </c>
      <c r="H816" s="2" t="s">
        <v>5905</v>
      </c>
      <c r="I816" s="2" t="s">
        <v>5905</v>
      </c>
      <c r="J816" s="2" t="s">
        <v>14778</v>
      </c>
      <c r="K816" s="2" t="s">
        <v>30533</v>
      </c>
    </row>
    <row r="817">
      <c r="A817" s="2" t="s">
        <v>30527</v>
      </c>
      <c r="B817" s="2" t="s">
        <v>30534</v>
      </c>
      <c r="C817" s="2">
        <v>1.2510079399E10</v>
      </c>
      <c r="D817" s="2" t="s">
        <v>30535</v>
      </c>
      <c r="E817" s="2">
        <v>31293.0</v>
      </c>
      <c r="F817" s="2">
        <v>65.0</v>
      </c>
      <c r="G817" s="2">
        <v>1679.0</v>
      </c>
      <c r="H817" s="2" t="s">
        <v>5906</v>
      </c>
      <c r="I817" s="2" t="s">
        <v>5905</v>
      </c>
      <c r="J817" s="2" t="s">
        <v>23820</v>
      </c>
      <c r="K817" s="2" t="s">
        <v>30536</v>
      </c>
    </row>
    <row r="818">
      <c r="A818" s="2" t="s">
        <v>30527</v>
      </c>
      <c r="B818" s="2" t="s">
        <v>30537</v>
      </c>
      <c r="C818" s="2">
        <v>7.77550443E9</v>
      </c>
      <c r="D818" s="2" t="s">
        <v>30538</v>
      </c>
      <c r="E818" s="2">
        <v>25880.0</v>
      </c>
      <c r="F818" s="2">
        <v>84.0</v>
      </c>
      <c r="G818" s="2">
        <v>281.0</v>
      </c>
      <c r="H818" s="2" t="s">
        <v>5905</v>
      </c>
      <c r="I818" s="2" t="s">
        <v>5906</v>
      </c>
      <c r="J818" s="2" t="s">
        <v>5993</v>
      </c>
      <c r="K818" s="2" t="s">
        <v>30539</v>
      </c>
    </row>
    <row r="819">
      <c r="A819" s="2" t="s">
        <v>30527</v>
      </c>
      <c r="B819" s="2" t="s">
        <v>30540</v>
      </c>
      <c r="C819" s="2">
        <v>3.888392434E9</v>
      </c>
      <c r="D819" s="2" t="s">
        <v>30541</v>
      </c>
      <c r="E819" s="2">
        <v>11740.0</v>
      </c>
      <c r="F819" s="2">
        <v>1739.0</v>
      </c>
      <c r="G819" s="2">
        <v>780.0</v>
      </c>
      <c r="H819" s="2" t="s">
        <v>5905</v>
      </c>
      <c r="I819" s="2" t="s">
        <v>5906</v>
      </c>
      <c r="J819" s="2" t="s">
        <v>5993</v>
      </c>
      <c r="K819" s="2" t="s">
        <v>30542</v>
      </c>
    </row>
    <row r="820">
      <c r="A820" s="2" t="s">
        <v>30527</v>
      </c>
      <c r="B820" s="2" t="s">
        <v>30543</v>
      </c>
      <c r="C820" s="2">
        <v>1.478189207E9</v>
      </c>
      <c r="D820" s="2" t="s">
        <v>30544</v>
      </c>
      <c r="E820" s="2">
        <v>22198.0</v>
      </c>
      <c r="F820" s="2">
        <v>1884.0</v>
      </c>
      <c r="G820" s="2">
        <v>1592.0</v>
      </c>
      <c r="H820" s="2" t="s">
        <v>5906</v>
      </c>
      <c r="I820" s="2" t="s">
        <v>5905</v>
      </c>
      <c r="J820" s="2" t="s">
        <v>5391</v>
      </c>
      <c r="K820" s="2" t="s">
        <v>30545</v>
      </c>
    </row>
    <row r="821">
      <c r="A821" s="2" t="s">
        <v>30527</v>
      </c>
      <c r="B821" s="2" t="s">
        <v>30546</v>
      </c>
      <c r="C821" s="2">
        <v>7.617165443E9</v>
      </c>
      <c r="D821" s="2" t="s">
        <v>30547</v>
      </c>
      <c r="E821" s="2">
        <v>12884.0</v>
      </c>
      <c r="F821" s="2">
        <v>2316.0</v>
      </c>
      <c r="G821" s="2">
        <v>592.0</v>
      </c>
      <c r="H821" s="2" t="s">
        <v>5906</v>
      </c>
      <c r="I821" s="2" t="s">
        <v>5905</v>
      </c>
      <c r="J821" s="2" t="s">
        <v>14778</v>
      </c>
      <c r="K821" s="2" t="s">
        <v>30548</v>
      </c>
    </row>
    <row r="822">
      <c r="A822" s="2" t="s">
        <v>30549</v>
      </c>
      <c r="B822" s="2" t="s">
        <v>30503</v>
      </c>
      <c r="C822" s="2">
        <v>1.519824868E9</v>
      </c>
      <c r="D822" s="2" t="s">
        <v>30504</v>
      </c>
      <c r="E822" s="2">
        <v>14480.0</v>
      </c>
      <c r="F822" s="2">
        <v>640.0</v>
      </c>
      <c r="G822" s="2">
        <v>356.0</v>
      </c>
      <c r="H822" s="2" t="s">
        <v>5905</v>
      </c>
      <c r="I822" s="2" t="s">
        <v>5905</v>
      </c>
      <c r="J822" s="2" t="s">
        <v>5391</v>
      </c>
      <c r="K822" s="2" t="s">
        <v>30505</v>
      </c>
      <c r="L822" s="10" t="s">
        <v>30506</v>
      </c>
    </row>
    <row r="823">
      <c r="A823" s="2" t="s">
        <v>30549</v>
      </c>
      <c r="B823" s="2" t="s">
        <v>30550</v>
      </c>
      <c r="C823" s="2">
        <v>3.0275768E8</v>
      </c>
      <c r="D823" s="2" t="s">
        <v>30551</v>
      </c>
      <c r="E823" s="2">
        <v>56650.0</v>
      </c>
      <c r="F823" s="2">
        <v>1495.0</v>
      </c>
      <c r="G823" s="2">
        <v>529.0</v>
      </c>
      <c r="H823" s="2" t="s">
        <v>5906</v>
      </c>
      <c r="I823" s="2" t="s">
        <v>5905</v>
      </c>
      <c r="J823" s="2" t="s">
        <v>7414</v>
      </c>
      <c r="K823" s="2" t="s">
        <v>30552</v>
      </c>
      <c r="L823" s="10" t="s">
        <v>30553</v>
      </c>
    </row>
    <row r="824">
      <c r="A824" s="2" t="s">
        <v>30549</v>
      </c>
      <c r="B824" s="2" t="s">
        <v>30554</v>
      </c>
      <c r="C824" s="2">
        <v>1.98743762E8</v>
      </c>
      <c r="D824" s="2" t="s">
        <v>30555</v>
      </c>
      <c r="E824" s="2">
        <v>111788.0</v>
      </c>
      <c r="F824" s="2">
        <v>537.0</v>
      </c>
      <c r="G824" s="2">
        <v>3130.0</v>
      </c>
      <c r="H824" s="2" t="s">
        <v>5905</v>
      </c>
      <c r="I824" s="2" t="s">
        <v>5906</v>
      </c>
      <c r="J824" s="2" t="s">
        <v>5492</v>
      </c>
      <c r="K824" s="2" t="s">
        <v>30556</v>
      </c>
    </row>
    <row r="825">
      <c r="A825" s="2" t="s">
        <v>30549</v>
      </c>
      <c r="B825" s="2" t="s">
        <v>30557</v>
      </c>
      <c r="C825" s="2">
        <v>1.99067248E8</v>
      </c>
      <c r="D825" s="2" t="s">
        <v>30558</v>
      </c>
      <c r="E825" s="2">
        <v>90056.0</v>
      </c>
      <c r="F825" s="2">
        <v>368.0</v>
      </c>
      <c r="G825" s="2">
        <v>762.0</v>
      </c>
      <c r="H825" s="2" t="s">
        <v>5905</v>
      </c>
      <c r="I825" s="2" t="s">
        <v>5905</v>
      </c>
      <c r="J825" s="2" t="s">
        <v>14778</v>
      </c>
      <c r="K825" s="2" t="s">
        <v>30559</v>
      </c>
      <c r="L825" s="10" t="s">
        <v>30560</v>
      </c>
    </row>
    <row r="826">
      <c r="A826" s="2" t="s">
        <v>30561</v>
      </c>
      <c r="B826" s="2" t="s">
        <v>30562</v>
      </c>
      <c r="C826" s="2">
        <v>1.900145885E9</v>
      </c>
      <c r="D826" s="2" t="s">
        <v>30563</v>
      </c>
      <c r="E826" s="2">
        <v>10875.0</v>
      </c>
      <c r="F826" s="2">
        <v>1537.0</v>
      </c>
      <c r="G826" s="2">
        <v>294.0</v>
      </c>
      <c r="H826" s="2" t="s">
        <v>5905</v>
      </c>
      <c r="I826" s="2" t="s">
        <v>5905</v>
      </c>
      <c r="J826" s="2" t="s">
        <v>14778</v>
      </c>
      <c r="K826" s="2" t="s">
        <v>30564</v>
      </c>
    </row>
    <row r="827">
      <c r="A827" s="2" t="s">
        <v>30561</v>
      </c>
      <c r="B827" s="2" t="s">
        <v>30565</v>
      </c>
      <c r="C827" s="2">
        <v>5.526618306E9</v>
      </c>
      <c r="D827" s="2" t="s">
        <v>30566</v>
      </c>
      <c r="E827" s="2">
        <v>46654.0</v>
      </c>
      <c r="F827" s="2">
        <v>931.0</v>
      </c>
      <c r="G827" s="2">
        <v>331.0</v>
      </c>
      <c r="H827" s="2" t="s">
        <v>5906</v>
      </c>
      <c r="I827" s="2" t="s">
        <v>5905</v>
      </c>
      <c r="J827" s="2" t="s">
        <v>14778</v>
      </c>
      <c r="K827" s="2" t="s">
        <v>30567</v>
      </c>
      <c r="L827" s="10" t="s">
        <v>30568</v>
      </c>
    </row>
    <row r="828">
      <c r="A828" s="2" t="s">
        <v>30561</v>
      </c>
      <c r="B828" s="2" t="s">
        <v>30569</v>
      </c>
      <c r="C828" s="2">
        <v>1.1618000355E10</v>
      </c>
      <c r="D828" s="2" t="s">
        <v>30570</v>
      </c>
      <c r="E828" s="2">
        <v>11328.0</v>
      </c>
      <c r="F828" s="2">
        <v>1272.0</v>
      </c>
      <c r="G828" s="2">
        <v>373.0</v>
      </c>
      <c r="H828" s="2" t="s">
        <v>5905</v>
      </c>
      <c r="I828" s="2" t="s">
        <v>5906</v>
      </c>
      <c r="J828" s="2" t="s">
        <v>14778</v>
      </c>
      <c r="K828" s="2" t="s">
        <v>30571</v>
      </c>
    </row>
    <row r="829">
      <c r="A829" s="2" t="s">
        <v>30572</v>
      </c>
      <c r="B829" s="2" t="s">
        <v>30573</v>
      </c>
      <c r="C829" s="2">
        <v>3.11412239E8</v>
      </c>
      <c r="D829" s="2" t="s">
        <v>30574</v>
      </c>
      <c r="E829" s="2">
        <v>82389.0</v>
      </c>
      <c r="F829" s="2">
        <v>622.0</v>
      </c>
      <c r="G829" s="2">
        <v>4619.0</v>
      </c>
      <c r="H829" s="2" t="s">
        <v>5906</v>
      </c>
      <c r="I829" s="2" t="s">
        <v>5906</v>
      </c>
      <c r="J829" s="2" t="s">
        <v>5561</v>
      </c>
      <c r="K829" s="2" t="s">
        <v>30575</v>
      </c>
      <c r="L829" s="10" t="s">
        <v>30576</v>
      </c>
    </row>
    <row r="830">
      <c r="A830" s="2" t="s">
        <v>30572</v>
      </c>
      <c r="B830" s="2" t="s">
        <v>30577</v>
      </c>
      <c r="C830" s="2">
        <v>3.3306863E8</v>
      </c>
      <c r="D830" s="2" t="s">
        <v>30578</v>
      </c>
      <c r="E830" s="2">
        <v>14009.0</v>
      </c>
      <c r="F830" s="2">
        <v>838.0</v>
      </c>
      <c r="G830" s="2">
        <v>707.0</v>
      </c>
      <c r="H830" s="2" t="s">
        <v>5905</v>
      </c>
      <c r="I830" s="2" t="s">
        <v>5906</v>
      </c>
      <c r="J830" s="2" t="s">
        <v>5391</v>
      </c>
      <c r="K830" s="2" t="s">
        <v>30579</v>
      </c>
      <c r="L830" s="10" t="s">
        <v>30580</v>
      </c>
    </row>
    <row r="831">
      <c r="A831" s="2" t="s">
        <v>30581</v>
      </c>
      <c r="B831" s="2" t="s">
        <v>30582</v>
      </c>
      <c r="C831" s="2">
        <v>2.6718759214E10</v>
      </c>
      <c r="D831" s="2" t="s">
        <v>30583</v>
      </c>
      <c r="E831" s="2">
        <v>29487.0</v>
      </c>
      <c r="F831" s="2">
        <v>37.0</v>
      </c>
      <c r="G831" s="2">
        <v>302.0</v>
      </c>
      <c r="H831" s="2" t="s">
        <v>5905</v>
      </c>
      <c r="I831" s="2" t="s">
        <v>5905</v>
      </c>
      <c r="J831" s="2" t="s">
        <v>6166</v>
      </c>
      <c r="K831" s="2" t="s">
        <v>30584</v>
      </c>
    </row>
    <row r="832">
      <c r="A832" s="2" t="s">
        <v>30581</v>
      </c>
      <c r="B832" s="2" t="s">
        <v>30585</v>
      </c>
      <c r="C832" s="2">
        <v>5.8471384286E10</v>
      </c>
      <c r="D832" s="2" t="s">
        <v>30586</v>
      </c>
      <c r="E832" s="2">
        <v>33795.0</v>
      </c>
      <c r="F832" s="2">
        <v>11.0</v>
      </c>
      <c r="G832" s="2">
        <v>166.0</v>
      </c>
      <c r="H832" s="2" t="s">
        <v>5906</v>
      </c>
      <c r="I832" s="2" t="s">
        <v>5905</v>
      </c>
      <c r="J832" s="2" t="s">
        <v>5963</v>
      </c>
      <c r="K832" s="2" t="s">
        <v>30587</v>
      </c>
      <c r="L832" s="10" t="s">
        <v>30588</v>
      </c>
    </row>
    <row r="833">
      <c r="A833" s="2" t="s">
        <v>30589</v>
      </c>
      <c r="B833" s="2" t="s">
        <v>30590</v>
      </c>
      <c r="C833" s="2">
        <v>2.97946377E8</v>
      </c>
      <c r="D833" s="2" t="s">
        <v>30591</v>
      </c>
      <c r="E833" s="2">
        <v>13962.0</v>
      </c>
      <c r="F833" s="2">
        <v>756.0</v>
      </c>
      <c r="G833" s="2">
        <v>4230.0</v>
      </c>
      <c r="H833" s="2" t="s">
        <v>5906</v>
      </c>
      <c r="I833" s="2" t="s">
        <v>5905</v>
      </c>
      <c r="J833" s="2" t="s">
        <v>6393</v>
      </c>
      <c r="K833" s="2" t="s">
        <v>30592</v>
      </c>
      <c r="L833" s="10" t="s">
        <v>30593</v>
      </c>
    </row>
    <row r="834">
      <c r="A834" s="2" t="s">
        <v>30594</v>
      </c>
      <c r="B834" s="2" t="s">
        <v>30595</v>
      </c>
      <c r="C834" s="2">
        <v>4.528284253E10</v>
      </c>
      <c r="D834" s="2" t="s">
        <v>30596</v>
      </c>
      <c r="E834" s="2">
        <v>28425.0</v>
      </c>
      <c r="F834" s="2">
        <v>2287.0</v>
      </c>
      <c r="G834" s="2">
        <v>858.0</v>
      </c>
      <c r="H834" s="2" t="s">
        <v>5906</v>
      </c>
      <c r="I834" s="2" t="s">
        <v>5905</v>
      </c>
      <c r="J834" s="2" t="s">
        <v>6166</v>
      </c>
      <c r="K834" s="2" t="s">
        <v>30597</v>
      </c>
      <c r="L834" s="10" t="s">
        <v>30598</v>
      </c>
    </row>
    <row r="835">
      <c r="A835" s="2" t="s">
        <v>30594</v>
      </c>
      <c r="B835" s="2" t="s">
        <v>30599</v>
      </c>
      <c r="C835" s="2">
        <v>5.739723702E9</v>
      </c>
      <c r="D835" s="2" t="s">
        <v>30600</v>
      </c>
      <c r="E835" s="2">
        <v>19433.0</v>
      </c>
      <c r="F835" s="2">
        <v>420.0</v>
      </c>
      <c r="G835" s="2">
        <v>429.0</v>
      </c>
      <c r="H835" s="2" t="s">
        <v>5905</v>
      </c>
      <c r="I835" s="2" t="s">
        <v>5906</v>
      </c>
      <c r="J835" s="2" t="s">
        <v>5391</v>
      </c>
      <c r="K835" s="12" t="s">
        <v>30601</v>
      </c>
      <c r="L835" s="10" t="s">
        <v>30602</v>
      </c>
    </row>
    <row r="836">
      <c r="A836" s="2" t="s">
        <v>30603</v>
      </c>
      <c r="B836" s="10" t="s">
        <v>30604</v>
      </c>
      <c r="C836" s="2">
        <v>8.074772149E9</v>
      </c>
      <c r="D836" s="2" t="s">
        <v>30605</v>
      </c>
      <c r="E836" s="2">
        <v>11259.0</v>
      </c>
      <c r="F836" s="2">
        <v>115.0</v>
      </c>
      <c r="G836" s="2">
        <v>321.0</v>
      </c>
      <c r="H836" s="2" t="s">
        <v>5906</v>
      </c>
      <c r="I836" s="2" t="s">
        <v>5906</v>
      </c>
      <c r="J836" s="2" t="s">
        <v>16170</v>
      </c>
      <c r="K836" s="2" t="s">
        <v>30606</v>
      </c>
      <c r="L836" s="10" t="s">
        <v>30607</v>
      </c>
    </row>
    <row r="837">
      <c r="A837" s="2" t="s">
        <v>30608</v>
      </c>
      <c r="B837" s="2" t="s">
        <v>30609</v>
      </c>
      <c r="C837" s="2">
        <v>5.5505678846E10</v>
      </c>
      <c r="D837" s="2" t="s">
        <v>30610</v>
      </c>
      <c r="E837" s="2">
        <v>11653.0</v>
      </c>
      <c r="F837" s="2">
        <v>1292.0</v>
      </c>
      <c r="G837" s="2">
        <v>298.0</v>
      </c>
      <c r="H837" s="2" t="s">
        <v>5905</v>
      </c>
      <c r="I837" s="2" t="s">
        <v>5905</v>
      </c>
      <c r="J837" s="2" t="s">
        <v>27384</v>
      </c>
      <c r="K837" s="2" t="s">
        <v>30611</v>
      </c>
      <c r="L837" s="10" t="s">
        <v>30612</v>
      </c>
    </row>
    <row r="838">
      <c r="A838" s="2" t="s">
        <v>30608</v>
      </c>
      <c r="B838" s="2" t="s">
        <v>30613</v>
      </c>
      <c r="C838" s="2">
        <v>2.2492069785E10</v>
      </c>
      <c r="D838" s="2" t="s">
        <v>30614</v>
      </c>
      <c r="E838" s="2">
        <v>12210.0</v>
      </c>
      <c r="F838" s="2">
        <v>605.0</v>
      </c>
      <c r="G838" s="2">
        <v>758.0</v>
      </c>
      <c r="H838" s="2" t="s">
        <v>5906</v>
      </c>
      <c r="I838" s="2" t="s">
        <v>5906</v>
      </c>
      <c r="J838" s="2" t="s">
        <v>7414</v>
      </c>
      <c r="K838" s="2" t="s">
        <v>30615</v>
      </c>
    </row>
    <row r="839">
      <c r="A839" s="2" t="s">
        <v>30616</v>
      </c>
      <c r="B839" s="2" t="s">
        <v>30617</v>
      </c>
      <c r="C839" s="2">
        <v>1.356203537E9</v>
      </c>
      <c r="D839" s="2" t="s">
        <v>30618</v>
      </c>
      <c r="E839" s="2">
        <v>23275.0</v>
      </c>
      <c r="F839" s="2">
        <v>803.0</v>
      </c>
      <c r="G839" s="2">
        <v>6167.0</v>
      </c>
      <c r="H839" s="2" t="s">
        <v>5906</v>
      </c>
      <c r="I839" s="2" t="s">
        <v>5905</v>
      </c>
      <c r="J839" s="2" t="s">
        <v>7140</v>
      </c>
      <c r="K839" s="2" t="s">
        <v>30619</v>
      </c>
      <c r="L839" s="10" t="s">
        <v>30620</v>
      </c>
    </row>
    <row r="840">
      <c r="A840" s="2" t="s">
        <v>30621</v>
      </c>
      <c r="B840" s="2" t="s">
        <v>30622</v>
      </c>
      <c r="C840" s="2">
        <v>5.3979660194E10</v>
      </c>
      <c r="D840" s="2" t="s">
        <v>30623</v>
      </c>
      <c r="E840" s="2">
        <v>14137.0</v>
      </c>
      <c r="F840" s="2">
        <v>14.0</v>
      </c>
      <c r="G840" s="2">
        <v>61.0</v>
      </c>
      <c r="H840" s="2" t="s">
        <v>5905</v>
      </c>
      <c r="I840" s="2" t="s">
        <v>5906</v>
      </c>
      <c r="J840" s="2" t="s">
        <v>7414</v>
      </c>
      <c r="K840" s="2" t="s">
        <v>30624</v>
      </c>
      <c r="L840" s="10" t="s">
        <v>30625</v>
      </c>
    </row>
    <row r="841">
      <c r="A841" s="2" t="s">
        <v>30621</v>
      </c>
      <c r="B841" s="2" t="s">
        <v>30626</v>
      </c>
      <c r="C841" s="2">
        <v>3.9959770955E10</v>
      </c>
      <c r="D841" s="2" t="s">
        <v>30627</v>
      </c>
      <c r="E841" s="2">
        <v>13829.0</v>
      </c>
      <c r="F841" s="2">
        <v>3360.0</v>
      </c>
      <c r="G841" s="2">
        <v>1298.0</v>
      </c>
      <c r="H841" s="2" t="s">
        <v>5905</v>
      </c>
      <c r="I841" s="2" t="s">
        <v>5906</v>
      </c>
      <c r="J841" s="2" t="s">
        <v>5391</v>
      </c>
      <c r="K841" s="2" t="s">
        <v>30628</v>
      </c>
      <c r="L841" s="10" t="s">
        <v>30629</v>
      </c>
    </row>
    <row r="842">
      <c r="A842" s="2" t="s">
        <v>30630</v>
      </c>
      <c r="B842" s="2" t="s">
        <v>30631</v>
      </c>
      <c r="C842" s="2">
        <v>3.7782699412E10</v>
      </c>
      <c r="D842" s="2" t="s">
        <v>30632</v>
      </c>
      <c r="E842" s="2">
        <v>14891.0</v>
      </c>
      <c r="F842" s="2">
        <v>231.0</v>
      </c>
      <c r="G842" s="2">
        <v>280.0</v>
      </c>
      <c r="H842" s="2" t="s">
        <v>5905</v>
      </c>
      <c r="I842" s="2" t="s">
        <v>5906</v>
      </c>
      <c r="J842" s="2" t="s">
        <v>6166</v>
      </c>
      <c r="K842" s="2" t="s">
        <v>30633</v>
      </c>
      <c r="L842" s="10" t="s">
        <v>30634</v>
      </c>
    </row>
    <row r="843">
      <c r="A843" s="2" t="s">
        <v>30635</v>
      </c>
      <c r="B843" s="2" t="s">
        <v>30636</v>
      </c>
      <c r="C843" s="2">
        <v>3.70067334E8</v>
      </c>
      <c r="D843" s="2" t="s">
        <v>30637</v>
      </c>
      <c r="E843" s="2">
        <v>25637.0</v>
      </c>
      <c r="F843" s="2">
        <v>1448.0</v>
      </c>
      <c r="G843" s="2">
        <v>1031.0</v>
      </c>
      <c r="H843" s="2" t="s">
        <v>5906</v>
      </c>
      <c r="I843" s="2" t="s">
        <v>5905</v>
      </c>
      <c r="J843" s="2" t="s">
        <v>5959</v>
      </c>
      <c r="K843" s="2" t="s">
        <v>30638</v>
      </c>
      <c r="L843" s="10" t="s">
        <v>30639</v>
      </c>
    </row>
    <row r="844">
      <c r="A844" s="2" t="s">
        <v>30640</v>
      </c>
      <c r="B844" s="2" t="s">
        <v>30641</v>
      </c>
      <c r="C844" s="2">
        <v>2.6429189542E10</v>
      </c>
      <c r="D844" s="2" t="s">
        <v>30642</v>
      </c>
      <c r="E844" s="2">
        <v>308313.0</v>
      </c>
      <c r="F844" s="2">
        <v>503.0</v>
      </c>
      <c r="G844" s="2">
        <v>37.0</v>
      </c>
      <c r="H844" s="2" t="s">
        <v>5905</v>
      </c>
      <c r="I844" s="2" t="s">
        <v>5906</v>
      </c>
      <c r="J844" s="2" t="s">
        <v>4996</v>
      </c>
      <c r="K844" s="2" t="s">
        <v>30643</v>
      </c>
      <c r="L844" s="10" t="s">
        <v>30644</v>
      </c>
    </row>
    <row r="845">
      <c r="A845" s="2" t="s">
        <v>30640</v>
      </c>
      <c r="B845" s="2" t="s">
        <v>30645</v>
      </c>
      <c r="C845" s="2">
        <v>4.5405497486E10</v>
      </c>
      <c r="D845" s="2" t="s">
        <v>30646</v>
      </c>
      <c r="E845" s="2">
        <v>20627.0</v>
      </c>
      <c r="F845" s="2">
        <v>1853.0</v>
      </c>
      <c r="G845" s="2">
        <v>271.0</v>
      </c>
      <c r="H845" s="2" t="s">
        <v>5905</v>
      </c>
      <c r="I845" s="2" t="s">
        <v>5906</v>
      </c>
      <c r="J845" s="2" t="s">
        <v>24636</v>
      </c>
      <c r="K845" s="2" t="s">
        <v>30647</v>
      </c>
      <c r="L845" s="10" t="s">
        <v>30648</v>
      </c>
    </row>
    <row r="846">
      <c r="A846" s="2" t="s">
        <v>30649</v>
      </c>
      <c r="B846" s="10" t="s">
        <v>30650</v>
      </c>
      <c r="C846" s="2">
        <v>1.2728527977E10</v>
      </c>
      <c r="D846" s="2" t="s">
        <v>30651</v>
      </c>
      <c r="E846" s="2">
        <v>15633.0</v>
      </c>
      <c r="F846" s="2">
        <v>215.0</v>
      </c>
      <c r="G846" s="2">
        <v>707.0</v>
      </c>
      <c r="H846" s="2" t="s">
        <v>5905</v>
      </c>
      <c r="I846" s="2" t="s">
        <v>5906</v>
      </c>
      <c r="J846" s="2" t="s">
        <v>7414</v>
      </c>
      <c r="K846" s="2" t="s">
        <v>30652</v>
      </c>
      <c r="L846" s="10" t="s">
        <v>30653</v>
      </c>
    </row>
    <row r="847">
      <c r="A847" s="2" t="s">
        <v>30654</v>
      </c>
      <c r="B847" s="2" t="s">
        <v>30655</v>
      </c>
      <c r="C847" s="2">
        <v>5.1982759629E10</v>
      </c>
      <c r="E847" s="2">
        <v>11560.0</v>
      </c>
      <c r="F847" s="2">
        <v>47.0</v>
      </c>
      <c r="G847" s="2">
        <v>15.0</v>
      </c>
      <c r="H847" s="2" t="s">
        <v>5905</v>
      </c>
      <c r="I847" s="2" t="s">
        <v>5906</v>
      </c>
      <c r="J847" s="2" t="s">
        <v>6027</v>
      </c>
      <c r="K847" s="2" t="s">
        <v>30656</v>
      </c>
    </row>
    <row r="848">
      <c r="A848" s="2" t="s">
        <v>30657</v>
      </c>
      <c r="B848" s="2" t="s">
        <v>30658</v>
      </c>
      <c r="C848" s="2">
        <v>1.823951307E9</v>
      </c>
      <c r="D848" s="2" t="s">
        <v>30659</v>
      </c>
      <c r="E848" s="2">
        <v>74717.0</v>
      </c>
      <c r="F848" s="2">
        <v>5.0</v>
      </c>
      <c r="G848" s="2">
        <v>708.0</v>
      </c>
      <c r="H848" s="2" t="s">
        <v>5905</v>
      </c>
      <c r="I848" s="2" t="s">
        <v>5906</v>
      </c>
      <c r="J848" s="2" t="s">
        <v>7414</v>
      </c>
      <c r="K848" s="2" t="s">
        <v>30660</v>
      </c>
      <c r="L848" s="10" t="s">
        <v>30661</v>
      </c>
    </row>
    <row r="849">
      <c r="A849" s="2" t="s">
        <v>30657</v>
      </c>
      <c r="B849" s="2" t="s">
        <v>30662</v>
      </c>
      <c r="C849" s="2">
        <v>5.0813692318E10</v>
      </c>
      <c r="D849" s="2" t="s">
        <v>30663</v>
      </c>
      <c r="E849" s="2">
        <v>36843.0</v>
      </c>
      <c r="F849" s="2">
        <v>189.0</v>
      </c>
      <c r="G849" s="2">
        <v>1100.0</v>
      </c>
      <c r="H849" s="2" t="s">
        <v>5905</v>
      </c>
      <c r="I849" s="2" t="s">
        <v>5906</v>
      </c>
      <c r="J849" s="2" t="s">
        <v>7414</v>
      </c>
      <c r="K849" s="2" t="s">
        <v>30664</v>
      </c>
      <c r="L849" s="10" t="s">
        <v>30665</v>
      </c>
    </row>
    <row r="850">
      <c r="A850" s="2" t="s">
        <v>30666</v>
      </c>
      <c r="B850" s="2" t="s">
        <v>30667</v>
      </c>
      <c r="C850" s="2">
        <v>1.0141800217E10</v>
      </c>
      <c r="D850" s="2" t="s">
        <v>30668</v>
      </c>
      <c r="E850" s="2">
        <v>84205.0</v>
      </c>
      <c r="F850" s="2">
        <v>424.0</v>
      </c>
      <c r="G850" s="2">
        <v>195.0</v>
      </c>
      <c r="H850" s="2" t="s">
        <v>5906</v>
      </c>
      <c r="I850" s="2" t="s">
        <v>5905</v>
      </c>
      <c r="J850" s="2" t="s">
        <v>5959</v>
      </c>
      <c r="K850" s="2" t="s">
        <v>30669</v>
      </c>
    </row>
    <row r="851">
      <c r="A851" s="2" t="s">
        <v>30666</v>
      </c>
      <c r="B851" s="2" t="s">
        <v>30670</v>
      </c>
      <c r="C851" s="2">
        <v>1.1663808335E10</v>
      </c>
      <c r="D851" s="2" t="s">
        <v>30671</v>
      </c>
      <c r="E851" s="2">
        <v>19574.0</v>
      </c>
      <c r="F851" s="2">
        <v>3173.0</v>
      </c>
      <c r="G851" s="2">
        <v>1045.0</v>
      </c>
      <c r="H851" s="2" t="s">
        <v>5905</v>
      </c>
      <c r="I851" s="2" t="s">
        <v>5905</v>
      </c>
      <c r="J851" s="2" t="s">
        <v>11316</v>
      </c>
      <c r="K851" s="2" t="s">
        <v>30672</v>
      </c>
      <c r="L851" s="10" t="s">
        <v>30673</v>
      </c>
    </row>
    <row r="852">
      <c r="A852" s="2" t="s">
        <v>30674</v>
      </c>
      <c r="B852" s="2" t="s">
        <v>30675</v>
      </c>
      <c r="C852" s="2">
        <v>6.5126541551E10</v>
      </c>
      <c r="D852" s="2" t="s">
        <v>30676</v>
      </c>
      <c r="E852" s="2">
        <v>26112.0</v>
      </c>
      <c r="F852" s="2">
        <v>176.0</v>
      </c>
      <c r="G852" s="2">
        <v>419.0</v>
      </c>
      <c r="H852" s="2" t="s">
        <v>5906</v>
      </c>
      <c r="I852" s="2" t="s">
        <v>5905</v>
      </c>
      <c r="J852" s="2" t="s">
        <v>7414</v>
      </c>
      <c r="K852" s="2" t="s">
        <v>30677</v>
      </c>
      <c r="L852" s="10" t="s">
        <v>30678</v>
      </c>
    </row>
    <row r="853">
      <c r="A853" s="2" t="s">
        <v>30674</v>
      </c>
      <c r="B853" s="2" t="s">
        <v>30679</v>
      </c>
      <c r="C853" s="2">
        <v>2.050531276E9</v>
      </c>
      <c r="D853" s="2" t="s">
        <v>30680</v>
      </c>
      <c r="E853" s="2">
        <v>65360.0</v>
      </c>
      <c r="F853" s="2">
        <v>4410.0</v>
      </c>
      <c r="G853" s="2">
        <v>1508.0</v>
      </c>
      <c r="H853" s="2" t="s">
        <v>5905</v>
      </c>
      <c r="I853" s="2" t="s">
        <v>5906</v>
      </c>
      <c r="J853" s="2" t="s">
        <v>5959</v>
      </c>
      <c r="K853" s="2" t="s">
        <v>30681</v>
      </c>
      <c r="L853" s="10" t="s">
        <v>30682</v>
      </c>
    </row>
    <row r="854">
      <c r="A854" s="2" t="s">
        <v>30674</v>
      </c>
      <c r="B854" s="2" t="s">
        <v>30683</v>
      </c>
      <c r="C854" s="2">
        <v>1.633273878E9</v>
      </c>
      <c r="D854" s="2" t="s">
        <v>30684</v>
      </c>
      <c r="E854" s="2">
        <v>13102.0</v>
      </c>
      <c r="F854" s="2">
        <v>1064.0</v>
      </c>
      <c r="G854" s="2">
        <v>331.0</v>
      </c>
      <c r="H854" s="2" t="s">
        <v>5905</v>
      </c>
      <c r="I854" s="2" t="s">
        <v>5905</v>
      </c>
      <c r="J854" s="2" t="s">
        <v>7414</v>
      </c>
      <c r="K854" s="2" t="s">
        <v>30685</v>
      </c>
    </row>
    <row r="855">
      <c r="A855" s="2" t="s">
        <v>30686</v>
      </c>
      <c r="B855" s="2" t="s">
        <v>30687</v>
      </c>
      <c r="C855" s="2">
        <v>5070485.0</v>
      </c>
      <c r="D855" s="2" t="s">
        <v>30688</v>
      </c>
      <c r="E855" s="2">
        <v>22554.0</v>
      </c>
      <c r="F855" s="2">
        <v>5104.0</v>
      </c>
      <c r="G855" s="2">
        <v>1892.0</v>
      </c>
      <c r="H855" s="2" t="s">
        <v>5905</v>
      </c>
      <c r="I855" s="2" t="s">
        <v>5905</v>
      </c>
      <c r="J855" s="2" t="s">
        <v>5391</v>
      </c>
      <c r="K855" s="2" t="s">
        <v>30689</v>
      </c>
      <c r="L855" s="10" t="s">
        <v>30690</v>
      </c>
    </row>
    <row r="856">
      <c r="A856" s="2" t="s">
        <v>30691</v>
      </c>
      <c r="B856" s="10" t="s">
        <v>30692</v>
      </c>
      <c r="C856" s="2">
        <v>3.7562636059E10</v>
      </c>
      <c r="D856" s="2" t="s">
        <v>30693</v>
      </c>
      <c r="E856" s="2">
        <v>74907.0</v>
      </c>
      <c r="F856" s="2">
        <v>573.0</v>
      </c>
      <c r="G856" s="2">
        <v>3373.0</v>
      </c>
      <c r="H856" s="2" t="s">
        <v>5906</v>
      </c>
      <c r="I856" s="2" t="s">
        <v>5906</v>
      </c>
      <c r="J856" s="2" t="s">
        <v>11684</v>
      </c>
      <c r="K856" s="2" t="s">
        <v>30694</v>
      </c>
      <c r="L856" s="10" t="s">
        <v>30695</v>
      </c>
    </row>
    <row r="857">
      <c r="A857" s="2" t="s">
        <v>30691</v>
      </c>
      <c r="B857" s="10" t="s">
        <v>30696</v>
      </c>
      <c r="C857" s="2">
        <v>4.6365448726E10</v>
      </c>
      <c r="D857" s="2" t="s">
        <v>30697</v>
      </c>
      <c r="E857" s="2">
        <v>13231.0</v>
      </c>
      <c r="F857" s="2">
        <v>552.0</v>
      </c>
      <c r="G857" s="2">
        <v>869.0</v>
      </c>
      <c r="H857" s="2" t="s">
        <v>5905</v>
      </c>
      <c r="I857" s="2" t="s">
        <v>5906</v>
      </c>
      <c r="J857" s="2" t="s">
        <v>11684</v>
      </c>
      <c r="K857" s="2" t="s">
        <v>30698</v>
      </c>
      <c r="L857" s="10" t="s">
        <v>30699</v>
      </c>
    </row>
    <row r="858">
      <c r="A858" s="2" t="s">
        <v>30700</v>
      </c>
      <c r="B858" s="2" t="s">
        <v>30701</v>
      </c>
      <c r="C858" s="2">
        <v>5.629699762E9</v>
      </c>
      <c r="D858" s="2" t="s">
        <v>30702</v>
      </c>
      <c r="E858" s="2">
        <v>12380.0</v>
      </c>
      <c r="F858" s="2">
        <v>2204.0</v>
      </c>
      <c r="G858" s="2">
        <v>1266.0</v>
      </c>
      <c r="H858" s="2" t="s">
        <v>5905</v>
      </c>
      <c r="I858" s="2" t="s">
        <v>5905</v>
      </c>
      <c r="J858" s="2" t="s">
        <v>5963</v>
      </c>
      <c r="K858" s="2" t="s">
        <v>30703</v>
      </c>
      <c r="L858" s="10" t="s">
        <v>30704</v>
      </c>
    </row>
    <row r="859">
      <c r="A859" s="2" t="s">
        <v>30705</v>
      </c>
      <c r="B859" s="2" t="s">
        <v>17648</v>
      </c>
      <c r="C859" s="2">
        <v>5.6240027953E10</v>
      </c>
      <c r="D859" s="2" t="s">
        <v>17649</v>
      </c>
      <c r="E859" s="2">
        <v>251739.0</v>
      </c>
      <c r="F859" s="2">
        <v>4.0</v>
      </c>
      <c r="G859" s="2">
        <v>34.0</v>
      </c>
      <c r="H859" s="2" t="s">
        <v>5905</v>
      </c>
      <c r="I859" s="2" t="s">
        <v>5905</v>
      </c>
      <c r="J859" s="2" t="s">
        <v>5928</v>
      </c>
      <c r="K859" s="2" t="s">
        <v>17650</v>
      </c>
      <c r="L859" s="10" t="s">
        <v>17651</v>
      </c>
    </row>
    <row r="860">
      <c r="A860" s="2" t="s">
        <v>30706</v>
      </c>
      <c r="B860" s="2" t="s">
        <v>30707</v>
      </c>
      <c r="C860" s="2">
        <v>1.097555436E9</v>
      </c>
      <c r="D860" s="2" t="s">
        <v>30708</v>
      </c>
      <c r="E860" s="2">
        <v>33643.0</v>
      </c>
      <c r="F860" s="2">
        <v>519.0</v>
      </c>
      <c r="G860" s="2">
        <v>1344.0</v>
      </c>
      <c r="H860" s="2" t="s">
        <v>5905</v>
      </c>
      <c r="I860" s="2" t="s">
        <v>5906</v>
      </c>
      <c r="K860" s="2" t="s">
        <v>30709</v>
      </c>
    </row>
    <row r="861">
      <c r="A861" s="2" t="s">
        <v>30710</v>
      </c>
      <c r="B861" s="2" t="s">
        <v>30711</v>
      </c>
      <c r="C861" s="2">
        <v>4.9060498075E10</v>
      </c>
      <c r="D861" s="2" t="s">
        <v>30712</v>
      </c>
      <c r="E861" s="2">
        <v>19287.0</v>
      </c>
      <c r="F861" s="2">
        <v>136.0</v>
      </c>
      <c r="G861" s="2">
        <v>585.0</v>
      </c>
      <c r="H861" s="2" t="s">
        <v>5905</v>
      </c>
      <c r="I861" s="2" t="s">
        <v>5905</v>
      </c>
      <c r="J861" s="2" t="s">
        <v>6166</v>
      </c>
      <c r="K861" s="2" t="s">
        <v>30713</v>
      </c>
      <c r="L861" s="10" t="s">
        <v>30714</v>
      </c>
    </row>
    <row r="862">
      <c r="A862" s="2" t="s">
        <v>30715</v>
      </c>
      <c r="B862" s="2" t="s">
        <v>30716</v>
      </c>
      <c r="C862" s="2">
        <v>3.186457015E10</v>
      </c>
      <c r="D862" s="2" t="s">
        <v>30717</v>
      </c>
      <c r="E862" s="2">
        <v>30530.0</v>
      </c>
      <c r="F862" s="2">
        <v>2944.0</v>
      </c>
      <c r="G862" s="2">
        <v>4827.0</v>
      </c>
      <c r="H862" s="2" t="s">
        <v>5905</v>
      </c>
      <c r="I862" s="2" t="s">
        <v>5906</v>
      </c>
      <c r="J862" s="2" t="s">
        <v>7321</v>
      </c>
      <c r="K862" s="2" t="s">
        <v>30718</v>
      </c>
    </row>
    <row r="863">
      <c r="A863" s="2" t="s">
        <v>30715</v>
      </c>
      <c r="B863" s="2" t="s">
        <v>30719</v>
      </c>
      <c r="C863" s="2">
        <v>1.984075876E9</v>
      </c>
      <c r="D863" s="2" t="s">
        <v>30720</v>
      </c>
      <c r="E863" s="2">
        <v>74806.0</v>
      </c>
      <c r="F863" s="2">
        <v>3.0</v>
      </c>
      <c r="G863" s="2">
        <v>5194.0</v>
      </c>
      <c r="H863" s="2" t="s">
        <v>5905</v>
      </c>
      <c r="I863" s="2" t="s">
        <v>5905</v>
      </c>
      <c r="J863" s="2" t="s">
        <v>5963</v>
      </c>
      <c r="K863" s="2" t="s">
        <v>30721</v>
      </c>
      <c r="L863" s="10" t="s">
        <v>30722</v>
      </c>
    </row>
    <row r="864">
      <c r="A864" s="2" t="s">
        <v>30715</v>
      </c>
      <c r="B864" s="2" t="s">
        <v>30723</v>
      </c>
      <c r="C864" s="2">
        <v>2.004680243E9</v>
      </c>
      <c r="D864" s="2" t="s">
        <v>30724</v>
      </c>
      <c r="E864" s="2">
        <v>17837.0</v>
      </c>
      <c r="F864" s="2">
        <v>1201.0</v>
      </c>
      <c r="G864" s="2">
        <v>753.0</v>
      </c>
      <c r="H864" s="2" t="s">
        <v>5905</v>
      </c>
      <c r="I864" s="2" t="s">
        <v>5905</v>
      </c>
      <c r="J864" s="2" t="s">
        <v>6166</v>
      </c>
      <c r="K864" s="2" t="s">
        <v>30725</v>
      </c>
      <c r="L864" s="10" t="s">
        <v>30726</v>
      </c>
    </row>
    <row r="865">
      <c r="A865" s="2" t="s">
        <v>30715</v>
      </c>
      <c r="B865" s="2" t="s">
        <v>30727</v>
      </c>
      <c r="C865" s="2">
        <v>2.124039901E9</v>
      </c>
      <c r="D865" s="2" t="s">
        <v>30728</v>
      </c>
      <c r="E865" s="2">
        <v>10763.0</v>
      </c>
      <c r="F865" s="2">
        <v>0.0</v>
      </c>
      <c r="G865" s="2">
        <v>210.0</v>
      </c>
      <c r="H865" s="2" t="s">
        <v>5905</v>
      </c>
      <c r="I865" s="2" t="s">
        <v>5906</v>
      </c>
      <c r="J865" s="2" t="s">
        <v>5963</v>
      </c>
      <c r="K865" s="2" t="s">
        <v>30729</v>
      </c>
      <c r="L865" s="10" t="s">
        <v>30730</v>
      </c>
    </row>
    <row r="866">
      <c r="A866" s="2" t="s">
        <v>30731</v>
      </c>
      <c r="B866" s="2" t="s">
        <v>30732</v>
      </c>
      <c r="C866" s="2">
        <v>6.5768080615E10</v>
      </c>
      <c r="D866" s="2" t="s">
        <v>30733</v>
      </c>
      <c r="E866" s="2">
        <v>18366.0</v>
      </c>
      <c r="F866" s="2">
        <v>242.0</v>
      </c>
      <c r="G866" s="2">
        <v>290.0</v>
      </c>
      <c r="H866" s="2" t="s">
        <v>5905</v>
      </c>
      <c r="I866" s="2" t="s">
        <v>5905</v>
      </c>
      <c r="J866" s="2" t="s">
        <v>5492</v>
      </c>
      <c r="K866" s="2" t="s">
        <v>30734</v>
      </c>
    </row>
    <row r="867">
      <c r="A867" s="2" t="s">
        <v>30735</v>
      </c>
      <c r="B867" s="2" t="s">
        <v>30736</v>
      </c>
      <c r="C867" s="2">
        <v>4.259928177E9</v>
      </c>
      <c r="D867" s="2" t="s">
        <v>30737</v>
      </c>
      <c r="E867" s="2">
        <v>14763.0</v>
      </c>
      <c r="F867" s="2">
        <v>146.0</v>
      </c>
      <c r="G867" s="2">
        <v>315.0</v>
      </c>
      <c r="H867" s="2" t="s">
        <v>5905</v>
      </c>
      <c r="I867" s="2" t="s">
        <v>5905</v>
      </c>
      <c r="J867" s="2" t="s">
        <v>6393</v>
      </c>
      <c r="K867" s="2" t="s">
        <v>30738</v>
      </c>
      <c r="L867" s="10" t="s">
        <v>30739</v>
      </c>
    </row>
    <row r="868">
      <c r="A868" s="2" t="s">
        <v>30740</v>
      </c>
      <c r="B868" s="2" t="s">
        <v>30741</v>
      </c>
      <c r="C868" s="2">
        <v>4.0452591576E10</v>
      </c>
      <c r="D868" s="2" t="s">
        <v>30742</v>
      </c>
      <c r="E868" s="2">
        <v>17204.0</v>
      </c>
      <c r="F868" s="2">
        <v>0.0</v>
      </c>
      <c r="G868" s="2">
        <v>43.0</v>
      </c>
      <c r="H868" s="2" t="s">
        <v>5905</v>
      </c>
      <c r="I868" s="2" t="s">
        <v>5906</v>
      </c>
      <c r="J868" s="2" t="s">
        <v>6166</v>
      </c>
      <c r="K868" s="2" t="s">
        <v>30743</v>
      </c>
      <c r="L868" s="10" t="s">
        <v>30744</v>
      </c>
    </row>
    <row r="869">
      <c r="A869" s="2" t="s">
        <v>30740</v>
      </c>
      <c r="B869" s="2" t="s">
        <v>30745</v>
      </c>
      <c r="C869" s="2">
        <v>1.319776636E9</v>
      </c>
      <c r="D869" s="2" t="s">
        <v>30746</v>
      </c>
      <c r="E869" s="2">
        <v>19723.0</v>
      </c>
      <c r="F869" s="2">
        <v>276.0</v>
      </c>
      <c r="G869" s="2">
        <v>2988.0</v>
      </c>
      <c r="H869" s="2" t="s">
        <v>5905</v>
      </c>
      <c r="I869" s="2" t="s">
        <v>5906</v>
      </c>
      <c r="J869" s="2" t="s">
        <v>6166</v>
      </c>
      <c r="K869" s="2" t="s">
        <v>30747</v>
      </c>
      <c r="L869" s="10" t="s">
        <v>30748</v>
      </c>
    </row>
    <row r="870">
      <c r="A870" s="2" t="s">
        <v>30749</v>
      </c>
      <c r="B870" s="2" t="s">
        <v>30750</v>
      </c>
      <c r="C870" s="2">
        <v>5.9807471415E10</v>
      </c>
      <c r="D870" s="2" t="s">
        <v>30751</v>
      </c>
      <c r="E870" s="2">
        <v>13678.0</v>
      </c>
      <c r="F870" s="2">
        <v>75.0</v>
      </c>
      <c r="G870" s="2">
        <v>93.0</v>
      </c>
      <c r="H870" s="2" t="s">
        <v>5905</v>
      </c>
      <c r="I870" s="2" t="s">
        <v>5905</v>
      </c>
      <c r="J870" s="2" t="s">
        <v>17753</v>
      </c>
      <c r="K870" s="2" t="s">
        <v>30752</v>
      </c>
      <c r="L870" s="10" t="s">
        <v>30753</v>
      </c>
    </row>
    <row r="871">
      <c r="A871" s="2" t="s">
        <v>30754</v>
      </c>
      <c r="B871" s="2" t="s">
        <v>30755</v>
      </c>
      <c r="C871" s="2">
        <v>2.07797945E9</v>
      </c>
      <c r="D871" s="2" t="s">
        <v>30756</v>
      </c>
      <c r="E871" s="2">
        <v>36031.0</v>
      </c>
      <c r="F871" s="2">
        <v>57.0</v>
      </c>
      <c r="G871" s="2">
        <v>111.0</v>
      </c>
      <c r="H871" s="2" t="s">
        <v>5905</v>
      </c>
      <c r="I871" s="2" t="s">
        <v>5906</v>
      </c>
      <c r="J871" s="2" t="s">
        <v>6166</v>
      </c>
      <c r="K871" s="2" t="s">
        <v>30757</v>
      </c>
      <c r="L871" s="10" t="s">
        <v>30758</v>
      </c>
    </row>
    <row r="872">
      <c r="A872" s="2" t="s">
        <v>30759</v>
      </c>
      <c r="B872" s="2" t="s">
        <v>30760</v>
      </c>
      <c r="C872" s="2">
        <v>3.6393782E7</v>
      </c>
      <c r="D872" s="2" t="s">
        <v>30761</v>
      </c>
      <c r="E872" s="2">
        <v>27232.0</v>
      </c>
      <c r="F872" s="2">
        <v>771.0</v>
      </c>
      <c r="G872" s="2">
        <v>3141.0</v>
      </c>
      <c r="H872" s="2" t="s">
        <v>5905</v>
      </c>
      <c r="I872" s="2" t="s">
        <v>5906</v>
      </c>
      <c r="J872" s="2" t="s">
        <v>14778</v>
      </c>
      <c r="K872" s="2" t="s">
        <v>30762</v>
      </c>
    </row>
    <row r="873">
      <c r="A873" s="2" t="s">
        <v>30763</v>
      </c>
      <c r="B873" s="2" t="s">
        <v>30764</v>
      </c>
      <c r="C873" s="2">
        <v>5.511451995E9</v>
      </c>
      <c r="D873" s="2" t="s">
        <v>30765</v>
      </c>
      <c r="E873" s="2">
        <v>22124.0</v>
      </c>
      <c r="F873" s="2">
        <v>143.0</v>
      </c>
      <c r="G873" s="2">
        <v>43.0</v>
      </c>
      <c r="H873" s="2" t="s">
        <v>5905</v>
      </c>
      <c r="I873" s="2" t="s">
        <v>5906</v>
      </c>
      <c r="J873" s="2" t="s">
        <v>28099</v>
      </c>
      <c r="K873" s="2" t="s">
        <v>30766</v>
      </c>
      <c r="L873" s="10" t="s">
        <v>30767</v>
      </c>
    </row>
    <row r="874">
      <c r="A874" s="2" t="s">
        <v>30763</v>
      </c>
      <c r="B874" s="2" t="s">
        <v>30768</v>
      </c>
      <c r="C874" s="2">
        <v>1.2264808331E10</v>
      </c>
      <c r="D874" s="2" t="s">
        <v>30769</v>
      </c>
      <c r="E874" s="2">
        <v>19959.0</v>
      </c>
      <c r="F874" s="2">
        <v>2292.0</v>
      </c>
      <c r="G874" s="2">
        <v>258.0</v>
      </c>
      <c r="H874" s="2" t="s">
        <v>5905</v>
      </c>
      <c r="I874" s="2" t="s">
        <v>5906</v>
      </c>
      <c r="J874" s="2" t="s">
        <v>5391</v>
      </c>
      <c r="K874" s="2" t="s">
        <v>30770</v>
      </c>
      <c r="L874" s="10" t="s">
        <v>30771</v>
      </c>
    </row>
    <row r="875">
      <c r="A875" s="2" t="s">
        <v>30763</v>
      </c>
      <c r="B875" s="2" t="s">
        <v>30772</v>
      </c>
      <c r="C875" s="2">
        <v>6.2424267577E10</v>
      </c>
      <c r="D875" s="2" t="s">
        <v>30773</v>
      </c>
      <c r="E875" s="2">
        <v>10964.0</v>
      </c>
      <c r="F875" s="2">
        <v>746.0</v>
      </c>
      <c r="G875" s="2">
        <v>184.0</v>
      </c>
      <c r="H875" s="2" t="s">
        <v>5905</v>
      </c>
      <c r="I875" s="2" t="s">
        <v>5906</v>
      </c>
      <c r="J875" s="2" t="s">
        <v>6393</v>
      </c>
      <c r="K875" s="2" t="s">
        <v>30774</v>
      </c>
      <c r="L875" s="10" t="s">
        <v>30775</v>
      </c>
    </row>
    <row r="876">
      <c r="A876" s="2" t="s">
        <v>30763</v>
      </c>
      <c r="B876" s="2" t="s">
        <v>30776</v>
      </c>
      <c r="C876" s="2">
        <v>4.8858317E7</v>
      </c>
      <c r="D876" s="2" t="s">
        <v>30777</v>
      </c>
      <c r="E876" s="2">
        <v>12618.0</v>
      </c>
      <c r="F876" s="2">
        <v>5953.0</v>
      </c>
      <c r="G876" s="2">
        <v>1369.0</v>
      </c>
      <c r="H876" s="2" t="s">
        <v>5905</v>
      </c>
      <c r="I876" s="2" t="s">
        <v>5905</v>
      </c>
      <c r="J876" s="2" t="s">
        <v>27365</v>
      </c>
      <c r="K876" s="2" t="s">
        <v>30778</v>
      </c>
      <c r="L876" s="10" t="s">
        <v>30779</v>
      </c>
    </row>
    <row r="877">
      <c r="A877" s="2" t="s">
        <v>30780</v>
      </c>
      <c r="B877" s="2" t="s">
        <v>30781</v>
      </c>
      <c r="C877" s="2">
        <v>1.521150749E9</v>
      </c>
      <c r="D877" s="2" t="s">
        <v>30782</v>
      </c>
      <c r="E877" s="2">
        <v>32743.0</v>
      </c>
      <c r="F877" s="2">
        <v>4983.0</v>
      </c>
      <c r="G877" s="2">
        <v>1151.0</v>
      </c>
      <c r="H877" s="2" t="s">
        <v>5905</v>
      </c>
      <c r="I877" s="2" t="s">
        <v>5905</v>
      </c>
      <c r="J877" s="2" t="s">
        <v>7926</v>
      </c>
      <c r="K877" s="2" t="s">
        <v>30783</v>
      </c>
      <c r="L877" s="10" t="s">
        <v>30784</v>
      </c>
    </row>
    <row r="878">
      <c r="A878" s="2" t="s">
        <v>30780</v>
      </c>
      <c r="B878" s="2" t="s">
        <v>30785</v>
      </c>
      <c r="C878" s="2">
        <v>3.10652872E8</v>
      </c>
      <c r="D878" s="2" t="s">
        <v>30786</v>
      </c>
      <c r="E878" s="2">
        <v>19016.0</v>
      </c>
      <c r="F878" s="2">
        <v>5019.0</v>
      </c>
      <c r="G878" s="2">
        <v>2206.0</v>
      </c>
      <c r="H878" s="2" t="s">
        <v>5906</v>
      </c>
      <c r="I878" s="2" t="s">
        <v>5906</v>
      </c>
      <c r="J878" s="2" t="s">
        <v>27365</v>
      </c>
      <c r="K878" s="2" t="s">
        <v>30787</v>
      </c>
      <c r="L878" s="10" t="s">
        <v>30788</v>
      </c>
    </row>
    <row r="879">
      <c r="A879" s="2" t="s">
        <v>30780</v>
      </c>
      <c r="B879" s="2" t="s">
        <v>30789</v>
      </c>
      <c r="C879" s="2">
        <v>6.13389019E8</v>
      </c>
      <c r="D879" s="2" t="s">
        <v>30790</v>
      </c>
      <c r="E879" s="2">
        <v>10334.0</v>
      </c>
      <c r="F879" s="2">
        <v>3010.0</v>
      </c>
      <c r="G879" s="2">
        <v>1993.0</v>
      </c>
      <c r="H879" s="2" t="s">
        <v>5905</v>
      </c>
      <c r="I879" s="2" t="s">
        <v>5906</v>
      </c>
      <c r="J879" s="2" t="s">
        <v>6393</v>
      </c>
      <c r="K879" s="2" t="s">
        <v>30791</v>
      </c>
      <c r="L879" s="10" t="s">
        <v>30792</v>
      </c>
    </row>
    <row r="880">
      <c r="A880" s="2" t="s">
        <v>30780</v>
      </c>
      <c r="B880" s="2" t="s">
        <v>30793</v>
      </c>
      <c r="C880" s="2">
        <v>3.6715811E8</v>
      </c>
      <c r="D880" s="2" t="s">
        <v>30794</v>
      </c>
      <c r="E880" s="2">
        <v>17853.0</v>
      </c>
      <c r="F880" s="2">
        <v>2948.0</v>
      </c>
      <c r="G880" s="2">
        <v>2437.0</v>
      </c>
      <c r="H880" s="2" t="s">
        <v>5906</v>
      </c>
      <c r="I880" s="2" t="s">
        <v>5906</v>
      </c>
      <c r="J880" s="2" t="s">
        <v>12700</v>
      </c>
      <c r="K880" s="2" t="s">
        <v>30795</v>
      </c>
      <c r="L880" s="10" t="s">
        <v>30796</v>
      </c>
    </row>
    <row r="881">
      <c r="A881" s="2" t="s">
        <v>30780</v>
      </c>
      <c r="B881" s="2" t="s">
        <v>30797</v>
      </c>
      <c r="C881" s="2">
        <v>5.7331872585E10</v>
      </c>
      <c r="D881" s="2" t="s">
        <v>30798</v>
      </c>
      <c r="E881" s="2">
        <v>39001.0</v>
      </c>
      <c r="F881" s="2">
        <v>1513.0</v>
      </c>
      <c r="G881" s="2">
        <v>1326.0</v>
      </c>
      <c r="H881" s="2" t="s">
        <v>5905</v>
      </c>
      <c r="I881" s="2" t="s">
        <v>5905</v>
      </c>
      <c r="J881" s="2" t="s">
        <v>5959</v>
      </c>
      <c r="K881" s="2" t="s">
        <v>30799</v>
      </c>
    </row>
    <row r="882">
      <c r="A882" s="2" t="s">
        <v>30800</v>
      </c>
      <c r="B882" s="2" t="s">
        <v>30801</v>
      </c>
      <c r="C882" s="2">
        <v>4.5203957155E10</v>
      </c>
      <c r="D882" s="2" t="s">
        <v>30802</v>
      </c>
      <c r="E882" s="2">
        <v>26141.0</v>
      </c>
      <c r="F882" s="2">
        <v>566.0</v>
      </c>
      <c r="G882" s="2">
        <v>203.0</v>
      </c>
      <c r="H882" s="2" t="s">
        <v>5905</v>
      </c>
      <c r="I882" s="2" t="s">
        <v>5905</v>
      </c>
      <c r="J882" s="2" t="s">
        <v>8998</v>
      </c>
      <c r="K882" s="2" t="s">
        <v>30803</v>
      </c>
      <c r="L882" s="10" t="s">
        <v>30804</v>
      </c>
    </row>
    <row r="883">
      <c r="A883" s="2" t="s">
        <v>30800</v>
      </c>
      <c r="B883" s="2" t="s">
        <v>30805</v>
      </c>
      <c r="C883" s="2">
        <v>5.3120877633E10</v>
      </c>
      <c r="D883" s="2" t="s">
        <v>30806</v>
      </c>
      <c r="E883" s="2">
        <v>13913.0</v>
      </c>
      <c r="F883" s="2">
        <v>3.0</v>
      </c>
      <c r="G883" s="2">
        <v>46.0</v>
      </c>
      <c r="H883" s="2" t="s">
        <v>5906</v>
      </c>
      <c r="I883" s="2" t="s">
        <v>5906</v>
      </c>
      <c r="J883" s="2" t="s">
        <v>7296</v>
      </c>
      <c r="K883" s="2" t="s">
        <v>30807</v>
      </c>
      <c r="L883" s="10" t="s">
        <v>30808</v>
      </c>
    </row>
    <row r="884">
      <c r="A884" s="2" t="s">
        <v>30800</v>
      </c>
      <c r="B884" s="2" t="s">
        <v>30809</v>
      </c>
      <c r="C884" s="2">
        <v>5.96400442E8</v>
      </c>
      <c r="D884" s="2" t="s">
        <v>30810</v>
      </c>
      <c r="E884" s="2">
        <v>31088.0</v>
      </c>
      <c r="F884" s="2">
        <v>323.0</v>
      </c>
      <c r="G884" s="2">
        <v>656.0</v>
      </c>
      <c r="H884" s="2" t="s">
        <v>5905</v>
      </c>
      <c r="I884" s="2" t="s">
        <v>5906</v>
      </c>
      <c r="J884" s="2" t="s">
        <v>12083</v>
      </c>
      <c r="K884" s="2" t="s">
        <v>30811</v>
      </c>
      <c r="L884" s="10" t="s">
        <v>30812</v>
      </c>
    </row>
    <row r="885">
      <c r="A885" s="2" t="s">
        <v>30800</v>
      </c>
      <c r="B885" s="2" t="s">
        <v>30813</v>
      </c>
      <c r="C885" s="2">
        <v>4.51813093E8</v>
      </c>
      <c r="D885" s="2" t="s">
        <v>30814</v>
      </c>
      <c r="E885" s="2">
        <v>73800.0</v>
      </c>
      <c r="F885" s="2">
        <v>599.0</v>
      </c>
      <c r="G885" s="2">
        <v>1560.0</v>
      </c>
      <c r="H885" s="2" t="s">
        <v>5906</v>
      </c>
      <c r="I885" s="2" t="s">
        <v>5906</v>
      </c>
      <c r="J885" s="2" t="s">
        <v>17821</v>
      </c>
      <c r="K885" s="2" t="s">
        <v>30815</v>
      </c>
      <c r="L885" s="10" t="s">
        <v>30816</v>
      </c>
    </row>
    <row r="886">
      <c r="A886" s="2" t="s">
        <v>30817</v>
      </c>
      <c r="B886" s="2" t="s">
        <v>30818</v>
      </c>
      <c r="C886" s="2">
        <v>3.0060850688E10</v>
      </c>
      <c r="D886" s="2" t="s">
        <v>30819</v>
      </c>
      <c r="E886" s="2">
        <v>28840.0</v>
      </c>
      <c r="F886" s="2">
        <v>1228.0</v>
      </c>
      <c r="G886" s="2">
        <v>643.0</v>
      </c>
      <c r="H886" s="2" t="s">
        <v>5905</v>
      </c>
      <c r="I886" s="2" t="s">
        <v>5906</v>
      </c>
      <c r="J886" s="2" t="s">
        <v>7296</v>
      </c>
      <c r="K886" s="2" t="s">
        <v>30820</v>
      </c>
      <c r="L886" s="10" t="s">
        <v>30821</v>
      </c>
    </row>
    <row r="887">
      <c r="A887" s="2" t="s">
        <v>30817</v>
      </c>
      <c r="B887" s="2" t="s">
        <v>30822</v>
      </c>
      <c r="C887" s="2">
        <v>4.275545788E9</v>
      </c>
      <c r="D887" s="2" t="s">
        <v>30823</v>
      </c>
      <c r="E887" s="2">
        <v>10614.0</v>
      </c>
      <c r="F887" s="2">
        <v>2236.0</v>
      </c>
      <c r="G887" s="2">
        <v>1190.0</v>
      </c>
      <c r="H887" s="2" t="s">
        <v>5905</v>
      </c>
      <c r="I887" s="2" t="s">
        <v>5906</v>
      </c>
      <c r="J887" s="2" t="s">
        <v>30824</v>
      </c>
      <c r="K887" s="2" t="s">
        <v>30825</v>
      </c>
      <c r="L887" s="10" t="s">
        <v>30826</v>
      </c>
    </row>
    <row r="888">
      <c r="A888" s="2" t="s">
        <v>30817</v>
      </c>
      <c r="B888" s="2" t="s">
        <v>30827</v>
      </c>
      <c r="C888" s="2">
        <v>6.5126665396E10</v>
      </c>
      <c r="D888" s="2" t="s">
        <v>30828</v>
      </c>
      <c r="E888" s="2">
        <v>13720.0</v>
      </c>
      <c r="F888" s="2">
        <v>39.0</v>
      </c>
      <c r="G888" s="2">
        <v>142.0</v>
      </c>
      <c r="H888" s="2" t="s">
        <v>5905</v>
      </c>
      <c r="I888" s="2" t="s">
        <v>5906</v>
      </c>
      <c r="J888" s="2" t="s">
        <v>27365</v>
      </c>
      <c r="K888" s="2" t="s">
        <v>30829</v>
      </c>
      <c r="L888" s="10" t="s">
        <v>30830</v>
      </c>
    </row>
    <row r="889">
      <c r="A889" s="2" t="s">
        <v>30817</v>
      </c>
      <c r="B889" s="2" t="s">
        <v>30831</v>
      </c>
      <c r="C889" s="2">
        <v>1.384312815E10</v>
      </c>
      <c r="D889" s="2" t="s">
        <v>30832</v>
      </c>
      <c r="E889" s="2">
        <v>267523.0</v>
      </c>
      <c r="F889" s="2">
        <v>4.0</v>
      </c>
      <c r="G889" s="2">
        <v>781.0</v>
      </c>
      <c r="H889" s="2" t="s">
        <v>5906</v>
      </c>
      <c r="I889" s="2" t="s">
        <v>5906</v>
      </c>
      <c r="J889" s="2" t="s">
        <v>22572</v>
      </c>
      <c r="K889" s="2" t="s">
        <v>30833</v>
      </c>
      <c r="L889" s="10" t="s">
        <v>30834</v>
      </c>
    </row>
    <row r="890">
      <c r="A890" s="2" t="s">
        <v>30817</v>
      </c>
      <c r="B890" s="2" t="s">
        <v>30835</v>
      </c>
      <c r="C890" s="2">
        <v>6.502211263E9</v>
      </c>
      <c r="D890" s="2" t="s">
        <v>30836</v>
      </c>
      <c r="E890" s="2">
        <v>24581.0</v>
      </c>
      <c r="F890" s="2">
        <v>1452.0</v>
      </c>
      <c r="G890" s="2">
        <v>857.0</v>
      </c>
      <c r="H890" s="2" t="s">
        <v>5905</v>
      </c>
      <c r="I890" s="2" t="s">
        <v>5906</v>
      </c>
      <c r="J890" s="2" t="s">
        <v>22572</v>
      </c>
      <c r="K890" s="2" t="s">
        <v>30837</v>
      </c>
      <c r="L890" s="10" t="s">
        <v>30838</v>
      </c>
    </row>
    <row r="891">
      <c r="A891" s="2" t="s">
        <v>30817</v>
      </c>
      <c r="B891" s="2" t="s">
        <v>30839</v>
      </c>
      <c r="C891" s="2">
        <v>7.4064595421E10</v>
      </c>
      <c r="D891" s="2" t="s">
        <v>30840</v>
      </c>
      <c r="E891" s="2">
        <v>10900.0</v>
      </c>
      <c r="F891" s="2">
        <v>2.0</v>
      </c>
      <c r="G891" s="2">
        <v>59.0</v>
      </c>
      <c r="H891" s="2" t="s">
        <v>5906</v>
      </c>
      <c r="I891" s="2" t="s">
        <v>5905</v>
      </c>
      <c r="J891" s="2" t="s">
        <v>24636</v>
      </c>
      <c r="K891" s="2" t="s">
        <v>30841</v>
      </c>
    </row>
    <row r="892">
      <c r="A892" s="2" t="s">
        <v>30817</v>
      </c>
      <c r="B892" s="2" t="s">
        <v>30842</v>
      </c>
      <c r="C892" s="2">
        <v>2.105512444E9</v>
      </c>
      <c r="D892" s="2" t="s">
        <v>30843</v>
      </c>
      <c r="E892" s="2">
        <v>42446.0</v>
      </c>
      <c r="F892" s="2">
        <v>12.0</v>
      </c>
      <c r="G892" s="2">
        <v>638.0</v>
      </c>
      <c r="H892" s="2" t="s">
        <v>5905</v>
      </c>
      <c r="I892" s="2" t="s">
        <v>5906</v>
      </c>
      <c r="J892" s="2" t="s">
        <v>30844</v>
      </c>
      <c r="K892" s="2" t="s">
        <v>30845</v>
      </c>
      <c r="L892" s="10" t="s">
        <v>30846</v>
      </c>
    </row>
    <row r="893">
      <c r="A893" s="2" t="s">
        <v>30817</v>
      </c>
      <c r="B893" s="2" t="s">
        <v>30847</v>
      </c>
      <c r="C893" s="2">
        <v>3.701180736E9</v>
      </c>
      <c r="D893" s="2" t="s">
        <v>30848</v>
      </c>
      <c r="E893" s="2">
        <v>13596.0</v>
      </c>
      <c r="F893" s="2">
        <v>2890.0</v>
      </c>
      <c r="G893" s="2">
        <v>654.0</v>
      </c>
      <c r="H893" s="2" t="s">
        <v>5906</v>
      </c>
      <c r="I893" s="2" t="s">
        <v>5906</v>
      </c>
      <c r="J893" s="2" t="s">
        <v>7296</v>
      </c>
      <c r="K893" s="2" t="s">
        <v>30849</v>
      </c>
      <c r="L893" s="10" t="s">
        <v>30850</v>
      </c>
    </row>
    <row r="894">
      <c r="A894" s="2" t="s">
        <v>30851</v>
      </c>
      <c r="B894" s="2" t="s">
        <v>30852</v>
      </c>
      <c r="C894" s="2">
        <v>3.264673215E9</v>
      </c>
      <c r="D894" s="2" t="s">
        <v>30853</v>
      </c>
      <c r="E894" s="2">
        <v>17874.0</v>
      </c>
      <c r="F894" s="2">
        <v>7498.0</v>
      </c>
      <c r="G894" s="2">
        <v>1061.0</v>
      </c>
      <c r="H894" s="2" t="s">
        <v>5906</v>
      </c>
      <c r="I894" s="2" t="s">
        <v>5905</v>
      </c>
      <c r="J894" s="2" t="s">
        <v>5928</v>
      </c>
      <c r="K894" s="2" t="s">
        <v>30854</v>
      </c>
      <c r="L894" s="10" t="s">
        <v>30855</v>
      </c>
    </row>
    <row r="895">
      <c r="A895" s="2" t="s">
        <v>30851</v>
      </c>
      <c r="B895" s="2" t="s">
        <v>30856</v>
      </c>
      <c r="C895" s="2">
        <v>2.956150281E9</v>
      </c>
      <c r="D895" s="2" t="s">
        <v>30857</v>
      </c>
      <c r="E895" s="2">
        <v>60409.0</v>
      </c>
      <c r="F895" s="2">
        <v>2.0</v>
      </c>
      <c r="G895" s="2">
        <v>181.0</v>
      </c>
      <c r="H895" s="2" t="s">
        <v>5906</v>
      </c>
      <c r="I895" s="2" t="s">
        <v>5906</v>
      </c>
      <c r="J895" s="2" t="s">
        <v>7431</v>
      </c>
      <c r="K895" s="2" t="s">
        <v>30858</v>
      </c>
      <c r="L895" s="10" t="s">
        <v>30859</v>
      </c>
    </row>
    <row r="896">
      <c r="A896" s="2" t="s">
        <v>30860</v>
      </c>
      <c r="B896" s="2" t="s">
        <v>30861</v>
      </c>
      <c r="C896" s="2">
        <v>3.732737474E9</v>
      </c>
      <c r="D896" s="2" t="s">
        <v>30862</v>
      </c>
      <c r="E896" s="2">
        <v>71336.0</v>
      </c>
      <c r="F896" s="2">
        <v>1704.0</v>
      </c>
      <c r="G896" s="2">
        <v>312.0</v>
      </c>
      <c r="H896" s="2" t="s">
        <v>5905</v>
      </c>
      <c r="I896" s="2" t="s">
        <v>5906</v>
      </c>
      <c r="J896" s="2" t="s">
        <v>5391</v>
      </c>
      <c r="K896" s="2" t="s">
        <v>30863</v>
      </c>
    </row>
    <row r="897">
      <c r="A897" s="2" t="s">
        <v>30864</v>
      </c>
      <c r="B897" s="2" t="s">
        <v>30865</v>
      </c>
      <c r="C897" s="2">
        <v>7.654371784E9</v>
      </c>
      <c r="D897" s="2" t="s">
        <v>30866</v>
      </c>
      <c r="E897" s="2">
        <v>10204.0</v>
      </c>
      <c r="F897" s="2">
        <v>322.0</v>
      </c>
      <c r="G897" s="2">
        <v>37.0</v>
      </c>
      <c r="H897" s="2" t="s">
        <v>5905</v>
      </c>
      <c r="I897" s="2" t="s">
        <v>5906</v>
      </c>
      <c r="J897" s="2" t="s">
        <v>14778</v>
      </c>
      <c r="K897" s="2" t="s">
        <v>30867</v>
      </c>
      <c r="L897" s="10" t="s">
        <v>30868</v>
      </c>
    </row>
    <row r="898">
      <c r="A898" s="2" t="s">
        <v>30869</v>
      </c>
      <c r="B898" s="2" t="s">
        <v>30755</v>
      </c>
      <c r="C898" s="2">
        <v>2.07797945E9</v>
      </c>
      <c r="D898" s="2" t="s">
        <v>30756</v>
      </c>
      <c r="E898" s="2">
        <v>36031.0</v>
      </c>
      <c r="F898" s="2">
        <v>57.0</v>
      </c>
      <c r="G898" s="2">
        <v>111.0</v>
      </c>
      <c r="H898" s="2" t="s">
        <v>5905</v>
      </c>
      <c r="I898" s="2" t="s">
        <v>5906</v>
      </c>
      <c r="J898" s="2" t="s">
        <v>6166</v>
      </c>
      <c r="K898" s="2" t="s">
        <v>30757</v>
      </c>
      <c r="L898" s="10" t="s">
        <v>30758</v>
      </c>
    </row>
    <row r="899">
      <c r="A899" s="2" t="s">
        <v>30870</v>
      </c>
      <c r="B899" s="2" t="s">
        <v>30871</v>
      </c>
      <c r="C899" s="2">
        <v>3.882959349E9</v>
      </c>
      <c r="D899" s="2" t="s">
        <v>30872</v>
      </c>
      <c r="E899" s="2">
        <v>22657.0</v>
      </c>
      <c r="F899" s="2">
        <v>2591.0</v>
      </c>
      <c r="G899" s="2">
        <v>102.0</v>
      </c>
      <c r="H899" s="2" t="s">
        <v>5905</v>
      </c>
      <c r="I899" s="2" t="s">
        <v>5905</v>
      </c>
      <c r="J899" s="2" t="s">
        <v>14778</v>
      </c>
      <c r="K899" s="2" t="s">
        <v>30873</v>
      </c>
      <c r="L899" s="10" t="s">
        <v>30874</v>
      </c>
    </row>
    <row r="900">
      <c r="A900" s="2" t="s">
        <v>30870</v>
      </c>
      <c r="B900" s="2" t="s">
        <v>30760</v>
      </c>
      <c r="C900" s="2">
        <v>3.6393782E7</v>
      </c>
      <c r="D900" s="2" t="s">
        <v>30761</v>
      </c>
      <c r="E900" s="2">
        <v>27232.0</v>
      </c>
      <c r="F900" s="2">
        <v>771.0</v>
      </c>
      <c r="G900" s="2">
        <v>3141.0</v>
      </c>
      <c r="H900" s="2" t="s">
        <v>5905</v>
      </c>
      <c r="I900" s="2" t="s">
        <v>5906</v>
      </c>
      <c r="J900" s="2" t="s">
        <v>14778</v>
      </c>
      <c r="K900" s="2" t="s">
        <v>30762</v>
      </c>
    </row>
    <row r="901">
      <c r="A901" s="2" t="s">
        <v>30870</v>
      </c>
      <c r="B901" s="2" t="s">
        <v>30875</v>
      </c>
      <c r="C901" s="2">
        <v>1.637370132E9</v>
      </c>
      <c r="D901" s="2" t="s">
        <v>30876</v>
      </c>
      <c r="E901" s="2">
        <v>44591.0</v>
      </c>
      <c r="F901" s="2">
        <v>2218.0</v>
      </c>
      <c r="G901" s="2">
        <v>719.0</v>
      </c>
      <c r="H901" s="2" t="s">
        <v>5906</v>
      </c>
      <c r="I901" s="2" t="s">
        <v>5905</v>
      </c>
      <c r="J901" s="2" t="s">
        <v>5391</v>
      </c>
      <c r="K901" s="2" t="s">
        <v>30877</v>
      </c>
    </row>
    <row r="902">
      <c r="A902" s="2" t="s">
        <v>30870</v>
      </c>
      <c r="B902" s="2" t="s">
        <v>30865</v>
      </c>
      <c r="C902" s="2">
        <v>7.654371784E9</v>
      </c>
      <c r="D902" s="2" t="s">
        <v>30866</v>
      </c>
      <c r="E902" s="2">
        <v>10204.0</v>
      </c>
      <c r="F902" s="2">
        <v>322.0</v>
      </c>
      <c r="G902" s="2">
        <v>37.0</v>
      </c>
      <c r="H902" s="2" t="s">
        <v>5905</v>
      </c>
      <c r="I902" s="2" t="s">
        <v>5906</v>
      </c>
      <c r="J902" s="2" t="s">
        <v>14778</v>
      </c>
      <c r="K902" s="2" t="s">
        <v>30867</v>
      </c>
      <c r="L902" s="10" t="s">
        <v>30868</v>
      </c>
    </row>
    <row r="903">
      <c r="A903" s="2" t="s">
        <v>30878</v>
      </c>
      <c r="B903" s="2" t="s">
        <v>30879</v>
      </c>
      <c r="C903" s="2">
        <v>2.33900993E8</v>
      </c>
      <c r="D903" s="2" t="s">
        <v>30880</v>
      </c>
      <c r="E903" s="2">
        <v>13262.0</v>
      </c>
      <c r="F903" s="2">
        <v>2472.0</v>
      </c>
      <c r="G903" s="2">
        <v>1034.0</v>
      </c>
      <c r="H903" s="2" t="s">
        <v>5906</v>
      </c>
      <c r="I903" s="2" t="s">
        <v>5905</v>
      </c>
      <c r="J903" s="2" t="s">
        <v>14778</v>
      </c>
      <c r="K903" s="2" t="s">
        <v>30881</v>
      </c>
      <c r="L903" s="10" t="s">
        <v>30882</v>
      </c>
    </row>
    <row r="904">
      <c r="A904" s="2" t="s">
        <v>30878</v>
      </c>
      <c r="B904" s="2" t="s">
        <v>30883</v>
      </c>
      <c r="C904" s="2">
        <v>2.26834059E8</v>
      </c>
      <c r="D904" s="2" t="s">
        <v>30884</v>
      </c>
      <c r="E904" s="2">
        <v>14599.0</v>
      </c>
      <c r="F904" s="2">
        <v>3296.0</v>
      </c>
      <c r="G904" s="2">
        <v>1585.0</v>
      </c>
      <c r="H904" s="2" t="s">
        <v>5905</v>
      </c>
      <c r="I904" s="2" t="s">
        <v>5905</v>
      </c>
      <c r="J904" s="2" t="s">
        <v>7414</v>
      </c>
      <c r="K904" s="2" t="s">
        <v>30885</v>
      </c>
    </row>
    <row r="905">
      <c r="A905" s="2" t="s">
        <v>30878</v>
      </c>
      <c r="B905" s="2" t="s">
        <v>30886</v>
      </c>
      <c r="C905" s="2">
        <v>1.259846026E9</v>
      </c>
      <c r="D905" s="2" t="s">
        <v>30887</v>
      </c>
      <c r="E905" s="2">
        <v>115907.0</v>
      </c>
      <c r="F905" s="2">
        <v>133.0</v>
      </c>
      <c r="G905" s="2">
        <v>1274.0</v>
      </c>
      <c r="H905" s="2" t="s">
        <v>5905</v>
      </c>
      <c r="I905" s="2" t="s">
        <v>5905</v>
      </c>
      <c r="J905" s="2" t="s">
        <v>5993</v>
      </c>
      <c r="K905" s="2" t="s">
        <v>30888</v>
      </c>
      <c r="L905" s="10" t="s">
        <v>30889</v>
      </c>
    </row>
    <row r="906">
      <c r="A906" s="2" t="s">
        <v>30878</v>
      </c>
      <c r="B906" s="2" t="s">
        <v>30890</v>
      </c>
      <c r="C906" s="2">
        <v>1.997823817E9</v>
      </c>
      <c r="D906" s="2" t="s">
        <v>30891</v>
      </c>
      <c r="E906" s="2">
        <v>11747.0</v>
      </c>
      <c r="F906" s="2">
        <v>2515.0</v>
      </c>
      <c r="G906" s="2">
        <v>1338.0</v>
      </c>
      <c r="H906" s="2" t="s">
        <v>5905</v>
      </c>
      <c r="I906" s="2" t="s">
        <v>5905</v>
      </c>
      <c r="J906" s="2" t="s">
        <v>14778</v>
      </c>
      <c r="K906" s="2" t="s">
        <v>30892</v>
      </c>
      <c r="L906" s="10" t="s">
        <v>30893</v>
      </c>
    </row>
    <row r="907">
      <c r="A907" s="2" t="s">
        <v>30894</v>
      </c>
      <c r="B907" s="2" t="s">
        <v>30895</v>
      </c>
      <c r="C907" s="2">
        <v>4.8907701522E10</v>
      </c>
      <c r="D907" s="2" t="s">
        <v>30896</v>
      </c>
      <c r="E907" s="2">
        <v>17167.0</v>
      </c>
      <c r="F907" s="2">
        <v>5800.0</v>
      </c>
      <c r="G907" s="2">
        <v>2259.0</v>
      </c>
      <c r="H907" s="2" t="s">
        <v>5905</v>
      </c>
      <c r="I907" s="2" t="s">
        <v>5905</v>
      </c>
      <c r="J907" s="2" t="s">
        <v>22861</v>
      </c>
      <c r="K907" s="2" t="s">
        <v>30897</v>
      </c>
      <c r="L907" s="10" t="s">
        <v>30898</v>
      </c>
    </row>
    <row r="908">
      <c r="A908" s="2" t="s">
        <v>30899</v>
      </c>
      <c r="B908" s="2" t="s">
        <v>30900</v>
      </c>
      <c r="C908" s="2">
        <v>5.662741104E9</v>
      </c>
      <c r="D908" s="2" t="s">
        <v>30901</v>
      </c>
      <c r="E908" s="2">
        <v>10101.0</v>
      </c>
      <c r="F908" s="2">
        <v>1605.0</v>
      </c>
      <c r="G908" s="2">
        <v>401.0</v>
      </c>
      <c r="H908" s="2" t="s">
        <v>5905</v>
      </c>
      <c r="I908" s="2" t="s">
        <v>5906</v>
      </c>
      <c r="J908" s="2" t="s">
        <v>5391</v>
      </c>
      <c r="K908" s="2" t="s">
        <v>30902</v>
      </c>
    </row>
    <row r="909">
      <c r="A909" s="2" t="s">
        <v>30899</v>
      </c>
      <c r="B909" s="2" t="s">
        <v>30903</v>
      </c>
      <c r="C909" s="2">
        <v>7.1591051484E10</v>
      </c>
      <c r="D909" s="2" t="s">
        <v>30904</v>
      </c>
      <c r="E909" s="2">
        <v>28324.0</v>
      </c>
      <c r="F909" s="2">
        <v>1.0</v>
      </c>
      <c r="G909" s="2">
        <v>36.0</v>
      </c>
      <c r="H909" s="2" t="s">
        <v>5905</v>
      </c>
      <c r="I909" s="2" t="s">
        <v>5905</v>
      </c>
      <c r="K909" s="2" t="s">
        <v>30905</v>
      </c>
      <c r="L909" s="10" t="s">
        <v>30906</v>
      </c>
    </row>
    <row r="910">
      <c r="A910" s="2" t="s">
        <v>30907</v>
      </c>
      <c r="B910" s="2" t="s">
        <v>30908</v>
      </c>
      <c r="C910" s="2">
        <v>2.65027312E8</v>
      </c>
      <c r="D910" s="2" t="s">
        <v>30909</v>
      </c>
      <c r="E910" s="2">
        <v>12152.0</v>
      </c>
      <c r="F910" s="2">
        <v>915.0</v>
      </c>
      <c r="G910" s="2">
        <v>409.0</v>
      </c>
      <c r="H910" s="2" t="s">
        <v>5905</v>
      </c>
      <c r="I910" s="2" t="s">
        <v>5905</v>
      </c>
      <c r="J910" s="2" t="s">
        <v>5492</v>
      </c>
      <c r="K910" s="2" t="s">
        <v>30910</v>
      </c>
      <c r="L910" s="10" t="s">
        <v>30911</v>
      </c>
    </row>
    <row r="911">
      <c r="A911" s="2" t="s">
        <v>30912</v>
      </c>
      <c r="B911" s="2" t="s">
        <v>30913</v>
      </c>
      <c r="C911" s="2">
        <v>6.0817161464E10</v>
      </c>
      <c r="D911" s="2" t="s">
        <v>30914</v>
      </c>
      <c r="E911" s="2">
        <v>125134.0</v>
      </c>
      <c r="F911" s="2">
        <v>6103.0</v>
      </c>
      <c r="G911" s="2">
        <v>3815.0</v>
      </c>
      <c r="H911" s="2" t="s">
        <v>5905</v>
      </c>
      <c r="I911" s="2" t="s">
        <v>5905</v>
      </c>
      <c r="J911" s="2" t="s">
        <v>5959</v>
      </c>
      <c r="K911" s="2" t="s">
        <v>30915</v>
      </c>
      <c r="L911" s="10" t="s">
        <v>30916</v>
      </c>
    </row>
    <row r="912">
      <c r="A912" s="2" t="s">
        <v>30917</v>
      </c>
      <c r="B912" s="2" t="s">
        <v>30918</v>
      </c>
      <c r="C912" s="2">
        <v>4.98254544E8</v>
      </c>
      <c r="D912" s="2" t="s">
        <v>30919</v>
      </c>
      <c r="E912" s="2">
        <v>15517.0</v>
      </c>
      <c r="F912" s="2">
        <v>7473.0</v>
      </c>
      <c r="G912" s="2">
        <v>639.0</v>
      </c>
      <c r="H912" s="2" t="s">
        <v>5905</v>
      </c>
      <c r="I912" s="2" t="s">
        <v>5906</v>
      </c>
      <c r="J912" s="2" t="s">
        <v>7414</v>
      </c>
      <c r="K912" s="2" t="s">
        <v>30920</v>
      </c>
      <c r="L912" s="10" t="s">
        <v>30921</v>
      </c>
    </row>
    <row r="913">
      <c r="A913" s="2" t="s">
        <v>30917</v>
      </c>
      <c r="B913" s="2" t="s">
        <v>30922</v>
      </c>
      <c r="C913" s="2">
        <v>8.662493317E9</v>
      </c>
      <c r="D913" s="2" t="s">
        <v>30923</v>
      </c>
      <c r="E913" s="2">
        <v>61760.0</v>
      </c>
      <c r="F913" s="2">
        <v>77.0</v>
      </c>
      <c r="G913" s="2">
        <v>544.0</v>
      </c>
      <c r="H913" s="2" t="s">
        <v>5905</v>
      </c>
      <c r="I913" s="2" t="s">
        <v>5905</v>
      </c>
      <c r="J913" s="2" t="s">
        <v>7414</v>
      </c>
      <c r="K913" s="2" t="s">
        <v>30924</v>
      </c>
    </row>
    <row r="914">
      <c r="A914" s="2" t="s">
        <v>30917</v>
      </c>
      <c r="B914" s="2" t="s">
        <v>30925</v>
      </c>
      <c r="C914" s="2">
        <v>5.63286274E9</v>
      </c>
      <c r="D914" s="2" t="s">
        <v>30926</v>
      </c>
      <c r="E914" s="2">
        <v>79981.0</v>
      </c>
      <c r="F914" s="2">
        <v>2447.0</v>
      </c>
      <c r="G914" s="2">
        <v>1232.0</v>
      </c>
      <c r="H914" s="2" t="s">
        <v>5905</v>
      </c>
      <c r="I914" s="2" t="s">
        <v>5905</v>
      </c>
      <c r="J914" s="2" t="s">
        <v>5391</v>
      </c>
      <c r="K914" s="2" t="s">
        <v>30927</v>
      </c>
      <c r="L914" s="10" t="s">
        <v>30928</v>
      </c>
    </row>
    <row r="915">
      <c r="A915" s="2" t="s">
        <v>30929</v>
      </c>
      <c r="B915" s="10" t="s">
        <v>28592</v>
      </c>
      <c r="C915" s="2">
        <v>1.0423295356E10</v>
      </c>
      <c r="D915" s="2" t="s">
        <v>28593</v>
      </c>
      <c r="E915" s="2">
        <v>10429.0</v>
      </c>
      <c r="F915" s="2">
        <v>1614.0</v>
      </c>
      <c r="G915" s="2">
        <v>463.0</v>
      </c>
      <c r="H915" s="2" t="s">
        <v>5905</v>
      </c>
      <c r="I915" s="2" t="s">
        <v>5906</v>
      </c>
      <c r="J915" s="2" t="s">
        <v>5963</v>
      </c>
      <c r="K915" s="2" t="s">
        <v>28594</v>
      </c>
      <c r="L915" s="10" t="s">
        <v>28595</v>
      </c>
    </row>
    <row r="916">
      <c r="A916" s="2" t="s">
        <v>30929</v>
      </c>
      <c r="B916" s="2" t="s">
        <v>28596</v>
      </c>
      <c r="C916" s="2">
        <v>3.616441964E9</v>
      </c>
      <c r="D916" s="2" t="s">
        <v>28597</v>
      </c>
      <c r="E916" s="2">
        <v>17762.0</v>
      </c>
      <c r="F916" s="2">
        <v>1890.0</v>
      </c>
      <c r="G916" s="2">
        <v>434.0</v>
      </c>
      <c r="H916" s="2" t="s">
        <v>5905</v>
      </c>
      <c r="I916" s="2" t="s">
        <v>5905</v>
      </c>
      <c r="K916" s="2" t="s">
        <v>28598</v>
      </c>
      <c r="L916" s="10" t="s">
        <v>28599</v>
      </c>
    </row>
    <row r="917">
      <c r="A917" s="2" t="s">
        <v>30930</v>
      </c>
      <c r="B917" s="2" t="s">
        <v>30931</v>
      </c>
      <c r="C917" s="2">
        <v>3.61770438E8</v>
      </c>
      <c r="D917" s="2" t="s">
        <v>30932</v>
      </c>
      <c r="E917" s="2">
        <v>14603.0</v>
      </c>
      <c r="F917" s="2">
        <v>383.0</v>
      </c>
      <c r="G917" s="2">
        <v>4445.0</v>
      </c>
      <c r="H917" s="2" t="s">
        <v>5905</v>
      </c>
      <c r="I917" s="2" t="s">
        <v>5906</v>
      </c>
      <c r="K917" s="2" t="s">
        <v>30933</v>
      </c>
      <c r="L917" s="10" t="s">
        <v>30934</v>
      </c>
    </row>
    <row r="918">
      <c r="A918" s="2" t="s">
        <v>30930</v>
      </c>
      <c r="B918" s="2" t="s">
        <v>30935</v>
      </c>
      <c r="C918" s="2">
        <v>6.6372402056E10</v>
      </c>
      <c r="D918" s="2" t="s">
        <v>30936</v>
      </c>
      <c r="E918" s="2">
        <v>13173.0</v>
      </c>
      <c r="F918" s="2">
        <v>61.0</v>
      </c>
      <c r="G918" s="2">
        <v>149.0</v>
      </c>
      <c r="H918" s="2" t="s">
        <v>5906</v>
      </c>
      <c r="I918" s="2" t="s">
        <v>5906</v>
      </c>
      <c r="J918" s="2" t="s">
        <v>17753</v>
      </c>
      <c r="K918" s="2" t="s">
        <v>30937</v>
      </c>
      <c r="L918" s="10" t="s">
        <v>30938</v>
      </c>
    </row>
    <row r="919">
      <c r="A919" s="2" t="s">
        <v>30930</v>
      </c>
      <c r="B919" s="2" t="s">
        <v>30939</v>
      </c>
      <c r="C919" s="2">
        <v>7.810030091E9</v>
      </c>
      <c r="D919" s="2" t="s">
        <v>30940</v>
      </c>
      <c r="E919" s="2">
        <v>18118.0</v>
      </c>
      <c r="F919" s="2">
        <v>3.0</v>
      </c>
      <c r="G919" s="2">
        <v>374.0</v>
      </c>
      <c r="H919" s="2" t="s">
        <v>5906</v>
      </c>
      <c r="I919" s="2" t="s">
        <v>5905</v>
      </c>
      <c r="J919" s="2" t="s">
        <v>7414</v>
      </c>
      <c r="K919" s="2" t="s">
        <v>30941</v>
      </c>
      <c r="L919" s="10" t="s">
        <v>30942</v>
      </c>
    </row>
    <row r="920">
      <c r="A920" s="2" t="s">
        <v>30943</v>
      </c>
      <c r="B920" s="2" t="s">
        <v>28070</v>
      </c>
      <c r="C920" s="2">
        <v>3.080370122E9</v>
      </c>
      <c r="D920" s="2" t="s">
        <v>28071</v>
      </c>
      <c r="E920" s="2">
        <v>50124.0</v>
      </c>
      <c r="F920" s="2">
        <v>1025.0</v>
      </c>
      <c r="G920" s="2">
        <v>265.0</v>
      </c>
      <c r="H920" s="2" t="s">
        <v>5905</v>
      </c>
      <c r="I920" s="2" t="s">
        <v>5905</v>
      </c>
      <c r="J920" s="2" t="s">
        <v>5993</v>
      </c>
      <c r="K920" s="2" t="s">
        <v>28072</v>
      </c>
      <c r="L920" s="10" t="s">
        <v>28073</v>
      </c>
    </row>
    <row r="921">
      <c r="A921" s="2" t="s">
        <v>30944</v>
      </c>
      <c r="B921" s="2" t="s">
        <v>30945</v>
      </c>
      <c r="C921" s="2">
        <v>1.818814864E9</v>
      </c>
      <c r="D921" s="2" t="s">
        <v>30946</v>
      </c>
      <c r="E921" s="2">
        <v>297353.0</v>
      </c>
      <c r="F921" s="2">
        <v>4342.0</v>
      </c>
      <c r="G921" s="2">
        <v>3035.0</v>
      </c>
      <c r="H921" s="2" t="s">
        <v>5906</v>
      </c>
      <c r="I921" s="2" t="s">
        <v>5905</v>
      </c>
      <c r="J921" s="2" t="s">
        <v>5391</v>
      </c>
      <c r="K921" s="2" t="s">
        <v>30947</v>
      </c>
      <c r="L921" s="10" t="s">
        <v>30948</v>
      </c>
    </row>
    <row r="922">
      <c r="A922" s="2" t="s">
        <v>30949</v>
      </c>
      <c r="B922" s="2" t="s">
        <v>30950</v>
      </c>
      <c r="C922" s="2">
        <v>2.619666372E9</v>
      </c>
      <c r="D922" s="2" t="s">
        <v>30951</v>
      </c>
      <c r="E922" s="2">
        <v>13236.0</v>
      </c>
      <c r="F922" s="2">
        <v>488.0</v>
      </c>
      <c r="G922" s="2">
        <v>3182.0</v>
      </c>
      <c r="H922" s="2" t="s">
        <v>5905</v>
      </c>
      <c r="I922" s="2" t="s">
        <v>5906</v>
      </c>
      <c r="K922" s="2" t="s">
        <v>30952</v>
      </c>
      <c r="L922" s="10" t="s">
        <v>30953</v>
      </c>
    </row>
    <row r="923">
      <c r="A923" s="2" t="s">
        <v>30949</v>
      </c>
      <c r="B923" s="2" t="s">
        <v>30954</v>
      </c>
      <c r="C923" s="2">
        <v>2.0966987E8</v>
      </c>
      <c r="D923" s="2" t="s">
        <v>30955</v>
      </c>
      <c r="E923" s="2">
        <v>10465.0</v>
      </c>
      <c r="F923" s="2">
        <v>476.0</v>
      </c>
      <c r="G923" s="2">
        <v>97.0</v>
      </c>
      <c r="H923" s="2" t="s">
        <v>5905</v>
      </c>
      <c r="I923" s="2" t="s">
        <v>5906</v>
      </c>
      <c r="J923" s="2" t="s">
        <v>6393</v>
      </c>
      <c r="K923" s="2" t="s">
        <v>30956</v>
      </c>
    </row>
    <row r="924">
      <c r="A924" s="2" t="s">
        <v>30957</v>
      </c>
      <c r="B924" s="2" t="s">
        <v>30958</v>
      </c>
      <c r="C924" s="2">
        <v>7.4451210042E10</v>
      </c>
      <c r="D924" s="2" t="s">
        <v>30959</v>
      </c>
      <c r="E924" s="2">
        <v>10110.0</v>
      </c>
      <c r="F924" s="2">
        <v>68.0</v>
      </c>
      <c r="G924" s="2">
        <v>21.0</v>
      </c>
      <c r="H924" s="2" t="s">
        <v>5905</v>
      </c>
      <c r="I924" s="2" t="s">
        <v>5906</v>
      </c>
      <c r="J924" s="2" t="s">
        <v>7296</v>
      </c>
    </row>
    <row r="925">
      <c r="A925" s="2" t="s">
        <v>30960</v>
      </c>
      <c r="B925" s="2" t="s">
        <v>30961</v>
      </c>
      <c r="C925" s="2">
        <v>5.2727015994E10</v>
      </c>
      <c r="D925" s="2" t="s">
        <v>30962</v>
      </c>
      <c r="E925" s="2">
        <v>12125.0</v>
      </c>
      <c r="F925" s="2">
        <v>48.0</v>
      </c>
      <c r="G925" s="2">
        <v>246.0</v>
      </c>
      <c r="H925" s="2" t="s">
        <v>5905</v>
      </c>
      <c r="I925" s="2" t="s">
        <v>5906</v>
      </c>
      <c r="J925" s="2" t="s">
        <v>11316</v>
      </c>
      <c r="K925" s="2" t="s">
        <v>30963</v>
      </c>
    </row>
    <row r="926">
      <c r="A926" s="2" t="s">
        <v>30964</v>
      </c>
      <c r="B926" s="2" t="s">
        <v>30965</v>
      </c>
      <c r="C926" s="2">
        <v>1.596627409E9</v>
      </c>
      <c r="D926" s="2" t="s">
        <v>30966</v>
      </c>
      <c r="E926" s="2">
        <v>13531.0</v>
      </c>
      <c r="F926" s="2">
        <v>3524.0</v>
      </c>
      <c r="G926" s="2">
        <v>1302.0</v>
      </c>
      <c r="H926" s="2" t="s">
        <v>5905</v>
      </c>
      <c r="I926" s="2" t="s">
        <v>5906</v>
      </c>
      <c r="J926" s="2" t="s">
        <v>11797</v>
      </c>
      <c r="K926" s="2" t="s">
        <v>30967</v>
      </c>
      <c r="L926" s="10" t="s">
        <v>30968</v>
      </c>
    </row>
    <row r="927">
      <c r="A927" s="2" t="s">
        <v>30969</v>
      </c>
      <c r="B927" s="2" t="s">
        <v>30970</v>
      </c>
      <c r="C927" s="2">
        <v>5.6022544293E10</v>
      </c>
      <c r="D927" s="2" t="s">
        <v>30971</v>
      </c>
      <c r="E927" s="2">
        <v>81034.0</v>
      </c>
      <c r="F927" s="2">
        <v>1001.0</v>
      </c>
      <c r="G927" s="2">
        <v>370.0</v>
      </c>
      <c r="H927" s="2" t="s">
        <v>5905</v>
      </c>
      <c r="I927" s="2" t="s">
        <v>5905</v>
      </c>
      <c r="J927" s="2" t="s">
        <v>5993</v>
      </c>
      <c r="K927" s="2" t="s">
        <v>30972</v>
      </c>
    </row>
    <row r="928">
      <c r="A928" s="2" t="s">
        <v>30969</v>
      </c>
      <c r="B928" s="2" t="s">
        <v>30973</v>
      </c>
      <c r="C928" s="2">
        <v>4.1394007E9</v>
      </c>
      <c r="D928" s="2" t="s">
        <v>30974</v>
      </c>
      <c r="E928" s="2">
        <v>18158.0</v>
      </c>
      <c r="F928" s="2">
        <v>7500.0</v>
      </c>
      <c r="G928" s="2">
        <v>5620.0</v>
      </c>
      <c r="H928" s="2" t="s">
        <v>5905</v>
      </c>
      <c r="I928" s="2" t="s">
        <v>5905</v>
      </c>
      <c r="K928" s="2" t="s">
        <v>30975</v>
      </c>
      <c r="L928" s="10" t="s">
        <v>30976</v>
      </c>
    </row>
    <row r="929">
      <c r="A929" s="2" t="s">
        <v>30969</v>
      </c>
      <c r="B929" s="2" t="s">
        <v>30474</v>
      </c>
      <c r="C929" s="2">
        <v>5.3712104E7</v>
      </c>
      <c r="D929" s="2" t="s">
        <v>30475</v>
      </c>
      <c r="E929" s="2">
        <v>53197.0</v>
      </c>
      <c r="F929" s="2">
        <v>7497.0</v>
      </c>
      <c r="G929" s="2">
        <v>4135.0</v>
      </c>
      <c r="H929" s="2" t="s">
        <v>5905</v>
      </c>
      <c r="I929" s="2" t="s">
        <v>5905</v>
      </c>
      <c r="J929" s="2" t="s">
        <v>6393</v>
      </c>
      <c r="K929" s="2" t="s">
        <v>30476</v>
      </c>
    </row>
    <row r="930">
      <c r="A930" s="2" t="s">
        <v>30977</v>
      </c>
      <c r="B930" s="2" t="s">
        <v>30978</v>
      </c>
      <c r="C930" s="2">
        <v>9.7364549E8</v>
      </c>
      <c r="D930" s="2" t="s">
        <v>30979</v>
      </c>
      <c r="E930" s="2">
        <v>70703.0</v>
      </c>
      <c r="F930" s="2">
        <v>1687.0</v>
      </c>
      <c r="G930" s="2">
        <v>1074.0</v>
      </c>
      <c r="H930" s="2" t="s">
        <v>5906</v>
      </c>
      <c r="I930" s="2" t="s">
        <v>5905</v>
      </c>
      <c r="J930" s="2" t="s">
        <v>14778</v>
      </c>
      <c r="K930" s="2" t="s">
        <v>30980</v>
      </c>
      <c r="L930" s="10" t="s">
        <v>30981</v>
      </c>
    </row>
    <row r="931">
      <c r="A931" s="2" t="s">
        <v>30977</v>
      </c>
      <c r="B931" s="2" t="s">
        <v>30982</v>
      </c>
      <c r="C931" s="2">
        <v>2.135708049E9</v>
      </c>
      <c r="D931" s="2" t="s">
        <v>30983</v>
      </c>
      <c r="E931" s="2">
        <v>121291.0</v>
      </c>
      <c r="F931" s="2">
        <v>124.0</v>
      </c>
      <c r="G931" s="2">
        <v>2370.0</v>
      </c>
      <c r="H931" s="2" t="s">
        <v>5905</v>
      </c>
      <c r="I931" s="2" t="s">
        <v>5905</v>
      </c>
      <c r="J931" s="2" t="s">
        <v>6414</v>
      </c>
      <c r="K931" s="2" t="s">
        <v>30984</v>
      </c>
      <c r="L931" s="10" t="s">
        <v>30985</v>
      </c>
    </row>
    <row r="932">
      <c r="A932" s="2" t="s">
        <v>30977</v>
      </c>
      <c r="B932" s="2" t="s">
        <v>30986</v>
      </c>
      <c r="C932" s="2">
        <v>4.625764707E9</v>
      </c>
      <c r="D932" s="2" t="s">
        <v>30987</v>
      </c>
      <c r="E932" s="2">
        <v>25472.0</v>
      </c>
      <c r="F932" s="2">
        <v>332.0</v>
      </c>
      <c r="G932" s="2">
        <v>354.0</v>
      </c>
      <c r="H932" s="2" t="s">
        <v>5905</v>
      </c>
      <c r="I932" s="2" t="s">
        <v>5905</v>
      </c>
      <c r="J932" s="2" t="s">
        <v>14778</v>
      </c>
      <c r="K932" s="2" t="s">
        <v>30988</v>
      </c>
      <c r="L932" s="10" t="s">
        <v>30989</v>
      </c>
    </row>
    <row r="933">
      <c r="A933" s="2" t="s">
        <v>30977</v>
      </c>
      <c r="B933" s="2" t="s">
        <v>30990</v>
      </c>
      <c r="C933" s="2">
        <v>2.0271193844E10</v>
      </c>
      <c r="D933" s="2" t="s">
        <v>30991</v>
      </c>
      <c r="E933" s="2">
        <v>79190.0</v>
      </c>
      <c r="F933" s="2">
        <v>186.0</v>
      </c>
      <c r="G933" s="2">
        <v>650.0</v>
      </c>
      <c r="H933" s="2" t="s">
        <v>5905</v>
      </c>
      <c r="I933" s="2" t="s">
        <v>5906</v>
      </c>
      <c r="J933" s="2" t="s">
        <v>6393</v>
      </c>
      <c r="K933" s="2" t="s">
        <v>30992</v>
      </c>
    </row>
    <row r="934">
      <c r="A934" s="2" t="s">
        <v>30977</v>
      </c>
      <c r="B934" s="2" t="s">
        <v>30993</v>
      </c>
      <c r="C934" s="2">
        <v>5.1650992376E10</v>
      </c>
      <c r="D934" s="2" t="s">
        <v>30994</v>
      </c>
      <c r="E934" s="2">
        <v>21964.0</v>
      </c>
      <c r="F934" s="2">
        <v>214.0</v>
      </c>
      <c r="G934" s="2">
        <v>317.0</v>
      </c>
      <c r="H934" s="2" t="s">
        <v>5905</v>
      </c>
      <c r="I934" s="2" t="s">
        <v>5906</v>
      </c>
      <c r="J934" s="2" t="s">
        <v>11316</v>
      </c>
      <c r="K934" s="2" t="s">
        <v>30995</v>
      </c>
      <c r="L934" s="10" t="s">
        <v>30996</v>
      </c>
    </row>
    <row r="935">
      <c r="A935" s="2" t="s">
        <v>30977</v>
      </c>
      <c r="B935" s="2" t="s">
        <v>30997</v>
      </c>
      <c r="C935" s="2">
        <v>5.5064209741E10</v>
      </c>
      <c r="D935" s="2" t="s">
        <v>30998</v>
      </c>
      <c r="E935" s="2">
        <v>13148.0</v>
      </c>
      <c r="F935" s="2">
        <v>24.0</v>
      </c>
      <c r="G935" s="2">
        <v>39.0</v>
      </c>
      <c r="H935" s="2" t="s">
        <v>5905</v>
      </c>
      <c r="I935" s="2" t="s">
        <v>5906</v>
      </c>
      <c r="K935" s="2" t="s">
        <v>30999</v>
      </c>
    </row>
    <row r="936">
      <c r="A936" s="2" t="s">
        <v>30977</v>
      </c>
      <c r="B936" s="2" t="s">
        <v>31000</v>
      </c>
      <c r="C936" s="2">
        <v>6.284278046E9</v>
      </c>
      <c r="D936" s="2" t="s">
        <v>31001</v>
      </c>
      <c r="E936" s="2">
        <v>30139.0</v>
      </c>
      <c r="F936" s="2">
        <v>133.0</v>
      </c>
      <c r="G936" s="2">
        <v>1442.0</v>
      </c>
      <c r="H936" s="2" t="s">
        <v>5905</v>
      </c>
      <c r="I936" s="2" t="s">
        <v>5905</v>
      </c>
      <c r="J936" s="2" t="s">
        <v>5959</v>
      </c>
      <c r="K936" s="2" t="s">
        <v>31002</v>
      </c>
      <c r="L936" s="10" t="s">
        <v>31003</v>
      </c>
    </row>
    <row r="937">
      <c r="A937" s="2" t="s">
        <v>30977</v>
      </c>
      <c r="B937" s="2" t="s">
        <v>31004</v>
      </c>
      <c r="C937" s="2">
        <v>4.073176026E9</v>
      </c>
      <c r="D937" s="2" t="s">
        <v>31005</v>
      </c>
      <c r="E937" s="2">
        <v>23351.0</v>
      </c>
      <c r="F937" s="2">
        <v>1409.0</v>
      </c>
      <c r="G937" s="2">
        <v>311.0</v>
      </c>
      <c r="H937" s="2" t="s">
        <v>5905</v>
      </c>
      <c r="I937" s="2" t="s">
        <v>5905</v>
      </c>
      <c r="J937" s="2" t="s">
        <v>14778</v>
      </c>
      <c r="K937" s="2" t="s">
        <v>31006</v>
      </c>
    </row>
    <row r="938">
      <c r="A938" s="2" t="s">
        <v>30977</v>
      </c>
      <c r="B938" s="2" t="s">
        <v>31007</v>
      </c>
      <c r="C938" s="2">
        <v>9.17266407E9</v>
      </c>
      <c r="D938" s="2" t="s">
        <v>31008</v>
      </c>
      <c r="E938" s="2">
        <v>64359.0</v>
      </c>
      <c r="F938" s="2">
        <v>813.0</v>
      </c>
      <c r="G938" s="2">
        <v>1032.0</v>
      </c>
      <c r="H938" s="2" t="s">
        <v>5905</v>
      </c>
      <c r="I938" s="2" t="s">
        <v>5905</v>
      </c>
      <c r="J938" s="2" t="s">
        <v>14778</v>
      </c>
      <c r="K938" s="2" t="s">
        <v>31009</v>
      </c>
    </row>
    <row r="939">
      <c r="A939" s="2" t="s">
        <v>30977</v>
      </c>
      <c r="B939" s="2" t="s">
        <v>31010</v>
      </c>
      <c r="C939" s="2">
        <v>3.43258855E9</v>
      </c>
      <c r="D939" s="2" t="s">
        <v>31011</v>
      </c>
      <c r="E939" s="2">
        <v>16551.0</v>
      </c>
      <c r="F939" s="2">
        <v>520.0</v>
      </c>
      <c r="G939" s="2">
        <v>1439.0</v>
      </c>
      <c r="H939" s="2" t="s">
        <v>5905</v>
      </c>
      <c r="I939" s="2" t="s">
        <v>5905</v>
      </c>
      <c r="J939" s="2" t="s">
        <v>14778</v>
      </c>
      <c r="K939" s="2" t="s">
        <v>31012</v>
      </c>
      <c r="L939" s="10" t="s">
        <v>31013</v>
      </c>
    </row>
    <row r="940">
      <c r="A940" s="2" t="s">
        <v>30977</v>
      </c>
      <c r="B940" s="2" t="s">
        <v>31014</v>
      </c>
      <c r="C940" s="2">
        <v>5.2404239945E10</v>
      </c>
      <c r="D940" s="2" t="s">
        <v>31015</v>
      </c>
      <c r="E940" s="2">
        <v>12172.0</v>
      </c>
      <c r="F940" s="2">
        <v>163.0</v>
      </c>
      <c r="G940" s="2">
        <v>138.0</v>
      </c>
      <c r="H940" s="2" t="s">
        <v>5906</v>
      </c>
      <c r="I940" s="2" t="s">
        <v>5906</v>
      </c>
      <c r="J940" s="2" t="s">
        <v>14778</v>
      </c>
      <c r="K940" s="2" t="s">
        <v>31016</v>
      </c>
    </row>
    <row r="941">
      <c r="A941" s="2" t="s">
        <v>30977</v>
      </c>
      <c r="B941" s="2" t="s">
        <v>31017</v>
      </c>
      <c r="C941" s="2">
        <v>6.195430168E9</v>
      </c>
      <c r="D941" s="2" t="s">
        <v>31018</v>
      </c>
      <c r="E941" s="2">
        <v>142293.0</v>
      </c>
      <c r="F941" s="2">
        <v>364.0</v>
      </c>
      <c r="G941" s="2">
        <v>856.0</v>
      </c>
      <c r="H941" s="2" t="s">
        <v>5906</v>
      </c>
      <c r="I941" s="2" t="s">
        <v>5906</v>
      </c>
      <c r="J941" s="2" t="s">
        <v>14778</v>
      </c>
      <c r="K941" s="2" t="s">
        <v>31019</v>
      </c>
      <c r="L941" s="10" t="s">
        <v>31020</v>
      </c>
    </row>
    <row r="942">
      <c r="A942" s="2" t="s">
        <v>30977</v>
      </c>
      <c r="B942" s="2" t="s">
        <v>31021</v>
      </c>
      <c r="C942" s="2">
        <v>7.771950323E9</v>
      </c>
      <c r="D942" s="2" t="s">
        <v>31022</v>
      </c>
      <c r="E942" s="2">
        <v>338819.0</v>
      </c>
      <c r="F942" s="2">
        <v>2270.0</v>
      </c>
      <c r="G942" s="2">
        <v>833.0</v>
      </c>
      <c r="H942" s="2" t="s">
        <v>5905</v>
      </c>
      <c r="I942" s="2" t="s">
        <v>5905</v>
      </c>
      <c r="J942" s="2" t="s">
        <v>14778</v>
      </c>
      <c r="K942" s="2" t="s">
        <v>31023</v>
      </c>
      <c r="L942" s="10" t="s">
        <v>31024</v>
      </c>
    </row>
    <row r="943">
      <c r="A943" s="2" t="s">
        <v>30977</v>
      </c>
      <c r="B943" s="2" t="s">
        <v>31025</v>
      </c>
      <c r="C943" s="2">
        <v>4.8515727147E10</v>
      </c>
      <c r="D943" s="2" t="s">
        <v>31026</v>
      </c>
      <c r="E943" s="2">
        <v>91781.0</v>
      </c>
      <c r="F943" s="2">
        <v>10.0</v>
      </c>
      <c r="G943" s="2">
        <v>2473.0</v>
      </c>
      <c r="H943" s="2" t="s">
        <v>5905</v>
      </c>
      <c r="I943" s="2" t="s">
        <v>5905</v>
      </c>
      <c r="J943" s="2" t="s">
        <v>5993</v>
      </c>
      <c r="K943" s="2" t="s">
        <v>31027</v>
      </c>
      <c r="L943" s="10" t="s">
        <v>31028</v>
      </c>
    </row>
    <row r="944">
      <c r="A944" s="2" t="s">
        <v>31029</v>
      </c>
      <c r="B944" s="2" t="s">
        <v>31030</v>
      </c>
      <c r="C944" s="2">
        <v>2.330936552E9</v>
      </c>
      <c r="D944" s="2" t="s">
        <v>31031</v>
      </c>
      <c r="E944" s="2">
        <v>11848.0</v>
      </c>
      <c r="F944" s="2">
        <v>3008.0</v>
      </c>
      <c r="G944" s="2">
        <v>466.0</v>
      </c>
      <c r="H944" s="2" t="s">
        <v>5905</v>
      </c>
      <c r="I944" s="2" t="s">
        <v>5905</v>
      </c>
      <c r="J944" s="2" t="s">
        <v>5391</v>
      </c>
      <c r="K944" s="2" t="s">
        <v>31032</v>
      </c>
      <c r="L944" s="10" t="s">
        <v>31033</v>
      </c>
    </row>
    <row r="945">
      <c r="A945" s="2" t="s">
        <v>31034</v>
      </c>
      <c r="B945" s="2" t="s">
        <v>31035</v>
      </c>
      <c r="C945" s="2">
        <v>4.779426506E9</v>
      </c>
      <c r="D945" s="2" t="s">
        <v>31036</v>
      </c>
      <c r="E945" s="2">
        <v>13808.0</v>
      </c>
      <c r="F945" s="2">
        <v>4675.0</v>
      </c>
      <c r="G945" s="2">
        <v>1955.0</v>
      </c>
      <c r="H945" s="2" t="s">
        <v>5905</v>
      </c>
      <c r="I945" s="2" t="s">
        <v>5906</v>
      </c>
      <c r="J945" s="2" t="s">
        <v>8245</v>
      </c>
      <c r="K945" s="2" t="s">
        <v>31037</v>
      </c>
      <c r="L945" s="10" t="s">
        <v>31038</v>
      </c>
    </row>
    <row r="946">
      <c r="A946" s="2" t="s">
        <v>31039</v>
      </c>
      <c r="B946" s="2" t="s">
        <v>31040</v>
      </c>
      <c r="C946" s="2">
        <v>3.250886853E9</v>
      </c>
      <c r="D946" s="2" t="s">
        <v>31041</v>
      </c>
      <c r="E946" s="2">
        <v>602259.0</v>
      </c>
      <c r="F946" s="2">
        <v>0.0</v>
      </c>
      <c r="G946" s="2">
        <v>295.0</v>
      </c>
      <c r="H946" s="2" t="s">
        <v>5906</v>
      </c>
      <c r="I946" s="2" t="s">
        <v>5905</v>
      </c>
      <c r="J946" s="2" t="s">
        <v>9815</v>
      </c>
      <c r="K946" s="2" t="s">
        <v>31042</v>
      </c>
      <c r="L946" s="10" t="s">
        <v>31043</v>
      </c>
    </row>
    <row r="947">
      <c r="A947" s="2" t="s">
        <v>31039</v>
      </c>
      <c r="B947" s="2" t="s">
        <v>31044</v>
      </c>
      <c r="C947" s="2">
        <v>9.885101355E9</v>
      </c>
      <c r="D947" s="2" t="s">
        <v>31045</v>
      </c>
      <c r="E947" s="2">
        <v>17668.0</v>
      </c>
      <c r="F947" s="2">
        <v>2312.0</v>
      </c>
      <c r="G947" s="2">
        <v>588.0</v>
      </c>
      <c r="H947" s="2" t="s">
        <v>5905</v>
      </c>
      <c r="I947" s="2" t="s">
        <v>5905</v>
      </c>
      <c r="K947" s="12" t="s">
        <v>31046</v>
      </c>
      <c r="L947" s="10" t="s">
        <v>31047</v>
      </c>
    </row>
    <row r="948">
      <c r="A948" s="2" t="s">
        <v>31039</v>
      </c>
      <c r="B948" s="2" t="s">
        <v>31048</v>
      </c>
      <c r="C948" s="2">
        <v>3.8929647457E10</v>
      </c>
      <c r="D948" s="2" t="s">
        <v>31049</v>
      </c>
      <c r="E948" s="2">
        <v>167423.0</v>
      </c>
      <c r="F948" s="2">
        <v>2.0</v>
      </c>
      <c r="G948" s="2">
        <v>1133.0</v>
      </c>
      <c r="H948" s="2" t="s">
        <v>5905</v>
      </c>
      <c r="I948" s="2" t="s">
        <v>5906</v>
      </c>
      <c r="J948" s="2" t="s">
        <v>5959</v>
      </c>
      <c r="K948" s="2" t="s">
        <v>31050</v>
      </c>
      <c r="L948" s="10" t="s">
        <v>31051</v>
      </c>
    </row>
    <row r="949">
      <c r="A949" s="2" t="s">
        <v>31052</v>
      </c>
      <c r="B949" s="2" t="s">
        <v>31053</v>
      </c>
      <c r="C949" s="2">
        <v>7.85347039E9</v>
      </c>
      <c r="D949" s="2" t="s">
        <v>31054</v>
      </c>
      <c r="E949" s="2">
        <v>20216.0</v>
      </c>
      <c r="F949" s="2">
        <v>855.0</v>
      </c>
      <c r="G949" s="2">
        <v>778.0</v>
      </c>
      <c r="H949" s="2" t="s">
        <v>5905</v>
      </c>
      <c r="I949" s="2" t="s">
        <v>5906</v>
      </c>
      <c r="J949" s="2" t="s">
        <v>16170</v>
      </c>
      <c r="K949" s="2" t="s">
        <v>31055</v>
      </c>
      <c r="L949" s="10" t="s">
        <v>31056</v>
      </c>
    </row>
    <row r="950">
      <c r="A950" s="2" t="s">
        <v>31057</v>
      </c>
      <c r="B950" s="2" t="s">
        <v>31058</v>
      </c>
      <c r="C950" s="2">
        <v>6.38355783E8</v>
      </c>
      <c r="D950" s="2" t="s">
        <v>31059</v>
      </c>
      <c r="E950" s="2">
        <v>31123.0</v>
      </c>
      <c r="F950" s="2">
        <v>5032.0</v>
      </c>
      <c r="G950" s="2">
        <v>11214.0</v>
      </c>
      <c r="H950" s="2" t="s">
        <v>5905</v>
      </c>
      <c r="I950" s="2" t="s">
        <v>5905</v>
      </c>
      <c r="J950" s="2" t="s">
        <v>27384</v>
      </c>
      <c r="K950" s="2" t="s">
        <v>31060</v>
      </c>
      <c r="L950" s="10" t="s">
        <v>31061</v>
      </c>
    </row>
    <row r="951">
      <c r="A951" s="2" t="s">
        <v>31057</v>
      </c>
      <c r="B951" s="2" t="s">
        <v>31062</v>
      </c>
      <c r="C951" s="2">
        <v>5.8844807123E10</v>
      </c>
      <c r="D951" s="2" t="s">
        <v>31063</v>
      </c>
      <c r="E951" s="2">
        <v>21146.0</v>
      </c>
      <c r="F951" s="2">
        <v>3.0</v>
      </c>
      <c r="G951" s="2">
        <v>221.0</v>
      </c>
      <c r="H951" s="2" t="s">
        <v>5905</v>
      </c>
      <c r="I951" s="2" t="s">
        <v>5906</v>
      </c>
      <c r="J951" s="2" t="s">
        <v>27384</v>
      </c>
      <c r="K951" s="2" t="s">
        <v>31064</v>
      </c>
      <c r="L951" s="10" t="s">
        <v>31065</v>
      </c>
    </row>
    <row r="952">
      <c r="A952" s="2" t="s">
        <v>31057</v>
      </c>
      <c r="B952" s="2" t="s">
        <v>31066</v>
      </c>
      <c r="C952" s="2">
        <v>5.828846905E9</v>
      </c>
      <c r="D952" s="2" t="s">
        <v>31067</v>
      </c>
      <c r="E952" s="2">
        <v>17584.0</v>
      </c>
      <c r="F952" s="2">
        <v>101.0</v>
      </c>
      <c r="G952" s="2">
        <v>1035.0</v>
      </c>
      <c r="H952" s="2" t="s">
        <v>5906</v>
      </c>
      <c r="I952" s="2" t="s">
        <v>5905</v>
      </c>
      <c r="J952" s="2" t="s">
        <v>27384</v>
      </c>
      <c r="K952" s="2" t="s">
        <v>31068</v>
      </c>
      <c r="L952" s="10" t="s">
        <v>31069</v>
      </c>
    </row>
    <row r="953">
      <c r="A953" s="2" t="s">
        <v>31057</v>
      </c>
      <c r="B953" s="2" t="s">
        <v>31070</v>
      </c>
      <c r="C953" s="2">
        <v>6.4287497031E10</v>
      </c>
      <c r="D953" s="2" t="s">
        <v>31071</v>
      </c>
      <c r="E953" s="2">
        <v>10001.0</v>
      </c>
      <c r="F953" s="2">
        <v>1188.0</v>
      </c>
      <c r="G953" s="2">
        <v>63.0</v>
      </c>
      <c r="H953" s="2" t="s">
        <v>5905</v>
      </c>
      <c r="I953" s="2" t="s">
        <v>5906</v>
      </c>
      <c r="J953" s="2" t="s">
        <v>16170</v>
      </c>
      <c r="K953" s="2" t="s">
        <v>31072</v>
      </c>
      <c r="L953" s="10" t="s">
        <v>31073</v>
      </c>
    </row>
    <row r="954">
      <c r="A954" s="2" t="s">
        <v>31057</v>
      </c>
      <c r="B954" s="2" t="s">
        <v>31074</v>
      </c>
      <c r="C954" s="2">
        <v>1.767546088E9</v>
      </c>
      <c r="D954" s="2" t="s">
        <v>31075</v>
      </c>
      <c r="E954" s="2">
        <v>34997.0</v>
      </c>
      <c r="F954" s="2">
        <v>94.0</v>
      </c>
      <c r="G954" s="2">
        <v>5715.0</v>
      </c>
      <c r="H954" s="2" t="s">
        <v>5905</v>
      </c>
      <c r="I954" s="2" t="s">
        <v>5906</v>
      </c>
      <c r="J954" s="2" t="s">
        <v>4404</v>
      </c>
      <c r="K954" s="2" t="s">
        <v>31076</v>
      </c>
      <c r="L954" s="10" t="s">
        <v>31077</v>
      </c>
    </row>
    <row r="955">
      <c r="A955" s="2" t="s">
        <v>31057</v>
      </c>
      <c r="B955" s="2" t="s">
        <v>31078</v>
      </c>
      <c r="C955" s="2">
        <v>1.3580907404E10</v>
      </c>
      <c r="D955" s="2" t="s">
        <v>31079</v>
      </c>
      <c r="E955" s="2">
        <v>92213.0</v>
      </c>
      <c r="F955" s="2">
        <v>430.0</v>
      </c>
      <c r="G955" s="2">
        <v>575.0</v>
      </c>
      <c r="H955" s="2" t="s">
        <v>5905</v>
      </c>
      <c r="I955" s="2" t="s">
        <v>5906</v>
      </c>
      <c r="J955" s="2" t="s">
        <v>5993</v>
      </c>
      <c r="K955" s="2" t="s">
        <v>31080</v>
      </c>
      <c r="L955" s="10" t="s">
        <v>31081</v>
      </c>
    </row>
    <row r="956">
      <c r="A956" s="2" t="s">
        <v>31082</v>
      </c>
      <c r="B956" s="2" t="s">
        <v>31083</v>
      </c>
      <c r="C956" s="2">
        <v>2.023119971E9</v>
      </c>
      <c r="D956" s="2" t="s">
        <v>31084</v>
      </c>
      <c r="E956" s="2">
        <v>113601.0</v>
      </c>
      <c r="F956" s="2">
        <v>133.0</v>
      </c>
      <c r="G956" s="2">
        <v>4510.0</v>
      </c>
      <c r="H956" s="2" t="s">
        <v>5905</v>
      </c>
      <c r="I956" s="2" t="s">
        <v>5906</v>
      </c>
      <c r="J956" s="2" t="s">
        <v>5391</v>
      </c>
      <c r="K956" s="2" t="s">
        <v>31085</v>
      </c>
      <c r="L956" s="10" t="s">
        <v>31086</v>
      </c>
    </row>
    <row r="957">
      <c r="A957" s="2" t="s">
        <v>31082</v>
      </c>
      <c r="B957" s="2" t="s">
        <v>31087</v>
      </c>
      <c r="C957" s="2">
        <v>8.534834571E9</v>
      </c>
      <c r="D957" s="2" t="s">
        <v>31088</v>
      </c>
      <c r="E957" s="2">
        <v>10127.0</v>
      </c>
      <c r="F957" s="2">
        <v>746.0</v>
      </c>
      <c r="G957" s="2">
        <v>306.0</v>
      </c>
      <c r="H957" s="2" t="s">
        <v>5905</v>
      </c>
      <c r="I957" s="2" t="s">
        <v>5905</v>
      </c>
      <c r="J957" s="2" t="s">
        <v>5928</v>
      </c>
      <c r="K957" s="2" t="s">
        <v>31089</v>
      </c>
      <c r="L957" s="10" t="s">
        <v>31090</v>
      </c>
    </row>
    <row r="958">
      <c r="A958" s="2" t="s">
        <v>31082</v>
      </c>
      <c r="B958" s="2" t="s">
        <v>31091</v>
      </c>
      <c r="C958" s="2">
        <v>4.8840948802E10</v>
      </c>
      <c r="D958" s="2" t="s">
        <v>31092</v>
      </c>
      <c r="E958" s="2">
        <v>16335.0</v>
      </c>
      <c r="F958" s="2">
        <v>1189.0</v>
      </c>
      <c r="G958" s="2">
        <v>443.0</v>
      </c>
      <c r="H958" s="2" t="s">
        <v>5905</v>
      </c>
      <c r="I958" s="2" t="s">
        <v>5905</v>
      </c>
      <c r="J958" s="2" t="s">
        <v>5959</v>
      </c>
      <c r="K958" s="2" t="s">
        <v>31093</v>
      </c>
    </row>
    <row r="959">
      <c r="A959" s="2" t="s">
        <v>31082</v>
      </c>
      <c r="B959" s="2" t="s">
        <v>31094</v>
      </c>
      <c r="C959" s="2">
        <v>7.714114783E9</v>
      </c>
      <c r="D959" s="2" t="s">
        <v>31095</v>
      </c>
      <c r="E959" s="2">
        <v>38781.0</v>
      </c>
      <c r="F959" s="2">
        <v>152.0</v>
      </c>
      <c r="G959" s="2">
        <v>7257.0</v>
      </c>
      <c r="H959" s="2" t="s">
        <v>5905</v>
      </c>
      <c r="I959" s="2" t="s">
        <v>5906</v>
      </c>
      <c r="J959" s="2" t="s">
        <v>5963</v>
      </c>
      <c r="K959" s="2" t="s">
        <v>31096</v>
      </c>
      <c r="L959" s="10" t="s">
        <v>31097</v>
      </c>
    </row>
    <row r="960">
      <c r="A960" s="2" t="s">
        <v>31082</v>
      </c>
      <c r="B960" s="2" t="s">
        <v>31098</v>
      </c>
      <c r="C960" s="2">
        <v>3.88131398E9</v>
      </c>
      <c r="D960" s="2" t="s">
        <v>31099</v>
      </c>
      <c r="E960" s="2">
        <v>15509.0</v>
      </c>
      <c r="F960" s="2">
        <v>186.0</v>
      </c>
      <c r="G960" s="2">
        <v>82.0</v>
      </c>
      <c r="H960" s="2" t="s">
        <v>5905</v>
      </c>
      <c r="I960" s="2" t="s">
        <v>5906</v>
      </c>
      <c r="J960" s="2" t="s">
        <v>6166</v>
      </c>
      <c r="K960" s="2" t="s">
        <v>31100</v>
      </c>
    </row>
    <row r="961">
      <c r="A961" s="2" t="s">
        <v>31101</v>
      </c>
      <c r="B961" s="2" t="s">
        <v>31102</v>
      </c>
      <c r="C961" s="2">
        <v>4.8670886689E10</v>
      </c>
      <c r="D961" s="2" t="s">
        <v>31103</v>
      </c>
      <c r="E961" s="2">
        <v>10071.0</v>
      </c>
      <c r="F961" s="2">
        <v>329.0</v>
      </c>
      <c r="G961" s="2">
        <v>100.0</v>
      </c>
      <c r="H961" s="2" t="s">
        <v>5906</v>
      </c>
      <c r="I961" s="2" t="s">
        <v>5906</v>
      </c>
      <c r="J961" s="2" t="s">
        <v>23811</v>
      </c>
      <c r="K961" s="2" t="s">
        <v>31104</v>
      </c>
      <c r="L961" s="10" t="s">
        <v>31105</v>
      </c>
    </row>
    <row r="962">
      <c r="A962" s="2" t="s">
        <v>31101</v>
      </c>
      <c r="B962" s="2" t="s">
        <v>31106</v>
      </c>
      <c r="C962" s="2">
        <v>2.097794295E9</v>
      </c>
      <c r="D962" s="2" t="s">
        <v>31107</v>
      </c>
      <c r="E962" s="2">
        <v>13749.0</v>
      </c>
      <c r="F962" s="2">
        <v>74.0</v>
      </c>
      <c r="G962" s="2">
        <v>339.0</v>
      </c>
      <c r="H962" s="2" t="s">
        <v>5905</v>
      </c>
      <c r="I962" s="2" t="s">
        <v>5906</v>
      </c>
      <c r="J962" s="2" t="s">
        <v>15371</v>
      </c>
      <c r="K962" s="12" t="s">
        <v>31108</v>
      </c>
      <c r="L962" s="10" t="s">
        <v>31109</v>
      </c>
    </row>
    <row r="963">
      <c r="A963" s="2" t="s">
        <v>31101</v>
      </c>
      <c r="B963" s="2" t="s">
        <v>31110</v>
      </c>
      <c r="C963" s="2">
        <v>5.5484949929E10</v>
      </c>
      <c r="D963" s="12" t="s">
        <v>31111</v>
      </c>
      <c r="E963" s="2">
        <v>131643.0</v>
      </c>
      <c r="F963" s="2">
        <v>258.0</v>
      </c>
      <c r="G963" s="2">
        <v>304.0</v>
      </c>
      <c r="H963" s="2" t="s">
        <v>5905</v>
      </c>
      <c r="I963" s="2" t="s">
        <v>5906</v>
      </c>
      <c r="J963" s="2" t="s">
        <v>5963</v>
      </c>
      <c r="K963" s="12" t="s">
        <v>31112</v>
      </c>
    </row>
    <row r="964">
      <c r="A964" s="2" t="s">
        <v>31101</v>
      </c>
      <c r="B964" s="2" t="s">
        <v>31113</v>
      </c>
      <c r="C964" s="2">
        <v>7.0447927379E10</v>
      </c>
      <c r="D964" s="12" t="s">
        <v>31114</v>
      </c>
      <c r="E964" s="2">
        <v>13305.0</v>
      </c>
      <c r="F964" s="2">
        <v>26.0</v>
      </c>
      <c r="G964" s="2">
        <v>79.0</v>
      </c>
      <c r="H964" s="2" t="s">
        <v>5905</v>
      </c>
      <c r="I964" s="2" t="s">
        <v>5906</v>
      </c>
      <c r="J964" s="2" t="s">
        <v>23811</v>
      </c>
      <c r="K964" s="12" t="s">
        <v>31115</v>
      </c>
    </row>
    <row r="965">
      <c r="A965" s="2" t="s">
        <v>31116</v>
      </c>
      <c r="B965" s="2" t="s">
        <v>31117</v>
      </c>
      <c r="C965" s="2">
        <v>1.695127778E9</v>
      </c>
      <c r="D965" s="2" t="s">
        <v>31118</v>
      </c>
      <c r="E965" s="2">
        <v>88935.0</v>
      </c>
      <c r="F965" s="2">
        <v>1010.0</v>
      </c>
      <c r="G965" s="2">
        <v>253.0</v>
      </c>
      <c r="H965" s="2" t="s">
        <v>5905</v>
      </c>
      <c r="I965" s="2" t="s">
        <v>5905</v>
      </c>
      <c r="J965" s="2" t="s">
        <v>8838</v>
      </c>
      <c r="K965" s="2" t="s">
        <v>31119</v>
      </c>
      <c r="L965" s="10" t="s">
        <v>31120</v>
      </c>
    </row>
    <row r="966">
      <c r="A966" s="2" t="s">
        <v>31116</v>
      </c>
      <c r="B966" s="2" t="s">
        <v>31121</v>
      </c>
      <c r="C966" s="2">
        <v>4.9262483036E10</v>
      </c>
      <c r="D966" s="2" t="s">
        <v>31122</v>
      </c>
      <c r="E966" s="2">
        <v>69572.0</v>
      </c>
      <c r="F966" s="2">
        <v>24.0</v>
      </c>
      <c r="G966" s="2">
        <v>2135.0</v>
      </c>
      <c r="H966" s="2" t="s">
        <v>5905</v>
      </c>
      <c r="I966" s="2" t="s">
        <v>5906</v>
      </c>
      <c r="J966" s="2" t="s">
        <v>7414</v>
      </c>
      <c r="K966" s="2" t="s">
        <v>31123</v>
      </c>
      <c r="L966" s="10" t="s">
        <v>31124</v>
      </c>
    </row>
    <row r="967">
      <c r="A967" s="2" t="s">
        <v>31116</v>
      </c>
      <c r="B967" s="2" t="s">
        <v>31125</v>
      </c>
      <c r="C967" s="2">
        <v>3.6284754206E10</v>
      </c>
      <c r="D967" s="2" t="s">
        <v>31126</v>
      </c>
      <c r="E967" s="2">
        <v>630501.0</v>
      </c>
      <c r="F967" s="2">
        <v>184.0</v>
      </c>
      <c r="G967" s="2">
        <v>1852.0</v>
      </c>
      <c r="H967" s="2" t="s">
        <v>5905</v>
      </c>
      <c r="I967" s="2" t="s">
        <v>5905</v>
      </c>
      <c r="J967" s="2" t="s">
        <v>5391</v>
      </c>
      <c r="K967" s="2" t="s">
        <v>31127</v>
      </c>
      <c r="L967" s="10" t="s">
        <v>31128</v>
      </c>
    </row>
    <row r="968">
      <c r="A968" s="2" t="s">
        <v>31116</v>
      </c>
      <c r="B968" s="2" t="s">
        <v>31129</v>
      </c>
      <c r="C968" s="2">
        <v>3.6795454781E10</v>
      </c>
      <c r="D968" s="2" t="s">
        <v>31130</v>
      </c>
      <c r="E968" s="2">
        <v>23678.0</v>
      </c>
      <c r="F968" s="2">
        <v>1.0</v>
      </c>
      <c r="G968" s="2">
        <v>613.0</v>
      </c>
      <c r="H968" s="2" t="s">
        <v>5905</v>
      </c>
      <c r="I968" s="2" t="s">
        <v>5905</v>
      </c>
      <c r="K968" s="2" t="s">
        <v>31131</v>
      </c>
    </row>
    <row r="969">
      <c r="A969" s="2" t="s">
        <v>31116</v>
      </c>
      <c r="B969" s="2" t="s">
        <v>31132</v>
      </c>
      <c r="C969" s="2">
        <v>2.25721227E8</v>
      </c>
      <c r="D969" s="2" t="s">
        <v>31133</v>
      </c>
      <c r="E969" s="2">
        <v>381456.0</v>
      </c>
      <c r="F969" s="2">
        <v>134.0</v>
      </c>
      <c r="G969" s="2">
        <v>6145.0</v>
      </c>
      <c r="H969" s="2" t="s">
        <v>5906</v>
      </c>
      <c r="I969" s="2" t="s">
        <v>5906</v>
      </c>
      <c r="J969" s="2" t="s">
        <v>5561</v>
      </c>
      <c r="K969" s="2" t="s">
        <v>31134</v>
      </c>
      <c r="L969" s="10" t="s">
        <v>31135</v>
      </c>
    </row>
    <row r="970">
      <c r="A970" s="2" t="s">
        <v>31116</v>
      </c>
      <c r="B970" s="2" t="s">
        <v>31136</v>
      </c>
      <c r="C970" s="2">
        <v>5.3072481832E10</v>
      </c>
      <c r="D970" s="2" t="s">
        <v>31137</v>
      </c>
      <c r="E970" s="2">
        <v>10306.0</v>
      </c>
      <c r="F970" s="2">
        <v>169.0</v>
      </c>
      <c r="G970" s="2">
        <v>778.0</v>
      </c>
      <c r="H970" s="2" t="s">
        <v>5905</v>
      </c>
      <c r="I970" s="2" t="s">
        <v>5905</v>
      </c>
      <c r="J970" s="2" t="s">
        <v>7140</v>
      </c>
      <c r="K970" s="2" t="s">
        <v>31138</v>
      </c>
      <c r="L970" s="10" t="s">
        <v>31139</v>
      </c>
    </row>
    <row r="971">
      <c r="A971" s="2" t="s">
        <v>31140</v>
      </c>
      <c r="B971" s="2" t="s">
        <v>31141</v>
      </c>
      <c r="C971" s="2">
        <v>3.3860532426E10</v>
      </c>
      <c r="D971" s="2" t="s">
        <v>31142</v>
      </c>
      <c r="E971" s="2">
        <v>18643.0</v>
      </c>
      <c r="F971" s="2">
        <v>1191.0</v>
      </c>
      <c r="G971" s="2">
        <v>272.0</v>
      </c>
      <c r="H971" s="2" t="s">
        <v>5905</v>
      </c>
      <c r="I971" s="2" t="s">
        <v>5905</v>
      </c>
      <c r="J971" s="2" t="s">
        <v>7620</v>
      </c>
      <c r="K971" s="2" t="s">
        <v>31143</v>
      </c>
      <c r="L971" s="10" t="s">
        <v>31144</v>
      </c>
    </row>
    <row r="972">
      <c r="A972" s="2" t="s">
        <v>31145</v>
      </c>
      <c r="B972" s="2" t="s">
        <v>31146</v>
      </c>
      <c r="C972" s="2">
        <v>1.571751591E9</v>
      </c>
      <c r="D972" s="2" t="s">
        <v>31147</v>
      </c>
      <c r="E972" s="2">
        <v>20489.0</v>
      </c>
      <c r="F972" s="2">
        <v>1996.0</v>
      </c>
      <c r="G972" s="2">
        <v>4507.0</v>
      </c>
      <c r="H972" s="2" t="s">
        <v>5905</v>
      </c>
      <c r="I972" s="2" t="s">
        <v>5906</v>
      </c>
      <c r="J972" s="2" t="s">
        <v>5963</v>
      </c>
      <c r="K972" s="2" t="s">
        <v>31148</v>
      </c>
      <c r="L972" s="10" t="s">
        <v>31149</v>
      </c>
    </row>
    <row r="973">
      <c r="A973" s="2" t="s">
        <v>31150</v>
      </c>
      <c r="B973" s="2" t="s">
        <v>31151</v>
      </c>
      <c r="C973" s="2">
        <v>2.6195688274E10</v>
      </c>
      <c r="D973" s="12" t="s">
        <v>31152</v>
      </c>
      <c r="E973" s="2">
        <v>12786.0</v>
      </c>
      <c r="F973" s="2">
        <v>3.0</v>
      </c>
      <c r="G973" s="2">
        <v>135.0</v>
      </c>
      <c r="H973" s="2" t="s">
        <v>5905</v>
      </c>
      <c r="I973" s="2" t="s">
        <v>5906</v>
      </c>
      <c r="J973" s="2" t="s">
        <v>22487</v>
      </c>
      <c r="K973" s="12" t="s">
        <v>31153</v>
      </c>
    </row>
    <row r="974">
      <c r="A974" s="2" t="s">
        <v>31150</v>
      </c>
      <c r="B974" s="2" t="s">
        <v>31154</v>
      </c>
      <c r="C974" s="2">
        <v>6.1280835149E10</v>
      </c>
      <c r="D974" s="2" t="s">
        <v>31155</v>
      </c>
      <c r="E974" s="2">
        <v>83987.0</v>
      </c>
      <c r="F974" s="2">
        <v>32.0</v>
      </c>
      <c r="G974" s="2">
        <v>848.0</v>
      </c>
      <c r="H974" s="2" t="s">
        <v>5905</v>
      </c>
      <c r="I974" s="2" t="s">
        <v>5906</v>
      </c>
      <c r="J974" s="2" t="s">
        <v>6002</v>
      </c>
      <c r="K974" s="2" t="s">
        <v>31156</v>
      </c>
      <c r="L974" s="10" t="s">
        <v>31157</v>
      </c>
    </row>
    <row r="975">
      <c r="A975" s="2" t="s">
        <v>31150</v>
      </c>
      <c r="B975" s="2" t="s">
        <v>31158</v>
      </c>
      <c r="C975" s="2">
        <v>1.721490933E9</v>
      </c>
      <c r="D975" s="2" t="s">
        <v>31159</v>
      </c>
      <c r="E975" s="2">
        <v>47778.0</v>
      </c>
      <c r="F975" s="2">
        <v>111.0</v>
      </c>
      <c r="G975" s="2">
        <v>1013.0</v>
      </c>
      <c r="H975" s="2" t="s">
        <v>5905</v>
      </c>
      <c r="I975" s="2" t="s">
        <v>5906</v>
      </c>
      <c r="J975" s="2" t="s">
        <v>7431</v>
      </c>
      <c r="K975" s="2" t="s">
        <v>31160</v>
      </c>
      <c r="L975" s="10" t="s">
        <v>31161</v>
      </c>
    </row>
    <row r="976">
      <c r="A976" s="2" t="s">
        <v>31150</v>
      </c>
      <c r="B976" s="2" t="s">
        <v>31162</v>
      </c>
      <c r="C976" s="2">
        <v>8.77772573E9</v>
      </c>
      <c r="D976" s="2" t="s">
        <v>31163</v>
      </c>
      <c r="E976" s="2">
        <v>134104.0</v>
      </c>
      <c r="F976" s="2">
        <v>158.0</v>
      </c>
      <c r="G976" s="2">
        <v>818.0</v>
      </c>
      <c r="H976" s="2" t="s">
        <v>5905</v>
      </c>
      <c r="I976" s="2" t="s">
        <v>5906</v>
      </c>
      <c r="J976" s="2" t="s">
        <v>22572</v>
      </c>
      <c r="K976" s="2" t="s">
        <v>31164</v>
      </c>
      <c r="L976" s="10" t="s">
        <v>31165</v>
      </c>
    </row>
    <row r="977">
      <c r="A977" s="2" t="s">
        <v>31150</v>
      </c>
      <c r="B977" s="2" t="s">
        <v>31166</v>
      </c>
      <c r="C977" s="2">
        <v>3.52111714E9</v>
      </c>
      <c r="D977" s="2" t="s">
        <v>31167</v>
      </c>
      <c r="E977" s="2">
        <v>161274.0</v>
      </c>
      <c r="F977" s="2">
        <v>131.0</v>
      </c>
      <c r="G977" s="2">
        <v>394.0</v>
      </c>
      <c r="H977" s="2" t="s">
        <v>5905</v>
      </c>
      <c r="I977" s="2" t="s">
        <v>5906</v>
      </c>
      <c r="J977" s="2" t="s">
        <v>17821</v>
      </c>
      <c r="K977" s="2" t="s">
        <v>31168</v>
      </c>
      <c r="L977" s="10" t="s">
        <v>31169</v>
      </c>
    </row>
    <row r="978">
      <c r="A978" s="2" t="s">
        <v>31150</v>
      </c>
      <c r="B978" s="2" t="s">
        <v>31170</v>
      </c>
      <c r="C978" s="2">
        <v>3.342270561E10</v>
      </c>
      <c r="D978" s="2" t="s">
        <v>31171</v>
      </c>
      <c r="E978" s="2">
        <v>17089.0</v>
      </c>
      <c r="F978" s="2">
        <v>2282.0</v>
      </c>
      <c r="G978" s="2">
        <v>409.0</v>
      </c>
      <c r="H978" s="2" t="s">
        <v>5905</v>
      </c>
      <c r="I978" s="2" t="s">
        <v>5906</v>
      </c>
      <c r="J978" s="2" t="s">
        <v>7431</v>
      </c>
      <c r="K978" s="2" t="s">
        <v>31172</v>
      </c>
      <c r="L978" s="10" t="s">
        <v>31173</v>
      </c>
    </row>
    <row r="979">
      <c r="A979" s="2" t="s">
        <v>31174</v>
      </c>
      <c r="B979" s="2" t="s">
        <v>31175</v>
      </c>
      <c r="C979" s="2">
        <v>5.4269906514E10</v>
      </c>
      <c r="D979" s="2" t="s">
        <v>31176</v>
      </c>
      <c r="E979" s="2">
        <v>16265.0</v>
      </c>
      <c r="F979" s="2">
        <v>215.0</v>
      </c>
      <c r="G979" s="2">
        <v>65.0</v>
      </c>
      <c r="H979" s="2" t="s">
        <v>5905</v>
      </c>
      <c r="I979" s="2" t="s">
        <v>5905</v>
      </c>
      <c r="J979" s="2" t="s">
        <v>31177</v>
      </c>
      <c r="K979" s="2" t="s">
        <v>31178</v>
      </c>
      <c r="L979" s="10" t="s">
        <v>31179</v>
      </c>
    </row>
    <row r="980">
      <c r="A980" s="2" t="s">
        <v>31174</v>
      </c>
      <c r="B980" s="2" t="s">
        <v>31180</v>
      </c>
      <c r="C980" s="2">
        <v>5.4965556264E10</v>
      </c>
      <c r="D980" s="2" t="s">
        <v>31181</v>
      </c>
      <c r="E980" s="2">
        <v>17909.0</v>
      </c>
      <c r="F980" s="2">
        <v>134.0</v>
      </c>
      <c r="G980" s="2">
        <v>402.0</v>
      </c>
      <c r="H980" s="2" t="s">
        <v>5905</v>
      </c>
      <c r="I980" s="2" t="s">
        <v>5905</v>
      </c>
      <c r="J980" s="2" t="s">
        <v>11797</v>
      </c>
      <c r="K980" s="2" t="s">
        <v>31182</v>
      </c>
      <c r="L980" s="10" t="s">
        <v>31183</v>
      </c>
    </row>
    <row r="981">
      <c r="A981" s="2" t="s">
        <v>31174</v>
      </c>
      <c r="B981" s="2" t="s">
        <v>31184</v>
      </c>
      <c r="C981" s="2">
        <v>5.2163156694E10</v>
      </c>
      <c r="D981" s="2" t="s">
        <v>31185</v>
      </c>
      <c r="E981" s="2">
        <v>34976.0</v>
      </c>
      <c r="F981" s="2">
        <v>117.0</v>
      </c>
      <c r="G981" s="2">
        <v>691.0</v>
      </c>
      <c r="H981" s="2" t="s">
        <v>5905</v>
      </c>
      <c r="I981" s="2" t="s">
        <v>5905</v>
      </c>
      <c r="J981" s="2" t="s">
        <v>17821</v>
      </c>
      <c r="K981" s="2" t="s">
        <v>31186</v>
      </c>
      <c r="L981" s="10" t="s">
        <v>31187</v>
      </c>
    </row>
    <row r="982">
      <c r="A982" s="2" t="s">
        <v>31174</v>
      </c>
      <c r="B982" s="2" t="s">
        <v>31188</v>
      </c>
      <c r="C982" s="2">
        <v>2.222739157E9</v>
      </c>
      <c r="D982" s="2" t="s">
        <v>31189</v>
      </c>
      <c r="E982" s="2">
        <v>47714.0</v>
      </c>
      <c r="F982" s="2">
        <v>117.0</v>
      </c>
      <c r="G982" s="2">
        <v>736.0</v>
      </c>
      <c r="H982" s="2" t="s">
        <v>5905</v>
      </c>
      <c r="I982" s="2" t="s">
        <v>5906</v>
      </c>
      <c r="J982" s="2" t="s">
        <v>22572</v>
      </c>
      <c r="K982" s="2" t="s">
        <v>31190</v>
      </c>
      <c r="L982" s="10" t="s">
        <v>31191</v>
      </c>
    </row>
    <row r="983">
      <c r="A983" s="2" t="s">
        <v>31174</v>
      </c>
      <c r="B983" s="2" t="s">
        <v>31192</v>
      </c>
      <c r="C983" s="2">
        <v>3.934289796E9</v>
      </c>
      <c r="D983" s="2" t="s">
        <v>31193</v>
      </c>
      <c r="E983" s="2">
        <v>22034.0</v>
      </c>
      <c r="F983" s="2">
        <v>91.0</v>
      </c>
      <c r="G983" s="2">
        <v>452.0</v>
      </c>
      <c r="H983" s="2" t="s">
        <v>5905</v>
      </c>
      <c r="I983" s="2" t="s">
        <v>5906</v>
      </c>
      <c r="J983" s="2" t="s">
        <v>22572</v>
      </c>
      <c r="K983" s="2" t="s">
        <v>31194</v>
      </c>
      <c r="L983" s="10" t="s">
        <v>31195</v>
      </c>
    </row>
    <row r="984">
      <c r="A984" s="2" t="s">
        <v>31174</v>
      </c>
      <c r="B984" s="2" t="s">
        <v>31196</v>
      </c>
      <c r="C984" s="2">
        <v>1.7439018942E10</v>
      </c>
      <c r="D984" s="2" t="s">
        <v>31197</v>
      </c>
      <c r="E984" s="2">
        <v>92406.0</v>
      </c>
      <c r="F984" s="2">
        <v>3992.0</v>
      </c>
      <c r="G984" s="2">
        <v>1149.0</v>
      </c>
      <c r="H984" s="2" t="s">
        <v>5906</v>
      </c>
      <c r="I984" s="2" t="s">
        <v>5906</v>
      </c>
      <c r="J984" s="2" t="s">
        <v>17821</v>
      </c>
      <c r="K984" s="2" t="s">
        <v>31198</v>
      </c>
      <c r="L984" s="10" t="s">
        <v>31199</v>
      </c>
    </row>
    <row r="985">
      <c r="A985" s="2" t="s">
        <v>31200</v>
      </c>
      <c r="B985" s="2" t="s">
        <v>31030</v>
      </c>
      <c r="C985" s="2">
        <v>2.330936552E9</v>
      </c>
      <c r="D985" s="2" t="s">
        <v>31031</v>
      </c>
      <c r="E985" s="2">
        <v>11848.0</v>
      </c>
      <c r="F985" s="2">
        <v>3008.0</v>
      </c>
      <c r="G985" s="2">
        <v>466.0</v>
      </c>
      <c r="H985" s="2" t="s">
        <v>5905</v>
      </c>
      <c r="I985" s="2" t="s">
        <v>5905</v>
      </c>
      <c r="J985" s="2" t="s">
        <v>5391</v>
      </c>
      <c r="K985" s="2" t="s">
        <v>31032</v>
      </c>
      <c r="L985" s="10" t="s">
        <v>31033</v>
      </c>
    </row>
    <row r="986">
      <c r="A986" s="2" t="s">
        <v>31200</v>
      </c>
      <c r="B986" s="2" t="s">
        <v>31201</v>
      </c>
      <c r="C986" s="2">
        <v>2.577485848E9</v>
      </c>
      <c r="D986" s="2" t="s">
        <v>31202</v>
      </c>
      <c r="E986" s="2">
        <v>14830.0</v>
      </c>
      <c r="F986" s="2">
        <v>3024.0</v>
      </c>
      <c r="G986" s="2">
        <v>261.0</v>
      </c>
      <c r="H986" s="2" t="s">
        <v>5906</v>
      </c>
      <c r="I986" s="2" t="s">
        <v>5905</v>
      </c>
      <c r="J986" s="2" t="s">
        <v>6414</v>
      </c>
      <c r="K986" s="2" t="s">
        <v>31203</v>
      </c>
    </row>
    <row r="987">
      <c r="A987" s="2" t="s">
        <v>31204</v>
      </c>
      <c r="B987" s="2" t="s">
        <v>31205</v>
      </c>
      <c r="C987" s="2">
        <v>2.536637103E9</v>
      </c>
      <c r="D987" s="2" t="s">
        <v>31206</v>
      </c>
      <c r="E987" s="2">
        <v>98166.0</v>
      </c>
      <c r="F987" s="2">
        <v>1631.0</v>
      </c>
      <c r="G987" s="2">
        <v>2561.0</v>
      </c>
      <c r="H987" s="2" t="s">
        <v>5905</v>
      </c>
      <c r="I987" s="2" t="s">
        <v>5906</v>
      </c>
      <c r="J987" s="2" t="s">
        <v>5391</v>
      </c>
      <c r="K987" s="2" t="s">
        <v>31207</v>
      </c>
    </row>
    <row r="988">
      <c r="A988" s="2" t="s">
        <v>31208</v>
      </c>
      <c r="B988" s="2" t="s">
        <v>31209</v>
      </c>
      <c r="C988" s="2">
        <v>2.5872301908E10</v>
      </c>
      <c r="D988" s="2" t="s">
        <v>31210</v>
      </c>
      <c r="E988" s="2">
        <v>27512.0</v>
      </c>
      <c r="F988" s="2">
        <v>277.0</v>
      </c>
      <c r="G988" s="2">
        <v>12.0</v>
      </c>
      <c r="H988" s="2" t="s">
        <v>5905</v>
      </c>
      <c r="I988" s="2" t="s">
        <v>5905</v>
      </c>
      <c r="J988" s="2" t="s">
        <v>14778</v>
      </c>
      <c r="K988" s="2" t="s">
        <v>31211</v>
      </c>
    </row>
    <row r="989">
      <c r="A989" s="2" t="s">
        <v>31212</v>
      </c>
      <c r="B989" s="2" t="s">
        <v>31213</v>
      </c>
      <c r="C989" s="2">
        <v>3.227451424E9</v>
      </c>
      <c r="D989" s="2" t="s">
        <v>31214</v>
      </c>
      <c r="E989" s="2">
        <v>13583.0</v>
      </c>
      <c r="F989" s="2">
        <v>2413.0</v>
      </c>
      <c r="G989" s="2">
        <v>376.0</v>
      </c>
      <c r="H989" s="2" t="s">
        <v>5905</v>
      </c>
      <c r="I989" s="2" t="s">
        <v>5906</v>
      </c>
      <c r="J989" s="2" t="s">
        <v>5391</v>
      </c>
      <c r="K989" s="2" t="s">
        <v>31215</v>
      </c>
      <c r="L989" s="10" t="s">
        <v>31216</v>
      </c>
    </row>
    <row r="990">
      <c r="A990" s="2" t="s">
        <v>31212</v>
      </c>
      <c r="B990" s="2" t="s">
        <v>31217</v>
      </c>
      <c r="C990" s="2">
        <v>3.542189955E9</v>
      </c>
      <c r="D990" s="2" t="s">
        <v>31218</v>
      </c>
      <c r="E990" s="2">
        <v>13881.0</v>
      </c>
      <c r="F990" s="2">
        <v>6353.0</v>
      </c>
      <c r="G990" s="2">
        <v>209.0</v>
      </c>
      <c r="H990" s="2" t="s">
        <v>5905</v>
      </c>
      <c r="I990" s="2" t="s">
        <v>5905</v>
      </c>
      <c r="J990" s="2" t="s">
        <v>14778</v>
      </c>
      <c r="K990" s="2" t="s">
        <v>31219</v>
      </c>
      <c r="L990" s="10" t="s">
        <v>31220</v>
      </c>
    </row>
    <row r="991">
      <c r="A991" s="2" t="s">
        <v>31212</v>
      </c>
      <c r="B991" s="2" t="s">
        <v>31221</v>
      </c>
      <c r="C991" s="2">
        <v>1.433301045E9</v>
      </c>
      <c r="D991" s="2" t="s">
        <v>31222</v>
      </c>
      <c r="E991" s="2">
        <v>20034.0</v>
      </c>
      <c r="F991" s="2">
        <v>1608.0</v>
      </c>
      <c r="G991" s="2">
        <v>236.0</v>
      </c>
      <c r="H991" s="2" t="s">
        <v>5905</v>
      </c>
      <c r="I991" s="2" t="s">
        <v>5905</v>
      </c>
      <c r="J991" s="2" t="s">
        <v>5993</v>
      </c>
      <c r="K991" s="2" t="s">
        <v>31223</v>
      </c>
      <c r="L991" s="10" t="s">
        <v>31224</v>
      </c>
    </row>
    <row r="992">
      <c r="A992" s="2" t="s">
        <v>31225</v>
      </c>
      <c r="B992" s="2" t="s">
        <v>31226</v>
      </c>
      <c r="C992" s="2">
        <v>5.329766486E9</v>
      </c>
      <c r="D992" s="2" t="s">
        <v>31227</v>
      </c>
      <c r="E992" s="2">
        <v>16791.0</v>
      </c>
      <c r="F992" s="2">
        <v>2258.0</v>
      </c>
      <c r="G992" s="2">
        <v>371.0</v>
      </c>
      <c r="H992" s="2" t="s">
        <v>5906</v>
      </c>
      <c r="I992" s="2" t="s">
        <v>5905</v>
      </c>
      <c r="J992" s="2" t="s">
        <v>7414</v>
      </c>
      <c r="K992" s="2" t="s">
        <v>31228</v>
      </c>
      <c r="L992" s="10" t="s">
        <v>31229</v>
      </c>
    </row>
    <row r="993">
      <c r="A993" s="2" t="s">
        <v>31225</v>
      </c>
      <c r="B993" s="2" t="s">
        <v>31230</v>
      </c>
      <c r="C993" s="2">
        <v>3.65128833E8</v>
      </c>
      <c r="D993" s="2" t="s">
        <v>31231</v>
      </c>
      <c r="E993" s="2">
        <v>10985.0</v>
      </c>
      <c r="F993" s="2">
        <v>2624.0</v>
      </c>
      <c r="G993" s="2">
        <v>2061.0</v>
      </c>
      <c r="H993" s="2" t="s">
        <v>5905</v>
      </c>
      <c r="I993" s="2" t="s">
        <v>5905</v>
      </c>
      <c r="J993" s="2" t="s">
        <v>14778</v>
      </c>
      <c r="K993" s="2" t="s">
        <v>31232</v>
      </c>
      <c r="L993" s="10" t="s">
        <v>31233</v>
      </c>
    </row>
    <row r="994">
      <c r="A994" s="2" t="s">
        <v>31234</v>
      </c>
      <c r="B994" s="2" t="s">
        <v>31205</v>
      </c>
      <c r="C994" s="2">
        <v>2.536637103E9</v>
      </c>
      <c r="D994" s="2" t="s">
        <v>31206</v>
      </c>
      <c r="E994" s="2">
        <v>98166.0</v>
      </c>
      <c r="F994" s="2">
        <v>1631.0</v>
      </c>
      <c r="G994" s="2">
        <v>2561.0</v>
      </c>
      <c r="H994" s="2" t="s">
        <v>5905</v>
      </c>
      <c r="I994" s="2" t="s">
        <v>5906</v>
      </c>
      <c r="J994" s="2" t="s">
        <v>5391</v>
      </c>
      <c r="K994" s="2" t="s">
        <v>31207</v>
      </c>
    </row>
    <row r="995">
      <c r="A995" s="2" t="s">
        <v>31235</v>
      </c>
      <c r="B995" s="2" t="s">
        <v>31236</v>
      </c>
      <c r="C995" s="2">
        <v>1.805575374E9</v>
      </c>
      <c r="D995" s="2" t="s">
        <v>31237</v>
      </c>
      <c r="E995" s="2">
        <v>26631.0</v>
      </c>
      <c r="F995" s="2">
        <v>158.0</v>
      </c>
      <c r="G995" s="2">
        <v>303.0</v>
      </c>
      <c r="H995" s="2" t="s">
        <v>5905</v>
      </c>
      <c r="I995" s="2" t="s">
        <v>5906</v>
      </c>
      <c r="J995" s="2" t="s">
        <v>5959</v>
      </c>
      <c r="K995" s="2" t="s">
        <v>31238</v>
      </c>
    </row>
    <row r="996">
      <c r="A996" s="2" t="s">
        <v>31235</v>
      </c>
      <c r="B996" s="2" t="s">
        <v>31239</v>
      </c>
      <c r="C996" s="2">
        <v>1.6560355499E10</v>
      </c>
      <c r="D996" s="2" t="s">
        <v>31240</v>
      </c>
      <c r="E996" s="2">
        <v>18004.0</v>
      </c>
      <c r="F996" s="2">
        <v>1414.0</v>
      </c>
      <c r="G996" s="2">
        <v>2282.0</v>
      </c>
      <c r="H996" s="2" t="s">
        <v>5906</v>
      </c>
      <c r="I996" s="2" t="s">
        <v>5905</v>
      </c>
      <c r="J996" s="2" t="s">
        <v>6002</v>
      </c>
      <c r="K996" s="2" t="s">
        <v>31241</v>
      </c>
    </row>
    <row r="997">
      <c r="A997" s="2" t="s">
        <v>31235</v>
      </c>
      <c r="B997" s="2" t="s">
        <v>31242</v>
      </c>
      <c r="C997" s="2">
        <v>4.752097257E10</v>
      </c>
      <c r="D997" s="2" t="s">
        <v>31243</v>
      </c>
      <c r="E997" s="2">
        <v>14816.0</v>
      </c>
      <c r="F997" s="2">
        <v>2806.0</v>
      </c>
      <c r="G997" s="2">
        <v>3668.0</v>
      </c>
      <c r="H997" s="2" t="s">
        <v>5905</v>
      </c>
      <c r="I997" s="2" t="s">
        <v>5906</v>
      </c>
      <c r="J997" s="2" t="s">
        <v>5492</v>
      </c>
      <c r="K997" s="2" t="s">
        <v>31244</v>
      </c>
      <c r="L997" s="10" t="s">
        <v>31245</v>
      </c>
    </row>
    <row r="998">
      <c r="A998" s="2" t="s">
        <v>31235</v>
      </c>
      <c r="B998" s="2" t="s">
        <v>31246</v>
      </c>
      <c r="C998" s="2">
        <v>2.101417074E9</v>
      </c>
      <c r="D998" s="2" t="s">
        <v>31247</v>
      </c>
      <c r="E998" s="2">
        <v>34241.0</v>
      </c>
      <c r="F998" s="2">
        <v>2337.0</v>
      </c>
      <c r="G998" s="2">
        <v>1402.0</v>
      </c>
      <c r="H998" s="2" t="s">
        <v>5905</v>
      </c>
      <c r="I998" s="2" t="s">
        <v>5906</v>
      </c>
      <c r="J998" s="2" t="s">
        <v>6166</v>
      </c>
      <c r="K998" s="2" t="s">
        <v>31248</v>
      </c>
      <c r="L998" s="10" t="s">
        <v>31249</v>
      </c>
    </row>
    <row r="999">
      <c r="A999" s="2" t="s">
        <v>31235</v>
      </c>
      <c r="B999" s="2" t="s">
        <v>31250</v>
      </c>
      <c r="C999" s="2">
        <v>1.814306566E9</v>
      </c>
      <c r="D999" s="2" t="s">
        <v>31251</v>
      </c>
      <c r="E999" s="2">
        <v>51310.0</v>
      </c>
      <c r="F999" s="2">
        <v>5330.0</v>
      </c>
      <c r="G999" s="2">
        <v>232.0</v>
      </c>
      <c r="H999" s="2" t="s">
        <v>5905</v>
      </c>
      <c r="I999" s="2" t="s">
        <v>5906</v>
      </c>
      <c r="J999" s="2" t="s">
        <v>5391</v>
      </c>
      <c r="K999" s="2" t="s">
        <v>31252</v>
      </c>
      <c r="L999" s="10" t="s">
        <v>31253</v>
      </c>
    </row>
    <row r="1000">
      <c r="A1000" s="2" t="s">
        <v>31235</v>
      </c>
      <c r="B1000" s="2" t="s">
        <v>31254</v>
      </c>
      <c r="C1000" s="2">
        <v>3.95390387E9</v>
      </c>
      <c r="D1000" s="2" t="s">
        <v>31255</v>
      </c>
      <c r="E1000" s="2">
        <v>22347.0</v>
      </c>
      <c r="F1000" s="2">
        <v>4458.0</v>
      </c>
      <c r="G1000" s="2">
        <v>2112.0</v>
      </c>
      <c r="H1000" s="2" t="s">
        <v>5905</v>
      </c>
      <c r="I1000" s="2" t="s">
        <v>5905</v>
      </c>
      <c r="J1000" s="2" t="s">
        <v>5959</v>
      </c>
      <c r="K1000" s="2" t="s">
        <v>31256</v>
      </c>
      <c r="L1000" s="10" t="s">
        <v>31257</v>
      </c>
    </row>
    <row r="1001">
      <c r="A1001" s="2" t="s">
        <v>31235</v>
      </c>
      <c r="B1001" s="2" t="s">
        <v>31258</v>
      </c>
      <c r="C1001" s="2">
        <v>1.527341483E9</v>
      </c>
      <c r="D1001" s="2" t="s">
        <v>31259</v>
      </c>
      <c r="E1001" s="2">
        <v>68444.0</v>
      </c>
      <c r="F1001" s="2">
        <v>2497.0</v>
      </c>
      <c r="G1001" s="2">
        <v>6121.0</v>
      </c>
      <c r="H1001" s="2" t="s">
        <v>5906</v>
      </c>
      <c r="I1001" s="2" t="s">
        <v>5906</v>
      </c>
      <c r="J1001" s="2" t="s">
        <v>5963</v>
      </c>
      <c r="K1001" s="2" t="s">
        <v>31260</v>
      </c>
    </row>
    <row r="1002">
      <c r="A1002" s="2" t="s">
        <v>31235</v>
      </c>
      <c r="B1002" s="2" t="s">
        <v>31261</v>
      </c>
      <c r="C1002" s="2">
        <v>1.708365821E10</v>
      </c>
      <c r="D1002" s="2" t="s">
        <v>31262</v>
      </c>
      <c r="E1002" s="2">
        <v>12527.0</v>
      </c>
      <c r="F1002" s="2">
        <v>114.0</v>
      </c>
      <c r="G1002" s="2">
        <v>338.0</v>
      </c>
      <c r="H1002" s="2" t="s">
        <v>5905</v>
      </c>
      <c r="I1002" s="2" t="s">
        <v>5906</v>
      </c>
      <c r="J1002" s="2" t="s">
        <v>5959</v>
      </c>
      <c r="K1002" s="2" t="s">
        <v>31263</v>
      </c>
    </row>
    <row r="1003">
      <c r="A1003" s="2" t="s">
        <v>31264</v>
      </c>
      <c r="B1003" s="2" t="s">
        <v>31265</v>
      </c>
      <c r="C1003" s="2">
        <v>1.613796651E9</v>
      </c>
      <c r="D1003" s="2" t="s">
        <v>31266</v>
      </c>
      <c r="E1003" s="2">
        <v>11267.0</v>
      </c>
      <c r="F1003" s="2">
        <v>4102.0</v>
      </c>
      <c r="G1003" s="2">
        <v>4154.0</v>
      </c>
      <c r="H1003" s="2" t="s">
        <v>5906</v>
      </c>
      <c r="I1003" s="2" t="s">
        <v>5906</v>
      </c>
      <c r="J1003" s="2" t="s">
        <v>5492</v>
      </c>
      <c r="K1003" s="2" t="s">
        <v>31267</v>
      </c>
      <c r="L1003" s="10" t="s">
        <v>31268</v>
      </c>
    </row>
    <row r="1004">
      <c r="A1004" s="2" t="s">
        <v>31264</v>
      </c>
      <c r="B1004" s="10" t="s">
        <v>31269</v>
      </c>
      <c r="C1004" s="2">
        <v>6.872780372E9</v>
      </c>
      <c r="D1004" s="2" t="s">
        <v>31270</v>
      </c>
      <c r="E1004" s="2">
        <v>13355.0</v>
      </c>
      <c r="F1004" s="2">
        <v>68.0</v>
      </c>
      <c r="G1004" s="2">
        <v>80.0</v>
      </c>
      <c r="H1004" s="2" t="s">
        <v>5905</v>
      </c>
      <c r="I1004" s="2" t="s">
        <v>5906</v>
      </c>
      <c r="J1004" s="2" t="s">
        <v>8245</v>
      </c>
      <c r="K1004" s="2" t="s">
        <v>31271</v>
      </c>
      <c r="L1004" s="10" t="s">
        <v>31272</v>
      </c>
    </row>
    <row r="1005">
      <c r="A1005" s="2" t="s">
        <v>31273</v>
      </c>
      <c r="B1005" s="2" t="s">
        <v>31274</v>
      </c>
      <c r="C1005" s="2">
        <v>7.93154436E9</v>
      </c>
      <c r="D1005" s="2" t="s">
        <v>31275</v>
      </c>
      <c r="E1005" s="2">
        <v>14514.0</v>
      </c>
      <c r="F1005" s="2">
        <v>2888.0</v>
      </c>
      <c r="G1005" s="2">
        <v>221.0</v>
      </c>
      <c r="H1005" s="2" t="s">
        <v>5905</v>
      </c>
      <c r="I1005" s="2" t="s">
        <v>5905</v>
      </c>
      <c r="J1005" s="2" t="s">
        <v>6354</v>
      </c>
      <c r="K1005" s="2" t="s">
        <v>31276</v>
      </c>
    </row>
    <row r="1006">
      <c r="A1006" s="2" t="s">
        <v>31277</v>
      </c>
      <c r="B1006" s="2" t="s">
        <v>31278</v>
      </c>
      <c r="C1006" s="2">
        <v>5.6781707115E10</v>
      </c>
      <c r="D1006" s="2" t="s">
        <v>31279</v>
      </c>
      <c r="E1006" s="2">
        <v>60304.0</v>
      </c>
      <c r="F1006" s="2">
        <v>38.0</v>
      </c>
      <c r="G1006" s="2">
        <v>190.0</v>
      </c>
      <c r="H1006" s="2" t="s">
        <v>5905</v>
      </c>
      <c r="I1006" s="2" t="s">
        <v>5905</v>
      </c>
      <c r="J1006" s="2" t="s">
        <v>7140</v>
      </c>
      <c r="K1006" s="2" t="s">
        <v>31280</v>
      </c>
    </row>
    <row r="1007">
      <c r="A1007" s="2" t="s">
        <v>31281</v>
      </c>
      <c r="B1007" s="2" t="s">
        <v>31282</v>
      </c>
      <c r="C1007" s="2">
        <v>4.5851295954E10</v>
      </c>
      <c r="D1007" s="2" t="s">
        <v>31283</v>
      </c>
      <c r="E1007" s="2">
        <v>57904.0</v>
      </c>
      <c r="F1007" s="2">
        <v>929.0</v>
      </c>
      <c r="G1007" s="2">
        <v>356.0</v>
      </c>
      <c r="H1007" s="2" t="s">
        <v>5906</v>
      </c>
      <c r="I1007" s="2" t="s">
        <v>5906</v>
      </c>
      <c r="J1007" s="2" t="s">
        <v>7414</v>
      </c>
      <c r="K1007" s="2" t="s">
        <v>31284</v>
      </c>
      <c r="L1007" s="10" t="s">
        <v>31285</v>
      </c>
    </row>
    <row r="1008">
      <c r="A1008" s="2" t="s">
        <v>31286</v>
      </c>
      <c r="B1008" s="2" t="s">
        <v>31287</v>
      </c>
      <c r="C1008" s="2">
        <v>4.0415843505E10</v>
      </c>
      <c r="D1008" s="2" t="s">
        <v>31288</v>
      </c>
      <c r="E1008" s="2">
        <v>22639.0</v>
      </c>
      <c r="F1008" s="2">
        <v>1.0</v>
      </c>
      <c r="G1008" s="2">
        <v>5688.0</v>
      </c>
      <c r="H1008" s="2" t="s">
        <v>5905</v>
      </c>
      <c r="I1008" s="2" t="s">
        <v>5906</v>
      </c>
      <c r="J1008" s="2" t="s">
        <v>7414</v>
      </c>
      <c r="K1008" s="2" t="s">
        <v>31289</v>
      </c>
    </row>
    <row r="1009">
      <c r="A1009" s="2" t="s">
        <v>31290</v>
      </c>
      <c r="B1009" s="2" t="s">
        <v>31291</v>
      </c>
      <c r="C1009" s="2">
        <v>1.82885818E9</v>
      </c>
      <c r="D1009" s="2" t="s">
        <v>31292</v>
      </c>
      <c r="E1009" s="2">
        <v>15883.0</v>
      </c>
      <c r="F1009" s="2">
        <v>1.0</v>
      </c>
      <c r="G1009" s="2">
        <v>200.0</v>
      </c>
      <c r="H1009" s="2" t="s">
        <v>5905</v>
      </c>
      <c r="I1009" s="2" t="s">
        <v>5906</v>
      </c>
      <c r="J1009" s="2" t="s">
        <v>5963</v>
      </c>
      <c r="K1009" s="2" t="s">
        <v>31293</v>
      </c>
      <c r="L1009" s="10" t="s">
        <v>31294</v>
      </c>
    </row>
    <row r="1010">
      <c r="A1010" s="2" t="s">
        <v>31295</v>
      </c>
      <c r="B1010" s="10" t="s">
        <v>28592</v>
      </c>
      <c r="C1010" s="2">
        <v>1.0423295356E10</v>
      </c>
      <c r="D1010" s="2" t="s">
        <v>28593</v>
      </c>
      <c r="E1010" s="2">
        <v>10429.0</v>
      </c>
      <c r="F1010" s="2">
        <v>1614.0</v>
      </c>
      <c r="G1010" s="2">
        <v>463.0</v>
      </c>
      <c r="H1010" s="2" t="s">
        <v>5905</v>
      </c>
      <c r="I1010" s="2" t="s">
        <v>5906</v>
      </c>
      <c r="J1010" s="2" t="s">
        <v>5963</v>
      </c>
      <c r="K1010" s="2" t="s">
        <v>28594</v>
      </c>
      <c r="L1010" s="10" t="s">
        <v>28595</v>
      </c>
    </row>
    <row r="1011">
      <c r="A1011" s="2" t="s">
        <v>31295</v>
      </c>
      <c r="B1011" s="2" t="s">
        <v>28596</v>
      </c>
      <c r="C1011" s="2">
        <v>3.616441964E9</v>
      </c>
      <c r="D1011" s="2" t="s">
        <v>28597</v>
      </c>
      <c r="E1011" s="2">
        <v>17762.0</v>
      </c>
      <c r="F1011" s="2">
        <v>1890.0</v>
      </c>
      <c r="G1011" s="2">
        <v>434.0</v>
      </c>
      <c r="H1011" s="2" t="s">
        <v>5905</v>
      </c>
      <c r="I1011" s="2" t="s">
        <v>5905</v>
      </c>
      <c r="K1011" s="2" t="s">
        <v>28598</v>
      </c>
      <c r="L1011" s="10" t="s">
        <v>28599</v>
      </c>
    </row>
    <row r="1012">
      <c r="A1012" s="2" t="s">
        <v>31296</v>
      </c>
      <c r="B1012" s="10" t="s">
        <v>28592</v>
      </c>
      <c r="C1012" s="2">
        <v>1.0423295356E10</v>
      </c>
      <c r="D1012" s="2" t="s">
        <v>28593</v>
      </c>
      <c r="E1012" s="2">
        <v>10429.0</v>
      </c>
      <c r="F1012" s="2">
        <v>1614.0</v>
      </c>
      <c r="G1012" s="2">
        <v>463.0</v>
      </c>
      <c r="H1012" s="2" t="s">
        <v>5905</v>
      </c>
      <c r="I1012" s="2" t="s">
        <v>5906</v>
      </c>
      <c r="J1012" s="2" t="s">
        <v>5963</v>
      </c>
      <c r="K1012" s="2" t="s">
        <v>28594</v>
      </c>
      <c r="L1012" s="10" t="s">
        <v>28595</v>
      </c>
    </row>
    <row r="1013">
      <c r="A1013" s="2" t="s">
        <v>31296</v>
      </c>
      <c r="B1013" s="2" t="s">
        <v>28596</v>
      </c>
      <c r="C1013" s="2">
        <v>3.616441964E9</v>
      </c>
      <c r="D1013" s="2" t="s">
        <v>28597</v>
      </c>
      <c r="E1013" s="2">
        <v>17762.0</v>
      </c>
      <c r="F1013" s="2">
        <v>1890.0</v>
      </c>
      <c r="G1013" s="2">
        <v>434.0</v>
      </c>
      <c r="H1013" s="2" t="s">
        <v>5905</v>
      </c>
      <c r="I1013" s="2" t="s">
        <v>5905</v>
      </c>
      <c r="K1013" s="2" t="s">
        <v>28598</v>
      </c>
      <c r="L1013" s="10" t="s">
        <v>28599</v>
      </c>
    </row>
    <row r="1014">
      <c r="A1014" s="2" t="s">
        <v>31297</v>
      </c>
      <c r="B1014" s="10" t="s">
        <v>28592</v>
      </c>
      <c r="C1014" s="2">
        <v>1.0423295356E10</v>
      </c>
      <c r="D1014" s="2" t="s">
        <v>28593</v>
      </c>
      <c r="E1014" s="2">
        <v>10429.0</v>
      </c>
      <c r="F1014" s="2">
        <v>1614.0</v>
      </c>
      <c r="G1014" s="2">
        <v>463.0</v>
      </c>
      <c r="H1014" s="2" t="s">
        <v>5905</v>
      </c>
      <c r="I1014" s="2" t="s">
        <v>5906</v>
      </c>
      <c r="J1014" s="2" t="s">
        <v>5963</v>
      </c>
      <c r="K1014" s="2" t="s">
        <v>28594</v>
      </c>
      <c r="L1014" s="10" t="s">
        <v>28595</v>
      </c>
    </row>
    <row r="1015">
      <c r="A1015" s="2" t="s">
        <v>31297</v>
      </c>
      <c r="B1015" s="2" t="s">
        <v>28596</v>
      </c>
      <c r="C1015" s="2">
        <v>3.616441964E9</v>
      </c>
      <c r="D1015" s="2" t="s">
        <v>28597</v>
      </c>
      <c r="E1015" s="2">
        <v>17762.0</v>
      </c>
      <c r="F1015" s="2">
        <v>1890.0</v>
      </c>
      <c r="G1015" s="2">
        <v>434.0</v>
      </c>
      <c r="H1015" s="2" t="s">
        <v>5905</v>
      </c>
      <c r="I1015" s="2" t="s">
        <v>5905</v>
      </c>
      <c r="K1015" s="2" t="s">
        <v>28598</v>
      </c>
      <c r="L1015" s="10" t="s">
        <v>28599</v>
      </c>
    </row>
    <row r="1016">
      <c r="A1016" s="2" t="s">
        <v>31298</v>
      </c>
      <c r="B1016" s="2" t="s">
        <v>31299</v>
      </c>
      <c r="C1016" s="2">
        <v>5.8930927381E10</v>
      </c>
      <c r="D1016" s="2" t="s">
        <v>31300</v>
      </c>
      <c r="E1016" s="2">
        <v>17256.0</v>
      </c>
      <c r="F1016" s="2">
        <v>342.0</v>
      </c>
      <c r="G1016" s="2">
        <v>335.0</v>
      </c>
      <c r="H1016" s="2" t="s">
        <v>5905</v>
      </c>
      <c r="I1016" s="2" t="s">
        <v>5906</v>
      </c>
      <c r="J1016" s="2" t="s">
        <v>12299</v>
      </c>
      <c r="K1016" s="2" t="s">
        <v>31301</v>
      </c>
    </row>
    <row r="1017">
      <c r="A1017" s="2" t="s">
        <v>31302</v>
      </c>
      <c r="B1017" s="2" t="s">
        <v>31303</v>
      </c>
      <c r="C1017" s="2">
        <v>1.7087764522E10</v>
      </c>
      <c r="D1017" s="2" t="s">
        <v>31304</v>
      </c>
      <c r="E1017" s="2">
        <v>77970.0</v>
      </c>
      <c r="F1017" s="2">
        <v>314.0</v>
      </c>
      <c r="G1017" s="2">
        <v>671.0</v>
      </c>
      <c r="H1017" s="2" t="s">
        <v>5905</v>
      </c>
      <c r="I1017" s="2" t="s">
        <v>5905</v>
      </c>
      <c r="J1017" s="2" t="s">
        <v>6166</v>
      </c>
      <c r="K1017" s="2" t="s">
        <v>31305</v>
      </c>
      <c r="L1017" s="10" t="s">
        <v>31306</v>
      </c>
    </row>
    <row r="1018">
      <c r="A1018" s="2" t="s">
        <v>31307</v>
      </c>
      <c r="B1018" s="2" t="s">
        <v>31308</v>
      </c>
      <c r="C1018" s="2">
        <v>1.756951887E9</v>
      </c>
      <c r="D1018" s="2" t="s">
        <v>31309</v>
      </c>
      <c r="E1018" s="2">
        <v>11753.0</v>
      </c>
      <c r="F1018" s="2">
        <v>7.0</v>
      </c>
      <c r="G1018" s="2">
        <v>53.0</v>
      </c>
      <c r="H1018" s="2" t="s">
        <v>5905</v>
      </c>
      <c r="I1018" s="2" t="s">
        <v>5906</v>
      </c>
      <c r="J1018" s="2" t="s">
        <v>17753</v>
      </c>
      <c r="K1018" s="2" t="s">
        <v>31310</v>
      </c>
      <c r="L1018" s="10" t="s">
        <v>31311</v>
      </c>
    </row>
    <row r="1019">
      <c r="A1019" s="2" t="s">
        <v>31307</v>
      </c>
      <c r="B1019" s="2" t="s">
        <v>31312</v>
      </c>
      <c r="C1019" s="2">
        <v>1.9753731074E10</v>
      </c>
      <c r="D1019" s="2" t="s">
        <v>31313</v>
      </c>
      <c r="E1019" s="2">
        <v>12491.0</v>
      </c>
      <c r="F1019" s="2">
        <v>1390.0</v>
      </c>
      <c r="G1019" s="2">
        <v>10566.0</v>
      </c>
      <c r="H1019" s="2" t="s">
        <v>5905</v>
      </c>
      <c r="I1019" s="2" t="s">
        <v>5906</v>
      </c>
      <c r="J1019" s="2" t="s">
        <v>17753</v>
      </c>
      <c r="K1019" s="2" t="s">
        <v>31314</v>
      </c>
      <c r="L1019" s="10" t="s">
        <v>31315</v>
      </c>
    </row>
    <row r="1020">
      <c r="A1020" s="2" t="s">
        <v>31316</v>
      </c>
      <c r="B1020" s="2" t="s">
        <v>31317</v>
      </c>
      <c r="C1020" s="2">
        <v>1.0624710513E10</v>
      </c>
      <c r="D1020" s="2" t="s">
        <v>31318</v>
      </c>
      <c r="E1020" s="2">
        <v>10718.0</v>
      </c>
      <c r="F1020" s="2">
        <v>1.0</v>
      </c>
      <c r="G1020" s="2">
        <v>18.0</v>
      </c>
      <c r="H1020" s="2" t="s">
        <v>5905</v>
      </c>
      <c r="I1020" s="2" t="s">
        <v>5906</v>
      </c>
      <c r="J1020" s="2" t="s">
        <v>17753</v>
      </c>
      <c r="K1020" s="2" t="s">
        <v>31319</v>
      </c>
      <c r="L1020" s="10" t="s">
        <v>31320</v>
      </c>
    </row>
    <row r="1021">
      <c r="A1021" s="2" t="s">
        <v>31316</v>
      </c>
      <c r="B1021" s="2" t="s">
        <v>31321</v>
      </c>
      <c r="C1021" s="2">
        <v>8.536706356E9</v>
      </c>
      <c r="D1021" s="2" t="s">
        <v>31322</v>
      </c>
      <c r="E1021" s="2">
        <v>11760.0</v>
      </c>
      <c r="F1021" s="2">
        <v>140.0</v>
      </c>
      <c r="G1021" s="2">
        <v>317.0</v>
      </c>
      <c r="H1021" s="2" t="s">
        <v>5906</v>
      </c>
      <c r="I1021" s="2" t="s">
        <v>5905</v>
      </c>
      <c r="J1021" s="2" t="s">
        <v>17753</v>
      </c>
      <c r="K1021" s="2" t="s">
        <v>31323</v>
      </c>
      <c r="L1021" s="10" t="s">
        <v>31324</v>
      </c>
    </row>
    <row r="1022">
      <c r="A1022" s="2" t="s">
        <v>31316</v>
      </c>
      <c r="B1022" s="2" t="s">
        <v>31325</v>
      </c>
      <c r="C1022" s="2">
        <v>1.220139525E9</v>
      </c>
      <c r="D1022" s="2" t="s">
        <v>31326</v>
      </c>
      <c r="E1022" s="2">
        <v>21492.0</v>
      </c>
      <c r="F1022" s="2">
        <v>277.0</v>
      </c>
      <c r="G1022" s="2">
        <v>1803.0</v>
      </c>
      <c r="H1022" s="2" t="s">
        <v>5905</v>
      </c>
      <c r="I1022" s="2" t="s">
        <v>5905</v>
      </c>
      <c r="J1022" s="2" t="s">
        <v>17753</v>
      </c>
      <c r="K1022" s="2" t="s">
        <v>31327</v>
      </c>
      <c r="L1022" s="10" t="s">
        <v>31328</v>
      </c>
    </row>
    <row r="1023">
      <c r="A1023" s="2" t="s">
        <v>31329</v>
      </c>
      <c r="B1023" s="2" t="s">
        <v>31330</v>
      </c>
      <c r="C1023" s="2">
        <v>3.17255905E8</v>
      </c>
      <c r="D1023" s="2" t="s">
        <v>31331</v>
      </c>
      <c r="E1023" s="2">
        <v>37371.0</v>
      </c>
      <c r="F1023" s="2">
        <v>49.0</v>
      </c>
      <c r="G1023" s="2">
        <v>44.0</v>
      </c>
      <c r="H1023" s="2" t="s">
        <v>5905</v>
      </c>
      <c r="I1023" s="2" t="s">
        <v>5906</v>
      </c>
      <c r="J1023" s="2" t="s">
        <v>5993</v>
      </c>
      <c r="K1023" s="2" t="s">
        <v>31332</v>
      </c>
      <c r="L1023" s="10" t="s">
        <v>31333</v>
      </c>
    </row>
    <row r="1024">
      <c r="A1024" s="2" t="s">
        <v>31334</v>
      </c>
      <c r="B1024" s="2" t="s">
        <v>31335</v>
      </c>
      <c r="C1024" s="2">
        <v>5.4193796668E10</v>
      </c>
      <c r="D1024" s="2" t="s">
        <v>31336</v>
      </c>
      <c r="E1024" s="2">
        <v>10897.0</v>
      </c>
      <c r="F1024" s="2">
        <v>400.0</v>
      </c>
      <c r="G1024" s="2">
        <v>298.0</v>
      </c>
      <c r="H1024" s="2" t="s">
        <v>5905</v>
      </c>
      <c r="I1024" s="2" t="s">
        <v>5906</v>
      </c>
      <c r="J1024" s="2" t="s">
        <v>5391</v>
      </c>
      <c r="K1024" s="2" t="s">
        <v>31337</v>
      </c>
      <c r="L1024" s="10" t="s">
        <v>31338</v>
      </c>
    </row>
    <row r="1025">
      <c r="A1025" s="2" t="s">
        <v>31334</v>
      </c>
      <c r="B1025" s="2" t="s">
        <v>31339</v>
      </c>
      <c r="C1025" s="2">
        <v>1.710158261E9</v>
      </c>
      <c r="D1025" s="2" t="s">
        <v>31340</v>
      </c>
      <c r="E1025" s="2">
        <v>11923.0</v>
      </c>
      <c r="F1025" s="2">
        <v>439.0</v>
      </c>
      <c r="G1025" s="2">
        <v>1207.0</v>
      </c>
      <c r="H1025" s="2" t="s">
        <v>5905</v>
      </c>
      <c r="I1025" s="2" t="s">
        <v>5906</v>
      </c>
      <c r="J1025" s="2" t="s">
        <v>11316</v>
      </c>
      <c r="K1025" s="2" t="s">
        <v>31341</v>
      </c>
      <c r="L1025" s="10" t="s">
        <v>31342</v>
      </c>
    </row>
    <row r="1026">
      <c r="A1026" s="2" t="s">
        <v>31334</v>
      </c>
      <c r="B1026" s="2" t="s">
        <v>31343</v>
      </c>
      <c r="C1026" s="2">
        <v>4.4363069E7</v>
      </c>
      <c r="D1026" s="2" t="s">
        <v>31344</v>
      </c>
      <c r="E1026" s="2">
        <v>20070.0</v>
      </c>
      <c r="F1026" s="2">
        <v>3843.0</v>
      </c>
      <c r="G1026" s="2">
        <v>3448.0</v>
      </c>
      <c r="H1026" s="2" t="s">
        <v>5905</v>
      </c>
      <c r="I1026" s="2" t="s">
        <v>5905</v>
      </c>
      <c r="J1026" s="2" t="s">
        <v>7140</v>
      </c>
      <c r="K1026" s="2" t="s">
        <v>31345</v>
      </c>
      <c r="L1026" s="10" t="s">
        <v>31346</v>
      </c>
    </row>
    <row r="1027">
      <c r="A1027" s="2" t="s">
        <v>31347</v>
      </c>
      <c r="B1027" s="2" t="s">
        <v>31348</v>
      </c>
      <c r="C1027" s="2">
        <v>1.693376018E9</v>
      </c>
      <c r="D1027" s="2" t="s">
        <v>31349</v>
      </c>
      <c r="E1027" s="2">
        <v>45744.0</v>
      </c>
      <c r="F1027" s="2">
        <v>3955.0</v>
      </c>
      <c r="G1027" s="2">
        <v>79.0</v>
      </c>
      <c r="H1027" s="2" t="s">
        <v>5905</v>
      </c>
      <c r="I1027" s="2" t="s">
        <v>5906</v>
      </c>
      <c r="J1027" s="2" t="s">
        <v>7809</v>
      </c>
      <c r="K1027" s="2" t="s">
        <v>31350</v>
      </c>
      <c r="L1027" s="10" t="s">
        <v>31351</v>
      </c>
    </row>
    <row r="1028">
      <c r="A1028" s="2" t="s">
        <v>31352</v>
      </c>
      <c r="B1028" s="2" t="s">
        <v>31353</v>
      </c>
      <c r="C1028" s="2">
        <v>1.701647096E9</v>
      </c>
      <c r="D1028" s="2" t="s">
        <v>31354</v>
      </c>
      <c r="E1028" s="2">
        <v>24853.0</v>
      </c>
      <c r="F1028" s="2">
        <v>3046.0</v>
      </c>
      <c r="G1028" s="2">
        <v>940.0</v>
      </c>
      <c r="H1028" s="2" t="s">
        <v>5905</v>
      </c>
      <c r="I1028" s="2" t="s">
        <v>5905</v>
      </c>
      <c r="J1028" s="2" t="s">
        <v>7414</v>
      </c>
      <c r="K1028" s="2" t="s">
        <v>31355</v>
      </c>
      <c r="L1028" s="10" t="s">
        <v>31356</v>
      </c>
    </row>
    <row r="1029">
      <c r="A1029" s="2" t="s">
        <v>31357</v>
      </c>
      <c r="B1029" s="2" t="s">
        <v>31358</v>
      </c>
      <c r="C1029" s="2">
        <v>3.892892138E9</v>
      </c>
      <c r="D1029" s="2" t="s">
        <v>31359</v>
      </c>
      <c r="E1029" s="2">
        <v>26358.0</v>
      </c>
      <c r="F1029" s="2">
        <v>1008.0</v>
      </c>
      <c r="G1029" s="2">
        <v>1433.0</v>
      </c>
      <c r="H1029" s="2" t="s">
        <v>5905</v>
      </c>
      <c r="I1029" s="2" t="s">
        <v>5905</v>
      </c>
      <c r="J1029" s="2" t="s">
        <v>7809</v>
      </c>
      <c r="K1029" s="2" t="s">
        <v>31360</v>
      </c>
      <c r="L1029" s="10" t="s">
        <v>31361</v>
      </c>
    </row>
    <row r="1030">
      <c r="A1030" s="2" t="s">
        <v>31362</v>
      </c>
      <c r="B1030" s="2" t="s">
        <v>20851</v>
      </c>
      <c r="C1030" s="2">
        <v>2.556594416E9</v>
      </c>
      <c r="D1030" s="2" t="s">
        <v>20852</v>
      </c>
      <c r="E1030" s="2">
        <v>25438.0</v>
      </c>
      <c r="F1030" s="2">
        <v>55.0</v>
      </c>
      <c r="G1030" s="2">
        <v>2185.0</v>
      </c>
      <c r="H1030" s="2" t="s">
        <v>5905</v>
      </c>
      <c r="I1030" s="2" t="s">
        <v>5906</v>
      </c>
      <c r="J1030" s="2" t="s">
        <v>5959</v>
      </c>
      <c r="K1030" s="2" t="s">
        <v>20853</v>
      </c>
      <c r="L1030" s="10" t="s">
        <v>20854</v>
      </c>
    </row>
    <row r="1031">
      <c r="A1031" s="2" t="s">
        <v>31363</v>
      </c>
      <c r="B1031" s="2" t="s">
        <v>31364</v>
      </c>
      <c r="C1031" s="2">
        <v>4.10948571E9</v>
      </c>
      <c r="D1031" s="2" t="s">
        <v>31365</v>
      </c>
      <c r="E1031" s="2">
        <v>38330.0</v>
      </c>
      <c r="F1031" s="2">
        <v>160.0</v>
      </c>
      <c r="G1031" s="2">
        <v>2154.0</v>
      </c>
      <c r="H1031" s="2" t="s">
        <v>5905</v>
      </c>
      <c r="I1031" s="2" t="s">
        <v>5906</v>
      </c>
      <c r="J1031" s="2" t="s">
        <v>18886</v>
      </c>
      <c r="K1031" s="2" t="s">
        <v>31366</v>
      </c>
      <c r="L1031" s="10" t="s">
        <v>31367</v>
      </c>
    </row>
    <row r="1032">
      <c r="A1032" s="2" t="s">
        <v>31363</v>
      </c>
      <c r="B1032" s="2" t="s">
        <v>31368</v>
      </c>
      <c r="C1032" s="2">
        <v>2.029355664E9</v>
      </c>
      <c r="D1032" s="2" t="s">
        <v>31369</v>
      </c>
      <c r="E1032" s="2">
        <v>19053.0</v>
      </c>
      <c r="F1032" s="2">
        <v>7407.0</v>
      </c>
      <c r="G1032" s="2">
        <v>26.0</v>
      </c>
      <c r="H1032" s="2" t="s">
        <v>5905</v>
      </c>
      <c r="I1032" s="2" t="s">
        <v>5906</v>
      </c>
      <c r="J1032" s="2" t="s">
        <v>5391</v>
      </c>
      <c r="K1032" s="2" t="s">
        <v>31370</v>
      </c>
    </row>
    <row r="1033">
      <c r="A1033" s="2" t="s">
        <v>31371</v>
      </c>
      <c r="B1033" s="2" t="s">
        <v>31372</v>
      </c>
      <c r="C1033" s="2">
        <v>2.82328975E8</v>
      </c>
      <c r="D1033" s="2" t="s">
        <v>31373</v>
      </c>
      <c r="E1033" s="2">
        <v>39934.0</v>
      </c>
      <c r="F1033" s="2">
        <v>1479.0</v>
      </c>
      <c r="G1033" s="2">
        <v>2732.0</v>
      </c>
      <c r="H1033" s="2" t="s">
        <v>5906</v>
      </c>
      <c r="I1033" s="2" t="s">
        <v>5906</v>
      </c>
      <c r="K1033" s="2" t="s">
        <v>31374</v>
      </c>
      <c r="L1033" s="10" t="s">
        <v>31375</v>
      </c>
    </row>
    <row r="1034">
      <c r="A1034" s="2" t="s">
        <v>31371</v>
      </c>
      <c r="B1034" s="2" t="s">
        <v>31376</v>
      </c>
      <c r="C1034" s="2">
        <v>4.681994958E9</v>
      </c>
      <c r="D1034" s="2" t="s">
        <v>31377</v>
      </c>
      <c r="E1034" s="2">
        <v>15037.0</v>
      </c>
      <c r="F1034" s="2">
        <v>1941.0</v>
      </c>
      <c r="G1034" s="2">
        <v>1398.0</v>
      </c>
      <c r="H1034" s="2" t="s">
        <v>5906</v>
      </c>
      <c r="I1034" s="2" t="s">
        <v>5906</v>
      </c>
      <c r="J1034" s="2" t="s">
        <v>12700</v>
      </c>
      <c r="K1034" s="2" t="s">
        <v>31378</v>
      </c>
      <c r="L1034" s="10" t="s">
        <v>31379</v>
      </c>
    </row>
    <row r="1035">
      <c r="A1035" s="2" t="s">
        <v>31380</v>
      </c>
      <c r="B1035" s="2" t="s">
        <v>31381</v>
      </c>
      <c r="C1035" s="2">
        <v>7.190949595E9</v>
      </c>
      <c r="D1035" s="2" t="s">
        <v>31382</v>
      </c>
      <c r="E1035" s="2">
        <v>23726.0</v>
      </c>
      <c r="F1035" s="2">
        <v>1229.0</v>
      </c>
      <c r="G1035" s="2">
        <v>1249.0</v>
      </c>
      <c r="H1035" s="2" t="s">
        <v>5905</v>
      </c>
      <c r="I1035" s="2" t="s">
        <v>5906</v>
      </c>
      <c r="K1035" s="2" t="s">
        <v>31383</v>
      </c>
      <c r="L1035" s="10" t="s">
        <v>31384</v>
      </c>
    </row>
    <row r="1036">
      <c r="A1036" s="2" t="s">
        <v>31380</v>
      </c>
      <c r="B1036" s="2" t="s">
        <v>31385</v>
      </c>
      <c r="C1036" s="2">
        <v>1.426761974E9</v>
      </c>
      <c r="D1036" s="2" t="s">
        <v>31386</v>
      </c>
      <c r="E1036" s="2">
        <v>52934.0</v>
      </c>
      <c r="F1036" s="2">
        <v>403.0</v>
      </c>
      <c r="G1036" s="2">
        <v>3577.0</v>
      </c>
      <c r="H1036" s="2" t="s">
        <v>5906</v>
      </c>
      <c r="I1036" s="2" t="s">
        <v>5906</v>
      </c>
      <c r="J1036" s="2" t="s">
        <v>5480</v>
      </c>
      <c r="K1036" s="2" t="s">
        <v>31387</v>
      </c>
      <c r="L1036" s="10" t="s">
        <v>31388</v>
      </c>
    </row>
    <row r="1037">
      <c r="A1037" s="2" t="s">
        <v>31380</v>
      </c>
      <c r="B1037" s="2" t="s">
        <v>31389</v>
      </c>
      <c r="C1037" s="2">
        <v>4.033458551E9</v>
      </c>
      <c r="D1037" s="2" t="s">
        <v>31390</v>
      </c>
      <c r="E1037" s="2">
        <v>70996.0</v>
      </c>
      <c r="F1037" s="2">
        <v>1030.0</v>
      </c>
      <c r="G1037" s="2">
        <v>2130.0</v>
      </c>
      <c r="H1037" s="2" t="s">
        <v>5905</v>
      </c>
      <c r="I1037" s="2" t="s">
        <v>5906</v>
      </c>
      <c r="J1037" s="2" t="s">
        <v>7296</v>
      </c>
      <c r="K1037" s="2" t="s">
        <v>31391</v>
      </c>
      <c r="L1037" s="10" t="s">
        <v>31392</v>
      </c>
    </row>
    <row r="1038">
      <c r="A1038" s="2" t="s">
        <v>31393</v>
      </c>
      <c r="B1038" s="2" t="s">
        <v>31394</v>
      </c>
      <c r="C1038" s="2">
        <v>3.4901668012E10</v>
      </c>
      <c r="D1038" s="2" t="s">
        <v>31395</v>
      </c>
      <c r="E1038" s="2">
        <v>16973.0</v>
      </c>
      <c r="F1038" s="2">
        <v>1747.0</v>
      </c>
      <c r="G1038" s="2">
        <v>1109.0</v>
      </c>
      <c r="H1038" s="2" t="s">
        <v>5905</v>
      </c>
      <c r="I1038" s="2" t="s">
        <v>5906</v>
      </c>
      <c r="J1038" s="2" t="s">
        <v>6002</v>
      </c>
      <c r="K1038" s="2" t="s">
        <v>31396</v>
      </c>
      <c r="L1038" s="10" t="s">
        <v>31397</v>
      </c>
    </row>
    <row r="1039">
      <c r="A1039" s="2" t="s">
        <v>31393</v>
      </c>
      <c r="B1039" s="2" t="s">
        <v>31398</v>
      </c>
      <c r="C1039" s="2">
        <v>3.44789532E8</v>
      </c>
      <c r="D1039" s="2" t="s">
        <v>31399</v>
      </c>
      <c r="E1039" s="2">
        <v>72764.0</v>
      </c>
      <c r="F1039" s="2">
        <v>838.0</v>
      </c>
      <c r="G1039" s="2">
        <v>2589.0</v>
      </c>
      <c r="H1039" s="2" t="s">
        <v>5906</v>
      </c>
      <c r="I1039" s="2" t="s">
        <v>5906</v>
      </c>
      <c r="J1039" s="2" t="s">
        <v>5518</v>
      </c>
      <c r="K1039" s="2" t="s">
        <v>31400</v>
      </c>
      <c r="L1039" s="10" t="s">
        <v>31401</v>
      </c>
    </row>
    <row r="1040">
      <c r="A1040" s="2" t="s">
        <v>31393</v>
      </c>
      <c r="B1040" s="2" t="s">
        <v>31402</v>
      </c>
      <c r="C1040" s="2">
        <v>4.22975123E8</v>
      </c>
      <c r="D1040" s="2" t="s">
        <v>31403</v>
      </c>
      <c r="E1040" s="2">
        <v>17523.0</v>
      </c>
      <c r="F1040" s="2">
        <v>1954.0</v>
      </c>
      <c r="G1040" s="2">
        <v>775.0</v>
      </c>
      <c r="H1040" s="2" t="s">
        <v>5905</v>
      </c>
      <c r="I1040" s="2" t="s">
        <v>5905</v>
      </c>
      <c r="J1040" s="2" t="s">
        <v>13199</v>
      </c>
      <c r="K1040" s="2" t="s">
        <v>31404</v>
      </c>
      <c r="L1040" s="10" t="s">
        <v>31405</v>
      </c>
    </row>
    <row r="1041">
      <c r="A1041" s="2" t="s">
        <v>31393</v>
      </c>
      <c r="B1041" s="2" t="s">
        <v>31406</v>
      </c>
      <c r="C1041" s="2">
        <v>5.927459552E9</v>
      </c>
      <c r="D1041" s="2" t="s">
        <v>31407</v>
      </c>
      <c r="E1041" s="2">
        <v>22753.0</v>
      </c>
      <c r="F1041" s="2">
        <v>192.0</v>
      </c>
      <c r="G1041" s="2">
        <v>391.0</v>
      </c>
      <c r="H1041" s="2" t="s">
        <v>5905</v>
      </c>
      <c r="I1041" s="2" t="s">
        <v>5905</v>
      </c>
      <c r="J1041" s="2" t="s">
        <v>5993</v>
      </c>
      <c r="K1041" s="2" t="s">
        <v>31408</v>
      </c>
      <c r="L1041" s="10" t="s">
        <v>31409</v>
      </c>
    </row>
    <row r="1042">
      <c r="A1042" s="2" t="s">
        <v>31393</v>
      </c>
      <c r="B1042" s="2" t="s">
        <v>31410</v>
      </c>
      <c r="C1042" s="2">
        <v>4.5046855895E10</v>
      </c>
      <c r="D1042" s="2" t="s">
        <v>31411</v>
      </c>
      <c r="E1042" s="2">
        <v>10579.0</v>
      </c>
      <c r="F1042" s="2">
        <v>557.0</v>
      </c>
      <c r="G1042" s="2">
        <v>394.0</v>
      </c>
      <c r="H1042" s="2" t="s">
        <v>5905</v>
      </c>
      <c r="I1042" s="2" t="s">
        <v>5906</v>
      </c>
      <c r="J1042" s="2" t="s">
        <v>5391</v>
      </c>
      <c r="K1042" s="2" t="s">
        <v>31412</v>
      </c>
      <c r="L1042" s="10" t="s">
        <v>31413</v>
      </c>
    </row>
    <row r="1043">
      <c r="A1043" s="2" t="s">
        <v>31393</v>
      </c>
      <c r="B1043" s="2" t="s">
        <v>31414</v>
      </c>
      <c r="C1043" s="2">
        <v>4.2900466037E10</v>
      </c>
      <c r="D1043" s="2" t="s">
        <v>31415</v>
      </c>
      <c r="E1043" s="2">
        <v>20431.0</v>
      </c>
      <c r="F1043" s="2">
        <v>2139.0</v>
      </c>
      <c r="G1043" s="2">
        <v>502.0</v>
      </c>
      <c r="H1043" s="2" t="s">
        <v>5906</v>
      </c>
      <c r="I1043" s="2" t="s">
        <v>5905</v>
      </c>
      <c r="J1043" s="2" t="s">
        <v>6002</v>
      </c>
      <c r="K1043" s="2" t="s">
        <v>31416</v>
      </c>
      <c r="L1043" s="10" t="s">
        <v>31417</v>
      </c>
    </row>
    <row r="1044">
      <c r="A1044" s="2" t="s">
        <v>31418</v>
      </c>
      <c r="B1044" s="2" t="s">
        <v>31419</v>
      </c>
      <c r="C1044" s="2">
        <v>6.936374902E9</v>
      </c>
      <c r="D1044" s="2" t="s">
        <v>31420</v>
      </c>
      <c r="E1044" s="2">
        <v>10952.0</v>
      </c>
      <c r="F1044" s="2">
        <v>463.0</v>
      </c>
      <c r="G1044" s="2">
        <v>1034.0</v>
      </c>
      <c r="H1044" s="2" t="s">
        <v>5905</v>
      </c>
      <c r="I1044" s="2" t="s">
        <v>5905</v>
      </c>
      <c r="J1044" s="2" t="s">
        <v>7363</v>
      </c>
      <c r="K1044" s="2" t="s">
        <v>31421</v>
      </c>
      <c r="L1044" s="10" t="s">
        <v>31422</v>
      </c>
    </row>
    <row r="1045">
      <c r="A1045" s="2" t="s">
        <v>31423</v>
      </c>
      <c r="B1045" s="2" t="s">
        <v>31424</v>
      </c>
      <c r="C1045" s="2">
        <v>2.79763173E8</v>
      </c>
      <c r="D1045" s="2" t="s">
        <v>31425</v>
      </c>
      <c r="E1045" s="2">
        <v>15602.0</v>
      </c>
      <c r="F1045" s="2">
        <v>2191.0</v>
      </c>
      <c r="G1045" s="2">
        <v>279.0</v>
      </c>
      <c r="H1045" s="2" t="s">
        <v>5905</v>
      </c>
      <c r="I1045" s="2" t="s">
        <v>5906</v>
      </c>
      <c r="J1045" s="2" t="s">
        <v>5391</v>
      </c>
      <c r="K1045" s="2" t="s">
        <v>31426</v>
      </c>
      <c r="L1045" s="10" t="s">
        <v>31427</v>
      </c>
    </row>
    <row r="1046">
      <c r="A1046" s="2" t="s">
        <v>31423</v>
      </c>
      <c r="B1046" s="2" t="s">
        <v>31428</v>
      </c>
      <c r="C1046" s="2">
        <v>5.107149304E10</v>
      </c>
      <c r="D1046" s="2" t="s">
        <v>31429</v>
      </c>
      <c r="E1046" s="2">
        <v>11221.0</v>
      </c>
      <c r="F1046" s="2">
        <v>569.0</v>
      </c>
      <c r="G1046" s="2">
        <v>474.0</v>
      </c>
      <c r="H1046" s="2" t="s">
        <v>5906</v>
      </c>
      <c r="I1046" s="2" t="s">
        <v>5905</v>
      </c>
      <c r="J1046" s="2" t="s">
        <v>5959</v>
      </c>
      <c r="K1046" s="2" t="s">
        <v>31430</v>
      </c>
      <c r="L1046" s="10" t="s">
        <v>31431</v>
      </c>
    </row>
    <row r="1047">
      <c r="A1047" s="2" t="s">
        <v>31432</v>
      </c>
      <c r="B1047" s="2" t="s">
        <v>31433</v>
      </c>
      <c r="C1047" s="2">
        <v>1.611701666E9</v>
      </c>
      <c r="D1047" s="2" t="s">
        <v>31434</v>
      </c>
      <c r="E1047" s="2">
        <v>10266.0</v>
      </c>
      <c r="F1047" s="2">
        <v>3241.0</v>
      </c>
      <c r="G1047" s="2">
        <v>7117.0</v>
      </c>
      <c r="H1047" s="2" t="s">
        <v>5905</v>
      </c>
      <c r="I1047" s="2" t="s">
        <v>5905</v>
      </c>
      <c r="J1047" s="2" t="s">
        <v>14778</v>
      </c>
      <c r="K1047" s="2" t="s">
        <v>31435</v>
      </c>
      <c r="L1047" s="10" t="s">
        <v>31436</v>
      </c>
    </row>
    <row r="1048">
      <c r="A1048" s="2" t="s">
        <v>31432</v>
      </c>
      <c r="B1048" s="2" t="s">
        <v>31437</v>
      </c>
      <c r="C1048" s="2">
        <v>2.031442496E9</v>
      </c>
      <c r="D1048" s="2" t="s">
        <v>31438</v>
      </c>
      <c r="E1048" s="2">
        <v>20025.0</v>
      </c>
      <c r="F1048" s="2">
        <v>2506.0</v>
      </c>
      <c r="G1048" s="2">
        <v>1106.0</v>
      </c>
      <c r="H1048" s="2" t="s">
        <v>5906</v>
      </c>
      <c r="I1048" s="2" t="s">
        <v>5905</v>
      </c>
      <c r="J1048" s="2" t="s">
        <v>7414</v>
      </c>
      <c r="K1048" s="2" t="s">
        <v>31439</v>
      </c>
      <c r="L1048" s="10" t="s">
        <v>31440</v>
      </c>
    </row>
    <row r="1049">
      <c r="A1049" s="2" t="s">
        <v>31441</v>
      </c>
      <c r="B1049" s="2" t="s">
        <v>31442</v>
      </c>
      <c r="C1049" s="2">
        <v>4.481449447E9</v>
      </c>
      <c r="D1049" s="2" t="s">
        <v>31443</v>
      </c>
      <c r="E1049" s="2">
        <v>40984.0</v>
      </c>
      <c r="F1049" s="2">
        <v>5682.0</v>
      </c>
      <c r="G1049" s="2">
        <v>696.0</v>
      </c>
      <c r="H1049" s="2" t="s">
        <v>5905</v>
      </c>
      <c r="I1049" s="2" t="s">
        <v>5905</v>
      </c>
      <c r="J1049" s="2" t="s">
        <v>7414</v>
      </c>
      <c r="K1049" s="2" t="s">
        <v>31444</v>
      </c>
      <c r="L1049" s="10" t="s">
        <v>31445</v>
      </c>
    </row>
    <row r="1050">
      <c r="A1050" s="2" t="s">
        <v>31441</v>
      </c>
      <c r="B1050" s="2" t="s">
        <v>31446</v>
      </c>
      <c r="C1050" s="2">
        <v>3.8320020018E10</v>
      </c>
      <c r="D1050" s="2" t="s">
        <v>31447</v>
      </c>
      <c r="E1050" s="2">
        <v>24960.0</v>
      </c>
      <c r="F1050" s="2">
        <v>2316.0</v>
      </c>
      <c r="G1050" s="2">
        <v>480.0</v>
      </c>
      <c r="H1050" s="2" t="s">
        <v>5905</v>
      </c>
      <c r="I1050" s="2" t="s">
        <v>5905</v>
      </c>
      <c r="J1050" s="2" t="s">
        <v>6414</v>
      </c>
      <c r="K1050" s="2" t="s">
        <v>31448</v>
      </c>
      <c r="L1050" s="10" t="s">
        <v>31449</v>
      </c>
    </row>
    <row r="1051">
      <c r="A1051" s="2" t="s">
        <v>31441</v>
      </c>
      <c r="B1051" s="2" t="s">
        <v>31450</v>
      </c>
      <c r="C1051" s="2">
        <v>4.36737238E8</v>
      </c>
      <c r="D1051" s="2" t="s">
        <v>31451</v>
      </c>
      <c r="E1051" s="2">
        <v>14967.0</v>
      </c>
      <c r="F1051" s="2">
        <v>1914.0</v>
      </c>
      <c r="G1051" s="2">
        <v>344.0</v>
      </c>
      <c r="H1051" s="2" t="s">
        <v>5906</v>
      </c>
      <c r="I1051" s="2" t="s">
        <v>5905</v>
      </c>
      <c r="J1051" s="2" t="s">
        <v>5959</v>
      </c>
      <c r="K1051" s="2" t="s">
        <v>31452</v>
      </c>
    </row>
    <row r="1052">
      <c r="A1052" s="2" t="s">
        <v>31453</v>
      </c>
      <c r="B1052" s="2" t="s">
        <v>31454</v>
      </c>
      <c r="C1052" s="2">
        <v>1.836695609E9</v>
      </c>
      <c r="D1052" s="2" t="s">
        <v>31455</v>
      </c>
      <c r="E1052" s="2">
        <v>13046.0</v>
      </c>
      <c r="F1052" s="2">
        <v>4366.0</v>
      </c>
      <c r="G1052" s="2">
        <v>216.0</v>
      </c>
      <c r="H1052" s="2" t="s">
        <v>5905</v>
      </c>
      <c r="I1052" s="2" t="s">
        <v>5905</v>
      </c>
      <c r="K1052" s="2" t="s">
        <v>31456</v>
      </c>
      <c r="L1052" s="10" t="s">
        <v>31457</v>
      </c>
    </row>
    <row r="1053">
      <c r="A1053" s="2" t="s">
        <v>31458</v>
      </c>
      <c r="B1053" s="2" t="s">
        <v>31459</v>
      </c>
      <c r="C1053" s="2">
        <v>1.426552524E9</v>
      </c>
      <c r="D1053" s="2" t="s">
        <v>31460</v>
      </c>
      <c r="E1053" s="2">
        <v>12754.0</v>
      </c>
      <c r="F1053" s="2">
        <v>2756.0</v>
      </c>
      <c r="G1053" s="2">
        <v>293.0</v>
      </c>
      <c r="H1053" s="2" t="s">
        <v>5905</v>
      </c>
      <c r="I1053" s="2" t="s">
        <v>5905</v>
      </c>
      <c r="J1053" s="2" t="s">
        <v>7414</v>
      </c>
      <c r="K1053" s="2" t="s">
        <v>31461</v>
      </c>
      <c r="L1053" s="10" t="s">
        <v>31462</v>
      </c>
    </row>
    <row r="1054">
      <c r="A1054" s="2" t="s">
        <v>31463</v>
      </c>
      <c r="B1054" s="2" t="s">
        <v>31464</v>
      </c>
      <c r="C1054" s="2">
        <v>3.1714311E7</v>
      </c>
      <c r="D1054" s="2" t="s">
        <v>31465</v>
      </c>
      <c r="E1054" s="2">
        <v>19989.0</v>
      </c>
      <c r="F1054" s="2">
        <v>4939.0</v>
      </c>
      <c r="G1054" s="2">
        <v>458.0</v>
      </c>
      <c r="H1054" s="2" t="s">
        <v>5905</v>
      </c>
      <c r="I1054" s="2" t="s">
        <v>5905</v>
      </c>
      <c r="J1054" s="2" t="s">
        <v>7140</v>
      </c>
      <c r="K1054" s="2" t="s">
        <v>31466</v>
      </c>
      <c r="L1054" s="10" t="s">
        <v>31467</v>
      </c>
    </row>
    <row r="1055">
      <c r="A1055" s="2" t="s">
        <v>31463</v>
      </c>
      <c r="B1055" s="2" t="s">
        <v>31468</v>
      </c>
      <c r="C1055" s="2">
        <v>5.55312697E8</v>
      </c>
      <c r="D1055" s="2" t="s">
        <v>31469</v>
      </c>
      <c r="E1055" s="2">
        <v>35415.0</v>
      </c>
      <c r="F1055" s="2">
        <v>7141.0</v>
      </c>
      <c r="G1055" s="2">
        <v>4840.0</v>
      </c>
      <c r="H1055" s="2" t="s">
        <v>5905</v>
      </c>
      <c r="I1055" s="2" t="s">
        <v>5906</v>
      </c>
      <c r="J1055" s="2" t="s">
        <v>5959</v>
      </c>
      <c r="K1055" s="2" t="s">
        <v>31470</v>
      </c>
      <c r="L1055" s="10" t="s">
        <v>31471</v>
      </c>
    </row>
    <row r="1056">
      <c r="A1056" s="2" t="s">
        <v>31463</v>
      </c>
      <c r="B1056" s="2" t="s">
        <v>31472</v>
      </c>
      <c r="C1056" s="2">
        <v>4.63189011E8</v>
      </c>
      <c r="D1056" s="2" t="s">
        <v>31473</v>
      </c>
      <c r="E1056" s="2">
        <v>57506.0</v>
      </c>
      <c r="F1056" s="2">
        <v>4337.0</v>
      </c>
      <c r="G1056" s="2">
        <v>3124.0</v>
      </c>
      <c r="H1056" s="2" t="s">
        <v>5905</v>
      </c>
      <c r="I1056" s="2" t="s">
        <v>5905</v>
      </c>
      <c r="J1056" s="2" t="s">
        <v>14778</v>
      </c>
      <c r="K1056" s="2" t="s">
        <v>31474</v>
      </c>
      <c r="L1056" s="10" t="s">
        <v>31475</v>
      </c>
    </row>
    <row r="1057">
      <c r="A1057" s="2" t="s">
        <v>31463</v>
      </c>
      <c r="B1057" s="2" t="s">
        <v>31476</v>
      </c>
      <c r="C1057" s="2">
        <v>3.2875718E7</v>
      </c>
      <c r="D1057" s="2" t="s">
        <v>31473</v>
      </c>
      <c r="E1057" s="2">
        <v>260516.0</v>
      </c>
      <c r="F1057" s="2">
        <v>1602.0</v>
      </c>
      <c r="G1057" s="2">
        <v>426.0</v>
      </c>
      <c r="H1057" s="2" t="s">
        <v>5905</v>
      </c>
      <c r="I1057" s="2" t="s">
        <v>5905</v>
      </c>
      <c r="J1057" s="2" t="s">
        <v>14778</v>
      </c>
      <c r="K1057" s="2" t="s">
        <v>31477</v>
      </c>
      <c r="L1057" s="10" t="s">
        <v>31478</v>
      </c>
    </row>
    <row r="1058">
      <c r="A1058" s="2" t="s">
        <v>31463</v>
      </c>
      <c r="B1058" s="2" t="s">
        <v>31479</v>
      </c>
      <c r="C1058" s="2">
        <v>4.45755368E9</v>
      </c>
      <c r="D1058" s="2" t="s">
        <v>31469</v>
      </c>
      <c r="E1058" s="2">
        <v>41217.0</v>
      </c>
      <c r="F1058" s="2">
        <v>821.0</v>
      </c>
      <c r="G1058" s="2">
        <v>858.0</v>
      </c>
      <c r="H1058" s="2" t="s">
        <v>5905</v>
      </c>
      <c r="I1058" s="2" t="s">
        <v>5905</v>
      </c>
      <c r="J1058" s="2" t="s">
        <v>14778</v>
      </c>
      <c r="K1058" s="2" t="s">
        <v>31480</v>
      </c>
      <c r="L1058" s="10" t="s">
        <v>31481</v>
      </c>
    </row>
    <row r="1059">
      <c r="A1059" s="2" t="s">
        <v>31463</v>
      </c>
      <c r="B1059" s="2" t="s">
        <v>31424</v>
      </c>
      <c r="C1059" s="2">
        <v>2.79763173E8</v>
      </c>
      <c r="D1059" s="2" t="s">
        <v>31425</v>
      </c>
      <c r="E1059" s="2">
        <v>15602.0</v>
      </c>
      <c r="F1059" s="2">
        <v>2191.0</v>
      </c>
      <c r="G1059" s="2">
        <v>279.0</v>
      </c>
      <c r="H1059" s="2" t="s">
        <v>5905</v>
      </c>
      <c r="I1059" s="2" t="s">
        <v>5906</v>
      </c>
      <c r="J1059" s="2" t="s">
        <v>5391</v>
      </c>
      <c r="K1059" s="2" t="s">
        <v>31426</v>
      </c>
      <c r="L1059" s="10" t="s">
        <v>31427</v>
      </c>
    </row>
    <row r="1060">
      <c r="A1060" s="2" t="s">
        <v>31463</v>
      </c>
      <c r="B1060" s="2" t="s">
        <v>31482</v>
      </c>
      <c r="C1060" s="2">
        <v>5.1246331E7</v>
      </c>
      <c r="D1060" s="2" t="s">
        <v>31469</v>
      </c>
      <c r="E1060" s="2">
        <v>92255.0</v>
      </c>
      <c r="F1060" s="2">
        <v>2823.0</v>
      </c>
      <c r="G1060" s="2">
        <v>2410.0</v>
      </c>
      <c r="H1060" s="2" t="s">
        <v>5905</v>
      </c>
      <c r="I1060" s="2" t="s">
        <v>5906</v>
      </c>
      <c r="J1060" s="2" t="s">
        <v>7140</v>
      </c>
      <c r="K1060" s="2" t="s">
        <v>31483</v>
      </c>
      <c r="L1060" s="10" t="s">
        <v>31484</v>
      </c>
    </row>
    <row r="1061">
      <c r="A1061" s="2" t="s">
        <v>31463</v>
      </c>
      <c r="B1061" s="2" t="s">
        <v>31485</v>
      </c>
      <c r="C1061" s="2">
        <v>3.03839319E8</v>
      </c>
      <c r="D1061" s="2" t="s">
        <v>31486</v>
      </c>
      <c r="E1061" s="2">
        <v>47504.0</v>
      </c>
      <c r="F1061" s="2">
        <v>2152.0</v>
      </c>
      <c r="G1061" s="2">
        <v>1507.0</v>
      </c>
      <c r="H1061" s="2" t="s">
        <v>5905</v>
      </c>
      <c r="I1061" s="2" t="s">
        <v>5906</v>
      </c>
      <c r="J1061" s="2" t="s">
        <v>14778</v>
      </c>
      <c r="K1061" s="2" t="s">
        <v>31487</v>
      </c>
      <c r="L1061" s="10" t="s">
        <v>31488</v>
      </c>
    </row>
    <row r="1062">
      <c r="A1062" s="2" t="s">
        <v>31463</v>
      </c>
      <c r="B1062" s="2" t="s">
        <v>31489</v>
      </c>
      <c r="C1062" s="2">
        <v>5.28784284E8</v>
      </c>
      <c r="D1062" s="2" t="s">
        <v>31490</v>
      </c>
      <c r="E1062" s="2">
        <v>19936.0</v>
      </c>
      <c r="F1062" s="2">
        <v>2357.0</v>
      </c>
      <c r="G1062" s="2">
        <v>1166.0</v>
      </c>
      <c r="H1062" s="2" t="s">
        <v>5906</v>
      </c>
      <c r="I1062" s="2" t="s">
        <v>5905</v>
      </c>
      <c r="J1062" s="2" t="s">
        <v>14778</v>
      </c>
      <c r="K1062" s="2" t="s">
        <v>31491</v>
      </c>
      <c r="L1062" s="10" t="s">
        <v>31492</v>
      </c>
    </row>
    <row r="1063">
      <c r="A1063" s="2" t="s">
        <v>31493</v>
      </c>
      <c r="B1063" s="2" t="s">
        <v>31494</v>
      </c>
      <c r="C1063" s="2">
        <v>5.123404414E9</v>
      </c>
      <c r="D1063" s="2" t="s">
        <v>31495</v>
      </c>
      <c r="E1063" s="2">
        <v>14593.0</v>
      </c>
      <c r="F1063" s="2">
        <v>1014.0</v>
      </c>
      <c r="G1063" s="2">
        <v>386.0</v>
      </c>
      <c r="H1063" s="2" t="s">
        <v>5905</v>
      </c>
      <c r="I1063" s="2" t="s">
        <v>5906</v>
      </c>
      <c r="J1063" s="2" t="s">
        <v>6002</v>
      </c>
      <c r="K1063" s="2" t="s">
        <v>31496</v>
      </c>
      <c r="L1063" s="10" t="s">
        <v>31497</v>
      </c>
    </row>
    <row r="1064">
      <c r="A1064" s="2" t="s">
        <v>31493</v>
      </c>
      <c r="B1064" s="2" t="s">
        <v>31498</v>
      </c>
      <c r="C1064" s="2">
        <v>1.946491201E9</v>
      </c>
      <c r="D1064" s="2" t="s">
        <v>31499</v>
      </c>
      <c r="E1064" s="2">
        <v>20223.0</v>
      </c>
      <c r="F1064" s="2">
        <v>2535.0</v>
      </c>
      <c r="G1064" s="2">
        <v>1289.0</v>
      </c>
      <c r="H1064" s="2" t="s">
        <v>5905</v>
      </c>
      <c r="I1064" s="2" t="s">
        <v>5906</v>
      </c>
      <c r="J1064" s="2" t="s">
        <v>7414</v>
      </c>
      <c r="K1064" s="2" t="s">
        <v>31500</v>
      </c>
    </row>
    <row r="1065">
      <c r="A1065" s="2" t="s">
        <v>31493</v>
      </c>
      <c r="B1065" s="2" t="s">
        <v>31437</v>
      </c>
      <c r="C1065" s="2">
        <v>2.031442496E9</v>
      </c>
      <c r="D1065" s="2" t="s">
        <v>31438</v>
      </c>
      <c r="E1065" s="2">
        <v>20025.0</v>
      </c>
      <c r="F1065" s="2">
        <v>2506.0</v>
      </c>
      <c r="G1065" s="2">
        <v>1106.0</v>
      </c>
      <c r="H1065" s="2" t="s">
        <v>5906</v>
      </c>
      <c r="I1065" s="2" t="s">
        <v>5905</v>
      </c>
      <c r="J1065" s="2" t="s">
        <v>7414</v>
      </c>
      <c r="K1065" s="2" t="s">
        <v>31439</v>
      </c>
      <c r="L1065" s="10" t="s">
        <v>31440</v>
      </c>
    </row>
    <row r="1066">
      <c r="A1066" s="2" t="s">
        <v>31493</v>
      </c>
      <c r="B1066" s="2" t="s">
        <v>31501</v>
      </c>
      <c r="C1066" s="2">
        <v>2.8271813E7</v>
      </c>
      <c r="D1066" s="2" t="s">
        <v>31502</v>
      </c>
      <c r="E1066" s="2">
        <v>12207.0</v>
      </c>
      <c r="F1066" s="2">
        <v>4115.0</v>
      </c>
      <c r="G1066" s="2">
        <v>917.0</v>
      </c>
      <c r="H1066" s="2" t="s">
        <v>5905</v>
      </c>
      <c r="I1066" s="2" t="s">
        <v>5906</v>
      </c>
      <c r="J1066" s="2" t="s">
        <v>5993</v>
      </c>
      <c r="K1066" s="2" t="s">
        <v>31503</v>
      </c>
      <c r="L1066" s="10" t="s">
        <v>31504</v>
      </c>
    </row>
    <row r="1067">
      <c r="A1067" s="2" t="s">
        <v>31493</v>
      </c>
      <c r="B1067" s="2" t="s">
        <v>31505</v>
      </c>
      <c r="C1067" s="2">
        <v>5.3077796391E10</v>
      </c>
      <c r="D1067" s="2" t="s">
        <v>31506</v>
      </c>
      <c r="E1067" s="2">
        <v>13185.0</v>
      </c>
      <c r="F1067" s="2">
        <v>4236.0</v>
      </c>
      <c r="G1067" s="2">
        <v>142.0</v>
      </c>
      <c r="H1067" s="2" t="s">
        <v>5906</v>
      </c>
      <c r="I1067" s="2" t="s">
        <v>5906</v>
      </c>
      <c r="J1067" s="2" t="s">
        <v>14778</v>
      </c>
      <c r="K1067" s="2" t="s">
        <v>31507</v>
      </c>
      <c r="L1067" s="10" t="s">
        <v>31508</v>
      </c>
    </row>
    <row r="1068">
      <c r="A1068" s="2" t="s">
        <v>31509</v>
      </c>
      <c r="B1068" s="2" t="s">
        <v>31510</v>
      </c>
      <c r="C1068" s="2">
        <v>1.82667354E8</v>
      </c>
      <c r="D1068" s="2" t="s">
        <v>31511</v>
      </c>
      <c r="E1068" s="2">
        <v>173890.0</v>
      </c>
      <c r="F1068" s="2">
        <v>1837.0</v>
      </c>
      <c r="G1068" s="2">
        <v>1227.0</v>
      </c>
      <c r="H1068" s="2" t="s">
        <v>5906</v>
      </c>
      <c r="I1068" s="2" t="s">
        <v>5905</v>
      </c>
      <c r="J1068" s="2" t="s">
        <v>14778</v>
      </c>
      <c r="K1068" s="2" t="s">
        <v>31512</v>
      </c>
      <c r="L1068" s="10" t="s">
        <v>31513</v>
      </c>
    </row>
    <row r="1069">
      <c r="A1069" s="2" t="s">
        <v>31509</v>
      </c>
      <c r="B1069" s="2" t="s">
        <v>31514</v>
      </c>
      <c r="C1069" s="2">
        <v>2.183933E8</v>
      </c>
      <c r="D1069" s="2" t="s">
        <v>31515</v>
      </c>
      <c r="E1069" s="2">
        <v>30492.0</v>
      </c>
      <c r="F1069" s="2">
        <v>4035.0</v>
      </c>
      <c r="G1069" s="2">
        <v>4858.0</v>
      </c>
      <c r="H1069" s="2" t="s">
        <v>5905</v>
      </c>
      <c r="I1069" s="2" t="s">
        <v>5905</v>
      </c>
      <c r="J1069" s="2" t="s">
        <v>5391</v>
      </c>
      <c r="K1069" s="2" t="s">
        <v>31516</v>
      </c>
      <c r="L1069" s="10" t="s">
        <v>31517</v>
      </c>
    </row>
    <row r="1070">
      <c r="A1070" s="2" t="s">
        <v>31518</v>
      </c>
      <c r="B1070" s="2" t="s">
        <v>31519</v>
      </c>
      <c r="C1070" s="2">
        <v>2.6476199E7</v>
      </c>
      <c r="D1070" s="2" t="s">
        <v>31520</v>
      </c>
      <c r="E1070" s="2">
        <v>86849.0</v>
      </c>
      <c r="F1070" s="2">
        <v>2237.0</v>
      </c>
      <c r="G1070" s="2">
        <v>475.0</v>
      </c>
      <c r="H1070" s="2" t="s">
        <v>5906</v>
      </c>
      <c r="I1070" s="2" t="s">
        <v>5905</v>
      </c>
      <c r="J1070" s="2" t="s">
        <v>7414</v>
      </c>
      <c r="K1070" s="2" t="s">
        <v>31521</v>
      </c>
      <c r="L1070" s="10" t="s">
        <v>31522</v>
      </c>
    </row>
    <row r="1071">
      <c r="A1071" s="2" t="s">
        <v>31518</v>
      </c>
      <c r="B1071" s="2" t="s">
        <v>31523</v>
      </c>
      <c r="C1071" s="2">
        <v>3.994632726E9</v>
      </c>
      <c r="D1071" s="2" t="s">
        <v>31524</v>
      </c>
      <c r="E1071" s="2">
        <v>18511.0</v>
      </c>
      <c r="F1071" s="2">
        <v>1283.0</v>
      </c>
      <c r="G1071" s="2">
        <v>182.0</v>
      </c>
      <c r="H1071" s="2" t="s">
        <v>5905</v>
      </c>
      <c r="I1071" s="2" t="s">
        <v>5905</v>
      </c>
      <c r="J1071" s="2" t="s">
        <v>14778</v>
      </c>
      <c r="K1071" s="2" t="s">
        <v>31525</v>
      </c>
      <c r="L1071" s="10" t="s">
        <v>31526</v>
      </c>
    </row>
    <row r="1072">
      <c r="A1072" s="2" t="s">
        <v>31518</v>
      </c>
      <c r="B1072" s="2" t="s">
        <v>31527</v>
      </c>
      <c r="C1072" s="2">
        <v>4.44949584E8</v>
      </c>
      <c r="D1072" s="2" t="s">
        <v>31520</v>
      </c>
      <c r="E1072" s="2">
        <v>11697.0</v>
      </c>
      <c r="F1072" s="2">
        <v>3682.0</v>
      </c>
      <c r="G1072" s="2">
        <v>278.0</v>
      </c>
      <c r="H1072" s="2" t="s">
        <v>5905</v>
      </c>
      <c r="I1072" s="2" t="s">
        <v>5906</v>
      </c>
      <c r="J1072" s="2" t="s">
        <v>14778</v>
      </c>
      <c r="K1072" s="2" t="s">
        <v>31528</v>
      </c>
      <c r="L1072" s="10" t="s">
        <v>31529</v>
      </c>
    </row>
    <row r="1073">
      <c r="A1073" s="2" t="s">
        <v>31518</v>
      </c>
      <c r="B1073" s="2" t="s">
        <v>31530</v>
      </c>
      <c r="C1073" s="2">
        <v>1.342052461E9</v>
      </c>
      <c r="D1073" s="2" t="s">
        <v>31531</v>
      </c>
      <c r="E1073" s="2">
        <v>24062.0</v>
      </c>
      <c r="F1073" s="2">
        <v>3277.0</v>
      </c>
      <c r="G1073" s="2">
        <v>1503.0</v>
      </c>
      <c r="H1073" s="2" t="s">
        <v>5905</v>
      </c>
      <c r="I1073" s="2" t="s">
        <v>5905</v>
      </c>
      <c r="J1073" s="2" t="s">
        <v>14778</v>
      </c>
      <c r="K1073" s="2" t="s">
        <v>31532</v>
      </c>
      <c r="L1073" s="10" t="s">
        <v>31533</v>
      </c>
    </row>
    <row r="1074">
      <c r="A1074" s="2" t="s">
        <v>31518</v>
      </c>
      <c r="B1074" s="2" t="s">
        <v>31534</v>
      </c>
      <c r="C1074" s="2">
        <v>2.251720205E9</v>
      </c>
      <c r="D1074" s="2" t="s">
        <v>31535</v>
      </c>
      <c r="E1074" s="2">
        <v>10263.0</v>
      </c>
      <c r="F1074" s="2">
        <v>1684.0</v>
      </c>
      <c r="G1074" s="2">
        <v>1228.0</v>
      </c>
      <c r="H1074" s="2" t="s">
        <v>5906</v>
      </c>
      <c r="I1074" s="2" t="s">
        <v>5905</v>
      </c>
      <c r="J1074" s="2" t="s">
        <v>14778</v>
      </c>
      <c r="K1074" s="2" t="s">
        <v>31536</v>
      </c>
      <c r="L1074" s="10" t="s">
        <v>31537</v>
      </c>
    </row>
    <row r="1075">
      <c r="A1075" s="2" t="s">
        <v>31518</v>
      </c>
      <c r="B1075" s="2" t="s">
        <v>31454</v>
      </c>
      <c r="C1075" s="2">
        <v>1.836695609E9</v>
      </c>
      <c r="D1075" s="2" t="s">
        <v>31455</v>
      </c>
      <c r="E1075" s="2">
        <v>13046.0</v>
      </c>
      <c r="F1075" s="2">
        <v>4366.0</v>
      </c>
      <c r="G1075" s="2">
        <v>216.0</v>
      </c>
      <c r="H1075" s="2" t="s">
        <v>5905</v>
      </c>
      <c r="I1075" s="2" t="s">
        <v>5905</v>
      </c>
      <c r="K1075" s="2" t="s">
        <v>31456</v>
      </c>
      <c r="L1075" s="10" t="s">
        <v>31457</v>
      </c>
    </row>
    <row r="1076">
      <c r="A1076" s="2" t="s">
        <v>31518</v>
      </c>
      <c r="B1076" s="2" t="s">
        <v>31538</v>
      </c>
      <c r="C1076" s="2">
        <v>1.267330018E9</v>
      </c>
      <c r="D1076" s="2" t="s">
        <v>31520</v>
      </c>
      <c r="E1076" s="2">
        <v>141360.0</v>
      </c>
      <c r="F1076" s="2">
        <v>1890.0</v>
      </c>
      <c r="G1076" s="2">
        <v>1599.0</v>
      </c>
      <c r="H1076" s="2" t="s">
        <v>5906</v>
      </c>
      <c r="I1076" s="2" t="s">
        <v>5906</v>
      </c>
      <c r="J1076" s="2" t="s">
        <v>14778</v>
      </c>
      <c r="K1076" s="2" t="s">
        <v>31539</v>
      </c>
      <c r="L1076" s="10" t="s">
        <v>31540</v>
      </c>
    </row>
    <row r="1077">
      <c r="A1077" s="2" t="s">
        <v>31518</v>
      </c>
      <c r="B1077" s="2" t="s">
        <v>31541</v>
      </c>
      <c r="C1077" s="2">
        <v>2.254356764E9</v>
      </c>
      <c r="D1077" s="2" t="s">
        <v>31520</v>
      </c>
      <c r="E1077" s="2">
        <v>48658.0</v>
      </c>
      <c r="F1077" s="2">
        <v>1990.0</v>
      </c>
      <c r="G1077" s="2">
        <v>1701.0</v>
      </c>
      <c r="H1077" s="2" t="s">
        <v>5905</v>
      </c>
      <c r="I1077" s="2" t="s">
        <v>5905</v>
      </c>
      <c r="J1077" s="2" t="s">
        <v>14778</v>
      </c>
      <c r="K1077" s="2" t="s">
        <v>31542</v>
      </c>
      <c r="L1077" s="10" t="s">
        <v>31543</v>
      </c>
    </row>
    <row r="1078">
      <c r="A1078" s="2" t="s">
        <v>31518</v>
      </c>
      <c r="B1078" s="2" t="s">
        <v>31544</v>
      </c>
      <c r="C1078" s="2">
        <v>6.728944178E9</v>
      </c>
      <c r="D1078" s="2" t="s">
        <v>31520</v>
      </c>
      <c r="E1078" s="2">
        <v>17905.0</v>
      </c>
      <c r="F1078" s="2">
        <v>946.0</v>
      </c>
      <c r="G1078" s="2">
        <v>387.0</v>
      </c>
      <c r="H1078" s="2" t="s">
        <v>5905</v>
      </c>
      <c r="I1078" s="2" t="s">
        <v>5905</v>
      </c>
      <c r="J1078" s="2" t="s">
        <v>14778</v>
      </c>
      <c r="K1078" s="2" t="s">
        <v>31545</v>
      </c>
      <c r="L1078" s="10" t="s">
        <v>31546</v>
      </c>
    </row>
    <row r="1079">
      <c r="A1079" s="2" t="s">
        <v>31518</v>
      </c>
      <c r="B1079" s="2" t="s">
        <v>31547</v>
      </c>
      <c r="C1079" s="2">
        <v>2.329210746E9</v>
      </c>
      <c r="D1079" s="2" t="s">
        <v>31548</v>
      </c>
      <c r="E1079" s="2">
        <v>33567.0</v>
      </c>
      <c r="F1079" s="2">
        <v>1094.0</v>
      </c>
      <c r="G1079" s="2">
        <v>497.0</v>
      </c>
      <c r="H1079" s="2" t="s">
        <v>5906</v>
      </c>
      <c r="I1079" s="2" t="s">
        <v>5906</v>
      </c>
      <c r="J1079" s="2" t="s">
        <v>5993</v>
      </c>
      <c r="K1079" s="2" t="s">
        <v>31549</v>
      </c>
      <c r="L1079" s="10" t="s">
        <v>31550</v>
      </c>
    </row>
    <row r="1080">
      <c r="A1080" s="2" t="s">
        <v>31518</v>
      </c>
      <c r="B1080" s="2" t="s">
        <v>31551</v>
      </c>
      <c r="C1080" s="2">
        <v>7.344916966E9</v>
      </c>
      <c r="D1080" s="2" t="s">
        <v>31520</v>
      </c>
      <c r="E1080" s="2">
        <v>39901.0</v>
      </c>
      <c r="F1080" s="2">
        <v>1882.0</v>
      </c>
      <c r="G1080" s="2">
        <v>726.0</v>
      </c>
      <c r="H1080" s="2" t="s">
        <v>5905</v>
      </c>
      <c r="I1080" s="2" t="s">
        <v>5905</v>
      </c>
      <c r="J1080" s="2" t="s">
        <v>7414</v>
      </c>
      <c r="K1080" s="2" t="s">
        <v>31552</v>
      </c>
      <c r="L1080" s="10" t="s">
        <v>31553</v>
      </c>
    </row>
    <row r="1081">
      <c r="A1081" s="2" t="s">
        <v>31554</v>
      </c>
      <c r="B1081" s="2" t="s">
        <v>31555</v>
      </c>
      <c r="C1081" s="2">
        <v>5.4491791857E10</v>
      </c>
      <c r="D1081" s="2" t="s">
        <v>31556</v>
      </c>
      <c r="E1081" s="2">
        <v>10003.0</v>
      </c>
      <c r="F1081" s="2">
        <v>87.0</v>
      </c>
      <c r="G1081" s="2">
        <v>168.0</v>
      </c>
      <c r="H1081" s="2" t="s">
        <v>5905</v>
      </c>
      <c r="I1081" s="2" t="s">
        <v>5905</v>
      </c>
      <c r="J1081" s="2" t="s">
        <v>7414</v>
      </c>
    </row>
    <row r="1082">
      <c r="A1082" s="2" t="s">
        <v>31554</v>
      </c>
      <c r="B1082" s="2" t="s">
        <v>31557</v>
      </c>
      <c r="C1082" s="2">
        <v>1.2794325225E10</v>
      </c>
      <c r="D1082" s="2" t="s">
        <v>31558</v>
      </c>
      <c r="E1082" s="2">
        <v>12101.0</v>
      </c>
      <c r="F1082" s="2">
        <v>1991.0</v>
      </c>
      <c r="G1082" s="2">
        <v>248.0</v>
      </c>
      <c r="H1082" s="2" t="s">
        <v>5905</v>
      </c>
      <c r="I1082" s="2" t="s">
        <v>5906</v>
      </c>
      <c r="J1082" s="2" t="s">
        <v>6393</v>
      </c>
      <c r="K1082" s="2" t="s">
        <v>31559</v>
      </c>
      <c r="L1082" s="10" t="s">
        <v>31560</v>
      </c>
    </row>
    <row r="1083">
      <c r="A1083" s="2" t="s">
        <v>31554</v>
      </c>
      <c r="B1083" s="2" t="s">
        <v>31459</v>
      </c>
      <c r="C1083" s="2">
        <v>1.426552524E9</v>
      </c>
      <c r="D1083" s="2" t="s">
        <v>31460</v>
      </c>
      <c r="E1083" s="2">
        <v>12754.0</v>
      </c>
      <c r="F1083" s="2">
        <v>2756.0</v>
      </c>
      <c r="G1083" s="2">
        <v>293.0</v>
      </c>
      <c r="H1083" s="2" t="s">
        <v>5905</v>
      </c>
      <c r="I1083" s="2" t="s">
        <v>5905</v>
      </c>
      <c r="J1083" s="2" t="s">
        <v>7414</v>
      </c>
      <c r="K1083" s="2" t="s">
        <v>31461</v>
      </c>
      <c r="L1083" s="10" t="s">
        <v>31462</v>
      </c>
    </row>
    <row r="1084">
      <c r="A1084" s="2" t="s">
        <v>31561</v>
      </c>
      <c r="B1084" s="2" t="s">
        <v>31562</v>
      </c>
      <c r="C1084" s="2">
        <v>7.306907038E9</v>
      </c>
      <c r="D1084" s="2" t="s">
        <v>31563</v>
      </c>
      <c r="E1084" s="2">
        <v>10164.0</v>
      </c>
      <c r="F1084" s="2">
        <v>2737.0</v>
      </c>
      <c r="G1084" s="2">
        <v>962.0</v>
      </c>
      <c r="H1084" s="2" t="s">
        <v>5905</v>
      </c>
      <c r="I1084" s="2" t="s">
        <v>5906</v>
      </c>
      <c r="J1084" s="2" t="s">
        <v>5993</v>
      </c>
      <c r="K1084" s="2" t="s">
        <v>31564</v>
      </c>
      <c r="L1084" s="10" t="s">
        <v>31565</v>
      </c>
    </row>
    <row r="1085">
      <c r="A1085" s="2" t="s">
        <v>31566</v>
      </c>
      <c r="B1085" s="2" t="s">
        <v>31567</v>
      </c>
      <c r="C1085" s="2">
        <v>5.1466611E8</v>
      </c>
      <c r="D1085" s="2" t="s">
        <v>31568</v>
      </c>
      <c r="E1085" s="2">
        <v>17355.0</v>
      </c>
      <c r="F1085" s="2">
        <v>918.0</v>
      </c>
      <c r="G1085" s="2">
        <v>2751.0</v>
      </c>
      <c r="H1085" s="2" t="s">
        <v>5905</v>
      </c>
      <c r="I1085" s="2" t="s">
        <v>5906</v>
      </c>
      <c r="J1085" s="2" t="s">
        <v>21239</v>
      </c>
      <c r="K1085" s="2" t="s">
        <v>31569</v>
      </c>
      <c r="L1085" s="10" t="s">
        <v>31570</v>
      </c>
    </row>
    <row r="1086">
      <c r="A1086" s="2" t="s">
        <v>31571</v>
      </c>
      <c r="B1086" s="2" t="s">
        <v>31572</v>
      </c>
      <c r="C1086" s="2">
        <v>1.9141906E7</v>
      </c>
      <c r="D1086" s="2" t="s">
        <v>31573</v>
      </c>
      <c r="E1086" s="2">
        <v>40928.0</v>
      </c>
      <c r="F1086" s="2">
        <v>731.0</v>
      </c>
      <c r="G1086" s="2">
        <v>1069.0</v>
      </c>
      <c r="H1086" s="2" t="s">
        <v>5905</v>
      </c>
      <c r="I1086" s="2" t="s">
        <v>5905</v>
      </c>
      <c r="J1086" s="2" t="s">
        <v>6393</v>
      </c>
      <c r="K1086" s="2" t="s">
        <v>31574</v>
      </c>
    </row>
    <row r="1087">
      <c r="A1087" s="2" t="s">
        <v>31571</v>
      </c>
      <c r="B1087" s="2" t="s">
        <v>31575</v>
      </c>
      <c r="C1087" s="2">
        <v>1.5435902E7</v>
      </c>
      <c r="D1087" s="2" t="s">
        <v>31576</v>
      </c>
      <c r="E1087" s="2">
        <v>11204.0</v>
      </c>
      <c r="F1087" s="2">
        <v>458.0</v>
      </c>
      <c r="G1087" s="2">
        <v>807.0</v>
      </c>
      <c r="H1087" s="2" t="s">
        <v>5906</v>
      </c>
      <c r="I1087" s="2" t="s">
        <v>5906</v>
      </c>
      <c r="J1087" s="2" t="s">
        <v>5963</v>
      </c>
      <c r="K1087" s="2" t="s">
        <v>31577</v>
      </c>
      <c r="L1087" s="10" t="s">
        <v>31578</v>
      </c>
    </row>
    <row r="1088">
      <c r="A1088" s="2" t="s">
        <v>31579</v>
      </c>
      <c r="B1088" s="2" t="s">
        <v>31580</v>
      </c>
      <c r="C1088" s="2">
        <v>4.8333817403E10</v>
      </c>
      <c r="D1088" s="2" t="s">
        <v>31581</v>
      </c>
      <c r="E1088" s="2">
        <v>15149.0</v>
      </c>
      <c r="F1088" s="2">
        <v>325.0</v>
      </c>
      <c r="G1088" s="2">
        <v>1451.0</v>
      </c>
      <c r="H1088" s="2" t="s">
        <v>5905</v>
      </c>
      <c r="I1088" s="2" t="s">
        <v>5906</v>
      </c>
      <c r="J1088" s="2" t="s">
        <v>7669</v>
      </c>
      <c r="K1088" s="2" t="s">
        <v>31582</v>
      </c>
    </row>
    <row r="1089">
      <c r="A1089" s="2" t="s">
        <v>31579</v>
      </c>
      <c r="B1089" s="2" t="s">
        <v>31583</v>
      </c>
      <c r="C1089" s="2">
        <v>1.62832136E9</v>
      </c>
      <c r="D1089" s="2" t="s">
        <v>31584</v>
      </c>
      <c r="E1089" s="2">
        <v>431803.0</v>
      </c>
      <c r="F1089" s="2">
        <v>2976.0</v>
      </c>
      <c r="G1089" s="2">
        <v>8756.0</v>
      </c>
      <c r="H1089" s="2" t="s">
        <v>5905</v>
      </c>
      <c r="I1089" s="2" t="s">
        <v>5906</v>
      </c>
      <c r="J1089" s="2" t="s">
        <v>5959</v>
      </c>
      <c r="K1089" s="2" t="s">
        <v>31585</v>
      </c>
      <c r="L1089" s="10" t="s">
        <v>31586</v>
      </c>
    </row>
    <row r="1090">
      <c r="A1090" s="2" t="s">
        <v>31587</v>
      </c>
      <c r="B1090" s="2" t="s">
        <v>31588</v>
      </c>
      <c r="C1090" s="2">
        <v>5.436856567E9</v>
      </c>
      <c r="D1090" s="2" t="s">
        <v>31589</v>
      </c>
      <c r="E1090" s="2">
        <v>13008.0</v>
      </c>
      <c r="F1090" s="2">
        <v>931.0</v>
      </c>
      <c r="G1090" s="2">
        <v>400.0</v>
      </c>
      <c r="H1090" s="2" t="s">
        <v>5905</v>
      </c>
      <c r="I1090" s="2" t="s">
        <v>5906</v>
      </c>
      <c r="J1090" s="2" t="s">
        <v>12715</v>
      </c>
      <c r="K1090" s="2" t="s">
        <v>31590</v>
      </c>
      <c r="L1090" s="10" t="s">
        <v>31591</v>
      </c>
    </row>
    <row r="1091">
      <c r="A1091" s="2" t="s">
        <v>31592</v>
      </c>
      <c r="B1091" s="2" t="s">
        <v>31593</v>
      </c>
      <c r="C1091" s="2">
        <v>1.04968543E10</v>
      </c>
      <c r="D1091" s="2" t="s">
        <v>31594</v>
      </c>
      <c r="E1091" s="2">
        <v>10847.0</v>
      </c>
      <c r="F1091" s="2">
        <v>226.0</v>
      </c>
      <c r="G1091" s="2">
        <v>770.0</v>
      </c>
      <c r="H1091" s="2" t="s">
        <v>5905</v>
      </c>
      <c r="I1091" s="2" t="s">
        <v>5905</v>
      </c>
      <c r="J1091" s="2" t="s">
        <v>7414</v>
      </c>
      <c r="K1091" s="2" t="s">
        <v>31595</v>
      </c>
      <c r="L1091" s="10" t="s">
        <v>31596</v>
      </c>
    </row>
    <row r="1092">
      <c r="A1092" s="2" t="s">
        <v>31597</v>
      </c>
      <c r="B1092" s="2" t="s">
        <v>31598</v>
      </c>
      <c r="C1092" s="2">
        <v>2.208198067E9</v>
      </c>
      <c r="D1092" s="2" t="s">
        <v>31599</v>
      </c>
      <c r="E1092" s="2">
        <v>13614.0</v>
      </c>
      <c r="F1092" s="2">
        <v>807.0</v>
      </c>
      <c r="G1092" s="2">
        <v>1779.0</v>
      </c>
      <c r="H1092" s="2" t="s">
        <v>5905</v>
      </c>
      <c r="I1092" s="2" t="s">
        <v>5906</v>
      </c>
      <c r="K1092" s="2" t="s">
        <v>31600</v>
      </c>
      <c r="L1092" s="10" t="s">
        <v>31601</v>
      </c>
    </row>
    <row r="1093">
      <c r="A1093" s="2" t="s">
        <v>31597</v>
      </c>
      <c r="B1093" s="2" t="s">
        <v>31602</v>
      </c>
      <c r="C1093" s="2">
        <v>5.1303290625E10</v>
      </c>
      <c r="D1093" s="2" t="s">
        <v>31603</v>
      </c>
      <c r="E1093" s="2">
        <v>31430.0</v>
      </c>
      <c r="F1093" s="2">
        <v>10.0</v>
      </c>
      <c r="G1093" s="2">
        <v>580.0</v>
      </c>
      <c r="H1093" s="2" t="s">
        <v>5905</v>
      </c>
      <c r="I1093" s="2" t="s">
        <v>5906</v>
      </c>
      <c r="J1093" s="2" t="s">
        <v>16170</v>
      </c>
      <c r="K1093" s="2" t="s">
        <v>31604</v>
      </c>
      <c r="L1093" s="10" t="s">
        <v>31605</v>
      </c>
    </row>
    <row r="1094">
      <c r="A1094" s="2" t="s">
        <v>31597</v>
      </c>
      <c r="B1094" s="2" t="s">
        <v>31606</v>
      </c>
      <c r="C1094" s="2">
        <v>5.8456454485E10</v>
      </c>
      <c r="D1094" s="2" t="s">
        <v>31607</v>
      </c>
      <c r="E1094" s="2">
        <v>10331.0</v>
      </c>
      <c r="F1094" s="2">
        <v>917.0</v>
      </c>
      <c r="G1094" s="2">
        <v>405.0</v>
      </c>
      <c r="H1094" s="2" t="s">
        <v>5905</v>
      </c>
      <c r="I1094" s="2" t="s">
        <v>5906</v>
      </c>
      <c r="J1094" s="2" t="s">
        <v>5993</v>
      </c>
      <c r="K1094" s="2" t="s">
        <v>31608</v>
      </c>
      <c r="L1094" s="10" t="s">
        <v>31609</v>
      </c>
    </row>
    <row r="1095">
      <c r="A1095" s="2" t="s">
        <v>31610</v>
      </c>
      <c r="B1095" s="2" t="s">
        <v>31611</v>
      </c>
      <c r="C1095" s="2">
        <v>5.4048399315E10</v>
      </c>
      <c r="D1095" s="2" t="s">
        <v>31612</v>
      </c>
      <c r="E1095" s="2">
        <v>43828.0</v>
      </c>
      <c r="F1095" s="2">
        <v>103.0</v>
      </c>
      <c r="G1095" s="2">
        <v>518.0</v>
      </c>
      <c r="H1095" s="2" t="s">
        <v>5905</v>
      </c>
      <c r="I1095" s="2" t="s">
        <v>5905</v>
      </c>
      <c r="J1095" s="2" t="s">
        <v>5391</v>
      </c>
      <c r="K1095" s="2" t="s">
        <v>31613</v>
      </c>
      <c r="L1095" s="10" t="s">
        <v>31614</v>
      </c>
    </row>
    <row r="1096">
      <c r="A1096" s="2" t="s">
        <v>31610</v>
      </c>
      <c r="B1096" s="2" t="s">
        <v>31615</v>
      </c>
      <c r="C1096" s="2">
        <v>5.1604763941E10</v>
      </c>
      <c r="D1096" s="2" t="s">
        <v>31616</v>
      </c>
      <c r="E1096" s="2">
        <v>37373.0</v>
      </c>
      <c r="F1096" s="2">
        <v>9.0</v>
      </c>
      <c r="G1096" s="2">
        <v>745.0</v>
      </c>
      <c r="H1096" s="2" t="s">
        <v>5905</v>
      </c>
      <c r="I1096" s="2" t="s">
        <v>5906</v>
      </c>
      <c r="J1096" s="2" t="s">
        <v>16170</v>
      </c>
      <c r="K1096" s="2" t="s">
        <v>31604</v>
      </c>
      <c r="L1096" s="10" t="s">
        <v>31605</v>
      </c>
    </row>
    <row r="1097">
      <c r="A1097" s="2" t="s">
        <v>31610</v>
      </c>
      <c r="B1097" s="2" t="s">
        <v>31617</v>
      </c>
      <c r="C1097" s="2">
        <v>5.3628315767E10</v>
      </c>
      <c r="D1097" s="2" t="s">
        <v>31618</v>
      </c>
      <c r="E1097" s="2">
        <v>31223.0</v>
      </c>
      <c r="F1097" s="2">
        <v>692.0</v>
      </c>
      <c r="G1097" s="2">
        <v>783.0</v>
      </c>
      <c r="H1097" s="2" t="s">
        <v>5905</v>
      </c>
      <c r="I1097" s="2" t="s">
        <v>5905</v>
      </c>
      <c r="J1097" s="2" t="s">
        <v>27384</v>
      </c>
      <c r="K1097" s="2" t="s">
        <v>31619</v>
      </c>
    </row>
    <row r="1098">
      <c r="A1098" s="2" t="s">
        <v>31610</v>
      </c>
      <c r="B1098" s="2" t="s">
        <v>31620</v>
      </c>
      <c r="C1098" s="2">
        <v>3.6397568879E10</v>
      </c>
      <c r="D1098" s="2" t="s">
        <v>31621</v>
      </c>
      <c r="E1098" s="2">
        <v>19270.0</v>
      </c>
      <c r="F1098" s="2">
        <v>384.0</v>
      </c>
      <c r="G1098" s="2">
        <v>183.0</v>
      </c>
      <c r="H1098" s="2" t="s">
        <v>5905</v>
      </c>
      <c r="I1098" s="2" t="s">
        <v>5906</v>
      </c>
      <c r="J1098" s="2" t="s">
        <v>5391</v>
      </c>
      <c r="K1098" s="2" t="s">
        <v>31622</v>
      </c>
    </row>
    <row r="1099">
      <c r="A1099" s="2" t="s">
        <v>31623</v>
      </c>
      <c r="B1099" s="2" t="s">
        <v>31624</v>
      </c>
      <c r="C1099" s="2">
        <v>5.808818293E9</v>
      </c>
      <c r="D1099" s="2" t="s">
        <v>31625</v>
      </c>
      <c r="E1099" s="2">
        <v>54886.0</v>
      </c>
      <c r="F1099" s="2">
        <v>7342.0</v>
      </c>
      <c r="G1099" s="2">
        <v>3411.0</v>
      </c>
      <c r="H1099" s="2" t="s">
        <v>5905</v>
      </c>
      <c r="I1099" s="2" t="s">
        <v>5906</v>
      </c>
      <c r="J1099" s="2" t="s">
        <v>7414</v>
      </c>
      <c r="K1099" s="2" t="s">
        <v>31626</v>
      </c>
      <c r="L1099" s="10" t="s">
        <v>31627</v>
      </c>
    </row>
    <row r="1100">
      <c r="A1100" s="2" t="s">
        <v>31623</v>
      </c>
      <c r="B1100" s="2" t="s">
        <v>31628</v>
      </c>
      <c r="C1100" s="2">
        <v>1.144116376E9</v>
      </c>
      <c r="D1100" s="2" t="s">
        <v>31629</v>
      </c>
      <c r="E1100" s="2">
        <v>17459.0</v>
      </c>
      <c r="F1100" s="2">
        <v>6116.0</v>
      </c>
      <c r="G1100" s="2">
        <v>2363.0</v>
      </c>
      <c r="H1100" s="2" t="s">
        <v>5905</v>
      </c>
      <c r="I1100" s="2" t="s">
        <v>5906</v>
      </c>
      <c r="J1100" s="2" t="s">
        <v>5391</v>
      </c>
      <c r="K1100" s="2" t="s">
        <v>31630</v>
      </c>
      <c r="L1100" s="10" t="s">
        <v>31631</v>
      </c>
    </row>
    <row r="1101">
      <c r="A1101" s="2" t="s">
        <v>31623</v>
      </c>
      <c r="B1101" s="2" t="s">
        <v>31632</v>
      </c>
      <c r="C1101" s="2">
        <v>6.1086874586E10</v>
      </c>
      <c r="D1101" s="2" t="s">
        <v>31633</v>
      </c>
      <c r="E1101" s="2">
        <v>23381.0</v>
      </c>
      <c r="F1101" s="2">
        <v>1054.0</v>
      </c>
      <c r="G1101" s="2">
        <v>114.0</v>
      </c>
      <c r="H1101" s="2" t="s">
        <v>5905</v>
      </c>
      <c r="I1101" s="2" t="s">
        <v>5906</v>
      </c>
      <c r="J1101" s="2" t="s">
        <v>27384</v>
      </c>
      <c r="K1101" s="2" t="s">
        <v>31634</v>
      </c>
      <c r="L1101" s="10" t="s">
        <v>31635</v>
      </c>
    </row>
    <row r="1102">
      <c r="A1102" s="2" t="s">
        <v>31623</v>
      </c>
      <c r="B1102" s="2" t="s">
        <v>31636</v>
      </c>
      <c r="C1102" s="2">
        <v>3.8695815892E10</v>
      </c>
      <c r="D1102" s="2" t="s">
        <v>31637</v>
      </c>
      <c r="E1102" s="2">
        <v>15015.0</v>
      </c>
      <c r="F1102" s="2">
        <v>569.0</v>
      </c>
      <c r="G1102" s="2">
        <v>221.0</v>
      </c>
      <c r="H1102" s="2" t="s">
        <v>5905</v>
      </c>
      <c r="I1102" s="2" t="s">
        <v>5905</v>
      </c>
      <c r="K1102" s="2" t="s">
        <v>31638</v>
      </c>
      <c r="L1102" s="10" t="s">
        <v>31639</v>
      </c>
    </row>
    <row r="1103">
      <c r="A1103" s="2" t="s">
        <v>31623</v>
      </c>
      <c r="B1103" s="2" t="s">
        <v>31640</v>
      </c>
      <c r="C1103" s="2">
        <v>9.308441554E9</v>
      </c>
      <c r="D1103" s="2" t="s">
        <v>31641</v>
      </c>
      <c r="E1103" s="2">
        <v>51250.0</v>
      </c>
      <c r="F1103" s="2">
        <v>573.0</v>
      </c>
      <c r="G1103" s="2">
        <v>3107.0</v>
      </c>
      <c r="H1103" s="2" t="s">
        <v>5905</v>
      </c>
      <c r="I1103" s="2" t="s">
        <v>5906</v>
      </c>
      <c r="J1103" s="2" t="s">
        <v>15371</v>
      </c>
      <c r="K1103" s="2" t="s">
        <v>31642</v>
      </c>
      <c r="L1103" s="10" t="s">
        <v>31643</v>
      </c>
    </row>
    <row r="1104">
      <c r="A1104" s="2" t="s">
        <v>31623</v>
      </c>
      <c r="B1104" s="2" t="s">
        <v>31644</v>
      </c>
      <c r="C1104" s="2">
        <v>2.7750640129E10</v>
      </c>
      <c r="D1104" s="2" t="s">
        <v>31645</v>
      </c>
      <c r="E1104" s="2">
        <v>30040.0</v>
      </c>
      <c r="F1104" s="2">
        <v>728.0</v>
      </c>
      <c r="G1104" s="2">
        <v>629.0</v>
      </c>
      <c r="H1104" s="2" t="s">
        <v>5905</v>
      </c>
      <c r="I1104" s="2" t="s">
        <v>5905</v>
      </c>
      <c r="J1104" s="2" t="s">
        <v>7414</v>
      </c>
      <c r="K1104" s="2" t="s">
        <v>31646</v>
      </c>
      <c r="L1104" s="10" t="s">
        <v>31647</v>
      </c>
    </row>
    <row r="1105">
      <c r="A1105" s="2" t="s">
        <v>31623</v>
      </c>
      <c r="B1105" s="2" t="s">
        <v>31648</v>
      </c>
      <c r="C1105" s="2">
        <v>5.8117756797E10</v>
      </c>
      <c r="D1105" s="2" t="s">
        <v>31649</v>
      </c>
      <c r="E1105" s="2">
        <v>41556.0</v>
      </c>
      <c r="F1105" s="2">
        <v>7330.0</v>
      </c>
      <c r="G1105" s="2">
        <v>3101.0</v>
      </c>
      <c r="H1105" s="2" t="s">
        <v>5906</v>
      </c>
      <c r="I1105" s="2" t="s">
        <v>5906</v>
      </c>
      <c r="J1105" s="2" t="s">
        <v>16170</v>
      </c>
      <c r="K1105" s="2" t="s">
        <v>31650</v>
      </c>
      <c r="L1105" s="10" t="s">
        <v>31651</v>
      </c>
    </row>
    <row r="1106">
      <c r="A1106" s="2" t="s">
        <v>31652</v>
      </c>
      <c r="B1106" s="2" t="s">
        <v>31653</v>
      </c>
      <c r="C1106" s="2">
        <v>3.5317408767E10</v>
      </c>
      <c r="D1106" s="2" t="s">
        <v>31654</v>
      </c>
      <c r="E1106" s="2">
        <v>23112.0</v>
      </c>
      <c r="F1106" s="2">
        <v>183.0</v>
      </c>
      <c r="G1106" s="2">
        <v>918.0</v>
      </c>
      <c r="H1106" s="2" t="s">
        <v>5905</v>
      </c>
      <c r="I1106" s="2" t="s">
        <v>5905</v>
      </c>
      <c r="J1106" s="2" t="s">
        <v>7809</v>
      </c>
      <c r="K1106" s="2" t="s">
        <v>31655</v>
      </c>
      <c r="L1106" s="10" t="s">
        <v>31656</v>
      </c>
    </row>
    <row r="1107">
      <c r="A1107" s="2" t="s">
        <v>31652</v>
      </c>
      <c r="B1107" s="2" t="s">
        <v>31657</v>
      </c>
      <c r="C1107" s="2">
        <v>5.549200233E9</v>
      </c>
      <c r="D1107" s="2" t="s">
        <v>31658</v>
      </c>
      <c r="E1107" s="2">
        <v>20901.0</v>
      </c>
      <c r="F1107" s="2">
        <v>1232.0</v>
      </c>
      <c r="G1107" s="2">
        <v>648.0</v>
      </c>
      <c r="H1107" s="2" t="s">
        <v>5905</v>
      </c>
      <c r="I1107" s="2" t="s">
        <v>5906</v>
      </c>
      <c r="J1107" s="2" t="s">
        <v>4404</v>
      </c>
      <c r="K1107" s="2" t="s">
        <v>31659</v>
      </c>
      <c r="L1107" s="10" t="s">
        <v>31660</v>
      </c>
    </row>
    <row r="1108">
      <c r="A1108" s="2" t="s">
        <v>31652</v>
      </c>
      <c r="B1108" s="2" t="s">
        <v>31661</v>
      </c>
      <c r="C1108" s="2">
        <v>1.7746896E8</v>
      </c>
      <c r="D1108" s="2" t="s">
        <v>31662</v>
      </c>
      <c r="E1108" s="2">
        <v>12985.0</v>
      </c>
      <c r="F1108" s="2">
        <v>1808.0</v>
      </c>
      <c r="G1108" s="2">
        <v>1266.0</v>
      </c>
      <c r="H1108" s="2" t="s">
        <v>5905</v>
      </c>
      <c r="I1108" s="2" t="s">
        <v>5905</v>
      </c>
      <c r="J1108" s="2" t="s">
        <v>7140</v>
      </c>
      <c r="K1108" s="2" t="s">
        <v>31663</v>
      </c>
      <c r="L1108" s="10" t="s">
        <v>31664</v>
      </c>
    </row>
    <row r="1109">
      <c r="A1109" s="2" t="s">
        <v>31665</v>
      </c>
      <c r="B1109" s="2" t="s">
        <v>31666</v>
      </c>
      <c r="C1109" s="2">
        <v>5.24102831E8</v>
      </c>
      <c r="D1109" s="2" t="s">
        <v>31667</v>
      </c>
      <c r="E1109" s="2">
        <v>68141.0</v>
      </c>
      <c r="F1109" s="2">
        <v>3426.0</v>
      </c>
      <c r="G1109" s="2">
        <v>2150.0</v>
      </c>
      <c r="H1109" s="2" t="s">
        <v>5905</v>
      </c>
      <c r="I1109" s="2" t="s">
        <v>5905</v>
      </c>
      <c r="K1109" s="2" t="s">
        <v>31668</v>
      </c>
      <c r="L1109" s="10" t="s">
        <v>31669</v>
      </c>
    </row>
    <row r="1110">
      <c r="A1110" s="2" t="s">
        <v>31670</v>
      </c>
      <c r="B1110" s="2" t="s">
        <v>31671</v>
      </c>
      <c r="C1110" s="2">
        <v>1.0392650303E10</v>
      </c>
      <c r="D1110" s="2" t="s">
        <v>31672</v>
      </c>
      <c r="E1110" s="2">
        <v>13024.0</v>
      </c>
      <c r="F1110" s="2">
        <v>1201.0</v>
      </c>
      <c r="G1110" s="2">
        <v>384.0</v>
      </c>
      <c r="H1110" s="2" t="s">
        <v>5906</v>
      </c>
      <c r="I1110" s="2" t="s">
        <v>5905</v>
      </c>
      <c r="J1110" s="2" t="s">
        <v>12030</v>
      </c>
      <c r="K1110" s="2" t="s">
        <v>31673</v>
      </c>
      <c r="L1110" s="10" t="s">
        <v>31674</v>
      </c>
    </row>
    <row r="1111">
      <c r="A1111" s="2" t="s">
        <v>31670</v>
      </c>
      <c r="B1111" s="2" t="s">
        <v>31675</v>
      </c>
      <c r="C1111" s="2">
        <v>1.302186507E9</v>
      </c>
      <c r="D1111" s="2" t="s">
        <v>31676</v>
      </c>
      <c r="E1111" s="2">
        <v>21340.0</v>
      </c>
      <c r="F1111" s="2">
        <v>2221.0</v>
      </c>
      <c r="G1111" s="2">
        <v>1141.0</v>
      </c>
      <c r="H1111" s="2" t="s">
        <v>5905</v>
      </c>
      <c r="I1111" s="2" t="s">
        <v>5906</v>
      </c>
      <c r="J1111" s="2" t="s">
        <v>5391</v>
      </c>
      <c r="K1111" s="2" t="s">
        <v>31677</v>
      </c>
      <c r="L1111" s="10" t="s">
        <v>31678</v>
      </c>
    </row>
    <row r="1112">
      <c r="A1112" s="2" t="s">
        <v>31679</v>
      </c>
      <c r="B1112" s="2" t="s">
        <v>31680</v>
      </c>
      <c r="C1112" s="2">
        <v>6.317842244E9</v>
      </c>
      <c r="D1112" s="2" t="s">
        <v>31681</v>
      </c>
      <c r="E1112" s="2">
        <v>51984.0</v>
      </c>
      <c r="F1112" s="2">
        <v>468.0</v>
      </c>
      <c r="G1112" s="2">
        <v>464.0</v>
      </c>
      <c r="H1112" s="2" t="s">
        <v>5905</v>
      </c>
      <c r="I1112" s="2" t="s">
        <v>5905</v>
      </c>
      <c r="J1112" s="2" t="s">
        <v>7140</v>
      </c>
      <c r="K1112" s="2" t="s">
        <v>31682</v>
      </c>
      <c r="L1112" s="10" t="s">
        <v>31683</v>
      </c>
    </row>
    <row r="1113">
      <c r="A1113" s="2" t="s">
        <v>31684</v>
      </c>
      <c r="B1113" s="2" t="s">
        <v>31685</v>
      </c>
      <c r="C1113" s="2">
        <v>6.5615243E8</v>
      </c>
      <c r="D1113" s="2" t="s">
        <v>31686</v>
      </c>
      <c r="E1113" s="2">
        <v>14205.0</v>
      </c>
      <c r="F1113" s="2">
        <v>1703.0</v>
      </c>
      <c r="G1113" s="2">
        <v>844.0</v>
      </c>
      <c r="H1113" s="2" t="s">
        <v>5905</v>
      </c>
      <c r="I1113" s="2" t="s">
        <v>5906</v>
      </c>
      <c r="J1113" s="2" t="s">
        <v>31687</v>
      </c>
      <c r="K1113" s="2" t="s">
        <v>31688</v>
      </c>
      <c r="L1113" s="10" t="s">
        <v>31689</v>
      </c>
    </row>
    <row r="1114">
      <c r="A1114" s="2" t="s">
        <v>31684</v>
      </c>
      <c r="B1114" s="2" t="s">
        <v>31690</v>
      </c>
      <c r="C1114" s="2">
        <v>5.58739141E9</v>
      </c>
      <c r="D1114" s="2" t="s">
        <v>31691</v>
      </c>
      <c r="E1114" s="2">
        <v>10489.0</v>
      </c>
      <c r="F1114" s="2">
        <v>1079.0</v>
      </c>
      <c r="G1114" s="2">
        <v>494.0</v>
      </c>
      <c r="H1114" s="2" t="s">
        <v>5905</v>
      </c>
      <c r="I1114" s="2" t="s">
        <v>5905</v>
      </c>
      <c r="J1114" s="2" t="s">
        <v>7140</v>
      </c>
      <c r="K1114" s="2" t="s">
        <v>31692</v>
      </c>
    </row>
    <row r="1115">
      <c r="A1115" s="2" t="s">
        <v>31684</v>
      </c>
      <c r="B1115" s="2" t="s">
        <v>31693</v>
      </c>
      <c r="C1115" s="2">
        <v>5.924773254E9</v>
      </c>
      <c r="D1115" s="2" t="s">
        <v>31694</v>
      </c>
      <c r="E1115" s="2">
        <v>10398.0</v>
      </c>
      <c r="F1115" s="2">
        <v>6781.0</v>
      </c>
      <c r="G1115" s="2">
        <v>116.0</v>
      </c>
      <c r="H1115" s="2" t="s">
        <v>5905</v>
      </c>
      <c r="I1115" s="2" t="s">
        <v>5905</v>
      </c>
      <c r="J1115" s="2" t="s">
        <v>7414</v>
      </c>
      <c r="K1115" s="2" t="s">
        <v>31695</v>
      </c>
    </row>
    <row r="1116">
      <c r="A1116" s="2" t="s">
        <v>31684</v>
      </c>
      <c r="B1116" s="2" t="s">
        <v>31696</v>
      </c>
      <c r="C1116" s="2">
        <v>4.493092749E9</v>
      </c>
      <c r="D1116" s="2" t="s">
        <v>31697</v>
      </c>
      <c r="E1116" s="2">
        <v>76866.0</v>
      </c>
      <c r="F1116" s="2">
        <v>342.0</v>
      </c>
      <c r="G1116" s="2">
        <v>719.0</v>
      </c>
      <c r="H1116" s="2" t="s">
        <v>5905</v>
      </c>
      <c r="I1116" s="2" t="s">
        <v>5905</v>
      </c>
      <c r="J1116" s="2" t="s">
        <v>31687</v>
      </c>
      <c r="K1116" s="2" t="s">
        <v>31698</v>
      </c>
      <c r="L1116" s="10" t="s">
        <v>31699</v>
      </c>
    </row>
    <row r="1117">
      <c r="A1117" s="2" t="s">
        <v>31700</v>
      </c>
      <c r="B1117" s="2" t="s">
        <v>31701</v>
      </c>
      <c r="C1117" s="2">
        <v>2.058921071E9</v>
      </c>
      <c r="D1117" s="2" t="s">
        <v>31702</v>
      </c>
      <c r="E1117" s="2">
        <v>21534.0</v>
      </c>
      <c r="F1117" s="2">
        <v>509.0</v>
      </c>
      <c r="G1117" s="2">
        <v>475.0</v>
      </c>
      <c r="H1117" s="2" t="s">
        <v>5905</v>
      </c>
      <c r="I1117" s="2" t="s">
        <v>5905</v>
      </c>
      <c r="J1117" s="2" t="s">
        <v>6166</v>
      </c>
      <c r="K1117" s="2" t="s">
        <v>31703</v>
      </c>
      <c r="L1117" s="10" t="s">
        <v>31704</v>
      </c>
    </row>
    <row r="1118">
      <c r="A1118" s="2" t="s">
        <v>31700</v>
      </c>
      <c r="B1118" s="2" t="s">
        <v>31705</v>
      </c>
      <c r="C1118" s="2">
        <v>4.4880608189E10</v>
      </c>
      <c r="D1118" s="2" t="s">
        <v>31706</v>
      </c>
      <c r="E1118" s="2">
        <v>12159.0</v>
      </c>
      <c r="F1118" s="2">
        <v>7085.0</v>
      </c>
      <c r="G1118" s="2">
        <v>447.0</v>
      </c>
      <c r="H1118" s="2" t="s">
        <v>5906</v>
      </c>
      <c r="I1118" s="2" t="s">
        <v>5905</v>
      </c>
      <c r="J1118" s="2" t="s">
        <v>7347</v>
      </c>
      <c r="K1118" s="2" t="s">
        <v>31707</v>
      </c>
      <c r="L1118" s="10" t="s">
        <v>31708</v>
      </c>
    </row>
    <row r="1119">
      <c r="A1119" s="2" t="s">
        <v>31709</v>
      </c>
      <c r="B1119" s="2" t="s">
        <v>31710</v>
      </c>
      <c r="C1119" s="2">
        <v>3.0942733E7</v>
      </c>
      <c r="D1119" s="2" t="s">
        <v>31711</v>
      </c>
      <c r="E1119" s="2">
        <v>177705.0</v>
      </c>
      <c r="F1119" s="2">
        <v>4487.0</v>
      </c>
      <c r="G1119" s="2">
        <v>1601.0</v>
      </c>
      <c r="H1119" s="2" t="s">
        <v>5906</v>
      </c>
      <c r="I1119" s="2" t="s">
        <v>5905</v>
      </c>
      <c r="J1119" s="2" t="s">
        <v>5959</v>
      </c>
      <c r="K1119" s="2" t="s">
        <v>31712</v>
      </c>
      <c r="L1119" s="10" t="s">
        <v>31713</v>
      </c>
    </row>
    <row r="1120">
      <c r="A1120" s="2" t="s">
        <v>31714</v>
      </c>
      <c r="B1120" s="2" t="s">
        <v>31715</v>
      </c>
      <c r="C1120" s="2">
        <v>4.939064867E9</v>
      </c>
      <c r="D1120" s="2" t="s">
        <v>31716</v>
      </c>
      <c r="E1120" s="2">
        <v>190179.0</v>
      </c>
      <c r="F1120" s="2">
        <v>430.0</v>
      </c>
      <c r="G1120" s="2">
        <v>2575.0</v>
      </c>
      <c r="H1120" s="2" t="s">
        <v>5905</v>
      </c>
      <c r="I1120" s="2" t="s">
        <v>5906</v>
      </c>
      <c r="J1120" s="2" t="s">
        <v>12715</v>
      </c>
      <c r="K1120" s="2" t="s">
        <v>31717</v>
      </c>
      <c r="L1120" s="10" t="s">
        <v>31718</v>
      </c>
    </row>
    <row r="1121">
      <c r="A1121" s="2" t="s">
        <v>31714</v>
      </c>
      <c r="B1121" s="2" t="s">
        <v>31719</v>
      </c>
      <c r="C1121" s="2">
        <v>2.1725817728E10</v>
      </c>
      <c r="D1121" s="2" t="s">
        <v>31720</v>
      </c>
      <c r="E1121" s="2">
        <v>11592.0</v>
      </c>
      <c r="F1121" s="2">
        <v>4.0</v>
      </c>
      <c r="G1121" s="2">
        <v>29.0</v>
      </c>
      <c r="H1121" s="2" t="s">
        <v>5905</v>
      </c>
      <c r="I1121" s="2" t="s">
        <v>5905</v>
      </c>
      <c r="J1121" s="2" t="s">
        <v>6166</v>
      </c>
      <c r="K1121" s="2" t="s">
        <v>31721</v>
      </c>
      <c r="L1121" s="10" t="s">
        <v>31722</v>
      </c>
    </row>
    <row r="1122">
      <c r="A1122" s="2" t="s">
        <v>31723</v>
      </c>
      <c r="B1122" s="2" t="s">
        <v>31701</v>
      </c>
      <c r="C1122" s="2">
        <v>2.058921071E9</v>
      </c>
      <c r="D1122" s="2" t="s">
        <v>31702</v>
      </c>
      <c r="E1122" s="2">
        <v>21534.0</v>
      </c>
      <c r="F1122" s="2">
        <v>509.0</v>
      </c>
      <c r="G1122" s="2">
        <v>475.0</v>
      </c>
      <c r="H1122" s="2" t="s">
        <v>5905</v>
      </c>
      <c r="I1122" s="2" t="s">
        <v>5905</v>
      </c>
      <c r="J1122" s="2" t="s">
        <v>6166</v>
      </c>
      <c r="K1122" s="2" t="s">
        <v>31703</v>
      </c>
      <c r="L1122" s="10" t="s">
        <v>31704</v>
      </c>
    </row>
    <row r="1123">
      <c r="A1123" s="2" t="s">
        <v>31724</v>
      </c>
      <c r="B1123" s="2" t="s">
        <v>31725</v>
      </c>
      <c r="C1123" s="2">
        <v>7.723506573E9</v>
      </c>
      <c r="D1123" s="2" t="s">
        <v>31726</v>
      </c>
      <c r="E1123" s="2">
        <v>19330.0</v>
      </c>
      <c r="F1123" s="2">
        <v>5679.0</v>
      </c>
      <c r="G1123" s="2">
        <v>1300.0</v>
      </c>
      <c r="H1123" s="2" t="s">
        <v>5905</v>
      </c>
      <c r="I1123" s="2" t="s">
        <v>5906</v>
      </c>
      <c r="J1123" s="2" t="s">
        <v>5963</v>
      </c>
      <c r="K1123" s="2" t="s">
        <v>31727</v>
      </c>
      <c r="L1123" s="10" t="s">
        <v>31728</v>
      </c>
    </row>
    <row r="1124">
      <c r="A1124" s="2" t="s">
        <v>31729</v>
      </c>
      <c r="B1124" s="2" t="s">
        <v>26045</v>
      </c>
      <c r="C1124" s="2">
        <v>4.048776208E9</v>
      </c>
      <c r="D1124" s="2" t="s">
        <v>26046</v>
      </c>
      <c r="E1124" s="2">
        <v>15192.0</v>
      </c>
      <c r="F1124" s="2">
        <v>2301.0</v>
      </c>
      <c r="G1124" s="2">
        <v>1395.0</v>
      </c>
      <c r="H1124" s="2" t="s">
        <v>5905</v>
      </c>
      <c r="I1124" s="2" t="s">
        <v>5906</v>
      </c>
      <c r="J1124" s="2" t="s">
        <v>6166</v>
      </c>
      <c r="K1124" s="2" t="s">
        <v>26047</v>
      </c>
      <c r="L1124" s="10" t="s">
        <v>26048</v>
      </c>
    </row>
    <row r="1125">
      <c r="A1125" s="2" t="s">
        <v>31730</v>
      </c>
      <c r="B1125" s="2" t="s">
        <v>31731</v>
      </c>
      <c r="C1125" s="2">
        <v>1.73074593E9</v>
      </c>
      <c r="D1125" s="2" t="s">
        <v>31732</v>
      </c>
      <c r="E1125" s="2">
        <v>107712.0</v>
      </c>
      <c r="F1125" s="2">
        <v>4579.0</v>
      </c>
      <c r="G1125" s="2">
        <v>251.0</v>
      </c>
      <c r="H1125" s="2" t="s">
        <v>5906</v>
      </c>
      <c r="I1125" s="2" t="s">
        <v>5906</v>
      </c>
      <c r="J1125" s="2" t="s">
        <v>5391</v>
      </c>
      <c r="K1125" s="2" t="s">
        <v>31733</v>
      </c>
      <c r="L1125" s="10" t="s">
        <v>31734</v>
      </c>
    </row>
    <row r="1126">
      <c r="A1126" s="2" t="s">
        <v>31730</v>
      </c>
      <c r="B1126" s="2" t="s">
        <v>31735</v>
      </c>
      <c r="C1126" s="2">
        <v>4.74838715E8</v>
      </c>
      <c r="D1126" s="2" t="s">
        <v>31736</v>
      </c>
      <c r="E1126" s="2">
        <v>12581.0</v>
      </c>
      <c r="F1126" s="2">
        <v>1763.0</v>
      </c>
      <c r="G1126" s="2">
        <v>2176.0</v>
      </c>
      <c r="H1126" s="2" t="s">
        <v>5905</v>
      </c>
      <c r="I1126" s="2" t="s">
        <v>5906</v>
      </c>
      <c r="J1126" s="2" t="s">
        <v>5561</v>
      </c>
      <c r="K1126" s="2" t="s">
        <v>31737</v>
      </c>
      <c r="L1126" s="10" t="s">
        <v>31738</v>
      </c>
    </row>
    <row r="1127">
      <c r="A1127" s="2" t="s">
        <v>31739</v>
      </c>
      <c r="B1127" s="2" t="s">
        <v>31740</v>
      </c>
      <c r="C1127" s="2">
        <v>5.4750053275E10</v>
      </c>
      <c r="D1127" s="2" t="s">
        <v>31741</v>
      </c>
      <c r="E1127" s="2">
        <v>13086.0</v>
      </c>
      <c r="F1127" s="2">
        <v>971.0</v>
      </c>
      <c r="G1127" s="2">
        <v>256.0</v>
      </c>
      <c r="H1127" s="2" t="s">
        <v>5906</v>
      </c>
      <c r="I1127" s="2" t="s">
        <v>5905</v>
      </c>
      <c r="J1127" s="2" t="s">
        <v>6393</v>
      </c>
      <c r="K1127" s="2" t="s">
        <v>31742</v>
      </c>
      <c r="L1127" s="10" t="s">
        <v>31743</v>
      </c>
    </row>
    <row r="1128">
      <c r="A1128" s="2" t="s">
        <v>31744</v>
      </c>
      <c r="B1128" s="2" t="s">
        <v>31745</v>
      </c>
      <c r="C1128" s="2">
        <v>7.697777039E9</v>
      </c>
      <c r="D1128" s="2" t="s">
        <v>31746</v>
      </c>
      <c r="E1128" s="2">
        <v>12569.0</v>
      </c>
      <c r="F1128" s="2">
        <v>7.0</v>
      </c>
      <c r="G1128" s="2">
        <v>1297.0</v>
      </c>
      <c r="H1128" s="2" t="s">
        <v>5905</v>
      </c>
      <c r="I1128" s="2" t="s">
        <v>5905</v>
      </c>
      <c r="J1128" s="2" t="s">
        <v>17753</v>
      </c>
      <c r="K1128" s="2" t="s">
        <v>31747</v>
      </c>
      <c r="L1128" s="10" t="s">
        <v>31748</v>
      </c>
    </row>
    <row r="1129">
      <c r="A1129" s="2" t="s">
        <v>31749</v>
      </c>
      <c r="B1129" s="2" t="s">
        <v>31750</v>
      </c>
      <c r="C1129" s="2">
        <v>1.605372805E9</v>
      </c>
      <c r="D1129" s="2" t="s">
        <v>31751</v>
      </c>
      <c r="E1129" s="2">
        <v>11228.0</v>
      </c>
      <c r="F1129" s="2">
        <v>1291.0</v>
      </c>
      <c r="G1129" s="2">
        <v>466.0</v>
      </c>
      <c r="H1129" s="2" t="s">
        <v>5905</v>
      </c>
      <c r="I1129" s="2" t="s">
        <v>5906</v>
      </c>
      <c r="J1129" s="2" t="s">
        <v>17753</v>
      </c>
      <c r="K1129" s="2" t="s">
        <v>31752</v>
      </c>
      <c r="L1129" s="10" t="s">
        <v>31753</v>
      </c>
    </row>
    <row r="1130">
      <c r="A1130" s="2" t="s">
        <v>31749</v>
      </c>
      <c r="B1130" s="2" t="s">
        <v>31754</v>
      </c>
      <c r="C1130" s="2">
        <v>1.722957791E9</v>
      </c>
      <c r="D1130" s="2" t="s">
        <v>31755</v>
      </c>
      <c r="E1130" s="2">
        <v>19412.0</v>
      </c>
      <c r="F1130" s="2">
        <v>546.0</v>
      </c>
      <c r="G1130" s="2">
        <v>2211.0</v>
      </c>
      <c r="H1130" s="2" t="s">
        <v>5905</v>
      </c>
      <c r="I1130" s="2" t="s">
        <v>5905</v>
      </c>
      <c r="J1130" s="2" t="s">
        <v>7414</v>
      </c>
      <c r="K1130" s="2" t="s">
        <v>31756</v>
      </c>
      <c r="L1130" s="10" t="s">
        <v>31757</v>
      </c>
    </row>
    <row r="1131">
      <c r="A1131" s="2" t="s">
        <v>31758</v>
      </c>
      <c r="B1131" s="2" t="s">
        <v>31759</v>
      </c>
      <c r="C1131" s="2">
        <v>1.49909363E9</v>
      </c>
      <c r="D1131" s="2" t="s">
        <v>31760</v>
      </c>
      <c r="E1131" s="2">
        <v>22408.0</v>
      </c>
      <c r="F1131" s="2">
        <v>204.0</v>
      </c>
      <c r="G1131" s="2">
        <v>302.0</v>
      </c>
      <c r="H1131" s="2" t="s">
        <v>5905</v>
      </c>
      <c r="I1131" s="2" t="s">
        <v>5905</v>
      </c>
      <c r="J1131" s="2" t="s">
        <v>11316</v>
      </c>
      <c r="K1131" s="2" t="s">
        <v>31761</v>
      </c>
      <c r="L1131" s="10" t="s">
        <v>31762</v>
      </c>
    </row>
    <row r="1132">
      <c r="A1132" s="2" t="s">
        <v>31763</v>
      </c>
      <c r="B1132" s="2" t="s">
        <v>31764</v>
      </c>
      <c r="C1132" s="2">
        <v>3.79726742E8</v>
      </c>
      <c r="D1132" s="2" t="s">
        <v>31765</v>
      </c>
      <c r="E1132" s="2">
        <v>22680.0</v>
      </c>
      <c r="F1132" s="2">
        <v>219.0</v>
      </c>
      <c r="G1132" s="2">
        <v>1220.0</v>
      </c>
      <c r="H1132" s="2" t="s">
        <v>5905</v>
      </c>
      <c r="I1132" s="2" t="s">
        <v>5905</v>
      </c>
      <c r="J1132" s="2" t="s">
        <v>7809</v>
      </c>
      <c r="K1132" s="2" t="s">
        <v>31766</v>
      </c>
      <c r="L1132" s="10" t="s">
        <v>31767</v>
      </c>
    </row>
    <row r="1133">
      <c r="A1133" s="2" t="s">
        <v>31768</v>
      </c>
      <c r="B1133" s="2" t="s">
        <v>31769</v>
      </c>
      <c r="C1133" s="2">
        <v>1.99979966E8</v>
      </c>
      <c r="D1133" s="2" t="s">
        <v>31770</v>
      </c>
      <c r="E1133" s="2">
        <v>100558.0</v>
      </c>
      <c r="F1133" s="2">
        <v>183.0</v>
      </c>
      <c r="G1133" s="2">
        <v>8182.0</v>
      </c>
      <c r="H1133" s="2" t="s">
        <v>5906</v>
      </c>
      <c r="I1133" s="2" t="s">
        <v>5906</v>
      </c>
      <c r="J1133" s="2" t="s">
        <v>5928</v>
      </c>
      <c r="K1133" s="2" t="s">
        <v>31771</v>
      </c>
      <c r="L1133" s="10" t="s">
        <v>31772</v>
      </c>
    </row>
    <row r="1134">
      <c r="A1134" s="2" t="s">
        <v>31773</v>
      </c>
      <c r="B1134" s="2" t="s">
        <v>31774</v>
      </c>
      <c r="C1134" s="2">
        <v>1.660325103E9</v>
      </c>
      <c r="D1134" s="2" t="s">
        <v>31775</v>
      </c>
      <c r="E1134" s="2">
        <v>12716.0</v>
      </c>
      <c r="F1134" s="2">
        <v>644.0</v>
      </c>
      <c r="G1134" s="2">
        <v>2200.0</v>
      </c>
      <c r="H1134" s="2" t="s">
        <v>5905</v>
      </c>
      <c r="I1134" s="2" t="s">
        <v>5905</v>
      </c>
      <c r="J1134" s="2" t="s">
        <v>7414</v>
      </c>
      <c r="K1134" s="2" t="s">
        <v>31776</v>
      </c>
      <c r="L1134" s="10" t="s">
        <v>31777</v>
      </c>
    </row>
    <row r="1135">
      <c r="A1135" s="2" t="s">
        <v>31773</v>
      </c>
      <c r="B1135" s="2" t="s">
        <v>31778</v>
      </c>
      <c r="C1135" s="2">
        <v>8205572.0</v>
      </c>
      <c r="D1135" s="2" t="s">
        <v>31779</v>
      </c>
      <c r="E1135" s="2">
        <v>113038.0</v>
      </c>
      <c r="F1135" s="2">
        <v>1320.0</v>
      </c>
      <c r="G1135" s="2">
        <v>686.0</v>
      </c>
      <c r="H1135" s="2" t="s">
        <v>5906</v>
      </c>
      <c r="I1135" s="2" t="s">
        <v>5905</v>
      </c>
      <c r="J1135" s="2" t="s">
        <v>5959</v>
      </c>
      <c r="K1135" s="2" t="s">
        <v>31780</v>
      </c>
      <c r="L1135" s="10" t="s">
        <v>31781</v>
      </c>
    </row>
    <row r="1136">
      <c r="A1136" s="2" t="s">
        <v>31782</v>
      </c>
      <c r="B1136" s="2" t="s">
        <v>31783</v>
      </c>
      <c r="C1136" s="2">
        <v>3.39979515E8</v>
      </c>
      <c r="D1136" s="12" t="s">
        <v>31784</v>
      </c>
      <c r="E1136" s="2">
        <v>87044.0</v>
      </c>
      <c r="F1136" s="2">
        <v>10.0</v>
      </c>
      <c r="G1136" s="2">
        <v>11498.0</v>
      </c>
      <c r="H1136" s="2" t="s">
        <v>5905</v>
      </c>
      <c r="I1136" s="2" t="s">
        <v>5906</v>
      </c>
      <c r="J1136" s="2" t="s">
        <v>31785</v>
      </c>
      <c r="K1136" s="12" t="s">
        <v>31786</v>
      </c>
    </row>
    <row r="1137">
      <c r="A1137" s="2" t="s">
        <v>31782</v>
      </c>
      <c r="B1137" s="2" t="s">
        <v>31787</v>
      </c>
      <c r="C1137" s="2">
        <v>5.4353363848E10</v>
      </c>
      <c r="D1137" s="2" t="s">
        <v>31788</v>
      </c>
      <c r="E1137" s="2">
        <v>14253.0</v>
      </c>
      <c r="F1137" s="2">
        <v>6770.0</v>
      </c>
      <c r="G1137" s="2">
        <v>138.0</v>
      </c>
      <c r="H1137" s="2" t="s">
        <v>5905</v>
      </c>
      <c r="I1137" s="2" t="s">
        <v>5906</v>
      </c>
      <c r="J1137" s="2" t="s">
        <v>31789</v>
      </c>
      <c r="K1137" s="2" t="s">
        <v>31790</v>
      </c>
      <c r="L1137" s="10" t="s">
        <v>31791</v>
      </c>
    </row>
    <row r="1138">
      <c r="A1138" s="2" t="s">
        <v>31792</v>
      </c>
      <c r="B1138" s="2" t="s">
        <v>31793</v>
      </c>
      <c r="C1138" s="2">
        <v>3.9578131689E10</v>
      </c>
      <c r="D1138" s="2" t="s">
        <v>31794</v>
      </c>
      <c r="E1138" s="2">
        <v>15627.0</v>
      </c>
      <c r="F1138" s="2">
        <v>3547.0</v>
      </c>
      <c r="G1138" s="2">
        <v>882.0</v>
      </c>
      <c r="H1138" s="2" t="s">
        <v>5906</v>
      </c>
      <c r="I1138" s="2" t="s">
        <v>5906</v>
      </c>
      <c r="J1138" s="2" t="s">
        <v>8915</v>
      </c>
      <c r="K1138" s="2" t="s">
        <v>31795</v>
      </c>
      <c r="L1138" s="10" t="s">
        <v>31796</v>
      </c>
    </row>
    <row r="1139">
      <c r="A1139" s="2" t="s">
        <v>31792</v>
      </c>
      <c r="B1139" s="2" t="s">
        <v>31797</v>
      </c>
      <c r="C1139" s="2">
        <v>1.465676004E9</v>
      </c>
      <c r="D1139" s="2" t="s">
        <v>31798</v>
      </c>
      <c r="E1139" s="2">
        <v>132710.0</v>
      </c>
      <c r="F1139" s="2">
        <v>1552.0</v>
      </c>
      <c r="G1139" s="2">
        <v>2428.0</v>
      </c>
      <c r="H1139" s="2" t="s">
        <v>5905</v>
      </c>
      <c r="I1139" s="2" t="s">
        <v>5905</v>
      </c>
      <c r="J1139" s="2" t="s">
        <v>11797</v>
      </c>
      <c r="K1139" s="2" t="s">
        <v>31799</v>
      </c>
      <c r="L1139" s="10" t="s">
        <v>31800</v>
      </c>
    </row>
    <row r="1140">
      <c r="A1140" s="2" t="s">
        <v>31792</v>
      </c>
      <c r="B1140" s="2" t="s">
        <v>31801</v>
      </c>
      <c r="C1140" s="2">
        <v>9339288.0</v>
      </c>
      <c r="D1140" s="2" t="s">
        <v>31802</v>
      </c>
      <c r="E1140" s="2">
        <v>35727.0</v>
      </c>
      <c r="F1140" s="2">
        <v>3151.0</v>
      </c>
      <c r="G1140" s="2">
        <v>1709.0</v>
      </c>
      <c r="H1140" s="2" t="s">
        <v>5906</v>
      </c>
      <c r="I1140" s="2" t="s">
        <v>5905</v>
      </c>
      <c r="J1140" s="2" t="s">
        <v>7363</v>
      </c>
      <c r="K1140" s="2" t="s">
        <v>31803</v>
      </c>
      <c r="L1140" s="10" t="s">
        <v>31804</v>
      </c>
    </row>
    <row r="1141">
      <c r="A1141" s="2" t="s">
        <v>31792</v>
      </c>
      <c r="B1141" s="2" t="s">
        <v>31805</v>
      </c>
      <c r="C1141" s="2">
        <v>1.50006505E9</v>
      </c>
      <c r="D1141" s="2" t="s">
        <v>31806</v>
      </c>
      <c r="E1141" s="2">
        <v>63395.0</v>
      </c>
      <c r="F1141" s="2">
        <v>1704.0</v>
      </c>
      <c r="G1141" s="2">
        <v>390.0</v>
      </c>
      <c r="H1141" s="2" t="s">
        <v>5906</v>
      </c>
      <c r="I1141" s="2" t="s">
        <v>5906</v>
      </c>
      <c r="J1141" s="2" t="s">
        <v>5391</v>
      </c>
      <c r="K1141" s="2" t="s">
        <v>31807</v>
      </c>
    </row>
    <row r="1142">
      <c r="A1142" s="2" t="s">
        <v>31792</v>
      </c>
      <c r="B1142" s="2" t="s">
        <v>31808</v>
      </c>
      <c r="C1142" s="2">
        <v>3.15178586E8</v>
      </c>
      <c r="D1142" s="2" t="s">
        <v>31809</v>
      </c>
      <c r="E1142" s="2">
        <v>56358.0</v>
      </c>
      <c r="F1142" s="2">
        <v>3148.0</v>
      </c>
      <c r="G1142" s="2">
        <v>2533.0</v>
      </c>
      <c r="H1142" s="2" t="s">
        <v>5905</v>
      </c>
      <c r="I1142" s="2" t="s">
        <v>5906</v>
      </c>
      <c r="K1142" s="2" t="s">
        <v>31810</v>
      </c>
      <c r="L1142" s="10" t="s">
        <v>31811</v>
      </c>
    </row>
    <row r="1143">
      <c r="A1143" s="2" t="s">
        <v>31812</v>
      </c>
      <c r="B1143" s="2" t="s">
        <v>31813</v>
      </c>
      <c r="C1143" s="2">
        <v>7.267506176E9</v>
      </c>
      <c r="D1143" s="2" t="s">
        <v>31814</v>
      </c>
      <c r="E1143" s="2">
        <v>27203.0</v>
      </c>
      <c r="F1143" s="2">
        <v>2006.0</v>
      </c>
      <c r="G1143" s="2">
        <v>4482.0</v>
      </c>
      <c r="H1143" s="2" t="s">
        <v>5905</v>
      </c>
      <c r="I1143" s="2" t="s">
        <v>5906</v>
      </c>
      <c r="J1143" s="2" t="s">
        <v>5518</v>
      </c>
      <c r="K1143" s="2" t="s">
        <v>31815</v>
      </c>
      <c r="L1143" s="10" t="s">
        <v>31816</v>
      </c>
    </row>
    <row r="1144">
      <c r="A1144" s="2" t="s">
        <v>31812</v>
      </c>
      <c r="B1144" s="2" t="s">
        <v>31817</v>
      </c>
      <c r="C1144" s="2">
        <v>5.8144092759E10</v>
      </c>
      <c r="D1144" s="2" t="s">
        <v>31818</v>
      </c>
      <c r="E1144" s="2">
        <v>10940.0</v>
      </c>
      <c r="F1144" s="2">
        <v>1939.0</v>
      </c>
      <c r="G1144" s="2">
        <v>170.0</v>
      </c>
      <c r="H1144" s="2" t="s">
        <v>5906</v>
      </c>
      <c r="I1144" s="2" t="s">
        <v>5905</v>
      </c>
      <c r="J1144" s="2" t="s">
        <v>5561</v>
      </c>
      <c r="K1144" s="2" t="s">
        <v>31819</v>
      </c>
      <c r="L1144" s="10" t="s">
        <v>31820</v>
      </c>
    </row>
    <row r="1145">
      <c r="A1145" s="2" t="s">
        <v>31821</v>
      </c>
      <c r="B1145" s="2" t="s">
        <v>31822</v>
      </c>
      <c r="C1145" s="2">
        <v>2.16004702E8</v>
      </c>
      <c r="D1145" s="2" t="s">
        <v>31823</v>
      </c>
      <c r="E1145" s="2">
        <v>11004.0</v>
      </c>
      <c r="F1145" s="2">
        <v>19.0</v>
      </c>
      <c r="G1145" s="2">
        <v>1183.0</v>
      </c>
      <c r="H1145" s="2" t="s">
        <v>5905</v>
      </c>
      <c r="I1145" s="2" t="s">
        <v>5905</v>
      </c>
      <c r="J1145" s="2" t="s">
        <v>28081</v>
      </c>
      <c r="K1145" s="2" t="s">
        <v>31824</v>
      </c>
      <c r="L1145" s="10" t="s">
        <v>31825</v>
      </c>
    </row>
    <row r="1146">
      <c r="A1146" s="2" t="s">
        <v>31821</v>
      </c>
      <c r="B1146" s="2" t="s">
        <v>31826</v>
      </c>
      <c r="C1146" s="2">
        <v>4.9059745E9</v>
      </c>
      <c r="D1146" s="2" t="s">
        <v>31827</v>
      </c>
      <c r="E1146" s="2">
        <v>16053.0</v>
      </c>
      <c r="F1146" s="2">
        <v>220.0</v>
      </c>
      <c r="G1146" s="2">
        <v>2.0</v>
      </c>
      <c r="H1146" s="2" t="s">
        <v>5905</v>
      </c>
      <c r="I1146" s="2" t="s">
        <v>5905</v>
      </c>
      <c r="K1146" s="2" t="s">
        <v>31828</v>
      </c>
    </row>
    <row r="1147">
      <c r="A1147" s="2" t="s">
        <v>31829</v>
      </c>
      <c r="B1147" s="2" t="s">
        <v>31830</v>
      </c>
      <c r="C1147" s="2">
        <v>2.538923679E9</v>
      </c>
      <c r="D1147" s="2" t="s">
        <v>31831</v>
      </c>
      <c r="E1147" s="2">
        <v>20576.0</v>
      </c>
      <c r="F1147" s="2">
        <v>3321.0</v>
      </c>
      <c r="G1147" s="2">
        <v>166.0</v>
      </c>
      <c r="H1147" s="2" t="s">
        <v>5905</v>
      </c>
      <c r="I1147" s="2" t="s">
        <v>5905</v>
      </c>
      <c r="J1147" s="2" t="s">
        <v>14778</v>
      </c>
      <c r="K1147" s="2" t="s">
        <v>31832</v>
      </c>
    </row>
    <row r="1148">
      <c r="A1148" s="2" t="s">
        <v>31829</v>
      </c>
      <c r="B1148" s="2" t="s">
        <v>27460</v>
      </c>
      <c r="C1148" s="2">
        <v>5.1717779132E10</v>
      </c>
      <c r="D1148" s="2" t="s">
        <v>27461</v>
      </c>
      <c r="E1148" s="2">
        <v>12163.0</v>
      </c>
      <c r="F1148" s="2">
        <v>6959.0</v>
      </c>
      <c r="G1148" s="2">
        <v>476.0</v>
      </c>
      <c r="H1148" s="2" t="s">
        <v>5905</v>
      </c>
      <c r="I1148" s="2" t="s">
        <v>5905</v>
      </c>
      <c r="J1148" s="2" t="s">
        <v>6002</v>
      </c>
      <c r="K1148" s="2" t="s">
        <v>27462</v>
      </c>
    </row>
    <row r="1149">
      <c r="A1149" s="2" t="s">
        <v>31829</v>
      </c>
      <c r="B1149" s="2" t="s">
        <v>31833</v>
      </c>
      <c r="C1149" s="2">
        <v>1.83794886E8</v>
      </c>
      <c r="D1149" s="2" t="s">
        <v>31834</v>
      </c>
      <c r="E1149" s="2">
        <v>25173.0</v>
      </c>
      <c r="F1149" s="2">
        <v>7062.0</v>
      </c>
      <c r="G1149" s="2">
        <v>284.0</v>
      </c>
      <c r="H1149" s="2" t="s">
        <v>5905</v>
      </c>
      <c r="I1149" s="2" t="s">
        <v>5905</v>
      </c>
      <c r="J1149" s="2" t="s">
        <v>14778</v>
      </c>
      <c r="K1149" s="2" t="s">
        <v>31835</v>
      </c>
      <c r="L1149" s="10" t="s">
        <v>31836</v>
      </c>
    </row>
    <row r="1150">
      <c r="A1150" s="2" t="s">
        <v>31837</v>
      </c>
      <c r="B1150" s="2" t="s">
        <v>31838</v>
      </c>
      <c r="C1150" s="2">
        <v>1.923399137E9</v>
      </c>
      <c r="D1150" s="2" t="s">
        <v>31839</v>
      </c>
      <c r="E1150" s="2">
        <v>33962.0</v>
      </c>
      <c r="F1150" s="2">
        <v>194.0</v>
      </c>
      <c r="G1150" s="2">
        <v>887.0</v>
      </c>
      <c r="H1150" s="2" t="s">
        <v>5905</v>
      </c>
      <c r="I1150" s="2" t="s">
        <v>5906</v>
      </c>
      <c r="J1150" s="2" t="s">
        <v>14778</v>
      </c>
      <c r="K1150" s="2" t="s">
        <v>31840</v>
      </c>
      <c r="L1150" s="10" t="s">
        <v>10125</v>
      </c>
    </row>
    <row r="1151">
      <c r="A1151" s="2" t="s">
        <v>31841</v>
      </c>
      <c r="B1151" s="10" t="s">
        <v>31842</v>
      </c>
      <c r="C1151" s="2">
        <v>4.780275689E9</v>
      </c>
      <c r="D1151" s="2" t="s">
        <v>31843</v>
      </c>
      <c r="E1151" s="2">
        <v>14373.0</v>
      </c>
      <c r="F1151" s="2">
        <v>269.0</v>
      </c>
      <c r="G1151" s="2">
        <v>1456.0</v>
      </c>
      <c r="H1151" s="2" t="s">
        <v>5905</v>
      </c>
      <c r="I1151" s="2" t="s">
        <v>5905</v>
      </c>
      <c r="J1151" s="2" t="s">
        <v>9153</v>
      </c>
      <c r="K1151" s="2" t="s">
        <v>31844</v>
      </c>
      <c r="L1151" s="10" t="s">
        <v>31845</v>
      </c>
    </row>
    <row r="1152">
      <c r="A1152" s="2" t="s">
        <v>31841</v>
      </c>
      <c r="B1152" s="2" t="s">
        <v>31846</v>
      </c>
      <c r="C1152" s="2">
        <v>4.3116347457E10</v>
      </c>
      <c r="D1152" s="2" t="s">
        <v>31847</v>
      </c>
      <c r="E1152" s="2">
        <v>13185.0</v>
      </c>
      <c r="F1152" s="2">
        <v>556.0</v>
      </c>
      <c r="G1152" s="2">
        <v>58.0</v>
      </c>
      <c r="H1152" s="2" t="s">
        <v>5905</v>
      </c>
      <c r="I1152" s="2" t="s">
        <v>5905</v>
      </c>
      <c r="J1152" s="2" t="s">
        <v>14778</v>
      </c>
      <c r="K1152" s="2" t="s">
        <v>31848</v>
      </c>
    </row>
    <row r="1153">
      <c r="A1153" s="2" t="s">
        <v>31849</v>
      </c>
      <c r="B1153" s="2" t="s">
        <v>31850</v>
      </c>
      <c r="C1153" s="2">
        <v>1.5219191E9</v>
      </c>
      <c r="D1153" s="2" t="s">
        <v>31851</v>
      </c>
      <c r="E1153" s="2">
        <v>10094.0</v>
      </c>
      <c r="F1153" s="2">
        <v>2565.0</v>
      </c>
      <c r="G1153" s="2">
        <v>225.0</v>
      </c>
      <c r="H1153" s="2" t="s">
        <v>5905</v>
      </c>
      <c r="I1153" s="2" t="s">
        <v>5906</v>
      </c>
      <c r="J1153" s="2" t="s">
        <v>5993</v>
      </c>
      <c r="K1153" s="2" t="s">
        <v>31852</v>
      </c>
    </row>
    <row r="1154">
      <c r="A1154" s="2" t="s">
        <v>31853</v>
      </c>
      <c r="B1154" s="2" t="s">
        <v>31854</v>
      </c>
      <c r="C1154" s="2">
        <v>3.943815816E9</v>
      </c>
      <c r="D1154" s="2" t="s">
        <v>31855</v>
      </c>
      <c r="E1154" s="2">
        <v>10530.0</v>
      </c>
      <c r="F1154" s="2">
        <v>1113.0</v>
      </c>
      <c r="G1154" s="2">
        <v>278.0</v>
      </c>
      <c r="H1154" s="2" t="s">
        <v>5905</v>
      </c>
      <c r="I1154" s="2" t="s">
        <v>5906</v>
      </c>
      <c r="J1154" s="2" t="s">
        <v>5391</v>
      </c>
      <c r="K1154" s="2" t="s">
        <v>31856</v>
      </c>
    </row>
    <row r="1155">
      <c r="A1155" s="2" t="s">
        <v>31857</v>
      </c>
      <c r="B1155" s="2" t="s">
        <v>31858</v>
      </c>
      <c r="C1155" s="2">
        <v>1.022719431E9</v>
      </c>
      <c r="D1155" s="2" t="s">
        <v>31859</v>
      </c>
      <c r="E1155" s="2">
        <v>97310.0</v>
      </c>
      <c r="F1155" s="2">
        <v>653.0</v>
      </c>
      <c r="G1155" s="2">
        <v>736.0</v>
      </c>
      <c r="H1155" s="2" t="s">
        <v>5905</v>
      </c>
      <c r="I1155" s="2" t="s">
        <v>5905</v>
      </c>
      <c r="K1155" s="2" t="s">
        <v>31860</v>
      </c>
    </row>
    <row r="1156">
      <c r="A1156" s="2" t="s">
        <v>31857</v>
      </c>
      <c r="B1156" s="2" t="s">
        <v>31861</v>
      </c>
      <c r="C1156" s="2">
        <v>1.683566E7</v>
      </c>
      <c r="D1156" s="2" t="s">
        <v>31862</v>
      </c>
      <c r="E1156" s="2">
        <v>34266.0</v>
      </c>
      <c r="F1156" s="2">
        <v>2300.0</v>
      </c>
      <c r="G1156" s="2">
        <v>3404.0</v>
      </c>
      <c r="H1156" s="2" t="s">
        <v>5905</v>
      </c>
      <c r="I1156" s="2" t="s">
        <v>5905</v>
      </c>
      <c r="J1156" s="2" t="s">
        <v>14778</v>
      </c>
      <c r="K1156" s="2" t="s">
        <v>31863</v>
      </c>
      <c r="L1156" s="10" t="s">
        <v>31864</v>
      </c>
    </row>
    <row r="1157">
      <c r="A1157" s="2" t="s">
        <v>31857</v>
      </c>
      <c r="B1157" s="2" t="s">
        <v>31865</v>
      </c>
      <c r="C1157" s="2">
        <v>3.1442468E7</v>
      </c>
      <c r="D1157" s="2" t="s">
        <v>31866</v>
      </c>
      <c r="E1157" s="2">
        <v>35725.0</v>
      </c>
      <c r="F1157" s="2">
        <v>4904.0</v>
      </c>
      <c r="G1157" s="2">
        <v>4778.0</v>
      </c>
      <c r="H1157" s="2" t="s">
        <v>5906</v>
      </c>
      <c r="I1157" s="2" t="s">
        <v>5905</v>
      </c>
      <c r="J1157" s="2" t="s">
        <v>7140</v>
      </c>
      <c r="K1157" s="2" t="s">
        <v>31867</v>
      </c>
      <c r="L1157" s="10" t="s">
        <v>31868</v>
      </c>
    </row>
    <row r="1158">
      <c r="A1158" s="2" t="s">
        <v>31857</v>
      </c>
      <c r="B1158" s="2" t="s">
        <v>31869</v>
      </c>
      <c r="C1158" s="2">
        <v>8.53078037E9</v>
      </c>
      <c r="D1158" s="2" t="s">
        <v>31870</v>
      </c>
      <c r="E1158" s="2">
        <v>12720.0</v>
      </c>
      <c r="F1158" s="2">
        <v>2730.0</v>
      </c>
      <c r="G1158" s="2">
        <v>547.0</v>
      </c>
      <c r="H1158" s="2" t="s">
        <v>5905</v>
      </c>
      <c r="I1158" s="2" t="s">
        <v>5905</v>
      </c>
      <c r="J1158" s="2" t="s">
        <v>14778</v>
      </c>
      <c r="K1158" s="2" t="s">
        <v>31871</v>
      </c>
      <c r="L1158" s="10" t="s">
        <v>31872</v>
      </c>
    </row>
    <row r="1159">
      <c r="A1159" s="2" t="s">
        <v>31857</v>
      </c>
      <c r="B1159" s="2" t="s">
        <v>31873</v>
      </c>
      <c r="C1159" s="2">
        <v>1.416321116E9</v>
      </c>
      <c r="D1159" s="2" t="s">
        <v>31874</v>
      </c>
      <c r="E1159" s="2">
        <v>11152.0</v>
      </c>
      <c r="F1159" s="2">
        <v>2376.0</v>
      </c>
      <c r="G1159" s="2">
        <v>1563.0</v>
      </c>
      <c r="H1159" s="2" t="s">
        <v>5905</v>
      </c>
      <c r="I1159" s="2" t="s">
        <v>5906</v>
      </c>
      <c r="J1159" s="2" t="s">
        <v>5391</v>
      </c>
      <c r="K1159" s="2" t="s">
        <v>31875</v>
      </c>
      <c r="L1159" s="10" t="s">
        <v>31876</v>
      </c>
    </row>
    <row r="1160">
      <c r="A1160" s="2" t="s">
        <v>31857</v>
      </c>
      <c r="B1160" s="2" t="s">
        <v>31877</v>
      </c>
      <c r="C1160" s="2">
        <v>2.829574168E9</v>
      </c>
      <c r="D1160" s="2" t="s">
        <v>31878</v>
      </c>
      <c r="E1160" s="2">
        <v>38450.0</v>
      </c>
      <c r="F1160" s="2">
        <v>572.0</v>
      </c>
      <c r="G1160" s="2">
        <v>1064.0</v>
      </c>
      <c r="H1160" s="2" t="s">
        <v>5905</v>
      </c>
      <c r="I1160" s="2" t="s">
        <v>5905</v>
      </c>
      <c r="J1160" s="2" t="s">
        <v>14778</v>
      </c>
      <c r="K1160" s="2" t="s">
        <v>31879</v>
      </c>
      <c r="L1160" s="10" t="s">
        <v>31880</v>
      </c>
    </row>
    <row r="1161">
      <c r="A1161" s="2" t="s">
        <v>31857</v>
      </c>
      <c r="B1161" s="2" t="s">
        <v>31881</v>
      </c>
      <c r="C1161" s="2">
        <v>1.4604E7</v>
      </c>
      <c r="D1161" s="2" t="s">
        <v>31870</v>
      </c>
      <c r="E1161" s="2">
        <v>20704.0</v>
      </c>
      <c r="F1161" s="2">
        <v>3636.0</v>
      </c>
      <c r="G1161" s="2">
        <v>1031.0</v>
      </c>
      <c r="H1161" s="2" t="s">
        <v>5905</v>
      </c>
      <c r="I1161" s="2" t="s">
        <v>5906</v>
      </c>
      <c r="J1161" s="2" t="s">
        <v>14778</v>
      </c>
      <c r="K1161" s="2" t="s">
        <v>31882</v>
      </c>
      <c r="L1161" s="10" t="s">
        <v>31883</v>
      </c>
    </row>
    <row r="1162">
      <c r="A1162" s="2" t="s">
        <v>31884</v>
      </c>
      <c r="B1162" s="2" t="s">
        <v>31885</v>
      </c>
      <c r="C1162" s="2">
        <v>3.00812524E8</v>
      </c>
      <c r="D1162" s="2" t="s">
        <v>31839</v>
      </c>
      <c r="E1162" s="2">
        <v>20948.0</v>
      </c>
      <c r="F1162" s="2">
        <v>1695.0</v>
      </c>
      <c r="G1162" s="2">
        <v>631.0</v>
      </c>
      <c r="H1162" s="2" t="s">
        <v>5906</v>
      </c>
      <c r="I1162" s="2" t="s">
        <v>5905</v>
      </c>
      <c r="J1162" s="2" t="s">
        <v>14778</v>
      </c>
      <c r="K1162" s="2" t="s">
        <v>31886</v>
      </c>
      <c r="L1162" s="10" t="s">
        <v>31887</v>
      </c>
    </row>
    <row r="1163">
      <c r="A1163" s="2" t="s">
        <v>31884</v>
      </c>
      <c r="B1163" s="2" t="s">
        <v>31838</v>
      </c>
      <c r="C1163" s="2">
        <v>1.923399137E9</v>
      </c>
      <c r="D1163" s="2" t="s">
        <v>31839</v>
      </c>
      <c r="E1163" s="2">
        <v>33962.0</v>
      </c>
      <c r="F1163" s="2">
        <v>194.0</v>
      </c>
      <c r="G1163" s="2">
        <v>887.0</v>
      </c>
      <c r="H1163" s="2" t="s">
        <v>5905</v>
      </c>
      <c r="I1163" s="2" t="s">
        <v>5906</v>
      </c>
      <c r="J1163" s="2" t="s">
        <v>14778</v>
      </c>
      <c r="K1163" s="2" t="s">
        <v>31840</v>
      </c>
      <c r="L1163" s="10" t="s">
        <v>10125</v>
      </c>
    </row>
    <row r="1164">
      <c r="A1164" s="2" t="s">
        <v>31884</v>
      </c>
      <c r="B1164" s="2" t="s">
        <v>31888</v>
      </c>
      <c r="C1164" s="2">
        <v>6.628642111E9</v>
      </c>
      <c r="D1164" s="2" t="s">
        <v>31889</v>
      </c>
      <c r="E1164" s="2">
        <v>10223.0</v>
      </c>
      <c r="F1164" s="2">
        <v>1077.0</v>
      </c>
      <c r="G1164" s="2">
        <v>331.0</v>
      </c>
      <c r="H1164" s="2" t="s">
        <v>5906</v>
      </c>
      <c r="I1164" s="2" t="s">
        <v>5906</v>
      </c>
      <c r="J1164" s="2" t="s">
        <v>14778</v>
      </c>
      <c r="K1164" s="2" t="s">
        <v>31890</v>
      </c>
      <c r="L1164" s="10" t="s">
        <v>31891</v>
      </c>
    </row>
    <row r="1165">
      <c r="A1165" s="2" t="s">
        <v>31892</v>
      </c>
      <c r="B1165" s="2" t="s">
        <v>31893</v>
      </c>
      <c r="C1165" s="2">
        <v>1.930003793E9</v>
      </c>
      <c r="D1165" s="2" t="s">
        <v>31894</v>
      </c>
      <c r="E1165" s="2">
        <v>15849.0</v>
      </c>
      <c r="F1165" s="2">
        <v>1657.0</v>
      </c>
      <c r="G1165" s="2">
        <v>367.0</v>
      </c>
      <c r="H1165" s="2" t="s">
        <v>5905</v>
      </c>
      <c r="I1165" s="2" t="s">
        <v>5906</v>
      </c>
      <c r="J1165" s="2" t="s">
        <v>5959</v>
      </c>
      <c r="K1165" s="2" t="s">
        <v>31895</v>
      </c>
      <c r="L1165" s="10" t="s">
        <v>31896</v>
      </c>
    </row>
    <row r="1166">
      <c r="A1166" s="2" t="s">
        <v>31892</v>
      </c>
      <c r="B1166" s="2" t="s">
        <v>31897</v>
      </c>
      <c r="C1166" s="2">
        <v>3.017637234E10</v>
      </c>
      <c r="D1166" s="2" t="s">
        <v>31898</v>
      </c>
      <c r="E1166" s="2">
        <v>24752.0</v>
      </c>
      <c r="F1166" s="2">
        <v>6342.0</v>
      </c>
      <c r="G1166" s="2">
        <v>812.0</v>
      </c>
      <c r="H1166" s="2" t="s">
        <v>5905</v>
      </c>
      <c r="I1166" s="2" t="s">
        <v>5906</v>
      </c>
      <c r="J1166" s="2" t="s">
        <v>5993</v>
      </c>
      <c r="K1166" s="2" t="s">
        <v>31899</v>
      </c>
      <c r="L1166" s="10" t="s">
        <v>31900</v>
      </c>
    </row>
    <row r="1167">
      <c r="A1167" s="2" t="s">
        <v>31892</v>
      </c>
      <c r="B1167" s="2" t="s">
        <v>31901</v>
      </c>
      <c r="C1167" s="2">
        <v>4.372569478E9</v>
      </c>
      <c r="D1167" s="2" t="s">
        <v>31902</v>
      </c>
      <c r="E1167" s="2">
        <v>13999.0</v>
      </c>
      <c r="F1167" s="2">
        <v>1821.0</v>
      </c>
      <c r="G1167" s="2">
        <v>478.0</v>
      </c>
      <c r="H1167" s="2" t="s">
        <v>5905</v>
      </c>
      <c r="I1167" s="2" t="s">
        <v>5905</v>
      </c>
      <c r="J1167" s="2" t="s">
        <v>14778</v>
      </c>
      <c r="K1167" s="2" t="s">
        <v>31903</v>
      </c>
      <c r="L1167" s="10" t="s">
        <v>31904</v>
      </c>
    </row>
    <row r="1168">
      <c r="A1168" s="2" t="s">
        <v>31892</v>
      </c>
      <c r="B1168" s="2" t="s">
        <v>31905</v>
      </c>
      <c r="C1168" s="2">
        <v>3.8854666E7</v>
      </c>
      <c r="D1168" s="2" t="s">
        <v>31906</v>
      </c>
      <c r="E1168" s="2">
        <v>21914.0</v>
      </c>
      <c r="F1168" s="2">
        <v>7459.0</v>
      </c>
      <c r="G1168" s="2">
        <v>1236.0</v>
      </c>
      <c r="H1168" s="2" t="s">
        <v>5905</v>
      </c>
      <c r="I1168" s="2" t="s">
        <v>5906</v>
      </c>
      <c r="J1168" s="2" t="s">
        <v>5993</v>
      </c>
      <c r="K1168" s="2" t="s">
        <v>31907</v>
      </c>
      <c r="L1168" s="10" t="s">
        <v>31908</v>
      </c>
    </row>
    <row r="1169">
      <c r="A1169" s="2" t="s">
        <v>31892</v>
      </c>
      <c r="B1169" s="2" t="s">
        <v>31909</v>
      </c>
      <c r="C1169" s="2">
        <v>2.03290175E9</v>
      </c>
      <c r="D1169" s="2" t="s">
        <v>31894</v>
      </c>
      <c r="E1169" s="2">
        <v>81163.0</v>
      </c>
      <c r="F1169" s="2">
        <v>2554.0</v>
      </c>
      <c r="G1169" s="2">
        <v>1543.0</v>
      </c>
      <c r="H1169" s="2" t="s">
        <v>5905</v>
      </c>
      <c r="I1169" s="2" t="s">
        <v>5905</v>
      </c>
      <c r="J1169" s="2" t="s">
        <v>14778</v>
      </c>
      <c r="K1169" s="2" t="s">
        <v>31910</v>
      </c>
      <c r="L1169" s="10" t="s">
        <v>31911</v>
      </c>
    </row>
    <row r="1170">
      <c r="A1170" s="2" t="s">
        <v>31912</v>
      </c>
      <c r="B1170" s="2" t="s">
        <v>31913</v>
      </c>
      <c r="C1170" s="2">
        <v>1.25776153E10</v>
      </c>
      <c r="D1170" s="2" t="s">
        <v>31914</v>
      </c>
      <c r="E1170" s="2">
        <v>10557.0</v>
      </c>
      <c r="F1170" s="2">
        <v>942.0</v>
      </c>
      <c r="G1170" s="2">
        <v>374.0</v>
      </c>
      <c r="H1170" s="2" t="s">
        <v>5905</v>
      </c>
      <c r="I1170" s="2" t="s">
        <v>5906</v>
      </c>
      <c r="J1170" s="2" t="s">
        <v>5993</v>
      </c>
      <c r="K1170" s="2" t="s">
        <v>31915</v>
      </c>
      <c r="L1170" s="10" t="s">
        <v>31916</v>
      </c>
    </row>
    <row r="1171">
      <c r="A1171" s="2" t="s">
        <v>31912</v>
      </c>
      <c r="B1171" s="2" t="s">
        <v>31850</v>
      </c>
      <c r="C1171" s="2">
        <v>1.5219191E9</v>
      </c>
      <c r="D1171" s="2" t="s">
        <v>31851</v>
      </c>
      <c r="E1171" s="2">
        <v>10094.0</v>
      </c>
      <c r="F1171" s="2">
        <v>2565.0</v>
      </c>
      <c r="G1171" s="2">
        <v>225.0</v>
      </c>
      <c r="H1171" s="2" t="s">
        <v>5905</v>
      </c>
      <c r="I1171" s="2" t="s">
        <v>5906</v>
      </c>
      <c r="J1171" s="2" t="s">
        <v>5993</v>
      </c>
      <c r="K1171" s="2" t="s">
        <v>31852</v>
      </c>
    </row>
    <row r="1172">
      <c r="A1172" s="2" t="s">
        <v>31917</v>
      </c>
      <c r="B1172" s="2" t="s">
        <v>31918</v>
      </c>
      <c r="C1172" s="2">
        <v>5.2687039738E10</v>
      </c>
      <c r="D1172" s="2" t="s">
        <v>31919</v>
      </c>
      <c r="E1172" s="2">
        <v>109121.0</v>
      </c>
      <c r="F1172" s="2">
        <v>4.0</v>
      </c>
      <c r="G1172" s="2">
        <v>6949.0</v>
      </c>
      <c r="H1172" s="2" t="s">
        <v>5905</v>
      </c>
      <c r="I1172" s="2" t="s">
        <v>5905</v>
      </c>
      <c r="J1172" s="2" t="s">
        <v>6393</v>
      </c>
      <c r="K1172" s="2" t="s">
        <v>31920</v>
      </c>
      <c r="L1172" s="10" t="s">
        <v>31921</v>
      </c>
    </row>
    <row r="1173">
      <c r="A1173" s="2" t="s">
        <v>31922</v>
      </c>
      <c r="B1173" s="2" t="s">
        <v>31923</v>
      </c>
      <c r="C1173" s="2">
        <v>2.039017441E9</v>
      </c>
      <c r="D1173" s="2" t="s">
        <v>31924</v>
      </c>
      <c r="E1173" s="2">
        <v>232002.0</v>
      </c>
      <c r="F1173" s="2">
        <v>2759.0</v>
      </c>
      <c r="G1173" s="2">
        <v>3072.0</v>
      </c>
      <c r="H1173" s="2" t="s">
        <v>5905</v>
      </c>
      <c r="I1173" s="2" t="s">
        <v>5906</v>
      </c>
      <c r="J1173" s="2" t="s">
        <v>5391</v>
      </c>
      <c r="K1173" s="2" t="s">
        <v>31925</v>
      </c>
      <c r="L1173" s="10" t="s">
        <v>31926</v>
      </c>
    </row>
    <row r="1174">
      <c r="A1174" s="2" t="s">
        <v>31927</v>
      </c>
      <c r="B1174" s="2" t="s">
        <v>31928</v>
      </c>
      <c r="C1174" s="2">
        <v>9.99585909E8</v>
      </c>
      <c r="D1174" s="2" t="s">
        <v>31929</v>
      </c>
      <c r="E1174" s="2">
        <v>11425.0</v>
      </c>
      <c r="F1174" s="2">
        <v>2162.0</v>
      </c>
      <c r="G1174" s="2">
        <v>2339.0</v>
      </c>
      <c r="H1174" s="2" t="s">
        <v>5905</v>
      </c>
      <c r="I1174" s="2" t="s">
        <v>5906</v>
      </c>
      <c r="J1174" s="2" t="s">
        <v>16170</v>
      </c>
      <c r="K1174" s="2" t="s">
        <v>31930</v>
      </c>
      <c r="L1174" s="10" t="s">
        <v>31931</v>
      </c>
    </row>
    <row r="1175">
      <c r="A1175" s="2" t="s">
        <v>31927</v>
      </c>
      <c r="B1175" s="2" t="s">
        <v>31932</v>
      </c>
      <c r="C1175" s="2">
        <v>5.9627201533E10</v>
      </c>
      <c r="D1175" s="2" t="s">
        <v>31933</v>
      </c>
      <c r="E1175" s="2">
        <v>33701.0</v>
      </c>
      <c r="F1175" s="2">
        <v>905.0</v>
      </c>
      <c r="G1175" s="2">
        <v>228.0</v>
      </c>
      <c r="H1175" s="2" t="s">
        <v>5905</v>
      </c>
      <c r="I1175" s="2" t="s">
        <v>5905</v>
      </c>
      <c r="J1175" s="2" t="s">
        <v>27384</v>
      </c>
      <c r="K1175" s="2" t="s">
        <v>31934</v>
      </c>
    </row>
    <row r="1176">
      <c r="A1176" s="2" t="s">
        <v>31935</v>
      </c>
      <c r="B1176" s="2" t="s">
        <v>31936</v>
      </c>
      <c r="C1176" s="2">
        <v>1.9824169609E10</v>
      </c>
      <c r="D1176" s="2" t="s">
        <v>31937</v>
      </c>
      <c r="E1176" s="2">
        <v>30368.0</v>
      </c>
      <c r="F1176" s="2">
        <v>180.0</v>
      </c>
      <c r="G1176" s="2">
        <v>528.0</v>
      </c>
      <c r="H1176" s="2" t="s">
        <v>5905</v>
      </c>
      <c r="I1176" s="2" t="s">
        <v>5906</v>
      </c>
      <c r="J1176" s="2" t="s">
        <v>5993</v>
      </c>
      <c r="K1176" s="2" t="s">
        <v>31938</v>
      </c>
    </row>
    <row r="1177">
      <c r="A1177" s="2" t="s">
        <v>31935</v>
      </c>
      <c r="B1177" s="2" t="s">
        <v>31939</v>
      </c>
      <c r="C1177" s="2">
        <v>1.8497223663E10</v>
      </c>
      <c r="D1177" s="2" t="s">
        <v>31940</v>
      </c>
      <c r="E1177" s="2">
        <v>14702.0</v>
      </c>
      <c r="F1177" s="2">
        <v>1465.0</v>
      </c>
      <c r="G1177" s="2">
        <v>331.0</v>
      </c>
      <c r="H1177" s="2" t="s">
        <v>5905</v>
      </c>
      <c r="I1177" s="2" t="s">
        <v>5906</v>
      </c>
      <c r="J1177" s="2" t="s">
        <v>27384</v>
      </c>
      <c r="K1177" s="2" t="s">
        <v>31941</v>
      </c>
      <c r="L1177" s="10" t="s">
        <v>31942</v>
      </c>
    </row>
    <row r="1178">
      <c r="A1178" s="2" t="s">
        <v>31935</v>
      </c>
      <c r="B1178" s="2" t="s">
        <v>31943</v>
      </c>
      <c r="C1178" s="2">
        <v>5.5211816018E10</v>
      </c>
      <c r="D1178" s="2" t="s">
        <v>31944</v>
      </c>
      <c r="E1178" s="2">
        <v>28493.0</v>
      </c>
      <c r="F1178" s="2">
        <v>9.0</v>
      </c>
      <c r="G1178" s="2">
        <v>590.0</v>
      </c>
      <c r="H1178" s="2" t="s">
        <v>5905</v>
      </c>
      <c r="I1178" s="2" t="s">
        <v>5906</v>
      </c>
      <c r="J1178" s="2" t="s">
        <v>16170</v>
      </c>
      <c r="K1178" s="2" t="s">
        <v>31604</v>
      </c>
      <c r="L1178" s="10" t="s">
        <v>31605</v>
      </c>
    </row>
    <row r="1179">
      <c r="A1179" s="2" t="s">
        <v>31945</v>
      </c>
      <c r="B1179" s="2" t="s">
        <v>31946</v>
      </c>
      <c r="C1179" s="2">
        <v>5.1273389806E10</v>
      </c>
      <c r="D1179" s="2" t="s">
        <v>31947</v>
      </c>
      <c r="E1179" s="2">
        <v>18190.0</v>
      </c>
      <c r="F1179" s="2">
        <v>330.0</v>
      </c>
      <c r="G1179" s="2">
        <v>190.0</v>
      </c>
      <c r="H1179" s="2" t="s">
        <v>5905</v>
      </c>
      <c r="I1179" s="2" t="s">
        <v>5905</v>
      </c>
      <c r="J1179" s="2" t="s">
        <v>7414</v>
      </c>
      <c r="K1179" s="2" t="s">
        <v>31948</v>
      </c>
      <c r="L1179" s="10" t="s">
        <v>31949</v>
      </c>
    </row>
    <row r="1180">
      <c r="A1180" s="2" t="s">
        <v>31945</v>
      </c>
      <c r="B1180" s="2" t="s">
        <v>31950</v>
      </c>
      <c r="C1180" s="2">
        <v>4.840742586E9</v>
      </c>
      <c r="D1180" s="2" t="s">
        <v>31951</v>
      </c>
      <c r="E1180" s="2">
        <v>14204.0</v>
      </c>
      <c r="F1180" s="2">
        <v>377.0</v>
      </c>
      <c r="G1180" s="2">
        <v>309.0</v>
      </c>
      <c r="H1180" s="2" t="s">
        <v>5906</v>
      </c>
      <c r="I1180" s="2" t="s">
        <v>5906</v>
      </c>
      <c r="J1180" s="2" t="s">
        <v>6393</v>
      </c>
      <c r="K1180" s="2" t="s">
        <v>31952</v>
      </c>
      <c r="L1180" s="10" t="s">
        <v>31953</v>
      </c>
    </row>
    <row r="1181">
      <c r="A1181" s="2" t="s">
        <v>31954</v>
      </c>
      <c r="B1181" s="2" t="s">
        <v>31955</v>
      </c>
      <c r="C1181" s="2">
        <v>6.620526978E9</v>
      </c>
      <c r="D1181" s="2" t="s">
        <v>31956</v>
      </c>
      <c r="E1181" s="2">
        <v>13177.0</v>
      </c>
      <c r="F1181" s="2">
        <v>1155.0</v>
      </c>
      <c r="G1181" s="2">
        <v>769.0</v>
      </c>
      <c r="H1181" s="2" t="s">
        <v>5905</v>
      </c>
      <c r="I1181" s="2" t="s">
        <v>5906</v>
      </c>
      <c r="J1181" s="2" t="s">
        <v>5963</v>
      </c>
      <c r="K1181" s="2" t="s">
        <v>31957</v>
      </c>
      <c r="L1181" s="10" t="s">
        <v>31958</v>
      </c>
    </row>
    <row r="1182">
      <c r="A1182" s="2" t="s">
        <v>31959</v>
      </c>
      <c r="B1182" s="2" t="s">
        <v>31960</v>
      </c>
      <c r="C1182" s="2">
        <v>6.371541103E9</v>
      </c>
      <c r="D1182" s="2" t="s">
        <v>31961</v>
      </c>
      <c r="E1182" s="2">
        <v>19389.0</v>
      </c>
      <c r="F1182" s="2">
        <v>142.0</v>
      </c>
      <c r="G1182" s="2">
        <v>272.0</v>
      </c>
      <c r="H1182" s="2" t="s">
        <v>5905</v>
      </c>
      <c r="I1182" s="2" t="s">
        <v>5906</v>
      </c>
      <c r="J1182" s="2" t="s">
        <v>12030</v>
      </c>
      <c r="K1182" s="2" t="s">
        <v>31962</v>
      </c>
    </row>
    <row r="1183">
      <c r="A1183" s="2" t="s">
        <v>31963</v>
      </c>
      <c r="B1183" s="2" t="s">
        <v>31964</v>
      </c>
      <c r="C1183" s="2">
        <v>1.3035332989E10</v>
      </c>
      <c r="D1183" s="2" t="s">
        <v>31965</v>
      </c>
      <c r="E1183" s="2">
        <v>17768.0</v>
      </c>
      <c r="F1183" s="2">
        <v>9.0</v>
      </c>
      <c r="G1183" s="2">
        <v>0.0</v>
      </c>
      <c r="H1183" s="2" t="s">
        <v>5905</v>
      </c>
      <c r="I1183" s="2" t="s">
        <v>5905</v>
      </c>
      <c r="J1183" s="2" t="s">
        <v>7414</v>
      </c>
      <c r="K1183" s="2" t="s">
        <v>31966</v>
      </c>
    </row>
    <row r="1184">
      <c r="A1184" s="2" t="s">
        <v>31963</v>
      </c>
      <c r="B1184" s="2" t="s">
        <v>31967</v>
      </c>
      <c r="C1184" s="2">
        <v>4.960405141E9</v>
      </c>
      <c r="D1184" s="2" t="s">
        <v>31968</v>
      </c>
      <c r="E1184" s="2">
        <v>58184.0</v>
      </c>
      <c r="F1184" s="2">
        <v>1559.0</v>
      </c>
      <c r="G1184" s="2">
        <v>1126.0</v>
      </c>
      <c r="H1184" s="2" t="s">
        <v>5905</v>
      </c>
      <c r="I1184" s="2" t="s">
        <v>5906</v>
      </c>
      <c r="J1184" s="2" t="s">
        <v>7414</v>
      </c>
      <c r="K1184" s="2" t="s">
        <v>31969</v>
      </c>
      <c r="L1184" s="10" t="s">
        <v>31970</v>
      </c>
    </row>
    <row r="1185">
      <c r="A1185" s="2" t="s">
        <v>31963</v>
      </c>
      <c r="B1185" s="2" t="s">
        <v>31971</v>
      </c>
      <c r="C1185" s="2">
        <v>1.455828484E9</v>
      </c>
      <c r="D1185" s="2" t="s">
        <v>31972</v>
      </c>
      <c r="E1185" s="2">
        <v>188525.0</v>
      </c>
      <c r="F1185" s="2">
        <v>1080.0</v>
      </c>
      <c r="G1185" s="2">
        <v>120.0</v>
      </c>
      <c r="H1185" s="2" t="s">
        <v>5906</v>
      </c>
      <c r="I1185" s="2" t="s">
        <v>5905</v>
      </c>
      <c r="J1185" s="2" t="s">
        <v>5391</v>
      </c>
      <c r="K1185" s="2" t="s">
        <v>31973</v>
      </c>
      <c r="L1185" s="10" t="s">
        <v>31974</v>
      </c>
    </row>
    <row r="1186">
      <c r="A1186" s="2" t="s">
        <v>31963</v>
      </c>
      <c r="B1186" s="2" t="s">
        <v>31975</v>
      </c>
      <c r="C1186" s="2">
        <v>2.194397995E9</v>
      </c>
      <c r="D1186" s="2" t="s">
        <v>31976</v>
      </c>
      <c r="E1186" s="2">
        <v>12262.0</v>
      </c>
      <c r="F1186" s="2">
        <v>1208.0</v>
      </c>
      <c r="G1186" s="2">
        <v>5488.0</v>
      </c>
      <c r="H1186" s="2" t="s">
        <v>5905</v>
      </c>
      <c r="I1186" s="2" t="s">
        <v>5906</v>
      </c>
      <c r="J1186" s="2" t="s">
        <v>23820</v>
      </c>
      <c r="K1186" s="2" t="s">
        <v>31977</v>
      </c>
      <c r="L1186" s="10" t="s">
        <v>31978</v>
      </c>
    </row>
    <row r="1187">
      <c r="A1187" s="2" t="s">
        <v>31979</v>
      </c>
      <c r="B1187" s="2" t="s">
        <v>31980</v>
      </c>
      <c r="C1187" s="2">
        <v>2.08055799E9</v>
      </c>
      <c r="D1187" s="2" t="s">
        <v>31981</v>
      </c>
      <c r="E1187" s="2">
        <v>18523.0</v>
      </c>
      <c r="F1187" s="2">
        <v>1124.0</v>
      </c>
      <c r="G1187" s="2">
        <v>3237.0</v>
      </c>
      <c r="H1187" s="2" t="s">
        <v>5906</v>
      </c>
      <c r="I1187" s="2" t="s">
        <v>5905</v>
      </c>
      <c r="J1187" s="2" t="s">
        <v>7140</v>
      </c>
      <c r="K1187" s="2" t="s">
        <v>31982</v>
      </c>
      <c r="L1187" s="10" t="s">
        <v>31983</v>
      </c>
    </row>
    <row r="1188">
      <c r="A1188" s="2" t="s">
        <v>31984</v>
      </c>
      <c r="B1188" s="2" t="s">
        <v>31985</v>
      </c>
      <c r="C1188" s="2">
        <v>4.28218381E9</v>
      </c>
      <c r="D1188" s="2" t="s">
        <v>31986</v>
      </c>
      <c r="E1188" s="2">
        <v>24303.0</v>
      </c>
      <c r="F1188" s="2">
        <v>458.0</v>
      </c>
      <c r="G1188" s="2">
        <v>133.0</v>
      </c>
      <c r="H1188" s="2" t="s">
        <v>5905</v>
      </c>
      <c r="I1188" s="2" t="s">
        <v>5906</v>
      </c>
      <c r="J1188" s="2" t="s">
        <v>5963</v>
      </c>
      <c r="K1188" s="2" t="s">
        <v>31987</v>
      </c>
    </row>
    <row r="1189">
      <c r="A1189" s="2" t="s">
        <v>31984</v>
      </c>
      <c r="B1189" s="2" t="s">
        <v>31988</v>
      </c>
      <c r="C1189" s="2">
        <v>1.44601898E9</v>
      </c>
      <c r="D1189" s="2" t="s">
        <v>31989</v>
      </c>
      <c r="E1189" s="2">
        <v>16675.0</v>
      </c>
      <c r="F1189" s="2">
        <v>2728.0</v>
      </c>
      <c r="G1189" s="2">
        <v>50.0</v>
      </c>
      <c r="H1189" s="2" t="s">
        <v>5905</v>
      </c>
      <c r="I1189" s="2" t="s">
        <v>5906</v>
      </c>
      <c r="J1189" s="2" t="s">
        <v>9815</v>
      </c>
      <c r="K1189" s="2" t="s">
        <v>31990</v>
      </c>
    </row>
    <row r="1190">
      <c r="A1190" s="2" t="s">
        <v>31991</v>
      </c>
      <c r="B1190" s="2" t="s">
        <v>31992</v>
      </c>
      <c r="C1190" s="2">
        <v>3.440990846E9</v>
      </c>
      <c r="D1190" s="2" t="s">
        <v>31993</v>
      </c>
      <c r="E1190" s="2">
        <v>13986.0</v>
      </c>
      <c r="F1190" s="2">
        <v>2093.0</v>
      </c>
      <c r="G1190" s="2">
        <v>389.0</v>
      </c>
      <c r="H1190" s="2" t="s">
        <v>5905</v>
      </c>
      <c r="I1190" s="2" t="s">
        <v>5906</v>
      </c>
      <c r="K1190" s="2" t="s">
        <v>31994</v>
      </c>
      <c r="L1190" s="10" t="s">
        <v>31995</v>
      </c>
    </row>
    <row r="1191">
      <c r="A1191" s="2" t="s">
        <v>31996</v>
      </c>
      <c r="B1191" s="2" t="s">
        <v>31997</v>
      </c>
      <c r="C1191" s="2">
        <v>4.458789089E9</v>
      </c>
      <c r="D1191" s="2" t="s">
        <v>31998</v>
      </c>
      <c r="E1191" s="2">
        <v>36598.0</v>
      </c>
      <c r="F1191" s="2">
        <v>4585.0</v>
      </c>
      <c r="G1191" s="2">
        <v>1768.0</v>
      </c>
      <c r="H1191" s="2" t="s">
        <v>5906</v>
      </c>
      <c r="I1191" s="2" t="s">
        <v>5906</v>
      </c>
      <c r="J1191" s="2" t="s">
        <v>5391</v>
      </c>
      <c r="K1191" s="2" t="s">
        <v>31999</v>
      </c>
      <c r="L1191" s="10" t="s">
        <v>32000</v>
      </c>
    </row>
    <row r="1192">
      <c r="A1192" s="2" t="s">
        <v>31996</v>
      </c>
      <c r="B1192" s="2" t="s">
        <v>32001</v>
      </c>
      <c r="C1192" s="2">
        <v>2.5996289761E10</v>
      </c>
      <c r="D1192" s="2" t="s">
        <v>32002</v>
      </c>
      <c r="E1192" s="2">
        <v>11356.0</v>
      </c>
      <c r="F1192" s="2">
        <v>4154.0</v>
      </c>
      <c r="G1192" s="2">
        <v>5092.0</v>
      </c>
      <c r="H1192" s="2" t="s">
        <v>5905</v>
      </c>
      <c r="I1192" s="2" t="s">
        <v>5906</v>
      </c>
      <c r="J1192" s="2" t="s">
        <v>7669</v>
      </c>
      <c r="K1192" s="2" t="s">
        <v>32003</v>
      </c>
      <c r="L1192" s="10" t="s">
        <v>32004</v>
      </c>
    </row>
    <row r="1193">
      <c r="A1193" s="2" t="s">
        <v>32005</v>
      </c>
      <c r="B1193" s="2" t="s">
        <v>32006</v>
      </c>
      <c r="C1193" s="2">
        <v>1.8502579026E10</v>
      </c>
      <c r="D1193" s="2" t="s">
        <v>32007</v>
      </c>
      <c r="E1193" s="2">
        <v>67018.0</v>
      </c>
      <c r="F1193" s="2">
        <v>13.0</v>
      </c>
      <c r="G1193" s="2">
        <v>3.0</v>
      </c>
      <c r="H1193" s="2" t="s">
        <v>5905</v>
      </c>
      <c r="I1193" s="2" t="s">
        <v>5905</v>
      </c>
      <c r="J1193" s="2" t="s">
        <v>6002</v>
      </c>
      <c r="K1193" s="2" t="s">
        <v>32008</v>
      </c>
    </row>
    <row r="1194">
      <c r="A1194" s="2" t="s">
        <v>32009</v>
      </c>
      <c r="B1194" s="2" t="s">
        <v>32010</v>
      </c>
      <c r="C1194" s="2">
        <v>2.222095138E9</v>
      </c>
      <c r="D1194" s="2" t="s">
        <v>32011</v>
      </c>
      <c r="E1194" s="2">
        <v>21973.0</v>
      </c>
      <c r="F1194" s="2">
        <v>1098.0</v>
      </c>
      <c r="G1194" s="2">
        <v>71.0</v>
      </c>
      <c r="H1194" s="2" t="s">
        <v>5905</v>
      </c>
      <c r="I1194" s="2" t="s">
        <v>5905</v>
      </c>
      <c r="K1194" s="2" t="s">
        <v>32012</v>
      </c>
    </row>
    <row r="1195">
      <c r="A1195" s="2" t="s">
        <v>32009</v>
      </c>
      <c r="B1195" s="2" t="s">
        <v>32013</v>
      </c>
      <c r="C1195" s="2">
        <v>4.53465691E8</v>
      </c>
      <c r="D1195" s="2" t="s">
        <v>32014</v>
      </c>
      <c r="E1195" s="2">
        <v>55529.0</v>
      </c>
      <c r="F1195" s="2">
        <v>526.0</v>
      </c>
      <c r="G1195" s="2">
        <v>1653.0</v>
      </c>
      <c r="H1195" s="2" t="s">
        <v>5905</v>
      </c>
      <c r="I1195" s="2" t="s">
        <v>5905</v>
      </c>
      <c r="J1195" s="2" t="s">
        <v>6393</v>
      </c>
      <c r="K1195" s="2" t="s">
        <v>32015</v>
      </c>
      <c r="L1195" s="10" t="s">
        <v>32016</v>
      </c>
    </row>
    <row r="1196">
      <c r="A1196" s="2" t="s">
        <v>32017</v>
      </c>
      <c r="B1196" s="2" t="s">
        <v>32018</v>
      </c>
      <c r="C1196" s="2">
        <v>3.85645333E8</v>
      </c>
      <c r="D1196" s="2" t="s">
        <v>32019</v>
      </c>
      <c r="E1196" s="2">
        <v>16537.0</v>
      </c>
      <c r="F1196" s="2">
        <v>749.0</v>
      </c>
      <c r="G1196" s="2">
        <v>1086.0</v>
      </c>
      <c r="H1196" s="2" t="s">
        <v>5905</v>
      </c>
      <c r="I1196" s="2" t="s">
        <v>5905</v>
      </c>
      <c r="J1196" s="2" t="s">
        <v>7414</v>
      </c>
      <c r="K1196" s="2" t="s">
        <v>32020</v>
      </c>
    </row>
    <row r="1197">
      <c r="A1197" s="2" t="s">
        <v>32021</v>
      </c>
      <c r="B1197" s="2" t="s">
        <v>28449</v>
      </c>
      <c r="C1197" s="2">
        <v>1.167083777E9</v>
      </c>
      <c r="D1197" s="2" t="s">
        <v>28450</v>
      </c>
      <c r="E1197" s="2">
        <v>11522.0</v>
      </c>
      <c r="F1197" s="2">
        <v>831.0</v>
      </c>
      <c r="G1197" s="2">
        <v>933.0</v>
      </c>
      <c r="H1197" s="2" t="s">
        <v>5905</v>
      </c>
      <c r="I1197" s="2" t="s">
        <v>5905</v>
      </c>
      <c r="J1197" s="2" t="s">
        <v>14778</v>
      </c>
      <c r="K1197" s="2" t="s">
        <v>28451</v>
      </c>
      <c r="L1197" s="10" t="s">
        <v>28452</v>
      </c>
    </row>
    <row r="1198">
      <c r="A1198" s="2" t="s">
        <v>32022</v>
      </c>
      <c r="B1198" s="2" t="s">
        <v>32023</v>
      </c>
      <c r="C1198" s="2">
        <v>3.467900779E9</v>
      </c>
      <c r="D1198" s="2" t="s">
        <v>32024</v>
      </c>
      <c r="E1198" s="2">
        <v>73327.0</v>
      </c>
      <c r="F1198" s="2">
        <v>927.0</v>
      </c>
      <c r="G1198" s="2">
        <v>1943.0</v>
      </c>
      <c r="H1198" s="2" t="s">
        <v>5905</v>
      </c>
      <c r="I1198" s="2" t="s">
        <v>5906</v>
      </c>
      <c r="J1198" s="2" t="s">
        <v>5391</v>
      </c>
      <c r="K1198" s="2" t="s">
        <v>32025</v>
      </c>
      <c r="L1198" s="10" t="s">
        <v>32026</v>
      </c>
    </row>
    <row r="1199">
      <c r="A1199" s="2" t="s">
        <v>32027</v>
      </c>
      <c r="B1199" s="2" t="s">
        <v>32028</v>
      </c>
      <c r="C1199" s="2">
        <v>4.529445528E9</v>
      </c>
      <c r="D1199" s="2" t="s">
        <v>32029</v>
      </c>
      <c r="E1199" s="2">
        <v>21168.0</v>
      </c>
      <c r="F1199" s="2">
        <v>102.0</v>
      </c>
      <c r="G1199" s="2">
        <v>384.0</v>
      </c>
      <c r="H1199" s="2" t="s">
        <v>5905</v>
      </c>
      <c r="I1199" s="2" t="s">
        <v>5905</v>
      </c>
      <c r="J1199" s="2" t="s">
        <v>13763</v>
      </c>
      <c r="K1199" s="2" t="s">
        <v>32030</v>
      </c>
    </row>
    <row r="1200">
      <c r="A1200" s="2" t="s">
        <v>32027</v>
      </c>
      <c r="B1200" s="2" t="s">
        <v>32031</v>
      </c>
      <c r="C1200" s="2">
        <v>2.1137242E8</v>
      </c>
      <c r="D1200" s="2" t="s">
        <v>32032</v>
      </c>
      <c r="E1200" s="2">
        <v>25109.0</v>
      </c>
      <c r="F1200" s="2">
        <v>1069.0</v>
      </c>
      <c r="G1200" s="2">
        <v>2265.0</v>
      </c>
      <c r="H1200" s="2" t="s">
        <v>5905</v>
      </c>
      <c r="I1200" s="2" t="s">
        <v>5905</v>
      </c>
      <c r="J1200" s="2" t="s">
        <v>5993</v>
      </c>
      <c r="K1200" s="2" t="s">
        <v>32033</v>
      </c>
      <c r="L1200" s="10" t="s">
        <v>32034</v>
      </c>
    </row>
    <row r="1201">
      <c r="A1201" s="2" t="s">
        <v>32035</v>
      </c>
      <c r="B1201" s="2" t="s">
        <v>32036</v>
      </c>
      <c r="C1201" s="2">
        <v>1.935623051E9</v>
      </c>
      <c r="D1201" s="2" t="s">
        <v>32037</v>
      </c>
      <c r="E1201" s="2">
        <v>18112.0</v>
      </c>
      <c r="F1201" s="2">
        <v>1481.0</v>
      </c>
      <c r="G1201" s="2">
        <v>900.0</v>
      </c>
      <c r="H1201" s="2" t="s">
        <v>5906</v>
      </c>
      <c r="I1201" s="2" t="s">
        <v>5906</v>
      </c>
      <c r="J1201" s="2" t="s">
        <v>6166</v>
      </c>
      <c r="K1201" s="2" t="s">
        <v>32038</v>
      </c>
      <c r="L1201" s="10" t="s">
        <v>32039</v>
      </c>
    </row>
    <row r="1202">
      <c r="A1202" s="2" t="s">
        <v>32040</v>
      </c>
      <c r="B1202" s="2" t="s">
        <v>32041</v>
      </c>
      <c r="C1202" s="2">
        <v>5.787346497E9</v>
      </c>
      <c r="D1202" s="2" t="s">
        <v>32042</v>
      </c>
      <c r="E1202" s="2">
        <v>11634.0</v>
      </c>
      <c r="F1202" s="2">
        <v>5882.0</v>
      </c>
      <c r="G1202" s="2">
        <v>223.0</v>
      </c>
      <c r="H1202" s="2" t="s">
        <v>5905</v>
      </c>
      <c r="I1202" s="2" t="s">
        <v>5906</v>
      </c>
      <c r="K1202" s="2" t="s">
        <v>32043</v>
      </c>
    </row>
    <row r="1203">
      <c r="A1203" s="2" t="s">
        <v>32044</v>
      </c>
      <c r="B1203" s="2" t="s">
        <v>31854</v>
      </c>
      <c r="C1203" s="2">
        <v>3.943815816E9</v>
      </c>
      <c r="D1203" s="2" t="s">
        <v>31855</v>
      </c>
      <c r="E1203" s="2">
        <v>10530.0</v>
      </c>
      <c r="F1203" s="2">
        <v>1113.0</v>
      </c>
      <c r="G1203" s="2">
        <v>278.0</v>
      </c>
      <c r="H1203" s="2" t="s">
        <v>5905</v>
      </c>
      <c r="I1203" s="2" t="s">
        <v>5906</v>
      </c>
      <c r="J1203" s="2" t="s">
        <v>5391</v>
      </c>
      <c r="K1203" s="2" t="s">
        <v>31856</v>
      </c>
    </row>
    <row r="1204">
      <c r="A1204" s="2" t="s">
        <v>32045</v>
      </c>
      <c r="B1204" s="2" t="s">
        <v>32046</v>
      </c>
      <c r="C1204" s="2">
        <v>8.414502002E9</v>
      </c>
      <c r="D1204" s="2" t="s">
        <v>32047</v>
      </c>
      <c r="E1204" s="2">
        <v>13375.0</v>
      </c>
      <c r="F1204" s="2">
        <v>2739.0</v>
      </c>
      <c r="G1204" s="2">
        <v>1227.0</v>
      </c>
      <c r="H1204" s="2" t="s">
        <v>5905</v>
      </c>
      <c r="I1204" s="2" t="s">
        <v>5906</v>
      </c>
      <c r="J1204" s="2" t="s">
        <v>5993</v>
      </c>
      <c r="K1204" s="2" t="s">
        <v>32048</v>
      </c>
      <c r="L1204" s="10" t="s">
        <v>32049</v>
      </c>
    </row>
    <row r="1205">
      <c r="A1205" s="2" t="s">
        <v>32050</v>
      </c>
      <c r="B1205" s="2" t="s">
        <v>32051</v>
      </c>
      <c r="C1205" s="2">
        <v>1.2495337955E10</v>
      </c>
      <c r="D1205" s="2" t="s">
        <v>32052</v>
      </c>
      <c r="E1205" s="2">
        <v>43547.0</v>
      </c>
      <c r="F1205" s="2">
        <v>1170.0</v>
      </c>
      <c r="G1205" s="2">
        <v>991.0</v>
      </c>
      <c r="H1205" s="2" t="s">
        <v>5905</v>
      </c>
      <c r="I1205" s="2" t="s">
        <v>5905</v>
      </c>
      <c r="J1205" s="2" t="s">
        <v>7414</v>
      </c>
      <c r="K1205" s="2" t="s">
        <v>32053</v>
      </c>
      <c r="L1205" s="10" t="s">
        <v>32054</v>
      </c>
    </row>
    <row r="1206">
      <c r="A1206" s="2" t="s">
        <v>32050</v>
      </c>
      <c r="B1206" s="2" t="s">
        <v>32055</v>
      </c>
      <c r="C1206" s="2">
        <v>4.56350434E8</v>
      </c>
      <c r="D1206" s="2" t="s">
        <v>32056</v>
      </c>
      <c r="E1206" s="2">
        <v>21305.0</v>
      </c>
      <c r="F1206" s="2">
        <v>331.0</v>
      </c>
      <c r="G1206" s="2">
        <v>1269.0</v>
      </c>
      <c r="H1206" s="2" t="s">
        <v>5905</v>
      </c>
      <c r="I1206" s="2" t="s">
        <v>5905</v>
      </c>
      <c r="J1206" s="2" t="s">
        <v>5993</v>
      </c>
      <c r="K1206" s="2" t="s">
        <v>32057</v>
      </c>
      <c r="L1206" s="10" t="s">
        <v>32058</v>
      </c>
    </row>
    <row r="1207">
      <c r="A1207" s="2" t="s">
        <v>32059</v>
      </c>
      <c r="B1207" s="2" t="s">
        <v>32060</v>
      </c>
      <c r="C1207" s="2">
        <v>2.9891528837E10</v>
      </c>
      <c r="D1207" s="2" t="s">
        <v>32061</v>
      </c>
      <c r="E1207" s="2">
        <v>11144.0</v>
      </c>
      <c r="F1207" s="2">
        <v>2272.0</v>
      </c>
      <c r="G1207" s="2">
        <v>563.0</v>
      </c>
      <c r="H1207" s="2" t="s">
        <v>5905</v>
      </c>
      <c r="I1207" s="2" t="s">
        <v>5905</v>
      </c>
      <c r="J1207" s="2" t="s">
        <v>14778</v>
      </c>
      <c r="K1207" s="2" t="s">
        <v>32062</v>
      </c>
      <c r="L1207" s="10" t="s">
        <v>32063</v>
      </c>
    </row>
    <row r="1208">
      <c r="A1208" s="2" t="s">
        <v>32059</v>
      </c>
      <c r="B1208" s="2" t="s">
        <v>32064</v>
      </c>
      <c r="C1208" s="2">
        <v>3.78292591E8</v>
      </c>
      <c r="D1208" s="2" t="s">
        <v>32065</v>
      </c>
      <c r="E1208" s="2">
        <v>11844.0</v>
      </c>
      <c r="F1208" s="2">
        <v>979.0</v>
      </c>
      <c r="G1208" s="2">
        <v>1807.0</v>
      </c>
      <c r="H1208" s="2" t="s">
        <v>5905</v>
      </c>
      <c r="I1208" s="2" t="s">
        <v>5906</v>
      </c>
      <c r="J1208" s="2" t="s">
        <v>7809</v>
      </c>
      <c r="K1208" s="2" t="s">
        <v>32066</v>
      </c>
      <c r="L1208" s="10" t="s">
        <v>32067</v>
      </c>
    </row>
    <row r="1209">
      <c r="A1209" s="2" t="s">
        <v>32059</v>
      </c>
      <c r="B1209" s="2" t="s">
        <v>32068</v>
      </c>
      <c r="C1209" s="2">
        <v>9.258928029E9</v>
      </c>
      <c r="D1209" s="2" t="s">
        <v>32069</v>
      </c>
      <c r="E1209" s="2">
        <v>17119.0</v>
      </c>
      <c r="F1209" s="2">
        <v>1082.0</v>
      </c>
      <c r="G1209" s="2">
        <v>314.0</v>
      </c>
      <c r="H1209" s="2" t="s">
        <v>5905</v>
      </c>
      <c r="I1209" s="2" t="s">
        <v>5905</v>
      </c>
      <c r="J1209" s="2" t="s">
        <v>5993</v>
      </c>
      <c r="K1209" s="2" t="s">
        <v>32070</v>
      </c>
    </row>
    <row r="1210">
      <c r="A1210" s="2" t="s">
        <v>32059</v>
      </c>
      <c r="B1210" s="2" t="s">
        <v>32071</v>
      </c>
      <c r="C1210" s="2">
        <v>7.556154584E9</v>
      </c>
      <c r="D1210" s="2" t="s">
        <v>32072</v>
      </c>
      <c r="E1210" s="2">
        <v>25979.0</v>
      </c>
      <c r="F1210" s="2">
        <v>266.0</v>
      </c>
      <c r="G1210" s="2">
        <v>53.0</v>
      </c>
      <c r="H1210" s="2" t="s">
        <v>5905</v>
      </c>
      <c r="I1210" s="2" t="s">
        <v>5905</v>
      </c>
      <c r="K1210" s="2" t="s">
        <v>32073</v>
      </c>
    </row>
    <row r="1211">
      <c r="A1211" s="2" t="s">
        <v>32074</v>
      </c>
      <c r="B1211" s="2" t="s">
        <v>32075</v>
      </c>
      <c r="C1211" s="2">
        <v>5.79656161E8</v>
      </c>
      <c r="D1211" s="2" t="s">
        <v>32076</v>
      </c>
      <c r="E1211" s="2">
        <v>10951.0</v>
      </c>
      <c r="F1211" s="2">
        <v>1040.0</v>
      </c>
      <c r="G1211" s="2">
        <v>437.0</v>
      </c>
      <c r="H1211" s="2" t="s">
        <v>5905</v>
      </c>
      <c r="I1211" s="2" t="s">
        <v>5905</v>
      </c>
      <c r="J1211" s="2" t="s">
        <v>14778</v>
      </c>
      <c r="K1211" s="2" t="s">
        <v>32077</v>
      </c>
    </row>
    <row r="1212">
      <c r="A1212" s="2" t="s">
        <v>32078</v>
      </c>
      <c r="B1212" s="2" t="s">
        <v>32079</v>
      </c>
      <c r="C1212" s="2">
        <v>2.06835796E8</v>
      </c>
      <c r="D1212" s="2" t="s">
        <v>32080</v>
      </c>
      <c r="E1212" s="2">
        <v>53999.0</v>
      </c>
      <c r="F1212" s="2">
        <v>447.0</v>
      </c>
      <c r="G1212" s="2">
        <v>304.0</v>
      </c>
      <c r="H1212" s="2" t="s">
        <v>5905</v>
      </c>
      <c r="I1212" s="2" t="s">
        <v>5906</v>
      </c>
      <c r="J1212" s="2" t="s">
        <v>5492</v>
      </c>
      <c r="K1212" s="2" t="s">
        <v>32081</v>
      </c>
      <c r="L1212" s="10" t="s">
        <v>32082</v>
      </c>
    </row>
    <row r="1213">
      <c r="A1213" s="2" t="s">
        <v>32083</v>
      </c>
      <c r="B1213" s="2" t="s">
        <v>32084</v>
      </c>
      <c r="C1213" s="2">
        <v>6.778515682E9</v>
      </c>
      <c r="D1213" s="2" t="s">
        <v>32085</v>
      </c>
      <c r="E1213" s="2">
        <v>14536.0</v>
      </c>
      <c r="F1213" s="2">
        <v>245.0</v>
      </c>
      <c r="G1213" s="2">
        <v>826.0</v>
      </c>
      <c r="H1213" s="2" t="s">
        <v>5905</v>
      </c>
      <c r="I1213" s="2" t="s">
        <v>5905</v>
      </c>
      <c r="J1213" s="2" t="s">
        <v>5492</v>
      </c>
      <c r="K1213" s="2" t="s">
        <v>32086</v>
      </c>
      <c r="L1213" s="10" t="s">
        <v>32087</v>
      </c>
    </row>
    <row r="1214">
      <c r="A1214" s="2" t="s">
        <v>32083</v>
      </c>
      <c r="B1214" s="2" t="s">
        <v>32088</v>
      </c>
      <c r="C1214" s="2">
        <v>6.03736123E8</v>
      </c>
      <c r="D1214" s="2" t="s">
        <v>32089</v>
      </c>
      <c r="E1214" s="2">
        <v>20125.0</v>
      </c>
      <c r="F1214" s="2">
        <v>1073.0</v>
      </c>
      <c r="G1214" s="2">
        <v>532.0</v>
      </c>
      <c r="H1214" s="2" t="s">
        <v>5905</v>
      </c>
      <c r="I1214" s="2" t="s">
        <v>5906</v>
      </c>
      <c r="J1214" s="2" t="s">
        <v>5492</v>
      </c>
      <c r="K1214" s="2" t="s">
        <v>32090</v>
      </c>
    </row>
    <row r="1215">
      <c r="A1215" s="2" t="s">
        <v>32083</v>
      </c>
      <c r="B1215" s="2" t="s">
        <v>32091</v>
      </c>
      <c r="C1215" s="2">
        <v>7.103233885E9</v>
      </c>
      <c r="D1215" s="2" t="s">
        <v>32092</v>
      </c>
      <c r="E1215" s="2">
        <v>278884.0</v>
      </c>
      <c r="F1215" s="2">
        <v>937.0</v>
      </c>
      <c r="G1215" s="2">
        <v>587.0</v>
      </c>
      <c r="H1215" s="2" t="s">
        <v>5905</v>
      </c>
      <c r="I1215" s="2" t="s">
        <v>5905</v>
      </c>
      <c r="J1215" s="2" t="s">
        <v>5993</v>
      </c>
      <c r="K1215" s="2" t="s">
        <v>32093</v>
      </c>
      <c r="L1215" s="10" t="s">
        <v>32094</v>
      </c>
    </row>
    <row r="1216">
      <c r="A1216" s="2" t="s">
        <v>32083</v>
      </c>
      <c r="B1216" s="2" t="s">
        <v>32095</v>
      </c>
      <c r="C1216" s="2">
        <v>1.84017274E8</v>
      </c>
      <c r="D1216" s="2" t="s">
        <v>32096</v>
      </c>
      <c r="E1216" s="2">
        <v>28886.0</v>
      </c>
      <c r="F1216" s="2">
        <v>1398.0</v>
      </c>
      <c r="G1216" s="2">
        <v>1061.0</v>
      </c>
      <c r="H1216" s="2" t="s">
        <v>5905</v>
      </c>
      <c r="I1216" s="2" t="s">
        <v>5906</v>
      </c>
      <c r="J1216" s="2" t="s">
        <v>5492</v>
      </c>
      <c r="K1216" s="2" t="s">
        <v>32097</v>
      </c>
    </row>
    <row r="1217">
      <c r="A1217" s="2" t="s">
        <v>32098</v>
      </c>
      <c r="B1217" s="2" t="s">
        <v>32099</v>
      </c>
      <c r="C1217" s="2">
        <v>5.9935745853E10</v>
      </c>
      <c r="D1217" s="2" t="s">
        <v>32100</v>
      </c>
      <c r="E1217" s="2">
        <v>10326.0</v>
      </c>
      <c r="F1217" s="2">
        <v>2.0</v>
      </c>
      <c r="G1217" s="2">
        <v>86.0</v>
      </c>
      <c r="H1217" s="2" t="s">
        <v>5905</v>
      </c>
      <c r="I1217" s="2" t="s">
        <v>5906</v>
      </c>
      <c r="J1217" s="2" t="s">
        <v>15526</v>
      </c>
      <c r="K1217" s="2" t="s">
        <v>32101</v>
      </c>
      <c r="L1217" s="10" t="s">
        <v>32102</v>
      </c>
    </row>
    <row r="1218">
      <c r="A1218" s="2" t="s">
        <v>32103</v>
      </c>
      <c r="B1218" s="2" t="s">
        <v>32104</v>
      </c>
      <c r="C1218" s="2">
        <v>2.235747291E10</v>
      </c>
      <c r="D1218" s="2" t="s">
        <v>32105</v>
      </c>
      <c r="E1218" s="2">
        <v>48530.0</v>
      </c>
      <c r="F1218" s="2">
        <v>74.0</v>
      </c>
      <c r="G1218" s="2">
        <v>946.0</v>
      </c>
      <c r="H1218" s="2" t="s">
        <v>5905</v>
      </c>
      <c r="I1218" s="2" t="s">
        <v>5906</v>
      </c>
      <c r="J1218" s="2" t="s">
        <v>5963</v>
      </c>
      <c r="K1218" s="2" t="s">
        <v>32106</v>
      </c>
      <c r="L1218" s="10" t="s">
        <v>32107</v>
      </c>
    </row>
    <row r="1219">
      <c r="A1219" s="2" t="s">
        <v>32103</v>
      </c>
      <c r="B1219" s="2" t="s">
        <v>32108</v>
      </c>
      <c r="C1219" s="2">
        <v>4.5861709219E10</v>
      </c>
      <c r="D1219" s="2" t="s">
        <v>32109</v>
      </c>
      <c r="E1219" s="2">
        <v>44212.0</v>
      </c>
      <c r="F1219" s="2">
        <v>201.0</v>
      </c>
      <c r="G1219" s="2">
        <v>1433.0</v>
      </c>
      <c r="H1219" s="2" t="s">
        <v>5906</v>
      </c>
      <c r="I1219" s="2" t="s">
        <v>5906</v>
      </c>
      <c r="J1219" s="2" t="s">
        <v>7140</v>
      </c>
      <c r="K1219" s="2" t="s">
        <v>32110</v>
      </c>
      <c r="L1219" s="10" t="s">
        <v>32111</v>
      </c>
    </row>
    <row r="1220">
      <c r="A1220" s="2" t="s">
        <v>32112</v>
      </c>
      <c r="B1220" s="2" t="s">
        <v>32113</v>
      </c>
      <c r="C1220" s="2">
        <v>2.127419752E9</v>
      </c>
      <c r="D1220" s="2" t="s">
        <v>32114</v>
      </c>
      <c r="E1220" s="2">
        <v>21481.0</v>
      </c>
      <c r="F1220" s="2">
        <v>98.0</v>
      </c>
      <c r="G1220" s="2">
        <v>113.0</v>
      </c>
      <c r="H1220" s="2" t="s">
        <v>5905</v>
      </c>
      <c r="I1220" s="2" t="s">
        <v>5905</v>
      </c>
      <c r="J1220" s="2" t="s">
        <v>5492</v>
      </c>
      <c r="K1220" s="2" t="s">
        <v>32115</v>
      </c>
    </row>
    <row r="1221">
      <c r="A1221" s="2" t="s">
        <v>32112</v>
      </c>
      <c r="B1221" s="2" t="s">
        <v>32116</v>
      </c>
      <c r="C1221" s="2">
        <v>5.21267221E8</v>
      </c>
      <c r="D1221" s="2" t="s">
        <v>32117</v>
      </c>
      <c r="E1221" s="2">
        <v>10605.0</v>
      </c>
      <c r="F1221" s="2">
        <v>281.0</v>
      </c>
      <c r="G1221" s="2">
        <v>1730.0</v>
      </c>
      <c r="H1221" s="2" t="s">
        <v>5905</v>
      </c>
      <c r="I1221" s="2" t="s">
        <v>5906</v>
      </c>
      <c r="J1221" s="2" t="s">
        <v>8604</v>
      </c>
      <c r="K1221" s="2" t="s">
        <v>32118</v>
      </c>
      <c r="L1221" s="10" t="s">
        <v>32119</v>
      </c>
    </row>
    <row r="1222">
      <c r="A1222" s="2" t="s">
        <v>32120</v>
      </c>
      <c r="B1222" s="2" t="s">
        <v>32121</v>
      </c>
      <c r="C1222" s="2">
        <v>6.3128985329E10</v>
      </c>
      <c r="D1222" s="2" t="s">
        <v>32122</v>
      </c>
      <c r="E1222" s="2">
        <v>25550.0</v>
      </c>
      <c r="F1222" s="2">
        <v>110.0</v>
      </c>
      <c r="G1222" s="2">
        <v>75.0</v>
      </c>
      <c r="H1222" s="2" t="s">
        <v>5905</v>
      </c>
      <c r="I1222" s="2" t="s">
        <v>5906</v>
      </c>
      <c r="J1222" s="2" t="s">
        <v>7414</v>
      </c>
      <c r="K1222" s="2" t="s">
        <v>32123</v>
      </c>
    </row>
    <row r="1223">
      <c r="A1223" s="2" t="s">
        <v>32120</v>
      </c>
      <c r="B1223" s="2" t="s">
        <v>32124</v>
      </c>
      <c r="C1223" s="2">
        <v>2.038920433E9</v>
      </c>
      <c r="D1223" s="2" t="s">
        <v>32125</v>
      </c>
      <c r="E1223" s="2">
        <v>12239.0</v>
      </c>
      <c r="F1223" s="2">
        <v>7501.0</v>
      </c>
      <c r="G1223" s="2">
        <v>4097.0</v>
      </c>
      <c r="H1223" s="2" t="s">
        <v>5905</v>
      </c>
      <c r="I1223" s="2" t="s">
        <v>5905</v>
      </c>
      <c r="J1223" s="2" t="s">
        <v>6166</v>
      </c>
      <c r="K1223" s="2" t="s">
        <v>32126</v>
      </c>
    </row>
    <row r="1224">
      <c r="A1224" s="2" t="s">
        <v>32127</v>
      </c>
      <c r="B1224" s="2" t="s">
        <v>32128</v>
      </c>
      <c r="C1224" s="2">
        <v>1.455158248E9</v>
      </c>
      <c r="D1224" s="2" t="s">
        <v>16173</v>
      </c>
      <c r="E1224" s="2">
        <v>10864.0</v>
      </c>
      <c r="F1224" s="2">
        <v>1798.0</v>
      </c>
      <c r="G1224" s="2">
        <v>2288.0</v>
      </c>
      <c r="H1224" s="2" t="s">
        <v>5905</v>
      </c>
      <c r="I1224" s="2" t="s">
        <v>5906</v>
      </c>
      <c r="K1224" s="2" t="s">
        <v>32129</v>
      </c>
      <c r="L1224" s="10" t="s">
        <v>32130</v>
      </c>
    </row>
    <row r="1225">
      <c r="A1225" s="2" t="s">
        <v>32131</v>
      </c>
      <c r="B1225" s="2" t="s">
        <v>32132</v>
      </c>
      <c r="C1225" s="2">
        <v>6.07466241E9</v>
      </c>
      <c r="D1225" s="2" t="s">
        <v>32133</v>
      </c>
      <c r="E1225" s="2">
        <v>20629.0</v>
      </c>
      <c r="F1225" s="2">
        <v>69.0</v>
      </c>
      <c r="G1225" s="2">
        <v>1725.0</v>
      </c>
      <c r="H1225" s="2" t="s">
        <v>5905</v>
      </c>
      <c r="I1225" s="2" t="s">
        <v>5905</v>
      </c>
      <c r="J1225" s="2" t="s">
        <v>5561</v>
      </c>
      <c r="K1225" s="2" t="s">
        <v>32134</v>
      </c>
      <c r="L1225" s="10" t="s">
        <v>32135</v>
      </c>
    </row>
    <row r="1226">
      <c r="A1226" s="2" t="s">
        <v>32136</v>
      </c>
      <c r="B1226" s="2" t="s">
        <v>32137</v>
      </c>
      <c r="C1226" s="2">
        <v>6.1351959728E10</v>
      </c>
      <c r="D1226" s="2" t="s">
        <v>32138</v>
      </c>
      <c r="E1226" s="2">
        <v>10561.0</v>
      </c>
      <c r="F1226" s="2">
        <v>51.0</v>
      </c>
      <c r="G1226" s="2">
        <v>51.0</v>
      </c>
      <c r="H1226" s="2" t="s">
        <v>5905</v>
      </c>
      <c r="I1226" s="2" t="s">
        <v>5905</v>
      </c>
      <c r="J1226" s="2" t="s">
        <v>7140</v>
      </c>
      <c r="K1226" s="2" t="s">
        <v>32139</v>
      </c>
      <c r="L1226" s="10" t="s">
        <v>32140</v>
      </c>
    </row>
    <row r="1227">
      <c r="A1227" s="2" t="s">
        <v>32141</v>
      </c>
      <c r="B1227" s="2" t="s">
        <v>32108</v>
      </c>
      <c r="C1227" s="2">
        <v>4.5861709219E10</v>
      </c>
      <c r="D1227" s="2" t="s">
        <v>32109</v>
      </c>
      <c r="E1227" s="2">
        <v>44212.0</v>
      </c>
      <c r="F1227" s="2">
        <v>201.0</v>
      </c>
      <c r="G1227" s="2">
        <v>1433.0</v>
      </c>
      <c r="H1227" s="2" t="s">
        <v>5906</v>
      </c>
      <c r="I1227" s="2" t="s">
        <v>5906</v>
      </c>
      <c r="J1227" s="2" t="s">
        <v>7140</v>
      </c>
      <c r="K1227" s="2" t="s">
        <v>32110</v>
      </c>
      <c r="L1227" s="10" t="s">
        <v>32111</v>
      </c>
    </row>
    <row r="1228">
      <c r="A1228" s="2" t="s">
        <v>32142</v>
      </c>
      <c r="B1228" s="2" t="s">
        <v>32143</v>
      </c>
      <c r="C1228" s="2">
        <v>5.3113707443E10</v>
      </c>
      <c r="D1228" s="12" t="s">
        <v>32144</v>
      </c>
      <c r="E1228" s="2">
        <v>18884.0</v>
      </c>
      <c r="F1228" s="2">
        <v>1.0</v>
      </c>
      <c r="G1228" s="2">
        <v>100.0</v>
      </c>
      <c r="H1228" s="2" t="s">
        <v>5905</v>
      </c>
      <c r="I1228" s="2" t="s">
        <v>5906</v>
      </c>
      <c r="J1228" s="2" t="s">
        <v>5963</v>
      </c>
      <c r="K1228" s="2" t="s">
        <v>32145</v>
      </c>
    </row>
    <row r="1229">
      <c r="A1229" s="2" t="s">
        <v>32146</v>
      </c>
      <c r="B1229" s="2" t="s">
        <v>32147</v>
      </c>
      <c r="C1229" s="2">
        <v>4.5169396445E10</v>
      </c>
      <c r="E1229" s="2">
        <v>11816.0</v>
      </c>
      <c r="F1229" s="2">
        <v>254.0</v>
      </c>
      <c r="G1229" s="2">
        <v>534.0</v>
      </c>
      <c r="H1229" s="2" t="s">
        <v>5905</v>
      </c>
      <c r="I1229" s="2" t="s">
        <v>5905</v>
      </c>
      <c r="J1229" s="2" t="s">
        <v>7414</v>
      </c>
      <c r="K1229" s="2" t="s">
        <v>32148</v>
      </c>
    </row>
    <row r="1230">
      <c r="A1230" s="2" t="s">
        <v>32149</v>
      </c>
      <c r="B1230" s="2" t="s">
        <v>32150</v>
      </c>
      <c r="C1230" s="2">
        <v>1.2104843055E10</v>
      </c>
      <c r="D1230" s="2" t="s">
        <v>32151</v>
      </c>
      <c r="E1230" s="2">
        <v>21024.0</v>
      </c>
      <c r="F1230" s="2">
        <v>1062.0</v>
      </c>
      <c r="G1230" s="2">
        <v>327.0</v>
      </c>
      <c r="H1230" s="2" t="s">
        <v>5905</v>
      </c>
      <c r="I1230" s="2" t="s">
        <v>5905</v>
      </c>
      <c r="J1230" s="2" t="s">
        <v>6393</v>
      </c>
      <c r="K1230" s="2" t="s">
        <v>32152</v>
      </c>
    </row>
    <row r="1231">
      <c r="A1231" s="2" t="s">
        <v>32153</v>
      </c>
      <c r="B1231" s="2" t="s">
        <v>32154</v>
      </c>
      <c r="C1231" s="2">
        <v>1.442130907E9</v>
      </c>
      <c r="D1231" s="2" t="s">
        <v>32155</v>
      </c>
      <c r="E1231" s="2">
        <v>420712.0</v>
      </c>
      <c r="F1231" s="2">
        <v>1679.0</v>
      </c>
      <c r="G1231" s="2">
        <v>326.0</v>
      </c>
      <c r="H1231" s="2" t="s">
        <v>5905</v>
      </c>
      <c r="I1231" s="2" t="s">
        <v>5906</v>
      </c>
      <c r="J1231" s="2" t="s">
        <v>6393</v>
      </c>
      <c r="K1231" s="2" t="s">
        <v>32156</v>
      </c>
      <c r="L1231" s="10" t="s">
        <v>32157</v>
      </c>
    </row>
    <row r="1232">
      <c r="A1232" s="2" t="s">
        <v>32158</v>
      </c>
      <c r="B1232" s="2" t="s">
        <v>32159</v>
      </c>
      <c r="C1232" s="2">
        <v>3.30434406E8</v>
      </c>
      <c r="D1232" s="2" t="s">
        <v>32160</v>
      </c>
      <c r="E1232" s="2">
        <v>147872.0</v>
      </c>
      <c r="F1232" s="2">
        <v>988.0</v>
      </c>
      <c r="G1232" s="2">
        <v>7860.0</v>
      </c>
      <c r="H1232" s="2" t="s">
        <v>5905</v>
      </c>
      <c r="I1232" s="2" t="s">
        <v>5906</v>
      </c>
      <c r="J1232" s="2" t="s">
        <v>5561</v>
      </c>
      <c r="K1232" s="2" t="s">
        <v>32161</v>
      </c>
      <c r="L1232" s="10" t="s">
        <v>32162</v>
      </c>
    </row>
    <row r="1233">
      <c r="A1233" s="2" t="s">
        <v>32163</v>
      </c>
      <c r="B1233" s="2" t="s">
        <v>32164</v>
      </c>
      <c r="C1233" s="2">
        <v>5.775404047E9</v>
      </c>
      <c r="D1233" s="2" t="s">
        <v>32165</v>
      </c>
      <c r="E1233" s="2">
        <v>13478.0</v>
      </c>
      <c r="F1233" s="2">
        <v>1137.0</v>
      </c>
      <c r="G1233" s="2">
        <v>499.0</v>
      </c>
      <c r="H1233" s="2" t="s">
        <v>5905</v>
      </c>
      <c r="I1233" s="2" t="s">
        <v>5906</v>
      </c>
      <c r="J1233" s="2" t="s">
        <v>5561</v>
      </c>
      <c r="K1233" s="2" t="s">
        <v>32166</v>
      </c>
    </row>
    <row r="1234">
      <c r="A1234" s="2" t="s">
        <v>32167</v>
      </c>
      <c r="B1234" s="2" t="s">
        <v>32168</v>
      </c>
      <c r="C1234" s="2">
        <v>4.66531411E9</v>
      </c>
      <c r="D1234" s="2" t="s">
        <v>32169</v>
      </c>
      <c r="E1234" s="2">
        <v>11987.0</v>
      </c>
      <c r="F1234" s="2">
        <v>766.0</v>
      </c>
      <c r="G1234" s="2">
        <v>8.0</v>
      </c>
      <c r="H1234" s="2" t="s">
        <v>5905</v>
      </c>
      <c r="I1234" s="2" t="s">
        <v>5906</v>
      </c>
      <c r="J1234" s="2" t="s">
        <v>8245</v>
      </c>
      <c r="K1234" s="2" t="s">
        <v>32170</v>
      </c>
    </row>
    <row r="1235">
      <c r="A1235" s="2" t="s">
        <v>32171</v>
      </c>
      <c r="B1235" s="2" t="s">
        <v>32172</v>
      </c>
      <c r="C1235" s="2">
        <v>2.924482474E9</v>
      </c>
      <c r="D1235" s="2" t="s">
        <v>32173</v>
      </c>
      <c r="E1235" s="2">
        <v>138384.0</v>
      </c>
      <c r="F1235" s="2">
        <v>39.0</v>
      </c>
      <c r="G1235" s="2">
        <v>3503.0</v>
      </c>
      <c r="H1235" s="2" t="s">
        <v>5906</v>
      </c>
      <c r="I1235" s="2" t="s">
        <v>5906</v>
      </c>
      <c r="J1235" s="2" t="s">
        <v>5391</v>
      </c>
      <c r="K1235" s="2" t="s">
        <v>32174</v>
      </c>
      <c r="L1235" s="10" t="s">
        <v>32175</v>
      </c>
    </row>
    <row r="1236">
      <c r="A1236" s="2" t="s">
        <v>32171</v>
      </c>
      <c r="B1236" s="2" t="s">
        <v>32164</v>
      </c>
      <c r="C1236" s="2">
        <v>5.775404047E9</v>
      </c>
      <c r="D1236" s="2" t="s">
        <v>32165</v>
      </c>
      <c r="E1236" s="2">
        <v>13478.0</v>
      </c>
      <c r="F1236" s="2">
        <v>1137.0</v>
      </c>
      <c r="G1236" s="2">
        <v>499.0</v>
      </c>
      <c r="H1236" s="2" t="s">
        <v>5905</v>
      </c>
      <c r="I1236" s="2" t="s">
        <v>5906</v>
      </c>
      <c r="J1236" s="2" t="s">
        <v>5561</v>
      </c>
      <c r="K1236" s="2" t="s">
        <v>32166</v>
      </c>
    </row>
    <row r="1237">
      <c r="A1237" s="2" t="s">
        <v>32176</v>
      </c>
      <c r="B1237" s="2" t="s">
        <v>32177</v>
      </c>
      <c r="C1237" s="2">
        <v>4063394.0</v>
      </c>
      <c r="D1237" s="2" t="s">
        <v>32178</v>
      </c>
      <c r="E1237" s="2">
        <v>32612.0</v>
      </c>
      <c r="F1237" s="2">
        <v>1101.0</v>
      </c>
      <c r="G1237" s="2">
        <v>2527.0</v>
      </c>
      <c r="H1237" s="2" t="s">
        <v>5905</v>
      </c>
      <c r="I1237" s="2" t="s">
        <v>5906</v>
      </c>
      <c r="J1237" s="2" t="s">
        <v>6166</v>
      </c>
      <c r="K1237" s="2" t="s">
        <v>32179</v>
      </c>
    </row>
    <row r="1238">
      <c r="A1238" s="2" t="s">
        <v>32176</v>
      </c>
      <c r="B1238" s="10" t="s">
        <v>32180</v>
      </c>
      <c r="C1238" s="2">
        <v>2.22726224E9</v>
      </c>
      <c r="D1238" s="2" t="s">
        <v>32181</v>
      </c>
      <c r="E1238" s="2">
        <v>21877.0</v>
      </c>
      <c r="F1238" s="2">
        <v>1094.0</v>
      </c>
      <c r="G1238" s="2">
        <v>231.0</v>
      </c>
      <c r="H1238" s="2" t="s">
        <v>5905</v>
      </c>
      <c r="I1238" s="2" t="s">
        <v>5905</v>
      </c>
      <c r="J1238" s="2" t="s">
        <v>6166</v>
      </c>
      <c r="K1238" s="2" t="s">
        <v>32182</v>
      </c>
      <c r="L1238" s="10" t="s">
        <v>32183</v>
      </c>
    </row>
    <row r="1239">
      <c r="A1239" s="2" t="s">
        <v>32184</v>
      </c>
      <c r="B1239" s="2" t="s">
        <v>26057</v>
      </c>
      <c r="C1239" s="2">
        <v>5.0721110887E10</v>
      </c>
      <c r="D1239" s="2" t="s">
        <v>26058</v>
      </c>
      <c r="E1239" s="2">
        <v>241686.0</v>
      </c>
      <c r="F1239" s="2">
        <v>1551.0</v>
      </c>
      <c r="G1239" s="2">
        <v>1214.0</v>
      </c>
      <c r="H1239" s="2" t="s">
        <v>5906</v>
      </c>
      <c r="I1239" s="2" t="s">
        <v>5906</v>
      </c>
      <c r="J1239" s="2" t="s">
        <v>5391</v>
      </c>
      <c r="K1239" s="2" t="s">
        <v>26059</v>
      </c>
      <c r="L1239" s="10" t="s">
        <v>26060</v>
      </c>
    </row>
    <row r="1240">
      <c r="A1240" s="2" t="s">
        <v>32184</v>
      </c>
      <c r="B1240" s="2" t="s">
        <v>28601</v>
      </c>
      <c r="C1240" s="2">
        <v>2.3931601495E10</v>
      </c>
      <c r="D1240" s="2" t="s">
        <v>28602</v>
      </c>
      <c r="E1240" s="2">
        <v>13947.0</v>
      </c>
      <c r="F1240" s="2">
        <v>60.0</v>
      </c>
      <c r="G1240" s="2">
        <v>580.0</v>
      </c>
      <c r="H1240" s="2" t="s">
        <v>5905</v>
      </c>
      <c r="I1240" s="2" t="s">
        <v>5905</v>
      </c>
      <c r="J1240" s="2" t="s">
        <v>6166</v>
      </c>
      <c r="K1240" s="2" t="s">
        <v>28603</v>
      </c>
      <c r="L1240" s="10" t="s">
        <v>28604</v>
      </c>
    </row>
    <row r="1241">
      <c r="A1241" s="2" t="s">
        <v>32185</v>
      </c>
      <c r="B1241" s="2" t="s">
        <v>32186</v>
      </c>
      <c r="C1241" s="2">
        <v>8.09766985E9</v>
      </c>
      <c r="D1241" s="2" t="s">
        <v>32187</v>
      </c>
      <c r="E1241" s="2">
        <v>13512.0</v>
      </c>
      <c r="F1241" s="2">
        <v>422.0</v>
      </c>
      <c r="G1241" s="2">
        <v>72.0</v>
      </c>
      <c r="H1241" s="2" t="s">
        <v>5905</v>
      </c>
      <c r="I1241" s="2" t="s">
        <v>5906</v>
      </c>
      <c r="J1241" s="2" t="s">
        <v>7809</v>
      </c>
      <c r="K1241" s="2" t="s">
        <v>32188</v>
      </c>
    </row>
    <row r="1242">
      <c r="A1242" s="2" t="s">
        <v>32189</v>
      </c>
      <c r="B1242" s="2" t="s">
        <v>32190</v>
      </c>
      <c r="C1242" s="2">
        <v>2.879919369E9</v>
      </c>
      <c r="D1242" s="2" t="s">
        <v>32191</v>
      </c>
      <c r="E1242" s="2">
        <v>12224.0</v>
      </c>
      <c r="F1242" s="2">
        <v>1089.0</v>
      </c>
      <c r="G1242" s="2">
        <v>163.0</v>
      </c>
      <c r="H1242" s="2" t="s">
        <v>5905</v>
      </c>
      <c r="I1242" s="2" t="s">
        <v>5905</v>
      </c>
      <c r="J1242" s="2" t="s">
        <v>17753</v>
      </c>
      <c r="K1242" s="2" t="s">
        <v>32192</v>
      </c>
      <c r="L1242" s="10" t="s">
        <v>32193</v>
      </c>
    </row>
    <row r="1243">
      <c r="A1243" s="2" t="s">
        <v>32194</v>
      </c>
      <c r="B1243" s="2" t="s">
        <v>32195</v>
      </c>
      <c r="C1243" s="2">
        <v>3.71221387E8</v>
      </c>
      <c r="D1243" s="2" t="s">
        <v>32196</v>
      </c>
      <c r="E1243" s="2">
        <v>91358.0</v>
      </c>
      <c r="F1243" s="2">
        <v>753.0</v>
      </c>
      <c r="G1243" s="2">
        <v>2676.0</v>
      </c>
      <c r="H1243" s="2" t="s">
        <v>5906</v>
      </c>
      <c r="I1243" s="2" t="s">
        <v>5906</v>
      </c>
      <c r="J1243" s="2" t="s">
        <v>5492</v>
      </c>
      <c r="K1243" s="2" t="s">
        <v>32197</v>
      </c>
      <c r="L1243" s="10" t="s">
        <v>32198</v>
      </c>
    </row>
    <row r="1244">
      <c r="A1244" s="2" t="s">
        <v>32199</v>
      </c>
      <c r="B1244" s="2" t="s">
        <v>32200</v>
      </c>
      <c r="C1244" s="2">
        <v>3.62852035E9</v>
      </c>
      <c r="D1244" s="2" t="s">
        <v>32201</v>
      </c>
      <c r="E1244" s="2">
        <v>15281.0</v>
      </c>
      <c r="F1244" s="2">
        <v>410.0</v>
      </c>
      <c r="G1244" s="2">
        <v>868.0</v>
      </c>
      <c r="H1244" s="2" t="s">
        <v>5905</v>
      </c>
      <c r="I1244" s="2" t="s">
        <v>5906</v>
      </c>
      <c r="J1244" s="2" t="s">
        <v>5391</v>
      </c>
      <c r="K1244" s="2" t="s">
        <v>32202</v>
      </c>
      <c r="L1244" s="10" t="s">
        <v>32203</v>
      </c>
    </row>
    <row r="1245">
      <c r="A1245" s="2" t="s">
        <v>32204</v>
      </c>
      <c r="B1245" s="2" t="s">
        <v>32205</v>
      </c>
      <c r="C1245" s="2">
        <v>1.0505678164E10</v>
      </c>
      <c r="D1245" s="2" t="s">
        <v>32206</v>
      </c>
      <c r="E1245" s="2">
        <v>24542.0</v>
      </c>
      <c r="F1245" s="2">
        <v>292.0</v>
      </c>
      <c r="G1245" s="2">
        <v>1066.0</v>
      </c>
      <c r="H1245" s="2" t="s">
        <v>5906</v>
      </c>
      <c r="I1245" s="2" t="s">
        <v>5906</v>
      </c>
      <c r="J1245" s="2" t="s">
        <v>28099</v>
      </c>
      <c r="K1245" s="2" t="s">
        <v>32207</v>
      </c>
      <c r="L1245" s="10" t="s">
        <v>32208</v>
      </c>
    </row>
    <row r="1246">
      <c r="A1246" s="2" t="s">
        <v>32209</v>
      </c>
      <c r="B1246" s="2" t="s">
        <v>32210</v>
      </c>
      <c r="C1246" s="2">
        <v>1.1904523386E10</v>
      </c>
      <c r="D1246" s="2" t="s">
        <v>32211</v>
      </c>
      <c r="E1246" s="2">
        <v>10227.0</v>
      </c>
      <c r="F1246" s="2">
        <v>178.0</v>
      </c>
      <c r="G1246" s="2">
        <v>38.0</v>
      </c>
      <c r="H1246" s="2" t="s">
        <v>5905</v>
      </c>
      <c r="I1246" s="2" t="s">
        <v>5906</v>
      </c>
      <c r="J1246" s="2" t="s">
        <v>5959</v>
      </c>
      <c r="K1246" s="2" t="s">
        <v>32212</v>
      </c>
    </row>
    <row r="1247">
      <c r="A1247" s="2" t="s">
        <v>32213</v>
      </c>
      <c r="B1247" s="2" t="s">
        <v>32214</v>
      </c>
      <c r="C1247" s="2">
        <v>3.264042783E9</v>
      </c>
      <c r="D1247" s="2" t="s">
        <v>32215</v>
      </c>
      <c r="E1247" s="2">
        <v>19939.0</v>
      </c>
      <c r="F1247" s="2">
        <v>3673.0</v>
      </c>
      <c r="G1247" s="2">
        <v>2130.0</v>
      </c>
      <c r="H1247" s="2" t="s">
        <v>5905</v>
      </c>
      <c r="I1247" s="2" t="s">
        <v>5905</v>
      </c>
      <c r="J1247" s="2" t="s">
        <v>5993</v>
      </c>
      <c r="K1247" s="2" t="s">
        <v>32216</v>
      </c>
      <c r="L1247" s="10" t="s">
        <v>32217</v>
      </c>
    </row>
    <row r="1248">
      <c r="A1248" s="2" t="s">
        <v>32218</v>
      </c>
      <c r="B1248" s="2" t="s">
        <v>32219</v>
      </c>
      <c r="C1248" s="2">
        <v>2.63870548E8</v>
      </c>
      <c r="D1248" s="2" t="s">
        <v>32220</v>
      </c>
      <c r="E1248" s="2">
        <v>15268.0</v>
      </c>
      <c r="F1248" s="2">
        <v>4792.0</v>
      </c>
      <c r="G1248" s="2">
        <v>4272.0</v>
      </c>
      <c r="H1248" s="2" t="s">
        <v>5905</v>
      </c>
      <c r="I1248" s="2" t="s">
        <v>5905</v>
      </c>
      <c r="J1248" s="2" t="s">
        <v>11316</v>
      </c>
      <c r="K1248" s="2" t="s">
        <v>32221</v>
      </c>
      <c r="L1248" s="10" t="s">
        <v>32222</v>
      </c>
    </row>
    <row r="1249">
      <c r="A1249" s="2" t="s">
        <v>32223</v>
      </c>
      <c r="B1249" s="2" t="s">
        <v>32224</v>
      </c>
      <c r="C1249" s="2">
        <v>6.75508314E8</v>
      </c>
      <c r="D1249" s="2" t="s">
        <v>32225</v>
      </c>
      <c r="E1249" s="2">
        <v>11042.0</v>
      </c>
      <c r="F1249" s="2">
        <v>1778.0</v>
      </c>
      <c r="G1249" s="2">
        <v>276.0</v>
      </c>
      <c r="H1249" s="2" t="s">
        <v>5905</v>
      </c>
      <c r="I1249" s="2" t="s">
        <v>5906</v>
      </c>
      <c r="J1249" s="2" t="s">
        <v>5561</v>
      </c>
      <c r="K1249" s="2" t="s">
        <v>32226</v>
      </c>
      <c r="L1249" s="10" t="s">
        <v>32227</v>
      </c>
    </row>
    <row r="1250">
      <c r="A1250" s="2" t="s">
        <v>32228</v>
      </c>
      <c r="B1250" s="2" t="s">
        <v>32229</v>
      </c>
      <c r="C1250" s="2">
        <v>3.1082905E8</v>
      </c>
      <c r="D1250" s="2" t="s">
        <v>32230</v>
      </c>
      <c r="E1250" s="2">
        <v>17480.0</v>
      </c>
      <c r="F1250" s="2">
        <v>1098.0</v>
      </c>
      <c r="G1250" s="2">
        <v>142.0</v>
      </c>
      <c r="H1250" s="2" t="s">
        <v>5905</v>
      </c>
      <c r="I1250" s="2" t="s">
        <v>5905</v>
      </c>
      <c r="J1250" s="2" t="s">
        <v>14778</v>
      </c>
      <c r="K1250" s="2" t="s">
        <v>32231</v>
      </c>
    </row>
    <row r="1251">
      <c r="A1251" s="2" t="s">
        <v>32232</v>
      </c>
      <c r="B1251" s="2" t="s">
        <v>32233</v>
      </c>
      <c r="C1251" s="2">
        <v>7.16320275E8</v>
      </c>
      <c r="D1251" s="2" t="s">
        <v>32234</v>
      </c>
      <c r="E1251" s="2">
        <v>33432.0</v>
      </c>
      <c r="F1251" s="2">
        <v>205.0</v>
      </c>
      <c r="G1251" s="2">
        <v>190.0</v>
      </c>
      <c r="H1251" s="2" t="s">
        <v>5906</v>
      </c>
      <c r="I1251" s="2" t="s">
        <v>5905</v>
      </c>
      <c r="J1251" s="2" t="s">
        <v>6393</v>
      </c>
      <c r="K1251" s="2" t="s">
        <v>32235</v>
      </c>
      <c r="L1251" s="10" t="s">
        <v>32236</v>
      </c>
    </row>
    <row r="1252">
      <c r="A1252" s="2" t="s">
        <v>32237</v>
      </c>
      <c r="B1252" s="2" t="s">
        <v>32238</v>
      </c>
      <c r="C1252" s="2">
        <v>2.64311241E8</v>
      </c>
      <c r="D1252" s="10" t="s">
        <v>32239</v>
      </c>
      <c r="E1252" s="2">
        <v>68145.0</v>
      </c>
      <c r="F1252" s="2">
        <v>265.0</v>
      </c>
      <c r="G1252" s="2">
        <v>9732.0</v>
      </c>
      <c r="H1252" s="2" t="s">
        <v>5905</v>
      </c>
      <c r="I1252" s="2" t="s">
        <v>5906</v>
      </c>
      <c r="K1252" s="2" t="s">
        <v>32240</v>
      </c>
      <c r="L1252" s="10" t="s">
        <v>32241</v>
      </c>
    </row>
    <row r="1253">
      <c r="A1253" s="2" t="s">
        <v>32242</v>
      </c>
      <c r="B1253" s="2" t="s">
        <v>32243</v>
      </c>
      <c r="C1253" s="2">
        <v>2.4058286547E10</v>
      </c>
      <c r="D1253" s="2" t="s">
        <v>32244</v>
      </c>
      <c r="E1253" s="2">
        <v>17646.0</v>
      </c>
      <c r="F1253" s="2">
        <v>572.0</v>
      </c>
      <c r="G1253" s="2">
        <v>1645.0</v>
      </c>
      <c r="H1253" s="2" t="s">
        <v>5906</v>
      </c>
      <c r="I1253" s="2" t="s">
        <v>5905</v>
      </c>
      <c r="J1253" s="2" t="s">
        <v>5963</v>
      </c>
      <c r="K1253" s="2" t="s">
        <v>32245</v>
      </c>
      <c r="L1253" s="10" t="s">
        <v>32246</v>
      </c>
    </row>
    <row r="1254">
      <c r="A1254" s="2" t="s">
        <v>32247</v>
      </c>
      <c r="B1254" s="2" t="s">
        <v>32248</v>
      </c>
      <c r="C1254" s="2">
        <v>1.418896318E9</v>
      </c>
      <c r="D1254" s="2" t="s">
        <v>32249</v>
      </c>
      <c r="E1254" s="2">
        <v>37534.0</v>
      </c>
      <c r="F1254" s="2">
        <v>530.0</v>
      </c>
      <c r="G1254" s="2">
        <v>1313.0</v>
      </c>
      <c r="H1254" s="2" t="s">
        <v>5905</v>
      </c>
      <c r="I1254" s="2" t="s">
        <v>5906</v>
      </c>
      <c r="J1254" s="2" t="s">
        <v>27384</v>
      </c>
      <c r="K1254" s="2" t="s">
        <v>32250</v>
      </c>
      <c r="L1254" s="10" t="s">
        <v>32251</v>
      </c>
    </row>
    <row r="1255">
      <c r="A1255" s="2" t="s">
        <v>32252</v>
      </c>
      <c r="B1255" s="2" t="s">
        <v>32253</v>
      </c>
      <c r="C1255" s="2">
        <v>6.2492271132E10</v>
      </c>
      <c r="D1255" s="12" t="s">
        <v>32254</v>
      </c>
      <c r="E1255" s="2">
        <v>13306.0</v>
      </c>
      <c r="F1255" s="2">
        <v>2.0</v>
      </c>
      <c r="G1255" s="2">
        <v>103.0</v>
      </c>
      <c r="H1255" s="2" t="s">
        <v>5905</v>
      </c>
      <c r="I1255" s="2" t="s">
        <v>5906</v>
      </c>
      <c r="J1255" s="2" t="s">
        <v>5963</v>
      </c>
      <c r="L1255" s="10" t="s">
        <v>32255</v>
      </c>
    </row>
    <row r="1256">
      <c r="A1256" s="2" t="s">
        <v>32256</v>
      </c>
      <c r="B1256" s="2" t="s">
        <v>32257</v>
      </c>
      <c r="C1256" s="2">
        <v>2.898754198E9</v>
      </c>
      <c r="D1256" s="2" t="s">
        <v>32258</v>
      </c>
      <c r="E1256" s="2">
        <v>27618.0</v>
      </c>
      <c r="F1256" s="2">
        <v>2707.0</v>
      </c>
      <c r="G1256" s="2">
        <v>1246.0</v>
      </c>
      <c r="H1256" s="2" t="s">
        <v>5905</v>
      </c>
      <c r="I1256" s="2" t="s">
        <v>5906</v>
      </c>
      <c r="J1256" s="2" t="s">
        <v>12030</v>
      </c>
      <c r="K1256" s="2" t="s">
        <v>32259</v>
      </c>
      <c r="L1256" s="10" t="s">
        <v>32260</v>
      </c>
    </row>
    <row r="1257">
      <c r="A1257" s="2" t="s">
        <v>32261</v>
      </c>
      <c r="B1257" s="2" t="s">
        <v>32262</v>
      </c>
      <c r="C1257" s="2">
        <v>999754.0</v>
      </c>
      <c r="D1257" s="2" t="s">
        <v>32263</v>
      </c>
      <c r="E1257" s="2">
        <v>16881.0</v>
      </c>
      <c r="F1257" s="2">
        <v>1695.0</v>
      </c>
      <c r="G1257" s="2">
        <v>124.0</v>
      </c>
      <c r="H1257" s="2" t="s">
        <v>5906</v>
      </c>
      <c r="I1257" s="2" t="s">
        <v>5905</v>
      </c>
      <c r="J1257" s="2" t="s">
        <v>5492</v>
      </c>
      <c r="K1257" s="2" t="s">
        <v>32264</v>
      </c>
    </row>
    <row r="1258">
      <c r="A1258" s="2" t="s">
        <v>32261</v>
      </c>
      <c r="B1258" s="2" t="s">
        <v>31971</v>
      </c>
      <c r="C1258" s="2">
        <v>1.455828484E9</v>
      </c>
      <c r="D1258" s="2" t="s">
        <v>31972</v>
      </c>
      <c r="E1258" s="2">
        <v>188525.0</v>
      </c>
      <c r="F1258" s="2">
        <v>1080.0</v>
      </c>
      <c r="G1258" s="2">
        <v>120.0</v>
      </c>
      <c r="H1258" s="2" t="s">
        <v>5906</v>
      </c>
      <c r="I1258" s="2" t="s">
        <v>5905</v>
      </c>
      <c r="J1258" s="2" t="s">
        <v>5391</v>
      </c>
      <c r="K1258" s="2" t="s">
        <v>31973</v>
      </c>
      <c r="L1258" s="10" t="s">
        <v>31974</v>
      </c>
    </row>
    <row r="1259">
      <c r="A1259" s="2" t="s">
        <v>32265</v>
      </c>
      <c r="B1259" s="2" t="s">
        <v>32266</v>
      </c>
      <c r="C1259" s="2">
        <v>4.4912010325E10</v>
      </c>
      <c r="D1259" s="2" t="s">
        <v>32267</v>
      </c>
      <c r="E1259" s="2">
        <v>14165.0</v>
      </c>
      <c r="F1259" s="2">
        <v>187.0</v>
      </c>
      <c r="G1259" s="2">
        <v>373.0</v>
      </c>
      <c r="H1259" s="2" t="s">
        <v>5905</v>
      </c>
      <c r="I1259" s="2" t="s">
        <v>5905</v>
      </c>
      <c r="J1259" s="2" t="s">
        <v>5963</v>
      </c>
      <c r="K1259" s="2" t="s">
        <v>32268</v>
      </c>
      <c r="L1259" s="10" t="s">
        <v>32269</v>
      </c>
    </row>
    <row r="1260">
      <c r="A1260" s="2" t="s">
        <v>32270</v>
      </c>
      <c r="B1260" s="2" t="s">
        <v>32271</v>
      </c>
      <c r="C1260" s="2">
        <v>1.32690187E10</v>
      </c>
      <c r="D1260" s="2" t="s">
        <v>32272</v>
      </c>
      <c r="E1260" s="2">
        <v>33757.0</v>
      </c>
      <c r="F1260" s="2">
        <v>786.0</v>
      </c>
      <c r="G1260" s="2">
        <v>1230.0</v>
      </c>
      <c r="H1260" s="2" t="s">
        <v>5905</v>
      </c>
      <c r="I1260" s="2" t="s">
        <v>5905</v>
      </c>
      <c r="J1260" s="2" t="s">
        <v>5492</v>
      </c>
      <c r="K1260" s="2" t="s">
        <v>32273</v>
      </c>
    </row>
    <row r="1261">
      <c r="A1261" s="2" t="s">
        <v>32274</v>
      </c>
      <c r="B1261" s="10" t="s">
        <v>28592</v>
      </c>
      <c r="C1261" s="2">
        <v>1.0423295356E10</v>
      </c>
      <c r="D1261" s="2" t="s">
        <v>28593</v>
      </c>
      <c r="E1261" s="2">
        <v>10429.0</v>
      </c>
      <c r="F1261" s="2">
        <v>1614.0</v>
      </c>
      <c r="G1261" s="2">
        <v>463.0</v>
      </c>
      <c r="H1261" s="2" t="s">
        <v>5905</v>
      </c>
      <c r="I1261" s="2" t="s">
        <v>5906</v>
      </c>
      <c r="J1261" s="2" t="s">
        <v>5963</v>
      </c>
      <c r="K1261" s="2" t="s">
        <v>28594</v>
      </c>
      <c r="L1261" s="10" t="s">
        <v>28595</v>
      </c>
    </row>
    <row r="1262">
      <c r="A1262" s="2" t="s">
        <v>32274</v>
      </c>
      <c r="B1262" s="2" t="s">
        <v>28596</v>
      </c>
      <c r="C1262" s="2">
        <v>3.616441964E9</v>
      </c>
      <c r="D1262" s="2" t="s">
        <v>28597</v>
      </c>
      <c r="E1262" s="2">
        <v>17762.0</v>
      </c>
      <c r="F1262" s="2">
        <v>1890.0</v>
      </c>
      <c r="G1262" s="2">
        <v>434.0</v>
      </c>
      <c r="H1262" s="2" t="s">
        <v>5905</v>
      </c>
      <c r="I1262" s="2" t="s">
        <v>5905</v>
      </c>
      <c r="K1262" s="2" t="s">
        <v>28598</v>
      </c>
      <c r="L1262" s="10" t="s">
        <v>28599</v>
      </c>
    </row>
    <row r="1263">
      <c r="A1263" s="2" t="s">
        <v>32275</v>
      </c>
      <c r="B1263" s="2" t="s">
        <v>32276</v>
      </c>
      <c r="C1263" s="2">
        <v>2.120353129E9</v>
      </c>
      <c r="D1263" s="2" t="s">
        <v>32277</v>
      </c>
      <c r="E1263" s="2">
        <v>11590.0</v>
      </c>
      <c r="F1263" s="2">
        <v>885.0</v>
      </c>
      <c r="G1263" s="2">
        <v>238.0</v>
      </c>
      <c r="H1263" s="2" t="s">
        <v>5906</v>
      </c>
      <c r="I1263" s="2" t="s">
        <v>5905</v>
      </c>
      <c r="J1263" s="2" t="s">
        <v>17753</v>
      </c>
      <c r="K1263" s="2" t="s">
        <v>32278</v>
      </c>
      <c r="L1263" s="10" t="s">
        <v>32279</v>
      </c>
    </row>
    <row r="1264">
      <c r="A1264" s="2" t="s">
        <v>32280</v>
      </c>
      <c r="B1264" s="2" t="s">
        <v>32281</v>
      </c>
      <c r="C1264" s="2">
        <v>9.152804896E9</v>
      </c>
      <c r="D1264" s="2" t="s">
        <v>32282</v>
      </c>
      <c r="E1264" s="2">
        <v>11369.0</v>
      </c>
      <c r="F1264" s="2">
        <v>29.0</v>
      </c>
      <c r="G1264" s="2">
        <v>49.0</v>
      </c>
      <c r="H1264" s="2" t="s">
        <v>5905</v>
      </c>
      <c r="I1264" s="2" t="s">
        <v>5906</v>
      </c>
      <c r="J1264" s="2" t="s">
        <v>7931</v>
      </c>
      <c r="K1264" s="2" t="s">
        <v>32283</v>
      </c>
      <c r="L1264" s="10" t="s">
        <v>32284</v>
      </c>
    </row>
    <row r="1265">
      <c r="A1265" s="2" t="s">
        <v>32285</v>
      </c>
      <c r="B1265" s="2" t="s">
        <v>32286</v>
      </c>
      <c r="C1265" s="2">
        <v>4.2041771493E10</v>
      </c>
      <c r="D1265" s="2" t="s">
        <v>32287</v>
      </c>
      <c r="E1265" s="2">
        <v>12587.0</v>
      </c>
      <c r="F1265" s="2">
        <v>168.0</v>
      </c>
      <c r="G1265" s="2">
        <v>133.0</v>
      </c>
      <c r="H1265" s="2" t="s">
        <v>5905</v>
      </c>
      <c r="I1265" s="2" t="s">
        <v>5905</v>
      </c>
      <c r="J1265" s="2" t="s">
        <v>14778</v>
      </c>
      <c r="K1265" s="2" t="s">
        <v>32288</v>
      </c>
    </row>
    <row r="1266">
      <c r="A1266" s="2" t="s">
        <v>32289</v>
      </c>
      <c r="B1266" s="2" t="s">
        <v>32229</v>
      </c>
      <c r="C1266" s="2">
        <v>3.1082905E8</v>
      </c>
      <c r="D1266" s="2" t="s">
        <v>32230</v>
      </c>
      <c r="E1266" s="2">
        <v>17480.0</v>
      </c>
      <c r="F1266" s="2">
        <v>1098.0</v>
      </c>
      <c r="G1266" s="2">
        <v>142.0</v>
      </c>
      <c r="H1266" s="2" t="s">
        <v>5905</v>
      </c>
      <c r="I1266" s="2" t="s">
        <v>5905</v>
      </c>
      <c r="J1266" s="2" t="s">
        <v>14778</v>
      </c>
      <c r="K1266" s="2" t="s">
        <v>32231</v>
      </c>
    </row>
    <row r="1267">
      <c r="A1267" s="2" t="s">
        <v>32290</v>
      </c>
      <c r="B1267" s="2" t="s">
        <v>32291</v>
      </c>
      <c r="C1267" s="2">
        <v>7.4520443754E10</v>
      </c>
      <c r="D1267" s="2" t="s">
        <v>32292</v>
      </c>
      <c r="E1267" s="2">
        <v>10282.0</v>
      </c>
      <c r="F1267" s="2">
        <v>5.0</v>
      </c>
      <c r="G1267" s="2">
        <v>16.0</v>
      </c>
      <c r="H1267" s="2" t="s">
        <v>5905</v>
      </c>
      <c r="I1267" s="2" t="s">
        <v>5906</v>
      </c>
      <c r="J1267" s="2" t="s">
        <v>12030</v>
      </c>
      <c r="K1267" s="12" t="s">
        <v>32293</v>
      </c>
    </row>
    <row r="1268">
      <c r="A1268" s="2" t="s">
        <v>32294</v>
      </c>
      <c r="B1268" s="2" t="s">
        <v>32295</v>
      </c>
      <c r="C1268" s="2">
        <v>3.040217651E9</v>
      </c>
      <c r="D1268" s="2" t="s">
        <v>32296</v>
      </c>
      <c r="E1268" s="2">
        <v>31940.0</v>
      </c>
      <c r="F1268" s="2">
        <v>564.0</v>
      </c>
      <c r="G1268" s="2">
        <v>2256.0</v>
      </c>
      <c r="H1268" s="2" t="s">
        <v>5905</v>
      </c>
      <c r="I1268" s="2" t="s">
        <v>5906</v>
      </c>
      <c r="J1268" s="2" t="s">
        <v>7669</v>
      </c>
      <c r="K1268" s="2" t="s">
        <v>32297</v>
      </c>
      <c r="L1268" s="10" t="s">
        <v>32298</v>
      </c>
    </row>
    <row r="1269">
      <c r="A1269" s="2" t="s">
        <v>32299</v>
      </c>
      <c r="B1269" s="2" t="s">
        <v>28421</v>
      </c>
      <c r="C1269" s="2">
        <v>1.095311725E9</v>
      </c>
      <c r="D1269" s="2" t="s">
        <v>28422</v>
      </c>
      <c r="E1269" s="2">
        <v>11237.0</v>
      </c>
      <c r="F1269" s="2">
        <v>212.0</v>
      </c>
      <c r="G1269" s="2">
        <v>1260.0</v>
      </c>
      <c r="H1269" s="2" t="s">
        <v>5906</v>
      </c>
      <c r="I1269" s="2" t="s">
        <v>5906</v>
      </c>
      <c r="J1269" s="2" t="s">
        <v>5993</v>
      </c>
      <c r="K1269" s="2" t="s">
        <v>28423</v>
      </c>
      <c r="L1269" s="10" t="s">
        <v>28424</v>
      </c>
    </row>
    <row r="1270">
      <c r="A1270" s="2" t="s">
        <v>32299</v>
      </c>
      <c r="B1270" s="2" t="s">
        <v>32300</v>
      </c>
      <c r="C1270" s="2">
        <v>6.26153376E8</v>
      </c>
      <c r="D1270" s="2" t="s">
        <v>32301</v>
      </c>
      <c r="E1270" s="2">
        <v>40264.0</v>
      </c>
      <c r="F1270" s="2">
        <v>1.0</v>
      </c>
      <c r="G1270" s="2">
        <v>84.0</v>
      </c>
      <c r="H1270" s="2" t="s">
        <v>5905</v>
      </c>
      <c r="I1270" s="2" t="s">
        <v>5906</v>
      </c>
      <c r="J1270" s="2" t="s">
        <v>6166</v>
      </c>
      <c r="K1270" s="2" t="s">
        <v>32302</v>
      </c>
      <c r="L1270" s="10" t="s">
        <v>32303</v>
      </c>
    </row>
    <row r="1271">
      <c r="A1271" s="2" t="s">
        <v>32299</v>
      </c>
      <c r="B1271" s="2" t="s">
        <v>28425</v>
      </c>
      <c r="C1271" s="2">
        <v>3.026082515E9</v>
      </c>
      <c r="D1271" s="2" t="s">
        <v>28426</v>
      </c>
      <c r="E1271" s="2">
        <v>53092.0</v>
      </c>
      <c r="F1271" s="2">
        <v>1782.0</v>
      </c>
      <c r="G1271" s="2">
        <v>2442.0</v>
      </c>
      <c r="H1271" s="2" t="s">
        <v>5906</v>
      </c>
      <c r="I1271" s="2" t="s">
        <v>5905</v>
      </c>
      <c r="J1271" s="2" t="s">
        <v>5963</v>
      </c>
      <c r="K1271" s="2" t="s">
        <v>28427</v>
      </c>
      <c r="L1271" s="10" t="s">
        <v>28428</v>
      </c>
    </row>
  </sheetData>
  <hyperlinks>
    <hyperlink r:id="rId1" ref="L2"/>
    <hyperlink r:id="rId2" ref="L4"/>
    <hyperlink r:id="rId3" ref="L5"/>
    <hyperlink r:id="rId4" ref="L6"/>
    <hyperlink r:id="rId5" ref="L7"/>
    <hyperlink r:id="rId6" ref="L8"/>
    <hyperlink r:id="rId7" ref="L9"/>
    <hyperlink r:id="rId8" ref="L11"/>
    <hyperlink r:id="rId9" ref="L13"/>
    <hyperlink r:id="rId10" ref="L14"/>
    <hyperlink r:id="rId11" ref="L16"/>
    <hyperlink r:id="rId12" ref="L19"/>
    <hyperlink r:id="rId13" ref="L20"/>
    <hyperlink r:id="rId14" ref="L22"/>
    <hyperlink r:id="rId15" ref="L24"/>
    <hyperlink r:id="rId16" ref="L25"/>
    <hyperlink r:id="rId17" ref="L26"/>
    <hyperlink r:id="rId18" ref="L27"/>
    <hyperlink r:id="rId19" ref="L28"/>
    <hyperlink r:id="rId20" ref="L31"/>
    <hyperlink r:id="rId21" ref="L33"/>
    <hyperlink r:id="rId22" ref="L34"/>
    <hyperlink r:id="rId23" ref="L36"/>
    <hyperlink r:id="rId24" ref="L37"/>
    <hyperlink r:id="rId25" ref="L38"/>
    <hyperlink r:id="rId26" ref="L40"/>
    <hyperlink r:id="rId27" ref="L41"/>
    <hyperlink r:id="rId28" ref="L42"/>
    <hyperlink r:id="rId29" ref="L44"/>
    <hyperlink r:id="rId30" ref="L45"/>
    <hyperlink r:id="rId31" ref="L46"/>
    <hyperlink r:id="rId32" ref="L47"/>
    <hyperlink r:id="rId33" ref="L48"/>
    <hyperlink r:id="rId34" ref="L49"/>
    <hyperlink r:id="rId35" ref="L50"/>
    <hyperlink r:id="rId36" ref="L53"/>
    <hyperlink r:id="rId37" ref="L54"/>
    <hyperlink r:id="rId38" ref="L55"/>
    <hyperlink r:id="rId39" ref="L56"/>
    <hyperlink r:id="rId40" ref="L57"/>
    <hyperlink r:id="rId41" ref="L58"/>
    <hyperlink r:id="rId42" ref="B59"/>
    <hyperlink r:id="rId43" ref="L59"/>
    <hyperlink r:id="rId44" ref="B60"/>
    <hyperlink r:id="rId45" ref="L60"/>
    <hyperlink r:id="rId46" ref="L61"/>
    <hyperlink r:id="rId47" ref="L63"/>
    <hyperlink r:id="rId48" ref="L64"/>
    <hyperlink r:id="rId49" ref="L65"/>
    <hyperlink r:id="rId50" ref="L66"/>
    <hyperlink r:id="rId51" ref="L69"/>
    <hyperlink r:id="rId52" ref="L71"/>
    <hyperlink r:id="rId53" ref="L72"/>
    <hyperlink r:id="rId54" ref="L73"/>
    <hyperlink r:id="rId55" ref="L74"/>
    <hyperlink r:id="rId56" ref="L77"/>
    <hyperlink r:id="rId57" ref="L78"/>
    <hyperlink r:id="rId58" ref="L79"/>
    <hyperlink r:id="rId59" ref="L81"/>
    <hyperlink r:id="rId60" ref="L82"/>
    <hyperlink r:id="rId61" ref="L83"/>
    <hyperlink r:id="rId62" ref="L84"/>
    <hyperlink r:id="rId63" ref="L86"/>
    <hyperlink r:id="rId64" ref="L87"/>
    <hyperlink r:id="rId65" ref="L88"/>
    <hyperlink r:id="rId66" ref="L89"/>
    <hyperlink r:id="rId67" ref="L90"/>
    <hyperlink r:id="rId68" ref="B91"/>
    <hyperlink r:id="rId69" ref="L91"/>
    <hyperlink r:id="rId70" ref="L92"/>
    <hyperlink r:id="rId71" ref="L93"/>
    <hyperlink r:id="rId72" ref="L94"/>
    <hyperlink r:id="rId73" ref="L95"/>
    <hyperlink r:id="rId74" ref="L96"/>
    <hyperlink r:id="rId75" ref="L98"/>
    <hyperlink r:id="rId76" ref="L99"/>
    <hyperlink r:id="rId77" ref="L100"/>
    <hyperlink r:id="rId78" ref="L101"/>
    <hyperlink r:id="rId79" ref="L103"/>
    <hyperlink r:id="rId80" ref="L104"/>
    <hyperlink r:id="rId81" ref="L105"/>
    <hyperlink r:id="rId82" ref="L106"/>
    <hyperlink r:id="rId83" ref="L107"/>
    <hyperlink r:id="rId84" ref="L108"/>
    <hyperlink r:id="rId85" ref="L109"/>
    <hyperlink r:id="rId86" ref="L110"/>
    <hyperlink r:id="rId87" ref="L111"/>
    <hyperlink r:id="rId88" ref="L112"/>
    <hyperlink r:id="rId89" ref="L113"/>
    <hyperlink r:id="rId90" ref="B114"/>
    <hyperlink r:id="rId91" ref="L114"/>
    <hyperlink r:id="rId92" ref="L115"/>
    <hyperlink r:id="rId93" ref="L116"/>
    <hyperlink r:id="rId94" ref="L117"/>
    <hyperlink r:id="rId95" ref="L118"/>
    <hyperlink r:id="rId96" ref="L119"/>
    <hyperlink r:id="rId97" ref="L120"/>
    <hyperlink r:id="rId98" ref="L121"/>
    <hyperlink r:id="rId99" ref="L122"/>
    <hyperlink r:id="rId100" ref="L123"/>
    <hyperlink r:id="rId101" ref="L124"/>
    <hyperlink r:id="rId102" ref="L126"/>
    <hyperlink r:id="rId103" ref="L127"/>
    <hyperlink r:id="rId104" ref="L128"/>
    <hyperlink r:id="rId105" ref="L129"/>
    <hyperlink r:id="rId106" ref="L131"/>
    <hyperlink r:id="rId107" ref="L132"/>
    <hyperlink r:id="rId108" ref="L133"/>
    <hyperlink r:id="rId109" ref="L134"/>
    <hyperlink r:id="rId110" ref="L135"/>
    <hyperlink r:id="rId111" ref="L136"/>
    <hyperlink r:id="rId112" ref="L137"/>
    <hyperlink r:id="rId113" ref="L138"/>
    <hyperlink r:id="rId114" ref="L139"/>
    <hyperlink r:id="rId115" ref="L140"/>
    <hyperlink r:id="rId116" ref="L141"/>
    <hyperlink r:id="rId117" ref="L143"/>
    <hyperlink r:id="rId118" ref="L144"/>
    <hyperlink r:id="rId119" ref="L145"/>
    <hyperlink r:id="rId120" ref="L146"/>
    <hyperlink r:id="rId121" ref="L147"/>
    <hyperlink r:id="rId122" ref="L148"/>
    <hyperlink r:id="rId123" ref="L149"/>
    <hyperlink r:id="rId124" ref="L150"/>
    <hyperlink r:id="rId125" ref="B152"/>
    <hyperlink r:id="rId126" ref="L152"/>
    <hyperlink r:id="rId127" ref="L153"/>
    <hyperlink r:id="rId128" ref="L157"/>
    <hyperlink r:id="rId129" ref="L158"/>
    <hyperlink r:id="rId130" ref="L159"/>
    <hyperlink r:id="rId131" ref="L160"/>
    <hyperlink r:id="rId132" ref="B161"/>
    <hyperlink r:id="rId133" ref="L161"/>
    <hyperlink r:id="rId134" ref="L162"/>
    <hyperlink r:id="rId135" ref="L163"/>
    <hyperlink r:id="rId136" ref="L164"/>
    <hyperlink r:id="rId137" ref="L166"/>
    <hyperlink r:id="rId138" ref="L167"/>
    <hyperlink r:id="rId139" ref="L169"/>
    <hyperlink r:id="rId140" ref="L170"/>
    <hyperlink r:id="rId141" ref="L171"/>
    <hyperlink r:id="rId142" ref="L172"/>
    <hyperlink r:id="rId143" ref="L175"/>
    <hyperlink r:id="rId144" ref="L176"/>
    <hyperlink r:id="rId145" ref="L177"/>
    <hyperlink r:id="rId146" ref="L178"/>
    <hyperlink r:id="rId147" ref="L179"/>
    <hyperlink r:id="rId148" ref="L180"/>
    <hyperlink r:id="rId149" ref="L181"/>
    <hyperlink r:id="rId150" ref="L183"/>
    <hyperlink r:id="rId151" ref="L184"/>
    <hyperlink r:id="rId152" ref="L186"/>
    <hyperlink r:id="rId153" ref="B187"/>
    <hyperlink r:id="rId154" ref="L187"/>
    <hyperlink r:id="rId155" ref="L188"/>
    <hyperlink r:id="rId156" ref="L189"/>
    <hyperlink r:id="rId157" ref="L191"/>
    <hyperlink r:id="rId158" ref="B192"/>
    <hyperlink r:id="rId159" ref="L194"/>
    <hyperlink r:id="rId160" ref="L195"/>
    <hyperlink r:id="rId161" ref="L197"/>
    <hyperlink r:id="rId162" ref="L198"/>
    <hyperlink r:id="rId163" ref="L199"/>
    <hyperlink r:id="rId164" ref="L200"/>
    <hyperlink r:id="rId165" ref="L201"/>
    <hyperlink r:id="rId166" ref="L202"/>
    <hyperlink r:id="rId167" ref="L204"/>
    <hyperlink r:id="rId168" ref="L205"/>
    <hyperlink r:id="rId169" ref="L206"/>
    <hyperlink r:id="rId170" ref="L207"/>
    <hyperlink r:id="rId171" ref="L208"/>
    <hyperlink r:id="rId172" ref="L209"/>
    <hyperlink r:id="rId173" ref="B210"/>
    <hyperlink r:id="rId174" ref="L211"/>
    <hyperlink r:id="rId175" ref="L212"/>
    <hyperlink r:id="rId176" ref="L213"/>
    <hyperlink r:id="rId177" ref="L215"/>
    <hyperlink r:id="rId178" ref="L218"/>
    <hyperlink r:id="rId179" ref="L219"/>
    <hyperlink r:id="rId180" ref="L220"/>
    <hyperlink r:id="rId181" ref="L221"/>
    <hyperlink r:id="rId182" ref="L223"/>
    <hyperlink r:id="rId183" ref="L225"/>
    <hyperlink r:id="rId184" ref="L226"/>
    <hyperlink r:id="rId185" ref="L227"/>
    <hyperlink r:id="rId186" ref="L228"/>
    <hyperlink r:id="rId187" ref="L229"/>
    <hyperlink r:id="rId188" ref="L230"/>
    <hyperlink r:id="rId189" ref="L235"/>
    <hyperlink r:id="rId190" ref="L237"/>
    <hyperlink r:id="rId191" ref="L238"/>
    <hyperlink r:id="rId192" ref="L239"/>
    <hyperlink r:id="rId193" ref="L240"/>
    <hyperlink r:id="rId194" ref="L242"/>
    <hyperlink r:id="rId195" ref="L243"/>
    <hyperlink r:id="rId196" ref="L245"/>
    <hyperlink r:id="rId197" ref="L249"/>
    <hyperlink r:id="rId198" ref="L250"/>
    <hyperlink r:id="rId199" ref="L251"/>
    <hyperlink r:id="rId200" ref="L252"/>
    <hyperlink r:id="rId201" ref="L253"/>
    <hyperlink r:id="rId202" ref="L254"/>
    <hyperlink r:id="rId203" ref="L255"/>
    <hyperlink r:id="rId204" ref="B256"/>
    <hyperlink r:id="rId205" ref="L256"/>
    <hyperlink r:id="rId206" ref="B257"/>
    <hyperlink r:id="rId207" ref="L257"/>
    <hyperlink r:id="rId208" ref="L258"/>
    <hyperlink r:id="rId209" ref="L259"/>
    <hyperlink r:id="rId210" ref="B260"/>
    <hyperlink r:id="rId211" ref="L260"/>
    <hyperlink r:id="rId212" ref="L262"/>
    <hyperlink r:id="rId213" ref="L263"/>
    <hyperlink r:id="rId214" ref="L264"/>
    <hyperlink r:id="rId215" ref="B271"/>
    <hyperlink r:id="rId216" ref="L271"/>
    <hyperlink r:id="rId217" ref="L272"/>
    <hyperlink r:id="rId218" ref="L273"/>
    <hyperlink r:id="rId219" ref="L274"/>
    <hyperlink r:id="rId220" ref="L276"/>
    <hyperlink r:id="rId221" ref="L277"/>
    <hyperlink r:id="rId222" ref="B278"/>
    <hyperlink r:id="rId223" ref="L280"/>
    <hyperlink r:id="rId224" ref="L283"/>
    <hyperlink r:id="rId225" ref="L284"/>
    <hyperlink r:id="rId226" ref="L285"/>
    <hyperlink r:id="rId227" ref="L286"/>
    <hyperlink r:id="rId228" ref="L287"/>
    <hyperlink r:id="rId229" ref="L288"/>
    <hyperlink r:id="rId230" ref="L289"/>
    <hyperlink r:id="rId231" ref="L290"/>
    <hyperlink r:id="rId232" ref="L291"/>
    <hyperlink r:id="rId233" ref="L292"/>
    <hyperlink r:id="rId234" ref="L293"/>
    <hyperlink r:id="rId235" ref="L294"/>
    <hyperlink r:id="rId236" ref="L295"/>
    <hyperlink r:id="rId237" ref="L297"/>
    <hyperlink r:id="rId238" ref="L298"/>
    <hyperlink r:id="rId239" ref="L301"/>
    <hyperlink r:id="rId240" ref="L302"/>
    <hyperlink r:id="rId241" ref="L303"/>
    <hyperlink r:id="rId242" ref="L304"/>
    <hyperlink r:id="rId243" ref="L305"/>
    <hyperlink r:id="rId244" ref="L307"/>
    <hyperlink r:id="rId245" ref="L308"/>
    <hyperlink r:id="rId246" ref="L310"/>
    <hyperlink r:id="rId247" ref="L311"/>
    <hyperlink r:id="rId248" ref="L312"/>
    <hyperlink r:id="rId249" ref="L313"/>
    <hyperlink r:id="rId250" ref="L314"/>
    <hyperlink r:id="rId251" ref="B315"/>
    <hyperlink r:id="rId252" ref="L315"/>
    <hyperlink r:id="rId253" ref="L316"/>
    <hyperlink r:id="rId254" ref="L317"/>
    <hyperlink r:id="rId255" ref="L318"/>
    <hyperlink r:id="rId256" ref="L319"/>
    <hyperlink r:id="rId257" ref="L320"/>
    <hyperlink r:id="rId258" ref="L321"/>
    <hyperlink r:id="rId259" ref="L326"/>
    <hyperlink r:id="rId260" ref="L327"/>
    <hyperlink r:id="rId261" ref="L328"/>
    <hyperlink r:id="rId262" ref="L331"/>
    <hyperlink r:id="rId263" ref="L332"/>
    <hyperlink r:id="rId264" ref="L333"/>
    <hyperlink r:id="rId265" ref="L334"/>
    <hyperlink r:id="rId266" ref="L336"/>
    <hyperlink r:id="rId267" ref="L337"/>
    <hyperlink r:id="rId268" ref="L338"/>
    <hyperlink r:id="rId269" ref="L341"/>
    <hyperlink r:id="rId270" ref="L342"/>
    <hyperlink r:id="rId271" ref="L344"/>
    <hyperlink r:id="rId272" ref="L347"/>
    <hyperlink r:id="rId273" ref="L349"/>
    <hyperlink r:id="rId274" ref="L350"/>
    <hyperlink r:id="rId275" ref="L352"/>
    <hyperlink r:id="rId276" ref="L354"/>
    <hyperlink r:id="rId277" ref="L356"/>
    <hyperlink r:id="rId278" ref="L357"/>
    <hyperlink r:id="rId279" ref="L358"/>
    <hyperlink r:id="rId280" ref="L359"/>
    <hyperlink r:id="rId281" ref="L363"/>
    <hyperlink r:id="rId282" ref="L364"/>
    <hyperlink r:id="rId283" ref="L368"/>
    <hyperlink r:id="rId284" ref="L369"/>
    <hyperlink r:id="rId285" ref="L372"/>
    <hyperlink r:id="rId286" ref="L373"/>
    <hyperlink r:id="rId287" ref="B374"/>
    <hyperlink r:id="rId288" ref="L374"/>
    <hyperlink r:id="rId289" ref="L376"/>
    <hyperlink r:id="rId290" ref="L378"/>
    <hyperlink r:id="rId291" ref="L381"/>
    <hyperlink r:id="rId292" ref="L382"/>
    <hyperlink r:id="rId293" ref="L383"/>
    <hyperlink r:id="rId294" ref="L384"/>
    <hyperlink r:id="rId295" ref="L386"/>
    <hyperlink r:id="rId296" ref="L388"/>
    <hyperlink r:id="rId297" ref="L391"/>
    <hyperlink r:id="rId298" ref="L392"/>
    <hyperlink r:id="rId299" ref="L393"/>
    <hyperlink r:id="rId300" ref="L394"/>
    <hyperlink r:id="rId301" ref="L395"/>
    <hyperlink r:id="rId302" ref="L396"/>
    <hyperlink r:id="rId303" ref="L397"/>
    <hyperlink r:id="rId304" ref="L399"/>
    <hyperlink r:id="rId305" ref="L400"/>
    <hyperlink r:id="rId306" ref="L402"/>
    <hyperlink r:id="rId307" ref="L405"/>
    <hyperlink r:id="rId308" ref="L406"/>
    <hyperlink r:id="rId309" ref="L408"/>
    <hyperlink r:id="rId310" ref="L410"/>
    <hyperlink r:id="rId311" ref="L411"/>
    <hyperlink r:id="rId312" ref="L412"/>
    <hyperlink r:id="rId313" ref="L413"/>
    <hyperlink r:id="rId314" ref="L415"/>
    <hyperlink r:id="rId315" ref="L418"/>
    <hyperlink r:id="rId316" ref="L422"/>
    <hyperlink r:id="rId317" ref="L423"/>
    <hyperlink r:id="rId318" ref="L424"/>
    <hyperlink r:id="rId319" ref="L425"/>
    <hyperlink r:id="rId320" ref="L426"/>
    <hyperlink r:id="rId321" ref="L427"/>
    <hyperlink r:id="rId322" ref="L428"/>
    <hyperlink r:id="rId323" ref="L431"/>
    <hyperlink r:id="rId324" ref="L432"/>
    <hyperlink r:id="rId325" ref="L436"/>
    <hyperlink r:id="rId326" ref="L439"/>
    <hyperlink r:id="rId327" ref="B440"/>
    <hyperlink r:id="rId328" ref="L442"/>
    <hyperlink r:id="rId329" ref="L445"/>
    <hyperlink r:id="rId330" ref="L450"/>
    <hyperlink r:id="rId331" ref="L452"/>
    <hyperlink r:id="rId332" ref="L453"/>
    <hyperlink r:id="rId333" ref="L454"/>
    <hyperlink r:id="rId334" ref="L459"/>
    <hyperlink r:id="rId335" ref="L461"/>
    <hyperlink r:id="rId336" ref="L462"/>
    <hyperlink r:id="rId337" ref="L464"/>
    <hyperlink r:id="rId338" ref="L465"/>
    <hyperlink r:id="rId339" ref="L467"/>
    <hyperlink r:id="rId340" ref="L468"/>
    <hyperlink r:id="rId341" ref="L470"/>
    <hyperlink r:id="rId342" ref="L471"/>
    <hyperlink r:id="rId343" ref="L472"/>
    <hyperlink r:id="rId344" ref="L476"/>
    <hyperlink r:id="rId345" ref="L477"/>
    <hyperlink r:id="rId346" ref="L478"/>
    <hyperlink r:id="rId347" ref="L479"/>
    <hyperlink r:id="rId348" ref="L480"/>
    <hyperlink r:id="rId349" ref="L481"/>
    <hyperlink r:id="rId350" ref="B483"/>
    <hyperlink r:id="rId351" ref="L483"/>
    <hyperlink r:id="rId352" ref="B485"/>
    <hyperlink r:id="rId353" ref="L485"/>
    <hyperlink r:id="rId354" ref="L486"/>
    <hyperlink r:id="rId355" ref="L487"/>
    <hyperlink r:id="rId356" ref="B488"/>
    <hyperlink r:id="rId357" ref="L488"/>
    <hyperlink r:id="rId358" ref="L489"/>
    <hyperlink r:id="rId359" ref="L490"/>
    <hyperlink r:id="rId360" ref="L491"/>
    <hyperlink r:id="rId361" ref="L492"/>
    <hyperlink r:id="rId362" ref="B493"/>
    <hyperlink r:id="rId363" ref="B495"/>
    <hyperlink r:id="rId364" ref="L495"/>
    <hyperlink r:id="rId365" ref="L496"/>
    <hyperlink r:id="rId366" ref="L497"/>
    <hyperlink r:id="rId367" ref="L499"/>
    <hyperlink r:id="rId368" ref="L501"/>
    <hyperlink r:id="rId369" ref="L502"/>
    <hyperlink r:id="rId370" ref="L504"/>
    <hyperlink r:id="rId371" ref="B508"/>
    <hyperlink r:id="rId372" ref="L509"/>
    <hyperlink r:id="rId373" ref="L510"/>
    <hyperlink r:id="rId374" ref="L511"/>
    <hyperlink r:id="rId375" ref="L512"/>
    <hyperlink r:id="rId376" ref="L514"/>
    <hyperlink r:id="rId377" ref="L516"/>
    <hyperlink r:id="rId378" ref="L518"/>
    <hyperlink r:id="rId379" ref="L519"/>
    <hyperlink r:id="rId380" ref="L522"/>
    <hyperlink r:id="rId381" ref="L524"/>
    <hyperlink r:id="rId382" ref="L525"/>
    <hyperlink r:id="rId383" ref="L527"/>
    <hyperlink r:id="rId384" ref="L529"/>
    <hyperlink r:id="rId385" ref="L531"/>
    <hyperlink r:id="rId386" ref="L533"/>
    <hyperlink r:id="rId387" ref="L534"/>
    <hyperlink r:id="rId388" ref="L536"/>
    <hyperlink r:id="rId389" ref="L537"/>
    <hyperlink r:id="rId390" ref="L540"/>
    <hyperlink r:id="rId391" ref="L542"/>
    <hyperlink r:id="rId392" ref="L544"/>
    <hyperlink r:id="rId393" ref="L545"/>
    <hyperlink r:id="rId394" ref="L546"/>
    <hyperlink r:id="rId395" ref="L547"/>
    <hyperlink r:id="rId396" ref="L548"/>
    <hyperlink r:id="rId397" ref="L549"/>
    <hyperlink r:id="rId398" ref="L553"/>
    <hyperlink r:id="rId399" ref="L561"/>
    <hyperlink r:id="rId400" ref="L562"/>
    <hyperlink r:id="rId401" ref="L563"/>
    <hyperlink r:id="rId402" ref="L564"/>
    <hyperlink r:id="rId403" ref="L565"/>
    <hyperlink r:id="rId404" ref="L566"/>
    <hyperlink r:id="rId405" ref="L567"/>
    <hyperlink r:id="rId406" ref="B568"/>
    <hyperlink r:id="rId407" ref="L568"/>
    <hyperlink r:id="rId408" ref="L569"/>
    <hyperlink r:id="rId409" ref="L571"/>
    <hyperlink r:id="rId410" ref="L572"/>
    <hyperlink r:id="rId411" ref="L573"/>
    <hyperlink r:id="rId412" ref="L575"/>
    <hyperlink r:id="rId413" ref="L576"/>
    <hyperlink r:id="rId414" ref="L577"/>
    <hyperlink r:id="rId415" ref="L578"/>
    <hyperlink r:id="rId416" ref="B579"/>
    <hyperlink r:id="rId417" ref="L580"/>
    <hyperlink r:id="rId418" ref="L582"/>
    <hyperlink r:id="rId419" ref="L583"/>
    <hyperlink r:id="rId420" ref="L584"/>
    <hyperlink r:id="rId421" ref="L585"/>
    <hyperlink r:id="rId422" ref="L587"/>
    <hyperlink r:id="rId423" ref="B588"/>
    <hyperlink r:id="rId424" ref="L589"/>
    <hyperlink r:id="rId425" ref="L590"/>
    <hyperlink r:id="rId426" ref="L591"/>
    <hyperlink r:id="rId427" ref="B592"/>
    <hyperlink r:id="rId428" ref="L592"/>
    <hyperlink r:id="rId429" ref="L593"/>
    <hyperlink r:id="rId430" ref="L595"/>
    <hyperlink r:id="rId431" ref="L596"/>
    <hyperlink r:id="rId432" ref="L597"/>
    <hyperlink r:id="rId433" ref="B599"/>
    <hyperlink r:id="rId434" ref="L599"/>
    <hyperlink r:id="rId435" ref="L601"/>
    <hyperlink r:id="rId436" ref="L602"/>
    <hyperlink r:id="rId437" ref="L605"/>
    <hyperlink r:id="rId438" ref="L608"/>
    <hyperlink r:id="rId439" ref="L609"/>
    <hyperlink r:id="rId440" ref="L610"/>
    <hyperlink r:id="rId441" ref="L611"/>
    <hyperlink r:id="rId442" ref="L612"/>
    <hyperlink r:id="rId443" ref="L613"/>
    <hyperlink r:id="rId444" ref="L615"/>
    <hyperlink r:id="rId445" ref="L619"/>
    <hyperlink r:id="rId446" ref="L620"/>
    <hyperlink r:id="rId447" ref="L622"/>
    <hyperlink r:id="rId448" ref="L623"/>
    <hyperlink r:id="rId449" ref="L624"/>
    <hyperlink r:id="rId450" ref="L626"/>
    <hyperlink r:id="rId451" ref="L630"/>
    <hyperlink r:id="rId452" ref="L632"/>
    <hyperlink r:id="rId453" ref="L635"/>
    <hyperlink r:id="rId454" ref="L637"/>
    <hyperlink r:id="rId455" ref="L638"/>
    <hyperlink r:id="rId456" ref="L639"/>
    <hyperlink r:id="rId457" ref="L641"/>
    <hyperlink r:id="rId458" ref="L645"/>
    <hyperlink r:id="rId459" ref="L647"/>
    <hyperlink r:id="rId460" ref="L648"/>
    <hyperlink r:id="rId461" ref="L649"/>
    <hyperlink r:id="rId462" ref="L650"/>
    <hyperlink r:id="rId463" ref="L651"/>
    <hyperlink r:id="rId464" ref="L655"/>
    <hyperlink r:id="rId465" ref="L656"/>
    <hyperlink r:id="rId466" ref="L657"/>
    <hyperlink r:id="rId467" ref="L659"/>
    <hyperlink r:id="rId468" ref="L661"/>
    <hyperlink r:id="rId469" ref="L663"/>
    <hyperlink r:id="rId470" ref="L664"/>
    <hyperlink r:id="rId471" ref="L665"/>
    <hyperlink r:id="rId472" ref="L666"/>
    <hyperlink r:id="rId473" ref="L667"/>
    <hyperlink r:id="rId474" ref="L668"/>
    <hyperlink r:id="rId475" ref="L669"/>
    <hyperlink r:id="rId476" ref="L671"/>
    <hyperlink r:id="rId477" ref="L672"/>
    <hyperlink r:id="rId478" ref="L675"/>
    <hyperlink r:id="rId479" ref="L676"/>
    <hyperlink r:id="rId480" ref="L677"/>
    <hyperlink r:id="rId481" ref="L678"/>
    <hyperlink r:id="rId482" ref="L680"/>
    <hyperlink r:id="rId483" ref="L681"/>
    <hyperlink r:id="rId484" ref="L682"/>
    <hyperlink r:id="rId485" ref="L683"/>
    <hyperlink r:id="rId486" ref="L684"/>
    <hyperlink r:id="rId487" ref="L685"/>
    <hyperlink r:id="rId488" ref="L686"/>
    <hyperlink r:id="rId489" ref="L687"/>
    <hyperlink r:id="rId490" ref="L688"/>
    <hyperlink r:id="rId491" ref="L689"/>
    <hyperlink r:id="rId492" ref="L690"/>
    <hyperlink r:id="rId493" ref="L691"/>
    <hyperlink r:id="rId494" ref="L693"/>
    <hyperlink r:id="rId495" ref="L694"/>
    <hyperlink r:id="rId496" ref="L696"/>
    <hyperlink r:id="rId497" ref="L697"/>
    <hyperlink r:id="rId498" ref="L698"/>
    <hyperlink r:id="rId499" ref="L699"/>
    <hyperlink r:id="rId500" ref="L700"/>
    <hyperlink r:id="rId501" ref="L701"/>
    <hyperlink r:id="rId502" ref="L702"/>
    <hyperlink r:id="rId503" ref="L703"/>
    <hyperlink r:id="rId504" ref="L704"/>
    <hyperlink r:id="rId505" ref="L705"/>
    <hyperlink r:id="rId506" ref="L706"/>
    <hyperlink r:id="rId507" ref="B707"/>
    <hyperlink r:id="rId508" ref="L707"/>
    <hyperlink r:id="rId509" ref="L708"/>
    <hyperlink r:id="rId510" ref="L709"/>
    <hyperlink r:id="rId511" ref="L711"/>
    <hyperlink r:id="rId512" ref="L712"/>
    <hyperlink r:id="rId513" ref="L717"/>
    <hyperlink r:id="rId514" ref="L718"/>
    <hyperlink r:id="rId515" ref="L720"/>
    <hyperlink r:id="rId516" ref="L722"/>
    <hyperlink r:id="rId517" ref="L731"/>
    <hyperlink r:id="rId518" ref="L732"/>
    <hyperlink r:id="rId519" ref="L734"/>
    <hyperlink r:id="rId520" ref="B735"/>
    <hyperlink r:id="rId521" ref="L736"/>
    <hyperlink r:id="rId522" ref="L737"/>
    <hyperlink r:id="rId523" ref="L738"/>
    <hyperlink r:id="rId524" ref="L739"/>
    <hyperlink r:id="rId525" ref="L740"/>
    <hyperlink r:id="rId526" ref="L741"/>
    <hyperlink r:id="rId527" ref="L743"/>
    <hyperlink r:id="rId528" ref="L744"/>
    <hyperlink r:id="rId529" ref="L745"/>
    <hyperlink r:id="rId530" ref="L746"/>
    <hyperlink r:id="rId531" ref="L748"/>
    <hyperlink r:id="rId532" ref="L749"/>
    <hyperlink r:id="rId533" ref="B752"/>
    <hyperlink r:id="rId534" ref="L752"/>
    <hyperlink r:id="rId535" ref="L753"/>
    <hyperlink r:id="rId536" ref="L755"/>
    <hyperlink r:id="rId537" ref="L756"/>
    <hyperlink r:id="rId538" ref="L759"/>
    <hyperlink r:id="rId539" ref="L760"/>
    <hyperlink r:id="rId540" ref="L761"/>
    <hyperlink r:id="rId541" ref="B762"/>
    <hyperlink r:id="rId542" ref="L762"/>
    <hyperlink r:id="rId543" ref="L763"/>
    <hyperlink r:id="rId544" ref="L764"/>
    <hyperlink r:id="rId545" ref="L765"/>
    <hyperlink r:id="rId546" ref="L767"/>
    <hyperlink r:id="rId547" ref="B768"/>
    <hyperlink r:id="rId548" ref="L770"/>
    <hyperlink r:id="rId549" ref="L771"/>
    <hyperlink r:id="rId550" ref="L773"/>
    <hyperlink r:id="rId551" ref="L774"/>
    <hyperlink r:id="rId552" ref="L775"/>
    <hyperlink r:id="rId553" ref="L776"/>
    <hyperlink r:id="rId554" ref="L777"/>
    <hyperlink r:id="rId555" ref="L778"/>
    <hyperlink r:id="rId556" ref="L779"/>
    <hyperlink r:id="rId557" ref="L781"/>
    <hyperlink r:id="rId558" ref="L783"/>
    <hyperlink r:id="rId559" ref="L784"/>
    <hyperlink r:id="rId560" ref="L785"/>
    <hyperlink r:id="rId561" ref="L787"/>
    <hyperlink r:id="rId562" ref="L788"/>
    <hyperlink r:id="rId563" ref="L789"/>
    <hyperlink r:id="rId564" ref="L791"/>
    <hyperlink r:id="rId565" ref="B793"/>
    <hyperlink r:id="rId566" ref="L795"/>
    <hyperlink r:id="rId567" ref="L796"/>
    <hyperlink r:id="rId568" ref="L797"/>
    <hyperlink r:id="rId569" ref="L798"/>
    <hyperlink r:id="rId570" ref="L800"/>
    <hyperlink r:id="rId571" ref="L804"/>
    <hyperlink r:id="rId572" ref="L807"/>
    <hyperlink r:id="rId573" ref="L808"/>
    <hyperlink r:id="rId574" ref="L810"/>
    <hyperlink r:id="rId575" ref="L811"/>
    <hyperlink r:id="rId576" ref="L822"/>
    <hyperlink r:id="rId577" ref="L823"/>
    <hyperlink r:id="rId578" ref="L825"/>
    <hyperlink r:id="rId579" ref="L827"/>
    <hyperlink r:id="rId580" ref="L829"/>
    <hyperlink r:id="rId581" ref="L830"/>
    <hyperlink r:id="rId582" ref="L832"/>
    <hyperlink r:id="rId583" ref="L833"/>
    <hyperlink r:id="rId584" ref="L834"/>
    <hyperlink r:id="rId585" ref="L835"/>
    <hyperlink r:id="rId586" ref="B836"/>
    <hyperlink r:id="rId587" ref="L836"/>
    <hyperlink r:id="rId588" ref="L837"/>
    <hyperlink r:id="rId589" ref="L839"/>
    <hyperlink r:id="rId590" ref="L840"/>
    <hyperlink r:id="rId591" ref="L841"/>
    <hyperlink r:id="rId592" ref="L842"/>
    <hyperlink r:id="rId593" ref="L843"/>
    <hyperlink r:id="rId594" ref="L844"/>
    <hyperlink r:id="rId595" ref="L845"/>
    <hyperlink r:id="rId596" ref="B846"/>
    <hyperlink r:id="rId597" ref="L846"/>
    <hyperlink r:id="rId598" ref="L848"/>
    <hyperlink r:id="rId599" ref="L849"/>
    <hyperlink r:id="rId600" ref="L851"/>
    <hyperlink r:id="rId601" ref="L852"/>
    <hyperlink r:id="rId602" ref="L853"/>
    <hyperlink r:id="rId603" ref="L855"/>
    <hyperlink r:id="rId604" ref="B856"/>
    <hyperlink r:id="rId605" ref="L856"/>
    <hyperlink r:id="rId606" ref="B857"/>
    <hyperlink r:id="rId607" ref="L857"/>
    <hyperlink r:id="rId608" ref="L858"/>
    <hyperlink r:id="rId609" ref="L859"/>
    <hyperlink r:id="rId610" ref="L861"/>
    <hyperlink r:id="rId611" ref="L863"/>
    <hyperlink r:id="rId612" ref="L864"/>
    <hyperlink r:id="rId613" ref="L865"/>
    <hyperlink r:id="rId614" ref="L867"/>
    <hyperlink r:id="rId615" ref="L868"/>
    <hyperlink r:id="rId616" ref="L869"/>
    <hyperlink r:id="rId617" ref="L870"/>
    <hyperlink r:id="rId618" ref="L871"/>
    <hyperlink r:id="rId619" ref="L873"/>
    <hyperlink r:id="rId620" ref="L874"/>
    <hyperlink r:id="rId621" ref="L875"/>
    <hyperlink r:id="rId622" ref="L876"/>
    <hyperlink r:id="rId623" ref="L877"/>
    <hyperlink r:id="rId624" ref="L878"/>
    <hyperlink r:id="rId625" ref="L879"/>
    <hyperlink r:id="rId626" ref="L880"/>
    <hyperlink r:id="rId627" ref="L882"/>
    <hyperlink r:id="rId628" ref="L883"/>
    <hyperlink r:id="rId629" ref="L884"/>
    <hyperlink r:id="rId630" ref="L885"/>
    <hyperlink r:id="rId631" ref="L886"/>
    <hyperlink r:id="rId632" ref="L887"/>
    <hyperlink r:id="rId633" ref="L888"/>
    <hyperlink r:id="rId634" ref="L889"/>
    <hyperlink r:id="rId635" ref="L890"/>
    <hyperlink r:id="rId636" ref="L892"/>
    <hyperlink r:id="rId637" ref="L893"/>
    <hyperlink r:id="rId638" ref="L894"/>
    <hyperlink r:id="rId639" ref="L895"/>
    <hyperlink r:id="rId640" ref="L897"/>
    <hyperlink r:id="rId641" ref="L898"/>
    <hyperlink r:id="rId642" ref="L899"/>
    <hyperlink r:id="rId643" ref="L902"/>
    <hyperlink r:id="rId644" ref="L903"/>
    <hyperlink r:id="rId645" ref="L905"/>
    <hyperlink r:id="rId646" ref="L906"/>
    <hyperlink r:id="rId647" ref="L907"/>
    <hyperlink r:id="rId648" ref="L909"/>
    <hyperlink r:id="rId649" ref="L910"/>
    <hyperlink r:id="rId650" ref="L911"/>
    <hyperlink r:id="rId651" ref="L912"/>
    <hyperlink r:id="rId652" ref="L914"/>
    <hyperlink r:id="rId653" ref="B915"/>
    <hyperlink r:id="rId654" ref="L915"/>
    <hyperlink r:id="rId655" ref="L916"/>
    <hyperlink r:id="rId656" ref="L917"/>
    <hyperlink r:id="rId657" ref="L918"/>
    <hyperlink r:id="rId658" ref="L919"/>
    <hyperlink r:id="rId659" ref="L920"/>
    <hyperlink r:id="rId660" ref="L921"/>
    <hyperlink r:id="rId661" ref="L922"/>
    <hyperlink r:id="rId662" ref="L926"/>
    <hyperlink r:id="rId663" ref="L928"/>
    <hyperlink r:id="rId664" ref="L930"/>
    <hyperlink r:id="rId665" ref="L931"/>
    <hyperlink r:id="rId666" ref="L932"/>
    <hyperlink r:id="rId667" ref="L934"/>
    <hyperlink r:id="rId668" ref="L936"/>
    <hyperlink r:id="rId669" ref="L939"/>
    <hyperlink r:id="rId670" ref="L941"/>
    <hyperlink r:id="rId671" ref="L942"/>
    <hyperlink r:id="rId672" ref="L943"/>
    <hyperlink r:id="rId673" ref="L944"/>
    <hyperlink r:id="rId674" ref="L945"/>
    <hyperlink r:id="rId675" ref="L946"/>
    <hyperlink r:id="rId676" ref="L947"/>
    <hyperlink r:id="rId677" ref="L948"/>
    <hyperlink r:id="rId678" ref="L949"/>
    <hyperlink r:id="rId679" ref="L950"/>
    <hyperlink r:id="rId680" ref="L951"/>
    <hyperlink r:id="rId681" ref="L952"/>
    <hyperlink r:id="rId682" ref="L953"/>
    <hyperlink r:id="rId683" ref="L954"/>
    <hyperlink r:id="rId684" ref="L955"/>
    <hyperlink r:id="rId685" ref="L956"/>
    <hyperlink r:id="rId686" ref="L957"/>
    <hyperlink r:id="rId687" ref="L959"/>
    <hyperlink r:id="rId688" ref="L961"/>
    <hyperlink r:id="rId689" ref="L962"/>
    <hyperlink r:id="rId690" ref="L965"/>
    <hyperlink r:id="rId691" ref="L966"/>
    <hyperlink r:id="rId692" ref="L967"/>
    <hyperlink r:id="rId693" ref="L969"/>
    <hyperlink r:id="rId694" ref="L970"/>
    <hyperlink r:id="rId695" ref="L971"/>
    <hyperlink r:id="rId696" ref="L972"/>
    <hyperlink r:id="rId697" ref="L974"/>
    <hyperlink r:id="rId698" ref="L975"/>
    <hyperlink r:id="rId699" ref="L976"/>
    <hyperlink r:id="rId700" ref="L977"/>
    <hyperlink r:id="rId701" ref="L978"/>
    <hyperlink r:id="rId702" ref="L979"/>
    <hyperlink r:id="rId703" ref="L980"/>
    <hyperlink r:id="rId704" ref="L981"/>
    <hyperlink r:id="rId705" ref="L982"/>
    <hyperlink r:id="rId706" ref="L983"/>
    <hyperlink r:id="rId707" ref="L984"/>
    <hyperlink r:id="rId708" ref="L985"/>
    <hyperlink r:id="rId709" ref="L989"/>
    <hyperlink r:id="rId710" ref="L990"/>
    <hyperlink r:id="rId711" ref="L991"/>
    <hyperlink r:id="rId712" ref="L992"/>
    <hyperlink r:id="rId713" ref="L993"/>
    <hyperlink r:id="rId714" ref="L997"/>
    <hyperlink r:id="rId715" ref="L998"/>
    <hyperlink r:id="rId716" ref="L999"/>
    <hyperlink r:id="rId717" ref="L1000"/>
    <hyperlink r:id="rId718" ref="L1003"/>
    <hyperlink r:id="rId719" ref="B1004"/>
    <hyperlink r:id="rId720" ref="L1004"/>
    <hyperlink r:id="rId721" ref="L1007"/>
    <hyperlink r:id="rId722" ref="L1009"/>
    <hyperlink r:id="rId723" ref="B1010"/>
    <hyperlink r:id="rId724" ref="L1010"/>
    <hyperlink r:id="rId725" ref="L1011"/>
    <hyperlink r:id="rId726" ref="B1012"/>
    <hyperlink r:id="rId727" ref="L1012"/>
    <hyperlink r:id="rId728" ref="L1013"/>
    <hyperlink r:id="rId729" ref="B1014"/>
    <hyperlink r:id="rId730" ref="L1014"/>
    <hyperlink r:id="rId731" ref="L1015"/>
    <hyperlink r:id="rId732" ref="L1017"/>
    <hyperlink r:id="rId733" ref="L1018"/>
    <hyperlink r:id="rId734" ref="L1019"/>
    <hyperlink r:id="rId735" ref="L1020"/>
    <hyperlink r:id="rId736" ref="L1021"/>
    <hyperlink r:id="rId737" ref="L1022"/>
    <hyperlink r:id="rId738" ref="L1023"/>
    <hyperlink r:id="rId739" ref="L1024"/>
    <hyperlink r:id="rId740" ref="L1025"/>
    <hyperlink r:id="rId741" ref="L1026"/>
    <hyperlink r:id="rId742" ref="L1027"/>
    <hyperlink r:id="rId743" ref="L1028"/>
    <hyperlink r:id="rId744" ref="L1029"/>
    <hyperlink r:id="rId745" ref="L1030"/>
    <hyperlink r:id="rId746" ref="L1031"/>
    <hyperlink r:id="rId747" ref="L1033"/>
    <hyperlink r:id="rId748" ref="L1034"/>
    <hyperlink r:id="rId749" ref="L1035"/>
    <hyperlink r:id="rId750" ref="L1036"/>
    <hyperlink r:id="rId751" ref="L1037"/>
    <hyperlink r:id="rId752" ref="L1038"/>
    <hyperlink r:id="rId753" ref="L1039"/>
    <hyperlink r:id="rId754" ref="L1040"/>
    <hyperlink r:id="rId755" ref="L1041"/>
    <hyperlink r:id="rId756" ref="L1042"/>
    <hyperlink r:id="rId757" ref="L1043"/>
    <hyperlink r:id="rId758" ref="L1044"/>
    <hyperlink r:id="rId759" ref="L1045"/>
    <hyperlink r:id="rId760" ref="L1046"/>
    <hyperlink r:id="rId761" ref="L1047"/>
    <hyperlink r:id="rId762" ref="L1048"/>
    <hyperlink r:id="rId763" ref="L1049"/>
    <hyperlink r:id="rId764" ref="L1050"/>
    <hyperlink r:id="rId765" ref="L1052"/>
    <hyperlink r:id="rId766" ref="L1053"/>
    <hyperlink r:id="rId767" ref="L1054"/>
    <hyperlink r:id="rId768" ref="L1055"/>
    <hyperlink r:id="rId769" ref="L1056"/>
    <hyperlink r:id="rId770" ref="L1057"/>
    <hyperlink r:id="rId771" ref="L1058"/>
    <hyperlink r:id="rId772" ref="L1059"/>
    <hyperlink r:id="rId773" ref="L1060"/>
    <hyperlink r:id="rId774" ref="L1061"/>
    <hyperlink r:id="rId775" ref="L1062"/>
    <hyperlink r:id="rId776" ref="L1063"/>
    <hyperlink r:id="rId777" ref="L1065"/>
    <hyperlink r:id="rId778" ref="L1066"/>
    <hyperlink r:id="rId779" ref="L1067"/>
    <hyperlink r:id="rId780" ref="L1068"/>
    <hyperlink r:id="rId781" ref="L1069"/>
    <hyperlink r:id="rId782" ref="L1070"/>
    <hyperlink r:id="rId783" ref="L1071"/>
    <hyperlink r:id="rId784" ref="L1072"/>
    <hyperlink r:id="rId785" ref="L1073"/>
    <hyperlink r:id="rId786" ref="L1074"/>
    <hyperlink r:id="rId787" ref="L1075"/>
    <hyperlink r:id="rId788" ref="L1076"/>
    <hyperlink r:id="rId789" ref="L1077"/>
    <hyperlink r:id="rId790" ref="L1078"/>
    <hyperlink r:id="rId791" ref="L1079"/>
    <hyperlink r:id="rId792" ref="L1080"/>
    <hyperlink r:id="rId793" ref="L1082"/>
    <hyperlink r:id="rId794" ref="L1083"/>
    <hyperlink r:id="rId795" ref="L1084"/>
    <hyperlink r:id="rId796" ref="L1085"/>
    <hyperlink r:id="rId797" ref="L1087"/>
    <hyperlink r:id="rId798" ref="L1089"/>
    <hyperlink r:id="rId799" ref="L1090"/>
    <hyperlink r:id="rId800" ref="L1091"/>
    <hyperlink r:id="rId801" ref="L1092"/>
    <hyperlink r:id="rId802" ref="L1093"/>
    <hyperlink r:id="rId803" ref="L1094"/>
    <hyperlink r:id="rId804" ref="L1095"/>
    <hyperlink r:id="rId805" ref="L1096"/>
    <hyperlink r:id="rId806" ref="L1099"/>
    <hyperlink r:id="rId807" ref="L1100"/>
    <hyperlink r:id="rId808" ref="L1101"/>
    <hyperlink r:id="rId809" ref="L1102"/>
    <hyperlink r:id="rId810" ref="L1103"/>
    <hyperlink r:id="rId811" ref="L1104"/>
    <hyperlink r:id="rId812" ref="L1105"/>
    <hyperlink r:id="rId813" ref="L1106"/>
    <hyperlink r:id="rId814" ref="L1107"/>
    <hyperlink r:id="rId815" ref="L1108"/>
    <hyperlink r:id="rId816" ref="L1109"/>
    <hyperlink r:id="rId817" ref="L1110"/>
    <hyperlink r:id="rId818" ref="L1111"/>
    <hyperlink r:id="rId819" ref="L1112"/>
    <hyperlink r:id="rId820" ref="L1113"/>
    <hyperlink r:id="rId821" ref="L1116"/>
    <hyperlink r:id="rId822" ref="L1117"/>
    <hyperlink r:id="rId823" ref="L1118"/>
    <hyperlink r:id="rId824" ref="L1119"/>
    <hyperlink r:id="rId825" ref="L1120"/>
    <hyperlink r:id="rId826" ref="L1121"/>
    <hyperlink r:id="rId827" ref="L1122"/>
    <hyperlink r:id="rId828" ref="L1123"/>
    <hyperlink r:id="rId829" ref="L1124"/>
    <hyperlink r:id="rId830" ref="L1125"/>
    <hyperlink r:id="rId831" ref="L1126"/>
    <hyperlink r:id="rId832" ref="L1127"/>
    <hyperlink r:id="rId833" ref="L1128"/>
    <hyperlink r:id="rId834" ref="L1129"/>
    <hyperlink r:id="rId835" ref="L1130"/>
    <hyperlink r:id="rId836" ref="L1131"/>
    <hyperlink r:id="rId837" ref="L1132"/>
    <hyperlink r:id="rId838" ref="L1133"/>
    <hyperlink r:id="rId839" ref="L1134"/>
    <hyperlink r:id="rId840" ref="L1135"/>
    <hyperlink r:id="rId841" ref="L1137"/>
    <hyperlink r:id="rId842" ref="L1138"/>
    <hyperlink r:id="rId843" ref="L1139"/>
    <hyperlink r:id="rId844" ref="L1140"/>
    <hyperlink r:id="rId845" ref="L1142"/>
    <hyperlink r:id="rId846" ref="L1143"/>
    <hyperlink r:id="rId847" ref="L1144"/>
    <hyperlink r:id="rId848" ref="L1145"/>
    <hyperlink r:id="rId849" ref="L1149"/>
    <hyperlink r:id="rId850" ref="L1150"/>
    <hyperlink r:id="rId851" ref="B1151"/>
    <hyperlink r:id="rId852" ref="L1151"/>
    <hyperlink r:id="rId853" ref="L1156"/>
    <hyperlink r:id="rId854" ref="L1157"/>
    <hyperlink r:id="rId855" ref="L1158"/>
    <hyperlink r:id="rId856" ref="L1159"/>
    <hyperlink r:id="rId857" ref="L1160"/>
    <hyperlink r:id="rId858" ref="L1161"/>
    <hyperlink r:id="rId859" ref="L1162"/>
    <hyperlink r:id="rId860" ref="L1163"/>
    <hyperlink r:id="rId861" ref="L1164"/>
    <hyperlink r:id="rId862" ref="L1165"/>
    <hyperlink r:id="rId863" ref="L1166"/>
    <hyperlink r:id="rId864" ref="L1167"/>
    <hyperlink r:id="rId865" ref="L1168"/>
    <hyperlink r:id="rId866" ref="L1169"/>
    <hyperlink r:id="rId867" ref="L1170"/>
    <hyperlink r:id="rId868" ref="L1172"/>
    <hyperlink r:id="rId869" ref="L1173"/>
    <hyperlink r:id="rId870" ref="L1174"/>
    <hyperlink r:id="rId871" ref="L1177"/>
    <hyperlink r:id="rId872" ref="L1178"/>
    <hyperlink r:id="rId873" ref="L1179"/>
    <hyperlink r:id="rId874" ref="L1180"/>
    <hyperlink r:id="rId875" ref="L1181"/>
    <hyperlink r:id="rId876" ref="L1184"/>
    <hyperlink r:id="rId877" ref="L1185"/>
    <hyperlink r:id="rId878" ref="L1186"/>
    <hyperlink r:id="rId879" ref="L1187"/>
    <hyperlink r:id="rId880" ref="L1190"/>
    <hyperlink r:id="rId881" ref="L1191"/>
    <hyperlink r:id="rId882" ref="L1192"/>
    <hyperlink r:id="rId883" ref="L1195"/>
    <hyperlink r:id="rId884" ref="L1197"/>
    <hyperlink r:id="rId885" ref="L1198"/>
    <hyperlink r:id="rId886" ref="L1200"/>
    <hyperlink r:id="rId887" ref="L1201"/>
    <hyperlink r:id="rId888" ref="L1204"/>
    <hyperlink r:id="rId889" ref="L1205"/>
    <hyperlink r:id="rId890" ref="L1206"/>
    <hyperlink r:id="rId891" ref="L1207"/>
    <hyperlink r:id="rId892" ref="L1208"/>
    <hyperlink r:id="rId893" ref="L1212"/>
    <hyperlink r:id="rId894" ref="L1213"/>
    <hyperlink r:id="rId895" ref="L1215"/>
    <hyperlink r:id="rId896" ref="L1217"/>
    <hyperlink r:id="rId897" ref="L1218"/>
    <hyperlink r:id="rId898" ref="L1219"/>
    <hyperlink r:id="rId899" ref="L1221"/>
    <hyperlink r:id="rId900" ref="L1224"/>
    <hyperlink r:id="rId901" ref="L1225"/>
    <hyperlink r:id="rId902" ref="L1226"/>
    <hyperlink r:id="rId903" ref="L1227"/>
    <hyperlink r:id="rId904" ref="L1231"/>
    <hyperlink r:id="rId905" ref="L1232"/>
    <hyperlink r:id="rId906" ref="L1235"/>
    <hyperlink r:id="rId907" ref="B1238"/>
    <hyperlink r:id="rId908" ref="L1238"/>
    <hyperlink r:id="rId909" ref="L1239"/>
    <hyperlink r:id="rId910" ref="L1240"/>
    <hyperlink r:id="rId911" ref="L1242"/>
    <hyperlink r:id="rId912" ref="L1243"/>
    <hyperlink r:id="rId913" ref="L1244"/>
    <hyperlink r:id="rId914" ref="L1245"/>
    <hyperlink r:id="rId915" ref="L1247"/>
    <hyperlink r:id="rId916" ref="L1248"/>
    <hyperlink r:id="rId917" ref="L1249"/>
    <hyperlink r:id="rId918" ref="L1251"/>
    <hyperlink r:id="rId919" ref="D1252"/>
    <hyperlink r:id="rId920" ref="L1252"/>
    <hyperlink r:id="rId921" ref="L1253"/>
    <hyperlink r:id="rId922" ref="L1254"/>
    <hyperlink r:id="rId923" ref="L1255"/>
    <hyperlink r:id="rId924" ref="L1256"/>
    <hyperlink r:id="rId925" ref="L1258"/>
    <hyperlink r:id="rId926" ref="L1259"/>
    <hyperlink r:id="rId927" ref="B1261"/>
    <hyperlink r:id="rId928" ref="L1261"/>
    <hyperlink r:id="rId929" ref="L1262"/>
    <hyperlink r:id="rId930" ref="L1263"/>
    <hyperlink r:id="rId931" ref="L1264"/>
    <hyperlink r:id="rId932" ref="L1268"/>
    <hyperlink r:id="rId933" ref="L1269"/>
    <hyperlink r:id="rId934" ref="L1270"/>
    <hyperlink r:id="rId935" ref="L1271"/>
  </hyperlinks>
  <drawing r:id="rId93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5893</v>
      </c>
      <c r="C1" s="2" t="s">
        <v>5894</v>
      </c>
      <c r="D1" s="2" t="s">
        <v>5895</v>
      </c>
      <c r="E1" s="2" t="s">
        <v>5896</v>
      </c>
      <c r="F1" s="2" t="s">
        <v>5897</v>
      </c>
      <c r="G1" s="2" t="s">
        <v>5898</v>
      </c>
      <c r="H1" s="2" t="s">
        <v>5899</v>
      </c>
      <c r="I1" s="2" t="s">
        <v>5900</v>
      </c>
      <c r="J1" s="2" t="s">
        <v>5901</v>
      </c>
      <c r="K1" s="2" t="s">
        <v>5902</v>
      </c>
      <c r="L1" s="2" t="s">
        <v>5903</v>
      </c>
    </row>
    <row r="2">
      <c r="A2" s="2" t="s">
        <v>4944</v>
      </c>
      <c r="B2" s="2" t="s">
        <v>32304</v>
      </c>
      <c r="C2" s="2">
        <v>6.0135511335E10</v>
      </c>
      <c r="D2" s="2" t="s">
        <v>32305</v>
      </c>
      <c r="E2" s="2">
        <v>20767.0</v>
      </c>
      <c r="F2" s="2">
        <v>208.0</v>
      </c>
      <c r="G2" s="2">
        <v>69.0</v>
      </c>
      <c r="H2" s="2" t="s">
        <v>5905</v>
      </c>
      <c r="I2" s="2" t="s">
        <v>5905</v>
      </c>
      <c r="J2" s="2" t="s">
        <v>6111</v>
      </c>
      <c r="K2" s="2" t="s">
        <v>32306</v>
      </c>
      <c r="L2" s="10" t="s">
        <v>32307</v>
      </c>
    </row>
    <row r="3">
      <c r="A3" s="2" t="s">
        <v>4944</v>
      </c>
      <c r="B3" s="2" t="s">
        <v>32308</v>
      </c>
      <c r="C3" s="2">
        <v>8.969861793E9</v>
      </c>
      <c r="D3" s="2" t="s">
        <v>32309</v>
      </c>
      <c r="E3" s="2">
        <v>40596.0</v>
      </c>
      <c r="F3" s="2">
        <v>1054.0</v>
      </c>
      <c r="G3" s="2">
        <v>2228.0</v>
      </c>
      <c r="H3" s="2" t="s">
        <v>5905</v>
      </c>
      <c r="I3" s="2" t="s">
        <v>5906</v>
      </c>
      <c r="J3" s="2" t="s">
        <v>9815</v>
      </c>
      <c r="K3" s="2" t="s">
        <v>32310</v>
      </c>
      <c r="L3" s="10" t="s">
        <v>32311</v>
      </c>
    </row>
    <row r="4">
      <c r="A4" s="2" t="s">
        <v>4944</v>
      </c>
      <c r="B4" s="2" t="s">
        <v>32312</v>
      </c>
      <c r="C4" s="2">
        <v>2.4646323E8</v>
      </c>
      <c r="D4" s="2" t="s">
        <v>32313</v>
      </c>
      <c r="E4" s="2">
        <v>61043.0</v>
      </c>
      <c r="F4" s="2">
        <v>4786.0</v>
      </c>
      <c r="G4" s="2">
        <v>15592.0</v>
      </c>
      <c r="H4" s="2" t="s">
        <v>5906</v>
      </c>
      <c r="I4" s="2" t="s">
        <v>5905</v>
      </c>
      <c r="J4" s="2" t="s">
        <v>6414</v>
      </c>
      <c r="K4" s="2" t="s">
        <v>32314</v>
      </c>
      <c r="L4" s="10" t="s">
        <v>32315</v>
      </c>
    </row>
    <row r="5">
      <c r="A5" s="2" t="s">
        <v>4944</v>
      </c>
      <c r="B5" s="2" t="s">
        <v>32316</v>
      </c>
      <c r="C5" s="2">
        <v>7.949903941E9</v>
      </c>
      <c r="D5" s="2" t="s">
        <v>32317</v>
      </c>
      <c r="E5" s="2">
        <v>66973.0</v>
      </c>
      <c r="F5" s="2">
        <v>3566.0</v>
      </c>
      <c r="G5" s="2">
        <v>1430.0</v>
      </c>
      <c r="H5" s="2" t="s">
        <v>5906</v>
      </c>
      <c r="I5" s="2" t="s">
        <v>5905</v>
      </c>
      <c r="J5" s="2" t="s">
        <v>12774</v>
      </c>
      <c r="K5" s="2" t="s">
        <v>32318</v>
      </c>
      <c r="L5" s="10" t="s">
        <v>32319</v>
      </c>
    </row>
    <row r="6">
      <c r="A6" s="2" t="s">
        <v>4944</v>
      </c>
      <c r="B6" s="2" t="s">
        <v>32320</v>
      </c>
      <c r="C6" s="2">
        <v>5.2285163737E10</v>
      </c>
      <c r="D6" s="2" t="s">
        <v>32321</v>
      </c>
      <c r="E6" s="2">
        <v>109621.0</v>
      </c>
      <c r="F6" s="2">
        <v>179.0</v>
      </c>
      <c r="G6" s="2">
        <v>712.0</v>
      </c>
      <c r="H6" s="2" t="s">
        <v>5905</v>
      </c>
      <c r="I6" s="2" t="s">
        <v>5905</v>
      </c>
      <c r="J6" s="2" t="s">
        <v>5928</v>
      </c>
      <c r="K6" s="2" t="s">
        <v>32322</v>
      </c>
      <c r="L6" s="10" t="s">
        <v>32323</v>
      </c>
    </row>
    <row r="7">
      <c r="A7" s="2" t="s">
        <v>4944</v>
      </c>
      <c r="B7" s="2" t="s">
        <v>32324</v>
      </c>
      <c r="C7" s="2">
        <v>2.55334542E8</v>
      </c>
      <c r="D7" s="2" t="s">
        <v>32325</v>
      </c>
      <c r="E7" s="2">
        <v>74284.0</v>
      </c>
      <c r="F7" s="2">
        <v>3.0</v>
      </c>
      <c r="G7" s="2">
        <v>1694.0</v>
      </c>
      <c r="H7" s="2" t="s">
        <v>5906</v>
      </c>
      <c r="I7" s="2" t="s">
        <v>5906</v>
      </c>
      <c r="J7" s="2" t="s">
        <v>7155</v>
      </c>
      <c r="K7" s="2" t="s">
        <v>32326</v>
      </c>
      <c r="L7" s="10" t="s">
        <v>32327</v>
      </c>
    </row>
    <row r="8">
      <c r="A8" s="2" t="s">
        <v>4944</v>
      </c>
      <c r="B8" s="2" t="s">
        <v>32328</v>
      </c>
      <c r="C8" s="2">
        <v>4.61938351E9</v>
      </c>
      <c r="D8" s="2" t="s">
        <v>32329</v>
      </c>
      <c r="E8" s="2">
        <v>85819.0</v>
      </c>
      <c r="F8" s="2">
        <v>1384.0</v>
      </c>
      <c r="G8" s="2">
        <v>86.0</v>
      </c>
      <c r="H8" s="2" t="s">
        <v>5906</v>
      </c>
      <c r="I8" s="2" t="s">
        <v>5906</v>
      </c>
      <c r="J8" s="2" t="s">
        <v>5993</v>
      </c>
      <c r="K8" s="2" t="s">
        <v>32330</v>
      </c>
      <c r="L8" s="10" t="s">
        <v>32331</v>
      </c>
    </row>
    <row r="9">
      <c r="A9" s="2" t="s">
        <v>4923</v>
      </c>
      <c r="B9" s="2" t="s">
        <v>32332</v>
      </c>
      <c r="C9" s="2">
        <v>2841689.0</v>
      </c>
      <c r="D9" s="2" t="s">
        <v>32333</v>
      </c>
      <c r="E9" s="2">
        <v>210667.0</v>
      </c>
      <c r="F9" s="2">
        <v>1660.0</v>
      </c>
      <c r="G9" s="2">
        <v>1640.0</v>
      </c>
      <c r="H9" s="2" t="s">
        <v>5906</v>
      </c>
      <c r="I9" s="2" t="s">
        <v>5905</v>
      </c>
      <c r="J9" s="2" t="s">
        <v>5959</v>
      </c>
      <c r="K9" s="2" t="s">
        <v>32334</v>
      </c>
      <c r="L9" s="10" t="s">
        <v>32335</v>
      </c>
    </row>
    <row r="10">
      <c r="A10" s="2" t="s">
        <v>4923</v>
      </c>
      <c r="B10" s="10" t="s">
        <v>32336</v>
      </c>
      <c r="C10" s="2">
        <v>6.249574326E10</v>
      </c>
      <c r="D10" s="2" t="s">
        <v>32337</v>
      </c>
      <c r="E10" s="2">
        <v>27608.0</v>
      </c>
      <c r="F10" s="2">
        <v>1.0</v>
      </c>
      <c r="G10" s="2">
        <v>117.0</v>
      </c>
      <c r="H10" s="2" t="s">
        <v>5905</v>
      </c>
      <c r="I10" s="2" t="s">
        <v>5906</v>
      </c>
      <c r="J10" s="2" t="s">
        <v>5492</v>
      </c>
      <c r="K10" s="2" t="s">
        <v>32338</v>
      </c>
      <c r="L10" s="10" t="s">
        <v>32339</v>
      </c>
    </row>
    <row r="11">
      <c r="A11" s="2" t="s">
        <v>4923</v>
      </c>
      <c r="B11" s="2" t="s">
        <v>32340</v>
      </c>
      <c r="C11" s="2">
        <v>1.1299688047E10</v>
      </c>
      <c r="D11" s="2" t="s">
        <v>32341</v>
      </c>
      <c r="E11" s="2">
        <v>17186.0</v>
      </c>
      <c r="F11" s="2">
        <v>0.0</v>
      </c>
      <c r="G11" s="2">
        <v>579.0</v>
      </c>
      <c r="H11" s="2" t="s">
        <v>5905</v>
      </c>
      <c r="I11" s="2" t="s">
        <v>5906</v>
      </c>
      <c r="K11" s="2" t="s">
        <v>32342</v>
      </c>
      <c r="L11" s="10" t="s">
        <v>32343</v>
      </c>
    </row>
    <row r="12">
      <c r="A12" s="2" t="s">
        <v>4923</v>
      </c>
      <c r="B12" s="2" t="s">
        <v>32344</v>
      </c>
      <c r="C12" s="2">
        <v>2.5392269678E10</v>
      </c>
      <c r="D12" s="2" t="s">
        <v>32345</v>
      </c>
      <c r="E12" s="2">
        <v>52462.0</v>
      </c>
      <c r="F12" s="2">
        <v>416.0</v>
      </c>
      <c r="G12" s="2">
        <v>1580.0</v>
      </c>
      <c r="H12" s="2" t="s">
        <v>5905</v>
      </c>
      <c r="I12" s="2" t="s">
        <v>5905</v>
      </c>
      <c r="J12" s="2" t="s">
        <v>5561</v>
      </c>
      <c r="K12" s="2" t="s">
        <v>32346</v>
      </c>
    </row>
    <row r="13">
      <c r="A13" s="2" t="s">
        <v>5002</v>
      </c>
      <c r="B13" s="10" t="s">
        <v>32347</v>
      </c>
      <c r="C13" s="2">
        <v>5.4256827422E10</v>
      </c>
      <c r="D13" s="2" t="s">
        <v>32348</v>
      </c>
      <c r="E13" s="2">
        <v>35669.0</v>
      </c>
      <c r="F13" s="2">
        <v>8.0</v>
      </c>
      <c r="G13" s="2">
        <v>540.0</v>
      </c>
      <c r="H13" s="2" t="s">
        <v>5905</v>
      </c>
      <c r="I13" s="2" t="s">
        <v>5905</v>
      </c>
      <c r="J13" s="2" t="s">
        <v>5948</v>
      </c>
      <c r="K13" s="2" t="s">
        <v>32349</v>
      </c>
      <c r="L13" s="10" t="s">
        <v>32350</v>
      </c>
    </row>
    <row r="14">
      <c r="A14" s="2" t="s">
        <v>5002</v>
      </c>
      <c r="B14" s="2" t="s">
        <v>32351</v>
      </c>
      <c r="C14" s="2">
        <v>1269295.0</v>
      </c>
      <c r="D14" s="2" t="s">
        <v>32352</v>
      </c>
      <c r="E14" s="2">
        <v>128709.0</v>
      </c>
      <c r="F14" s="2">
        <v>1257.0</v>
      </c>
      <c r="G14" s="2">
        <v>4869.0</v>
      </c>
      <c r="H14" s="2" t="s">
        <v>5905</v>
      </c>
      <c r="I14" s="2" t="s">
        <v>5906</v>
      </c>
      <c r="J14" s="2" t="s">
        <v>5948</v>
      </c>
      <c r="K14" s="2" t="s">
        <v>32353</v>
      </c>
      <c r="L14" s="10" t="s">
        <v>32354</v>
      </c>
    </row>
    <row r="15">
      <c r="A15" s="2" t="s">
        <v>5002</v>
      </c>
      <c r="B15" s="2" t="s">
        <v>32355</v>
      </c>
      <c r="C15" s="2">
        <v>1.353028199E9</v>
      </c>
      <c r="D15" s="2" t="s">
        <v>32356</v>
      </c>
      <c r="E15" s="2">
        <v>154268.0</v>
      </c>
      <c r="F15" s="2">
        <v>54.0</v>
      </c>
      <c r="G15" s="2">
        <v>525.0</v>
      </c>
      <c r="H15" s="2" t="s">
        <v>5906</v>
      </c>
      <c r="I15" s="2" t="s">
        <v>5905</v>
      </c>
      <c r="J15" s="2" t="s">
        <v>7620</v>
      </c>
      <c r="K15" s="2" t="s">
        <v>32357</v>
      </c>
      <c r="L15" s="10" t="s">
        <v>32358</v>
      </c>
    </row>
    <row r="16">
      <c r="A16" s="2" t="s">
        <v>5002</v>
      </c>
      <c r="B16" s="2" t="s">
        <v>32359</v>
      </c>
      <c r="C16" s="2">
        <v>4.5026532229E10</v>
      </c>
      <c r="D16" s="2" t="s">
        <v>32360</v>
      </c>
      <c r="E16" s="2">
        <v>386138.0</v>
      </c>
      <c r="F16" s="2">
        <v>1.0</v>
      </c>
      <c r="G16" s="2">
        <v>13.0</v>
      </c>
      <c r="H16" s="2" t="s">
        <v>5905</v>
      </c>
      <c r="I16" s="2" t="s">
        <v>5905</v>
      </c>
      <c r="J16" s="2" t="s">
        <v>5480</v>
      </c>
      <c r="K16" s="2" t="s">
        <v>32361</v>
      </c>
    </row>
    <row r="17">
      <c r="A17" s="2" t="s">
        <v>5002</v>
      </c>
      <c r="B17" s="2" t="s">
        <v>32362</v>
      </c>
      <c r="C17" s="2">
        <v>3.40854417E8</v>
      </c>
      <c r="D17" s="2" t="s">
        <v>32363</v>
      </c>
      <c r="E17" s="2">
        <v>10141.0</v>
      </c>
      <c r="F17" s="2">
        <v>877.0</v>
      </c>
      <c r="G17" s="2">
        <v>76.0</v>
      </c>
      <c r="H17" s="2" t="s">
        <v>5905</v>
      </c>
      <c r="I17" s="2" t="s">
        <v>5906</v>
      </c>
      <c r="J17" s="2" t="s">
        <v>5928</v>
      </c>
      <c r="K17" s="2" t="s">
        <v>32364</v>
      </c>
    </row>
    <row r="18">
      <c r="A18" s="2" t="s">
        <v>5002</v>
      </c>
      <c r="B18" s="2" t="s">
        <v>32365</v>
      </c>
      <c r="C18" s="2">
        <v>2.354576843E9</v>
      </c>
      <c r="D18" s="2" t="s">
        <v>32366</v>
      </c>
      <c r="E18" s="2">
        <v>59689.0</v>
      </c>
      <c r="F18" s="2">
        <v>1.0</v>
      </c>
      <c r="G18" s="2">
        <v>456.0</v>
      </c>
      <c r="H18" s="2" t="s">
        <v>5906</v>
      </c>
      <c r="I18" s="2" t="s">
        <v>5906</v>
      </c>
      <c r="J18" s="2" t="s">
        <v>5948</v>
      </c>
      <c r="K18" s="2" t="s">
        <v>32367</v>
      </c>
      <c r="L18" s="10" t="s">
        <v>32368</v>
      </c>
    </row>
    <row r="19">
      <c r="A19" s="2" t="s">
        <v>5002</v>
      </c>
      <c r="B19" s="2" t="s">
        <v>32369</v>
      </c>
      <c r="C19" s="2">
        <v>1.682273372E9</v>
      </c>
      <c r="D19" s="2" t="s">
        <v>32370</v>
      </c>
      <c r="E19" s="2">
        <v>37280.0</v>
      </c>
      <c r="F19" s="2">
        <v>46.0</v>
      </c>
      <c r="G19" s="2">
        <v>561.0</v>
      </c>
      <c r="H19" s="2" t="s">
        <v>5905</v>
      </c>
      <c r="I19" s="2" t="s">
        <v>5906</v>
      </c>
      <c r="K19" s="2" t="s">
        <v>32371</v>
      </c>
      <c r="L19" s="10" t="s">
        <v>32372</v>
      </c>
    </row>
    <row r="20">
      <c r="A20" s="2" t="s">
        <v>5002</v>
      </c>
      <c r="B20" s="2" t="s">
        <v>32373</v>
      </c>
      <c r="C20" s="2">
        <v>3.9473799542E10</v>
      </c>
      <c r="D20" s="2" t="s">
        <v>32374</v>
      </c>
      <c r="E20" s="2">
        <v>38930.0</v>
      </c>
      <c r="F20" s="2">
        <v>429.0</v>
      </c>
      <c r="G20" s="2">
        <v>380.0</v>
      </c>
      <c r="H20" s="2" t="s">
        <v>5905</v>
      </c>
      <c r="I20" s="2" t="s">
        <v>5905</v>
      </c>
      <c r="J20" s="2" t="s">
        <v>5968</v>
      </c>
      <c r="K20" s="2" t="s">
        <v>32375</v>
      </c>
      <c r="L20" s="10" t="s">
        <v>32376</v>
      </c>
    </row>
    <row r="21">
      <c r="A21" s="2" t="s">
        <v>4987</v>
      </c>
      <c r="B21" s="2" t="s">
        <v>32377</v>
      </c>
      <c r="C21" s="2">
        <v>4.9328697267E10</v>
      </c>
      <c r="D21" s="2" t="s">
        <v>32378</v>
      </c>
      <c r="E21" s="2">
        <v>171884.0</v>
      </c>
      <c r="F21" s="2">
        <v>91.0</v>
      </c>
      <c r="G21" s="2">
        <v>495.0</v>
      </c>
      <c r="H21" s="2" t="s">
        <v>5905</v>
      </c>
      <c r="I21" s="2" t="s">
        <v>5905</v>
      </c>
      <c r="J21" s="2" t="s">
        <v>5928</v>
      </c>
      <c r="K21" s="2" t="s">
        <v>32379</v>
      </c>
      <c r="L21" s="10" t="s">
        <v>32380</v>
      </c>
    </row>
    <row r="22">
      <c r="A22" s="2" t="s">
        <v>4987</v>
      </c>
      <c r="B22" s="2" t="s">
        <v>32381</v>
      </c>
      <c r="C22" s="2">
        <v>6.2816215222E10</v>
      </c>
      <c r="D22" s="2" t="s">
        <v>32382</v>
      </c>
      <c r="E22" s="2">
        <v>355059.0</v>
      </c>
      <c r="F22" s="2">
        <v>479.0</v>
      </c>
      <c r="G22" s="2">
        <v>914.0</v>
      </c>
      <c r="H22" s="2" t="s">
        <v>5905</v>
      </c>
      <c r="I22" s="2" t="s">
        <v>5905</v>
      </c>
      <c r="J22" s="2" t="s">
        <v>5959</v>
      </c>
      <c r="K22" s="2" t="s">
        <v>32383</v>
      </c>
      <c r="L22" s="10" t="s">
        <v>32384</v>
      </c>
    </row>
    <row r="23">
      <c r="A23" s="2" t="s">
        <v>4987</v>
      </c>
      <c r="B23" s="2" t="s">
        <v>32385</v>
      </c>
      <c r="C23" s="2">
        <v>6.5417394468E10</v>
      </c>
      <c r="D23" s="2" t="s">
        <v>32386</v>
      </c>
      <c r="E23" s="2">
        <v>376907.0</v>
      </c>
      <c r="F23" s="2">
        <v>0.0</v>
      </c>
      <c r="G23" s="2">
        <v>366.0</v>
      </c>
      <c r="H23" s="2" t="s">
        <v>5906</v>
      </c>
      <c r="I23" s="2" t="s">
        <v>5905</v>
      </c>
      <c r="J23" s="2" t="s">
        <v>5959</v>
      </c>
      <c r="K23" s="2" t="s">
        <v>32387</v>
      </c>
      <c r="L23" s="10" t="s">
        <v>32388</v>
      </c>
    </row>
    <row r="24">
      <c r="A24" s="2" t="s">
        <v>4987</v>
      </c>
      <c r="B24" s="2" t="s">
        <v>32389</v>
      </c>
      <c r="C24" s="2">
        <v>7.175762064E9</v>
      </c>
      <c r="D24" s="2" t="s">
        <v>32390</v>
      </c>
      <c r="E24" s="2">
        <v>90419.0</v>
      </c>
      <c r="F24" s="2">
        <v>3.0</v>
      </c>
      <c r="G24" s="2">
        <v>3101.0</v>
      </c>
      <c r="H24" s="2" t="s">
        <v>5905</v>
      </c>
      <c r="I24" s="2" t="s">
        <v>5905</v>
      </c>
      <c r="J24" s="2" t="s">
        <v>5518</v>
      </c>
      <c r="K24" s="2" t="s">
        <v>32391</v>
      </c>
      <c r="L24" s="10" t="s">
        <v>32392</v>
      </c>
    </row>
    <row r="25">
      <c r="A25" s="2" t="s">
        <v>4987</v>
      </c>
      <c r="B25" s="2" t="s">
        <v>32393</v>
      </c>
      <c r="C25" s="2">
        <v>6.0161226398E10</v>
      </c>
      <c r="D25" s="2" t="s">
        <v>32394</v>
      </c>
      <c r="E25" s="2">
        <v>30579.0</v>
      </c>
      <c r="F25" s="2">
        <v>16.0</v>
      </c>
      <c r="G25" s="2">
        <v>110.0</v>
      </c>
      <c r="H25" s="2" t="s">
        <v>5905</v>
      </c>
      <c r="I25" s="2" t="s">
        <v>5905</v>
      </c>
      <c r="J25" s="2" t="s">
        <v>5561</v>
      </c>
      <c r="K25" s="2" t="s">
        <v>32395</v>
      </c>
    </row>
    <row r="26">
      <c r="A26" s="2" t="s">
        <v>4987</v>
      </c>
      <c r="B26" s="2" t="s">
        <v>32396</v>
      </c>
      <c r="C26" s="2">
        <v>6.5333773218E10</v>
      </c>
      <c r="D26" s="2" t="s">
        <v>32397</v>
      </c>
      <c r="E26" s="2">
        <v>1120408.0</v>
      </c>
      <c r="F26" s="2">
        <v>0.0</v>
      </c>
      <c r="G26" s="2">
        <v>938.0</v>
      </c>
      <c r="H26" s="2" t="s">
        <v>5906</v>
      </c>
      <c r="I26" s="2" t="s">
        <v>5905</v>
      </c>
      <c r="J26" s="2" t="s">
        <v>5928</v>
      </c>
      <c r="K26" s="2" t="s">
        <v>32398</v>
      </c>
      <c r="L26" s="10" t="s">
        <v>32399</v>
      </c>
    </row>
    <row r="27">
      <c r="A27" s="2" t="s">
        <v>4987</v>
      </c>
      <c r="B27" s="2" t="s">
        <v>32400</v>
      </c>
      <c r="C27" s="2">
        <v>1.1437826761E10</v>
      </c>
      <c r="D27" s="2" t="s">
        <v>32401</v>
      </c>
      <c r="E27" s="2">
        <v>186160.0</v>
      </c>
      <c r="F27" s="2">
        <v>0.0</v>
      </c>
      <c r="G27" s="2">
        <v>718.0</v>
      </c>
      <c r="H27" s="2" t="s">
        <v>5905</v>
      </c>
      <c r="I27" s="2" t="s">
        <v>5905</v>
      </c>
      <c r="J27" s="2" t="s">
        <v>7482</v>
      </c>
      <c r="K27" s="2" t="s">
        <v>32402</v>
      </c>
      <c r="L27" s="10" t="s">
        <v>32403</v>
      </c>
    </row>
    <row r="28">
      <c r="A28" s="2" t="s">
        <v>4987</v>
      </c>
      <c r="B28" s="10" t="s">
        <v>32404</v>
      </c>
      <c r="C28" s="2">
        <v>8.625153243E9</v>
      </c>
      <c r="D28" s="2" t="s">
        <v>32405</v>
      </c>
      <c r="E28" s="2">
        <v>32825.0</v>
      </c>
      <c r="F28" s="2">
        <v>1643.0</v>
      </c>
      <c r="G28" s="2">
        <v>617.0</v>
      </c>
      <c r="H28" s="2" t="s">
        <v>5905</v>
      </c>
      <c r="I28" s="2" t="s">
        <v>5906</v>
      </c>
      <c r="J28" s="2" t="s">
        <v>7140</v>
      </c>
      <c r="K28" s="2" t="s">
        <v>32406</v>
      </c>
      <c r="L28" s="10" t="s">
        <v>32407</v>
      </c>
    </row>
    <row r="29">
      <c r="A29" s="2" t="s">
        <v>4987</v>
      </c>
      <c r="B29" s="10" t="s">
        <v>32408</v>
      </c>
      <c r="C29" s="2">
        <v>5.1757916543E10</v>
      </c>
      <c r="D29" s="2" t="s">
        <v>4987</v>
      </c>
      <c r="E29" s="2">
        <v>181859.0</v>
      </c>
      <c r="F29" s="2">
        <v>192.0</v>
      </c>
      <c r="G29" s="2">
        <v>219.0</v>
      </c>
      <c r="H29" s="2" t="s">
        <v>5905</v>
      </c>
      <c r="I29" s="2" t="s">
        <v>5905</v>
      </c>
      <c r="J29" s="2" t="s">
        <v>5963</v>
      </c>
      <c r="K29" s="2" t="s">
        <v>32409</v>
      </c>
      <c r="L29" s="10" t="s">
        <v>32410</v>
      </c>
    </row>
    <row r="30">
      <c r="A30" s="2" t="s">
        <v>4987</v>
      </c>
      <c r="B30" s="2" t="s">
        <v>32411</v>
      </c>
      <c r="C30" s="2">
        <v>4.8068573353E10</v>
      </c>
      <c r="D30" s="2" t="s">
        <v>32412</v>
      </c>
      <c r="E30" s="2">
        <v>1205567.0</v>
      </c>
      <c r="F30" s="2">
        <v>337.0</v>
      </c>
      <c r="G30" s="2">
        <v>498.0</v>
      </c>
      <c r="H30" s="2" t="s">
        <v>5906</v>
      </c>
      <c r="I30" s="2" t="s">
        <v>5906</v>
      </c>
      <c r="J30" s="2" t="s">
        <v>7140</v>
      </c>
      <c r="K30" s="2" t="s">
        <v>32413</v>
      </c>
      <c r="L30" s="10" t="s">
        <v>32414</v>
      </c>
    </row>
    <row r="31">
      <c r="A31" s="2" t="s">
        <v>5239</v>
      </c>
      <c r="B31" s="2" t="s">
        <v>32415</v>
      </c>
      <c r="C31" s="2">
        <v>2.235902782E9</v>
      </c>
      <c r="D31" s="2" t="s">
        <v>32416</v>
      </c>
      <c r="E31" s="2">
        <v>25923.0</v>
      </c>
      <c r="F31" s="2">
        <v>5803.0</v>
      </c>
      <c r="G31" s="2">
        <v>2357.0</v>
      </c>
      <c r="H31" s="2" t="s">
        <v>5905</v>
      </c>
      <c r="I31" s="2" t="s">
        <v>5906</v>
      </c>
      <c r="J31" s="2" t="s">
        <v>5963</v>
      </c>
      <c r="K31" s="2" t="s">
        <v>32417</v>
      </c>
      <c r="L31" s="10" t="s">
        <v>32418</v>
      </c>
    </row>
    <row r="32">
      <c r="A32" s="2" t="s">
        <v>5243</v>
      </c>
      <c r="B32" s="2" t="s">
        <v>32419</v>
      </c>
      <c r="C32" s="2">
        <v>5.1819838866E10</v>
      </c>
      <c r="D32" s="2" t="s">
        <v>32420</v>
      </c>
      <c r="E32" s="2">
        <v>14037.0</v>
      </c>
      <c r="F32" s="2">
        <v>203.0</v>
      </c>
      <c r="G32" s="2">
        <v>97.0</v>
      </c>
      <c r="H32" s="2" t="s">
        <v>5905</v>
      </c>
      <c r="I32" s="2" t="s">
        <v>5906</v>
      </c>
      <c r="J32" s="2" t="s">
        <v>5963</v>
      </c>
      <c r="K32" s="2" t="s">
        <v>32421</v>
      </c>
      <c r="L32" s="10" t="s">
        <v>32422</v>
      </c>
    </row>
    <row r="33">
      <c r="A33" s="2" t="s">
        <v>5005</v>
      </c>
      <c r="B33" s="2" t="s">
        <v>32423</v>
      </c>
      <c r="C33" s="2">
        <v>5.188509774E10</v>
      </c>
      <c r="D33" s="2" t="s">
        <v>32424</v>
      </c>
      <c r="E33" s="2">
        <v>335593.0</v>
      </c>
      <c r="F33" s="2">
        <v>377.0</v>
      </c>
      <c r="G33" s="2">
        <v>56.0</v>
      </c>
      <c r="H33" s="2" t="s">
        <v>5905</v>
      </c>
      <c r="I33" s="2" t="s">
        <v>5905</v>
      </c>
      <c r="J33" s="2" t="s">
        <v>5492</v>
      </c>
      <c r="K33" s="2" t="s">
        <v>32425</v>
      </c>
      <c r="L33" s="10" t="s">
        <v>32426</v>
      </c>
    </row>
    <row r="34">
      <c r="A34" s="2" t="s">
        <v>5005</v>
      </c>
      <c r="B34" s="2" t="s">
        <v>32427</v>
      </c>
      <c r="C34" s="2">
        <v>4.0133926944E10</v>
      </c>
      <c r="D34" s="2" t="s">
        <v>32428</v>
      </c>
      <c r="E34" s="2">
        <v>597938.0</v>
      </c>
      <c r="F34" s="2">
        <v>1232.0</v>
      </c>
      <c r="G34" s="2">
        <v>721.0</v>
      </c>
      <c r="H34" s="2" t="s">
        <v>5905</v>
      </c>
      <c r="I34" s="2" t="s">
        <v>5906</v>
      </c>
      <c r="J34" s="2" t="s">
        <v>25282</v>
      </c>
      <c r="K34" s="2" t="s">
        <v>32429</v>
      </c>
      <c r="L34" s="10" t="s">
        <v>32430</v>
      </c>
    </row>
    <row r="35">
      <c r="A35" s="2" t="s">
        <v>5005</v>
      </c>
      <c r="B35" s="2" t="s">
        <v>32431</v>
      </c>
      <c r="C35" s="2">
        <v>4.7083205772E10</v>
      </c>
      <c r="D35" s="2" t="s">
        <v>32432</v>
      </c>
      <c r="E35" s="2">
        <v>13328.0</v>
      </c>
      <c r="F35" s="2">
        <v>166.0</v>
      </c>
      <c r="G35" s="2">
        <v>2620.0</v>
      </c>
      <c r="H35" s="2" t="s">
        <v>5905</v>
      </c>
      <c r="I35" s="2" t="s">
        <v>5906</v>
      </c>
      <c r="J35" s="2" t="s">
        <v>32433</v>
      </c>
      <c r="K35" s="2" t="s">
        <v>32434</v>
      </c>
      <c r="L35" s="10" t="s">
        <v>32435</v>
      </c>
    </row>
    <row r="36">
      <c r="A36" s="2" t="s">
        <v>5005</v>
      </c>
      <c r="B36" s="2" t="s">
        <v>32436</v>
      </c>
      <c r="C36" s="2">
        <v>2.5017625E7</v>
      </c>
      <c r="D36" s="2" t="s">
        <v>32437</v>
      </c>
      <c r="E36" s="2">
        <v>17425.0</v>
      </c>
      <c r="F36" s="2">
        <v>235.0</v>
      </c>
      <c r="G36" s="2">
        <v>3459.0</v>
      </c>
      <c r="H36" s="2" t="s">
        <v>5905</v>
      </c>
      <c r="I36" s="2" t="s">
        <v>5905</v>
      </c>
      <c r="K36" s="2" t="s">
        <v>32438</v>
      </c>
    </row>
    <row r="37">
      <c r="A37" s="2" t="s">
        <v>4917</v>
      </c>
      <c r="B37" s="2" t="s">
        <v>32439</v>
      </c>
      <c r="C37" s="2">
        <v>4.4290812042E10</v>
      </c>
      <c r="D37" s="2" t="s">
        <v>32440</v>
      </c>
      <c r="E37" s="2">
        <v>35954.0</v>
      </c>
      <c r="F37" s="2">
        <v>111.0</v>
      </c>
      <c r="G37" s="2">
        <v>481.0</v>
      </c>
      <c r="H37" s="2" t="s">
        <v>5906</v>
      </c>
      <c r="I37" s="2" t="s">
        <v>5906</v>
      </c>
      <c r="J37" s="2" t="s">
        <v>5963</v>
      </c>
      <c r="K37" s="2" t="s">
        <v>32441</v>
      </c>
    </row>
    <row r="38">
      <c r="A38" s="2" t="s">
        <v>4917</v>
      </c>
      <c r="B38" s="10" t="s">
        <v>32442</v>
      </c>
      <c r="C38" s="2">
        <v>8.125257523E9</v>
      </c>
      <c r="D38" s="2" t="s">
        <v>32443</v>
      </c>
      <c r="E38" s="2">
        <v>19013.0</v>
      </c>
      <c r="F38" s="2">
        <v>6.0</v>
      </c>
      <c r="G38" s="2">
        <v>1103.0</v>
      </c>
      <c r="H38" s="2" t="s">
        <v>5905</v>
      </c>
      <c r="I38" s="2" t="s">
        <v>5906</v>
      </c>
      <c r="J38" s="2" t="s">
        <v>6393</v>
      </c>
      <c r="K38" s="2" t="s">
        <v>32444</v>
      </c>
    </row>
    <row r="39">
      <c r="A39" s="2" t="s">
        <v>4917</v>
      </c>
      <c r="B39" s="2" t="s">
        <v>32445</v>
      </c>
      <c r="C39" s="2">
        <v>4.124106063E9</v>
      </c>
      <c r="D39" s="2" t="s">
        <v>32446</v>
      </c>
      <c r="E39" s="2">
        <v>214902.0</v>
      </c>
      <c r="F39" s="2">
        <v>73.0</v>
      </c>
      <c r="G39" s="2">
        <v>1163.0</v>
      </c>
      <c r="H39" s="2" t="s">
        <v>5905</v>
      </c>
      <c r="I39" s="2" t="s">
        <v>5906</v>
      </c>
      <c r="J39" s="2" t="s">
        <v>5561</v>
      </c>
      <c r="K39" s="2" t="s">
        <v>32447</v>
      </c>
      <c r="L39" s="10" t="s">
        <v>32448</v>
      </c>
    </row>
    <row r="40">
      <c r="A40" s="2" t="s">
        <v>4917</v>
      </c>
      <c r="B40" s="2" t="s">
        <v>32449</v>
      </c>
      <c r="C40" s="2">
        <v>8.78304774E9</v>
      </c>
      <c r="D40" s="2" t="s">
        <v>32450</v>
      </c>
      <c r="E40" s="2">
        <v>33703.0</v>
      </c>
      <c r="F40" s="2">
        <v>0.0</v>
      </c>
      <c r="G40" s="2">
        <v>142.0</v>
      </c>
      <c r="H40" s="2" t="s">
        <v>5905</v>
      </c>
      <c r="I40" s="2" t="s">
        <v>5906</v>
      </c>
      <c r="J40" s="2" t="s">
        <v>17658</v>
      </c>
      <c r="K40" s="2" t="s">
        <v>32451</v>
      </c>
      <c r="L40" s="10" t="s">
        <v>32452</v>
      </c>
    </row>
    <row r="41">
      <c r="A41" s="2" t="s">
        <v>4917</v>
      </c>
      <c r="B41" s="2" t="s">
        <v>32453</v>
      </c>
      <c r="C41" s="2">
        <v>6.881449497E9</v>
      </c>
      <c r="D41" s="12" t="s">
        <v>32454</v>
      </c>
      <c r="E41" s="2">
        <v>150100.0</v>
      </c>
      <c r="F41" s="2">
        <v>3.0</v>
      </c>
      <c r="G41" s="2">
        <v>5769.0</v>
      </c>
      <c r="H41" s="2" t="s">
        <v>5906</v>
      </c>
      <c r="I41" s="2" t="s">
        <v>5906</v>
      </c>
      <c r="J41" s="2" t="s">
        <v>5928</v>
      </c>
      <c r="K41" s="12" t="s">
        <v>32455</v>
      </c>
    </row>
    <row r="42">
      <c r="A42" s="2" t="s">
        <v>4917</v>
      </c>
      <c r="B42" s="2" t="s">
        <v>32456</v>
      </c>
      <c r="C42" s="2">
        <v>3.67249998E9</v>
      </c>
      <c r="D42" s="2" t="s">
        <v>32457</v>
      </c>
      <c r="E42" s="2">
        <v>36657.0</v>
      </c>
      <c r="F42" s="2">
        <v>1637.0</v>
      </c>
      <c r="G42" s="2">
        <v>867.0</v>
      </c>
      <c r="H42" s="2" t="s">
        <v>5905</v>
      </c>
      <c r="I42" s="2" t="s">
        <v>5906</v>
      </c>
      <c r="J42" s="2" t="s">
        <v>5959</v>
      </c>
      <c r="K42" s="2" t="s">
        <v>32458</v>
      </c>
      <c r="L42" s="10" t="s">
        <v>32459</v>
      </c>
    </row>
    <row r="43">
      <c r="A43" s="2" t="s">
        <v>4917</v>
      </c>
      <c r="B43" s="2" t="s">
        <v>32460</v>
      </c>
      <c r="C43" s="2">
        <v>3.9176952535E10</v>
      </c>
      <c r="D43" s="2" t="s">
        <v>32461</v>
      </c>
      <c r="E43" s="2">
        <v>42244.0</v>
      </c>
      <c r="F43" s="2">
        <v>4.0</v>
      </c>
      <c r="G43" s="2">
        <v>51.0</v>
      </c>
      <c r="H43" s="2" t="s">
        <v>5905</v>
      </c>
      <c r="I43" s="2" t="s">
        <v>5906</v>
      </c>
      <c r="J43" s="2" t="s">
        <v>32462</v>
      </c>
      <c r="K43" s="12" t="s">
        <v>32463</v>
      </c>
      <c r="L43" s="10" t="s">
        <v>32464</v>
      </c>
    </row>
    <row r="44">
      <c r="A44" s="2" t="s">
        <v>4984</v>
      </c>
      <c r="B44" s="2" t="s">
        <v>32465</v>
      </c>
      <c r="C44" s="2">
        <v>2.247938249E9</v>
      </c>
      <c r="D44" s="2" t="s">
        <v>32466</v>
      </c>
      <c r="E44" s="2">
        <v>20090.0</v>
      </c>
      <c r="F44" s="2">
        <v>3009.0</v>
      </c>
      <c r="G44" s="2">
        <v>1366.0</v>
      </c>
      <c r="H44" s="2" t="s">
        <v>5905</v>
      </c>
      <c r="I44" s="2" t="s">
        <v>5906</v>
      </c>
      <c r="J44" s="2" t="s">
        <v>7620</v>
      </c>
      <c r="K44" s="2" t="s">
        <v>32467</v>
      </c>
      <c r="L44" s="10" t="s">
        <v>32468</v>
      </c>
    </row>
    <row r="45">
      <c r="A45" s="2" t="s">
        <v>4984</v>
      </c>
      <c r="B45" s="2" t="s">
        <v>32469</v>
      </c>
      <c r="C45" s="2">
        <v>4.736814067E9</v>
      </c>
      <c r="D45" s="2" t="s">
        <v>32470</v>
      </c>
      <c r="E45" s="2">
        <v>391355.0</v>
      </c>
      <c r="F45" s="2">
        <v>588.0</v>
      </c>
      <c r="G45" s="2">
        <v>877.0</v>
      </c>
      <c r="H45" s="2" t="s">
        <v>5906</v>
      </c>
      <c r="I45" s="2" t="s">
        <v>5905</v>
      </c>
      <c r="J45" s="2" t="s">
        <v>5993</v>
      </c>
      <c r="K45" s="2" t="s">
        <v>32471</v>
      </c>
      <c r="L45" s="10" t="s">
        <v>32472</v>
      </c>
    </row>
    <row r="46">
      <c r="A46" s="2" t="s">
        <v>4984</v>
      </c>
      <c r="B46" s="2" t="s">
        <v>32473</v>
      </c>
      <c r="C46" s="2">
        <v>2.7974663703E10</v>
      </c>
      <c r="D46" s="2" t="s">
        <v>32474</v>
      </c>
      <c r="E46" s="2">
        <v>164144.0</v>
      </c>
      <c r="F46" s="2">
        <v>362.0</v>
      </c>
      <c r="G46" s="2">
        <v>68.0</v>
      </c>
      <c r="H46" s="2" t="s">
        <v>5906</v>
      </c>
      <c r="I46" s="2" t="s">
        <v>5905</v>
      </c>
      <c r="J46" s="2" t="s">
        <v>5993</v>
      </c>
      <c r="K46" s="2" t="s">
        <v>32475</v>
      </c>
      <c r="L46" s="10" t="s">
        <v>32476</v>
      </c>
    </row>
    <row r="47">
      <c r="A47" s="2" t="s">
        <v>4984</v>
      </c>
      <c r="B47" s="2" t="s">
        <v>32477</v>
      </c>
      <c r="C47" s="2">
        <v>5.628124775E9</v>
      </c>
      <c r="D47" s="2" t="s">
        <v>32478</v>
      </c>
      <c r="E47" s="2">
        <v>1229038.0</v>
      </c>
      <c r="F47" s="2">
        <v>48.0</v>
      </c>
      <c r="G47" s="2">
        <v>208.0</v>
      </c>
      <c r="H47" s="2" t="s">
        <v>5905</v>
      </c>
      <c r="I47" s="2" t="s">
        <v>5906</v>
      </c>
      <c r="J47" s="2" t="s">
        <v>5561</v>
      </c>
      <c r="K47" s="2" t="s">
        <v>32479</v>
      </c>
      <c r="L47" s="10" t="s">
        <v>32480</v>
      </c>
    </row>
    <row r="48">
      <c r="A48" s="2" t="s">
        <v>4984</v>
      </c>
      <c r="B48" s="2" t="s">
        <v>32481</v>
      </c>
      <c r="C48" s="2">
        <v>3.6669186379E10</v>
      </c>
      <c r="D48" s="2" t="s">
        <v>32482</v>
      </c>
      <c r="E48" s="2">
        <v>5055260.0</v>
      </c>
      <c r="F48" s="2">
        <v>342.0</v>
      </c>
      <c r="G48" s="2">
        <v>130.0</v>
      </c>
      <c r="H48" s="2" t="s">
        <v>5906</v>
      </c>
      <c r="I48" s="2" t="s">
        <v>5906</v>
      </c>
      <c r="J48" s="2" t="s">
        <v>4404</v>
      </c>
      <c r="K48" s="2" t="s">
        <v>32483</v>
      </c>
      <c r="L48" s="10" t="s">
        <v>32484</v>
      </c>
    </row>
    <row r="49">
      <c r="A49" s="2" t="s">
        <v>4984</v>
      </c>
      <c r="B49" s="2" t="s">
        <v>32485</v>
      </c>
      <c r="C49" s="2">
        <v>1.486516676E9</v>
      </c>
      <c r="E49" s="2">
        <v>129208.0</v>
      </c>
      <c r="F49" s="2">
        <v>373.0</v>
      </c>
      <c r="G49" s="2">
        <v>122.0</v>
      </c>
      <c r="H49" s="2" t="s">
        <v>5905</v>
      </c>
      <c r="I49" s="2" t="s">
        <v>5905</v>
      </c>
      <c r="J49" s="2" t="s">
        <v>5993</v>
      </c>
      <c r="K49" s="2" t="s">
        <v>32486</v>
      </c>
      <c r="L49" s="10" t="s">
        <v>32487</v>
      </c>
    </row>
    <row r="50">
      <c r="A50" s="2" t="s">
        <v>4984</v>
      </c>
      <c r="B50" s="2" t="s">
        <v>32488</v>
      </c>
      <c r="C50" s="2">
        <v>4.2793492964E10</v>
      </c>
      <c r="D50" s="2" t="s">
        <v>32489</v>
      </c>
      <c r="E50" s="2">
        <v>111188.0</v>
      </c>
      <c r="F50" s="2">
        <v>846.0</v>
      </c>
      <c r="G50" s="2">
        <v>2066.0</v>
      </c>
      <c r="H50" s="2" t="s">
        <v>5906</v>
      </c>
      <c r="I50" s="2" t="s">
        <v>5905</v>
      </c>
      <c r="J50" s="2" t="s">
        <v>9767</v>
      </c>
      <c r="K50" s="2" t="s">
        <v>32490</v>
      </c>
    </row>
    <row r="51">
      <c r="A51" s="2" t="s">
        <v>4984</v>
      </c>
      <c r="B51" s="2" t="s">
        <v>32491</v>
      </c>
      <c r="C51" s="2">
        <v>1.79487526E8</v>
      </c>
      <c r="D51" s="2" t="s">
        <v>32492</v>
      </c>
      <c r="E51" s="2">
        <v>96646.0</v>
      </c>
      <c r="F51" s="2">
        <v>161.0</v>
      </c>
      <c r="G51" s="2">
        <v>8043.0</v>
      </c>
      <c r="H51" s="2" t="s">
        <v>5905</v>
      </c>
      <c r="I51" s="2" t="s">
        <v>5905</v>
      </c>
      <c r="J51" s="2" t="s">
        <v>7620</v>
      </c>
      <c r="K51" s="2" t="s">
        <v>32493</v>
      </c>
      <c r="L51" s="10" t="s">
        <v>32494</v>
      </c>
    </row>
    <row r="52">
      <c r="A52" s="2" t="s">
        <v>4976</v>
      </c>
      <c r="B52" s="2" t="s">
        <v>32495</v>
      </c>
      <c r="C52" s="2">
        <v>3.1695111418E10</v>
      </c>
      <c r="D52" s="2" t="s">
        <v>32496</v>
      </c>
      <c r="E52" s="2">
        <v>39744.0</v>
      </c>
      <c r="F52" s="2">
        <v>354.0</v>
      </c>
      <c r="G52" s="2">
        <v>732.0</v>
      </c>
      <c r="H52" s="2" t="s">
        <v>5906</v>
      </c>
      <c r="I52" s="2" t="s">
        <v>5906</v>
      </c>
      <c r="J52" s="2" t="s">
        <v>32497</v>
      </c>
      <c r="K52" s="2" t="s">
        <v>32498</v>
      </c>
      <c r="L52" s="10" t="s">
        <v>32499</v>
      </c>
    </row>
    <row r="53">
      <c r="A53" s="2" t="s">
        <v>4976</v>
      </c>
      <c r="B53" s="2" t="s">
        <v>32500</v>
      </c>
      <c r="C53" s="2">
        <v>2.248624868E9</v>
      </c>
      <c r="D53" s="2" t="s">
        <v>32501</v>
      </c>
      <c r="E53" s="2">
        <v>117203.0</v>
      </c>
      <c r="F53" s="2">
        <v>80.0</v>
      </c>
      <c r="G53" s="2">
        <v>28227.0</v>
      </c>
      <c r="H53" s="2" t="s">
        <v>5905</v>
      </c>
      <c r="I53" s="2" t="s">
        <v>5906</v>
      </c>
      <c r="J53" s="2" t="s">
        <v>6166</v>
      </c>
      <c r="K53" s="2" t="s">
        <v>32502</v>
      </c>
      <c r="L53" s="10" t="s">
        <v>32503</v>
      </c>
    </row>
    <row r="54">
      <c r="A54" s="2" t="s">
        <v>4976</v>
      </c>
      <c r="B54" s="2" t="s">
        <v>32504</v>
      </c>
      <c r="C54" s="2">
        <v>3.9906620859E10</v>
      </c>
      <c r="D54" s="2" t="s">
        <v>32505</v>
      </c>
      <c r="E54" s="2">
        <v>113305.0</v>
      </c>
      <c r="F54" s="2">
        <v>1299.0</v>
      </c>
      <c r="G54" s="2">
        <v>605.0</v>
      </c>
      <c r="H54" s="2" t="s">
        <v>5906</v>
      </c>
      <c r="I54" s="2" t="s">
        <v>5905</v>
      </c>
      <c r="J54" s="2" t="s">
        <v>5959</v>
      </c>
      <c r="K54" s="2" t="s">
        <v>32506</v>
      </c>
    </row>
    <row r="55">
      <c r="A55" s="2" t="s">
        <v>4976</v>
      </c>
      <c r="B55" s="2" t="s">
        <v>32507</v>
      </c>
      <c r="C55" s="2">
        <v>2.23994022E8</v>
      </c>
      <c r="D55" s="2" t="s">
        <v>32508</v>
      </c>
      <c r="E55" s="2">
        <v>148257.0</v>
      </c>
      <c r="F55" s="2">
        <v>2194.0</v>
      </c>
      <c r="G55" s="2">
        <v>408.0</v>
      </c>
      <c r="H55" s="2" t="s">
        <v>5905</v>
      </c>
      <c r="I55" s="2" t="s">
        <v>5906</v>
      </c>
      <c r="K55" s="2" t="s">
        <v>32509</v>
      </c>
      <c r="L55" s="10" t="s">
        <v>32510</v>
      </c>
    </row>
    <row r="56">
      <c r="A56" s="2" t="s">
        <v>4976</v>
      </c>
      <c r="B56" s="2" t="s">
        <v>32511</v>
      </c>
      <c r="C56" s="2">
        <v>4.2992978606E10</v>
      </c>
      <c r="D56" s="2" t="s">
        <v>32512</v>
      </c>
      <c r="E56" s="2">
        <v>76247.0</v>
      </c>
      <c r="F56" s="2">
        <v>11.0</v>
      </c>
      <c r="G56" s="2">
        <v>664.0</v>
      </c>
      <c r="H56" s="2" t="s">
        <v>5906</v>
      </c>
      <c r="I56" s="2" t="s">
        <v>5906</v>
      </c>
      <c r="J56" s="2" t="s">
        <v>5391</v>
      </c>
      <c r="K56" s="2" t="s">
        <v>32513</v>
      </c>
    </row>
    <row r="57">
      <c r="A57" s="2" t="s">
        <v>4976</v>
      </c>
      <c r="B57" s="2" t="s">
        <v>32514</v>
      </c>
      <c r="C57" s="2">
        <v>2.760476998E9</v>
      </c>
      <c r="D57" s="2" t="s">
        <v>4976</v>
      </c>
      <c r="E57" s="2">
        <v>35920.0</v>
      </c>
      <c r="F57" s="2">
        <v>121.0</v>
      </c>
      <c r="G57" s="2">
        <v>492.0</v>
      </c>
      <c r="H57" s="2" t="s">
        <v>5905</v>
      </c>
      <c r="I57" s="2" t="s">
        <v>5905</v>
      </c>
      <c r="J57" s="2" t="s">
        <v>6166</v>
      </c>
      <c r="K57" s="2" t="s">
        <v>32515</v>
      </c>
    </row>
    <row r="58">
      <c r="A58" s="2" t="s">
        <v>4976</v>
      </c>
      <c r="B58" s="2" t="s">
        <v>32516</v>
      </c>
      <c r="C58" s="2">
        <v>2.02377402E8</v>
      </c>
      <c r="D58" s="2" t="s">
        <v>32517</v>
      </c>
      <c r="E58" s="2">
        <v>34570.0</v>
      </c>
      <c r="F58" s="2">
        <v>950.0</v>
      </c>
      <c r="G58" s="2">
        <v>1270.0</v>
      </c>
      <c r="H58" s="2" t="s">
        <v>5905</v>
      </c>
      <c r="I58" s="2" t="s">
        <v>5905</v>
      </c>
      <c r="J58" s="2" t="s">
        <v>19398</v>
      </c>
      <c r="K58" s="2" t="s">
        <v>32518</v>
      </c>
      <c r="L58" s="10" t="s">
        <v>32519</v>
      </c>
    </row>
    <row r="59">
      <c r="A59" s="2" t="s">
        <v>4976</v>
      </c>
      <c r="B59" s="2" t="s">
        <v>32520</v>
      </c>
      <c r="C59" s="2">
        <v>1.683964476E9</v>
      </c>
      <c r="D59" s="2" t="s">
        <v>32521</v>
      </c>
      <c r="E59" s="2">
        <v>79397.0</v>
      </c>
      <c r="F59" s="2">
        <v>0.0</v>
      </c>
      <c r="G59" s="2">
        <v>485.0</v>
      </c>
      <c r="H59" s="2" t="s">
        <v>5905</v>
      </c>
      <c r="I59" s="2" t="s">
        <v>5906</v>
      </c>
      <c r="J59" s="2" t="s">
        <v>6166</v>
      </c>
      <c r="K59" s="2" t="s">
        <v>32522</v>
      </c>
      <c r="L59" s="10" t="s">
        <v>32523</v>
      </c>
    </row>
    <row r="60">
      <c r="A60" s="2" t="s">
        <v>4976</v>
      </c>
      <c r="B60" s="2" t="s">
        <v>32524</v>
      </c>
      <c r="C60" s="2">
        <v>6.19761474E8</v>
      </c>
      <c r="D60" s="2" t="s">
        <v>32525</v>
      </c>
      <c r="E60" s="2">
        <v>580366.0</v>
      </c>
      <c r="F60" s="2">
        <v>1618.0</v>
      </c>
      <c r="G60" s="2">
        <v>1574.0</v>
      </c>
      <c r="H60" s="2" t="s">
        <v>5906</v>
      </c>
      <c r="I60" s="2" t="s">
        <v>5906</v>
      </c>
      <c r="J60" s="2" t="s">
        <v>4996</v>
      </c>
      <c r="L60" s="10" t="s">
        <v>32526</v>
      </c>
    </row>
    <row r="61">
      <c r="A61" s="2" t="s">
        <v>4976</v>
      </c>
      <c r="B61" s="2" t="s">
        <v>32527</v>
      </c>
      <c r="C61" s="2">
        <v>1.424384756E9</v>
      </c>
      <c r="D61" s="2" t="s">
        <v>32528</v>
      </c>
      <c r="E61" s="2">
        <v>368339.0</v>
      </c>
      <c r="F61" s="2">
        <v>2.0</v>
      </c>
      <c r="G61" s="2">
        <v>810.0</v>
      </c>
      <c r="H61" s="2" t="s">
        <v>5905</v>
      </c>
      <c r="I61" s="2" t="s">
        <v>5905</v>
      </c>
      <c r="J61" s="2" t="s">
        <v>5391</v>
      </c>
      <c r="K61" s="2" t="s">
        <v>32529</v>
      </c>
      <c r="L61" s="10" t="s">
        <v>32530</v>
      </c>
    </row>
    <row r="62">
      <c r="A62" s="2" t="s">
        <v>4976</v>
      </c>
      <c r="B62" s="2" t="s">
        <v>32531</v>
      </c>
      <c r="C62" s="2">
        <v>5.0885725773E10</v>
      </c>
      <c r="D62" s="2" t="s">
        <v>32532</v>
      </c>
      <c r="E62" s="2">
        <v>121494.0</v>
      </c>
      <c r="F62" s="2">
        <v>221.0</v>
      </c>
      <c r="G62" s="2">
        <v>543.0</v>
      </c>
      <c r="H62" s="2" t="s">
        <v>5905</v>
      </c>
      <c r="I62" s="2" t="s">
        <v>5906</v>
      </c>
      <c r="J62" s="2" t="s">
        <v>6166</v>
      </c>
      <c r="K62" s="2" t="s">
        <v>32533</v>
      </c>
      <c r="L62" s="10" t="s">
        <v>32534</v>
      </c>
    </row>
    <row r="63">
      <c r="A63" s="2" t="s">
        <v>4976</v>
      </c>
      <c r="B63" s="2" t="s">
        <v>32535</v>
      </c>
      <c r="C63" s="2">
        <v>2.1283976035E10</v>
      </c>
      <c r="E63" s="2">
        <v>200462.0</v>
      </c>
      <c r="F63" s="2">
        <v>0.0</v>
      </c>
      <c r="G63" s="2">
        <v>626.0</v>
      </c>
      <c r="H63" s="2" t="s">
        <v>5905</v>
      </c>
      <c r="I63" s="2" t="s">
        <v>5906</v>
      </c>
      <c r="J63" s="2" t="s">
        <v>6166</v>
      </c>
      <c r="K63" s="2" t="s">
        <v>32536</v>
      </c>
      <c r="L63" s="10" t="s">
        <v>32537</v>
      </c>
    </row>
    <row r="64">
      <c r="A64" s="2" t="s">
        <v>4976</v>
      </c>
      <c r="B64" s="2" t="s">
        <v>32538</v>
      </c>
      <c r="C64" s="2">
        <v>5.8168384626E10</v>
      </c>
      <c r="D64" s="2" t="s">
        <v>32539</v>
      </c>
      <c r="E64" s="2">
        <v>32292.0</v>
      </c>
      <c r="F64" s="2">
        <v>674.0</v>
      </c>
      <c r="G64" s="2">
        <v>264.0</v>
      </c>
      <c r="H64" s="2" t="s">
        <v>5905</v>
      </c>
      <c r="I64" s="2" t="s">
        <v>5906</v>
      </c>
      <c r="J64" s="2" t="s">
        <v>6161</v>
      </c>
      <c r="K64" s="2" t="s">
        <v>32540</v>
      </c>
      <c r="L64" s="10" t="s">
        <v>32541</v>
      </c>
    </row>
    <row r="65">
      <c r="A65" s="2" t="s">
        <v>4976</v>
      </c>
      <c r="B65" s="2" t="s">
        <v>32542</v>
      </c>
      <c r="C65" s="2">
        <v>3.618289425E9</v>
      </c>
      <c r="D65" s="2" t="s">
        <v>32543</v>
      </c>
      <c r="E65" s="2">
        <v>103082.0</v>
      </c>
      <c r="F65" s="2">
        <v>1227.0</v>
      </c>
      <c r="G65" s="2">
        <v>1524.0</v>
      </c>
      <c r="H65" s="2" t="s">
        <v>5906</v>
      </c>
      <c r="I65" s="2" t="s">
        <v>5906</v>
      </c>
      <c r="J65" s="2" t="s">
        <v>5492</v>
      </c>
      <c r="K65" s="2" t="s">
        <v>32544</v>
      </c>
      <c r="L65" s="10" t="s">
        <v>32545</v>
      </c>
    </row>
    <row r="66">
      <c r="A66" s="2" t="s">
        <v>4976</v>
      </c>
      <c r="B66" s="2" t="s">
        <v>32546</v>
      </c>
      <c r="C66" s="2">
        <v>1.3850529255E10</v>
      </c>
      <c r="D66" s="2" t="s">
        <v>32547</v>
      </c>
      <c r="E66" s="2">
        <v>252793.0</v>
      </c>
      <c r="F66" s="2">
        <v>11.0</v>
      </c>
      <c r="G66" s="2">
        <v>2201.0</v>
      </c>
      <c r="H66" s="2" t="s">
        <v>5905</v>
      </c>
      <c r="I66" s="2" t="s">
        <v>5906</v>
      </c>
      <c r="J66" s="2" t="s">
        <v>6166</v>
      </c>
      <c r="K66" s="2" t="s">
        <v>32548</v>
      </c>
    </row>
    <row r="67">
      <c r="A67" s="2" t="s">
        <v>4976</v>
      </c>
      <c r="B67" s="2" t="s">
        <v>32549</v>
      </c>
      <c r="C67" s="2">
        <v>5.7999266743E10</v>
      </c>
      <c r="D67" s="2" t="s">
        <v>32550</v>
      </c>
      <c r="E67" s="2">
        <v>139854.0</v>
      </c>
      <c r="F67" s="2">
        <v>1.0</v>
      </c>
      <c r="G67" s="2">
        <v>333.0</v>
      </c>
      <c r="H67" s="2" t="s">
        <v>5905</v>
      </c>
      <c r="I67" s="2" t="s">
        <v>5905</v>
      </c>
      <c r="J67" s="2" t="s">
        <v>6166</v>
      </c>
      <c r="K67" s="2" t="s">
        <v>32551</v>
      </c>
      <c r="L67" s="10" t="s">
        <v>32552</v>
      </c>
    </row>
    <row r="68">
      <c r="A68" s="2" t="s">
        <v>4932</v>
      </c>
      <c r="B68" s="2" t="s">
        <v>32553</v>
      </c>
      <c r="C68" s="2">
        <v>2790287.0</v>
      </c>
      <c r="D68" s="2" t="s">
        <v>32554</v>
      </c>
      <c r="E68" s="2">
        <v>15483.0</v>
      </c>
      <c r="F68" s="2">
        <v>1307.0</v>
      </c>
      <c r="G68" s="2">
        <v>495.0</v>
      </c>
      <c r="H68" s="2" t="s">
        <v>5905</v>
      </c>
      <c r="I68" s="2" t="s">
        <v>5905</v>
      </c>
      <c r="J68" s="2" t="s">
        <v>5492</v>
      </c>
      <c r="K68" s="2" t="s">
        <v>32555</v>
      </c>
    </row>
    <row r="69">
      <c r="A69" s="2" t="s">
        <v>4983</v>
      </c>
      <c r="B69" s="2" t="s">
        <v>32556</v>
      </c>
      <c r="C69" s="2">
        <v>7.0461386926E10</v>
      </c>
      <c r="D69" s="2" t="s">
        <v>4983</v>
      </c>
      <c r="E69" s="2">
        <v>21195.0</v>
      </c>
      <c r="F69" s="2">
        <v>0.0</v>
      </c>
      <c r="G69" s="2">
        <v>195.0</v>
      </c>
      <c r="H69" s="2" t="s">
        <v>5905</v>
      </c>
      <c r="I69" s="2" t="s">
        <v>5905</v>
      </c>
      <c r="J69" s="2" t="s">
        <v>5928</v>
      </c>
      <c r="K69" s="12" t="s">
        <v>32557</v>
      </c>
    </row>
    <row r="70">
      <c r="A70" s="2" t="s">
        <v>4983</v>
      </c>
      <c r="B70" s="2" t="s">
        <v>32558</v>
      </c>
      <c r="C70" s="2">
        <v>5.7020735496E10</v>
      </c>
      <c r="D70" s="2" t="s">
        <v>32559</v>
      </c>
      <c r="E70" s="2">
        <v>51051.0</v>
      </c>
      <c r="F70" s="2">
        <v>2.0</v>
      </c>
      <c r="G70" s="2">
        <v>342.0</v>
      </c>
      <c r="H70" s="2" t="s">
        <v>5905</v>
      </c>
      <c r="I70" s="2" t="s">
        <v>5905</v>
      </c>
      <c r="J70" s="2" t="s">
        <v>6166</v>
      </c>
      <c r="K70" s="12" t="s">
        <v>32560</v>
      </c>
    </row>
    <row r="71">
      <c r="A71" s="2" t="s">
        <v>4983</v>
      </c>
      <c r="B71" s="2" t="s">
        <v>32561</v>
      </c>
      <c r="C71" s="2">
        <v>1.243926455E9</v>
      </c>
      <c r="D71" s="2" t="s">
        <v>32562</v>
      </c>
      <c r="E71" s="2">
        <v>22146.0</v>
      </c>
      <c r="F71" s="2">
        <v>7487.0</v>
      </c>
      <c r="G71" s="2">
        <v>50.0</v>
      </c>
      <c r="H71" s="2" t="s">
        <v>5906</v>
      </c>
      <c r="I71" s="2" t="s">
        <v>5906</v>
      </c>
      <c r="J71" s="2" t="s">
        <v>6166</v>
      </c>
      <c r="K71" s="2" t="s">
        <v>32563</v>
      </c>
      <c r="L71" s="10" t="s">
        <v>32564</v>
      </c>
    </row>
    <row r="72">
      <c r="A72" s="2" t="s">
        <v>4983</v>
      </c>
      <c r="B72" s="2" t="s">
        <v>32565</v>
      </c>
      <c r="C72" s="2">
        <v>2.1621244E7</v>
      </c>
      <c r="D72" s="2" t="s">
        <v>32566</v>
      </c>
      <c r="E72" s="2">
        <v>82206.0</v>
      </c>
      <c r="F72" s="2">
        <v>1365.0</v>
      </c>
      <c r="G72" s="2">
        <v>1716.0</v>
      </c>
      <c r="H72" s="2" t="s">
        <v>5905</v>
      </c>
      <c r="I72" s="2" t="s">
        <v>5905</v>
      </c>
      <c r="J72" s="2" t="s">
        <v>5993</v>
      </c>
      <c r="K72" s="2" t="s">
        <v>32567</v>
      </c>
      <c r="L72" s="10" t="s">
        <v>32568</v>
      </c>
    </row>
    <row r="73">
      <c r="A73" s="2" t="s">
        <v>4983</v>
      </c>
      <c r="B73" s="2" t="s">
        <v>32569</v>
      </c>
      <c r="C73" s="2">
        <v>4.2121266299E10</v>
      </c>
      <c r="D73" s="2" t="s">
        <v>32570</v>
      </c>
      <c r="E73" s="2">
        <v>64498.0</v>
      </c>
      <c r="F73" s="2">
        <v>2.0</v>
      </c>
      <c r="G73" s="2">
        <v>879.0</v>
      </c>
      <c r="H73" s="2" t="s">
        <v>5905</v>
      </c>
      <c r="I73" s="2" t="s">
        <v>5906</v>
      </c>
      <c r="J73" s="2" t="s">
        <v>5561</v>
      </c>
      <c r="K73" s="2" t="s">
        <v>32571</v>
      </c>
      <c r="L73" s="10" t="s">
        <v>32572</v>
      </c>
    </row>
    <row r="74">
      <c r="A74" s="2" t="s">
        <v>4983</v>
      </c>
      <c r="B74" s="2" t="s">
        <v>32573</v>
      </c>
      <c r="C74" s="2">
        <v>2.1619900174E10</v>
      </c>
      <c r="D74" s="2" t="s">
        <v>32574</v>
      </c>
      <c r="E74" s="2">
        <v>38870.0</v>
      </c>
      <c r="F74" s="2">
        <v>80.0</v>
      </c>
      <c r="G74" s="2">
        <v>372.0</v>
      </c>
      <c r="H74" s="2" t="s">
        <v>5906</v>
      </c>
      <c r="I74" s="2" t="s">
        <v>5906</v>
      </c>
      <c r="J74" s="2" t="s">
        <v>6002</v>
      </c>
      <c r="K74" s="2" t="s">
        <v>32575</v>
      </c>
    </row>
    <row r="75">
      <c r="A75" s="2" t="s">
        <v>4983</v>
      </c>
      <c r="B75" s="2" t="s">
        <v>32576</v>
      </c>
      <c r="C75" s="2">
        <v>3.5546364331E10</v>
      </c>
      <c r="D75" s="2" t="s">
        <v>32577</v>
      </c>
      <c r="E75" s="2">
        <v>22263.0</v>
      </c>
      <c r="F75" s="2">
        <v>96.0</v>
      </c>
      <c r="G75" s="2">
        <v>8183.0</v>
      </c>
      <c r="H75" s="2" t="s">
        <v>5905</v>
      </c>
      <c r="I75" s="2" t="s">
        <v>5906</v>
      </c>
      <c r="J75" s="2" t="s">
        <v>6023</v>
      </c>
      <c r="K75" s="2" t="s">
        <v>32578</v>
      </c>
    </row>
    <row r="76">
      <c r="A76" s="2" t="s">
        <v>4983</v>
      </c>
      <c r="B76" s="2" t="s">
        <v>32579</v>
      </c>
      <c r="C76" s="2">
        <v>9.170065651E9</v>
      </c>
      <c r="D76" s="2" t="s">
        <v>32577</v>
      </c>
      <c r="E76" s="2">
        <v>14867.0</v>
      </c>
      <c r="F76" s="2">
        <v>1160.0</v>
      </c>
      <c r="G76" s="2">
        <v>22.0</v>
      </c>
      <c r="H76" s="2" t="s">
        <v>5905</v>
      </c>
      <c r="I76" s="2" t="s">
        <v>5906</v>
      </c>
      <c r="J76" s="2" t="s">
        <v>5561</v>
      </c>
      <c r="K76" s="2" t="s">
        <v>32580</v>
      </c>
    </row>
    <row r="77">
      <c r="A77" s="2" t="s">
        <v>4926</v>
      </c>
      <c r="B77" s="2" t="s">
        <v>32581</v>
      </c>
      <c r="C77" s="2">
        <v>3.01672329E9</v>
      </c>
      <c r="D77" s="2" t="s">
        <v>32582</v>
      </c>
      <c r="E77" s="2">
        <v>11131.0</v>
      </c>
      <c r="F77" s="2">
        <v>3746.0</v>
      </c>
      <c r="G77" s="2">
        <v>284.0</v>
      </c>
      <c r="H77" s="2" t="s">
        <v>5905</v>
      </c>
      <c r="I77" s="2" t="s">
        <v>5906</v>
      </c>
      <c r="K77" s="2" t="s">
        <v>32583</v>
      </c>
      <c r="L77" s="10" t="s">
        <v>32584</v>
      </c>
    </row>
    <row r="78">
      <c r="A78" s="2" t="s">
        <v>4926</v>
      </c>
      <c r="B78" s="2" t="s">
        <v>32585</v>
      </c>
      <c r="C78" s="2">
        <v>8.732741018E9</v>
      </c>
      <c r="D78" s="2" t="s">
        <v>32586</v>
      </c>
      <c r="E78" s="2">
        <v>48848.0</v>
      </c>
      <c r="F78" s="2">
        <v>2.0</v>
      </c>
      <c r="G78" s="2">
        <v>352.0</v>
      </c>
      <c r="H78" s="2" t="s">
        <v>5905</v>
      </c>
      <c r="I78" s="2" t="s">
        <v>5906</v>
      </c>
      <c r="J78" s="2" t="s">
        <v>6002</v>
      </c>
      <c r="K78" s="2" t="s">
        <v>32587</v>
      </c>
      <c r="L78" s="10" t="s">
        <v>32588</v>
      </c>
    </row>
    <row r="79">
      <c r="A79" s="2" t="s">
        <v>4381</v>
      </c>
      <c r="B79" s="2" t="s">
        <v>32589</v>
      </c>
      <c r="C79" s="2">
        <v>5.723311897E9</v>
      </c>
      <c r="D79" s="2" t="s">
        <v>32590</v>
      </c>
      <c r="E79" s="2">
        <v>12493.0</v>
      </c>
      <c r="F79" s="2">
        <v>1831.0</v>
      </c>
      <c r="G79" s="2">
        <v>226.0</v>
      </c>
      <c r="H79" s="2" t="s">
        <v>5905</v>
      </c>
      <c r="I79" s="2" t="s">
        <v>5905</v>
      </c>
      <c r="J79" s="2" t="s">
        <v>5928</v>
      </c>
    </row>
    <row r="80">
      <c r="A80" s="2" t="s">
        <v>4381</v>
      </c>
      <c r="B80" s="2" t="s">
        <v>32591</v>
      </c>
      <c r="C80" s="2">
        <v>3.503771078E9</v>
      </c>
      <c r="E80" s="2">
        <v>68310.0</v>
      </c>
      <c r="F80" s="2">
        <v>423.0</v>
      </c>
      <c r="G80" s="2">
        <v>410.0</v>
      </c>
      <c r="H80" s="2" t="s">
        <v>5905</v>
      </c>
      <c r="I80" s="2" t="s">
        <v>5905</v>
      </c>
      <c r="K80" s="2" t="s">
        <v>32592</v>
      </c>
    </row>
    <row r="81">
      <c r="A81" s="2" t="s">
        <v>4381</v>
      </c>
      <c r="B81" s="2" t="s">
        <v>32593</v>
      </c>
      <c r="C81" s="2">
        <v>2.463047524E9</v>
      </c>
      <c r="D81" s="2" t="s">
        <v>32594</v>
      </c>
      <c r="E81" s="2">
        <v>1.3931177E7</v>
      </c>
      <c r="F81" s="2">
        <v>7.0</v>
      </c>
      <c r="G81" s="2">
        <v>3817.0</v>
      </c>
      <c r="H81" s="2" t="s">
        <v>5906</v>
      </c>
      <c r="I81" s="2" t="s">
        <v>5906</v>
      </c>
      <c r="K81" s="2" t="s">
        <v>32595</v>
      </c>
      <c r="L81" s="10" t="s">
        <v>32596</v>
      </c>
    </row>
    <row r="82">
      <c r="A82" s="2" t="s">
        <v>4381</v>
      </c>
      <c r="B82" s="2" t="s">
        <v>32597</v>
      </c>
      <c r="C82" s="2">
        <v>1.783865549E9</v>
      </c>
      <c r="D82" s="2" t="s">
        <v>32598</v>
      </c>
      <c r="E82" s="2">
        <v>95207.0</v>
      </c>
      <c r="F82" s="2">
        <v>414.0</v>
      </c>
      <c r="G82" s="2">
        <v>240.0</v>
      </c>
      <c r="H82" s="2" t="s">
        <v>5906</v>
      </c>
      <c r="I82" s="2" t="s">
        <v>5905</v>
      </c>
      <c r="J82" s="2" t="s">
        <v>7414</v>
      </c>
      <c r="K82" s="2" t="s">
        <v>32599</v>
      </c>
      <c r="L82" s="10" t="s">
        <v>32600</v>
      </c>
    </row>
    <row r="83">
      <c r="A83" s="2" t="s">
        <v>5131</v>
      </c>
      <c r="B83" s="2" t="s">
        <v>32601</v>
      </c>
      <c r="C83" s="2">
        <v>1.065702173E9</v>
      </c>
      <c r="D83" s="2" t="s">
        <v>32602</v>
      </c>
      <c r="E83" s="2">
        <v>395597.0</v>
      </c>
      <c r="F83" s="2">
        <v>2784.0</v>
      </c>
      <c r="G83" s="2">
        <v>223.0</v>
      </c>
      <c r="H83" s="2" t="s">
        <v>5906</v>
      </c>
      <c r="I83" s="2" t="s">
        <v>5906</v>
      </c>
      <c r="J83" s="2" t="s">
        <v>5959</v>
      </c>
      <c r="K83" s="2" t="s">
        <v>32603</v>
      </c>
    </row>
    <row r="84">
      <c r="A84" s="2" t="s">
        <v>5131</v>
      </c>
      <c r="B84" s="2" t="s">
        <v>32604</v>
      </c>
      <c r="C84" s="2">
        <v>7.101488717E9</v>
      </c>
      <c r="D84" s="2" t="s">
        <v>32605</v>
      </c>
      <c r="E84" s="2">
        <v>15850.0</v>
      </c>
      <c r="F84" s="2">
        <v>673.0</v>
      </c>
      <c r="G84" s="2">
        <v>2635.0</v>
      </c>
      <c r="H84" s="2" t="s">
        <v>5905</v>
      </c>
      <c r="I84" s="2" t="s">
        <v>5905</v>
      </c>
      <c r="J84" s="2" t="s">
        <v>6166</v>
      </c>
      <c r="K84" s="2" t="s">
        <v>32606</v>
      </c>
      <c r="L84" s="10" t="s">
        <v>32607</v>
      </c>
    </row>
    <row r="85">
      <c r="A85" s="2" t="s">
        <v>5131</v>
      </c>
      <c r="B85" s="10" t="s">
        <v>32608</v>
      </c>
      <c r="C85" s="2">
        <v>8.776588197E9</v>
      </c>
      <c r="D85" s="2" t="s">
        <v>32609</v>
      </c>
      <c r="E85" s="2">
        <v>18583.0</v>
      </c>
      <c r="F85" s="2">
        <v>725.0</v>
      </c>
      <c r="G85" s="2">
        <v>784.0</v>
      </c>
      <c r="H85" s="2" t="s">
        <v>5906</v>
      </c>
      <c r="I85" s="2" t="s">
        <v>5905</v>
      </c>
      <c r="J85" s="2" t="s">
        <v>7414</v>
      </c>
      <c r="K85" s="2" t="s">
        <v>32610</v>
      </c>
      <c r="L85" s="10" t="s">
        <v>32611</v>
      </c>
    </row>
    <row r="86">
      <c r="A86" s="2" t="s">
        <v>5131</v>
      </c>
      <c r="B86" s="2" t="s">
        <v>32612</v>
      </c>
      <c r="C86" s="2">
        <v>3.223911975E9</v>
      </c>
      <c r="D86" s="2" t="s">
        <v>32613</v>
      </c>
      <c r="E86" s="2">
        <v>43535.0</v>
      </c>
      <c r="F86" s="2">
        <v>630.0</v>
      </c>
      <c r="G86" s="2">
        <v>266.0</v>
      </c>
      <c r="H86" s="2" t="s">
        <v>5905</v>
      </c>
      <c r="I86" s="2" t="s">
        <v>5905</v>
      </c>
      <c r="J86" s="2" t="s">
        <v>7414</v>
      </c>
      <c r="K86" s="2" t="s">
        <v>32614</v>
      </c>
      <c r="L86" s="10" t="s">
        <v>32615</v>
      </c>
    </row>
    <row r="87">
      <c r="A87" s="2" t="s">
        <v>5131</v>
      </c>
      <c r="B87" s="2" t="s">
        <v>32616</v>
      </c>
      <c r="C87" s="2">
        <v>3.033687702E10</v>
      </c>
      <c r="D87" s="2" t="s">
        <v>32617</v>
      </c>
      <c r="E87" s="2">
        <v>83621.0</v>
      </c>
      <c r="F87" s="2">
        <v>7504.0</v>
      </c>
      <c r="G87" s="2">
        <v>13802.0</v>
      </c>
      <c r="H87" s="2" t="s">
        <v>5905</v>
      </c>
      <c r="I87" s="2" t="s">
        <v>5905</v>
      </c>
      <c r="J87" s="2" t="s">
        <v>6414</v>
      </c>
      <c r="K87" s="2" t="s">
        <v>32618</v>
      </c>
    </row>
    <row r="88">
      <c r="A88" s="2" t="s">
        <v>5131</v>
      </c>
      <c r="B88" s="2" t="s">
        <v>32619</v>
      </c>
      <c r="C88" s="2">
        <v>6.7605062091E10</v>
      </c>
      <c r="D88" s="12" t="s">
        <v>32620</v>
      </c>
      <c r="E88" s="2">
        <v>76923.0</v>
      </c>
      <c r="F88" s="2">
        <v>107.0</v>
      </c>
      <c r="G88" s="2">
        <v>128.0</v>
      </c>
      <c r="H88" s="2" t="s">
        <v>5905</v>
      </c>
      <c r="I88" s="2" t="s">
        <v>5905</v>
      </c>
      <c r="J88" s="2" t="s">
        <v>7414</v>
      </c>
      <c r="K88" s="12" t="s">
        <v>32621</v>
      </c>
      <c r="L88" s="10" t="s">
        <v>32622</v>
      </c>
    </row>
    <row r="89">
      <c r="A89" s="2" t="s">
        <v>5131</v>
      </c>
      <c r="B89" s="2" t="s">
        <v>32623</v>
      </c>
      <c r="C89" s="2">
        <v>1.177666424E9</v>
      </c>
      <c r="D89" s="2" t="s">
        <v>32624</v>
      </c>
      <c r="E89" s="2">
        <v>2471308.0</v>
      </c>
      <c r="F89" s="2">
        <v>886.0</v>
      </c>
      <c r="G89" s="2">
        <v>204.0</v>
      </c>
      <c r="H89" s="2" t="s">
        <v>5905</v>
      </c>
      <c r="I89" s="2" t="s">
        <v>5905</v>
      </c>
      <c r="J89" s="2" t="s">
        <v>6414</v>
      </c>
      <c r="K89" s="2" t="s">
        <v>32625</v>
      </c>
      <c r="L89" s="10" t="s">
        <v>32626</v>
      </c>
    </row>
    <row r="90">
      <c r="A90" s="2" t="s">
        <v>5130</v>
      </c>
      <c r="B90" s="2" t="s">
        <v>32627</v>
      </c>
      <c r="C90" s="2">
        <v>9.178790434E9</v>
      </c>
      <c r="D90" s="2" t="s">
        <v>32628</v>
      </c>
      <c r="E90" s="2">
        <v>14809.0</v>
      </c>
      <c r="F90" s="2">
        <v>982.0</v>
      </c>
      <c r="G90" s="2">
        <v>485.0</v>
      </c>
      <c r="H90" s="2" t="s">
        <v>5905</v>
      </c>
      <c r="I90" s="2" t="s">
        <v>5906</v>
      </c>
      <c r="J90" s="2" t="s">
        <v>7620</v>
      </c>
      <c r="K90" s="2" t="s">
        <v>32629</v>
      </c>
    </row>
    <row r="91">
      <c r="A91" s="2" t="s">
        <v>5159</v>
      </c>
      <c r="B91" s="2" t="s">
        <v>32630</v>
      </c>
      <c r="C91" s="2">
        <v>5.4823707595E10</v>
      </c>
      <c r="D91" s="2" t="s">
        <v>32631</v>
      </c>
      <c r="E91" s="2">
        <v>389574.0</v>
      </c>
      <c r="F91" s="2">
        <v>65.0</v>
      </c>
      <c r="G91" s="2">
        <v>137.0</v>
      </c>
      <c r="H91" s="2" t="s">
        <v>5905</v>
      </c>
      <c r="I91" s="2" t="s">
        <v>5905</v>
      </c>
      <c r="J91" s="2" t="s">
        <v>5492</v>
      </c>
      <c r="K91" s="2" t="s">
        <v>32632</v>
      </c>
    </row>
    <row r="92">
      <c r="A92" s="2" t="s">
        <v>5159</v>
      </c>
      <c r="B92" s="2" t="s">
        <v>32633</v>
      </c>
      <c r="C92" s="2">
        <v>6.49564652E9</v>
      </c>
      <c r="D92" s="2" t="s">
        <v>5159</v>
      </c>
      <c r="E92" s="2">
        <v>130999.0</v>
      </c>
      <c r="F92" s="2">
        <v>5580.0</v>
      </c>
      <c r="G92" s="2">
        <v>1370.0</v>
      </c>
      <c r="H92" s="2" t="s">
        <v>5905</v>
      </c>
      <c r="I92" s="2" t="s">
        <v>5905</v>
      </c>
      <c r="J92" s="2" t="s">
        <v>5391</v>
      </c>
      <c r="K92" s="2" t="s">
        <v>32634</v>
      </c>
      <c r="L92" s="10" t="s">
        <v>32635</v>
      </c>
    </row>
    <row r="93">
      <c r="A93" s="2" t="s">
        <v>5159</v>
      </c>
      <c r="B93" s="2" t="s">
        <v>32636</v>
      </c>
      <c r="C93" s="2">
        <v>1.456003799E9</v>
      </c>
      <c r="D93" s="2" t="s">
        <v>32637</v>
      </c>
      <c r="E93" s="2">
        <v>400077.0</v>
      </c>
      <c r="F93" s="2">
        <v>7434.0</v>
      </c>
      <c r="G93" s="2">
        <v>3993.0</v>
      </c>
      <c r="H93" s="2" t="s">
        <v>5906</v>
      </c>
      <c r="I93" s="2" t="s">
        <v>5905</v>
      </c>
      <c r="J93" s="2" t="s">
        <v>5959</v>
      </c>
      <c r="K93" s="2" t="s">
        <v>32638</v>
      </c>
      <c r="L93" s="10" t="s">
        <v>32639</v>
      </c>
    </row>
    <row r="94">
      <c r="A94" s="2" t="s">
        <v>5159</v>
      </c>
      <c r="B94" s="2" t="s">
        <v>32640</v>
      </c>
      <c r="C94" s="2">
        <v>2.008515798E9</v>
      </c>
      <c r="D94" s="2" t="s">
        <v>32641</v>
      </c>
      <c r="E94" s="2">
        <v>251692.0</v>
      </c>
      <c r="F94" s="2">
        <v>798.0</v>
      </c>
      <c r="G94" s="2">
        <v>1330.0</v>
      </c>
      <c r="H94" s="2" t="s">
        <v>5906</v>
      </c>
      <c r="I94" s="2" t="s">
        <v>5905</v>
      </c>
      <c r="J94" s="2" t="s">
        <v>6414</v>
      </c>
      <c r="K94" s="2" t="s">
        <v>32642</v>
      </c>
      <c r="L94" s="10" t="s">
        <v>32643</v>
      </c>
    </row>
    <row r="95">
      <c r="A95" s="2" t="s">
        <v>5159</v>
      </c>
      <c r="B95" s="2" t="s">
        <v>32644</v>
      </c>
      <c r="C95" s="2">
        <v>2.531792759E9</v>
      </c>
      <c r="D95" s="2" t="s">
        <v>32645</v>
      </c>
      <c r="E95" s="2">
        <v>23587.0</v>
      </c>
      <c r="F95" s="2">
        <v>4300.0</v>
      </c>
      <c r="G95" s="2">
        <v>4834.0</v>
      </c>
      <c r="H95" s="2" t="s">
        <v>5905</v>
      </c>
      <c r="I95" s="2" t="s">
        <v>5906</v>
      </c>
      <c r="J95" s="2" t="s">
        <v>14778</v>
      </c>
      <c r="K95" s="2" t="s">
        <v>32646</v>
      </c>
      <c r="L95" s="10" t="s">
        <v>32647</v>
      </c>
    </row>
    <row r="96">
      <c r="A96" s="2" t="s">
        <v>5159</v>
      </c>
      <c r="B96" s="2" t="s">
        <v>32648</v>
      </c>
      <c r="C96" s="2">
        <v>4.650819885E10</v>
      </c>
      <c r="D96" s="2" t="s">
        <v>32649</v>
      </c>
      <c r="E96" s="2">
        <v>19338.0</v>
      </c>
      <c r="F96" s="2">
        <v>89.0</v>
      </c>
      <c r="G96" s="2">
        <v>0.0</v>
      </c>
      <c r="H96" s="2" t="s">
        <v>5905</v>
      </c>
      <c r="I96" s="2" t="s">
        <v>5906</v>
      </c>
      <c r="J96" s="2" t="s">
        <v>19328</v>
      </c>
      <c r="K96" s="2" t="s">
        <v>32650</v>
      </c>
      <c r="L96" s="10" t="s">
        <v>32651</v>
      </c>
    </row>
    <row r="97">
      <c r="A97" s="2" t="s">
        <v>5159</v>
      </c>
      <c r="B97" s="2" t="s">
        <v>32652</v>
      </c>
      <c r="C97" s="2">
        <v>5.013460977E9</v>
      </c>
      <c r="D97" s="2" t="s">
        <v>32653</v>
      </c>
      <c r="E97" s="2">
        <v>28414.0</v>
      </c>
      <c r="F97" s="2">
        <v>404.0</v>
      </c>
      <c r="G97" s="2">
        <v>424.0</v>
      </c>
      <c r="H97" s="2" t="s">
        <v>5905</v>
      </c>
      <c r="I97" s="2" t="s">
        <v>5905</v>
      </c>
      <c r="J97" s="2" t="s">
        <v>5492</v>
      </c>
      <c r="K97" s="2" t="s">
        <v>32654</v>
      </c>
      <c r="L97" s="10" t="s">
        <v>32655</v>
      </c>
    </row>
    <row r="98">
      <c r="A98" s="2" t="s">
        <v>5161</v>
      </c>
      <c r="B98" s="2" t="s">
        <v>32656</v>
      </c>
      <c r="C98" s="2">
        <v>2.8980601191E10</v>
      </c>
      <c r="D98" s="2" t="s">
        <v>32657</v>
      </c>
      <c r="E98" s="2">
        <v>49015.0</v>
      </c>
      <c r="F98" s="2">
        <v>60.0</v>
      </c>
      <c r="G98" s="2">
        <v>66.0</v>
      </c>
      <c r="H98" s="2" t="s">
        <v>5906</v>
      </c>
      <c r="I98" s="2" t="s">
        <v>5906</v>
      </c>
      <c r="J98" s="2" t="s">
        <v>11509</v>
      </c>
      <c r="K98" s="2" t="s">
        <v>32658</v>
      </c>
      <c r="L98" s="10" t="s">
        <v>32659</v>
      </c>
    </row>
    <row r="99">
      <c r="A99" s="2" t="s">
        <v>5133</v>
      </c>
      <c r="B99" s="2" t="s">
        <v>32660</v>
      </c>
      <c r="C99" s="2">
        <v>5.614015174E9</v>
      </c>
      <c r="D99" s="2" t="s">
        <v>32661</v>
      </c>
      <c r="E99" s="2">
        <v>115836.0</v>
      </c>
      <c r="F99" s="2">
        <v>209.0</v>
      </c>
      <c r="G99" s="2">
        <v>347.0</v>
      </c>
      <c r="H99" s="2" t="s">
        <v>5905</v>
      </c>
      <c r="I99" s="2" t="s">
        <v>5906</v>
      </c>
      <c r="J99" s="2" t="s">
        <v>7414</v>
      </c>
      <c r="K99" s="2" t="s">
        <v>32662</v>
      </c>
    </row>
    <row r="100">
      <c r="A100" s="2" t="s">
        <v>5133</v>
      </c>
      <c r="B100" s="2" t="s">
        <v>32663</v>
      </c>
      <c r="C100" s="2">
        <v>1.545073441E9</v>
      </c>
      <c r="D100" s="2" t="s">
        <v>5133</v>
      </c>
      <c r="E100" s="2">
        <v>381621.0</v>
      </c>
      <c r="F100" s="2">
        <v>16.0</v>
      </c>
      <c r="G100" s="2">
        <v>25783.0</v>
      </c>
      <c r="H100" s="2" t="s">
        <v>5905</v>
      </c>
      <c r="I100" s="2" t="s">
        <v>5906</v>
      </c>
      <c r="J100" s="2" t="s">
        <v>7753</v>
      </c>
      <c r="K100" s="12" t="s">
        <v>32664</v>
      </c>
      <c r="L100" s="10" t="s">
        <v>32665</v>
      </c>
    </row>
    <row r="101">
      <c r="A101" s="2" t="s">
        <v>5133</v>
      </c>
      <c r="B101" s="2" t="s">
        <v>32666</v>
      </c>
      <c r="C101" s="2">
        <v>4.92718756E9</v>
      </c>
      <c r="D101" s="2" t="s">
        <v>32667</v>
      </c>
      <c r="E101" s="2">
        <v>13675.0</v>
      </c>
      <c r="F101" s="2">
        <v>80.0</v>
      </c>
      <c r="G101" s="2">
        <v>255.0</v>
      </c>
      <c r="H101" s="2" t="s">
        <v>5905</v>
      </c>
      <c r="I101" s="2" t="s">
        <v>5905</v>
      </c>
      <c r="K101" s="2" t="s">
        <v>32668</v>
      </c>
    </row>
    <row r="102">
      <c r="A102" s="2" t="s">
        <v>5133</v>
      </c>
      <c r="B102" s="10" t="s">
        <v>32669</v>
      </c>
      <c r="C102" s="2">
        <v>5.6648631171E10</v>
      </c>
      <c r="D102" s="2" t="s">
        <v>32670</v>
      </c>
      <c r="E102" s="2">
        <v>70195.0</v>
      </c>
      <c r="F102" s="2">
        <v>3.0</v>
      </c>
      <c r="G102" s="2">
        <v>115.0</v>
      </c>
      <c r="H102" s="2" t="s">
        <v>5905</v>
      </c>
      <c r="I102" s="2" t="s">
        <v>5906</v>
      </c>
      <c r="J102" s="2" t="s">
        <v>5391</v>
      </c>
      <c r="L102" s="10" t="s">
        <v>32671</v>
      </c>
    </row>
    <row r="103">
      <c r="A103" s="2" t="s">
        <v>5133</v>
      </c>
      <c r="B103" s="2" t="s">
        <v>32672</v>
      </c>
      <c r="C103" s="2">
        <v>2.4842253306E10</v>
      </c>
      <c r="D103" s="2" t="s">
        <v>32673</v>
      </c>
      <c r="E103" s="2">
        <v>34828.0</v>
      </c>
      <c r="F103" s="2">
        <v>0.0</v>
      </c>
      <c r="G103" s="2">
        <v>43.0</v>
      </c>
      <c r="H103" s="2" t="s">
        <v>5905</v>
      </c>
      <c r="I103" s="2" t="s">
        <v>5905</v>
      </c>
      <c r="J103" s="2" t="s">
        <v>32674</v>
      </c>
      <c r="K103" s="2" t="s">
        <v>32675</v>
      </c>
    </row>
    <row r="104">
      <c r="A104" s="2" t="s">
        <v>5133</v>
      </c>
      <c r="B104" s="2" t="s">
        <v>32676</v>
      </c>
      <c r="C104" s="2">
        <v>5.2764605048E10</v>
      </c>
      <c r="D104" s="2" t="s">
        <v>32677</v>
      </c>
      <c r="E104" s="2">
        <v>10066.0</v>
      </c>
      <c r="F104" s="2">
        <v>1070.0</v>
      </c>
      <c r="G104" s="2">
        <v>276.0</v>
      </c>
      <c r="H104" s="2" t="s">
        <v>5905</v>
      </c>
      <c r="I104" s="2" t="s">
        <v>5906</v>
      </c>
      <c r="J104" s="2" t="s">
        <v>7414</v>
      </c>
      <c r="K104" s="2" t="s">
        <v>32678</v>
      </c>
    </row>
    <row r="105">
      <c r="A105" s="2" t="s">
        <v>5133</v>
      </c>
      <c r="B105" s="2" t="s">
        <v>32679</v>
      </c>
      <c r="C105" s="2">
        <v>6.1946754116E10</v>
      </c>
      <c r="D105" s="2" t="s">
        <v>32680</v>
      </c>
      <c r="E105" s="2">
        <v>10749.0</v>
      </c>
      <c r="F105" s="2">
        <v>164.0</v>
      </c>
      <c r="G105" s="2">
        <v>290.0</v>
      </c>
      <c r="H105" s="2" t="s">
        <v>5905</v>
      </c>
      <c r="I105" s="2" t="s">
        <v>5906</v>
      </c>
      <c r="J105" s="2" t="s">
        <v>32674</v>
      </c>
      <c r="K105" s="2" t="s">
        <v>32681</v>
      </c>
      <c r="L105" s="10" t="s">
        <v>32682</v>
      </c>
    </row>
    <row r="106">
      <c r="A106" s="2" t="s">
        <v>4939</v>
      </c>
      <c r="B106" s="2" t="s">
        <v>32683</v>
      </c>
      <c r="C106" s="2">
        <v>1.1322151E7</v>
      </c>
      <c r="D106" s="2" t="s">
        <v>32684</v>
      </c>
      <c r="E106" s="2">
        <v>34426.0</v>
      </c>
      <c r="F106" s="2">
        <v>1981.0</v>
      </c>
      <c r="G106" s="2">
        <v>2708.0</v>
      </c>
      <c r="H106" s="2" t="s">
        <v>5906</v>
      </c>
      <c r="I106" s="2" t="s">
        <v>5905</v>
      </c>
      <c r="J106" s="2" t="s">
        <v>6027</v>
      </c>
      <c r="K106" s="2" t="s">
        <v>32685</v>
      </c>
      <c r="L106" s="10" t="s">
        <v>32686</v>
      </c>
    </row>
    <row r="107">
      <c r="A107" s="2" t="s">
        <v>4939</v>
      </c>
      <c r="B107" s="2" t="s">
        <v>32687</v>
      </c>
      <c r="C107" s="2">
        <v>4.545650399E9</v>
      </c>
      <c r="D107" s="2" t="s">
        <v>32688</v>
      </c>
      <c r="E107" s="2">
        <v>508293.0</v>
      </c>
      <c r="F107" s="2">
        <v>1.0</v>
      </c>
      <c r="G107" s="2">
        <v>109.0</v>
      </c>
      <c r="H107" s="2" t="s">
        <v>5905</v>
      </c>
      <c r="I107" s="2" t="s">
        <v>5906</v>
      </c>
      <c r="K107" s="2" t="s">
        <v>32689</v>
      </c>
      <c r="L107" s="10" t="s">
        <v>32690</v>
      </c>
    </row>
    <row r="108">
      <c r="A108" s="2" t="s">
        <v>4939</v>
      </c>
      <c r="B108" s="2" t="s">
        <v>32691</v>
      </c>
      <c r="C108" s="2">
        <v>2.6014194E7</v>
      </c>
      <c r="D108" s="2" t="s">
        <v>32692</v>
      </c>
      <c r="E108" s="2">
        <v>658579.0</v>
      </c>
      <c r="F108" s="2">
        <v>773.0</v>
      </c>
      <c r="G108" s="2">
        <v>5261.0</v>
      </c>
      <c r="H108" s="2" t="s">
        <v>5906</v>
      </c>
      <c r="I108" s="2" t="s">
        <v>5906</v>
      </c>
      <c r="J108" s="2" t="s">
        <v>4996</v>
      </c>
      <c r="K108" s="2" t="s">
        <v>32693</v>
      </c>
      <c r="L108" s="10" t="s">
        <v>32694</v>
      </c>
    </row>
    <row r="109">
      <c r="A109" s="2" t="s">
        <v>4939</v>
      </c>
      <c r="B109" s="2" t="s">
        <v>32695</v>
      </c>
      <c r="C109" s="2">
        <v>2.330727447E9</v>
      </c>
      <c r="D109" s="2" t="s">
        <v>32696</v>
      </c>
      <c r="E109" s="2">
        <v>30087.0</v>
      </c>
      <c r="F109" s="2">
        <v>6231.0</v>
      </c>
      <c r="G109" s="2">
        <v>1614.0</v>
      </c>
      <c r="H109" s="2" t="s">
        <v>5906</v>
      </c>
      <c r="I109" s="2" t="s">
        <v>5905</v>
      </c>
      <c r="J109" s="2" t="s">
        <v>5959</v>
      </c>
      <c r="K109" s="2" t="s">
        <v>32697</v>
      </c>
      <c r="L109" s="10" t="s">
        <v>32698</v>
      </c>
    </row>
    <row r="110">
      <c r="A110" s="2" t="s">
        <v>4939</v>
      </c>
      <c r="B110" s="2" t="s">
        <v>32699</v>
      </c>
      <c r="C110" s="2">
        <v>7.83975068E8</v>
      </c>
      <c r="D110" s="2" t="s">
        <v>32700</v>
      </c>
      <c r="E110" s="2">
        <v>63021.0</v>
      </c>
      <c r="F110" s="2">
        <v>4658.0</v>
      </c>
      <c r="G110" s="2">
        <v>2522.0</v>
      </c>
      <c r="H110" s="2" t="s">
        <v>5905</v>
      </c>
      <c r="I110" s="2" t="s">
        <v>5905</v>
      </c>
      <c r="J110" s="2" t="s">
        <v>32701</v>
      </c>
      <c r="K110" s="2" t="s">
        <v>32702</v>
      </c>
      <c r="L110" s="10" t="s">
        <v>32703</v>
      </c>
    </row>
    <row r="111">
      <c r="A111" s="2" t="s">
        <v>4939</v>
      </c>
      <c r="B111" s="2" t="s">
        <v>32704</v>
      </c>
      <c r="C111" s="2">
        <v>4.0710811757E10</v>
      </c>
      <c r="D111" s="2" t="s">
        <v>32705</v>
      </c>
      <c r="E111" s="2">
        <v>21780.0</v>
      </c>
      <c r="F111" s="2">
        <v>308.0</v>
      </c>
      <c r="G111" s="2">
        <v>126.0</v>
      </c>
      <c r="H111" s="2" t="s">
        <v>5905</v>
      </c>
      <c r="I111" s="2" t="s">
        <v>5906</v>
      </c>
      <c r="J111" s="2" t="s">
        <v>23637</v>
      </c>
      <c r="K111" s="2" t="s">
        <v>32706</v>
      </c>
      <c r="L111" s="10" t="s">
        <v>32707</v>
      </c>
    </row>
    <row r="112">
      <c r="A112" s="2" t="s">
        <v>4939</v>
      </c>
      <c r="B112" s="2" t="s">
        <v>32708</v>
      </c>
      <c r="C112" s="2">
        <v>5.35194527E9</v>
      </c>
      <c r="D112" s="2" t="s">
        <v>32709</v>
      </c>
      <c r="E112" s="2">
        <v>10078.0</v>
      </c>
      <c r="F112" s="2">
        <v>0.0</v>
      </c>
      <c r="G112" s="2">
        <v>1161.0</v>
      </c>
      <c r="H112" s="2" t="s">
        <v>5905</v>
      </c>
      <c r="I112" s="2" t="s">
        <v>5906</v>
      </c>
      <c r="J112" s="2" t="s">
        <v>32710</v>
      </c>
      <c r="K112" s="12" t="s">
        <v>32711</v>
      </c>
      <c r="L112" s="10" t="s">
        <v>32712</v>
      </c>
    </row>
    <row r="113">
      <c r="A113" s="2" t="s">
        <v>4939</v>
      </c>
      <c r="B113" s="2" t="s">
        <v>32713</v>
      </c>
      <c r="C113" s="2">
        <v>5.5728034995E10</v>
      </c>
      <c r="D113" s="2" t="s">
        <v>32714</v>
      </c>
      <c r="E113" s="2">
        <v>33658.0</v>
      </c>
      <c r="F113" s="2">
        <v>469.0</v>
      </c>
      <c r="G113" s="2">
        <v>780.0</v>
      </c>
      <c r="H113" s="2" t="s">
        <v>5905</v>
      </c>
      <c r="I113" s="2" t="s">
        <v>5905</v>
      </c>
      <c r="J113" s="2" t="s">
        <v>32701</v>
      </c>
      <c r="K113" s="2" t="s">
        <v>32715</v>
      </c>
      <c r="L113" s="10" t="s">
        <v>32716</v>
      </c>
    </row>
    <row r="114">
      <c r="A114" s="2" t="s">
        <v>4939</v>
      </c>
      <c r="B114" s="2" t="s">
        <v>32717</v>
      </c>
      <c r="C114" s="2">
        <v>4.40874853E8</v>
      </c>
      <c r="D114" s="2" t="s">
        <v>32718</v>
      </c>
      <c r="E114" s="2">
        <v>10540.0</v>
      </c>
      <c r="F114" s="2">
        <v>1717.0</v>
      </c>
      <c r="G114" s="2">
        <v>197.0</v>
      </c>
      <c r="H114" s="2" t="s">
        <v>5905</v>
      </c>
      <c r="I114" s="2" t="s">
        <v>5906</v>
      </c>
      <c r="J114" s="2" t="s">
        <v>12774</v>
      </c>
      <c r="K114" s="2" t="s">
        <v>32719</v>
      </c>
      <c r="L114" s="10" t="s">
        <v>32720</v>
      </c>
    </row>
    <row r="115">
      <c r="A115" s="2" t="s">
        <v>4921</v>
      </c>
      <c r="B115" s="2" t="s">
        <v>32721</v>
      </c>
      <c r="C115" s="2">
        <v>1.793505708E9</v>
      </c>
      <c r="D115" s="2" t="s">
        <v>32722</v>
      </c>
      <c r="E115" s="2">
        <v>14228.0</v>
      </c>
      <c r="F115" s="2">
        <v>1.0</v>
      </c>
      <c r="G115" s="2">
        <v>1756.0</v>
      </c>
      <c r="H115" s="2" t="s">
        <v>5905</v>
      </c>
      <c r="I115" s="2" t="s">
        <v>5906</v>
      </c>
      <c r="J115" s="2" t="s">
        <v>6393</v>
      </c>
      <c r="K115" s="2" t="s">
        <v>32723</v>
      </c>
      <c r="L115" s="10" t="s">
        <v>32724</v>
      </c>
    </row>
    <row r="116">
      <c r="A116" s="2" t="s">
        <v>4921</v>
      </c>
      <c r="B116" s="2" t="s">
        <v>32725</v>
      </c>
      <c r="C116" s="2">
        <v>6.3004550986E10</v>
      </c>
      <c r="D116" s="2" t="s">
        <v>32726</v>
      </c>
      <c r="E116" s="2">
        <v>56512.0</v>
      </c>
      <c r="F116" s="2">
        <v>748.0</v>
      </c>
      <c r="G116" s="2">
        <v>311.0</v>
      </c>
      <c r="H116" s="2" t="s">
        <v>5905</v>
      </c>
      <c r="I116" s="2" t="s">
        <v>5906</v>
      </c>
      <c r="J116" s="2" t="s">
        <v>11320</v>
      </c>
      <c r="K116" s="2" t="s">
        <v>32727</v>
      </c>
    </row>
    <row r="117">
      <c r="A117" s="2" t="s">
        <v>4921</v>
      </c>
      <c r="B117" s="2" t="s">
        <v>32728</v>
      </c>
      <c r="C117" s="2">
        <v>3.7515910133E10</v>
      </c>
      <c r="D117" s="2" t="s">
        <v>32729</v>
      </c>
      <c r="E117" s="2">
        <v>136072.0</v>
      </c>
      <c r="F117" s="2">
        <v>1580.0</v>
      </c>
      <c r="G117" s="2">
        <v>1296.0</v>
      </c>
      <c r="H117" s="2" t="s">
        <v>5905</v>
      </c>
      <c r="I117" s="2" t="s">
        <v>5906</v>
      </c>
      <c r="J117" s="2" t="s">
        <v>11320</v>
      </c>
      <c r="K117" s="2" t="s">
        <v>32730</v>
      </c>
      <c r="L117" s="10" t="s">
        <v>32731</v>
      </c>
    </row>
    <row r="118">
      <c r="A118" s="2" t="s">
        <v>4921</v>
      </c>
      <c r="B118" s="2" t="s">
        <v>32732</v>
      </c>
      <c r="C118" s="2">
        <v>3.8555822745E10</v>
      </c>
      <c r="E118" s="2">
        <v>110654.0</v>
      </c>
      <c r="F118" s="2">
        <v>74.0</v>
      </c>
      <c r="G118" s="2">
        <v>464.0</v>
      </c>
      <c r="H118" s="2" t="s">
        <v>5905</v>
      </c>
      <c r="I118" s="2" t="s">
        <v>5905</v>
      </c>
      <c r="J118" s="2" t="s">
        <v>5993</v>
      </c>
      <c r="K118" s="2" t="s">
        <v>32733</v>
      </c>
      <c r="L118" s="10" t="s">
        <v>32734</v>
      </c>
    </row>
    <row r="119">
      <c r="A119" s="2" t="s">
        <v>4921</v>
      </c>
      <c r="B119" s="2" t="s">
        <v>32735</v>
      </c>
      <c r="C119" s="2">
        <v>4.705519689E9</v>
      </c>
      <c r="D119" s="2" t="s">
        <v>32736</v>
      </c>
      <c r="E119" s="2">
        <v>82861.0</v>
      </c>
      <c r="F119" s="2">
        <v>182.0</v>
      </c>
      <c r="G119" s="2">
        <v>1446.0</v>
      </c>
      <c r="H119" s="2" t="s">
        <v>5905</v>
      </c>
      <c r="I119" s="2" t="s">
        <v>5906</v>
      </c>
      <c r="J119" s="2" t="s">
        <v>11320</v>
      </c>
      <c r="K119" s="2" t="s">
        <v>32737</v>
      </c>
      <c r="L119" s="10" t="s">
        <v>32738</v>
      </c>
    </row>
    <row r="120">
      <c r="A120" s="2" t="s">
        <v>4921</v>
      </c>
      <c r="B120" s="10" t="s">
        <v>32739</v>
      </c>
      <c r="C120" s="2">
        <v>5.9797675566E10</v>
      </c>
      <c r="D120" s="2" t="s">
        <v>32740</v>
      </c>
      <c r="E120" s="2">
        <v>31843.0</v>
      </c>
      <c r="F120" s="2">
        <v>147.0</v>
      </c>
      <c r="G120" s="2">
        <v>559.0</v>
      </c>
      <c r="H120" s="2" t="s">
        <v>5905</v>
      </c>
      <c r="I120" s="2" t="s">
        <v>5906</v>
      </c>
      <c r="J120" s="2" t="s">
        <v>5963</v>
      </c>
      <c r="K120" s="2" t="s">
        <v>32741</v>
      </c>
      <c r="L120" s="10" t="s">
        <v>32742</v>
      </c>
    </row>
    <row r="121">
      <c r="A121" s="2" t="s">
        <v>4996</v>
      </c>
      <c r="B121" s="2" t="s">
        <v>2306</v>
      </c>
      <c r="C121" s="2">
        <v>1.1666736E7</v>
      </c>
      <c r="D121" s="2" t="s">
        <v>13252</v>
      </c>
      <c r="E121" s="2">
        <v>6037132.0</v>
      </c>
      <c r="F121" s="2">
        <v>758.0</v>
      </c>
      <c r="G121" s="2">
        <v>417.0</v>
      </c>
      <c r="H121" s="2" t="s">
        <v>5906</v>
      </c>
      <c r="I121" s="2" t="s">
        <v>5906</v>
      </c>
      <c r="J121" s="2" t="s">
        <v>5993</v>
      </c>
      <c r="K121" s="2" t="s">
        <v>13253</v>
      </c>
      <c r="L121" s="10" t="s">
        <v>13254</v>
      </c>
    </row>
    <row r="122">
      <c r="A122" s="2" t="s">
        <v>4996</v>
      </c>
      <c r="B122" s="2" t="s">
        <v>32743</v>
      </c>
      <c r="C122" s="2">
        <v>4.5154618774E10</v>
      </c>
      <c r="D122" s="2" t="s">
        <v>32744</v>
      </c>
      <c r="E122" s="2">
        <v>21067.0</v>
      </c>
      <c r="F122" s="2">
        <v>5.0</v>
      </c>
      <c r="G122" s="2">
        <v>929.0</v>
      </c>
      <c r="H122" s="2" t="s">
        <v>5905</v>
      </c>
      <c r="I122" s="2" t="s">
        <v>5906</v>
      </c>
      <c r="J122" s="2" t="s">
        <v>6166</v>
      </c>
      <c r="K122" s="2" t="s">
        <v>32745</v>
      </c>
      <c r="L122" s="10" t="s">
        <v>32746</v>
      </c>
    </row>
    <row r="123">
      <c r="A123" s="2" t="s">
        <v>4996</v>
      </c>
      <c r="B123" s="2" t="s">
        <v>32747</v>
      </c>
      <c r="C123" s="2">
        <v>4.13905365E8</v>
      </c>
      <c r="D123" s="2" t="s">
        <v>32748</v>
      </c>
      <c r="E123" s="2">
        <v>1974918.0</v>
      </c>
      <c r="F123" s="2">
        <v>3.0</v>
      </c>
      <c r="G123" s="2">
        <v>13144.0</v>
      </c>
      <c r="H123" s="2" t="s">
        <v>5905</v>
      </c>
      <c r="I123" s="2" t="s">
        <v>5906</v>
      </c>
      <c r="J123" s="2" t="s">
        <v>6166</v>
      </c>
      <c r="K123" s="2" t="s">
        <v>32749</v>
      </c>
      <c r="L123" s="10" t="s">
        <v>32750</v>
      </c>
    </row>
    <row r="124">
      <c r="A124" s="2" t="s">
        <v>4996</v>
      </c>
      <c r="B124" s="2" t="s">
        <v>32751</v>
      </c>
      <c r="C124" s="2">
        <v>1.008425385E9</v>
      </c>
      <c r="D124" s="2" t="s">
        <v>32752</v>
      </c>
      <c r="E124" s="2">
        <v>502623.0</v>
      </c>
      <c r="F124" s="2">
        <v>4.0</v>
      </c>
      <c r="G124" s="2">
        <v>12466.0</v>
      </c>
      <c r="H124" s="2" t="s">
        <v>5905</v>
      </c>
      <c r="I124" s="2" t="s">
        <v>5906</v>
      </c>
      <c r="J124" s="2" t="s">
        <v>6166</v>
      </c>
      <c r="K124" s="2" t="s">
        <v>32753</v>
      </c>
      <c r="L124" s="10" t="s">
        <v>32754</v>
      </c>
    </row>
    <row r="125">
      <c r="A125" s="2" t="s">
        <v>4996</v>
      </c>
      <c r="B125" s="2" t="s">
        <v>32755</v>
      </c>
      <c r="C125" s="2">
        <v>9.78081904E8</v>
      </c>
      <c r="D125" s="2" t="s">
        <v>32756</v>
      </c>
      <c r="E125" s="2">
        <v>10184.0</v>
      </c>
      <c r="F125" s="2">
        <v>591.0</v>
      </c>
      <c r="G125" s="2">
        <v>71.0</v>
      </c>
      <c r="H125" s="2" t="s">
        <v>5905</v>
      </c>
      <c r="I125" s="2" t="s">
        <v>5905</v>
      </c>
      <c r="J125" s="2" t="s">
        <v>15234</v>
      </c>
      <c r="K125" s="2" t="s">
        <v>32757</v>
      </c>
      <c r="L125" s="10" t="s">
        <v>32758</v>
      </c>
    </row>
    <row r="126">
      <c r="A126" s="2" t="s">
        <v>5001</v>
      </c>
      <c r="B126" s="2" t="s">
        <v>32759</v>
      </c>
      <c r="C126" s="2">
        <v>2.959392746E9</v>
      </c>
      <c r="D126" s="2" t="s">
        <v>32760</v>
      </c>
      <c r="E126" s="2">
        <v>21252.0</v>
      </c>
      <c r="F126" s="2">
        <v>352.0</v>
      </c>
      <c r="G126" s="2">
        <v>1483.0</v>
      </c>
      <c r="H126" s="2" t="s">
        <v>5905</v>
      </c>
      <c r="I126" s="2" t="s">
        <v>5906</v>
      </c>
      <c r="J126" s="2" t="s">
        <v>6002</v>
      </c>
      <c r="K126" s="2" t="s">
        <v>32761</v>
      </c>
      <c r="L126" s="10" t="s">
        <v>32762</v>
      </c>
    </row>
    <row r="127">
      <c r="A127" s="2" t="s">
        <v>5001</v>
      </c>
      <c r="B127" s="2" t="s">
        <v>6729</v>
      </c>
      <c r="C127" s="2">
        <v>4.71425823E8</v>
      </c>
      <c r="D127" s="2" t="s">
        <v>5001</v>
      </c>
      <c r="E127" s="2">
        <v>20888.0</v>
      </c>
      <c r="F127" s="2">
        <v>476.0</v>
      </c>
      <c r="G127" s="2">
        <v>533.0</v>
      </c>
      <c r="H127" s="2" t="s">
        <v>5906</v>
      </c>
      <c r="I127" s="2" t="s">
        <v>5906</v>
      </c>
      <c r="K127" s="2" t="s">
        <v>6730</v>
      </c>
      <c r="L127" s="10" t="s">
        <v>6731</v>
      </c>
    </row>
    <row r="128">
      <c r="A128" s="2" t="s">
        <v>5001</v>
      </c>
      <c r="B128" s="2" t="s">
        <v>6732</v>
      </c>
      <c r="C128" s="2">
        <v>2.12575342E8</v>
      </c>
      <c r="D128" s="2" t="s">
        <v>6733</v>
      </c>
      <c r="E128" s="2">
        <v>138060.0</v>
      </c>
      <c r="F128" s="2">
        <v>1006.0</v>
      </c>
      <c r="G128" s="2">
        <v>561.0</v>
      </c>
      <c r="H128" s="2" t="s">
        <v>5905</v>
      </c>
      <c r="I128" s="2" t="s">
        <v>5905</v>
      </c>
      <c r="J128" s="2" t="s">
        <v>5993</v>
      </c>
      <c r="L128" s="10" t="s">
        <v>6734</v>
      </c>
    </row>
    <row r="129">
      <c r="A129" s="2" t="s">
        <v>5001</v>
      </c>
      <c r="B129" s="2" t="s">
        <v>32763</v>
      </c>
      <c r="C129" s="2">
        <v>6.919648058E9</v>
      </c>
      <c r="D129" s="2" t="s">
        <v>32764</v>
      </c>
      <c r="E129" s="2">
        <v>33141.0</v>
      </c>
      <c r="F129" s="2">
        <v>0.0</v>
      </c>
      <c r="G129" s="2">
        <v>619.0</v>
      </c>
      <c r="H129" s="2" t="s">
        <v>5905</v>
      </c>
      <c r="I129" s="2" t="s">
        <v>5906</v>
      </c>
      <c r="J129" s="2" t="s">
        <v>4404</v>
      </c>
      <c r="K129" s="2" t="s">
        <v>32765</v>
      </c>
      <c r="L129" s="10" t="s">
        <v>32766</v>
      </c>
    </row>
    <row r="130">
      <c r="A130" s="2" t="s">
        <v>5001</v>
      </c>
      <c r="B130" s="2" t="s">
        <v>32767</v>
      </c>
      <c r="C130" s="2">
        <v>7.661009159E10</v>
      </c>
      <c r="D130" s="2" t="s">
        <v>32768</v>
      </c>
      <c r="E130" s="2">
        <v>10151.0</v>
      </c>
      <c r="F130" s="2">
        <v>157.0</v>
      </c>
      <c r="G130" s="2">
        <v>82.0</v>
      </c>
      <c r="H130" s="2" t="s">
        <v>5905</v>
      </c>
      <c r="I130" s="2" t="s">
        <v>5905</v>
      </c>
      <c r="J130" s="2" t="s">
        <v>10769</v>
      </c>
      <c r="L130" s="10" t="s">
        <v>32769</v>
      </c>
    </row>
    <row r="131">
      <c r="A131" s="2" t="s">
        <v>5001</v>
      </c>
      <c r="B131" s="2" t="s">
        <v>6743</v>
      </c>
      <c r="C131" s="2">
        <v>3.6990312146E10</v>
      </c>
      <c r="D131" s="2" t="s">
        <v>6744</v>
      </c>
      <c r="E131" s="2">
        <v>284744.0</v>
      </c>
      <c r="F131" s="2">
        <v>65.0</v>
      </c>
      <c r="G131" s="2">
        <v>584.0</v>
      </c>
      <c r="H131" s="2" t="s">
        <v>5906</v>
      </c>
      <c r="I131" s="2" t="s">
        <v>5906</v>
      </c>
      <c r="J131" s="2" t="s">
        <v>6745</v>
      </c>
      <c r="K131" s="2" t="s">
        <v>6746</v>
      </c>
      <c r="L131" s="10" t="s">
        <v>6747</v>
      </c>
    </row>
    <row r="132">
      <c r="A132" s="2" t="s">
        <v>5001</v>
      </c>
      <c r="B132" s="2" t="s">
        <v>32770</v>
      </c>
      <c r="C132" s="2">
        <v>2.24408003E8</v>
      </c>
      <c r="D132" s="2" t="s">
        <v>32771</v>
      </c>
      <c r="E132" s="2">
        <v>1128938.0</v>
      </c>
      <c r="F132" s="2">
        <v>2065.0</v>
      </c>
      <c r="G132" s="2">
        <v>7333.0</v>
      </c>
      <c r="H132" s="2" t="s">
        <v>5906</v>
      </c>
      <c r="I132" s="2" t="s">
        <v>5906</v>
      </c>
      <c r="K132" s="2" t="s">
        <v>32772</v>
      </c>
      <c r="L132" s="10" t="s">
        <v>32773</v>
      </c>
    </row>
    <row r="133">
      <c r="A133" s="2" t="s">
        <v>5001</v>
      </c>
      <c r="B133" s="2" t="s">
        <v>32774</v>
      </c>
      <c r="C133" s="2">
        <v>1.1539473926E10</v>
      </c>
      <c r="D133" s="2" t="s">
        <v>32775</v>
      </c>
      <c r="E133" s="2">
        <v>20805.0</v>
      </c>
      <c r="F133" s="2">
        <v>572.0</v>
      </c>
      <c r="G133" s="2">
        <v>457.0</v>
      </c>
      <c r="H133" s="2" t="s">
        <v>5905</v>
      </c>
      <c r="I133" s="2" t="s">
        <v>5906</v>
      </c>
      <c r="J133" s="2" t="s">
        <v>8459</v>
      </c>
      <c r="K133" s="2" t="s">
        <v>32776</v>
      </c>
      <c r="L133" s="10" t="s">
        <v>32777</v>
      </c>
    </row>
    <row r="134">
      <c r="A134" s="2" t="s">
        <v>5001</v>
      </c>
      <c r="B134" s="2" t="s">
        <v>32778</v>
      </c>
      <c r="C134" s="2">
        <v>1.0918395E7</v>
      </c>
      <c r="D134" s="2" t="s">
        <v>32779</v>
      </c>
      <c r="E134" s="2">
        <v>318537.0</v>
      </c>
      <c r="F134" s="2">
        <v>4.0</v>
      </c>
      <c r="G134" s="2">
        <v>1753.0</v>
      </c>
      <c r="H134" s="2" t="s">
        <v>5906</v>
      </c>
      <c r="I134" s="2" t="s">
        <v>5906</v>
      </c>
      <c r="J134" s="2" t="s">
        <v>6745</v>
      </c>
      <c r="K134" s="2" t="s">
        <v>32780</v>
      </c>
      <c r="L134" s="10" t="s">
        <v>32781</v>
      </c>
    </row>
    <row r="135">
      <c r="A135" s="2" t="s">
        <v>5001</v>
      </c>
      <c r="B135" s="2" t="s">
        <v>32782</v>
      </c>
      <c r="C135" s="2">
        <v>4.4542608336E10</v>
      </c>
      <c r="D135" s="2" t="s">
        <v>5001</v>
      </c>
      <c r="E135" s="2">
        <v>20962.0</v>
      </c>
      <c r="F135" s="2">
        <v>1.0</v>
      </c>
      <c r="G135" s="2">
        <v>29.0</v>
      </c>
      <c r="H135" s="2" t="s">
        <v>5905</v>
      </c>
      <c r="I135" s="2" t="s">
        <v>5906</v>
      </c>
      <c r="J135" s="2" t="s">
        <v>6166</v>
      </c>
      <c r="K135" s="2" t="s">
        <v>32783</v>
      </c>
      <c r="L135" s="10" t="s">
        <v>32784</v>
      </c>
    </row>
    <row r="136">
      <c r="A136" s="2" t="s">
        <v>5001</v>
      </c>
      <c r="B136" s="2" t="s">
        <v>32785</v>
      </c>
      <c r="C136" s="2">
        <v>3.580727398E9</v>
      </c>
      <c r="D136" s="2" t="s">
        <v>32786</v>
      </c>
      <c r="E136" s="2">
        <v>62942.0</v>
      </c>
      <c r="F136" s="2">
        <v>109.0</v>
      </c>
      <c r="G136" s="2">
        <v>676.0</v>
      </c>
      <c r="H136" s="2" t="s">
        <v>5905</v>
      </c>
      <c r="I136" s="2" t="s">
        <v>5905</v>
      </c>
      <c r="J136" s="2" t="s">
        <v>6745</v>
      </c>
      <c r="K136" s="2" t="s">
        <v>32787</v>
      </c>
      <c r="L136" s="10" t="s">
        <v>32788</v>
      </c>
    </row>
    <row r="137">
      <c r="A137" s="2" t="s">
        <v>4966</v>
      </c>
      <c r="B137" s="2" t="s">
        <v>32789</v>
      </c>
      <c r="C137" s="2">
        <v>3.3476269E7</v>
      </c>
      <c r="D137" s="2" t="s">
        <v>32790</v>
      </c>
      <c r="E137" s="2">
        <v>21302.0</v>
      </c>
      <c r="F137" s="2">
        <v>7459.0</v>
      </c>
      <c r="G137" s="2">
        <v>111.0</v>
      </c>
      <c r="H137" s="2" t="s">
        <v>5905</v>
      </c>
      <c r="I137" s="2" t="s">
        <v>5906</v>
      </c>
      <c r="J137" s="2" t="s">
        <v>6354</v>
      </c>
      <c r="K137" s="2" t="s">
        <v>32791</v>
      </c>
    </row>
    <row r="138">
      <c r="A138" s="2" t="s">
        <v>4966</v>
      </c>
      <c r="B138" s="2" t="s">
        <v>32789</v>
      </c>
      <c r="C138" s="2">
        <v>3.3476269E7</v>
      </c>
      <c r="D138" s="2" t="s">
        <v>32790</v>
      </c>
      <c r="E138" s="2">
        <v>21302.0</v>
      </c>
      <c r="F138" s="2">
        <v>7459.0</v>
      </c>
      <c r="G138" s="2">
        <v>111.0</v>
      </c>
      <c r="H138" s="2" t="s">
        <v>5905</v>
      </c>
      <c r="I138" s="2" t="s">
        <v>5906</v>
      </c>
      <c r="J138" s="2" t="s">
        <v>6354</v>
      </c>
      <c r="K138" s="2" t="s">
        <v>32791</v>
      </c>
    </row>
    <row r="139">
      <c r="A139" s="2" t="s">
        <v>4966</v>
      </c>
      <c r="B139" s="2" t="s">
        <v>32792</v>
      </c>
      <c r="C139" s="2">
        <v>3.9927121323E10</v>
      </c>
      <c r="D139" s="2" t="s">
        <v>32793</v>
      </c>
      <c r="E139" s="2">
        <v>23236.0</v>
      </c>
      <c r="F139" s="2">
        <v>143.0</v>
      </c>
      <c r="G139" s="2">
        <v>110.0</v>
      </c>
      <c r="H139" s="2" t="s">
        <v>5905</v>
      </c>
      <c r="I139" s="2" t="s">
        <v>5906</v>
      </c>
      <c r="J139" s="2" t="s">
        <v>6166</v>
      </c>
      <c r="K139" s="2" t="s">
        <v>32794</v>
      </c>
      <c r="L139" s="10" t="s">
        <v>32795</v>
      </c>
    </row>
    <row r="140">
      <c r="A140" s="2" t="s">
        <v>4966</v>
      </c>
      <c r="B140" s="2" t="s">
        <v>32792</v>
      </c>
      <c r="C140" s="2">
        <v>3.9927121323E10</v>
      </c>
      <c r="D140" s="2" t="s">
        <v>32793</v>
      </c>
      <c r="E140" s="2">
        <v>23236.0</v>
      </c>
      <c r="F140" s="2">
        <v>143.0</v>
      </c>
      <c r="G140" s="2">
        <v>110.0</v>
      </c>
      <c r="H140" s="2" t="s">
        <v>5905</v>
      </c>
      <c r="I140" s="2" t="s">
        <v>5906</v>
      </c>
      <c r="J140" s="2" t="s">
        <v>6166</v>
      </c>
      <c r="K140" s="2" t="s">
        <v>32794</v>
      </c>
      <c r="L140" s="10" t="s">
        <v>32795</v>
      </c>
    </row>
    <row r="141">
      <c r="A141" s="2" t="s">
        <v>4966</v>
      </c>
      <c r="B141" s="2" t="s">
        <v>32796</v>
      </c>
      <c r="C141" s="2">
        <v>2.109730945E9</v>
      </c>
      <c r="D141" s="2" t="s">
        <v>4966</v>
      </c>
      <c r="E141" s="2">
        <v>96699.0</v>
      </c>
      <c r="F141" s="2">
        <v>373.0</v>
      </c>
      <c r="G141" s="2">
        <v>3.0</v>
      </c>
      <c r="H141" s="2" t="s">
        <v>5905</v>
      </c>
      <c r="I141" s="2" t="s">
        <v>5905</v>
      </c>
      <c r="J141" s="2" t="s">
        <v>6354</v>
      </c>
      <c r="K141" s="2" t="s">
        <v>32797</v>
      </c>
    </row>
    <row r="142">
      <c r="A142" s="2" t="s">
        <v>4981</v>
      </c>
      <c r="B142" s="2" t="s">
        <v>32798</v>
      </c>
      <c r="C142" s="2">
        <v>329253.0</v>
      </c>
      <c r="D142" s="2" t="s">
        <v>4981</v>
      </c>
      <c r="E142" s="2">
        <v>24932.0</v>
      </c>
      <c r="F142" s="2">
        <v>85.0</v>
      </c>
      <c r="G142" s="2">
        <v>0.0</v>
      </c>
      <c r="H142" s="2" t="s">
        <v>5906</v>
      </c>
      <c r="I142" s="2" t="s">
        <v>5906</v>
      </c>
      <c r="J142" s="2" t="s">
        <v>8843</v>
      </c>
      <c r="K142" s="2" t="s">
        <v>32799</v>
      </c>
    </row>
    <row r="143">
      <c r="A143" s="2" t="s">
        <v>4981</v>
      </c>
      <c r="B143" s="2" t="s">
        <v>32800</v>
      </c>
      <c r="C143" s="2">
        <v>7.714828281E9</v>
      </c>
      <c r="D143" s="2" t="s">
        <v>32801</v>
      </c>
      <c r="E143" s="2">
        <v>37756.0</v>
      </c>
      <c r="F143" s="2">
        <v>1.0</v>
      </c>
      <c r="G143" s="2">
        <v>469.0</v>
      </c>
      <c r="H143" s="2" t="s">
        <v>5905</v>
      </c>
      <c r="I143" s="2" t="s">
        <v>5906</v>
      </c>
      <c r="J143" s="2" t="s">
        <v>6124</v>
      </c>
      <c r="K143" s="2" t="s">
        <v>32802</v>
      </c>
      <c r="L143" s="10" t="s">
        <v>32803</v>
      </c>
    </row>
    <row r="144">
      <c r="A144" s="2" t="s">
        <v>4981</v>
      </c>
      <c r="B144" s="2" t="s">
        <v>32804</v>
      </c>
      <c r="C144" s="2">
        <v>5.2164139426E10</v>
      </c>
      <c r="D144" s="2" t="s">
        <v>32805</v>
      </c>
      <c r="E144" s="2">
        <v>36797.0</v>
      </c>
      <c r="F144" s="2">
        <v>161.0</v>
      </c>
      <c r="G144" s="2">
        <v>562.0</v>
      </c>
      <c r="H144" s="2" t="s">
        <v>5905</v>
      </c>
      <c r="I144" s="2" t="s">
        <v>5905</v>
      </c>
      <c r="J144" s="2" t="s">
        <v>6393</v>
      </c>
      <c r="K144" s="2" t="s">
        <v>32806</v>
      </c>
      <c r="L144" s="10" t="s">
        <v>32807</v>
      </c>
    </row>
    <row r="145">
      <c r="A145" s="2" t="s">
        <v>4981</v>
      </c>
      <c r="B145" s="2" t="s">
        <v>32808</v>
      </c>
      <c r="C145" s="2">
        <v>6.2337584999E10</v>
      </c>
      <c r="D145" s="12" t="s">
        <v>32809</v>
      </c>
      <c r="E145" s="2">
        <v>35892.0</v>
      </c>
      <c r="F145" s="2">
        <v>315.0</v>
      </c>
      <c r="G145" s="2">
        <v>952.0</v>
      </c>
      <c r="H145" s="2" t="s">
        <v>5905</v>
      </c>
      <c r="I145" s="2" t="s">
        <v>5906</v>
      </c>
      <c r="J145" s="2" t="s">
        <v>9008</v>
      </c>
      <c r="K145" s="12" t="s">
        <v>32810</v>
      </c>
    </row>
    <row r="146">
      <c r="A146" s="2" t="s">
        <v>4981</v>
      </c>
      <c r="B146" s="2" t="s">
        <v>32811</v>
      </c>
      <c r="C146" s="2">
        <v>7.795377751E9</v>
      </c>
      <c r="D146" s="2" t="s">
        <v>32812</v>
      </c>
      <c r="E146" s="2">
        <v>790197.0</v>
      </c>
      <c r="F146" s="2">
        <v>20.0</v>
      </c>
      <c r="G146" s="2">
        <v>3023.0</v>
      </c>
      <c r="H146" s="2" t="s">
        <v>5905</v>
      </c>
      <c r="I146" s="2" t="s">
        <v>5906</v>
      </c>
      <c r="J146" s="2" t="s">
        <v>28040</v>
      </c>
      <c r="K146" s="2" t="s">
        <v>32813</v>
      </c>
    </row>
    <row r="147">
      <c r="A147" s="2" t="s">
        <v>4981</v>
      </c>
      <c r="B147" s="2" t="s">
        <v>32814</v>
      </c>
      <c r="C147" s="2">
        <v>1.4496255127E10</v>
      </c>
      <c r="D147" s="2" t="s">
        <v>32815</v>
      </c>
      <c r="E147" s="2">
        <v>49824.0</v>
      </c>
      <c r="F147" s="2">
        <v>24.0</v>
      </c>
      <c r="G147" s="2">
        <v>240.0</v>
      </c>
      <c r="H147" s="2" t="s">
        <v>5905</v>
      </c>
      <c r="I147" s="2" t="s">
        <v>5905</v>
      </c>
      <c r="J147" s="2" t="s">
        <v>4404</v>
      </c>
      <c r="K147" s="2" t="s">
        <v>32816</v>
      </c>
    </row>
    <row r="148">
      <c r="A148" s="2" t="s">
        <v>4981</v>
      </c>
      <c r="B148" s="2" t="s">
        <v>32817</v>
      </c>
      <c r="C148" s="2">
        <v>5.1448300444E10</v>
      </c>
      <c r="D148" s="12" t="s">
        <v>32818</v>
      </c>
      <c r="E148" s="2">
        <v>1943475.0</v>
      </c>
      <c r="F148" s="2">
        <v>3.0</v>
      </c>
      <c r="G148" s="2">
        <v>722.0</v>
      </c>
      <c r="H148" s="2" t="s">
        <v>5905</v>
      </c>
      <c r="I148" s="2" t="s">
        <v>5906</v>
      </c>
      <c r="J148" s="2" t="s">
        <v>6002</v>
      </c>
      <c r="K148" s="12" t="s">
        <v>32819</v>
      </c>
      <c r="L148" s="10" t="s">
        <v>32820</v>
      </c>
    </row>
    <row r="149">
      <c r="A149" s="2" t="s">
        <v>5007</v>
      </c>
      <c r="B149" s="2" t="s">
        <v>32821</v>
      </c>
      <c r="C149" s="2">
        <v>6.126919433E10</v>
      </c>
      <c r="D149" s="2" t="s">
        <v>32822</v>
      </c>
      <c r="E149" s="2">
        <v>10376.0</v>
      </c>
      <c r="F149" s="2">
        <v>16.0</v>
      </c>
      <c r="G149" s="2">
        <v>433.0</v>
      </c>
      <c r="H149" s="2" t="s">
        <v>5906</v>
      </c>
      <c r="I149" s="2" t="s">
        <v>5906</v>
      </c>
      <c r="J149" s="2" t="s">
        <v>7753</v>
      </c>
      <c r="K149" s="2" t="s">
        <v>32823</v>
      </c>
    </row>
    <row r="150">
      <c r="A150" s="2" t="s">
        <v>5007</v>
      </c>
      <c r="B150" s="2" t="s">
        <v>32824</v>
      </c>
      <c r="C150" s="2">
        <v>3.8666765094E10</v>
      </c>
      <c r="D150" s="2" t="s">
        <v>32825</v>
      </c>
      <c r="E150" s="2">
        <v>10526.0</v>
      </c>
      <c r="F150" s="2">
        <v>4914.0</v>
      </c>
      <c r="G150" s="2">
        <v>1901.0</v>
      </c>
      <c r="H150" s="2" t="s">
        <v>5905</v>
      </c>
      <c r="I150" s="2" t="s">
        <v>5905</v>
      </c>
      <c r="J150" s="2" t="s">
        <v>6002</v>
      </c>
      <c r="K150" s="2" t="s">
        <v>32826</v>
      </c>
      <c r="L150" s="10" t="s">
        <v>32827</v>
      </c>
    </row>
    <row r="151">
      <c r="A151" s="2" t="s">
        <v>5007</v>
      </c>
      <c r="B151" s="2" t="s">
        <v>32828</v>
      </c>
      <c r="C151" s="2">
        <v>4.8373968889E10</v>
      </c>
      <c r="D151" s="2" t="s">
        <v>32829</v>
      </c>
      <c r="E151" s="2">
        <v>121100.0</v>
      </c>
      <c r="F151" s="2">
        <v>106.0</v>
      </c>
      <c r="G151" s="2">
        <v>1772.0</v>
      </c>
      <c r="H151" s="2" t="s">
        <v>5905</v>
      </c>
      <c r="I151" s="2" t="s">
        <v>5906</v>
      </c>
      <c r="J151" s="2" t="s">
        <v>5561</v>
      </c>
      <c r="K151" s="2" t="s">
        <v>32830</v>
      </c>
    </row>
    <row r="152">
      <c r="A152" s="2" t="s">
        <v>4929</v>
      </c>
      <c r="B152" s="2" t="s">
        <v>32831</v>
      </c>
      <c r="C152" s="2">
        <v>6.7117282466E10</v>
      </c>
      <c r="D152" s="2" t="s">
        <v>32832</v>
      </c>
      <c r="E152" s="2">
        <v>103780.0</v>
      </c>
      <c r="F152" s="2">
        <v>293.0</v>
      </c>
      <c r="G152" s="2">
        <v>684.0</v>
      </c>
      <c r="H152" s="2" t="s">
        <v>5906</v>
      </c>
      <c r="I152" s="2" t="s">
        <v>5905</v>
      </c>
      <c r="J152" s="2" t="s">
        <v>5959</v>
      </c>
      <c r="K152" s="2" t="s">
        <v>32833</v>
      </c>
    </row>
    <row r="153">
      <c r="A153" s="2" t="s">
        <v>4929</v>
      </c>
      <c r="B153" s="2" t="s">
        <v>32834</v>
      </c>
      <c r="C153" s="2">
        <v>6.1944768947E10</v>
      </c>
      <c r="D153" s="2" t="s">
        <v>32835</v>
      </c>
      <c r="E153" s="2">
        <v>18723.0</v>
      </c>
      <c r="F153" s="2">
        <v>44.0</v>
      </c>
      <c r="G153" s="2">
        <v>122.0</v>
      </c>
      <c r="H153" s="2" t="s">
        <v>5905</v>
      </c>
      <c r="I153" s="2" t="s">
        <v>5906</v>
      </c>
      <c r="J153" s="2" t="s">
        <v>23811</v>
      </c>
      <c r="K153" s="2" t="s">
        <v>32836</v>
      </c>
    </row>
    <row r="154">
      <c r="A154" s="2" t="s">
        <v>4929</v>
      </c>
      <c r="B154" s="2" t="s">
        <v>32837</v>
      </c>
      <c r="C154" s="2">
        <v>2.357593235E9</v>
      </c>
      <c r="D154" s="2" t="s">
        <v>32838</v>
      </c>
      <c r="E154" s="2">
        <v>111254.0</v>
      </c>
      <c r="F154" s="2">
        <v>5505.0</v>
      </c>
      <c r="G154" s="2">
        <v>357.0</v>
      </c>
      <c r="H154" s="2" t="s">
        <v>5905</v>
      </c>
      <c r="I154" s="2" t="s">
        <v>5906</v>
      </c>
      <c r="J154" s="2" t="s">
        <v>5963</v>
      </c>
      <c r="K154" s="2" t="s">
        <v>32839</v>
      </c>
      <c r="L154" s="10" t="s">
        <v>32840</v>
      </c>
    </row>
    <row r="155">
      <c r="A155" s="2" t="s">
        <v>4929</v>
      </c>
      <c r="B155" s="2" t="s">
        <v>32841</v>
      </c>
      <c r="C155" s="2">
        <v>1.335598412E9</v>
      </c>
      <c r="D155" s="2" t="s">
        <v>32842</v>
      </c>
      <c r="E155" s="2">
        <v>95165.0</v>
      </c>
      <c r="F155" s="2">
        <v>1.0</v>
      </c>
      <c r="G155" s="2">
        <v>443.0</v>
      </c>
      <c r="H155" s="2" t="s">
        <v>5905</v>
      </c>
      <c r="I155" s="2" t="s">
        <v>5906</v>
      </c>
      <c r="J155" s="2" t="s">
        <v>23811</v>
      </c>
      <c r="K155" s="2" t="s">
        <v>32843</v>
      </c>
      <c r="L155" s="10" t="s">
        <v>32840</v>
      </c>
    </row>
    <row r="156">
      <c r="A156" s="2" t="s">
        <v>4929</v>
      </c>
      <c r="B156" s="2" t="s">
        <v>32844</v>
      </c>
      <c r="C156" s="2">
        <v>5.0525562E7</v>
      </c>
      <c r="D156" s="2" t="s">
        <v>4929</v>
      </c>
      <c r="E156" s="2">
        <v>71674.0</v>
      </c>
      <c r="F156" s="2">
        <v>3979.0</v>
      </c>
      <c r="G156" s="2">
        <v>172.0</v>
      </c>
      <c r="H156" s="2" t="s">
        <v>5905</v>
      </c>
      <c r="I156" s="2" t="s">
        <v>5905</v>
      </c>
      <c r="J156" s="2" t="s">
        <v>7414</v>
      </c>
      <c r="K156" s="2" t="s">
        <v>32845</v>
      </c>
      <c r="L156" s="10" t="s">
        <v>32846</v>
      </c>
    </row>
    <row r="157">
      <c r="A157" s="2" t="s">
        <v>4929</v>
      </c>
      <c r="B157" s="2" t="s">
        <v>32847</v>
      </c>
      <c r="C157" s="2">
        <v>4.8357958179E10</v>
      </c>
      <c r="D157" s="2" t="s">
        <v>32848</v>
      </c>
      <c r="E157" s="2">
        <v>123327.0</v>
      </c>
      <c r="F157" s="2">
        <v>2.0</v>
      </c>
      <c r="G157" s="2">
        <v>877.0</v>
      </c>
      <c r="H157" s="2" t="s">
        <v>5906</v>
      </c>
      <c r="I157" s="2" t="s">
        <v>5905</v>
      </c>
      <c r="J157" s="2" t="s">
        <v>7414</v>
      </c>
      <c r="K157" s="2" t="s">
        <v>32849</v>
      </c>
      <c r="L157" s="10" t="s">
        <v>32850</v>
      </c>
    </row>
    <row r="158">
      <c r="A158" s="2" t="s">
        <v>4929</v>
      </c>
      <c r="B158" s="2" t="s">
        <v>32851</v>
      </c>
      <c r="C158" s="2">
        <v>5.699433556E9</v>
      </c>
      <c r="D158" s="2" t="s">
        <v>32852</v>
      </c>
      <c r="E158" s="2">
        <v>15544.0</v>
      </c>
      <c r="F158" s="2">
        <v>7197.0</v>
      </c>
      <c r="G158" s="2">
        <v>201.0</v>
      </c>
      <c r="H158" s="2" t="s">
        <v>5905</v>
      </c>
      <c r="I158" s="2" t="s">
        <v>5905</v>
      </c>
    </row>
    <row r="159">
      <c r="A159" s="2" t="s">
        <v>5003</v>
      </c>
      <c r="B159" s="2" t="s">
        <v>32853</v>
      </c>
      <c r="C159" s="2">
        <v>7.323137911E9</v>
      </c>
      <c r="D159" s="2" t="s">
        <v>32854</v>
      </c>
      <c r="E159" s="2">
        <v>11276.0</v>
      </c>
      <c r="F159" s="2">
        <v>25.0</v>
      </c>
      <c r="G159" s="2">
        <v>2539.0</v>
      </c>
      <c r="H159" s="2" t="s">
        <v>5905</v>
      </c>
      <c r="I159" s="2" t="s">
        <v>5906</v>
      </c>
      <c r="J159" s="2" t="s">
        <v>9144</v>
      </c>
      <c r="K159" s="2" t="s">
        <v>32855</v>
      </c>
      <c r="L159" s="10" t="s">
        <v>32856</v>
      </c>
    </row>
    <row r="160">
      <c r="A160" s="2" t="s">
        <v>5003</v>
      </c>
      <c r="B160" s="2" t="s">
        <v>32857</v>
      </c>
      <c r="C160" s="2">
        <v>1.2617286528E10</v>
      </c>
      <c r="D160" s="2" t="s">
        <v>32858</v>
      </c>
      <c r="E160" s="2">
        <v>17559.0</v>
      </c>
      <c r="F160" s="2">
        <v>1250.0</v>
      </c>
      <c r="G160" s="2">
        <v>2154.0</v>
      </c>
      <c r="H160" s="2" t="s">
        <v>5905</v>
      </c>
      <c r="I160" s="2" t="s">
        <v>5906</v>
      </c>
      <c r="J160" s="2" t="s">
        <v>5911</v>
      </c>
      <c r="K160" s="2" t="s">
        <v>32859</v>
      </c>
      <c r="L160" s="10" t="s">
        <v>32860</v>
      </c>
    </row>
    <row r="161">
      <c r="A161" s="2" t="s">
        <v>5003</v>
      </c>
      <c r="B161" s="2" t="s">
        <v>32861</v>
      </c>
      <c r="C161" s="2">
        <v>1.411228709E9</v>
      </c>
      <c r="D161" s="2" t="s">
        <v>32862</v>
      </c>
      <c r="E161" s="2">
        <v>71869.0</v>
      </c>
      <c r="F161" s="2">
        <v>154.0</v>
      </c>
      <c r="G161" s="2">
        <v>39.0</v>
      </c>
      <c r="H161" s="2" t="s">
        <v>5905</v>
      </c>
      <c r="I161" s="2" t="s">
        <v>5906</v>
      </c>
      <c r="J161" s="2" t="s">
        <v>5492</v>
      </c>
      <c r="K161" s="2" t="s">
        <v>32863</v>
      </c>
      <c r="L161" s="10" t="s">
        <v>32864</v>
      </c>
    </row>
    <row r="162">
      <c r="A162" s="2" t="s">
        <v>5003</v>
      </c>
      <c r="B162" s="2" t="s">
        <v>32865</v>
      </c>
      <c r="C162" s="2">
        <v>2.49762209E8</v>
      </c>
      <c r="D162" s="2" t="s">
        <v>32866</v>
      </c>
      <c r="E162" s="2">
        <v>19824.0</v>
      </c>
      <c r="F162" s="2">
        <v>864.0</v>
      </c>
      <c r="G162" s="2">
        <v>850.0</v>
      </c>
      <c r="H162" s="2" t="s">
        <v>5906</v>
      </c>
      <c r="I162" s="2" t="s">
        <v>5906</v>
      </c>
      <c r="J162" s="2" t="s">
        <v>7347</v>
      </c>
      <c r="K162" s="2" t="s">
        <v>32867</v>
      </c>
      <c r="L162" s="10" t="s">
        <v>32868</v>
      </c>
    </row>
    <row r="163">
      <c r="A163" s="2" t="s">
        <v>5003</v>
      </c>
      <c r="B163" s="2" t="s">
        <v>32869</v>
      </c>
      <c r="C163" s="2">
        <v>4.6964043607E10</v>
      </c>
      <c r="D163" s="2" t="s">
        <v>32870</v>
      </c>
      <c r="E163" s="2">
        <v>53663.0</v>
      </c>
      <c r="F163" s="2">
        <v>75.0</v>
      </c>
      <c r="G163" s="2">
        <v>1247.0</v>
      </c>
      <c r="H163" s="2" t="s">
        <v>5906</v>
      </c>
      <c r="I163" s="2" t="s">
        <v>5905</v>
      </c>
      <c r="J163" s="2" t="s">
        <v>5561</v>
      </c>
      <c r="K163" s="2" t="s">
        <v>32871</v>
      </c>
      <c r="L163" s="10" t="s">
        <v>32872</v>
      </c>
    </row>
    <row r="164">
      <c r="A164" s="2" t="s">
        <v>5003</v>
      </c>
      <c r="B164" s="2" t="s">
        <v>32873</v>
      </c>
      <c r="C164" s="2">
        <v>1.117124913E9</v>
      </c>
      <c r="D164" s="2" t="s">
        <v>32874</v>
      </c>
      <c r="E164" s="2">
        <v>27771.0</v>
      </c>
      <c r="F164" s="2">
        <v>1151.0</v>
      </c>
      <c r="G164" s="2">
        <v>374.0</v>
      </c>
      <c r="H164" s="2" t="s">
        <v>5905</v>
      </c>
      <c r="I164" s="2" t="s">
        <v>5906</v>
      </c>
      <c r="J164" s="2" t="s">
        <v>7620</v>
      </c>
      <c r="K164" s="2" t="s">
        <v>32875</v>
      </c>
      <c r="L164" s="10" t="s">
        <v>32876</v>
      </c>
    </row>
    <row r="165">
      <c r="A165" s="2" t="s">
        <v>5003</v>
      </c>
      <c r="B165" s="2" t="s">
        <v>32877</v>
      </c>
      <c r="C165" s="2">
        <v>3.49132212E8</v>
      </c>
      <c r="D165" s="2" t="s">
        <v>32878</v>
      </c>
      <c r="E165" s="2">
        <v>50485.0</v>
      </c>
      <c r="F165" s="2">
        <v>185.0</v>
      </c>
      <c r="G165" s="2">
        <v>3982.0</v>
      </c>
      <c r="H165" s="2" t="s">
        <v>5906</v>
      </c>
      <c r="I165" s="2" t="s">
        <v>5906</v>
      </c>
      <c r="K165" s="2" t="s">
        <v>32879</v>
      </c>
      <c r="L165" s="10" t="s">
        <v>32880</v>
      </c>
    </row>
    <row r="166">
      <c r="A166" s="2" t="s">
        <v>5003</v>
      </c>
      <c r="B166" s="2" t="s">
        <v>32881</v>
      </c>
      <c r="C166" s="2">
        <v>4.2930035E7</v>
      </c>
      <c r="D166" s="2" t="s">
        <v>32882</v>
      </c>
      <c r="E166" s="2">
        <v>33361.0</v>
      </c>
      <c r="F166" s="2">
        <v>2711.0</v>
      </c>
      <c r="G166" s="2">
        <v>868.0</v>
      </c>
      <c r="H166" s="2" t="s">
        <v>5905</v>
      </c>
      <c r="I166" s="2" t="s">
        <v>5905</v>
      </c>
      <c r="J166" s="2" t="s">
        <v>5959</v>
      </c>
      <c r="K166" s="2" t="s">
        <v>32883</v>
      </c>
      <c r="L166" s="10" t="s">
        <v>32884</v>
      </c>
    </row>
    <row r="167">
      <c r="A167" s="2" t="s">
        <v>4940</v>
      </c>
      <c r="B167" s="2" t="s">
        <v>32885</v>
      </c>
      <c r="C167" s="2">
        <v>2.1961383215E10</v>
      </c>
      <c r="E167" s="2">
        <v>107132.0</v>
      </c>
      <c r="F167" s="2">
        <v>182.0</v>
      </c>
      <c r="G167" s="2">
        <v>2021.0</v>
      </c>
      <c r="H167" s="2" t="s">
        <v>5906</v>
      </c>
      <c r="I167" s="2" t="s">
        <v>5906</v>
      </c>
      <c r="J167" s="2" t="s">
        <v>5391</v>
      </c>
      <c r="K167" s="2" t="s">
        <v>32886</v>
      </c>
      <c r="L167" s="10" t="s">
        <v>32887</v>
      </c>
    </row>
    <row r="168">
      <c r="A168" s="2" t="s">
        <v>4940</v>
      </c>
      <c r="B168" s="10" t="s">
        <v>32888</v>
      </c>
      <c r="C168" s="2">
        <v>2.1522719891E10</v>
      </c>
      <c r="D168" s="12" t="s">
        <v>32889</v>
      </c>
      <c r="E168" s="2">
        <v>41622.0</v>
      </c>
      <c r="F168" s="2">
        <v>745.0</v>
      </c>
      <c r="G168" s="2">
        <v>363.0</v>
      </c>
      <c r="H168" s="2" t="s">
        <v>5905</v>
      </c>
      <c r="I168" s="2" t="s">
        <v>5906</v>
      </c>
      <c r="J168" s="2" t="s">
        <v>6628</v>
      </c>
      <c r="K168" s="12" t="s">
        <v>32890</v>
      </c>
      <c r="L168" s="10" t="s">
        <v>32891</v>
      </c>
    </row>
    <row r="169">
      <c r="A169" s="2" t="s">
        <v>4950</v>
      </c>
      <c r="B169" s="2" t="s">
        <v>32892</v>
      </c>
      <c r="C169" s="2">
        <v>6.195209577E9</v>
      </c>
      <c r="D169" s="2" t="s">
        <v>32893</v>
      </c>
      <c r="E169" s="2">
        <v>12248.0</v>
      </c>
      <c r="F169" s="2">
        <v>1087.0</v>
      </c>
      <c r="G169" s="2">
        <v>294.0</v>
      </c>
      <c r="H169" s="2" t="s">
        <v>5905</v>
      </c>
      <c r="I169" s="2" t="s">
        <v>5905</v>
      </c>
      <c r="J169" s="2" t="s">
        <v>5959</v>
      </c>
      <c r="K169" s="2" t="s">
        <v>32894</v>
      </c>
      <c r="L169" s="10" t="s">
        <v>32895</v>
      </c>
    </row>
    <row r="170">
      <c r="A170" s="2" t="s">
        <v>4977</v>
      </c>
      <c r="B170" s="2" t="s">
        <v>32896</v>
      </c>
      <c r="C170" s="2">
        <v>1.5868639776E10</v>
      </c>
      <c r="D170" s="2" t="s">
        <v>32897</v>
      </c>
      <c r="E170" s="2">
        <v>22356.0</v>
      </c>
      <c r="F170" s="2">
        <v>575.0</v>
      </c>
      <c r="G170" s="2">
        <v>1873.0</v>
      </c>
      <c r="H170" s="2" t="s">
        <v>5905</v>
      </c>
      <c r="I170" s="2" t="s">
        <v>5906</v>
      </c>
      <c r="J170" s="2" t="s">
        <v>5391</v>
      </c>
      <c r="K170" s="2" t="s">
        <v>32898</v>
      </c>
      <c r="L170" s="10" t="s">
        <v>32899</v>
      </c>
    </row>
    <row r="171">
      <c r="A171" s="2" t="s">
        <v>4952</v>
      </c>
      <c r="B171" s="2" t="s">
        <v>32900</v>
      </c>
      <c r="C171" s="2">
        <v>6.154056429E10</v>
      </c>
      <c r="D171" s="2" t="s">
        <v>32901</v>
      </c>
      <c r="E171" s="2">
        <v>161838.0</v>
      </c>
      <c r="F171" s="2">
        <v>63.0</v>
      </c>
      <c r="G171" s="2">
        <v>2401.0</v>
      </c>
      <c r="H171" s="2" t="s">
        <v>5905</v>
      </c>
      <c r="I171" s="2" t="s">
        <v>5905</v>
      </c>
      <c r="J171" s="2" t="s">
        <v>5485</v>
      </c>
      <c r="K171" s="2" t="s">
        <v>32902</v>
      </c>
      <c r="L171" s="10" t="s">
        <v>32903</v>
      </c>
    </row>
    <row r="172">
      <c r="A172" s="2" t="s">
        <v>4952</v>
      </c>
      <c r="B172" s="2" t="s">
        <v>32904</v>
      </c>
      <c r="C172" s="2">
        <v>5.52397215E8</v>
      </c>
      <c r="D172" s="2" t="s">
        <v>32905</v>
      </c>
      <c r="E172" s="2">
        <v>126490.0</v>
      </c>
      <c r="F172" s="2">
        <v>776.0</v>
      </c>
      <c r="G172" s="2">
        <v>4238.0</v>
      </c>
      <c r="H172" s="2" t="s">
        <v>5905</v>
      </c>
      <c r="I172" s="2" t="s">
        <v>5906</v>
      </c>
      <c r="J172" s="2" t="s">
        <v>12715</v>
      </c>
      <c r="K172" s="2" t="s">
        <v>32906</v>
      </c>
      <c r="L172" s="10" t="s">
        <v>32907</v>
      </c>
    </row>
    <row r="173">
      <c r="A173" s="2" t="s">
        <v>4952</v>
      </c>
      <c r="B173" s="2" t="s">
        <v>32908</v>
      </c>
      <c r="C173" s="2">
        <v>3.227708668E9</v>
      </c>
      <c r="D173" s="2" t="s">
        <v>32909</v>
      </c>
      <c r="E173" s="2">
        <v>1906966.0</v>
      </c>
      <c r="F173" s="2">
        <v>1.0</v>
      </c>
      <c r="G173" s="2">
        <v>21.0</v>
      </c>
      <c r="H173" s="2" t="s">
        <v>5906</v>
      </c>
      <c r="I173" s="2" t="s">
        <v>5905</v>
      </c>
      <c r="J173" s="2" t="s">
        <v>5928</v>
      </c>
      <c r="K173" s="2" t="s">
        <v>32910</v>
      </c>
    </row>
    <row r="174">
      <c r="A174" s="2" t="s">
        <v>4952</v>
      </c>
      <c r="B174" s="2" t="s">
        <v>32911</v>
      </c>
      <c r="C174" s="2">
        <v>6.3318747367E10</v>
      </c>
      <c r="D174" s="2" t="s">
        <v>32912</v>
      </c>
      <c r="E174" s="2">
        <v>72977.0</v>
      </c>
      <c r="F174" s="2">
        <v>104.0</v>
      </c>
      <c r="G174" s="2">
        <v>470.0</v>
      </c>
      <c r="H174" s="2" t="s">
        <v>5906</v>
      </c>
      <c r="I174" s="2" t="s">
        <v>5905</v>
      </c>
      <c r="J174" s="2" t="s">
        <v>5959</v>
      </c>
      <c r="K174" s="2" t="s">
        <v>32913</v>
      </c>
      <c r="L174" s="10" t="s">
        <v>25211</v>
      </c>
    </row>
    <row r="175">
      <c r="A175" s="2" t="s">
        <v>4952</v>
      </c>
      <c r="B175" s="2" t="s">
        <v>32914</v>
      </c>
      <c r="C175" s="2">
        <v>5.3537531927E10</v>
      </c>
      <c r="D175" s="2" t="s">
        <v>32915</v>
      </c>
      <c r="E175" s="2">
        <v>28003.0</v>
      </c>
      <c r="F175" s="2">
        <v>107.0</v>
      </c>
      <c r="G175" s="2">
        <v>1043.0</v>
      </c>
      <c r="H175" s="2" t="s">
        <v>5905</v>
      </c>
      <c r="I175" s="2" t="s">
        <v>5905</v>
      </c>
      <c r="J175" s="2" t="s">
        <v>5485</v>
      </c>
      <c r="K175" s="2" t="s">
        <v>32916</v>
      </c>
    </row>
    <row r="176">
      <c r="A176" s="2" t="s">
        <v>4952</v>
      </c>
      <c r="B176" s="2" t="s">
        <v>32917</v>
      </c>
      <c r="C176" s="2">
        <v>4.3469079369E10</v>
      </c>
      <c r="D176" s="2" t="s">
        <v>32918</v>
      </c>
      <c r="E176" s="2">
        <v>14387.0</v>
      </c>
      <c r="F176" s="2">
        <v>21.0</v>
      </c>
      <c r="G176" s="2">
        <v>320.0</v>
      </c>
      <c r="H176" s="2" t="s">
        <v>5905</v>
      </c>
      <c r="I176" s="2" t="s">
        <v>5905</v>
      </c>
      <c r="J176" s="2" t="s">
        <v>6002</v>
      </c>
      <c r="K176" s="2" t="s">
        <v>32919</v>
      </c>
      <c r="L176" s="10" t="s">
        <v>32920</v>
      </c>
    </row>
    <row r="177">
      <c r="A177" s="2" t="s">
        <v>4952</v>
      </c>
      <c r="B177" s="2" t="s">
        <v>32921</v>
      </c>
      <c r="C177" s="2">
        <v>6.1846835647E10</v>
      </c>
      <c r="D177" s="2" t="s">
        <v>32922</v>
      </c>
      <c r="E177" s="2">
        <v>84837.0</v>
      </c>
      <c r="F177" s="2">
        <v>8.0</v>
      </c>
      <c r="G177" s="2">
        <v>1231.0</v>
      </c>
      <c r="H177" s="2" t="s">
        <v>5905</v>
      </c>
      <c r="I177" s="2" t="s">
        <v>5906</v>
      </c>
      <c r="J177" s="2" t="s">
        <v>5959</v>
      </c>
      <c r="K177" s="2" t="s">
        <v>32923</v>
      </c>
      <c r="L177" s="10" t="s">
        <v>32924</v>
      </c>
    </row>
    <row r="178">
      <c r="A178" s="2" t="s">
        <v>4952</v>
      </c>
      <c r="B178" s="2" t="s">
        <v>32925</v>
      </c>
      <c r="C178" s="2">
        <v>6.6264562413E10</v>
      </c>
      <c r="D178" s="2" t="s">
        <v>32926</v>
      </c>
      <c r="E178" s="2">
        <v>598927.0</v>
      </c>
      <c r="F178" s="2">
        <v>7.0</v>
      </c>
      <c r="G178" s="2">
        <v>162.0</v>
      </c>
      <c r="H178" s="2" t="s">
        <v>5905</v>
      </c>
      <c r="I178" s="2" t="s">
        <v>5905</v>
      </c>
      <c r="J178" s="2" t="s">
        <v>19006</v>
      </c>
      <c r="K178" s="2" t="s">
        <v>32927</v>
      </c>
      <c r="L178" s="10" t="s">
        <v>32928</v>
      </c>
    </row>
    <row r="179">
      <c r="A179" s="2" t="s">
        <v>4952</v>
      </c>
      <c r="B179" s="2" t="s">
        <v>32929</v>
      </c>
      <c r="C179" s="2">
        <v>5.7032024724E10</v>
      </c>
      <c r="D179" s="2" t="s">
        <v>32930</v>
      </c>
      <c r="E179" s="2">
        <v>11607.0</v>
      </c>
      <c r="F179" s="2">
        <v>70.0</v>
      </c>
      <c r="G179" s="2">
        <v>412.0</v>
      </c>
      <c r="H179" s="2" t="s">
        <v>5905</v>
      </c>
      <c r="I179" s="2" t="s">
        <v>5905</v>
      </c>
      <c r="J179" s="2" t="s">
        <v>5993</v>
      </c>
      <c r="K179" s="2" t="s">
        <v>32931</v>
      </c>
    </row>
    <row r="180">
      <c r="A180" s="2" t="s">
        <v>4952</v>
      </c>
      <c r="B180" s="2" t="s">
        <v>32932</v>
      </c>
      <c r="C180" s="2">
        <v>4.4666673234E10</v>
      </c>
      <c r="D180" s="2" t="s">
        <v>32933</v>
      </c>
      <c r="E180" s="2">
        <v>1108170.0</v>
      </c>
      <c r="F180" s="2">
        <v>20.0</v>
      </c>
      <c r="G180" s="2">
        <v>1745.0</v>
      </c>
      <c r="H180" s="2" t="s">
        <v>5905</v>
      </c>
      <c r="I180" s="2" t="s">
        <v>5905</v>
      </c>
      <c r="J180" s="2" t="s">
        <v>5485</v>
      </c>
      <c r="K180" s="2" t="s">
        <v>32934</v>
      </c>
    </row>
    <row r="181">
      <c r="A181" s="2" t="s">
        <v>4952</v>
      </c>
      <c r="B181" s="2" t="s">
        <v>32935</v>
      </c>
      <c r="C181" s="2">
        <v>5.502126954E10</v>
      </c>
      <c r="D181" s="2" t="s">
        <v>32936</v>
      </c>
      <c r="E181" s="2">
        <v>621905.0</v>
      </c>
      <c r="F181" s="2">
        <v>6205.0</v>
      </c>
      <c r="G181" s="2">
        <v>12374.0</v>
      </c>
      <c r="H181" s="2" t="s">
        <v>5905</v>
      </c>
      <c r="I181" s="2" t="s">
        <v>5905</v>
      </c>
      <c r="J181" s="2" t="s">
        <v>6414</v>
      </c>
      <c r="K181" s="2" t="s">
        <v>32937</v>
      </c>
    </row>
    <row r="182">
      <c r="A182" s="2" t="s">
        <v>4952</v>
      </c>
      <c r="B182" s="2" t="s">
        <v>32938</v>
      </c>
      <c r="C182" s="2">
        <v>3.774044629E10</v>
      </c>
      <c r="D182" s="2" t="s">
        <v>32939</v>
      </c>
      <c r="E182" s="2">
        <v>122742.0</v>
      </c>
      <c r="F182" s="2">
        <v>139.0</v>
      </c>
      <c r="G182" s="2">
        <v>280.0</v>
      </c>
      <c r="H182" s="2" t="s">
        <v>5905</v>
      </c>
      <c r="I182" s="2" t="s">
        <v>5905</v>
      </c>
      <c r="J182" s="2" t="s">
        <v>32940</v>
      </c>
      <c r="K182" s="2" t="s">
        <v>32941</v>
      </c>
      <c r="L182" s="10" t="s">
        <v>32942</v>
      </c>
    </row>
    <row r="183">
      <c r="A183" s="2" t="s">
        <v>4952</v>
      </c>
      <c r="B183" s="2" t="s">
        <v>32943</v>
      </c>
      <c r="C183" s="2">
        <v>6.5074983967E10</v>
      </c>
      <c r="D183" s="2" t="s">
        <v>32944</v>
      </c>
      <c r="E183" s="2">
        <v>47653.0</v>
      </c>
      <c r="F183" s="2">
        <v>19.0</v>
      </c>
      <c r="G183" s="2">
        <v>375.0</v>
      </c>
      <c r="H183" s="2" t="s">
        <v>5905</v>
      </c>
      <c r="I183" s="2" t="s">
        <v>5905</v>
      </c>
      <c r="J183" s="2" t="s">
        <v>5485</v>
      </c>
      <c r="K183" s="2" t="s">
        <v>32945</v>
      </c>
      <c r="L183" s="10" t="s">
        <v>32946</v>
      </c>
    </row>
    <row r="184">
      <c r="A184" s="2" t="s">
        <v>4952</v>
      </c>
      <c r="B184" s="2" t="s">
        <v>32947</v>
      </c>
      <c r="C184" s="2">
        <v>4.8375182456E10</v>
      </c>
      <c r="D184" s="2" t="s">
        <v>32948</v>
      </c>
      <c r="E184" s="2">
        <v>32190.0</v>
      </c>
      <c r="F184" s="2">
        <v>21.0</v>
      </c>
      <c r="G184" s="2">
        <v>632.0</v>
      </c>
      <c r="H184" s="2" t="s">
        <v>5905</v>
      </c>
      <c r="I184" s="2" t="s">
        <v>5905</v>
      </c>
      <c r="J184" s="2" t="s">
        <v>5485</v>
      </c>
      <c r="K184" s="2" t="s">
        <v>32949</v>
      </c>
    </row>
    <row r="185">
      <c r="A185" s="2" t="s">
        <v>4952</v>
      </c>
      <c r="B185" s="2" t="s">
        <v>32950</v>
      </c>
      <c r="C185" s="2">
        <v>4.4107484817E10</v>
      </c>
      <c r="D185" s="2" t="s">
        <v>32951</v>
      </c>
      <c r="E185" s="2">
        <v>1089893.0</v>
      </c>
      <c r="F185" s="2">
        <v>66.0</v>
      </c>
      <c r="G185" s="2">
        <v>4728.0</v>
      </c>
      <c r="H185" s="2" t="s">
        <v>5905</v>
      </c>
      <c r="I185" s="2" t="s">
        <v>5905</v>
      </c>
      <c r="J185" s="2" t="s">
        <v>5485</v>
      </c>
      <c r="K185" s="2" t="s">
        <v>32952</v>
      </c>
    </row>
    <row r="186">
      <c r="A186" s="2" t="s">
        <v>4952</v>
      </c>
      <c r="B186" s="2" t="s">
        <v>32953</v>
      </c>
      <c r="C186" s="2">
        <v>5.8620756061E10</v>
      </c>
      <c r="D186" s="2" t="s">
        <v>32954</v>
      </c>
      <c r="E186" s="2">
        <v>160812.0</v>
      </c>
      <c r="F186" s="2">
        <v>0.0</v>
      </c>
      <c r="G186" s="2">
        <v>343.0</v>
      </c>
      <c r="H186" s="2" t="s">
        <v>5905</v>
      </c>
      <c r="I186" s="2" t="s">
        <v>5905</v>
      </c>
      <c r="J186" s="2" t="s">
        <v>5485</v>
      </c>
      <c r="K186" s="2" t="s">
        <v>32955</v>
      </c>
      <c r="L186" s="10" t="s">
        <v>32956</v>
      </c>
    </row>
    <row r="187">
      <c r="A187" s="2" t="s">
        <v>4952</v>
      </c>
      <c r="B187" s="2" t="s">
        <v>32957</v>
      </c>
      <c r="C187" s="2">
        <v>5.840375678E10</v>
      </c>
      <c r="D187" s="2" t="s">
        <v>32958</v>
      </c>
      <c r="E187" s="2">
        <v>51270.0</v>
      </c>
      <c r="F187" s="2">
        <v>1.0</v>
      </c>
      <c r="G187" s="2">
        <v>183.0</v>
      </c>
      <c r="H187" s="2" t="s">
        <v>5905</v>
      </c>
      <c r="I187" s="2" t="s">
        <v>5905</v>
      </c>
      <c r="J187" s="2" t="s">
        <v>5485</v>
      </c>
      <c r="K187" s="2" t="s">
        <v>32959</v>
      </c>
    </row>
    <row r="188">
      <c r="A188" s="2" t="s">
        <v>4985</v>
      </c>
      <c r="B188" s="2" t="s">
        <v>32960</v>
      </c>
      <c r="C188" s="2">
        <v>7.0146666347E10</v>
      </c>
      <c r="D188" s="2" t="s">
        <v>32961</v>
      </c>
      <c r="E188" s="2">
        <v>31168.0</v>
      </c>
      <c r="F188" s="2">
        <v>1.0</v>
      </c>
      <c r="G188" s="2">
        <v>171.0</v>
      </c>
      <c r="H188" s="2" t="s">
        <v>5905</v>
      </c>
      <c r="I188" s="2" t="s">
        <v>5905</v>
      </c>
      <c r="J188" s="2" t="s">
        <v>5485</v>
      </c>
      <c r="K188" s="2" t="s">
        <v>32962</v>
      </c>
      <c r="L188" s="10" t="s">
        <v>32903</v>
      </c>
    </row>
    <row r="189">
      <c r="A189" s="2" t="s">
        <v>4985</v>
      </c>
      <c r="B189" s="2" t="s">
        <v>32963</v>
      </c>
      <c r="C189" s="2">
        <v>6.2204112686E10</v>
      </c>
      <c r="D189" s="2" t="s">
        <v>32964</v>
      </c>
      <c r="E189" s="2">
        <v>211274.0</v>
      </c>
      <c r="F189" s="2">
        <v>4.0</v>
      </c>
      <c r="G189" s="2">
        <v>119.0</v>
      </c>
      <c r="H189" s="2" t="s">
        <v>5905</v>
      </c>
      <c r="I189" s="2" t="s">
        <v>5905</v>
      </c>
      <c r="J189" s="2" t="s">
        <v>5928</v>
      </c>
      <c r="K189" s="2" t="s">
        <v>32965</v>
      </c>
    </row>
    <row r="190">
      <c r="A190" s="2" t="s">
        <v>4985</v>
      </c>
      <c r="B190" s="2" t="s">
        <v>32966</v>
      </c>
      <c r="C190" s="2">
        <v>6.5942480095E10</v>
      </c>
      <c r="D190" s="2" t="s">
        <v>32967</v>
      </c>
      <c r="E190" s="2">
        <v>72977.0</v>
      </c>
      <c r="F190" s="2">
        <v>0.0</v>
      </c>
      <c r="G190" s="2">
        <v>676.0</v>
      </c>
      <c r="H190" s="2" t="s">
        <v>5905</v>
      </c>
      <c r="I190" s="2" t="s">
        <v>5905</v>
      </c>
      <c r="J190" s="2" t="s">
        <v>5928</v>
      </c>
      <c r="K190" s="2" t="s">
        <v>32968</v>
      </c>
    </row>
    <row r="191">
      <c r="A191" s="2" t="s">
        <v>4985</v>
      </c>
      <c r="B191" s="2" t="s">
        <v>32969</v>
      </c>
      <c r="C191" s="2">
        <v>6.1392533256E10</v>
      </c>
      <c r="D191" s="2" t="s">
        <v>32970</v>
      </c>
      <c r="E191" s="2">
        <v>140268.0</v>
      </c>
      <c r="F191" s="2">
        <v>13.0</v>
      </c>
      <c r="G191" s="2">
        <v>1349.0</v>
      </c>
      <c r="H191" s="2" t="s">
        <v>5905</v>
      </c>
      <c r="I191" s="2" t="s">
        <v>5905</v>
      </c>
      <c r="J191" s="2" t="s">
        <v>13634</v>
      </c>
      <c r="K191" s="2" t="s">
        <v>32971</v>
      </c>
    </row>
    <row r="192">
      <c r="A192" s="2" t="s">
        <v>4985</v>
      </c>
      <c r="B192" s="2" t="s">
        <v>32972</v>
      </c>
      <c r="C192" s="2">
        <v>6.0787735835E10</v>
      </c>
      <c r="D192" s="2" t="s">
        <v>32973</v>
      </c>
      <c r="E192" s="2">
        <v>36667.0</v>
      </c>
      <c r="F192" s="2">
        <v>148.0</v>
      </c>
      <c r="G192" s="2">
        <v>510.0</v>
      </c>
      <c r="H192" s="2" t="s">
        <v>5905</v>
      </c>
      <c r="I192" s="2" t="s">
        <v>5905</v>
      </c>
      <c r="J192" s="2" t="s">
        <v>5928</v>
      </c>
      <c r="K192" s="2" t="s">
        <v>32974</v>
      </c>
      <c r="L192" s="10" t="s">
        <v>32975</v>
      </c>
    </row>
    <row r="193">
      <c r="A193" s="2" t="s">
        <v>4985</v>
      </c>
      <c r="B193" s="2" t="s">
        <v>32976</v>
      </c>
      <c r="C193" s="2">
        <v>1.413944189E9</v>
      </c>
      <c r="D193" s="2" t="s">
        <v>32977</v>
      </c>
      <c r="E193" s="2">
        <v>232996.0</v>
      </c>
      <c r="F193" s="2">
        <v>1397.0</v>
      </c>
      <c r="G193" s="2">
        <v>278.0</v>
      </c>
      <c r="H193" s="2" t="s">
        <v>5906</v>
      </c>
      <c r="I193" s="2" t="s">
        <v>5906</v>
      </c>
      <c r="J193" s="2" t="s">
        <v>7926</v>
      </c>
      <c r="K193" s="2" t="s">
        <v>32978</v>
      </c>
      <c r="L193" s="10" t="s">
        <v>32979</v>
      </c>
    </row>
    <row r="194">
      <c r="A194" s="2" t="s">
        <v>4985</v>
      </c>
      <c r="B194" s="2" t="s">
        <v>32980</v>
      </c>
      <c r="C194" s="2">
        <v>5.7146837199E10</v>
      </c>
      <c r="E194" s="2">
        <v>81608.0</v>
      </c>
      <c r="F194" s="2">
        <v>1.0</v>
      </c>
      <c r="G194" s="2">
        <v>516.0</v>
      </c>
      <c r="H194" s="2" t="s">
        <v>5905</v>
      </c>
      <c r="I194" s="2" t="s">
        <v>5905</v>
      </c>
      <c r="J194" s="2" t="s">
        <v>4404</v>
      </c>
      <c r="L194" s="10" t="s">
        <v>32981</v>
      </c>
    </row>
    <row r="195">
      <c r="A195" s="2" t="s">
        <v>4985</v>
      </c>
      <c r="B195" s="2" t="s">
        <v>32982</v>
      </c>
      <c r="C195" s="2">
        <v>3.31364851E8</v>
      </c>
      <c r="D195" s="2" t="s">
        <v>32983</v>
      </c>
      <c r="E195" s="2">
        <v>248153.0</v>
      </c>
      <c r="F195" s="2">
        <v>1120.0</v>
      </c>
      <c r="G195" s="2">
        <v>3765.0</v>
      </c>
      <c r="H195" s="2" t="s">
        <v>5905</v>
      </c>
      <c r="I195" s="2" t="s">
        <v>5906</v>
      </c>
      <c r="J195" s="2" t="s">
        <v>32984</v>
      </c>
      <c r="K195" s="2" t="s">
        <v>32985</v>
      </c>
      <c r="L195" s="10" t="s">
        <v>32986</v>
      </c>
    </row>
    <row r="196">
      <c r="A196" s="2" t="s">
        <v>4985</v>
      </c>
      <c r="B196" s="2" t="s">
        <v>32987</v>
      </c>
      <c r="C196" s="2">
        <v>6.6266550537E10</v>
      </c>
      <c r="D196" s="2" t="s">
        <v>32988</v>
      </c>
      <c r="E196" s="2">
        <v>401826.0</v>
      </c>
      <c r="F196" s="2">
        <v>159.0</v>
      </c>
      <c r="G196" s="2">
        <v>1991.0</v>
      </c>
      <c r="H196" s="2" t="s">
        <v>5905</v>
      </c>
      <c r="I196" s="2" t="s">
        <v>5905</v>
      </c>
      <c r="J196" s="2" t="s">
        <v>5561</v>
      </c>
      <c r="K196" s="2" t="s">
        <v>32989</v>
      </c>
      <c r="L196" s="10" t="s">
        <v>32990</v>
      </c>
    </row>
    <row r="197">
      <c r="A197" s="2" t="s">
        <v>4985</v>
      </c>
      <c r="B197" s="2" t="s">
        <v>32991</v>
      </c>
      <c r="C197" s="2">
        <v>1.6127674E7</v>
      </c>
      <c r="D197" s="2" t="s">
        <v>32992</v>
      </c>
      <c r="E197" s="2">
        <v>9687025.0</v>
      </c>
      <c r="F197" s="2">
        <v>731.0</v>
      </c>
      <c r="G197" s="2">
        <v>1665.0</v>
      </c>
      <c r="H197" s="2" t="s">
        <v>5906</v>
      </c>
      <c r="I197" s="2" t="s">
        <v>5905</v>
      </c>
      <c r="J197" s="2" t="s">
        <v>5928</v>
      </c>
      <c r="K197" s="2" t="s">
        <v>32993</v>
      </c>
      <c r="L197" s="10" t="s">
        <v>32994</v>
      </c>
    </row>
    <row r="198">
      <c r="A198" s="2" t="s">
        <v>4985</v>
      </c>
      <c r="B198" s="2" t="s">
        <v>32995</v>
      </c>
      <c r="C198" s="2">
        <v>5.8357911568E10</v>
      </c>
      <c r="D198" s="2" t="s">
        <v>32996</v>
      </c>
      <c r="E198" s="2">
        <v>27856.0</v>
      </c>
      <c r="F198" s="2">
        <v>40.0</v>
      </c>
      <c r="G198" s="2">
        <v>110.0</v>
      </c>
      <c r="H198" s="2" t="s">
        <v>5905</v>
      </c>
      <c r="I198" s="2" t="s">
        <v>5905</v>
      </c>
      <c r="J198" s="2" t="s">
        <v>5928</v>
      </c>
      <c r="K198" s="2" t="s">
        <v>32997</v>
      </c>
    </row>
    <row r="199">
      <c r="A199" s="2" t="s">
        <v>4985</v>
      </c>
      <c r="B199" s="2" t="s">
        <v>32998</v>
      </c>
      <c r="C199" s="2">
        <v>6.0751311035E10</v>
      </c>
      <c r="D199" s="12" t="s">
        <v>32999</v>
      </c>
      <c r="E199" s="2">
        <v>158749.0</v>
      </c>
      <c r="F199" s="2">
        <v>6.0</v>
      </c>
      <c r="G199" s="2">
        <v>1086.0</v>
      </c>
      <c r="H199" s="2" t="s">
        <v>5905</v>
      </c>
      <c r="I199" s="2" t="s">
        <v>5905</v>
      </c>
      <c r="J199" s="2" t="s">
        <v>13634</v>
      </c>
      <c r="K199" s="2" t="s">
        <v>33000</v>
      </c>
    </row>
    <row r="200">
      <c r="A200" s="2" t="s">
        <v>4985</v>
      </c>
      <c r="B200" s="2" t="s">
        <v>33001</v>
      </c>
      <c r="C200" s="2">
        <v>3.186529422E9</v>
      </c>
      <c r="D200" s="2" t="s">
        <v>33002</v>
      </c>
      <c r="E200" s="2">
        <v>299208.0</v>
      </c>
      <c r="F200" s="2">
        <v>155.0</v>
      </c>
      <c r="G200" s="2">
        <v>4481.0</v>
      </c>
      <c r="H200" s="2" t="s">
        <v>5905</v>
      </c>
      <c r="I200" s="2" t="s">
        <v>5905</v>
      </c>
      <c r="J200" s="2" t="s">
        <v>5993</v>
      </c>
      <c r="K200" s="2" t="s">
        <v>33003</v>
      </c>
      <c r="L200" s="10" t="s">
        <v>33004</v>
      </c>
    </row>
    <row r="201">
      <c r="A201" s="2" t="s">
        <v>4985</v>
      </c>
      <c r="B201" s="2" t="s">
        <v>33005</v>
      </c>
      <c r="C201" s="2">
        <v>3.1575191666E10</v>
      </c>
      <c r="D201" s="2" t="s">
        <v>33006</v>
      </c>
      <c r="E201" s="2">
        <v>17382.0</v>
      </c>
      <c r="F201" s="2">
        <v>151.0</v>
      </c>
      <c r="G201" s="2">
        <v>311.0</v>
      </c>
      <c r="H201" s="2" t="s">
        <v>5905</v>
      </c>
      <c r="I201" s="2" t="s">
        <v>5906</v>
      </c>
      <c r="J201" s="2" t="s">
        <v>5928</v>
      </c>
      <c r="K201" s="2" t="s">
        <v>33007</v>
      </c>
    </row>
    <row r="202">
      <c r="A202" s="2" t="s">
        <v>4985</v>
      </c>
      <c r="B202" s="2" t="s">
        <v>33008</v>
      </c>
      <c r="C202" s="2">
        <v>1.485566841E9</v>
      </c>
      <c r="D202" s="2" t="s">
        <v>33009</v>
      </c>
      <c r="E202" s="2">
        <v>132659.0</v>
      </c>
      <c r="F202" s="2">
        <v>713.0</v>
      </c>
      <c r="G202" s="2">
        <v>608.0</v>
      </c>
      <c r="H202" s="2" t="s">
        <v>5906</v>
      </c>
      <c r="I202" s="2" t="s">
        <v>5905</v>
      </c>
      <c r="J202" s="2" t="s">
        <v>5993</v>
      </c>
      <c r="K202" s="2" t="s">
        <v>33010</v>
      </c>
      <c r="L202" s="10" t="s">
        <v>33011</v>
      </c>
    </row>
    <row r="203">
      <c r="A203" s="2" t="s">
        <v>4961</v>
      </c>
      <c r="B203" s="10" t="s">
        <v>33012</v>
      </c>
      <c r="C203" s="2">
        <v>4.524977181E10</v>
      </c>
      <c r="D203" s="2" t="s">
        <v>33013</v>
      </c>
      <c r="E203" s="2">
        <v>44991.0</v>
      </c>
      <c r="F203" s="2">
        <v>2.0</v>
      </c>
      <c r="G203" s="2">
        <v>459.0</v>
      </c>
      <c r="H203" s="2" t="s">
        <v>5905</v>
      </c>
      <c r="I203" s="2" t="s">
        <v>5905</v>
      </c>
      <c r="J203" s="2" t="s">
        <v>6166</v>
      </c>
      <c r="K203" s="2" t="s">
        <v>33014</v>
      </c>
      <c r="L203" s="10" t="s">
        <v>33015</v>
      </c>
    </row>
    <row r="204">
      <c r="A204" s="2" t="s">
        <v>4961</v>
      </c>
      <c r="B204" s="2" t="s">
        <v>33016</v>
      </c>
      <c r="C204" s="2">
        <v>4.9103509935E10</v>
      </c>
      <c r="D204" s="2" t="s">
        <v>33017</v>
      </c>
      <c r="E204" s="2">
        <v>24592.0</v>
      </c>
      <c r="F204" s="2">
        <v>160.0</v>
      </c>
      <c r="G204" s="2">
        <v>310.0</v>
      </c>
      <c r="H204" s="2" t="s">
        <v>5905</v>
      </c>
      <c r="I204" s="2" t="s">
        <v>5905</v>
      </c>
      <c r="J204" s="2" t="s">
        <v>5993</v>
      </c>
      <c r="K204" s="2" t="s">
        <v>33018</v>
      </c>
      <c r="L204" s="10" t="s">
        <v>33019</v>
      </c>
    </row>
    <row r="205">
      <c r="A205" s="2" t="s">
        <v>4961</v>
      </c>
      <c r="B205" s="2" t="s">
        <v>33020</v>
      </c>
      <c r="C205" s="2">
        <v>4.8577932412E10</v>
      </c>
      <c r="E205" s="2">
        <v>20587.0</v>
      </c>
      <c r="F205" s="2">
        <v>552.0</v>
      </c>
      <c r="G205" s="2">
        <v>3.0</v>
      </c>
      <c r="H205" s="2" t="s">
        <v>5905</v>
      </c>
      <c r="I205" s="2" t="s">
        <v>5905</v>
      </c>
      <c r="J205" s="2" t="s">
        <v>6002</v>
      </c>
      <c r="K205" s="2" t="s">
        <v>33021</v>
      </c>
    </row>
    <row r="206">
      <c r="A206" s="2" t="s">
        <v>4961</v>
      </c>
      <c r="B206" s="2" t="s">
        <v>33022</v>
      </c>
      <c r="C206" s="2">
        <v>2.5286598326E10</v>
      </c>
      <c r="D206" s="2" t="s">
        <v>33023</v>
      </c>
      <c r="E206" s="2">
        <v>38314.0</v>
      </c>
      <c r="F206" s="2">
        <v>0.0</v>
      </c>
      <c r="G206" s="2">
        <v>457.0</v>
      </c>
      <c r="H206" s="2" t="s">
        <v>5905</v>
      </c>
      <c r="I206" s="2" t="s">
        <v>5905</v>
      </c>
      <c r="J206" s="2" t="s">
        <v>6393</v>
      </c>
      <c r="K206" s="2" t="s">
        <v>33024</v>
      </c>
    </row>
    <row r="207">
      <c r="A207" s="2" t="s">
        <v>4961</v>
      </c>
      <c r="B207" s="2" t="s">
        <v>33025</v>
      </c>
      <c r="C207" s="2">
        <v>1.3452575552E10</v>
      </c>
      <c r="D207" s="2" t="s">
        <v>33026</v>
      </c>
      <c r="E207" s="2">
        <v>73827.0</v>
      </c>
      <c r="F207" s="2">
        <v>491.0</v>
      </c>
      <c r="G207" s="2">
        <v>1667.0</v>
      </c>
      <c r="H207" s="2" t="s">
        <v>5906</v>
      </c>
      <c r="I207" s="2" t="s">
        <v>5905</v>
      </c>
      <c r="J207" s="2" t="s">
        <v>33027</v>
      </c>
      <c r="K207" s="2" t="s">
        <v>33028</v>
      </c>
      <c r="L207" s="10" t="s">
        <v>33029</v>
      </c>
    </row>
    <row r="208">
      <c r="A208" s="2" t="s">
        <v>4961</v>
      </c>
      <c r="B208" s="2" t="s">
        <v>33030</v>
      </c>
      <c r="C208" s="2">
        <v>1.9312177E7</v>
      </c>
      <c r="D208" s="2" t="s">
        <v>33031</v>
      </c>
      <c r="E208" s="2">
        <v>62703.0</v>
      </c>
      <c r="F208" s="2">
        <v>1693.0</v>
      </c>
      <c r="G208" s="2">
        <v>361.0</v>
      </c>
      <c r="H208" s="2" t="s">
        <v>5906</v>
      </c>
      <c r="I208" s="2" t="s">
        <v>5906</v>
      </c>
      <c r="J208" s="2" t="s">
        <v>5993</v>
      </c>
      <c r="K208" s="2" t="s">
        <v>33032</v>
      </c>
      <c r="L208" s="10" t="s">
        <v>33033</v>
      </c>
    </row>
    <row r="209">
      <c r="A209" s="2" t="s">
        <v>4961</v>
      </c>
      <c r="B209" s="2" t="s">
        <v>33034</v>
      </c>
      <c r="C209" s="2">
        <v>1.84181608E8</v>
      </c>
      <c r="D209" s="2" t="s">
        <v>33035</v>
      </c>
      <c r="E209" s="2">
        <v>1278837.0</v>
      </c>
      <c r="F209" s="2">
        <v>3798.0</v>
      </c>
      <c r="G209" s="2">
        <v>2476.0</v>
      </c>
      <c r="H209" s="2" t="s">
        <v>5906</v>
      </c>
      <c r="I209" s="2" t="s">
        <v>5906</v>
      </c>
      <c r="J209" s="2" t="s">
        <v>6027</v>
      </c>
      <c r="K209" s="2" t="s">
        <v>33036</v>
      </c>
      <c r="L209" s="10" t="s">
        <v>33037</v>
      </c>
    </row>
    <row r="210">
      <c r="A210" s="2" t="s">
        <v>4986</v>
      </c>
      <c r="B210" s="2" t="s">
        <v>33038</v>
      </c>
      <c r="C210" s="2">
        <v>5.25762373E10</v>
      </c>
      <c r="D210" s="2" t="s">
        <v>33039</v>
      </c>
      <c r="E210" s="2">
        <v>24654.0</v>
      </c>
      <c r="F210" s="2">
        <v>5.0</v>
      </c>
      <c r="G210" s="2">
        <v>519.0</v>
      </c>
      <c r="H210" s="2" t="s">
        <v>5905</v>
      </c>
      <c r="I210" s="2" t="s">
        <v>5906</v>
      </c>
      <c r="J210" s="2" t="s">
        <v>15000</v>
      </c>
      <c r="K210" s="2" t="s">
        <v>33040</v>
      </c>
      <c r="L210" s="10" t="s">
        <v>33041</v>
      </c>
    </row>
    <row r="211">
      <c r="A211" s="2" t="s">
        <v>4986</v>
      </c>
      <c r="B211" s="2" t="s">
        <v>4504</v>
      </c>
      <c r="C211" s="2">
        <v>6.344354573E9</v>
      </c>
      <c r="D211" s="2" t="s">
        <v>19405</v>
      </c>
      <c r="E211" s="2">
        <v>2622295.0</v>
      </c>
      <c r="F211" s="2">
        <v>2420.0</v>
      </c>
      <c r="G211" s="2">
        <v>1359.0</v>
      </c>
      <c r="H211" s="2" t="s">
        <v>5906</v>
      </c>
      <c r="I211" s="2" t="s">
        <v>5905</v>
      </c>
      <c r="J211" s="2" t="s">
        <v>8843</v>
      </c>
      <c r="K211" s="2" t="s">
        <v>19406</v>
      </c>
      <c r="L211" s="10" t="s">
        <v>19407</v>
      </c>
    </row>
    <row r="212">
      <c r="A212" s="2" t="s">
        <v>4986</v>
      </c>
      <c r="B212" s="2" t="s">
        <v>19408</v>
      </c>
      <c r="C212" s="2">
        <v>4.0398314E7</v>
      </c>
      <c r="D212" s="2" t="s">
        <v>19409</v>
      </c>
      <c r="E212" s="2">
        <v>3862456.0</v>
      </c>
      <c r="F212" s="2">
        <v>5730.0</v>
      </c>
      <c r="G212" s="2">
        <v>18726.0</v>
      </c>
      <c r="H212" s="2" t="s">
        <v>5906</v>
      </c>
      <c r="I212" s="2" t="s">
        <v>5906</v>
      </c>
      <c r="J212" s="2" t="s">
        <v>5907</v>
      </c>
      <c r="K212" s="2" t="s">
        <v>19410</v>
      </c>
      <c r="L212" s="10" t="s">
        <v>19411</v>
      </c>
    </row>
    <row r="213">
      <c r="A213" s="2" t="s">
        <v>4986</v>
      </c>
      <c r="B213" s="2" t="s">
        <v>19412</v>
      </c>
      <c r="C213" s="2">
        <v>1.688892691E9</v>
      </c>
      <c r="D213" s="2" t="s">
        <v>19413</v>
      </c>
      <c r="E213" s="2">
        <v>2633525.0</v>
      </c>
      <c r="F213" s="2">
        <v>3.0</v>
      </c>
      <c r="G213" s="2">
        <v>3557.0</v>
      </c>
      <c r="H213" s="2" t="s">
        <v>5905</v>
      </c>
      <c r="I213" s="2" t="s">
        <v>5906</v>
      </c>
      <c r="J213" s="2" t="s">
        <v>5518</v>
      </c>
      <c r="K213" s="2" t="s">
        <v>19414</v>
      </c>
      <c r="L213" s="10" t="s">
        <v>19415</v>
      </c>
    </row>
    <row r="214">
      <c r="A214" s="2" t="s">
        <v>4986</v>
      </c>
      <c r="B214" s="2" t="s">
        <v>19422</v>
      </c>
      <c r="C214" s="2">
        <v>2.07160552E8</v>
      </c>
      <c r="D214" s="2" t="s">
        <v>19423</v>
      </c>
      <c r="E214" s="2">
        <v>2072756.0</v>
      </c>
      <c r="F214" s="2">
        <v>47.0</v>
      </c>
      <c r="G214" s="2">
        <v>3167.0</v>
      </c>
      <c r="H214" s="2" t="s">
        <v>5906</v>
      </c>
      <c r="I214" s="2" t="s">
        <v>5906</v>
      </c>
      <c r="J214" s="2" t="s">
        <v>5963</v>
      </c>
      <c r="K214" s="2" t="s">
        <v>19424</v>
      </c>
      <c r="L214" s="10" t="s">
        <v>19425</v>
      </c>
    </row>
    <row r="215">
      <c r="A215" s="2" t="s">
        <v>4986</v>
      </c>
      <c r="B215" s="2" t="s">
        <v>33042</v>
      </c>
      <c r="C215" s="2">
        <v>7.602277043E9</v>
      </c>
      <c r="D215" s="2" t="s">
        <v>33043</v>
      </c>
      <c r="E215" s="2">
        <v>17784.0</v>
      </c>
      <c r="F215" s="2">
        <v>659.0</v>
      </c>
      <c r="G215" s="2">
        <v>98.0</v>
      </c>
      <c r="H215" s="2" t="s">
        <v>5905</v>
      </c>
      <c r="I215" s="2" t="s">
        <v>5906</v>
      </c>
      <c r="J215" s="2" t="s">
        <v>6166</v>
      </c>
      <c r="K215" s="12" t="s">
        <v>33044</v>
      </c>
    </row>
    <row r="216">
      <c r="A216" s="2" t="s">
        <v>4986</v>
      </c>
      <c r="B216" s="2" t="s">
        <v>33045</v>
      </c>
      <c r="C216" s="2">
        <v>1.1347252864E10</v>
      </c>
      <c r="D216" s="2" t="s">
        <v>33046</v>
      </c>
      <c r="E216" s="2">
        <v>11176.0</v>
      </c>
      <c r="F216" s="2">
        <v>113.0</v>
      </c>
      <c r="G216" s="2">
        <v>239.0</v>
      </c>
      <c r="H216" s="2" t="s">
        <v>5905</v>
      </c>
      <c r="I216" s="2" t="s">
        <v>5906</v>
      </c>
      <c r="J216" s="2" t="s">
        <v>7482</v>
      </c>
      <c r="K216" s="2" t="s">
        <v>33047</v>
      </c>
      <c r="L216" s="10" t="s">
        <v>33048</v>
      </c>
    </row>
    <row r="217">
      <c r="A217" s="2" t="s">
        <v>4986</v>
      </c>
      <c r="B217" s="2" t="s">
        <v>33049</v>
      </c>
      <c r="C217" s="2">
        <v>8.598587359E9</v>
      </c>
      <c r="D217" s="2" t="s">
        <v>33050</v>
      </c>
      <c r="E217" s="2">
        <v>122133.0</v>
      </c>
      <c r="F217" s="2">
        <v>749.0</v>
      </c>
      <c r="G217" s="2">
        <v>397.0</v>
      </c>
      <c r="H217" s="2" t="s">
        <v>5905</v>
      </c>
      <c r="I217" s="2" t="s">
        <v>5905</v>
      </c>
      <c r="J217" s="2" t="s">
        <v>5959</v>
      </c>
      <c r="K217" s="2" t="s">
        <v>33051</v>
      </c>
      <c r="L217" s="10" t="s">
        <v>33052</v>
      </c>
    </row>
    <row r="218">
      <c r="A218" s="2" t="s">
        <v>4986</v>
      </c>
      <c r="B218" s="2" t="s">
        <v>33053</v>
      </c>
      <c r="C218" s="2">
        <v>4.4689649553E10</v>
      </c>
      <c r="D218" s="2" t="s">
        <v>33054</v>
      </c>
      <c r="E218" s="2">
        <v>13861.0</v>
      </c>
      <c r="F218" s="2">
        <v>165.0</v>
      </c>
      <c r="G218" s="2">
        <v>103.0</v>
      </c>
      <c r="H218" s="2" t="s">
        <v>5906</v>
      </c>
      <c r="I218" s="2" t="s">
        <v>5906</v>
      </c>
      <c r="J218" s="2" t="s">
        <v>6002</v>
      </c>
      <c r="K218" s="2" t="s">
        <v>33055</v>
      </c>
      <c r="L218" s="10" t="s">
        <v>33056</v>
      </c>
    </row>
    <row r="219">
      <c r="A219" s="2" t="s">
        <v>4986</v>
      </c>
      <c r="B219" s="2" t="s">
        <v>33057</v>
      </c>
      <c r="C219" s="2">
        <v>2.281882844E9</v>
      </c>
      <c r="D219" s="2" t="s">
        <v>33058</v>
      </c>
      <c r="E219" s="2">
        <v>26151.0</v>
      </c>
      <c r="F219" s="2">
        <v>52.0</v>
      </c>
      <c r="G219" s="2">
        <v>1677.0</v>
      </c>
      <c r="H219" s="2" t="s">
        <v>5906</v>
      </c>
      <c r="I219" s="2" t="s">
        <v>5906</v>
      </c>
      <c r="J219" s="2" t="s">
        <v>6002</v>
      </c>
      <c r="K219" s="2" t="s">
        <v>33059</v>
      </c>
    </row>
    <row r="220">
      <c r="A220" s="2" t="s">
        <v>5138</v>
      </c>
      <c r="B220" s="2" t="s">
        <v>33060</v>
      </c>
      <c r="C220" s="2">
        <v>8.335827616E9</v>
      </c>
      <c r="D220" s="2" t="s">
        <v>33061</v>
      </c>
      <c r="E220" s="2">
        <v>20642.0</v>
      </c>
      <c r="F220" s="2">
        <v>66.0</v>
      </c>
      <c r="G220" s="2">
        <v>1335.0</v>
      </c>
      <c r="H220" s="2" t="s">
        <v>5905</v>
      </c>
      <c r="I220" s="2" t="s">
        <v>5906</v>
      </c>
      <c r="K220" s="2" t="s">
        <v>33062</v>
      </c>
      <c r="L220" s="10" t="s">
        <v>33063</v>
      </c>
    </row>
    <row r="221">
      <c r="A221" s="2" t="s">
        <v>4934</v>
      </c>
      <c r="B221" s="2" t="s">
        <v>33064</v>
      </c>
      <c r="C221" s="2">
        <v>2.258333744E9</v>
      </c>
      <c r="D221" s="2" t="s">
        <v>33065</v>
      </c>
      <c r="E221" s="2">
        <v>23717.0</v>
      </c>
      <c r="F221" s="2">
        <v>807.0</v>
      </c>
      <c r="G221" s="2">
        <v>1530.0</v>
      </c>
      <c r="H221" s="2" t="s">
        <v>5905</v>
      </c>
      <c r="I221" s="2" t="s">
        <v>5905</v>
      </c>
      <c r="J221" s="2" t="s">
        <v>5993</v>
      </c>
      <c r="K221" s="2" t="s">
        <v>33066</v>
      </c>
      <c r="L221" s="10" t="s">
        <v>33067</v>
      </c>
    </row>
    <row r="222">
      <c r="A222" s="2" t="s">
        <v>4934</v>
      </c>
      <c r="B222" s="2" t="s">
        <v>33068</v>
      </c>
      <c r="C222" s="2">
        <v>1.37644903E9</v>
      </c>
      <c r="D222" s="2" t="s">
        <v>33069</v>
      </c>
      <c r="E222" s="2">
        <v>20846.0</v>
      </c>
      <c r="F222" s="2">
        <v>3730.0</v>
      </c>
      <c r="G222" s="2">
        <v>2600.0</v>
      </c>
      <c r="H222" s="2" t="s">
        <v>5905</v>
      </c>
      <c r="I222" s="2" t="s">
        <v>5906</v>
      </c>
      <c r="J222" s="2" t="s">
        <v>5561</v>
      </c>
      <c r="K222" s="2" t="s">
        <v>33070</v>
      </c>
      <c r="L222" s="10" t="s">
        <v>33071</v>
      </c>
    </row>
    <row r="223">
      <c r="A223" s="2" t="s">
        <v>4934</v>
      </c>
      <c r="B223" s="2" t="s">
        <v>33072</v>
      </c>
      <c r="C223" s="2">
        <v>1.8363907342E10</v>
      </c>
      <c r="D223" s="2" t="s">
        <v>33073</v>
      </c>
      <c r="E223" s="2">
        <v>42519.0</v>
      </c>
      <c r="F223" s="2">
        <v>23.0</v>
      </c>
      <c r="G223" s="2">
        <v>2582.0</v>
      </c>
      <c r="H223" s="2" t="s">
        <v>5906</v>
      </c>
      <c r="I223" s="2" t="s">
        <v>5905</v>
      </c>
      <c r="J223" s="2" t="s">
        <v>5963</v>
      </c>
      <c r="K223" s="2" t="s">
        <v>33074</v>
      </c>
      <c r="L223" s="10" t="s">
        <v>33075</v>
      </c>
    </row>
    <row r="224">
      <c r="A224" s="2" t="s">
        <v>4934</v>
      </c>
      <c r="B224" s="2" t="s">
        <v>33076</v>
      </c>
      <c r="C224" s="2">
        <v>1.4924850578E10</v>
      </c>
      <c r="D224" s="2" t="s">
        <v>33077</v>
      </c>
      <c r="E224" s="2">
        <v>73791.0</v>
      </c>
      <c r="F224" s="2">
        <v>0.0</v>
      </c>
      <c r="G224" s="2">
        <v>191.0</v>
      </c>
      <c r="H224" s="2" t="s">
        <v>5905</v>
      </c>
      <c r="I224" s="2" t="s">
        <v>5905</v>
      </c>
      <c r="J224" s="2" t="s">
        <v>6002</v>
      </c>
      <c r="K224" s="2" t="s">
        <v>33078</v>
      </c>
      <c r="L224" s="10" t="s">
        <v>33079</v>
      </c>
    </row>
    <row r="225">
      <c r="A225" s="2" t="s">
        <v>4934</v>
      </c>
      <c r="B225" s="2" t="s">
        <v>33080</v>
      </c>
      <c r="C225" s="2">
        <v>8.60157703E9</v>
      </c>
      <c r="D225" s="2" t="s">
        <v>33081</v>
      </c>
      <c r="E225" s="2">
        <v>16446.0</v>
      </c>
      <c r="F225" s="2">
        <v>39.0</v>
      </c>
      <c r="G225" s="2">
        <v>970.0</v>
      </c>
      <c r="H225" s="2" t="s">
        <v>5906</v>
      </c>
      <c r="I225" s="2" t="s">
        <v>5906</v>
      </c>
      <c r="J225" s="2" t="s">
        <v>7414</v>
      </c>
      <c r="K225" s="2" t="s">
        <v>33082</v>
      </c>
      <c r="L225" s="10" t="s">
        <v>33083</v>
      </c>
    </row>
    <row r="226">
      <c r="A226" s="2" t="s">
        <v>4965</v>
      </c>
      <c r="B226" s="2" t="s">
        <v>33084</v>
      </c>
      <c r="C226" s="2">
        <v>6.2802163253E10</v>
      </c>
      <c r="D226" s="2" t="s">
        <v>33085</v>
      </c>
      <c r="E226" s="2">
        <v>16433.0</v>
      </c>
      <c r="F226" s="2">
        <v>16.0</v>
      </c>
      <c r="G226" s="2">
        <v>58.0</v>
      </c>
      <c r="H226" s="2" t="s">
        <v>5906</v>
      </c>
      <c r="I226" s="2" t="s">
        <v>5906</v>
      </c>
      <c r="J226" s="2" t="s">
        <v>6393</v>
      </c>
      <c r="K226" s="2" t="s">
        <v>33086</v>
      </c>
    </row>
    <row r="227">
      <c r="A227" s="2" t="s">
        <v>4965</v>
      </c>
      <c r="B227" s="2" t="s">
        <v>33087</v>
      </c>
      <c r="C227" s="2">
        <v>7.453263312E9</v>
      </c>
      <c r="D227" s="2" t="s">
        <v>4965</v>
      </c>
      <c r="E227" s="2">
        <v>628761.0</v>
      </c>
      <c r="F227" s="2">
        <v>17.0</v>
      </c>
      <c r="G227" s="2">
        <v>4577.0</v>
      </c>
      <c r="H227" s="2" t="s">
        <v>5905</v>
      </c>
      <c r="I227" s="2" t="s">
        <v>5906</v>
      </c>
      <c r="J227" s="2" t="s">
        <v>6171</v>
      </c>
      <c r="K227" s="2" t="s">
        <v>33088</v>
      </c>
    </row>
    <row r="228">
      <c r="A228" s="2" t="s">
        <v>4965</v>
      </c>
      <c r="B228" s="2" t="s">
        <v>33087</v>
      </c>
      <c r="C228" s="2">
        <v>7.453263312E9</v>
      </c>
      <c r="D228" s="2" t="s">
        <v>4965</v>
      </c>
      <c r="E228" s="2">
        <v>628760.0</v>
      </c>
      <c r="F228" s="2">
        <v>17.0</v>
      </c>
      <c r="G228" s="2">
        <v>4577.0</v>
      </c>
      <c r="H228" s="2" t="s">
        <v>5905</v>
      </c>
      <c r="I228" s="2" t="s">
        <v>5906</v>
      </c>
      <c r="J228" s="2" t="s">
        <v>6171</v>
      </c>
      <c r="K228" s="2" t="s">
        <v>33088</v>
      </c>
    </row>
    <row r="229">
      <c r="A229" s="2" t="s">
        <v>4965</v>
      </c>
      <c r="B229" s="2" t="s">
        <v>33089</v>
      </c>
      <c r="C229" s="2">
        <v>3.36962754E8</v>
      </c>
      <c r="D229" s="2" t="s">
        <v>33090</v>
      </c>
      <c r="E229" s="2">
        <v>80130.0</v>
      </c>
      <c r="F229" s="2">
        <v>184.0</v>
      </c>
      <c r="G229" s="2">
        <v>71.0</v>
      </c>
      <c r="H229" s="2" t="s">
        <v>5905</v>
      </c>
      <c r="I229" s="2" t="s">
        <v>5906</v>
      </c>
      <c r="J229" s="2" t="s">
        <v>5993</v>
      </c>
      <c r="K229" s="2" t="s">
        <v>33091</v>
      </c>
      <c r="L229" s="10" t="s">
        <v>33092</v>
      </c>
    </row>
    <row r="230">
      <c r="A230" s="2" t="s">
        <v>4965</v>
      </c>
      <c r="B230" s="2" t="s">
        <v>33093</v>
      </c>
      <c r="C230" s="2">
        <v>5.5007249E8</v>
      </c>
      <c r="D230" s="2" t="s">
        <v>33094</v>
      </c>
      <c r="E230" s="2">
        <v>4.6732087E7</v>
      </c>
      <c r="F230" s="2">
        <v>11.0</v>
      </c>
      <c r="G230" s="2">
        <v>13904.0</v>
      </c>
      <c r="H230" s="2" t="s">
        <v>5906</v>
      </c>
      <c r="I230" s="2" t="s">
        <v>5906</v>
      </c>
      <c r="K230" s="2" t="s">
        <v>33095</v>
      </c>
      <c r="L230" s="10" t="s">
        <v>33096</v>
      </c>
    </row>
    <row r="231">
      <c r="A231" s="2" t="s">
        <v>4965</v>
      </c>
      <c r="B231" s="2" t="s">
        <v>33093</v>
      </c>
      <c r="C231" s="2">
        <v>5.5007249E8</v>
      </c>
      <c r="D231" s="2" t="s">
        <v>33094</v>
      </c>
      <c r="E231" s="2">
        <v>4.6732073E7</v>
      </c>
      <c r="F231" s="2">
        <v>11.0</v>
      </c>
      <c r="G231" s="2">
        <v>13904.0</v>
      </c>
      <c r="H231" s="2" t="s">
        <v>5906</v>
      </c>
      <c r="I231" s="2" t="s">
        <v>5906</v>
      </c>
      <c r="K231" s="2" t="s">
        <v>33095</v>
      </c>
      <c r="L231" s="10" t="s">
        <v>33096</v>
      </c>
    </row>
    <row r="232">
      <c r="A232" s="2" t="s">
        <v>4965</v>
      </c>
      <c r="B232" s="2" t="s">
        <v>33097</v>
      </c>
      <c r="C232" s="2">
        <v>4.7882076E7</v>
      </c>
      <c r="D232" s="2" t="s">
        <v>33098</v>
      </c>
      <c r="E232" s="2">
        <v>1058578.0</v>
      </c>
      <c r="F232" s="2">
        <v>630.0</v>
      </c>
      <c r="G232" s="2">
        <v>1000.0</v>
      </c>
      <c r="H232" s="2" t="s">
        <v>5906</v>
      </c>
      <c r="I232" s="2" t="s">
        <v>5905</v>
      </c>
      <c r="J232" s="2" t="s">
        <v>6393</v>
      </c>
      <c r="K232" s="2" t="s">
        <v>33099</v>
      </c>
      <c r="L232" s="10" t="s">
        <v>33100</v>
      </c>
    </row>
    <row r="233">
      <c r="A233" s="2" t="s">
        <v>4965</v>
      </c>
      <c r="B233" s="2" t="s">
        <v>33097</v>
      </c>
      <c r="C233" s="2">
        <v>4.7882076E7</v>
      </c>
      <c r="D233" s="2" t="s">
        <v>33098</v>
      </c>
      <c r="E233" s="2">
        <v>1058578.0</v>
      </c>
      <c r="F233" s="2">
        <v>630.0</v>
      </c>
      <c r="G233" s="2">
        <v>1000.0</v>
      </c>
      <c r="H233" s="2" t="s">
        <v>5906</v>
      </c>
      <c r="I233" s="2" t="s">
        <v>5905</v>
      </c>
      <c r="J233" s="2" t="s">
        <v>6393</v>
      </c>
      <c r="K233" s="2" t="s">
        <v>33099</v>
      </c>
      <c r="L233" s="10" t="s">
        <v>33100</v>
      </c>
    </row>
    <row r="234">
      <c r="A234" s="2" t="s">
        <v>4965</v>
      </c>
      <c r="B234" s="2" t="s">
        <v>32593</v>
      </c>
      <c r="C234" s="2">
        <v>2.463047524E9</v>
      </c>
      <c r="D234" s="2" t="s">
        <v>32594</v>
      </c>
      <c r="E234" s="2">
        <v>1.3931173E7</v>
      </c>
      <c r="F234" s="2">
        <v>7.0</v>
      </c>
      <c r="G234" s="2">
        <v>3817.0</v>
      </c>
      <c r="H234" s="2" t="s">
        <v>5906</v>
      </c>
      <c r="I234" s="2" t="s">
        <v>5906</v>
      </c>
      <c r="K234" s="2" t="s">
        <v>32595</v>
      </c>
      <c r="L234" s="10" t="s">
        <v>32596</v>
      </c>
    </row>
    <row r="235">
      <c r="A235" s="2" t="s">
        <v>4965</v>
      </c>
      <c r="B235" s="2" t="s">
        <v>32593</v>
      </c>
      <c r="C235" s="2">
        <v>2.463047524E9</v>
      </c>
      <c r="D235" s="2" t="s">
        <v>32594</v>
      </c>
      <c r="E235" s="2">
        <v>1.3931174E7</v>
      </c>
      <c r="F235" s="2">
        <v>7.0</v>
      </c>
      <c r="G235" s="2">
        <v>3816.0</v>
      </c>
      <c r="H235" s="2" t="s">
        <v>5906</v>
      </c>
      <c r="I235" s="2" t="s">
        <v>5906</v>
      </c>
      <c r="K235" s="2" t="s">
        <v>32595</v>
      </c>
      <c r="L235" s="10" t="s">
        <v>32596</v>
      </c>
    </row>
    <row r="236">
      <c r="A236" s="2" t="s">
        <v>4965</v>
      </c>
      <c r="B236" s="2" t="s">
        <v>33101</v>
      </c>
      <c r="C236" s="2">
        <v>7.235972343E9</v>
      </c>
      <c r="D236" s="2" t="s">
        <v>33102</v>
      </c>
      <c r="E236" s="2">
        <v>1851313.0</v>
      </c>
      <c r="F236" s="2">
        <v>79.0</v>
      </c>
      <c r="G236" s="2">
        <v>2586.0</v>
      </c>
      <c r="H236" s="2" t="s">
        <v>5906</v>
      </c>
      <c r="I236" s="2" t="s">
        <v>5906</v>
      </c>
      <c r="J236" s="2" t="s">
        <v>5561</v>
      </c>
      <c r="K236" s="2" t="s">
        <v>33103</v>
      </c>
      <c r="L236" s="10" t="s">
        <v>33104</v>
      </c>
    </row>
    <row r="237">
      <c r="A237" s="2" t="s">
        <v>4965</v>
      </c>
      <c r="B237" s="2" t="s">
        <v>33105</v>
      </c>
      <c r="C237" s="2">
        <v>4.05512371E8</v>
      </c>
      <c r="D237" s="2" t="s">
        <v>33106</v>
      </c>
      <c r="E237" s="2">
        <v>61632.0</v>
      </c>
      <c r="F237" s="2">
        <v>368.0</v>
      </c>
      <c r="G237" s="2">
        <v>109.0</v>
      </c>
      <c r="H237" s="2" t="s">
        <v>5905</v>
      </c>
      <c r="I237" s="2" t="s">
        <v>5906</v>
      </c>
      <c r="J237" s="2" t="s">
        <v>8604</v>
      </c>
      <c r="K237" s="2" t="s">
        <v>33107</v>
      </c>
    </row>
    <row r="238">
      <c r="A238" s="2" t="s">
        <v>4965</v>
      </c>
      <c r="B238" s="2" t="s">
        <v>33108</v>
      </c>
      <c r="C238" s="2">
        <v>2.7362547715E10</v>
      </c>
      <c r="D238" s="2" t="s">
        <v>4965</v>
      </c>
      <c r="E238" s="2">
        <v>24975.0</v>
      </c>
      <c r="F238" s="2">
        <v>1964.0</v>
      </c>
      <c r="G238" s="2">
        <v>20.0</v>
      </c>
      <c r="H238" s="2" t="s">
        <v>5905</v>
      </c>
      <c r="I238" s="2" t="s">
        <v>5905</v>
      </c>
      <c r="J238" s="2" t="s">
        <v>6414</v>
      </c>
      <c r="K238" s="2" t="s">
        <v>33109</v>
      </c>
    </row>
    <row r="239">
      <c r="A239" s="2" t="s">
        <v>4965</v>
      </c>
      <c r="B239" s="2" t="s">
        <v>33108</v>
      </c>
      <c r="C239" s="2">
        <v>2.7362547715E10</v>
      </c>
      <c r="D239" s="2" t="s">
        <v>4965</v>
      </c>
      <c r="E239" s="2">
        <v>24975.0</v>
      </c>
      <c r="F239" s="2">
        <v>1964.0</v>
      </c>
      <c r="G239" s="2">
        <v>20.0</v>
      </c>
      <c r="H239" s="2" t="s">
        <v>5905</v>
      </c>
      <c r="I239" s="2" t="s">
        <v>5905</v>
      </c>
      <c r="J239" s="2" t="s">
        <v>6414</v>
      </c>
      <c r="K239" s="2" t="s">
        <v>33109</v>
      </c>
    </row>
    <row r="240">
      <c r="A240" s="2" t="s">
        <v>4965</v>
      </c>
      <c r="B240" s="2" t="s">
        <v>33110</v>
      </c>
      <c r="C240" s="2">
        <v>2.5730237556E10</v>
      </c>
      <c r="D240" s="2" t="s">
        <v>33111</v>
      </c>
      <c r="E240" s="2">
        <v>20556.0</v>
      </c>
      <c r="F240" s="2">
        <v>997.0</v>
      </c>
      <c r="G240" s="2">
        <v>167.0</v>
      </c>
      <c r="H240" s="2" t="s">
        <v>5905</v>
      </c>
      <c r="I240" s="2" t="s">
        <v>5905</v>
      </c>
      <c r="J240" s="2" t="s">
        <v>5492</v>
      </c>
      <c r="K240" s="2" t="s">
        <v>33112</v>
      </c>
      <c r="L240" s="10" t="s">
        <v>33113</v>
      </c>
    </row>
    <row r="241">
      <c r="A241" s="2" t="s">
        <v>4965</v>
      </c>
      <c r="B241" s="2" t="s">
        <v>33114</v>
      </c>
      <c r="C241" s="2">
        <v>6.846625001E9</v>
      </c>
      <c r="D241" s="2" t="s">
        <v>33115</v>
      </c>
      <c r="E241" s="2">
        <v>586895.0</v>
      </c>
      <c r="F241" s="2">
        <v>1330.0</v>
      </c>
      <c r="G241" s="2">
        <v>170.0</v>
      </c>
      <c r="H241" s="2" t="s">
        <v>5906</v>
      </c>
      <c r="I241" s="2" t="s">
        <v>5905</v>
      </c>
      <c r="J241" s="2" t="s">
        <v>5993</v>
      </c>
      <c r="K241" s="2" t="s">
        <v>33116</v>
      </c>
      <c r="L241" s="10" t="s">
        <v>33117</v>
      </c>
    </row>
    <row r="242">
      <c r="A242" s="2" t="s">
        <v>4965</v>
      </c>
      <c r="B242" s="2" t="s">
        <v>33114</v>
      </c>
      <c r="C242" s="2">
        <v>6.846625001E9</v>
      </c>
      <c r="D242" s="2" t="s">
        <v>33115</v>
      </c>
      <c r="E242" s="2">
        <v>586894.0</v>
      </c>
      <c r="F242" s="2">
        <v>1330.0</v>
      </c>
      <c r="G242" s="2">
        <v>170.0</v>
      </c>
      <c r="H242" s="2" t="s">
        <v>5906</v>
      </c>
      <c r="I242" s="2" t="s">
        <v>5905</v>
      </c>
      <c r="J242" s="2" t="s">
        <v>5993</v>
      </c>
      <c r="K242" s="2" t="s">
        <v>33116</v>
      </c>
      <c r="L242" s="10" t="s">
        <v>33117</v>
      </c>
    </row>
    <row r="243">
      <c r="A243" s="2" t="s">
        <v>4965</v>
      </c>
      <c r="B243" s="2" t="s">
        <v>33118</v>
      </c>
      <c r="C243" s="2">
        <v>1.0112723452E10</v>
      </c>
      <c r="D243" s="2" t="s">
        <v>33119</v>
      </c>
      <c r="E243" s="2">
        <v>460435.0</v>
      </c>
      <c r="F243" s="2">
        <v>601.0</v>
      </c>
      <c r="G243" s="2">
        <v>17.0</v>
      </c>
      <c r="H243" s="2" t="s">
        <v>5906</v>
      </c>
      <c r="I243" s="2" t="s">
        <v>5905</v>
      </c>
      <c r="J243" s="2" t="s">
        <v>8144</v>
      </c>
      <c r="K243" s="2" t="s">
        <v>33120</v>
      </c>
    </row>
    <row r="244">
      <c r="A244" s="2" t="s">
        <v>4965</v>
      </c>
      <c r="B244" s="2" t="s">
        <v>33121</v>
      </c>
      <c r="C244" s="2">
        <v>8.08404132E8</v>
      </c>
      <c r="D244" s="2" t="s">
        <v>4965</v>
      </c>
      <c r="E244" s="2">
        <v>133082.0</v>
      </c>
      <c r="F244" s="2">
        <v>5536.0</v>
      </c>
      <c r="G244" s="2">
        <v>3347.0</v>
      </c>
      <c r="H244" s="2" t="s">
        <v>5906</v>
      </c>
      <c r="I244" s="2" t="s">
        <v>5905</v>
      </c>
      <c r="J244" s="2" t="s">
        <v>5993</v>
      </c>
      <c r="K244" s="2" t="s">
        <v>33122</v>
      </c>
      <c r="L244" s="10" t="s">
        <v>33123</v>
      </c>
    </row>
    <row r="245">
      <c r="A245" s="2" t="s">
        <v>4965</v>
      </c>
      <c r="B245" s="2" t="s">
        <v>33121</v>
      </c>
      <c r="C245" s="2">
        <v>8.08404132E8</v>
      </c>
      <c r="D245" s="2" t="s">
        <v>4965</v>
      </c>
      <c r="E245" s="2">
        <v>133081.0</v>
      </c>
      <c r="F245" s="2">
        <v>5536.0</v>
      </c>
      <c r="G245" s="2">
        <v>3347.0</v>
      </c>
      <c r="H245" s="2" t="s">
        <v>5906</v>
      </c>
      <c r="I245" s="2" t="s">
        <v>5905</v>
      </c>
      <c r="J245" s="2" t="s">
        <v>5993</v>
      </c>
      <c r="K245" s="2" t="s">
        <v>33122</v>
      </c>
      <c r="L245" s="10" t="s">
        <v>33123</v>
      </c>
    </row>
    <row r="246">
      <c r="A246" s="2" t="s">
        <v>4965</v>
      </c>
      <c r="B246" s="2" t="s">
        <v>33124</v>
      </c>
      <c r="C246" s="2">
        <v>4.71725254E8</v>
      </c>
      <c r="E246" s="2">
        <v>68578.0</v>
      </c>
      <c r="F246" s="2">
        <v>956.0</v>
      </c>
      <c r="G246" s="2">
        <v>8.0</v>
      </c>
      <c r="H246" s="2" t="s">
        <v>5905</v>
      </c>
      <c r="I246" s="2" t="s">
        <v>5905</v>
      </c>
      <c r="J246" s="2" t="s">
        <v>5993</v>
      </c>
      <c r="K246" s="2" t="s">
        <v>33125</v>
      </c>
      <c r="L246" s="10" t="s">
        <v>33126</v>
      </c>
    </row>
    <row r="247">
      <c r="A247" s="2" t="s">
        <v>4965</v>
      </c>
      <c r="B247" s="2" t="s">
        <v>33127</v>
      </c>
      <c r="C247" s="2">
        <v>1.140957321E9</v>
      </c>
      <c r="D247" s="2" t="s">
        <v>33128</v>
      </c>
      <c r="E247" s="2">
        <v>16217.0</v>
      </c>
      <c r="F247" s="2">
        <v>429.0</v>
      </c>
      <c r="G247" s="2">
        <v>13.0</v>
      </c>
      <c r="H247" s="2" t="s">
        <v>5905</v>
      </c>
      <c r="I247" s="2" t="s">
        <v>5905</v>
      </c>
      <c r="J247" s="2" t="s">
        <v>6414</v>
      </c>
      <c r="L247" s="10" t="s">
        <v>33129</v>
      </c>
    </row>
    <row r="248">
      <c r="A248" s="2" t="s">
        <v>4965</v>
      </c>
      <c r="B248" s="2" t="s">
        <v>33127</v>
      </c>
      <c r="C248" s="2">
        <v>1.140957321E9</v>
      </c>
      <c r="D248" s="2" t="s">
        <v>33128</v>
      </c>
      <c r="E248" s="2">
        <v>16218.0</v>
      </c>
      <c r="F248" s="2">
        <v>429.0</v>
      </c>
      <c r="G248" s="2">
        <v>13.0</v>
      </c>
      <c r="H248" s="2" t="s">
        <v>5905</v>
      </c>
      <c r="I248" s="2" t="s">
        <v>5905</v>
      </c>
      <c r="J248" s="2" t="s">
        <v>6414</v>
      </c>
      <c r="L248" s="10" t="s">
        <v>33129</v>
      </c>
    </row>
    <row r="249">
      <c r="A249" s="2" t="s">
        <v>4965</v>
      </c>
      <c r="B249" s="2" t="s">
        <v>33130</v>
      </c>
      <c r="C249" s="2">
        <v>6.1862594043E10</v>
      </c>
      <c r="D249" s="2" t="s">
        <v>33131</v>
      </c>
      <c r="E249" s="2">
        <v>150442.0</v>
      </c>
      <c r="F249" s="2">
        <v>23.0</v>
      </c>
      <c r="G249" s="2">
        <v>2940.0</v>
      </c>
      <c r="H249" s="2" t="s">
        <v>5905</v>
      </c>
      <c r="I249" s="2" t="s">
        <v>5905</v>
      </c>
      <c r="J249" s="2" t="s">
        <v>5928</v>
      </c>
      <c r="K249" s="2" t="s">
        <v>33132</v>
      </c>
      <c r="L249" s="10" t="s">
        <v>33133</v>
      </c>
    </row>
    <row r="250">
      <c r="A250" s="2" t="s">
        <v>4965</v>
      </c>
      <c r="B250" s="2" t="s">
        <v>33134</v>
      </c>
      <c r="C250" s="2">
        <v>3.7329720258E10</v>
      </c>
      <c r="D250" s="2" t="s">
        <v>33135</v>
      </c>
      <c r="E250" s="2">
        <v>71246.0</v>
      </c>
      <c r="F250" s="2">
        <v>782.0</v>
      </c>
      <c r="G250" s="2">
        <v>70.0</v>
      </c>
      <c r="H250" s="2" t="s">
        <v>5905</v>
      </c>
      <c r="I250" s="2" t="s">
        <v>5905</v>
      </c>
      <c r="J250" s="2" t="s">
        <v>6414</v>
      </c>
      <c r="K250" s="2" t="s">
        <v>33136</v>
      </c>
      <c r="L250" s="10" t="s">
        <v>33137</v>
      </c>
    </row>
    <row r="251">
      <c r="A251" s="2" t="s">
        <v>5087</v>
      </c>
      <c r="B251" s="2" t="s">
        <v>33138</v>
      </c>
      <c r="C251" s="2">
        <v>6.3551243332E10</v>
      </c>
      <c r="D251" s="12" t="s">
        <v>33139</v>
      </c>
      <c r="E251" s="2">
        <v>26076.0</v>
      </c>
      <c r="F251" s="2">
        <v>448.0</v>
      </c>
      <c r="G251" s="2">
        <v>164.0</v>
      </c>
      <c r="H251" s="2" t="s">
        <v>5905</v>
      </c>
      <c r="I251" s="2" t="s">
        <v>5906</v>
      </c>
      <c r="J251" s="2" t="s">
        <v>11675</v>
      </c>
      <c r="K251" s="12" t="s">
        <v>33140</v>
      </c>
      <c r="L251" s="10" t="s">
        <v>33141</v>
      </c>
    </row>
    <row r="252">
      <c r="A252" s="2" t="s">
        <v>5071</v>
      </c>
      <c r="B252" s="2" t="s">
        <v>33142</v>
      </c>
      <c r="C252" s="2">
        <v>2.26250717E8</v>
      </c>
      <c r="D252" s="2" t="s">
        <v>33143</v>
      </c>
      <c r="E252" s="2">
        <v>37875.0</v>
      </c>
      <c r="F252" s="2">
        <v>5179.0</v>
      </c>
      <c r="G252" s="2">
        <v>27151.0</v>
      </c>
      <c r="H252" s="2" t="s">
        <v>5906</v>
      </c>
      <c r="I252" s="2" t="s">
        <v>5906</v>
      </c>
      <c r="J252" s="2" t="s">
        <v>6393</v>
      </c>
      <c r="K252" s="12" t="s">
        <v>33144</v>
      </c>
    </row>
    <row r="253">
      <c r="A253" s="2" t="s">
        <v>5071</v>
      </c>
      <c r="B253" s="2" t="s">
        <v>33145</v>
      </c>
      <c r="C253" s="2">
        <v>4.754679303E9</v>
      </c>
      <c r="D253" s="2" t="s">
        <v>33146</v>
      </c>
      <c r="E253" s="2">
        <v>275559.0</v>
      </c>
      <c r="F253" s="2">
        <v>117.0</v>
      </c>
      <c r="G253" s="2">
        <v>17280.0</v>
      </c>
      <c r="H253" s="2" t="s">
        <v>5906</v>
      </c>
      <c r="I253" s="2" t="s">
        <v>5905</v>
      </c>
      <c r="J253" s="2" t="s">
        <v>6023</v>
      </c>
      <c r="K253" s="2" t="s">
        <v>33147</v>
      </c>
      <c r="L253" s="10" t="s">
        <v>33148</v>
      </c>
    </row>
    <row r="254">
      <c r="A254" s="2" t="s">
        <v>5079</v>
      </c>
      <c r="B254" s="2" t="s">
        <v>33149</v>
      </c>
      <c r="C254" s="2">
        <v>1.1400352411E10</v>
      </c>
      <c r="D254" s="2" t="s">
        <v>33150</v>
      </c>
      <c r="E254" s="2">
        <v>14972.0</v>
      </c>
      <c r="F254" s="2">
        <v>280.0</v>
      </c>
      <c r="G254" s="2">
        <v>0.0</v>
      </c>
      <c r="H254" s="2" t="s">
        <v>5905</v>
      </c>
      <c r="I254" s="2" t="s">
        <v>5905</v>
      </c>
    </row>
    <row r="255">
      <c r="A255" s="2" t="s">
        <v>5076</v>
      </c>
      <c r="B255" s="2" t="s">
        <v>32593</v>
      </c>
      <c r="C255" s="2">
        <v>2.463047524E9</v>
      </c>
      <c r="D255" s="2" t="s">
        <v>32594</v>
      </c>
      <c r="E255" s="2">
        <v>1.3931173E7</v>
      </c>
      <c r="F255" s="2">
        <v>7.0</v>
      </c>
      <c r="G255" s="2">
        <v>3817.0</v>
      </c>
      <c r="H255" s="2" t="s">
        <v>5906</v>
      </c>
      <c r="I255" s="2" t="s">
        <v>5906</v>
      </c>
      <c r="K255" s="2" t="s">
        <v>32595</v>
      </c>
      <c r="L255" s="10" t="s">
        <v>32596</v>
      </c>
    </row>
    <row r="256">
      <c r="A256" s="2" t="s">
        <v>5076</v>
      </c>
      <c r="B256" s="2" t="s">
        <v>33101</v>
      </c>
      <c r="C256" s="2">
        <v>7.235972343E9</v>
      </c>
      <c r="D256" s="2" t="s">
        <v>33102</v>
      </c>
      <c r="E256" s="2">
        <v>1851305.0</v>
      </c>
      <c r="F256" s="2">
        <v>79.0</v>
      </c>
      <c r="G256" s="2">
        <v>2586.0</v>
      </c>
      <c r="H256" s="2" t="s">
        <v>5906</v>
      </c>
      <c r="I256" s="2" t="s">
        <v>5906</v>
      </c>
      <c r="J256" s="2" t="s">
        <v>5561</v>
      </c>
      <c r="K256" s="2" t="s">
        <v>33103</v>
      </c>
      <c r="L256" s="10" t="s">
        <v>33104</v>
      </c>
    </row>
    <row r="257">
      <c r="A257" s="2" t="s">
        <v>5076</v>
      </c>
      <c r="B257" s="2" t="s">
        <v>33151</v>
      </c>
      <c r="C257" s="2">
        <v>8.439700893E9</v>
      </c>
      <c r="D257" s="2" t="s">
        <v>33152</v>
      </c>
      <c r="E257" s="2">
        <v>109324.0</v>
      </c>
      <c r="F257" s="2">
        <v>422.0</v>
      </c>
      <c r="G257" s="2">
        <v>24.0</v>
      </c>
      <c r="H257" s="2" t="s">
        <v>5905</v>
      </c>
      <c r="I257" s="2" t="s">
        <v>5906</v>
      </c>
      <c r="J257" s="2" t="s">
        <v>7140</v>
      </c>
      <c r="K257" s="2" t="s">
        <v>33153</v>
      </c>
      <c r="L257" s="10" t="s">
        <v>33154</v>
      </c>
    </row>
    <row r="258">
      <c r="A258" s="2" t="s">
        <v>5104</v>
      </c>
      <c r="B258" s="2" t="s">
        <v>33155</v>
      </c>
      <c r="C258" s="2">
        <v>1.6217332092E10</v>
      </c>
      <c r="E258" s="2">
        <v>10568.0</v>
      </c>
      <c r="F258" s="2">
        <v>0.0</v>
      </c>
      <c r="G258" s="2">
        <v>9.0</v>
      </c>
      <c r="H258" s="2" t="s">
        <v>5905</v>
      </c>
      <c r="I258" s="2" t="s">
        <v>5906</v>
      </c>
      <c r="J258" s="2" t="s">
        <v>5963</v>
      </c>
      <c r="K258" s="2" t="s">
        <v>33156</v>
      </c>
    </row>
    <row r="259">
      <c r="A259" s="2" t="s">
        <v>5098</v>
      </c>
      <c r="B259" s="2" t="s">
        <v>33157</v>
      </c>
      <c r="C259" s="2">
        <v>2.8100579756E10</v>
      </c>
      <c r="D259" s="2" t="s">
        <v>33158</v>
      </c>
      <c r="E259" s="2">
        <v>12893.0</v>
      </c>
      <c r="F259" s="2">
        <v>142.0</v>
      </c>
      <c r="G259" s="2">
        <v>1084.0</v>
      </c>
      <c r="H259" s="2" t="s">
        <v>5905</v>
      </c>
      <c r="I259" s="2" t="s">
        <v>5905</v>
      </c>
      <c r="J259" s="2" t="s">
        <v>5959</v>
      </c>
      <c r="K259" s="2" t="s">
        <v>33159</v>
      </c>
      <c r="L259" s="10" t="s">
        <v>33160</v>
      </c>
    </row>
    <row r="260">
      <c r="A260" s="2" t="s">
        <v>5081</v>
      </c>
      <c r="B260" s="2" t="s">
        <v>33161</v>
      </c>
      <c r="C260" s="2">
        <v>6.105001673E9</v>
      </c>
      <c r="D260" s="2" t="s">
        <v>33162</v>
      </c>
      <c r="E260" s="2">
        <v>256923.0</v>
      </c>
      <c r="F260" s="2">
        <v>85.0</v>
      </c>
      <c r="G260" s="2">
        <v>1452.0</v>
      </c>
      <c r="H260" s="2" t="s">
        <v>5905</v>
      </c>
      <c r="I260" s="2" t="s">
        <v>5906</v>
      </c>
      <c r="J260" s="2" t="s">
        <v>5963</v>
      </c>
      <c r="K260" s="12" t="s">
        <v>33163</v>
      </c>
    </row>
    <row r="261">
      <c r="A261" s="2" t="s">
        <v>5081</v>
      </c>
      <c r="B261" s="2" t="s">
        <v>33164</v>
      </c>
      <c r="C261" s="2">
        <v>6.985046908E9</v>
      </c>
      <c r="D261" s="2" t="s">
        <v>33165</v>
      </c>
      <c r="E261" s="2">
        <v>110688.0</v>
      </c>
      <c r="F261" s="2">
        <v>535.0</v>
      </c>
      <c r="G261" s="2">
        <v>929.0</v>
      </c>
      <c r="H261" s="2" t="s">
        <v>5905</v>
      </c>
      <c r="I261" s="2" t="s">
        <v>5905</v>
      </c>
      <c r="J261" s="2" t="s">
        <v>5959</v>
      </c>
      <c r="K261" s="2" t="s">
        <v>33166</v>
      </c>
      <c r="L261" s="10" t="s">
        <v>33167</v>
      </c>
    </row>
    <row r="262">
      <c r="A262" s="2" t="s">
        <v>5065</v>
      </c>
      <c r="B262" s="2" t="s">
        <v>32792</v>
      </c>
      <c r="C262" s="2">
        <v>3.9927121323E10</v>
      </c>
      <c r="D262" s="2" t="s">
        <v>32793</v>
      </c>
      <c r="E262" s="2">
        <v>23236.0</v>
      </c>
      <c r="F262" s="2">
        <v>143.0</v>
      </c>
      <c r="G262" s="2">
        <v>110.0</v>
      </c>
      <c r="H262" s="2" t="s">
        <v>5905</v>
      </c>
      <c r="I262" s="2" t="s">
        <v>5906</v>
      </c>
      <c r="J262" s="2" t="s">
        <v>6166</v>
      </c>
      <c r="K262" s="2" t="s">
        <v>32794</v>
      </c>
      <c r="L262" s="10" t="s">
        <v>32795</v>
      </c>
    </row>
    <row r="263">
      <c r="A263" s="2" t="s">
        <v>5084</v>
      </c>
      <c r="B263" s="2" t="s">
        <v>33168</v>
      </c>
      <c r="C263" s="2">
        <v>5.0765107675E10</v>
      </c>
      <c r="D263" s="12" t="s">
        <v>33169</v>
      </c>
      <c r="E263" s="2">
        <v>10128.0</v>
      </c>
      <c r="F263" s="2">
        <v>1686.0</v>
      </c>
      <c r="G263" s="2">
        <v>1407.0</v>
      </c>
      <c r="H263" s="2" t="s">
        <v>5905</v>
      </c>
      <c r="I263" s="2" t="s">
        <v>5906</v>
      </c>
      <c r="J263" s="2" t="s">
        <v>6166</v>
      </c>
      <c r="K263" s="12" t="s">
        <v>33170</v>
      </c>
    </row>
    <row r="264">
      <c r="A264" s="2" t="s">
        <v>5097</v>
      </c>
      <c r="B264" s="2" t="s">
        <v>33171</v>
      </c>
      <c r="C264" s="2">
        <v>5.9638332333E10</v>
      </c>
      <c r="D264" s="2" t="s">
        <v>33172</v>
      </c>
      <c r="E264" s="2">
        <v>27746.0</v>
      </c>
      <c r="F264" s="2">
        <v>1253.0</v>
      </c>
      <c r="G264" s="2">
        <v>157.0</v>
      </c>
      <c r="H264" s="2" t="s">
        <v>5905</v>
      </c>
      <c r="I264" s="2" t="s">
        <v>5905</v>
      </c>
      <c r="J264" s="2" t="s">
        <v>5993</v>
      </c>
      <c r="K264" s="2" t="s">
        <v>33173</v>
      </c>
    </row>
    <row r="265">
      <c r="A265" s="2" t="s">
        <v>5095</v>
      </c>
      <c r="B265" s="2" t="s">
        <v>33174</v>
      </c>
      <c r="C265" s="2">
        <v>5.2925959357E10</v>
      </c>
      <c r="D265" s="2" t="s">
        <v>33175</v>
      </c>
      <c r="E265" s="2">
        <v>14206.0</v>
      </c>
      <c r="F265" s="2">
        <v>1991.0</v>
      </c>
      <c r="G265" s="2">
        <v>868.0</v>
      </c>
      <c r="H265" s="2" t="s">
        <v>5905</v>
      </c>
      <c r="I265" s="2" t="s">
        <v>5905</v>
      </c>
      <c r="J265" s="2" t="s">
        <v>11977</v>
      </c>
      <c r="K265" s="2" t="s">
        <v>33176</v>
      </c>
      <c r="L265" s="10" t="s">
        <v>33177</v>
      </c>
    </row>
    <row r="266">
      <c r="A266" s="2" t="s">
        <v>5086</v>
      </c>
      <c r="B266" s="2" t="s">
        <v>33149</v>
      </c>
      <c r="C266" s="2">
        <v>1.1400352411E10</v>
      </c>
      <c r="D266" s="2" t="s">
        <v>33150</v>
      </c>
      <c r="E266" s="2">
        <v>14972.0</v>
      </c>
      <c r="F266" s="2">
        <v>280.0</v>
      </c>
      <c r="G266" s="2">
        <v>0.0</v>
      </c>
      <c r="H266" s="2" t="s">
        <v>5905</v>
      </c>
      <c r="I266" s="2" t="s">
        <v>5905</v>
      </c>
    </row>
    <row r="267">
      <c r="A267" s="2" t="s">
        <v>5088</v>
      </c>
      <c r="B267" s="2" t="s">
        <v>33178</v>
      </c>
      <c r="C267" s="2">
        <v>6.6287445448E10</v>
      </c>
      <c r="D267" s="2" t="s">
        <v>33179</v>
      </c>
      <c r="E267" s="2">
        <v>18522.0</v>
      </c>
      <c r="F267" s="2">
        <v>25.0</v>
      </c>
      <c r="G267" s="2">
        <v>255.0</v>
      </c>
      <c r="H267" s="2" t="s">
        <v>5905</v>
      </c>
      <c r="I267" s="2" t="s">
        <v>5906</v>
      </c>
      <c r="J267" s="2" t="s">
        <v>7931</v>
      </c>
      <c r="K267" s="2" t="s">
        <v>33180</v>
      </c>
    </row>
    <row r="268">
      <c r="A268" s="2" t="s">
        <v>5106</v>
      </c>
      <c r="B268" s="2" t="s">
        <v>33181</v>
      </c>
      <c r="C268" s="2">
        <v>6.031916369E10</v>
      </c>
      <c r="D268" s="2" t="s">
        <v>33182</v>
      </c>
      <c r="E268" s="2">
        <v>21738.0</v>
      </c>
      <c r="F268" s="2">
        <v>1.0</v>
      </c>
      <c r="G268" s="2">
        <v>20.0</v>
      </c>
      <c r="H268" s="2" t="s">
        <v>5905</v>
      </c>
      <c r="I268" s="2" t="s">
        <v>5906</v>
      </c>
      <c r="J268" s="2" t="s">
        <v>5959</v>
      </c>
      <c r="K268" s="2" t="s">
        <v>33183</v>
      </c>
      <c r="L268" s="10" t="s">
        <v>33184</v>
      </c>
    </row>
    <row r="269">
      <c r="A269" s="2" t="s">
        <v>5077</v>
      </c>
      <c r="B269" s="2" t="s">
        <v>33185</v>
      </c>
      <c r="C269" s="2">
        <v>1.577666754E10</v>
      </c>
      <c r="D269" s="2" t="s">
        <v>33186</v>
      </c>
      <c r="E269" s="2">
        <v>106220.0</v>
      </c>
      <c r="F269" s="2">
        <v>5927.0</v>
      </c>
      <c r="G269" s="2">
        <v>471.0</v>
      </c>
      <c r="H269" s="2" t="s">
        <v>5905</v>
      </c>
      <c r="I269" s="2" t="s">
        <v>5906</v>
      </c>
      <c r="J269" s="2" t="s">
        <v>7414</v>
      </c>
      <c r="K269" s="2" t="s">
        <v>33187</v>
      </c>
    </row>
    <row r="270">
      <c r="A270" s="2" t="s">
        <v>5077</v>
      </c>
      <c r="B270" s="2" t="s">
        <v>33188</v>
      </c>
      <c r="C270" s="2">
        <v>4.5657099793E10</v>
      </c>
      <c r="D270" s="2" t="s">
        <v>33189</v>
      </c>
      <c r="E270" s="2">
        <v>29407.0</v>
      </c>
      <c r="F270" s="2">
        <v>10.0</v>
      </c>
      <c r="G270" s="2">
        <v>1524.0</v>
      </c>
      <c r="H270" s="2" t="s">
        <v>5905</v>
      </c>
      <c r="I270" s="2" t="s">
        <v>5906</v>
      </c>
      <c r="J270" s="2" t="s">
        <v>7414</v>
      </c>
      <c r="K270" s="12" t="s">
        <v>33190</v>
      </c>
      <c r="L270" s="10" t="s">
        <v>33191</v>
      </c>
    </row>
    <row r="271">
      <c r="A271" s="2" t="s">
        <v>5082</v>
      </c>
      <c r="B271" s="2" t="s">
        <v>33192</v>
      </c>
      <c r="C271" s="2">
        <v>3.12652212E8</v>
      </c>
      <c r="D271" s="2" t="s">
        <v>33193</v>
      </c>
      <c r="E271" s="2">
        <v>20462.0</v>
      </c>
      <c r="F271" s="2">
        <v>1670.0</v>
      </c>
      <c r="G271" s="2">
        <v>1914.0</v>
      </c>
      <c r="H271" s="2" t="s">
        <v>5905</v>
      </c>
      <c r="I271" s="2" t="s">
        <v>5905</v>
      </c>
      <c r="J271" s="2" t="s">
        <v>6414</v>
      </c>
      <c r="K271" s="2" t="s">
        <v>33194</v>
      </c>
    </row>
    <row r="272">
      <c r="A272" s="2" t="s">
        <v>5093</v>
      </c>
      <c r="B272" s="2" t="s">
        <v>33195</v>
      </c>
      <c r="C272" s="2">
        <v>4.9242157375E10</v>
      </c>
      <c r="D272" s="2" t="s">
        <v>33196</v>
      </c>
      <c r="E272" s="2">
        <v>28553.0</v>
      </c>
      <c r="F272" s="2">
        <v>91.0</v>
      </c>
      <c r="G272" s="2">
        <v>117.0</v>
      </c>
      <c r="H272" s="2" t="s">
        <v>5905</v>
      </c>
      <c r="I272" s="2" t="s">
        <v>5905</v>
      </c>
      <c r="J272" s="2" t="s">
        <v>6393</v>
      </c>
      <c r="K272" s="2" t="s">
        <v>33197</v>
      </c>
    </row>
    <row r="273">
      <c r="A273" s="2" t="s">
        <v>5063</v>
      </c>
      <c r="B273" s="2" t="s">
        <v>33198</v>
      </c>
      <c r="C273" s="2">
        <v>5.0749317079E10</v>
      </c>
      <c r="D273" s="2" t="s">
        <v>33199</v>
      </c>
      <c r="E273" s="2">
        <v>10671.0</v>
      </c>
      <c r="F273" s="2">
        <v>153.0</v>
      </c>
      <c r="G273" s="2">
        <v>8.0</v>
      </c>
      <c r="H273" s="2" t="s">
        <v>5905</v>
      </c>
      <c r="I273" s="2" t="s">
        <v>5905</v>
      </c>
      <c r="K273" s="2" t="s">
        <v>33200</v>
      </c>
    </row>
    <row r="274">
      <c r="A274" s="2" t="s">
        <v>5063</v>
      </c>
      <c r="B274" s="2" t="s">
        <v>33201</v>
      </c>
      <c r="C274" s="2">
        <v>1.693481381E9</v>
      </c>
      <c r="D274" s="2" t="s">
        <v>33202</v>
      </c>
      <c r="E274" s="2">
        <v>20267.0</v>
      </c>
      <c r="F274" s="2">
        <v>891.0</v>
      </c>
      <c r="G274" s="2">
        <v>23.0</v>
      </c>
      <c r="H274" s="2" t="s">
        <v>5906</v>
      </c>
      <c r="I274" s="2" t="s">
        <v>5905</v>
      </c>
      <c r="J274" s="2" t="s">
        <v>6856</v>
      </c>
      <c r="K274" s="2" t="s">
        <v>33203</v>
      </c>
      <c r="L274" s="10" t="s">
        <v>33204</v>
      </c>
    </row>
    <row r="275">
      <c r="A275" s="2" t="s">
        <v>5073</v>
      </c>
      <c r="B275" s="2" t="s">
        <v>33205</v>
      </c>
      <c r="C275" s="2">
        <v>3.754870787E10</v>
      </c>
      <c r="D275" s="12" t="s">
        <v>33206</v>
      </c>
      <c r="E275" s="2">
        <v>23319.0</v>
      </c>
      <c r="F275" s="2">
        <v>292.0</v>
      </c>
      <c r="G275" s="2">
        <v>184.0</v>
      </c>
      <c r="H275" s="2" t="s">
        <v>5905</v>
      </c>
      <c r="I275" s="2" t="s">
        <v>5906</v>
      </c>
      <c r="J275" s="2" t="s">
        <v>5963</v>
      </c>
      <c r="K275" s="12" t="s">
        <v>33207</v>
      </c>
    </row>
    <row r="276">
      <c r="A276" s="2" t="s">
        <v>5105</v>
      </c>
      <c r="B276" s="2" t="s">
        <v>33208</v>
      </c>
      <c r="C276" s="2">
        <v>4.7681663936E10</v>
      </c>
      <c r="D276" s="2" t="s">
        <v>33209</v>
      </c>
      <c r="E276" s="2">
        <v>18675.0</v>
      </c>
      <c r="F276" s="2">
        <v>8.0</v>
      </c>
      <c r="G276" s="2">
        <v>166.0</v>
      </c>
      <c r="H276" s="2" t="s">
        <v>5905</v>
      </c>
      <c r="I276" s="2" t="s">
        <v>5906</v>
      </c>
      <c r="J276" s="2" t="s">
        <v>6166</v>
      </c>
      <c r="K276" s="12" t="s">
        <v>33210</v>
      </c>
    </row>
    <row r="277">
      <c r="A277" s="2" t="s">
        <v>5092</v>
      </c>
      <c r="B277" s="2" t="s">
        <v>33211</v>
      </c>
      <c r="C277" s="2">
        <v>1.5137581462E10</v>
      </c>
      <c r="D277" s="2" t="s">
        <v>33212</v>
      </c>
      <c r="E277" s="2">
        <v>18149.0</v>
      </c>
      <c r="F277" s="2">
        <v>83.0</v>
      </c>
      <c r="G277" s="2">
        <v>240.0</v>
      </c>
      <c r="H277" s="2" t="s">
        <v>5905</v>
      </c>
      <c r="I277" s="2" t="s">
        <v>5905</v>
      </c>
      <c r="J277" s="2" t="s">
        <v>7809</v>
      </c>
      <c r="K277" s="2" t="s">
        <v>33213</v>
      </c>
      <c r="L277" s="10" t="s">
        <v>33214</v>
      </c>
    </row>
    <row r="278">
      <c r="A278" s="2" t="s">
        <v>5092</v>
      </c>
      <c r="B278" s="2" t="s">
        <v>33215</v>
      </c>
      <c r="C278" s="2">
        <v>5.9531228744E10</v>
      </c>
      <c r="D278" s="2" t="s">
        <v>33216</v>
      </c>
      <c r="E278" s="2">
        <v>72697.0</v>
      </c>
      <c r="F278" s="2">
        <v>253.0</v>
      </c>
      <c r="G278" s="2">
        <v>394.0</v>
      </c>
      <c r="H278" s="2" t="s">
        <v>5905</v>
      </c>
      <c r="I278" s="2" t="s">
        <v>5906</v>
      </c>
      <c r="J278" s="2" t="s">
        <v>6002</v>
      </c>
      <c r="K278" s="2" t="s">
        <v>33217</v>
      </c>
      <c r="L278" s="10" t="s">
        <v>33218</v>
      </c>
    </row>
    <row r="279">
      <c r="A279" s="2" t="s">
        <v>5091</v>
      </c>
      <c r="B279" s="2" t="s">
        <v>33219</v>
      </c>
      <c r="C279" s="2">
        <v>5.1361956622E10</v>
      </c>
      <c r="D279" s="2" t="s">
        <v>33220</v>
      </c>
      <c r="E279" s="2">
        <v>32745.0</v>
      </c>
      <c r="F279" s="2">
        <v>10.0</v>
      </c>
      <c r="G279" s="2">
        <v>39.0</v>
      </c>
      <c r="H279" s="2" t="s">
        <v>5905</v>
      </c>
      <c r="I279" s="2" t="s">
        <v>5906</v>
      </c>
      <c r="J279" s="2" t="s">
        <v>6002</v>
      </c>
      <c r="K279" s="2" t="s">
        <v>33221</v>
      </c>
    </row>
    <row r="280">
      <c r="A280" s="2" t="s">
        <v>4942</v>
      </c>
      <c r="B280" s="2" t="s">
        <v>33222</v>
      </c>
      <c r="C280" s="2">
        <v>8.472675063E9</v>
      </c>
      <c r="D280" s="2" t="s">
        <v>33223</v>
      </c>
      <c r="E280" s="2">
        <v>15290.0</v>
      </c>
      <c r="F280" s="2">
        <v>2244.0</v>
      </c>
      <c r="G280" s="2">
        <v>515.0</v>
      </c>
      <c r="H280" s="2" t="s">
        <v>5905</v>
      </c>
      <c r="I280" s="2" t="s">
        <v>5905</v>
      </c>
      <c r="J280" s="2" t="s">
        <v>33224</v>
      </c>
      <c r="K280" s="2" t="s">
        <v>33225</v>
      </c>
      <c r="L280" s="10" t="s">
        <v>33226</v>
      </c>
    </row>
    <row r="281">
      <c r="A281" s="2" t="s">
        <v>4957</v>
      </c>
      <c r="B281" s="2" t="s">
        <v>33227</v>
      </c>
      <c r="C281" s="2">
        <v>5.8706978227E10</v>
      </c>
      <c r="D281" s="2" t="s">
        <v>33228</v>
      </c>
      <c r="E281" s="2">
        <v>14457.0</v>
      </c>
      <c r="F281" s="2">
        <v>882.0</v>
      </c>
      <c r="G281" s="2">
        <v>110.0</v>
      </c>
      <c r="H281" s="2" t="s">
        <v>5905</v>
      </c>
      <c r="I281" s="2" t="s">
        <v>5906</v>
      </c>
      <c r="J281" s="2" t="s">
        <v>6124</v>
      </c>
      <c r="K281" s="2" t="s">
        <v>33229</v>
      </c>
    </row>
    <row r="282">
      <c r="A282" s="2" t="s">
        <v>4957</v>
      </c>
      <c r="B282" s="2" t="s">
        <v>33230</v>
      </c>
      <c r="C282" s="2">
        <v>2.81218146E8</v>
      </c>
      <c r="D282" s="2" t="s">
        <v>33231</v>
      </c>
      <c r="E282" s="2">
        <v>40640.0</v>
      </c>
      <c r="F282" s="2">
        <v>580.0</v>
      </c>
      <c r="G282" s="2">
        <v>326.0</v>
      </c>
      <c r="H282" s="2" t="s">
        <v>5905</v>
      </c>
      <c r="I282" s="2" t="s">
        <v>5906</v>
      </c>
      <c r="J282" s="2" t="s">
        <v>33232</v>
      </c>
      <c r="K282" s="2" t="s">
        <v>33233</v>
      </c>
      <c r="L282" s="10" t="s">
        <v>33234</v>
      </c>
    </row>
    <row r="283">
      <c r="A283" s="2" t="s">
        <v>5228</v>
      </c>
      <c r="B283" s="2" t="s">
        <v>33235</v>
      </c>
      <c r="C283" s="2">
        <v>3.61571089E8</v>
      </c>
      <c r="D283" s="2" t="s">
        <v>33236</v>
      </c>
      <c r="E283" s="2">
        <v>24360.0</v>
      </c>
      <c r="F283" s="2">
        <v>71.0</v>
      </c>
      <c r="G283" s="2">
        <v>3802.0</v>
      </c>
      <c r="H283" s="2" t="s">
        <v>5905</v>
      </c>
      <c r="I283" s="2" t="s">
        <v>5906</v>
      </c>
      <c r="J283" s="2" t="s">
        <v>33237</v>
      </c>
      <c r="K283" s="2" t="s">
        <v>33238</v>
      </c>
      <c r="L283" s="10" t="s">
        <v>33239</v>
      </c>
    </row>
    <row r="284">
      <c r="A284" s="2" t="s">
        <v>5228</v>
      </c>
      <c r="B284" s="2" t="s">
        <v>33240</v>
      </c>
      <c r="C284" s="2">
        <v>6.4758637947E10</v>
      </c>
      <c r="D284" s="2" t="s">
        <v>33241</v>
      </c>
      <c r="E284" s="2">
        <v>11199.0</v>
      </c>
      <c r="F284" s="2">
        <v>0.0</v>
      </c>
      <c r="G284" s="2">
        <v>6.0</v>
      </c>
      <c r="H284" s="2" t="s">
        <v>5905</v>
      </c>
      <c r="I284" s="2" t="s">
        <v>5905</v>
      </c>
      <c r="J284" s="2" t="s">
        <v>6393</v>
      </c>
      <c r="K284" s="2" t="s">
        <v>33242</v>
      </c>
    </row>
    <row r="285">
      <c r="A285" s="2" t="s">
        <v>5228</v>
      </c>
      <c r="B285" s="2" t="s">
        <v>33243</v>
      </c>
      <c r="C285" s="2">
        <v>1.1220105275E10</v>
      </c>
      <c r="D285" s="2" t="s">
        <v>33244</v>
      </c>
      <c r="E285" s="2">
        <v>27505.0</v>
      </c>
      <c r="F285" s="2">
        <v>483.0</v>
      </c>
      <c r="G285" s="2">
        <v>1427.0</v>
      </c>
      <c r="H285" s="2" t="s">
        <v>5905</v>
      </c>
      <c r="I285" s="2" t="s">
        <v>5905</v>
      </c>
      <c r="J285" s="2" t="s">
        <v>5963</v>
      </c>
      <c r="K285" s="2" t="s">
        <v>33245</v>
      </c>
    </row>
    <row r="286">
      <c r="A286" s="2" t="s">
        <v>5228</v>
      </c>
      <c r="B286" s="2" t="s">
        <v>33246</v>
      </c>
      <c r="C286" s="2">
        <v>1.036668635E9</v>
      </c>
      <c r="D286" s="2" t="s">
        <v>33247</v>
      </c>
      <c r="E286" s="2">
        <v>12815.0</v>
      </c>
      <c r="F286" s="2">
        <v>184.0</v>
      </c>
      <c r="G286" s="2">
        <v>4024.0</v>
      </c>
      <c r="H286" s="2" t="s">
        <v>5905</v>
      </c>
      <c r="I286" s="2" t="s">
        <v>5906</v>
      </c>
      <c r="J286" s="2" t="s">
        <v>6002</v>
      </c>
      <c r="K286" s="2" t="s">
        <v>33248</v>
      </c>
      <c r="L286" s="10" t="s">
        <v>33249</v>
      </c>
    </row>
    <row r="287">
      <c r="A287" s="2" t="s">
        <v>5228</v>
      </c>
      <c r="B287" s="2" t="s">
        <v>33250</v>
      </c>
      <c r="C287" s="2">
        <v>5.83978379E8</v>
      </c>
      <c r="D287" s="2" t="s">
        <v>33251</v>
      </c>
      <c r="E287" s="2">
        <v>22199.0</v>
      </c>
      <c r="F287" s="2">
        <v>991.0</v>
      </c>
      <c r="G287" s="2">
        <v>3219.0</v>
      </c>
      <c r="H287" s="2" t="s">
        <v>5905</v>
      </c>
      <c r="I287" s="2" t="s">
        <v>5906</v>
      </c>
      <c r="J287" s="2" t="s">
        <v>5963</v>
      </c>
      <c r="K287" s="2" t="s">
        <v>33252</v>
      </c>
      <c r="L287" s="10" t="s">
        <v>33253</v>
      </c>
    </row>
    <row r="288">
      <c r="A288" s="2" t="s">
        <v>5233</v>
      </c>
      <c r="B288" s="2" t="s">
        <v>33254</v>
      </c>
      <c r="C288" s="2">
        <v>6.5080271882E10</v>
      </c>
      <c r="D288" s="2" t="s">
        <v>33255</v>
      </c>
      <c r="E288" s="2">
        <v>10630.0</v>
      </c>
      <c r="F288" s="2">
        <v>108.0</v>
      </c>
      <c r="G288" s="2">
        <v>109.0</v>
      </c>
      <c r="H288" s="2" t="s">
        <v>5905</v>
      </c>
      <c r="I288" s="2" t="s">
        <v>5905</v>
      </c>
      <c r="K288" s="2" t="s">
        <v>33256</v>
      </c>
      <c r="L288" s="10" t="s">
        <v>33257</v>
      </c>
    </row>
    <row r="289">
      <c r="A289" s="2" t="s">
        <v>5233</v>
      </c>
      <c r="B289" s="2" t="s">
        <v>33258</v>
      </c>
      <c r="C289" s="2">
        <v>2.1456248156E10</v>
      </c>
      <c r="D289" s="2" t="s">
        <v>33259</v>
      </c>
      <c r="E289" s="2">
        <v>12754.0</v>
      </c>
      <c r="F289" s="2">
        <v>3.0</v>
      </c>
      <c r="G289" s="2">
        <v>1779.0</v>
      </c>
      <c r="H289" s="2" t="s">
        <v>5905</v>
      </c>
      <c r="I289" s="2" t="s">
        <v>5906</v>
      </c>
      <c r="J289" s="2" t="s">
        <v>7414</v>
      </c>
      <c r="K289" s="2" t="s">
        <v>33260</v>
      </c>
      <c r="L289" s="10" t="s">
        <v>33261</v>
      </c>
    </row>
    <row r="290">
      <c r="A290" s="2" t="s">
        <v>5230</v>
      </c>
      <c r="B290" s="2" t="s">
        <v>33262</v>
      </c>
      <c r="C290" s="2">
        <v>5.9146873085E10</v>
      </c>
      <c r="D290" s="12" t="s">
        <v>33263</v>
      </c>
      <c r="E290" s="2">
        <v>10474.0</v>
      </c>
      <c r="F290" s="2">
        <v>0.0</v>
      </c>
      <c r="G290" s="2">
        <v>525.0</v>
      </c>
      <c r="H290" s="2" t="s">
        <v>5905</v>
      </c>
      <c r="I290" s="2" t="s">
        <v>5906</v>
      </c>
      <c r="J290" s="2" t="s">
        <v>7414</v>
      </c>
      <c r="K290" s="12" t="s">
        <v>33264</v>
      </c>
    </row>
    <row r="291">
      <c r="A291" s="2" t="s">
        <v>5230</v>
      </c>
      <c r="B291" s="2" t="s">
        <v>33265</v>
      </c>
      <c r="C291" s="2">
        <v>5.8576386215E10</v>
      </c>
      <c r="D291" s="2" t="s">
        <v>33266</v>
      </c>
      <c r="E291" s="2">
        <v>107199.0</v>
      </c>
      <c r="F291" s="2">
        <v>1.0</v>
      </c>
      <c r="G291" s="2">
        <v>1590.0</v>
      </c>
      <c r="H291" s="2" t="s">
        <v>5905</v>
      </c>
      <c r="I291" s="2" t="s">
        <v>5906</v>
      </c>
      <c r="J291" s="2" t="s">
        <v>7414</v>
      </c>
      <c r="K291" s="2" t="s">
        <v>33267</v>
      </c>
    </row>
    <row r="292">
      <c r="A292" s="2" t="s">
        <v>5230</v>
      </c>
      <c r="B292" s="2" t="s">
        <v>33268</v>
      </c>
      <c r="C292" s="2">
        <v>7.748933473E9</v>
      </c>
      <c r="D292" s="2" t="s">
        <v>33269</v>
      </c>
      <c r="E292" s="2">
        <v>65296.0</v>
      </c>
      <c r="F292" s="2">
        <v>251.0</v>
      </c>
      <c r="G292" s="2">
        <v>1623.0</v>
      </c>
      <c r="H292" s="2" t="s">
        <v>5905</v>
      </c>
      <c r="I292" s="2" t="s">
        <v>5906</v>
      </c>
      <c r="J292" s="2" t="s">
        <v>5391</v>
      </c>
      <c r="K292" s="2" t="s">
        <v>33270</v>
      </c>
      <c r="L292" s="10" t="s">
        <v>33271</v>
      </c>
    </row>
    <row r="293">
      <c r="A293" s="2" t="s">
        <v>5229</v>
      </c>
      <c r="B293" s="2" t="s">
        <v>33272</v>
      </c>
      <c r="C293" s="2">
        <v>4.5038268327E10</v>
      </c>
      <c r="D293" s="2" t="s">
        <v>33273</v>
      </c>
      <c r="E293" s="2">
        <v>26208.0</v>
      </c>
      <c r="F293" s="2">
        <v>114.0</v>
      </c>
      <c r="G293" s="2">
        <v>257.0</v>
      </c>
      <c r="H293" s="2" t="s">
        <v>5905</v>
      </c>
      <c r="I293" s="2" t="s">
        <v>5905</v>
      </c>
      <c r="K293" s="2" t="s">
        <v>33274</v>
      </c>
      <c r="L293" s="10" t="s">
        <v>33275</v>
      </c>
    </row>
    <row r="294">
      <c r="A294" s="2" t="s">
        <v>5236</v>
      </c>
      <c r="B294" s="10" t="s">
        <v>33276</v>
      </c>
      <c r="C294" s="2">
        <v>4.8447252081E10</v>
      </c>
      <c r="D294" s="2" t="s">
        <v>33277</v>
      </c>
      <c r="E294" s="2">
        <v>11456.0</v>
      </c>
      <c r="F294" s="2">
        <v>52.0</v>
      </c>
      <c r="G294" s="2">
        <v>240.0</v>
      </c>
      <c r="H294" s="2" t="s">
        <v>5905</v>
      </c>
      <c r="I294" s="2" t="s">
        <v>5906</v>
      </c>
      <c r="J294" s="2" t="s">
        <v>7414</v>
      </c>
      <c r="K294" s="2" t="s">
        <v>33278</v>
      </c>
      <c r="L294" s="10" t="s">
        <v>33279</v>
      </c>
    </row>
    <row r="295">
      <c r="A295" s="2" t="s">
        <v>5236</v>
      </c>
      <c r="B295" s="2" t="s">
        <v>33280</v>
      </c>
      <c r="C295" s="2">
        <v>6.0150444607E10</v>
      </c>
      <c r="D295" s="2" t="s">
        <v>33281</v>
      </c>
      <c r="E295" s="2">
        <v>18700.0</v>
      </c>
      <c r="F295" s="2">
        <v>918.0</v>
      </c>
      <c r="G295" s="2">
        <v>957.0</v>
      </c>
      <c r="H295" s="2" t="s">
        <v>5905</v>
      </c>
      <c r="I295" s="2" t="s">
        <v>5906</v>
      </c>
      <c r="J295" s="2" t="s">
        <v>7140</v>
      </c>
      <c r="K295" s="2" t="s">
        <v>33282</v>
      </c>
      <c r="L295" s="10" t="s">
        <v>33283</v>
      </c>
    </row>
    <row r="296">
      <c r="A296" s="2" t="s">
        <v>4927</v>
      </c>
      <c r="B296" s="10" t="s">
        <v>33284</v>
      </c>
      <c r="C296" s="2">
        <v>4.94589226E8</v>
      </c>
      <c r="D296" s="2" t="s">
        <v>33285</v>
      </c>
      <c r="E296" s="2">
        <v>658989.0</v>
      </c>
      <c r="F296" s="2">
        <v>3164.0</v>
      </c>
      <c r="G296" s="2">
        <v>852.0</v>
      </c>
      <c r="H296" s="2" t="s">
        <v>5906</v>
      </c>
      <c r="I296" s="2" t="s">
        <v>5906</v>
      </c>
      <c r="J296" s="2" t="s">
        <v>23811</v>
      </c>
      <c r="K296" s="2" t="s">
        <v>33286</v>
      </c>
      <c r="L296" s="10" t="s">
        <v>33287</v>
      </c>
    </row>
    <row r="297">
      <c r="A297" s="2" t="s">
        <v>4970</v>
      </c>
      <c r="B297" s="2" t="s">
        <v>33288</v>
      </c>
      <c r="C297" s="2">
        <v>3.7784736036E10</v>
      </c>
      <c r="D297" s="2" t="s">
        <v>33289</v>
      </c>
      <c r="E297" s="2">
        <v>26410.0</v>
      </c>
      <c r="F297" s="2">
        <v>39.0</v>
      </c>
      <c r="G297" s="2">
        <v>145.0</v>
      </c>
      <c r="H297" s="2" t="s">
        <v>5906</v>
      </c>
      <c r="I297" s="2" t="s">
        <v>5906</v>
      </c>
      <c r="J297" s="2" t="s">
        <v>5963</v>
      </c>
      <c r="K297" s="2" t="s">
        <v>33290</v>
      </c>
      <c r="L297" s="10" t="s">
        <v>33291</v>
      </c>
    </row>
    <row r="298">
      <c r="A298" s="2" t="s">
        <v>4970</v>
      </c>
      <c r="B298" s="2" t="s">
        <v>33292</v>
      </c>
      <c r="C298" s="2">
        <v>1.0989455445E10</v>
      </c>
      <c r="D298" s="2" t="s">
        <v>33293</v>
      </c>
      <c r="E298" s="2">
        <v>21253.0</v>
      </c>
      <c r="F298" s="2">
        <v>1236.0</v>
      </c>
      <c r="G298" s="2">
        <v>2035.0</v>
      </c>
      <c r="H298" s="2" t="s">
        <v>5905</v>
      </c>
      <c r="I298" s="2" t="s">
        <v>5906</v>
      </c>
      <c r="J298" s="2" t="s">
        <v>7140</v>
      </c>
      <c r="K298" s="2" t="s">
        <v>33294</v>
      </c>
      <c r="L298" s="10" t="s">
        <v>33295</v>
      </c>
    </row>
    <row r="299">
      <c r="A299" s="2" t="s">
        <v>4970</v>
      </c>
      <c r="B299" s="2" t="s">
        <v>33296</v>
      </c>
      <c r="C299" s="2">
        <v>5.7254770383E10</v>
      </c>
      <c r="D299" s="2" t="s">
        <v>33297</v>
      </c>
      <c r="E299" s="2">
        <v>45198.0</v>
      </c>
      <c r="F299" s="2">
        <v>7.0</v>
      </c>
      <c r="G299" s="2">
        <v>1265.0</v>
      </c>
      <c r="H299" s="2" t="s">
        <v>5905</v>
      </c>
      <c r="I299" s="2" t="s">
        <v>5905</v>
      </c>
      <c r="J299" s="2" t="s">
        <v>11684</v>
      </c>
      <c r="K299" s="12" t="s">
        <v>33298</v>
      </c>
    </row>
    <row r="300">
      <c r="A300" s="2" t="s">
        <v>4970</v>
      </c>
      <c r="B300" s="2" t="s">
        <v>33299</v>
      </c>
      <c r="C300" s="2">
        <v>7.3878173965E10</v>
      </c>
      <c r="D300" s="2" t="s">
        <v>33299</v>
      </c>
      <c r="E300" s="2">
        <v>29103.0</v>
      </c>
      <c r="F300" s="2">
        <v>1.0</v>
      </c>
      <c r="G300" s="2">
        <v>220.0</v>
      </c>
      <c r="H300" s="2" t="s">
        <v>5905</v>
      </c>
      <c r="I300" s="2" t="s">
        <v>5905</v>
      </c>
      <c r="J300" s="2" t="s">
        <v>5928</v>
      </c>
      <c r="K300" s="2" t="s">
        <v>33300</v>
      </c>
      <c r="L300" s="10" t="s">
        <v>33301</v>
      </c>
    </row>
    <row r="301">
      <c r="A301" s="2" t="s">
        <v>4970</v>
      </c>
      <c r="B301" s="2" t="s">
        <v>33302</v>
      </c>
      <c r="C301" s="2">
        <v>6.19224783E10</v>
      </c>
      <c r="D301" s="2" t="s">
        <v>33303</v>
      </c>
      <c r="E301" s="2">
        <v>1004597.0</v>
      </c>
      <c r="F301" s="2">
        <v>83.0</v>
      </c>
      <c r="G301" s="2">
        <v>470.0</v>
      </c>
      <c r="H301" s="2" t="s">
        <v>5906</v>
      </c>
      <c r="I301" s="2" t="s">
        <v>5905</v>
      </c>
      <c r="J301" s="2" t="s">
        <v>9237</v>
      </c>
      <c r="K301" s="2" t="s">
        <v>33304</v>
      </c>
      <c r="L301" s="10" t="s">
        <v>33305</v>
      </c>
    </row>
    <row r="302">
      <c r="A302" s="2" t="s">
        <v>4970</v>
      </c>
      <c r="B302" s="2" t="s">
        <v>33306</v>
      </c>
      <c r="C302" s="2">
        <v>3.91810178E9</v>
      </c>
      <c r="D302" s="2" t="s">
        <v>33288</v>
      </c>
      <c r="E302" s="2">
        <v>18515.0</v>
      </c>
      <c r="F302" s="2">
        <v>1.0</v>
      </c>
      <c r="G302" s="2">
        <v>805.0</v>
      </c>
      <c r="H302" s="2" t="s">
        <v>5905</v>
      </c>
      <c r="I302" s="2" t="s">
        <v>5906</v>
      </c>
      <c r="J302" s="2" t="s">
        <v>6472</v>
      </c>
      <c r="K302" s="2" t="s">
        <v>33307</v>
      </c>
      <c r="L302" s="10" t="s">
        <v>33308</v>
      </c>
    </row>
    <row r="303">
      <c r="A303" s="2" t="s">
        <v>4970</v>
      </c>
      <c r="B303" s="2" t="s">
        <v>33309</v>
      </c>
      <c r="C303" s="2">
        <v>5.476276544E9</v>
      </c>
      <c r="D303" s="2" t="s">
        <v>33310</v>
      </c>
      <c r="E303" s="2">
        <v>12731.0</v>
      </c>
      <c r="F303" s="2">
        <v>7245.0</v>
      </c>
      <c r="G303" s="2">
        <v>520.0</v>
      </c>
      <c r="H303" s="2" t="s">
        <v>5905</v>
      </c>
      <c r="I303" s="2" t="s">
        <v>5906</v>
      </c>
      <c r="J303" s="2" t="s">
        <v>11316</v>
      </c>
      <c r="K303" s="2" t="s">
        <v>33311</v>
      </c>
      <c r="L303" s="10" t="s">
        <v>33312</v>
      </c>
    </row>
    <row r="304">
      <c r="A304" s="2" t="s">
        <v>4970</v>
      </c>
      <c r="B304" s="2" t="s">
        <v>33313</v>
      </c>
      <c r="C304" s="2">
        <v>5.9079558502E10</v>
      </c>
      <c r="D304" s="2" t="s">
        <v>33314</v>
      </c>
      <c r="E304" s="2">
        <v>628566.0</v>
      </c>
      <c r="F304" s="2">
        <v>73.0</v>
      </c>
      <c r="G304" s="2">
        <v>467.0</v>
      </c>
      <c r="H304" s="2" t="s">
        <v>5905</v>
      </c>
      <c r="I304" s="2" t="s">
        <v>5906</v>
      </c>
      <c r="J304" s="2" t="s">
        <v>9775</v>
      </c>
      <c r="K304" s="2" t="s">
        <v>33315</v>
      </c>
      <c r="L304" s="10" t="s">
        <v>33316</v>
      </c>
    </row>
    <row r="305">
      <c r="A305" s="2" t="s">
        <v>4970</v>
      </c>
      <c r="B305" s="2" t="s">
        <v>33317</v>
      </c>
      <c r="C305" s="2">
        <v>5.6690431913E10</v>
      </c>
      <c r="D305" s="2" t="s">
        <v>33297</v>
      </c>
      <c r="E305" s="2">
        <v>53215.0</v>
      </c>
      <c r="F305" s="2">
        <v>190.0</v>
      </c>
      <c r="G305" s="2">
        <v>758.0</v>
      </c>
      <c r="H305" s="2" t="s">
        <v>5905</v>
      </c>
      <c r="I305" s="2" t="s">
        <v>5906</v>
      </c>
      <c r="J305" s="2" t="s">
        <v>6166</v>
      </c>
      <c r="K305" s="2" t="s">
        <v>33318</v>
      </c>
    </row>
    <row r="306">
      <c r="A306" s="2" t="s">
        <v>4970</v>
      </c>
      <c r="B306" s="2" t="s">
        <v>33319</v>
      </c>
      <c r="C306" s="2">
        <v>8.665647113E9</v>
      </c>
      <c r="D306" s="2" t="s">
        <v>33320</v>
      </c>
      <c r="E306" s="2">
        <v>3536404.0</v>
      </c>
      <c r="F306" s="2">
        <v>8.0</v>
      </c>
      <c r="G306" s="2">
        <v>983.0</v>
      </c>
      <c r="H306" s="2" t="s">
        <v>5906</v>
      </c>
      <c r="I306" s="2" t="s">
        <v>5905</v>
      </c>
      <c r="J306" s="2" t="s">
        <v>5968</v>
      </c>
      <c r="K306" s="2" t="s">
        <v>33321</v>
      </c>
      <c r="L306" s="10" t="s">
        <v>33322</v>
      </c>
    </row>
    <row r="307">
      <c r="A307" s="2" t="s">
        <v>4970</v>
      </c>
      <c r="B307" s="2" t="s">
        <v>33323</v>
      </c>
      <c r="C307" s="2">
        <v>4.7242337467E10</v>
      </c>
      <c r="D307" s="2" t="s">
        <v>33324</v>
      </c>
      <c r="E307" s="2">
        <v>33532.0</v>
      </c>
      <c r="F307" s="2">
        <v>0.0</v>
      </c>
      <c r="G307" s="2">
        <v>206.0</v>
      </c>
      <c r="H307" s="2" t="s">
        <v>5905</v>
      </c>
      <c r="I307" s="2" t="s">
        <v>5906</v>
      </c>
      <c r="J307" s="2" t="s">
        <v>6166</v>
      </c>
      <c r="K307" s="2" t="s">
        <v>33325</v>
      </c>
      <c r="L307" s="10" t="s">
        <v>33326</v>
      </c>
    </row>
    <row r="308">
      <c r="A308" s="2" t="s">
        <v>4970</v>
      </c>
      <c r="B308" s="2" t="s">
        <v>33327</v>
      </c>
      <c r="C308" s="2">
        <v>4.7306405658E10</v>
      </c>
      <c r="D308" s="2" t="s">
        <v>33328</v>
      </c>
      <c r="E308" s="2">
        <v>237123.0</v>
      </c>
      <c r="F308" s="2">
        <v>437.0</v>
      </c>
      <c r="G308" s="2">
        <v>1734.0</v>
      </c>
      <c r="H308" s="2" t="s">
        <v>5906</v>
      </c>
      <c r="I308" s="2" t="s">
        <v>5905</v>
      </c>
      <c r="J308" s="2" t="s">
        <v>5561</v>
      </c>
      <c r="K308" s="2" t="s">
        <v>33329</v>
      </c>
    </row>
    <row r="309">
      <c r="A309" s="2" t="s">
        <v>4920</v>
      </c>
      <c r="B309" s="2" t="s">
        <v>33330</v>
      </c>
      <c r="C309" s="2">
        <v>7.489427349E9</v>
      </c>
      <c r="D309" s="2" t="s">
        <v>33331</v>
      </c>
      <c r="E309" s="2">
        <v>14480.0</v>
      </c>
      <c r="F309" s="2">
        <v>663.0</v>
      </c>
      <c r="G309" s="2">
        <v>1878.0</v>
      </c>
      <c r="H309" s="2" t="s">
        <v>5905</v>
      </c>
      <c r="I309" s="2" t="s">
        <v>5905</v>
      </c>
      <c r="J309" s="2" t="s">
        <v>5391</v>
      </c>
      <c r="K309" s="2" t="s">
        <v>33332</v>
      </c>
      <c r="L309" s="10" t="s">
        <v>33333</v>
      </c>
    </row>
    <row r="310">
      <c r="A310" s="2" t="s">
        <v>4920</v>
      </c>
      <c r="B310" s="2" t="s">
        <v>33334</v>
      </c>
      <c r="C310" s="2">
        <v>6.7485712581E10</v>
      </c>
      <c r="D310" s="2" t="s">
        <v>33335</v>
      </c>
      <c r="E310" s="2">
        <v>30433.0</v>
      </c>
      <c r="F310" s="2">
        <v>4.0</v>
      </c>
      <c r="G310" s="2">
        <v>135.0</v>
      </c>
      <c r="H310" s="2" t="s">
        <v>5905</v>
      </c>
      <c r="I310" s="2" t="s">
        <v>5906</v>
      </c>
      <c r="J310" s="2" t="s">
        <v>6002</v>
      </c>
      <c r="K310" s="2" t="s">
        <v>33336</v>
      </c>
      <c r="L310" s="10" t="s">
        <v>33337</v>
      </c>
    </row>
    <row r="311">
      <c r="A311" s="2" t="s">
        <v>4920</v>
      </c>
      <c r="B311" s="2" t="s">
        <v>33338</v>
      </c>
      <c r="C311" s="2">
        <v>5.60333667E9</v>
      </c>
      <c r="D311" s="2" t="s">
        <v>33339</v>
      </c>
      <c r="E311" s="2">
        <v>23808.0</v>
      </c>
      <c r="F311" s="2">
        <v>174.0</v>
      </c>
      <c r="G311" s="2">
        <v>2180.0</v>
      </c>
      <c r="H311" s="2" t="s">
        <v>5905</v>
      </c>
      <c r="I311" s="2" t="s">
        <v>5905</v>
      </c>
      <c r="J311" s="2" t="s">
        <v>8878</v>
      </c>
      <c r="K311" s="2" t="s">
        <v>33340</v>
      </c>
      <c r="L311" s="10" t="s">
        <v>33341</v>
      </c>
    </row>
    <row r="312">
      <c r="A312" s="2" t="s">
        <v>4920</v>
      </c>
      <c r="B312" s="2" t="s">
        <v>33342</v>
      </c>
      <c r="C312" s="2">
        <v>5.13879104E10</v>
      </c>
      <c r="D312" s="2" t="s">
        <v>33343</v>
      </c>
      <c r="E312" s="2">
        <v>149267.0</v>
      </c>
      <c r="F312" s="2">
        <v>548.0</v>
      </c>
      <c r="G312" s="2">
        <v>219.0</v>
      </c>
      <c r="H312" s="2" t="s">
        <v>5905</v>
      </c>
      <c r="I312" s="2" t="s">
        <v>5905</v>
      </c>
      <c r="J312" s="2" t="s">
        <v>6166</v>
      </c>
      <c r="K312" s="2" t="s">
        <v>33344</v>
      </c>
      <c r="L312" s="10" t="s">
        <v>33345</v>
      </c>
    </row>
    <row r="313">
      <c r="A313" s="2" t="s">
        <v>4919</v>
      </c>
      <c r="B313" s="2" t="s">
        <v>33346</v>
      </c>
      <c r="C313" s="2">
        <v>1.85036484E8</v>
      </c>
      <c r="D313" s="2" t="s">
        <v>33347</v>
      </c>
      <c r="E313" s="2">
        <v>3553410.0</v>
      </c>
      <c r="F313" s="2">
        <v>1231.0</v>
      </c>
      <c r="G313" s="2">
        <v>18220.0</v>
      </c>
      <c r="H313" s="2" t="s">
        <v>5906</v>
      </c>
      <c r="I313" s="2" t="s">
        <v>5906</v>
      </c>
      <c r="K313" s="2" t="s">
        <v>33348</v>
      </c>
      <c r="L313" s="10" t="s">
        <v>33349</v>
      </c>
    </row>
    <row r="314">
      <c r="A314" s="2" t="s">
        <v>4919</v>
      </c>
      <c r="B314" s="2" t="s">
        <v>33350</v>
      </c>
      <c r="C314" s="2">
        <v>6.3918492422E10</v>
      </c>
      <c r="D314" s="2" t="s">
        <v>4919</v>
      </c>
      <c r="E314" s="2">
        <v>10595.0</v>
      </c>
      <c r="F314" s="2">
        <v>1.0</v>
      </c>
      <c r="G314" s="2">
        <v>353.0</v>
      </c>
      <c r="H314" s="2" t="s">
        <v>5906</v>
      </c>
      <c r="I314" s="2" t="s">
        <v>5906</v>
      </c>
      <c r="J314" s="2" t="s">
        <v>5963</v>
      </c>
      <c r="K314" s="2" t="s">
        <v>33351</v>
      </c>
      <c r="L314" s="10" t="s">
        <v>33352</v>
      </c>
    </row>
    <row r="315">
      <c r="A315" s="2" t="s">
        <v>4919</v>
      </c>
      <c r="B315" s="2" t="s">
        <v>33353</v>
      </c>
      <c r="C315" s="2">
        <v>6.4004324231E10</v>
      </c>
      <c r="D315" s="2" t="s">
        <v>33354</v>
      </c>
      <c r="E315" s="2">
        <v>39557.0</v>
      </c>
      <c r="F315" s="2">
        <v>135.0</v>
      </c>
      <c r="G315" s="2">
        <v>21.0</v>
      </c>
      <c r="H315" s="2" t="s">
        <v>5905</v>
      </c>
      <c r="I315" s="2" t="s">
        <v>5905</v>
      </c>
      <c r="J315" s="2" t="s">
        <v>5928</v>
      </c>
      <c r="K315" s="2" t="s">
        <v>33355</v>
      </c>
      <c r="L315" s="10" t="s">
        <v>33356</v>
      </c>
    </row>
    <row r="316">
      <c r="A316" s="2" t="s">
        <v>4919</v>
      </c>
      <c r="B316" s="2" t="s">
        <v>33357</v>
      </c>
      <c r="C316" s="2">
        <v>1.0166676868E10</v>
      </c>
      <c r="D316" s="2" t="s">
        <v>33358</v>
      </c>
      <c r="E316" s="2">
        <v>158781.0</v>
      </c>
      <c r="F316" s="2">
        <v>5.0</v>
      </c>
      <c r="G316" s="2">
        <v>244.0</v>
      </c>
      <c r="H316" s="2" t="s">
        <v>5905</v>
      </c>
      <c r="I316" s="2" t="s">
        <v>5905</v>
      </c>
      <c r="J316" s="2" t="s">
        <v>33359</v>
      </c>
      <c r="K316" s="2" t="s">
        <v>33360</v>
      </c>
      <c r="L316" s="10" t="s">
        <v>33361</v>
      </c>
    </row>
    <row r="317">
      <c r="A317" s="2" t="s">
        <v>4919</v>
      </c>
      <c r="B317" s="2" t="s">
        <v>33362</v>
      </c>
      <c r="C317" s="2">
        <v>1.1457844701E10</v>
      </c>
      <c r="D317" s="2" t="s">
        <v>33363</v>
      </c>
      <c r="E317" s="2">
        <v>137440.0</v>
      </c>
      <c r="F317" s="2">
        <v>958.0</v>
      </c>
      <c r="G317" s="2">
        <v>4462.0</v>
      </c>
      <c r="H317" s="2" t="s">
        <v>5906</v>
      </c>
      <c r="I317" s="2" t="s">
        <v>5906</v>
      </c>
      <c r="J317" s="2" t="s">
        <v>5911</v>
      </c>
      <c r="K317" s="2" t="s">
        <v>33364</v>
      </c>
      <c r="L317" s="10" t="s">
        <v>33365</v>
      </c>
    </row>
    <row r="318">
      <c r="A318" s="2" t="s">
        <v>4919</v>
      </c>
      <c r="B318" s="2" t="s">
        <v>33366</v>
      </c>
      <c r="C318" s="2">
        <v>5.6833178479E10</v>
      </c>
      <c r="E318" s="2">
        <v>11808.0</v>
      </c>
      <c r="F318" s="2">
        <v>1746.0</v>
      </c>
      <c r="G318" s="2">
        <v>347.0</v>
      </c>
      <c r="H318" s="2" t="s">
        <v>5905</v>
      </c>
      <c r="I318" s="2" t="s">
        <v>5905</v>
      </c>
      <c r="J318" s="2" t="s">
        <v>5928</v>
      </c>
      <c r="K318" s="2" t="s">
        <v>33367</v>
      </c>
      <c r="L318" s="10" t="s">
        <v>33368</v>
      </c>
    </row>
    <row r="319">
      <c r="A319" s="2" t="s">
        <v>4919</v>
      </c>
      <c r="B319" s="2" t="s">
        <v>33369</v>
      </c>
      <c r="C319" s="2">
        <v>8.469133822E9</v>
      </c>
      <c r="D319" s="2" t="s">
        <v>33370</v>
      </c>
      <c r="E319" s="2">
        <v>1247118.0</v>
      </c>
      <c r="F319" s="2">
        <v>268.0</v>
      </c>
      <c r="G319" s="2">
        <v>6785.0</v>
      </c>
      <c r="H319" s="2" t="s">
        <v>5905</v>
      </c>
      <c r="I319" s="2" t="s">
        <v>5905</v>
      </c>
      <c r="J319" s="2" t="s">
        <v>5561</v>
      </c>
      <c r="K319" s="2" t="s">
        <v>33371</v>
      </c>
      <c r="L319" s="10" t="s">
        <v>33372</v>
      </c>
    </row>
    <row r="320">
      <c r="A320" s="2" t="s">
        <v>4919</v>
      </c>
      <c r="B320" s="2" t="s">
        <v>33373</v>
      </c>
      <c r="C320" s="2">
        <v>1.6220334E7</v>
      </c>
      <c r="D320" s="2" t="s">
        <v>33347</v>
      </c>
      <c r="E320" s="2">
        <v>632002.0</v>
      </c>
      <c r="F320" s="2">
        <v>986.0</v>
      </c>
      <c r="G320" s="2">
        <v>196.0</v>
      </c>
      <c r="H320" s="2" t="s">
        <v>5906</v>
      </c>
      <c r="I320" s="2" t="s">
        <v>5905</v>
      </c>
      <c r="J320" s="2" t="s">
        <v>8604</v>
      </c>
      <c r="K320" s="2" t="s">
        <v>33374</v>
      </c>
    </row>
    <row r="321">
      <c r="A321" s="2" t="s">
        <v>4919</v>
      </c>
      <c r="B321" s="2" t="s">
        <v>33375</v>
      </c>
      <c r="C321" s="2">
        <v>2.237698956E9</v>
      </c>
      <c r="D321" s="2" t="s">
        <v>33376</v>
      </c>
      <c r="E321" s="2">
        <v>16206.0</v>
      </c>
      <c r="F321" s="2">
        <v>7150.0</v>
      </c>
      <c r="G321" s="2">
        <v>4470.0</v>
      </c>
      <c r="H321" s="2" t="s">
        <v>5905</v>
      </c>
      <c r="I321" s="2" t="s">
        <v>5905</v>
      </c>
      <c r="J321" s="2" t="s">
        <v>6002</v>
      </c>
      <c r="K321" s="2" t="s">
        <v>33377</v>
      </c>
      <c r="L321" s="10" t="s">
        <v>33378</v>
      </c>
    </row>
    <row r="322">
      <c r="A322" s="2" t="s">
        <v>4919</v>
      </c>
      <c r="B322" s="2" t="s">
        <v>33379</v>
      </c>
      <c r="C322" s="2">
        <v>4.8523035128E10</v>
      </c>
      <c r="D322" s="2" t="s">
        <v>33346</v>
      </c>
      <c r="E322" s="2">
        <v>40414.0</v>
      </c>
      <c r="F322" s="2">
        <v>2330.0</v>
      </c>
      <c r="G322" s="2">
        <v>40.0</v>
      </c>
      <c r="H322" s="2" t="s">
        <v>5906</v>
      </c>
      <c r="I322" s="2" t="s">
        <v>5905</v>
      </c>
      <c r="J322" s="2" t="s">
        <v>5959</v>
      </c>
      <c r="K322" s="2" t="s">
        <v>33380</v>
      </c>
      <c r="L322" s="10" t="s">
        <v>33381</v>
      </c>
    </row>
    <row r="323">
      <c r="A323" s="2" t="s">
        <v>4919</v>
      </c>
      <c r="B323" s="2" t="s">
        <v>33382</v>
      </c>
      <c r="C323" s="2">
        <v>7.524543949E9</v>
      </c>
      <c r="D323" s="2" t="s">
        <v>33383</v>
      </c>
      <c r="E323" s="2">
        <v>102943.0</v>
      </c>
      <c r="F323" s="2">
        <v>3278.0</v>
      </c>
      <c r="G323" s="2">
        <v>21.0</v>
      </c>
      <c r="H323" s="2" t="s">
        <v>5905</v>
      </c>
      <c r="I323" s="2" t="s">
        <v>5905</v>
      </c>
      <c r="J323" s="2" t="s">
        <v>6393</v>
      </c>
      <c r="K323" s="2" t="s">
        <v>33384</v>
      </c>
    </row>
    <row r="324">
      <c r="A324" s="2" t="s">
        <v>4947</v>
      </c>
      <c r="B324" s="2" t="s">
        <v>33385</v>
      </c>
      <c r="C324" s="2">
        <v>2.6436702269E10</v>
      </c>
      <c r="D324" s="2" t="s">
        <v>33386</v>
      </c>
      <c r="E324" s="2">
        <v>114169.0</v>
      </c>
      <c r="F324" s="2">
        <v>3414.0</v>
      </c>
      <c r="G324" s="2">
        <v>1511.0</v>
      </c>
      <c r="H324" s="2" t="s">
        <v>5905</v>
      </c>
      <c r="I324" s="2" t="s">
        <v>5905</v>
      </c>
      <c r="J324" s="2" t="s">
        <v>5561</v>
      </c>
      <c r="K324" s="2" t="s">
        <v>33387</v>
      </c>
      <c r="L324" s="10" t="s">
        <v>33388</v>
      </c>
    </row>
    <row r="325">
      <c r="A325" s="2" t="s">
        <v>4947</v>
      </c>
      <c r="B325" s="2" t="s">
        <v>33389</v>
      </c>
      <c r="C325" s="2">
        <v>6.7029871545E10</v>
      </c>
      <c r="D325" s="2" t="s">
        <v>33390</v>
      </c>
      <c r="E325" s="2">
        <v>356705.0</v>
      </c>
      <c r="F325" s="2">
        <v>34.0</v>
      </c>
      <c r="G325" s="2">
        <v>258.0</v>
      </c>
      <c r="H325" s="2" t="s">
        <v>5905</v>
      </c>
      <c r="I325" s="2" t="s">
        <v>5906</v>
      </c>
      <c r="J325" s="2" t="s">
        <v>8719</v>
      </c>
      <c r="K325" s="2" t="s">
        <v>33391</v>
      </c>
      <c r="L325" s="10" t="s">
        <v>33392</v>
      </c>
    </row>
    <row r="326">
      <c r="A326" s="2" t="s">
        <v>4947</v>
      </c>
      <c r="B326" s="2" t="s">
        <v>33393</v>
      </c>
      <c r="C326" s="2">
        <v>7.441597167E9</v>
      </c>
      <c r="D326" s="2" t="s">
        <v>33394</v>
      </c>
      <c r="E326" s="2">
        <v>844361.0</v>
      </c>
      <c r="F326" s="2">
        <v>1087.0</v>
      </c>
      <c r="G326" s="2">
        <v>592.0</v>
      </c>
      <c r="H326" s="2" t="s">
        <v>5905</v>
      </c>
      <c r="I326" s="2" t="s">
        <v>5906</v>
      </c>
      <c r="J326" s="2" t="s">
        <v>12832</v>
      </c>
      <c r="K326" s="2" t="s">
        <v>33395</v>
      </c>
      <c r="L326" s="10" t="s">
        <v>33396</v>
      </c>
    </row>
    <row r="327">
      <c r="A327" s="2" t="s">
        <v>4947</v>
      </c>
      <c r="B327" s="2" t="s">
        <v>33397</v>
      </c>
      <c r="C327" s="2">
        <v>3.78594693E10</v>
      </c>
      <c r="D327" s="2" t="s">
        <v>33398</v>
      </c>
      <c r="E327" s="2">
        <v>188570.0</v>
      </c>
      <c r="F327" s="2">
        <v>2964.0</v>
      </c>
      <c r="G327" s="2">
        <v>48.0</v>
      </c>
      <c r="H327" s="2" t="s">
        <v>5905</v>
      </c>
      <c r="I327" s="2" t="s">
        <v>5905</v>
      </c>
      <c r="J327" s="2" t="s">
        <v>6321</v>
      </c>
      <c r="K327" s="2" t="s">
        <v>33399</v>
      </c>
      <c r="L327" s="10" t="s">
        <v>33400</v>
      </c>
    </row>
    <row r="328">
      <c r="A328" s="2" t="s">
        <v>4947</v>
      </c>
      <c r="B328" s="2" t="s">
        <v>33401</v>
      </c>
      <c r="C328" s="2">
        <v>1.75756178E8</v>
      </c>
      <c r="D328" s="2" t="s">
        <v>33402</v>
      </c>
      <c r="E328" s="2">
        <v>259017.0</v>
      </c>
      <c r="F328" s="2">
        <v>1338.0</v>
      </c>
      <c r="G328" s="2">
        <v>6932.0</v>
      </c>
      <c r="H328" s="2" t="s">
        <v>5905</v>
      </c>
      <c r="I328" s="2" t="s">
        <v>5906</v>
      </c>
      <c r="J328" s="2" t="s">
        <v>7140</v>
      </c>
      <c r="K328" s="2" t="s">
        <v>33403</v>
      </c>
      <c r="L328" s="10" t="s">
        <v>33404</v>
      </c>
    </row>
    <row r="329">
      <c r="A329" s="2" t="s">
        <v>4947</v>
      </c>
      <c r="B329" s="2" t="s">
        <v>33405</v>
      </c>
      <c r="C329" s="2">
        <v>2.219426427E9</v>
      </c>
      <c r="D329" s="2" t="s">
        <v>33406</v>
      </c>
      <c r="E329" s="2">
        <v>1338905.0</v>
      </c>
      <c r="F329" s="2">
        <v>3.0</v>
      </c>
      <c r="G329" s="2">
        <v>595.0</v>
      </c>
      <c r="H329" s="2" t="s">
        <v>5906</v>
      </c>
      <c r="I329" s="2" t="s">
        <v>5906</v>
      </c>
      <c r="L329" s="10" t="s">
        <v>33407</v>
      </c>
    </row>
    <row r="330">
      <c r="A330" s="2" t="s">
        <v>4947</v>
      </c>
      <c r="B330" s="10" t="s">
        <v>33408</v>
      </c>
      <c r="C330" s="2">
        <v>9.969037538E9</v>
      </c>
      <c r="D330" s="2" t="s">
        <v>33409</v>
      </c>
      <c r="E330" s="2">
        <v>234022.0</v>
      </c>
      <c r="F330" s="2">
        <v>107.0</v>
      </c>
      <c r="G330" s="2">
        <v>1907.0</v>
      </c>
      <c r="H330" s="2" t="s">
        <v>5906</v>
      </c>
      <c r="I330" s="2" t="s">
        <v>5906</v>
      </c>
      <c r="J330" s="2" t="s">
        <v>6393</v>
      </c>
      <c r="K330" s="2" t="s">
        <v>33410</v>
      </c>
      <c r="L330" s="10" t="s">
        <v>33411</v>
      </c>
    </row>
    <row r="331">
      <c r="A331" s="2" t="s">
        <v>4947</v>
      </c>
      <c r="B331" s="2" t="s">
        <v>33412</v>
      </c>
      <c r="C331" s="2">
        <v>6.5476122802E10</v>
      </c>
      <c r="D331" s="2" t="s">
        <v>33405</v>
      </c>
      <c r="E331" s="2">
        <v>60893.0</v>
      </c>
      <c r="F331" s="2">
        <v>366.0</v>
      </c>
      <c r="G331" s="2">
        <v>316.0</v>
      </c>
      <c r="H331" s="2" t="s">
        <v>5905</v>
      </c>
      <c r="I331" s="2" t="s">
        <v>5905</v>
      </c>
      <c r="J331" s="2" t="s">
        <v>5959</v>
      </c>
      <c r="K331" s="2" t="s">
        <v>33413</v>
      </c>
    </row>
    <row r="332">
      <c r="A332" s="2" t="s">
        <v>4947</v>
      </c>
      <c r="B332" s="2" t="s">
        <v>33414</v>
      </c>
      <c r="C332" s="2">
        <v>4.9614547562E10</v>
      </c>
      <c r="D332" s="2" t="s">
        <v>33415</v>
      </c>
      <c r="E332" s="2">
        <v>82223.0</v>
      </c>
      <c r="F332" s="2">
        <v>830.0</v>
      </c>
      <c r="G332" s="2">
        <v>566.0</v>
      </c>
      <c r="H332" s="2" t="s">
        <v>5906</v>
      </c>
      <c r="I332" s="2" t="s">
        <v>5905</v>
      </c>
      <c r="J332" s="2" t="s">
        <v>9793</v>
      </c>
      <c r="K332" s="2" t="s">
        <v>33416</v>
      </c>
      <c r="L332" s="10" t="s">
        <v>33417</v>
      </c>
    </row>
    <row r="333">
      <c r="A333" s="2" t="s">
        <v>4947</v>
      </c>
      <c r="B333" s="2" t="s">
        <v>33418</v>
      </c>
      <c r="C333" s="2">
        <v>4.445511075E10</v>
      </c>
      <c r="D333" s="2" t="s">
        <v>33419</v>
      </c>
      <c r="E333" s="2">
        <v>19491.0</v>
      </c>
      <c r="F333" s="2">
        <v>0.0</v>
      </c>
      <c r="G333" s="2">
        <v>989.0</v>
      </c>
      <c r="H333" s="2" t="s">
        <v>5905</v>
      </c>
      <c r="I333" s="2" t="s">
        <v>5905</v>
      </c>
      <c r="J333" s="2" t="s">
        <v>6002</v>
      </c>
      <c r="K333" s="2" t="s">
        <v>33420</v>
      </c>
      <c r="L333" s="10" t="s">
        <v>33421</v>
      </c>
    </row>
    <row r="334">
      <c r="A334" s="2" t="s">
        <v>4947</v>
      </c>
      <c r="B334" s="2" t="s">
        <v>33422</v>
      </c>
      <c r="C334" s="2">
        <v>1.2514327394E10</v>
      </c>
      <c r="D334" s="2" t="s">
        <v>33423</v>
      </c>
      <c r="E334" s="2">
        <v>359079.0</v>
      </c>
      <c r="F334" s="2">
        <v>106.0</v>
      </c>
      <c r="G334" s="2">
        <v>2836.0</v>
      </c>
      <c r="H334" s="2" t="s">
        <v>5905</v>
      </c>
      <c r="I334" s="2" t="s">
        <v>5905</v>
      </c>
      <c r="J334" s="2" t="s">
        <v>5959</v>
      </c>
      <c r="K334" s="2" t="s">
        <v>33424</v>
      </c>
      <c r="L334" s="10" t="s">
        <v>33425</v>
      </c>
    </row>
    <row r="335">
      <c r="A335" s="2" t="s">
        <v>4947</v>
      </c>
      <c r="B335" s="2" t="s">
        <v>33426</v>
      </c>
      <c r="C335" s="2">
        <v>1.296902495E9</v>
      </c>
      <c r="D335" s="2" t="s">
        <v>33427</v>
      </c>
      <c r="E335" s="2">
        <v>89011.0</v>
      </c>
      <c r="F335" s="2">
        <v>648.0</v>
      </c>
      <c r="G335" s="2">
        <v>1495.0</v>
      </c>
      <c r="H335" s="2" t="s">
        <v>5906</v>
      </c>
      <c r="I335" s="2" t="s">
        <v>5906</v>
      </c>
      <c r="J335" s="2" t="s">
        <v>7140</v>
      </c>
      <c r="K335" s="2" t="s">
        <v>33428</v>
      </c>
      <c r="L335" s="10" t="s">
        <v>33429</v>
      </c>
    </row>
    <row r="336">
      <c r="A336" s="2" t="s">
        <v>4991</v>
      </c>
      <c r="B336" s="2" t="s">
        <v>33430</v>
      </c>
      <c r="C336" s="2">
        <v>3.6160826772E10</v>
      </c>
      <c r="D336" s="2" t="s">
        <v>4991</v>
      </c>
      <c r="E336" s="2">
        <v>21630.0</v>
      </c>
      <c r="F336" s="2">
        <v>824.0</v>
      </c>
      <c r="G336" s="2">
        <v>382.0</v>
      </c>
      <c r="H336" s="2" t="s">
        <v>5905</v>
      </c>
      <c r="I336" s="2" t="s">
        <v>5905</v>
      </c>
      <c r="J336" s="2" t="s">
        <v>6166</v>
      </c>
      <c r="K336" s="2" t="s">
        <v>33431</v>
      </c>
    </row>
    <row r="337">
      <c r="A337" s="2" t="s">
        <v>5006</v>
      </c>
      <c r="B337" s="2" t="s">
        <v>33432</v>
      </c>
      <c r="C337" s="2">
        <v>6.066413005E9</v>
      </c>
      <c r="D337" s="2" t="s">
        <v>33433</v>
      </c>
      <c r="E337" s="2">
        <v>173781.0</v>
      </c>
      <c r="F337" s="2">
        <v>3.0</v>
      </c>
      <c r="G337" s="2">
        <v>283.0</v>
      </c>
      <c r="H337" s="2" t="s">
        <v>5905</v>
      </c>
      <c r="I337" s="2" t="s">
        <v>5905</v>
      </c>
      <c r="K337" s="2" t="s">
        <v>33434</v>
      </c>
    </row>
    <row r="338">
      <c r="A338" s="2" t="s">
        <v>5006</v>
      </c>
      <c r="B338" s="2" t="s">
        <v>33435</v>
      </c>
      <c r="C338" s="2">
        <v>1.025651242E9</v>
      </c>
      <c r="D338" s="2" t="s">
        <v>33436</v>
      </c>
      <c r="E338" s="2">
        <v>53187.0</v>
      </c>
      <c r="F338" s="2">
        <v>7174.0</v>
      </c>
      <c r="G338" s="2">
        <v>6501.0</v>
      </c>
      <c r="H338" s="2" t="s">
        <v>5905</v>
      </c>
      <c r="I338" s="2" t="s">
        <v>5906</v>
      </c>
      <c r="J338" s="2" t="s">
        <v>5391</v>
      </c>
      <c r="K338" s="2" t="s">
        <v>33437</v>
      </c>
      <c r="L338" s="10" t="s">
        <v>33438</v>
      </c>
    </row>
    <row r="339">
      <c r="A339" s="2" t="s">
        <v>5006</v>
      </c>
      <c r="B339" s="2" t="s">
        <v>33439</v>
      </c>
      <c r="C339" s="2">
        <v>1.557458209E9</v>
      </c>
      <c r="D339" s="2" t="s">
        <v>33440</v>
      </c>
      <c r="E339" s="2">
        <v>56641.0</v>
      </c>
      <c r="F339" s="2">
        <v>7441.0</v>
      </c>
      <c r="G339" s="2">
        <v>6885.0</v>
      </c>
      <c r="H339" s="2" t="s">
        <v>5905</v>
      </c>
      <c r="I339" s="2" t="s">
        <v>5906</v>
      </c>
      <c r="J339" s="2" t="s">
        <v>28958</v>
      </c>
      <c r="K339" s="2" t="s">
        <v>33441</v>
      </c>
      <c r="L339" s="10" t="s">
        <v>33442</v>
      </c>
    </row>
    <row r="340">
      <c r="A340" s="2" t="s">
        <v>5006</v>
      </c>
      <c r="B340" s="2" t="s">
        <v>33443</v>
      </c>
      <c r="C340" s="2">
        <v>4.5363354499E10</v>
      </c>
      <c r="D340" s="2" t="s">
        <v>33444</v>
      </c>
      <c r="E340" s="2">
        <v>18874.0</v>
      </c>
      <c r="F340" s="2">
        <v>919.0</v>
      </c>
      <c r="G340" s="2">
        <v>589.0</v>
      </c>
      <c r="H340" s="2" t="s">
        <v>5905</v>
      </c>
      <c r="I340" s="2" t="s">
        <v>5905</v>
      </c>
      <c r="J340" s="2" t="s">
        <v>8604</v>
      </c>
      <c r="K340" s="2" t="s">
        <v>33445</v>
      </c>
      <c r="L340" s="10" t="s">
        <v>33446</v>
      </c>
    </row>
    <row r="341">
      <c r="A341" s="2" t="s">
        <v>5006</v>
      </c>
      <c r="B341" s="10" t="s">
        <v>33447</v>
      </c>
      <c r="C341" s="2">
        <v>7.0055031851E10</v>
      </c>
      <c r="D341" s="12" t="s">
        <v>33448</v>
      </c>
      <c r="E341" s="2">
        <v>46331.0</v>
      </c>
      <c r="F341" s="2">
        <v>33.0</v>
      </c>
      <c r="G341" s="2">
        <v>116.0</v>
      </c>
      <c r="H341" s="2" t="s">
        <v>5906</v>
      </c>
      <c r="I341" s="2" t="s">
        <v>5905</v>
      </c>
      <c r="J341" s="2" t="s">
        <v>7414</v>
      </c>
      <c r="K341" s="12" t="s">
        <v>33449</v>
      </c>
      <c r="L341" s="10" t="s">
        <v>33450</v>
      </c>
    </row>
    <row r="342">
      <c r="A342" s="2" t="s">
        <v>5006</v>
      </c>
      <c r="B342" s="2" t="s">
        <v>33451</v>
      </c>
      <c r="C342" s="2">
        <v>8.443005447E9</v>
      </c>
      <c r="D342" s="2" t="s">
        <v>33451</v>
      </c>
      <c r="E342" s="2">
        <v>649059.0</v>
      </c>
      <c r="F342" s="2">
        <v>483.0</v>
      </c>
      <c r="G342" s="2">
        <v>2120.0</v>
      </c>
      <c r="H342" s="2" t="s">
        <v>5906</v>
      </c>
      <c r="I342" s="2" t="s">
        <v>5906</v>
      </c>
      <c r="J342" s="2" t="s">
        <v>12030</v>
      </c>
      <c r="K342" s="2" t="s">
        <v>33452</v>
      </c>
      <c r="L342" s="10" t="s">
        <v>33453</v>
      </c>
    </row>
    <row r="343">
      <c r="A343" s="2" t="s">
        <v>4998</v>
      </c>
      <c r="B343" s="2" t="s">
        <v>33454</v>
      </c>
      <c r="C343" s="2">
        <v>2.081510003E9</v>
      </c>
      <c r="D343" s="2" t="s">
        <v>33455</v>
      </c>
      <c r="E343" s="2">
        <v>1582217.0</v>
      </c>
      <c r="F343" s="2">
        <v>148.0</v>
      </c>
      <c r="G343" s="2">
        <v>6939.0</v>
      </c>
      <c r="H343" s="2" t="s">
        <v>5906</v>
      </c>
      <c r="I343" s="2" t="s">
        <v>5906</v>
      </c>
      <c r="L343" s="10" t="s">
        <v>33456</v>
      </c>
    </row>
    <row r="344">
      <c r="A344" s="2" t="s">
        <v>4998</v>
      </c>
      <c r="B344" s="2" t="s">
        <v>33457</v>
      </c>
      <c r="C344" s="2">
        <v>5.2367157696E10</v>
      </c>
      <c r="D344" s="2" t="s">
        <v>33458</v>
      </c>
      <c r="E344" s="2">
        <v>152811.0</v>
      </c>
      <c r="F344" s="2">
        <v>0.0</v>
      </c>
      <c r="G344" s="2">
        <v>65.0</v>
      </c>
      <c r="H344" s="2" t="s">
        <v>5905</v>
      </c>
      <c r="I344" s="2" t="s">
        <v>5906</v>
      </c>
      <c r="J344" s="2" t="s">
        <v>4996</v>
      </c>
      <c r="K344" s="2" t="s">
        <v>33459</v>
      </c>
    </row>
    <row r="345">
      <c r="A345" s="2" t="s">
        <v>4998</v>
      </c>
      <c r="B345" s="2" t="s">
        <v>33460</v>
      </c>
      <c r="C345" s="2">
        <v>7.605582209E9</v>
      </c>
      <c r="D345" s="2" t="s">
        <v>33461</v>
      </c>
      <c r="E345" s="2">
        <v>1915859.0</v>
      </c>
      <c r="F345" s="2">
        <v>288.0</v>
      </c>
      <c r="G345" s="2">
        <v>3152.0</v>
      </c>
      <c r="H345" s="2" t="s">
        <v>5906</v>
      </c>
      <c r="I345" s="2" t="s">
        <v>5905</v>
      </c>
      <c r="J345" s="2" t="s">
        <v>6068</v>
      </c>
      <c r="K345" s="2" t="s">
        <v>33462</v>
      </c>
      <c r="L345" s="10" t="s">
        <v>33463</v>
      </c>
    </row>
    <row r="346">
      <c r="A346" s="2" t="s">
        <v>4998</v>
      </c>
      <c r="B346" s="2" t="s">
        <v>33464</v>
      </c>
      <c r="C346" s="2">
        <v>5.8156643425E10</v>
      </c>
      <c r="D346" s="2" t="s">
        <v>33465</v>
      </c>
      <c r="E346" s="2">
        <v>265678.0</v>
      </c>
      <c r="F346" s="2">
        <v>90.0</v>
      </c>
      <c r="G346" s="2">
        <v>632.0</v>
      </c>
      <c r="H346" s="2" t="s">
        <v>5905</v>
      </c>
      <c r="I346" s="2" t="s">
        <v>5906</v>
      </c>
      <c r="J346" s="2" t="s">
        <v>24712</v>
      </c>
      <c r="K346" s="12" t="s">
        <v>33466</v>
      </c>
      <c r="L346" s="10" t="s">
        <v>33467</v>
      </c>
    </row>
    <row r="347">
      <c r="A347" s="2" t="s">
        <v>4998</v>
      </c>
      <c r="B347" s="2" t="s">
        <v>33468</v>
      </c>
      <c r="C347" s="2">
        <v>1.8996197856E10</v>
      </c>
      <c r="D347" s="2" t="s">
        <v>33469</v>
      </c>
      <c r="E347" s="2">
        <v>68797.0</v>
      </c>
      <c r="F347" s="2">
        <v>1456.0</v>
      </c>
      <c r="G347" s="2">
        <v>904.0</v>
      </c>
      <c r="H347" s="2" t="s">
        <v>5905</v>
      </c>
      <c r="I347" s="2" t="s">
        <v>5905</v>
      </c>
      <c r="J347" s="2" t="s">
        <v>6171</v>
      </c>
      <c r="K347" s="2" t="s">
        <v>33470</v>
      </c>
    </row>
    <row r="348">
      <c r="A348" s="2" t="s">
        <v>4998</v>
      </c>
      <c r="B348" s="2" t="s">
        <v>33471</v>
      </c>
      <c r="C348" s="2">
        <v>3.7467958605E10</v>
      </c>
      <c r="D348" s="2" t="s">
        <v>33472</v>
      </c>
      <c r="E348" s="2">
        <v>1230747.0</v>
      </c>
      <c r="F348" s="2">
        <v>161.0</v>
      </c>
      <c r="G348" s="2">
        <v>922.0</v>
      </c>
      <c r="H348" s="2" t="s">
        <v>5906</v>
      </c>
      <c r="I348" s="2" t="s">
        <v>5906</v>
      </c>
      <c r="J348" s="2" t="s">
        <v>6111</v>
      </c>
      <c r="K348" s="2" t="s">
        <v>33473</v>
      </c>
      <c r="L348" s="10" t="s">
        <v>33474</v>
      </c>
    </row>
    <row r="349">
      <c r="A349" s="2" t="s">
        <v>4998</v>
      </c>
      <c r="B349" s="2" t="s">
        <v>33475</v>
      </c>
      <c r="C349" s="2">
        <v>2.94718367E8</v>
      </c>
      <c r="D349" s="2" t="s">
        <v>33476</v>
      </c>
      <c r="E349" s="2">
        <v>3046877.0</v>
      </c>
      <c r="F349" s="2">
        <v>890.0</v>
      </c>
      <c r="G349" s="2">
        <v>1356.0</v>
      </c>
      <c r="H349" s="2" t="s">
        <v>5906</v>
      </c>
      <c r="I349" s="2" t="s">
        <v>5905</v>
      </c>
      <c r="J349" s="2" t="s">
        <v>5391</v>
      </c>
      <c r="K349" s="2" t="s">
        <v>33477</v>
      </c>
      <c r="L349" s="10" t="s">
        <v>33478</v>
      </c>
    </row>
    <row r="350">
      <c r="A350" s="2" t="s">
        <v>4998</v>
      </c>
      <c r="B350" s="2" t="s">
        <v>33479</v>
      </c>
      <c r="C350" s="2">
        <v>5.1211431102E10</v>
      </c>
      <c r="D350" s="2" t="s">
        <v>33480</v>
      </c>
      <c r="E350" s="2">
        <v>4429843.0</v>
      </c>
      <c r="F350" s="2">
        <v>449.0</v>
      </c>
      <c r="G350" s="2">
        <v>687.0</v>
      </c>
      <c r="H350" s="2" t="s">
        <v>5906</v>
      </c>
      <c r="I350" s="2" t="s">
        <v>5905</v>
      </c>
      <c r="J350" s="2" t="s">
        <v>6199</v>
      </c>
      <c r="K350" s="2" t="s">
        <v>33481</v>
      </c>
      <c r="L350" s="10" t="s">
        <v>33482</v>
      </c>
    </row>
    <row r="351">
      <c r="A351" s="2" t="s">
        <v>4377</v>
      </c>
      <c r="B351" s="2" t="s">
        <v>33483</v>
      </c>
      <c r="C351" s="2">
        <v>2.53184591E9</v>
      </c>
      <c r="E351" s="2">
        <v>10070.0</v>
      </c>
      <c r="F351" s="2">
        <v>914.0</v>
      </c>
      <c r="G351" s="2">
        <v>234.0</v>
      </c>
      <c r="H351" s="2" t="s">
        <v>5905</v>
      </c>
      <c r="I351" s="2" t="s">
        <v>5905</v>
      </c>
      <c r="K351" s="2" t="s">
        <v>33484</v>
      </c>
      <c r="L351" s="10" t="s">
        <v>33485</v>
      </c>
    </row>
    <row r="352">
      <c r="A352" s="2" t="s">
        <v>4377</v>
      </c>
      <c r="B352" s="2" t="s">
        <v>33486</v>
      </c>
      <c r="C352" s="2">
        <v>3.8245877E7</v>
      </c>
      <c r="D352" s="2" t="s">
        <v>33487</v>
      </c>
      <c r="E352" s="2">
        <v>95036.0</v>
      </c>
      <c r="F352" s="2">
        <v>699.0</v>
      </c>
      <c r="G352" s="2">
        <v>1881.0</v>
      </c>
      <c r="H352" s="2" t="s">
        <v>5905</v>
      </c>
      <c r="I352" s="2" t="s">
        <v>5905</v>
      </c>
      <c r="J352" s="2" t="s">
        <v>5492</v>
      </c>
      <c r="K352" s="2" t="s">
        <v>33488</v>
      </c>
      <c r="L352" s="10" t="s">
        <v>33489</v>
      </c>
    </row>
    <row r="353">
      <c r="A353" s="2" t="s">
        <v>4377</v>
      </c>
      <c r="B353" s="2" t="s">
        <v>33490</v>
      </c>
      <c r="C353" s="2">
        <v>7.820195975E9</v>
      </c>
      <c r="D353" s="2" t="s">
        <v>33491</v>
      </c>
      <c r="E353" s="2">
        <v>29357.0</v>
      </c>
      <c r="F353" s="2">
        <v>4060.0</v>
      </c>
      <c r="G353" s="2">
        <v>0.0</v>
      </c>
      <c r="H353" s="2" t="s">
        <v>5905</v>
      </c>
      <c r="I353" s="2" t="s">
        <v>5906</v>
      </c>
      <c r="J353" s="2" t="s">
        <v>33492</v>
      </c>
      <c r="K353" s="2" t="s">
        <v>33493</v>
      </c>
    </row>
    <row r="354">
      <c r="A354" s="2" t="s">
        <v>4377</v>
      </c>
      <c r="B354" s="2" t="s">
        <v>33494</v>
      </c>
      <c r="C354" s="2">
        <v>1.0498509863E10</v>
      </c>
      <c r="D354" s="2" t="s">
        <v>33495</v>
      </c>
      <c r="E354" s="2">
        <v>63107.0</v>
      </c>
      <c r="F354" s="2">
        <v>565.0</v>
      </c>
      <c r="G354" s="2">
        <v>3188.0</v>
      </c>
      <c r="H354" s="2" t="s">
        <v>5905</v>
      </c>
      <c r="I354" s="2" t="s">
        <v>5905</v>
      </c>
      <c r="J354" s="2" t="s">
        <v>6166</v>
      </c>
      <c r="K354" s="2" t="s">
        <v>33496</v>
      </c>
      <c r="L354" s="10" t="s">
        <v>33497</v>
      </c>
    </row>
    <row r="355">
      <c r="A355" s="2" t="s">
        <v>4377</v>
      </c>
      <c r="B355" s="2" t="s">
        <v>33498</v>
      </c>
      <c r="C355" s="2">
        <v>2.12846652E8</v>
      </c>
      <c r="D355" s="2" t="s">
        <v>33499</v>
      </c>
      <c r="E355" s="2">
        <v>337746.0</v>
      </c>
      <c r="F355" s="2">
        <v>64.0</v>
      </c>
      <c r="G355" s="2">
        <v>5565.0</v>
      </c>
      <c r="H355" s="2" t="s">
        <v>5905</v>
      </c>
      <c r="I355" s="2" t="s">
        <v>5905</v>
      </c>
      <c r="K355" s="2" t="s">
        <v>33500</v>
      </c>
      <c r="L355" s="10" t="s">
        <v>33501</v>
      </c>
    </row>
    <row r="356">
      <c r="A356" s="2" t="s">
        <v>4377</v>
      </c>
      <c r="B356" s="2" t="s">
        <v>33502</v>
      </c>
      <c r="C356" s="2">
        <v>5.5445416376E10</v>
      </c>
      <c r="D356" s="2" t="s">
        <v>33503</v>
      </c>
      <c r="E356" s="2">
        <v>195632.0</v>
      </c>
      <c r="F356" s="2">
        <v>46.0</v>
      </c>
      <c r="G356" s="2">
        <v>268.0</v>
      </c>
      <c r="H356" s="2" t="s">
        <v>5905</v>
      </c>
      <c r="I356" s="2" t="s">
        <v>5905</v>
      </c>
      <c r="J356" s="2" t="s">
        <v>8245</v>
      </c>
      <c r="K356" s="2" t="s">
        <v>33504</v>
      </c>
    </row>
    <row r="357">
      <c r="A357" s="2" t="s">
        <v>4377</v>
      </c>
      <c r="B357" s="2" t="s">
        <v>33505</v>
      </c>
      <c r="C357" s="2">
        <v>5.374839268E9</v>
      </c>
      <c r="D357" s="2" t="s">
        <v>7325</v>
      </c>
      <c r="E357" s="2">
        <v>1163697.0</v>
      </c>
      <c r="F357" s="2">
        <v>325.0</v>
      </c>
      <c r="G357" s="2">
        <v>4199.0</v>
      </c>
      <c r="H357" s="2" t="s">
        <v>5905</v>
      </c>
      <c r="I357" s="2" t="s">
        <v>5905</v>
      </c>
      <c r="J357" s="2" t="s">
        <v>5959</v>
      </c>
      <c r="L357" s="10" t="s">
        <v>7327</v>
      </c>
    </row>
    <row r="358">
      <c r="A358" s="2" t="s">
        <v>4377</v>
      </c>
      <c r="B358" s="10" t="s">
        <v>33506</v>
      </c>
      <c r="C358" s="2">
        <v>4.14556163E8</v>
      </c>
      <c r="D358" s="2" t="s">
        <v>33507</v>
      </c>
      <c r="E358" s="2">
        <v>158857.0</v>
      </c>
      <c r="F358" s="2">
        <v>2188.0</v>
      </c>
      <c r="G358" s="2">
        <v>4930.0</v>
      </c>
      <c r="H358" s="2" t="s">
        <v>5905</v>
      </c>
      <c r="I358" s="2" t="s">
        <v>5906</v>
      </c>
      <c r="K358" s="2" t="s">
        <v>33508</v>
      </c>
      <c r="L358" s="10" t="s">
        <v>33509</v>
      </c>
    </row>
    <row r="359">
      <c r="A359" s="2" t="s">
        <v>4377</v>
      </c>
      <c r="B359" s="2" t="s">
        <v>33510</v>
      </c>
      <c r="C359" s="2">
        <v>1.552641372E9</v>
      </c>
      <c r="D359" s="2" t="s">
        <v>33511</v>
      </c>
      <c r="E359" s="2">
        <v>4356664.0</v>
      </c>
      <c r="F359" s="2">
        <v>86.0</v>
      </c>
      <c r="G359" s="2">
        <v>901.0</v>
      </c>
      <c r="H359" s="2" t="s">
        <v>5905</v>
      </c>
      <c r="I359" s="2" t="s">
        <v>5905</v>
      </c>
      <c r="J359" s="2" t="s">
        <v>6393</v>
      </c>
      <c r="K359" s="2" t="s">
        <v>33512</v>
      </c>
      <c r="L359" s="10" t="s">
        <v>33513</v>
      </c>
    </row>
    <row r="360">
      <c r="A360" s="2" t="s">
        <v>4377</v>
      </c>
      <c r="B360" s="2" t="s">
        <v>33514</v>
      </c>
      <c r="C360" s="2">
        <v>7501971.0</v>
      </c>
      <c r="D360" s="2" t="s">
        <v>33515</v>
      </c>
      <c r="E360" s="2">
        <v>5480882.0</v>
      </c>
      <c r="F360" s="2">
        <v>791.0</v>
      </c>
      <c r="G360" s="2">
        <v>10549.0</v>
      </c>
      <c r="H360" s="2" t="s">
        <v>5906</v>
      </c>
      <c r="I360" s="2" t="s">
        <v>5906</v>
      </c>
      <c r="K360" s="2" t="s">
        <v>33516</v>
      </c>
      <c r="L360" s="10" t="s">
        <v>33517</v>
      </c>
    </row>
    <row r="361">
      <c r="A361" s="2" t="s">
        <v>4377</v>
      </c>
      <c r="B361" s="2" t="s">
        <v>33518</v>
      </c>
      <c r="C361" s="2">
        <v>3.03324902E8</v>
      </c>
      <c r="D361" s="2" t="s">
        <v>33519</v>
      </c>
      <c r="E361" s="2">
        <v>268417.0</v>
      </c>
      <c r="F361" s="2">
        <v>681.0</v>
      </c>
      <c r="G361" s="2">
        <v>6117.0</v>
      </c>
      <c r="H361" s="2" t="s">
        <v>5906</v>
      </c>
      <c r="I361" s="2" t="s">
        <v>5906</v>
      </c>
      <c r="J361" s="2" t="s">
        <v>5959</v>
      </c>
      <c r="K361" s="2" t="s">
        <v>33520</v>
      </c>
      <c r="L361" s="10" t="s">
        <v>33521</v>
      </c>
    </row>
    <row r="362">
      <c r="A362" s="2" t="s">
        <v>4377</v>
      </c>
      <c r="B362" s="2" t="s">
        <v>33522</v>
      </c>
      <c r="C362" s="2">
        <v>5.59015117E8</v>
      </c>
      <c r="D362" s="2" t="s">
        <v>33523</v>
      </c>
      <c r="E362" s="2">
        <v>665720.0</v>
      </c>
      <c r="F362" s="2">
        <v>917.0</v>
      </c>
      <c r="G362" s="2">
        <v>5035.0</v>
      </c>
      <c r="H362" s="2" t="s">
        <v>5906</v>
      </c>
      <c r="I362" s="2" t="s">
        <v>5905</v>
      </c>
      <c r="K362" s="2" t="s">
        <v>33524</v>
      </c>
      <c r="L362" s="10" t="s">
        <v>33525</v>
      </c>
    </row>
    <row r="363">
      <c r="A363" s="2" t="s">
        <v>4377</v>
      </c>
      <c r="B363" s="2" t="s">
        <v>16332</v>
      </c>
      <c r="C363" s="2">
        <v>2.209564209E9</v>
      </c>
      <c r="D363" s="2" t="s">
        <v>16333</v>
      </c>
      <c r="E363" s="2">
        <v>1413154.0</v>
      </c>
      <c r="F363" s="2">
        <v>902.0</v>
      </c>
      <c r="G363" s="2">
        <v>2811.0</v>
      </c>
      <c r="H363" s="2" t="s">
        <v>5906</v>
      </c>
      <c r="I363" s="2" t="s">
        <v>5905</v>
      </c>
      <c r="J363" s="2" t="s">
        <v>12715</v>
      </c>
      <c r="K363" s="2" t="s">
        <v>16334</v>
      </c>
      <c r="L363" s="10" t="s">
        <v>16335</v>
      </c>
    </row>
    <row r="364">
      <c r="A364" s="2" t="s">
        <v>4377</v>
      </c>
      <c r="B364" s="2" t="s">
        <v>33526</v>
      </c>
      <c r="C364" s="2">
        <v>3.447176249E9</v>
      </c>
      <c r="D364" s="2" t="s">
        <v>33527</v>
      </c>
      <c r="E364" s="2">
        <v>57835.0</v>
      </c>
      <c r="F364" s="2">
        <v>823.0</v>
      </c>
      <c r="G364" s="2">
        <v>2618.0</v>
      </c>
      <c r="H364" s="2" t="s">
        <v>5905</v>
      </c>
      <c r="I364" s="2" t="s">
        <v>5906</v>
      </c>
      <c r="K364" s="2" t="s">
        <v>33528</v>
      </c>
      <c r="L364" s="10" t="s">
        <v>33529</v>
      </c>
    </row>
    <row r="365">
      <c r="A365" s="2" t="s">
        <v>4377</v>
      </c>
      <c r="B365" s="2" t="s">
        <v>33530</v>
      </c>
      <c r="C365" s="2">
        <v>1.522937411E9</v>
      </c>
      <c r="D365" s="2" t="s">
        <v>33531</v>
      </c>
      <c r="E365" s="2">
        <v>62914.0</v>
      </c>
      <c r="F365" s="2">
        <v>1902.0</v>
      </c>
      <c r="G365" s="2">
        <v>2383.0</v>
      </c>
      <c r="H365" s="2" t="s">
        <v>5905</v>
      </c>
      <c r="I365" s="2" t="s">
        <v>5906</v>
      </c>
      <c r="J365" s="2" t="s">
        <v>12715</v>
      </c>
      <c r="K365" s="2" t="s">
        <v>33532</v>
      </c>
      <c r="L365" s="10" t="s">
        <v>33533</v>
      </c>
    </row>
    <row r="366">
      <c r="A366" s="2" t="s">
        <v>5139</v>
      </c>
      <c r="B366" s="2" t="s">
        <v>33534</v>
      </c>
      <c r="C366" s="2">
        <v>2.116136846E9</v>
      </c>
      <c r="D366" s="2" t="s">
        <v>33535</v>
      </c>
      <c r="E366" s="2">
        <v>10259.0</v>
      </c>
      <c r="F366" s="2">
        <v>700.0</v>
      </c>
      <c r="G366" s="2">
        <v>25.0</v>
      </c>
      <c r="H366" s="2" t="s">
        <v>5905</v>
      </c>
      <c r="I366" s="2" t="s">
        <v>5906</v>
      </c>
      <c r="J366" s="2" t="s">
        <v>5391</v>
      </c>
      <c r="K366" s="2" t="s">
        <v>33536</v>
      </c>
    </row>
    <row r="367">
      <c r="A367" s="2" t="s">
        <v>5139</v>
      </c>
      <c r="B367" s="2" t="s">
        <v>33537</v>
      </c>
      <c r="C367" s="2">
        <v>3.74929978E8</v>
      </c>
      <c r="D367" s="2" t="s">
        <v>33538</v>
      </c>
      <c r="E367" s="2">
        <v>80998.0</v>
      </c>
      <c r="F367" s="2">
        <v>560.0</v>
      </c>
      <c r="G367" s="2">
        <v>2239.0</v>
      </c>
      <c r="H367" s="2" t="s">
        <v>5905</v>
      </c>
      <c r="I367" s="2" t="s">
        <v>5905</v>
      </c>
      <c r="J367" s="2" t="s">
        <v>7620</v>
      </c>
      <c r="K367" s="2" t="s">
        <v>33539</v>
      </c>
      <c r="L367" s="10" t="s">
        <v>33540</v>
      </c>
    </row>
    <row r="368">
      <c r="A368" s="2" t="s">
        <v>4953</v>
      </c>
      <c r="B368" s="2" t="s">
        <v>33541</v>
      </c>
      <c r="C368" s="2">
        <v>5.2487154367E10</v>
      </c>
      <c r="D368" s="2" t="s">
        <v>33542</v>
      </c>
      <c r="E368" s="2">
        <v>54851.0</v>
      </c>
      <c r="F368" s="2">
        <v>678.0</v>
      </c>
      <c r="G368" s="2">
        <v>6818.0</v>
      </c>
      <c r="H368" s="2" t="s">
        <v>5906</v>
      </c>
      <c r="I368" s="2" t="s">
        <v>5905</v>
      </c>
      <c r="J368" s="2" t="s">
        <v>4397</v>
      </c>
      <c r="K368" s="2" t="s">
        <v>33543</v>
      </c>
      <c r="L368" s="10" t="s">
        <v>33544</v>
      </c>
    </row>
    <row r="369">
      <c r="A369" s="2" t="s">
        <v>4953</v>
      </c>
      <c r="B369" s="2" t="s">
        <v>33545</v>
      </c>
      <c r="C369" s="2">
        <v>7.1057000133E10</v>
      </c>
      <c r="D369" s="2" t="s">
        <v>33546</v>
      </c>
      <c r="E369" s="2">
        <v>2400048.0</v>
      </c>
      <c r="F369" s="2">
        <v>89.0</v>
      </c>
      <c r="G369" s="2">
        <v>19.0</v>
      </c>
      <c r="H369" s="2" t="s">
        <v>5906</v>
      </c>
      <c r="I369" s="2" t="s">
        <v>5906</v>
      </c>
      <c r="J369" s="2" t="s">
        <v>28040</v>
      </c>
      <c r="K369" s="2" t="s">
        <v>33546</v>
      </c>
      <c r="L369" s="10" t="s">
        <v>33547</v>
      </c>
    </row>
    <row r="370">
      <c r="A370" s="2" t="s">
        <v>4953</v>
      </c>
      <c r="B370" s="2" t="s">
        <v>33548</v>
      </c>
      <c r="C370" s="2">
        <v>5.9917963818E10</v>
      </c>
      <c r="D370" s="2" t="s">
        <v>33549</v>
      </c>
      <c r="E370" s="2">
        <v>13525.0</v>
      </c>
      <c r="F370" s="2">
        <v>124.0</v>
      </c>
      <c r="G370" s="2">
        <v>307.0</v>
      </c>
      <c r="H370" s="2" t="s">
        <v>5905</v>
      </c>
      <c r="I370" s="2" t="s">
        <v>5905</v>
      </c>
      <c r="J370" s="2" t="s">
        <v>5485</v>
      </c>
      <c r="K370" s="2" t="s">
        <v>33550</v>
      </c>
    </row>
    <row r="371">
      <c r="A371" s="2" t="s">
        <v>4953</v>
      </c>
      <c r="B371" s="2" t="s">
        <v>33551</v>
      </c>
      <c r="C371" s="2">
        <v>1.692820292E9</v>
      </c>
      <c r="D371" s="2" t="s">
        <v>33552</v>
      </c>
      <c r="E371" s="2">
        <v>3.7931947E7</v>
      </c>
      <c r="F371" s="2">
        <v>106.0</v>
      </c>
      <c r="G371" s="2">
        <v>29228.0</v>
      </c>
      <c r="H371" s="2" t="s">
        <v>5906</v>
      </c>
      <c r="I371" s="2" t="s">
        <v>5906</v>
      </c>
      <c r="K371" s="2" t="s">
        <v>33553</v>
      </c>
      <c r="L371" s="10" t="s">
        <v>33554</v>
      </c>
    </row>
    <row r="372">
      <c r="A372" s="2" t="s">
        <v>4953</v>
      </c>
      <c r="B372" s="10" t="s">
        <v>33555</v>
      </c>
      <c r="C372" s="2">
        <v>6.6405830001E10</v>
      </c>
      <c r="D372" s="2" t="s">
        <v>33556</v>
      </c>
      <c r="E372" s="2">
        <v>16795.0</v>
      </c>
      <c r="F372" s="2">
        <v>227.0</v>
      </c>
      <c r="G372" s="2">
        <v>567.0</v>
      </c>
      <c r="H372" s="2" t="s">
        <v>5905</v>
      </c>
      <c r="I372" s="2" t="s">
        <v>5906</v>
      </c>
      <c r="J372" s="2" t="s">
        <v>6393</v>
      </c>
      <c r="K372" s="2" t="s">
        <v>33557</v>
      </c>
      <c r="L372" s="10" t="s">
        <v>33558</v>
      </c>
    </row>
    <row r="373">
      <c r="A373" s="2" t="s">
        <v>4953</v>
      </c>
      <c r="B373" s="2" t="s">
        <v>33559</v>
      </c>
      <c r="C373" s="2">
        <v>8.731371398E9</v>
      </c>
      <c r="D373" s="2" t="s">
        <v>33560</v>
      </c>
      <c r="E373" s="2">
        <v>822106.0</v>
      </c>
      <c r="F373" s="2">
        <v>173.0</v>
      </c>
      <c r="G373" s="2">
        <v>5038.0</v>
      </c>
      <c r="H373" s="2" t="s">
        <v>5906</v>
      </c>
      <c r="I373" s="2" t="s">
        <v>5906</v>
      </c>
      <c r="J373" s="2" t="s">
        <v>6068</v>
      </c>
      <c r="K373" s="2" t="s">
        <v>33561</v>
      </c>
      <c r="L373" s="10" t="s">
        <v>33562</v>
      </c>
    </row>
    <row r="374">
      <c r="A374" s="2" t="s">
        <v>4953</v>
      </c>
      <c r="B374" s="2" t="s">
        <v>33563</v>
      </c>
      <c r="C374" s="2">
        <v>2.89533797E8</v>
      </c>
      <c r="D374" s="2" t="s">
        <v>33564</v>
      </c>
      <c r="E374" s="2">
        <v>1317097.0</v>
      </c>
      <c r="F374" s="2">
        <v>323.0</v>
      </c>
      <c r="G374" s="2">
        <v>14005.0</v>
      </c>
      <c r="H374" s="2" t="s">
        <v>5906</v>
      </c>
      <c r="I374" s="2" t="s">
        <v>5906</v>
      </c>
      <c r="J374" s="2" t="s">
        <v>5959</v>
      </c>
      <c r="K374" s="2" t="s">
        <v>33565</v>
      </c>
      <c r="L374" s="10" t="s">
        <v>33566</v>
      </c>
    </row>
    <row r="375">
      <c r="A375" s="2" t="s">
        <v>4953</v>
      </c>
      <c r="B375" s="2" t="s">
        <v>33567</v>
      </c>
      <c r="C375" s="2">
        <v>2.51794146E8</v>
      </c>
      <c r="D375" s="2" t="s">
        <v>33568</v>
      </c>
      <c r="E375" s="2">
        <v>1926802.0</v>
      </c>
      <c r="F375" s="2">
        <v>161.0</v>
      </c>
      <c r="G375" s="2">
        <v>12688.0</v>
      </c>
      <c r="H375" s="2" t="s">
        <v>5906</v>
      </c>
      <c r="I375" s="2" t="s">
        <v>5906</v>
      </c>
      <c r="J375" s="2" t="s">
        <v>6068</v>
      </c>
      <c r="K375" s="2" t="s">
        <v>33569</v>
      </c>
      <c r="L375" s="10" t="s">
        <v>33570</v>
      </c>
    </row>
    <row r="376">
      <c r="A376" s="2" t="s">
        <v>4953</v>
      </c>
      <c r="B376" s="2" t="s">
        <v>33571</v>
      </c>
      <c r="C376" s="2">
        <v>7.2835287887E10</v>
      </c>
      <c r="E376" s="2">
        <v>36056.0</v>
      </c>
      <c r="F376" s="2">
        <v>137.0</v>
      </c>
      <c r="G376" s="2">
        <v>114.0</v>
      </c>
      <c r="H376" s="2" t="s">
        <v>5905</v>
      </c>
      <c r="I376" s="2" t="s">
        <v>5905</v>
      </c>
      <c r="J376" s="2" t="s">
        <v>5959</v>
      </c>
      <c r="L376" s="10" t="s">
        <v>33572</v>
      </c>
    </row>
    <row r="377">
      <c r="A377" s="2" t="s">
        <v>4953</v>
      </c>
      <c r="B377" s="2" t="s">
        <v>33573</v>
      </c>
      <c r="C377" s="2">
        <v>6.1686343736E10</v>
      </c>
      <c r="D377" s="12" t="s">
        <v>33574</v>
      </c>
      <c r="E377" s="2">
        <v>1272435.0</v>
      </c>
      <c r="F377" s="2">
        <v>259.0</v>
      </c>
      <c r="G377" s="2">
        <v>891.0</v>
      </c>
      <c r="H377" s="2" t="s">
        <v>5905</v>
      </c>
      <c r="I377" s="2" t="s">
        <v>5906</v>
      </c>
      <c r="J377" s="2" t="s">
        <v>31785</v>
      </c>
      <c r="K377" s="12" t="s">
        <v>33575</v>
      </c>
      <c r="L377" s="10" t="s">
        <v>33576</v>
      </c>
    </row>
    <row r="378">
      <c r="A378" s="2" t="s">
        <v>4953</v>
      </c>
      <c r="B378" s="2" t="s">
        <v>33577</v>
      </c>
      <c r="C378" s="2">
        <v>1.8385965E7</v>
      </c>
      <c r="D378" s="2" t="s">
        <v>33578</v>
      </c>
      <c r="E378" s="2">
        <v>1890657.0</v>
      </c>
      <c r="F378" s="2">
        <v>421.0</v>
      </c>
      <c r="G378" s="2">
        <v>12530.0</v>
      </c>
      <c r="H378" s="2" t="s">
        <v>5906</v>
      </c>
      <c r="I378" s="2" t="s">
        <v>5906</v>
      </c>
      <c r="K378" s="2" t="s">
        <v>33579</v>
      </c>
      <c r="L378" s="10" t="s">
        <v>33580</v>
      </c>
    </row>
    <row r="379">
      <c r="A379" s="2" t="s">
        <v>4953</v>
      </c>
      <c r="B379" s="2" t="s">
        <v>33581</v>
      </c>
      <c r="C379" s="2">
        <v>1.978161561E10</v>
      </c>
      <c r="D379" s="2" t="s">
        <v>33582</v>
      </c>
      <c r="E379" s="2">
        <v>180947.0</v>
      </c>
      <c r="F379" s="2">
        <v>60.0</v>
      </c>
      <c r="G379" s="2">
        <v>35471.0</v>
      </c>
      <c r="H379" s="2" t="s">
        <v>5905</v>
      </c>
      <c r="I379" s="2" t="s">
        <v>5906</v>
      </c>
      <c r="J379" s="2" t="s">
        <v>6290</v>
      </c>
      <c r="K379" s="2" t="s">
        <v>33583</v>
      </c>
      <c r="L379" s="10" t="s">
        <v>33584</v>
      </c>
    </row>
    <row r="380">
      <c r="A380" s="2" t="s">
        <v>4953</v>
      </c>
      <c r="B380" s="2" t="s">
        <v>33585</v>
      </c>
      <c r="C380" s="2">
        <v>5.456674876E9</v>
      </c>
      <c r="D380" s="2" t="s">
        <v>33586</v>
      </c>
      <c r="E380" s="2">
        <v>41329.0</v>
      </c>
      <c r="F380" s="2">
        <v>582.0</v>
      </c>
      <c r="G380" s="2">
        <v>1353.0</v>
      </c>
      <c r="H380" s="2" t="s">
        <v>5905</v>
      </c>
      <c r="I380" s="2" t="s">
        <v>5906</v>
      </c>
      <c r="J380" s="2" t="s">
        <v>28040</v>
      </c>
      <c r="K380" s="2" t="s">
        <v>33587</v>
      </c>
      <c r="L380" s="10" t="s">
        <v>33588</v>
      </c>
    </row>
    <row r="381">
      <c r="A381" s="2" t="s">
        <v>4953</v>
      </c>
      <c r="B381" s="2" t="s">
        <v>33589</v>
      </c>
      <c r="C381" s="2">
        <v>3.956069747E9</v>
      </c>
      <c r="D381" s="2" t="s">
        <v>33590</v>
      </c>
      <c r="E381" s="2">
        <v>14186.0</v>
      </c>
      <c r="F381" s="2">
        <v>1232.0</v>
      </c>
      <c r="G381" s="2">
        <v>28.0</v>
      </c>
      <c r="H381" s="2" t="s">
        <v>5905</v>
      </c>
      <c r="I381" s="2" t="s">
        <v>5906</v>
      </c>
      <c r="J381" s="2" t="s">
        <v>5963</v>
      </c>
      <c r="K381" s="2" t="s">
        <v>33591</v>
      </c>
      <c r="L381" s="10" t="s">
        <v>33592</v>
      </c>
    </row>
    <row r="382">
      <c r="A382" s="2" t="s">
        <v>4915</v>
      </c>
      <c r="B382" s="2" t="s">
        <v>33593</v>
      </c>
      <c r="C382" s="2">
        <v>6.5727635462E10</v>
      </c>
      <c r="D382" s="2" t="s">
        <v>33594</v>
      </c>
      <c r="E382" s="2">
        <v>17805.0</v>
      </c>
      <c r="F382" s="2">
        <v>751.0</v>
      </c>
      <c r="G382" s="2">
        <v>294.0</v>
      </c>
      <c r="H382" s="2" t="s">
        <v>5906</v>
      </c>
      <c r="I382" s="2" t="s">
        <v>5905</v>
      </c>
      <c r="J382" s="2" t="s">
        <v>5959</v>
      </c>
      <c r="K382" s="2" t="s">
        <v>33595</v>
      </c>
      <c r="L382" s="10" t="s">
        <v>33596</v>
      </c>
    </row>
    <row r="383">
      <c r="A383" s="2" t="s">
        <v>4915</v>
      </c>
      <c r="B383" s="2" t="s">
        <v>33597</v>
      </c>
      <c r="C383" s="2">
        <v>7.3283446298E10</v>
      </c>
      <c r="D383" s="2" t="s">
        <v>33598</v>
      </c>
      <c r="E383" s="2">
        <v>43745.0</v>
      </c>
      <c r="F383" s="2">
        <v>27.0</v>
      </c>
      <c r="G383" s="2">
        <v>197.0</v>
      </c>
      <c r="H383" s="2" t="s">
        <v>5906</v>
      </c>
      <c r="I383" s="2" t="s">
        <v>5905</v>
      </c>
      <c r="J383" s="2" t="s">
        <v>7414</v>
      </c>
      <c r="K383" s="2" t="s">
        <v>33599</v>
      </c>
      <c r="L383" s="10" t="s">
        <v>33600</v>
      </c>
    </row>
    <row r="384">
      <c r="A384" s="2" t="s">
        <v>4915</v>
      </c>
      <c r="B384" s="2" t="s">
        <v>33601</v>
      </c>
      <c r="C384" s="2">
        <v>3.245343523E10</v>
      </c>
      <c r="D384" s="2" t="s">
        <v>33602</v>
      </c>
      <c r="E384" s="2">
        <v>244893.0</v>
      </c>
      <c r="F384" s="2">
        <v>349.0</v>
      </c>
      <c r="G384" s="2">
        <v>1947.0</v>
      </c>
      <c r="H384" s="2" t="s">
        <v>5906</v>
      </c>
      <c r="I384" s="2" t="s">
        <v>5905</v>
      </c>
      <c r="J384" s="2" t="s">
        <v>5959</v>
      </c>
      <c r="K384" s="2" t="s">
        <v>33603</v>
      </c>
      <c r="L384" s="10" t="s">
        <v>33604</v>
      </c>
    </row>
    <row r="385">
      <c r="A385" s="2" t="s">
        <v>4915</v>
      </c>
      <c r="B385" s="2" t="s">
        <v>33605</v>
      </c>
      <c r="C385" s="2">
        <v>2.7490176E7</v>
      </c>
      <c r="D385" s="2" t="s">
        <v>33606</v>
      </c>
      <c r="E385" s="2">
        <v>193423.0</v>
      </c>
      <c r="F385" s="2">
        <v>1705.0</v>
      </c>
      <c r="G385" s="2">
        <v>5170.0</v>
      </c>
      <c r="H385" s="2" t="s">
        <v>5906</v>
      </c>
      <c r="I385" s="2" t="s">
        <v>5906</v>
      </c>
      <c r="J385" s="2" t="s">
        <v>7414</v>
      </c>
      <c r="K385" s="2" t="s">
        <v>33607</v>
      </c>
      <c r="L385" s="10" t="s">
        <v>33608</v>
      </c>
    </row>
    <row r="386">
      <c r="A386" s="2" t="s">
        <v>4915</v>
      </c>
      <c r="B386" s="2" t="s">
        <v>33609</v>
      </c>
      <c r="C386" s="2">
        <v>6.3638791612E10</v>
      </c>
      <c r="D386" s="2" t="s">
        <v>33610</v>
      </c>
      <c r="E386" s="2">
        <v>100228.0</v>
      </c>
      <c r="F386" s="2">
        <v>12.0</v>
      </c>
      <c r="G386" s="2">
        <v>224.0</v>
      </c>
      <c r="H386" s="2" t="s">
        <v>5905</v>
      </c>
      <c r="I386" s="2" t="s">
        <v>5906</v>
      </c>
      <c r="J386" s="2" t="s">
        <v>7414</v>
      </c>
      <c r="K386" s="2" t="s">
        <v>33611</v>
      </c>
      <c r="L386" s="10" t="s">
        <v>33612</v>
      </c>
    </row>
    <row r="387">
      <c r="A387" s="2" t="s">
        <v>4915</v>
      </c>
      <c r="B387" s="10" t="s">
        <v>33613</v>
      </c>
      <c r="C387" s="2">
        <v>6.4758579012E10</v>
      </c>
      <c r="D387" s="2" t="s">
        <v>33614</v>
      </c>
      <c r="E387" s="2">
        <v>28441.0</v>
      </c>
      <c r="F387" s="2">
        <v>0.0</v>
      </c>
      <c r="G387" s="2">
        <v>336.0</v>
      </c>
      <c r="H387" s="2" t="s">
        <v>5906</v>
      </c>
      <c r="I387" s="2" t="s">
        <v>5906</v>
      </c>
      <c r="J387" s="2" t="s">
        <v>7140</v>
      </c>
      <c r="K387" s="2" t="s">
        <v>33615</v>
      </c>
      <c r="L387" s="10" t="s">
        <v>33616</v>
      </c>
    </row>
    <row r="388">
      <c r="A388" s="2" t="s">
        <v>4915</v>
      </c>
      <c r="B388" s="2" t="s">
        <v>33617</v>
      </c>
      <c r="C388" s="2">
        <v>4.0702074E7</v>
      </c>
      <c r="D388" s="2" t="s">
        <v>33618</v>
      </c>
      <c r="E388" s="2">
        <v>427320.0</v>
      </c>
      <c r="F388" s="2">
        <v>161.0</v>
      </c>
      <c r="G388" s="2">
        <v>1849.0</v>
      </c>
      <c r="H388" s="2" t="s">
        <v>5905</v>
      </c>
      <c r="I388" s="2" t="s">
        <v>5906</v>
      </c>
      <c r="J388" s="2" t="s">
        <v>7140</v>
      </c>
      <c r="K388" s="2" t="s">
        <v>33619</v>
      </c>
      <c r="L388" s="10" t="s">
        <v>33620</v>
      </c>
    </row>
    <row r="389">
      <c r="A389" s="2" t="s">
        <v>4915</v>
      </c>
      <c r="B389" s="2" t="s">
        <v>33621</v>
      </c>
      <c r="C389" s="2">
        <v>1.759227682E9</v>
      </c>
      <c r="D389" s="2" t="s">
        <v>33622</v>
      </c>
      <c r="E389" s="2">
        <v>3411215.0</v>
      </c>
      <c r="F389" s="2">
        <v>0.0</v>
      </c>
      <c r="G389" s="2">
        <v>692.0</v>
      </c>
      <c r="H389" s="2" t="s">
        <v>5906</v>
      </c>
      <c r="I389" s="2" t="s">
        <v>5906</v>
      </c>
      <c r="J389" s="2" t="s">
        <v>5993</v>
      </c>
      <c r="K389" s="2" t="s">
        <v>33623</v>
      </c>
      <c r="L389" s="10" t="s">
        <v>33624</v>
      </c>
    </row>
    <row r="390">
      <c r="A390" s="2" t="s">
        <v>4915</v>
      </c>
      <c r="B390" s="2" t="s">
        <v>33625</v>
      </c>
      <c r="C390" s="2">
        <v>3.84675077E8</v>
      </c>
      <c r="D390" s="2" t="s">
        <v>33626</v>
      </c>
      <c r="E390" s="2">
        <v>1834222.0</v>
      </c>
      <c r="F390" s="2">
        <v>771.0</v>
      </c>
      <c r="G390" s="2">
        <v>831.0</v>
      </c>
      <c r="H390" s="2" t="s">
        <v>5906</v>
      </c>
      <c r="I390" s="2" t="s">
        <v>5906</v>
      </c>
      <c r="J390" s="2" t="s">
        <v>4996</v>
      </c>
      <c r="K390" s="2" t="s">
        <v>33627</v>
      </c>
      <c r="L390" s="10" t="s">
        <v>33628</v>
      </c>
    </row>
    <row r="391">
      <c r="A391" s="2" t="s">
        <v>4915</v>
      </c>
      <c r="B391" s="2" t="s">
        <v>33629</v>
      </c>
      <c r="C391" s="2">
        <v>7.5634928748E10</v>
      </c>
      <c r="D391" s="2" t="s">
        <v>33630</v>
      </c>
      <c r="E391" s="2">
        <v>761872.0</v>
      </c>
      <c r="F391" s="2">
        <v>108.0</v>
      </c>
      <c r="G391" s="2">
        <v>91.0</v>
      </c>
      <c r="H391" s="2" t="s">
        <v>5906</v>
      </c>
      <c r="I391" s="2" t="s">
        <v>5905</v>
      </c>
      <c r="J391" s="2" t="s">
        <v>7414</v>
      </c>
      <c r="K391" s="2" t="s">
        <v>33631</v>
      </c>
    </row>
    <row r="392">
      <c r="A392" s="2" t="s">
        <v>4373</v>
      </c>
      <c r="B392" s="2" t="s">
        <v>33632</v>
      </c>
      <c r="C392" s="2">
        <v>6.1580604432E10</v>
      </c>
      <c r="D392" s="2" t="s">
        <v>33633</v>
      </c>
      <c r="E392" s="2">
        <v>253602.0</v>
      </c>
      <c r="F392" s="2">
        <v>2235.0</v>
      </c>
      <c r="G392" s="2">
        <v>631.0</v>
      </c>
      <c r="H392" s="2" t="s">
        <v>5905</v>
      </c>
      <c r="I392" s="2" t="s">
        <v>5905</v>
      </c>
      <c r="J392" s="2" t="s">
        <v>5561</v>
      </c>
      <c r="K392" s="2" t="s">
        <v>33634</v>
      </c>
      <c r="L392" s="10" t="s">
        <v>33635</v>
      </c>
    </row>
    <row r="393">
      <c r="A393" s="2" t="s">
        <v>4373</v>
      </c>
      <c r="B393" s="2" t="s">
        <v>33636</v>
      </c>
      <c r="C393" s="2">
        <v>4.4434985557E10</v>
      </c>
      <c r="D393" s="2" t="s">
        <v>33637</v>
      </c>
      <c r="E393" s="2">
        <v>236528.0</v>
      </c>
      <c r="F393" s="2">
        <v>5444.0</v>
      </c>
      <c r="G393" s="2">
        <v>1565.0</v>
      </c>
      <c r="H393" s="2" t="s">
        <v>5905</v>
      </c>
      <c r="I393" s="2" t="s">
        <v>5906</v>
      </c>
      <c r="J393" s="2" t="s">
        <v>6393</v>
      </c>
      <c r="K393" s="2" t="s">
        <v>33638</v>
      </c>
      <c r="L393" s="10" t="s">
        <v>33639</v>
      </c>
    </row>
    <row r="394">
      <c r="A394" s="2" t="s">
        <v>4373</v>
      </c>
      <c r="B394" s="2" t="s">
        <v>33640</v>
      </c>
      <c r="C394" s="2">
        <v>5.2702870996E10</v>
      </c>
      <c r="D394" s="2" t="s">
        <v>33641</v>
      </c>
      <c r="E394" s="2">
        <v>33653.0</v>
      </c>
      <c r="F394" s="2">
        <v>0.0</v>
      </c>
      <c r="G394" s="2">
        <v>76.0</v>
      </c>
      <c r="H394" s="2" t="s">
        <v>5905</v>
      </c>
      <c r="I394" s="2" t="s">
        <v>5906</v>
      </c>
      <c r="J394" s="2" t="s">
        <v>6002</v>
      </c>
      <c r="K394" s="2" t="s">
        <v>33642</v>
      </c>
      <c r="L394" s="10" t="s">
        <v>33643</v>
      </c>
    </row>
    <row r="395">
      <c r="A395" s="2" t="s">
        <v>4373</v>
      </c>
      <c r="B395" s="2" t="s">
        <v>33644</v>
      </c>
      <c r="C395" s="2">
        <v>6.9667025214E10</v>
      </c>
      <c r="E395" s="2">
        <v>118397.0</v>
      </c>
      <c r="F395" s="2">
        <v>5.0</v>
      </c>
      <c r="G395" s="2">
        <v>971.0</v>
      </c>
      <c r="H395" s="2" t="s">
        <v>5905</v>
      </c>
      <c r="I395" s="2" t="s">
        <v>5905</v>
      </c>
      <c r="J395" s="2" t="s">
        <v>5928</v>
      </c>
      <c r="K395" s="2" t="s">
        <v>33645</v>
      </c>
      <c r="L395" s="10" t="s">
        <v>33646</v>
      </c>
    </row>
    <row r="396">
      <c r="A396" s="2" t="s">
        <v>4373</v>
      </c>
      <c r="B396" s="2" t="s">
        <v>33647</v>
      </c>
      <c r="C396" s="2">
        <v>2.055307796E9</v>
      </c>
      <c r="D396" s="2" t="s">
        <v>33648</v>
      </c>
      <c r="E396" s="2">
        <v>73702.0</v>
      </c>
      <c r="F396" s="2">
        <v>979.0</v>
      </c>
      <c r="G396" s="2">
        <v>47.0</v>
      </c>
      <c r="H396" s="2" t="s">
        <v>5906</v>
      </c>
      <c r="I396" s="2" t="s">
        <v>5906</v>
      </c>
      <c r="J396" s="2" t="s">
        <v>8144</v>
      </c>
      <c r="K396" s="2" t="s">
        <v>33649</v>
      </c>
    </row>
    <row r="397">
      <c r="A397" s="2" t="s">
        <v>4373</v>
      </c>
      <c r="B397" s="2" t="s">
        <v>33650</v>
      </c>
      <c r="C397" s="2">
        <v>9.480732415E9</v>
      </c>
      <c r="D397" s="2" t="s">
        <v>33651</v>
      </c>
      <c r="E397" s="2">
        <v>192084.0</v>
      </c>
      <c r="F397" s="2">
        <v>502.0</v>
      </c>
      <c r="G397" s="2">
        <v>787.0</v>
      </c>
      <c r="H397" s="2" t="s">
        <v>5906</v>
      </c>
      <c r="I397" s="2" t="s">
        <v>5905</v>
      </c>
      <c r="J397" s="2" t="s">
        <v>6166</v>
      </c>
      <c r="K397" s="2" t="s">
        <v>33652</v>
      </c>
      <c r="L397" s="10" t="s">
        <v>33653</v>
      </c>
    </row>
    <row r="398">
      <c r="A398" s="2" t="s">
        <v>4373</v>
      </c>
      <c r="B398" s="2" t="s">
        <v>33654</v>
      </c>
      <c r="C398" s="2">
        <v>1.4634719E7</v>
      </c>
      <c r="D398" s="2" t="s">
        <v>33655</v>
      </c>
      <c r="E398" s="2">
        <v>4.3074269E7</v>
      </c>
      <c r="F398" s="2">
        <v>4716.0</v>
      </c>
      <c r="G398" s="2">
        <v>137.0</v>
      </c>
      <c r="H398" s="2" t="s">
        <v>5906</v>
      </c>
      <c r="I398" s="2" t="s">
        <v>5906</v>
      </c>
      <c r="J398" s="2" t="s">
        <v>6124</v>
      </c>
      <c r="K398" s="2" t="s">
        <v>33656</v>
      </c>
      <c r="L398" s="10" t="s">
        <v>33657</v>
      </c>
    </row>
    <row r="399">
      <c r="A399" s="2" t="s">
        <v>4373</v>
      </c>
      <c r="B399" s="2" t="s">
        <v>33658</v>
      </c>
      <c r="C399" s="2">
        <v>4.091186372E9</v>
      </c>
      <c r="D399" s="2" t="s">
        <v>33659</v>
      </c>
      <c r="E399" s="2">
        <v>23378.0</v>
      </c>
      <c r="F399" s="2">
        <v>184.0</v>
      </c>
      <c r="G399" s="2">
        <v>1198.0</v>
      </c>
      <c r="H399" s="2" t="s">
        <v>5906</v>
      </c>
      <c r="I399" s="2" t="s">
        <v>5906</v>
      </c>
      <c r="K399" s="2" t="s">
        <v>33660</v>
      </c>
      <c r="L399" s="10" t="s">
        <v>33661</v>
      </c>
    </row>
    <row r="400">
      <c r="A400" s="2" t="s">
        <v>4373</v>
      </c>
      <c r="B400" s="2" t="s">
        <v>33662</v>
      </c>
      <c r="C400" s="2">
        <v>3.6888052354E10</v>
      </c>
      <c r="D400" s="2" t="s">
        <v>33663</v>
      </c>
      <c r="E400" s="2">
        <v>57546.0</v>
      </c>
      <c r="F400" s="2">
        <v>299.0</v>
      </c>
      <c r="G400" s="2">
        <v>543.0</v>
      </c>
      <c r="H400" s="2" t="s">
        <v>5905</v>
      </c>
      <c r="I400" s="2" t="s">
        <v>5905</v>
      </c>
      <c r="J400" s="2" t="s">
        <v>5968</v>
      </c>
      <c r="K400" s="2" t="s">
        <v>33664</v>
      </c>
      <c r="L400" s="10" t="s">
        <v>33665</v>
      </c>
    </row>
    <row r="401">
      <c r="A401" s="2" t="s">
        <v>4373</v>
      </c>
      <c r="B401" s="2" t="s">
        <v>33666</v>
      </c>
      <c r="C401" s="2">
        <v>1.99717385E8</v>
      </c>
      <c r="D401" s="2" t="s">
        <v>33667</v>
      </c>
      <c r="E401" s="2">
        <v>18585.0</v>
      </c>
      <c r="F401" s="2">
        <v>615.0</v>
      </c>
      <c r="G401" s="2">
        <v>393.0</v>
      </c>
      <c r="H401" s="2" t="s">
        <v>5906</v>
      </c>
      <c r="I401" s="2" t="s">
        <v>5906</v>
      </c>
      <c r="J401" s="2" t="s">
        <v>5993</v>
      </c>
      <c r="K401" s="2" t="s">
        <v>33668</v>
      </c>
      <c r="L401" s="10" t="s">
        <v>33669</v>
      </c>
    </row>
    <row r="402">
      <c r="A402" s="2" t="s">
        <v>4373</v>
      </c>
      <c r="B402" s="2" t="s">
        <v>33670</v>
      </c>
      <c r="C402" s="2">
        <v>1.706977494E9</v>
      </c>
      <c r="D402" s="2" t="s">
        <v>33671</v>
      </c>
      <c r="E402" s="2">
        <v>485489.0</v>
      </c>
      <c r="F402" s="2">
        <v>2250.0</v>
      </c>
      <c r="G402" s="2">
        <v>3305.0</v>
      </c>
      <c r="H402" s="2" t="s">
        <v>5906</v>
      </c>
      <c r="I402" s="2" t="s">
        <v>5905</v>
      </c>
      <c r="J402" s="2" t="s">
        <v>33672</v>
      </c>
      <c r="K402" s="2" t="s">
        <v>33673</v>
      </c>
    </row>
    <row r="403">
      <c r="A403" s="2" t="s">
        <v>4373</v>
      </c>
      <c r="B403" s="2" t="s">
        <v>33674</v>
      </c>
      <c r="C403" s="2">
        <v>1.0613220671E10</v>
      </c>
      <c r="D403" s="2" t="s">
        <v>33675</v>
      </c>
      <c r="E403" s="2">
        <v>892531.0</v>
      </c>
      <c r="F403" s="2">
        <v>181.0</v>
      </c>
      <c r="G403" s="2">
        <v>1044.0</v>
      </c>
      <c r="H403" s="2" t="s">
        <v>5906</v>
      </c>
      <c r="I403" s="2" t="s">
        <v>5906</v>
      </c>
      <c r="J403" s="2" t="s">
        <v>10543</v>
      </c>
      <c r="K403" s="2" t="s">
        <v>33676</v>
      </c>
      <c r="L403" s="10" t="s">
        <v>33677</v>
      </c>
    </row>
    <row r="404">
      <c r="A404" s="2" t="s">
        <v>4373</v>
      </c>
      <c r="B404" s="2" t="s">
        <v>33678</v>
      </c>
      <c r="C404" s="2">
        <v>2.0597061E7</v>
      </c>
      <c r="D404" s="2" t="s">
        <v>33679</v>
      </c>
      <c r="E404" s="2">
        <v>120262.0</v>
      </c>
      <c r="F404" s="2">
        <v>474.0</v>
      </c>
      <c r="G404" s="2">
        <v>1091.0</v>
      </c>
      <c r="H404" s="2" t="s">
        <v>5905</v>
      </c>
      <c r="I404" s="2" t="s">
        <v>5905</v>
      </c>
      <c r="J404" s="2" t="s">
        <v>5959</v>
      </c>
      <c r="K404" s="2" t="s">
        <v>33680</v>
      </c>
    </row>
    <row r="405">
      <c r="A405" s="2" t="s">
        <v>5011</v>
      </c>
      <c r="B405" s="2" t="s">
        <v>33681</v>
      </c>
      <c r="C405" s="2">
        <v>9.61743035E9</v>
      </c>
      <c r="D405" s="2" t="s">
        <v>33682</v>
      </c>
      <c r="E405" s="2">
        <v>48752.0</v>
      </c>
      <c r="F405" s="2">
        <v>1.0</v>
      </c>
      <c r="G405" s="2">
        <v>6893.0</v>
      </c>
      <c r="H405" s="2" t="s">
        <v>5905</v>
      </c>
      <c r="I405" s="2" t="s">
        <v>5906</v>
      </c>
      <c r="J405" s="2" t="s">
        <v>8518</v>
      </c>
      <c r="K405" s="2" t="s">
        <v>33683</v>
      </c>
      <c r="L405" s="10" t="s">
        <v>33684</v>
      </c>
    </row>
    <row r="406">
      <c r="A406" s="2" t="s">
        <v>5011</v>
      </c>
      <c r="B406" s="2" t="s">
        <v>33685</v>
      </c>
      <c r="C406" s="2">
        <v>3.85200593E9</v>
      </c>
      <c r="D406" s="2" t="s">
        <v>33686</v>
      </c>
      <c r="E406" s="2">
        <v>38814.0</v>
      </c>
      <c r="F406" s="2">
        <v>1.0</v>
      </c>
      <c r="G406" s="2">
        <v>356.0</v>
      </c>
      <c r="H406" s="2" t="s">
        <v>5905</v>
      </c>
      <c r="I406" s="2" t="s">
        <v>5906</v>
      </c>
      <c r="J406" s="2" t="s">
        <v>6166</v>
      </c>
      <c r="K406" s="2" t="s">
        <v>33687</v>
      </c>
      <c r="L406" s="10" t="s">
        <v>33688</v>
      </c>
    </row>
    <row r="407">
      <c r="A407" s="2" t="s">
        <v>5011</v>
      </c>
      <c r="B407" s="2" t="s">
        <v>33689</v>
      </c>
      <c r="C407" s="2">
        <v>6.766429065E9</v>
      </c>
      <c r="D407" s="2" t="s">
        <v>33690</v>
      </c>
      <c r="E407" s="2">
        <v>14592.0</v>
      </c>
      <c r="F407" s="2">
        <v>0.0</v>
      </c>
      <c r="G407" s="2">
        <v>0.0</v>
      </c>
      <c r="H407" s="2" t="s">
        <v>5905</v>
      </c>
      <c r="I407" s="2" t="s">
        <v>5905</v>
      </c>
      <c r="J407" s="2" t="s">
        <v>6166</v>
      </c>
      <c r="K407" s="2" t="s">
        <v>33691</v>
      </c>
      <c r="L407" s="10" t="s">
        <v>33692</v>
      </c>
    </row>
    <row r="408">
      <c r="A408" s="2" t="s">
        <v>5011</v>
      </c>
      <c r="B408" s="2" t="s">
        <v>33693</v>
      </c>
      <c r="C408" s="2">
        <v>5.2385846797E10</v>
      </c>
      <c r="D408" s="2" t="s">
        <v>33694</v>
      </c>
      <c r="E408" s="2">
        <v>61752.0</v>
      </c>
      <c r="F408" s="2">
        <v>1385.0</v>
      </c>
      <c r="G408" s="2">
        <v>2527.0</v>
      </c>
      <c r="H408" s="2" t="s">
        <v>5905</v>
      </c>
      <c r="I408" s="2" t="s">
        <v>5905</v>
      </c>
      <c r="J408" s="2" t="s">
        <v>5928</v>
      </c>
      <c r="K408" s="2" t="s">
        <v>33695</v>
      </c>
      <c r="L408" s="10" t="s">
        <v>33696</v>
      </c>
    </row>
    <row r="409">
      <c r="A409" s="2" t="s">
        <v>4968</v>
      </c>
      <c r="B409" s="2" t="s">
        <v>33697</v>
      </c>
      <c r="C409" s="2">
        <v>5.721257845E10</v>
      </c>
      <c r="D409" s="2" t="s">
        <v>33698</v>
      </c>
      <c r="E409" s="2">
        <v>19470.0</v>
      </c>
      <c r="F409" s="2">
        <v>3.0</v>
      </c>
      <c r="G409" s="2">
        <v>114.0</v>
      </c>
      <c r="H409" s="2" t="s">
        <v>5906</v>
      </c>
      <c r="I409" s="2" t="s">
        <v>5906</v>
      </c>
      <c r="J409" s="2" t="s">
        <v>6166</v>
      </c>
      <c r="K409" s="2" t="s">
        <v>33699</v>
      </c>
      <c r="L409" s="10" t="s">
        <v>33700</v>
      </c>
    </row>
    <row r="410">
      <c r="A410" s="2" t="s">
        <v>4968</v>
      </c>
      <c r="B410" s="2" t="s">
        <v>33701</v>
      </c>
      <c r="C410" s="2">
        <v>2.300890296E9</v>
      </c>
      <c r="D410" s="2" t="s">
        <v>33702</v>
      </c>
      <c r="E410" s="2">
        <v>1978548.0</v>
      </c>
      <c r="F410" s="2">
        <v>301.0</v>
      </c>
      <c r="G410" s="2">
        <v>8850.0</v>
      </c>
      <c r="H410" s="2" t="s">
        <v>5905</v>
      </c>
      <c r="I410" s="2" t="s">
        <v>5905</v>
      </c>
      <c r="J410" s="2" t="s">
        <v>8245</v>
      </c>
      <c r="K410" s="2" t="s">
        <v>33703</v>
      </c>
    </row>
    <row r="411">
      <c r="A411" s="2" t="s">
        <v>4968</v>
      </c>
      <c r="B411" s="2" t="s">
        <v>20917</v>
      </c>
      <c r="C411" s="2">
        <v>5.6515143032E10</v>
      </c>
      <c r="D411" s="2" t="s">
        <v>20918</v>
      </c>
      <c r="E411" s="2">
        <v>45203.0</v>
      </c>
      <c r="F411" s="2">
        <v>1.0</v>
      </c>
      <c r="G411" s="2">
        <v>144.0</v>
      </c>
      <c r="H411" s="2" t="s">
        <v>5905</v>
      </c>
      <c r="I411" s="2" t="s">
        <v>5905</v>
      </c>
      <c r="J411" s="2" t="s">
        <v>6166</v>
      </c>
      <c r="K411" s="12" t="s">
        <v>20919</v>
      </c>
      <c r="L411" s="10" t="s">
        <v>20920</v>
      </c>
    </row>
    <row r="412">
      <c r="A412" s="2" t="s">
        <v>4968</v>
      </c>
      <c r="B412" s="2" t="s">
        <v>33704</v>
      </c>
      <c r="C412" s="2">
        <v>1.481694672E9</v>
      </c>
      <c r="D412" s="2" t="s">
        <v>33705</v>
      </c>
      <c r="E412" s="2">
        <v>212075.0</v>
      </c>
      <c r="F412" s="2">
        <v>825.0</v>
      </c>
      <c r="G412" s="2">
        <v>2886.0</v>
      </c>
      <c r="H412" s="2" t="s">
        <v>5905</v>
      </c>
      <c r="I412" s="2" t="s">
        <v>5905</v>
      </c>
      <c r="J412" s="2" t="s">
        <v>5959</v>
      </c>
      <c r="K412" s="2" t="s">
        <v>33706</v>
      </c>
    </row>
    <row r="413">
      <c r="A413" s="2" t="s">
        <v>4968</v>
      </c>
      <c r="B413" s="2" t="s">
        <v>20928</v>
      </c>
      <c r="C413" s="2">
        <v>5.684733833E10</v>
      </c>
      <c r="D413" s="2" t="s">
        <v>20929</v>
      </c>
      <c r="E413" s="2">
        <v>11773.0</v>
      </c>
      <c r="F413" s="2">
        <v>0.0</v>
      </c>
      <c r="G413" s="2">
        <v>1611.0</v>
      </c>
      <c r="H413" s="2" t="s">
        <v>5905</v>
      </c>
      <c r="I413" s="2" t="s">
        <v>5905</v>
      </c>
      <c r="J413" s="2" t="s">
        <v>4996</v>
      </c>
      <c r="K413" s="2" t="s">
        <v>20930</v>
      </c>
      <c r="L413" s="10" t="s">
        <v>20931</v>
      </c>
    </row>
    <row r="414">
      <c r="A414" s="2" t="s">
        <v>4968</v>
      </c>
      <c r="B414" s="2" t="s">
        <v>33707</v>
      </c>
      <c r="C414" s="2">
        <v>5.758058745E9</v>
      </c>
      <c r="D414" s="2" t="s">
        <v>33708</v>
      </c>
      <c r="E414" s="2">
        <v>74017.0</v>
      </c>
      <c r="F414" s="2">
        <v>546.0</v>
      </c>
      <c r="G414" s="2">
        <v>504.0</v>
      </c>
      <c r="H414" s="2" t="s">
        <v>5905</v>
      </c>
      <c r="I414" s="2" t="s">
        <v>5906</v>
      </c>
      <c r="J414" s="2" t="s">
        <v>6166</v>
      </c>
      <c r="K414" s="2" t="s">
        <v>33709</v>
      </c>
      <c r="L414" s="10" t="s">
        <v>33710</v>
      </c>
    </row>
    <row r="415">
      <c r="A415" s="2" t="s">
        <v>4968</v>
      </c>
      <c r="B415" s="2" t="s">
        <v>20932</v>
      </c>
      <c r="C415" s="2">
        <v>7.946081714E9</v>
      </c>
      <c r="D415" s="2" t="s">
        <v>20933</v>
      </c>
      <c r="E415" s="2">
        <v>375320.0</v>
      </c>
      <c r="F415" s="2">
        <v>353.0</v>
      </c>
      <c r="G415" s="2">
        <v>1351.0</v>
      </c>
      <c r="H415" s="2" t="s">
        <v>5906</v>
      </c>
      <c r="I415" s="2" t="s">
        <v>5906</v>
      </c>
      <c r="J415" s="2" t="s">
        <v>12715</v>
      </c>
      <c r="K415" s="2" t="s">
        <v>20934</v>
      </c>
      <c r="L415" s="10" t="s">
        <v>20935</v>
      </c>
    </row>
    <row r="416">
      <c r="A416" s="2" t="s">
        <v>4968</v>
      </c>
      <c r="B416" s="2" t="s">
        <v>20936</v>
      </c>
      <c r="C416" s="2">
        <v>1.449577033E9</v>
      </c>
      <c r="D416" s="2" t="s">
        <v>20937</v>
      </c>
      <c r="E416" s="2">
        <v>812186.0</v>
      </c>
      <c r="F416" s="2">
        <v>729.0</v>
      </c>
      <c r="G416" s="2">
        <v>7898.0</v>
      </c>
      <c r="H416" s="2" t="s">
        <v>5905</v>
      </c>
      <c r="I416" s="2" t="s">
        <v>5905</v>
      </c>
      <c r="J416" s="2" t="s">
        <v>5959</v>
      </c>
      <c r="K416" s="2" t="s">
        <v>20938</v>
      </c>
    </row>
    <row r="417">
      <c r="A417" s="2" t="s">
        <v>4968</v>
      </c>
      <c r="B417" s="2" t="s">
        <v>33711</v>
      </c>
      <c r="C417" s="2">
        <v>2.30077202E8</v>
      </c>
      <c r="D417" s="2" t="s">
        <v>33712</v>
      </c>
      <c r="E417" s="2">
        <v>3932777.0</v>
      </c>
      <c r="F417" s="2">
        <v>970.0</v>
      </c>
      <c r="G417" s="2">
        <v>8656.0</v>
      </c>
      <c r="H417" s="2" t="s">
        <v>5905</v>
      </c>
      <c r="I417" s="2" t="s">
        <v>5905</v>
      </c>
      <c r="J417" s="2" t="s">
        <v>5492</v>
      </c>
      <c r="K417" s="2" t="s">
        <v>33713</v>
      </c>
      <c r="L417" s="10" t="s">
        <v>33714</v>
      </c>
    </row>
    <row r="418">
      <c r="A418" s="2" t="s">
        <v>4968</v>
      </c>
      <c r="B418" s="2" t="s">
        <v>20942</v>
      </c>
      <c r="C418" s="2">
        <v>6.760396866E9</v>
      </c>
      <c r="D418" s="2" t="s">
        <v>20943</v>
      </c>
      <c r="E418" s="2">
        <v>30925.0</v>
      </c>
      <c r="F418" s="2">
        <v>1198.0</v>
      </c>
      <c r="G418" s="2">
        <v>998.0</v>
      </c>
      <c r="H418" s="2" t="s">
        <v>5905</v>
      </c>
      <c r="I418" s="2" t="s">
        <v>5906</v>
      </c>
      <c r="J418" s="2" t="s">
        <v>5963</v>
      </c>
      <c r="K418" s="2" t="s">
        <v>20944</v>
      </c>
      <c r="L418" s="10" t="s">
        <v>20945</v>
      </c>
    </row>
    <row r="419">
      <c r="A419" s="2" t="s">
        <v>4968</v>
      </c>
      <c r="B419" s="2" t="s">
        <v>33715</v>
      </c>
      <c r="C419" s="2">
        <v>4.638161903E9</v>
      </c>
      <c r="D419" s="2" t="s">
        <v>33716</v>
      </c>
      <c r="E419" s="2">
        <v>150639.0</v>
      </c>
      <c r="F419" s="2">
        <v>2.0</v>
      </c>
      <c r="G419" s="2">
        <v>875.0</v>
      </c>
      <c r="H419" s="2" t="s">
        <v>5905</v>
      </c>
      <c r="I419" s="2" t="s">
        <v>5906</v>
      </c>
      <c r="J419" s="2" t="s">
        <v>8245</v>
      </c>
      <c r="K419" s="2" t="s">
        <v>33717</v>
      </c>
      <c r="L419" s="10" t="s">
        <v>33718</v>
      </c>
    </row>
    <row r="420">
      <c r="A420" s="2" t="s">
        <v>4968</v>
      </c>
      <c r="B420" s="2" t="s">
        <v>33719</v>
      </c>
      <c r="C420" s="2">
        <v>2.0056903881E10</v>
      </c>
      <c r="D420" s="2" t="s">
        <v>33720</v>
      </c>
      <c r="E420" s="2">
        <v>123392.0</v>
      </c>
      <c r="F420" s="2">
        <v>19.0</v>
      </c>
      <c r="G420" s="2">
        <v>377.0</v>
      </c>
      <c r="H420" s="2" t="s">
        <v>5905</v>
      </c>
      <c r="I420" s="2" t="s">
        <v>5905</v>
      </c>
      <c r="J420" s="2" t="s">
        <v>5963</v>
      </c>
      <c r="K420" s="2" t="s">
        <v>33721</v>
      </c>
    </row>
    <row r="421">
      <c r="A421" s="2" t="s">
        <v>4968</v>
      </c>
      <c r="B421" s="2" t="s">
        <v>33722</v>
      </c>
      <c r="C421" s="2">
        <v>1.0026375639E10</v>
      </c>
      <c r="D421" s="2" t="s">
        <v>33723</v>
      </c>
      <c r="E421" s="2">
        <v>491115.0</v>
      </c>
      <c r="F421" s="2">
        <v>698.0</v>
      </c>
      <c r="G421" s="2">
        <v>5516.0</v>
      </c>
      <c r="H421" s="2" t="s">
        <v>5906</v>
      </c>
      <c r="I421" s="2" t="s">
        <v>5906</v>
      </c>
      <c r="J421" s="2" t="s">
        <v>8245</v>
      </c>
      <c r="K421" s="2" t="s">
        <v>33724</v>
      </c>
    </row>
    <row r="422">
      <c r="A422" s="2" t="s">
        <v>4973</v>
      </c>
      <c r="B422" s="2" t="s">
        <v>33725</v>
      </c>
      <c r="C422" s="2">
        <v>4.23521634E8</v>
      </c>
      <c r="D422" s="2" t="s">
        <v>33726</v>
      </c>
      <c r="E422" s="2">
        <v>102373.0</v>
      </c>
      <c r="F422" s="2">
        <v>2220.0</v>
      </c>
      <c r="G422" s="2">
        <v>4579.0</v>
      </c>
      <c r="H422" s="2" t="s">
        <v>5906</v>
      </c>
      <c r="I422" s="2" t="s">
        <v>5905</v>
      </c>
      <c r="J422" s="2" t="s">
        <v>6027</v>
      </c>
      <c r="K422" s="2" t="s">
        <v>33727</v>
      </c>
      <c r="L422" s="10" t="s">
        <v>33728</v>
      </c>
    </row>
    <row r="423">
      <c r="A423" s="2" t="s">
        <v>4973</v>
      </c>
      <c r="B423" s="2" t="s">
        <v>33729</v>
      </c>
      <c r="C423" s="2">
        <v>6.9514513772E10</v>
      </c>
      <c r="D423" s="2" t="s">
        <v>33730</v>
      </c>
      <c r="E423" s="2">
        <v>1035959.0</v>
      </c>
      <c r="F423" s="2">
        <v>31.0</v>
      </c>
      <c r="G423" s="2">
        <v>235.0</v>
      </c>
      <c r="H423" s="2" t="s">
        <v>5906</v>
      </c>
      <c r="I423" s="2" t="s">
        <v>5905</v>
      </c>
      <c r="J423" s="2" t="s">
        <v>5561</v>
      </c>
      <c r="K423" s="2" t="s">
        <v>33731</v>
      </c>
      <c r="L423" s="10" t="s">
        <v>33732</v>
      </c>
    </row>
    <row r="424">
      <c r="A424" s="2" t="s">
        <v>4973</v>
      </c>
      <c r="B424" s="2" t="s">
        <v>33733</v>
      </c>
      <c r="C424" s="2">
        <v>3.56611988E8</v>
      </c>
      <c r="D424" s="2" t="s">
        <v>33734</v>
      </c>
      <c r="E424" s="2">
        <v>42290.0</v>
      </c>
      <c r="F424" s="2">
        <v>1256.0</v>
      </c>
      <c r="G424" s="2">
        <v>3078.0</v>
      </c>
      <c r="H424" s="2" t="s">
        <v>5905</v>
      </c>
      <c r="I424" s="2" t="s">
        <v>5906</v>
      </c>
      <c r="J424" s="2" t="s">
        <v>5391</v>
      </c>
      <c r="K424" s="2" t="s">
        <v>33735</v>
      </c>
      <c r="L424" s="10" t="s">
        <v>33736</v>
      </c>
    </row>
    <row r="425">
      <c r="A425" s="2" t="s">
        <v>4973</v>
      </c>
      <c r="B425" s="2" t="s">
        <v>33737</v>
      </c>
      <c r="C425" s="2">
        <v>6.9670621867E10</v>
      </c>
      <c r="E425" s="2">
        <v>309797.0</v>
      </c>
      <c r="F425" s="2">
        <v>25.0</v>
      </c>
      <c r="G425" s="2">
        <v>1083.0</v>
      </c>
      <c r="H425" s="2" t="s">
        <v>5905</v>
      </c>
      <c r="I425" s="2" t="s">
        <v>5906</v>
      </c>
      <c r="J425" s="2" t="s">
        <v>5492</v>
      </c>
      <c r="K425" s="2" t="s">
        <v>33738</v>
      </c>
    </row>
    <row r="426">
      <c r="A426" s="2" t="s">
        <v>4973</v>
      </c>
      <c r="B426" s="2" t="s">
        <v>33739</v>
      </c>
      <c r="C426" s="2">
        <v>6.3529761011E10</v>
      </c>
      <c r="D426" s="2" t="s">
        <v>33740</v>
      </c>
      <c r="E426" s="2">
        <v>31270.0</v>
      </c>
      <c r="F426" s="2">
        <v>17.0</v>
      </c>
      <c r="G426" s="2">
        <v>114.0</v>
      </c>
      <c r="H426" s="2" t="s">
        <v>5905</v>
      </c>
      <c r="I426" s="2" t="s">
        <v>5905</v>
      </c>
      <c r="J426" s="2" t="s">
        <v>5959</v>
      </c>
      <c r="K426" s="2" t="s">
        <v>33741</v>
      </c>
    </row>
    <row r="427">
      <c r="A427" s="2" t="s">
        <v>4973</v>
      </c>
      <c r="B427" s="2" t="s">
        <v>33742</v>
      </c>
      <c r="C427" s="2">
        <v>3.506367577E9</v>
      </c>
      <c r="D427" s="2" t="s">
        <v>33743</v>
      </c>
      <c r="E427" s="2">
        <v>253595.0</v>
      </c>
      <c r="F427" s="2">
        <v>2.0</v>
      </c>
      <c r="G427" s="2">
        <v>3694.0</v>
      </c>
      <c r="H427" s="2" t="s">
        <v>5905</v>
      </c>
      <c r="I427" s="2" t="s">
        <v>5906</v>
      </c>
      <c r="J427" s="2" t="s">
        <v>28040</v>
      </c>
      <c r="K427" s="2" t="s">
        <v>33744</v>
      </c>
      <c r="L427" s="10" t="s">
        <v>33745</v>
      </c>
    </row>
    <row r="428">
      <c r="A428" s="2" t="s">
        <v>4973</v>
      </c>
      <c r="B428" s="2" t="s">
        <v>33746</v>
      </c>
      <c r="C428" s="2">
        <v>1.546328675E9</v>
      </c>
      <c r="D428" s="2" t="s">
        <v>33747</v>
      </c>
      <c r="E428" s="2">
        <v>65615.0</v>
      </c>
      <c r="F428" s="2">
        <v>2395.0</v>
      </c>
      <c r="G428" s="2">
        <v>961.0</v>
      </c>
      <c r="H428" s="2" t="s">
        <v>5905</v>
      </c>
      <c r="I428" s="2" t="s">
        <v>5906</v>
      </c>
      <c r="J428" s="2" t="s">
        <v>5963</v>
      </c>
      <c r="K428" s="2" t="s">
        <v>33748</v>
      </c>
      <c r="L428" s="10" t="s">
        <v>33749</v>
      </c>
    </row>
    <row r="429">
      <c r="A429" s="2" t="s">
        <v>5137</v>
      </c>
      <c r="B429" s="2" t="s">
        <v>33750</v>
      </c>
      <c r="C429" s="2">
        <v>8.5723964E8</v>
      </c>
      <c r="D429" s="2" t="s">
        <v>33751</v>
      </c>
      <c r="E429" s="2">
        <v>18179.0</v>
      </c>
      <c r="F429" s="2">
        <v>101.0</v>
      </c>
      <c r="G429" s="2">
        <v>30.0</v>
      </c>
      <c r="H429" s="2" t="s">
        <v>5905</v>
      </c>
      <c r="I429" s="2" t="s">
        <v>5905</v>
      </c>
      <c r="J429" s="2" t="s">
        <v>6414</v>
      </c>
      <c r="K429" s="2" t="s">
        <v>33752</v>
      </c>
    </row>
    <row r="430">
      <c r="A430" s="2" t="s">
        <v>5137</v>
      </c>
      <c r="B430" s="2" t="s">
        <v>33753</v>
      </c>
      <c r="C430" s="2">
        <v>2.209960971E9</v>
      </c>
      <c r="D430" s="2" t="s">
        <v>33754</v>
      </c>
      <c r="E430" s="2">
        <v>197486.0</v>
      </c>
      <c r="F430" s="2">
        <v>1.0</v>
      </c>
      <c r="G430" s="2">
        <v>1599.0</v>
      </c>
      <c r="H430" s="2" t="s">
        <v>5905</v>
      </c>
      <c r="I430" s="2" t="s">
        <v>5906</v>
      </c>
      <c r="J430" s="2" t="s">
        <v>5963</v>
      </c>
      <c r="K430" s="2" t="s">
        <v>33755</v>
      </c>
      <c r="L430" s="10" t="s">
        <v>33756</v>
      </c>
    </row>
    <row r="431">
      <c r="A431" s="2" t="s">
        <v>4972</v>
      </c>
      <c r="B431" s="2" t="s">
        <v>33757</v>
      </c>
      <c r="C431" s="2">
        <v>6.957536851E10</v>
      </c>
      <c r="D431" s="2" t="s">
        <v>33758</v>
      </c>
      <c r="E431" s="2">
        <v>17794.0</v>
      </c>
      <c r="F431" s="2">
        <v>373.0</v>
      </c>
      <c r="G431" s="2">
        <v>336.0</v>
      </c>
      <c r="H431" s="2" t="s">
        <v>5905</v>
      </c>
      <c r="I431" s="2" t="s">
        <v>5905</v>
      </c>
      <c r="J431" s="2" t="s">
        <v>6166</v>
      </c>
      <c r="K431" s="2" t="s">
        <v>33759</v>
      </c>
    </row>
    <row r="432">
      <c r="A432" s="2" t="s">
        <v>4972</v>
      </c>
      <c r="B432" s="2" t="s">
        <v>33760</v>
      </c>
      <c r="C432" s="2">
        <v>6.966443499E9</v>
      </c>
      <c r="D432" s="2" t="s">
        <v>4972</v>
      </c>
      <c r="E432" s="2">
        <v>1046305.0</v>
      </c>
      <c r="F432" s="2">
        <v>180.0</v>
      </c>
      <c r="G432" s="2">
        <v>578.0</v>
      </c>
      <c r="H432" s="2" t="s">
        <v>5906</v>
      </c>
      <c r="I432" s="2" t="s">
        <v>5905</v>
      </c>
      <c r="J432" s="2" t="s">
        <v>5993</v>
      </c>
      <c r="K432" s="2" t="s">
        <v>33761</v>
      </c>
    </row>
    <row r="433">
      <c r="A433" s="2" t="s">
        <v>4972</v>
      </c>
      <c r="B433" s="2" t="s">
        <v>33762</v>
      </c>
      <c r="C433" s="2">
        <v>5.41699142E8</v>
      </c>
      <c r="D433" s="2" t="s">
        <v>33763</v>
      </c>
      <c r="E433" s="2">
        <v>20854.0</v>
      </c>
      <c r="F433" s="2">
        <v>6.0</v>
      </c>
      <c r="G433" s="2">
        <v>305.0</v>
      </c>
      <c r="H433" s="2" t="s">
        <v>5905</v>
      </c>
      <c r="I433" s="2" t="s">
        <v>5905</v>
      </c>
      <c r="J433" s="2" t="s">
        <v>5480</v>
      </c>
      <c r="K433" s="2" t="s">
        <v>33764</v>
      </c>
    </row>
    <row r="434">
      <c r="A434" s="2" t="s">
        <v>4972</v>
      </c>
      <c r="B434" s="2" t="s">
        <v>33765</v>
      </c>
      <c r="C434" s="2">
        <v>6.8189020174E10</v>
      </c>
      <c r="D434" s="2" t="s">
        <v>33766</v>
      </c>
      <c r="E434" s="2">
        <v>13721.0</v>
      </c>
      <c r="F434" s="2">
        <v>237.0</v>
      </c>
      <c r="G434" s="2">
        <v>232.0</v>
      </c>
      <c r="H434" s="2" t="s">
        <v>5905</v>
      </c>
      <c r="I434" s="2" t="s">
        <v>5905</v>
      </c>
      <c r="J434" s="2" t="s">
        <v>6393</v>
      </c>
      <c r="K434" s="2" t="s">
        <v>33767</v>
      </c>
    </row>
    <row r="435">
      <c r="A435" s="2" t="s">
        <v>4972</v>
      </c>
      <c r="B435" s="2" t="s">
        <v>33768</v>
      </c>
      <c r="C435" s="2">
        <v>5.583685061E9</v>
      </c>
      <c r="D435" s="2" t="s">
        <v>33769</v>
      </c>
      <c r="E435" s="2">
        <v>96172.0</v>
      </c>
      <c r="F435" s="2">
        <v>555.0</v>
      </c>
      <c r="G435" s="2">
        <v>122.0</v>
      </c>
      <c r="H435" s="2" t="s">
        <v>5905</v>
      </c>
      <c r="I435" s="2" t="s">
        <v>5906</v>
      </c>
      <c r="J435" s="2" t="s">
        <v>8604</v>
      </c>
      <c r="K435" s="2" t="s">
        <v>33770</v>
      </c>
      <c r="L435" s="10" t="s">
        <v>33771</v>
      </c>
    </row>
    <row r="436">
      <c r="A436" s="2" t="s">
        <v>4972</v>
      </c>
      <c r="B436" s="2" t="s">
        <v>33772</v>
      </c>
      <c r="C436" s="2">
        <v>3.8219994058E10</v>
      </c>
      <c r="D436" s="2" t="s">
        <v>33773</v>
      </c>
      <c r="E436" s="2">
        <v>437381.0</v>
      </c>
      <c r="F436" s="2">
        <v>100.0</v>
      </c>
      <c r="G436" s="2">
        <v>217.0</v>
      </c>
      <c r="H436" s="2" t="s">
        <v>5905</v>
      </c>
      <c r="I436" s="2" t="s">
        <v>5905</v>
      </c>
      <c r="J436" s="2" t="s">
        <v>6032</v>
      </c>
    </row>
    <row r="437">
      <c r="A437" s="2" t="s">
        <v>4972</v>
      </c>
      <c r="B437" s="2" t="s">
        <v>33774</v>
      </c>
      <c r="C437" s="2">
        <v>5.6990443873E10</v>
      </c>
      <c r="D437" s="2" t="s">
        <v>4972</v>
      </c>
      <c r="E437" s="2">
        <v>29785.0</v>
      </c>
      <c r="F437" s="2">
        <v>1048.0</v>
      </c>
      <c r="G437" s="2">
        <v>362.0</v>
      </c>
      <c r="H437" s="2" t="s">
        <v>5905</v>
      </c>
      <c r="I437" s="2" t="s">
        <v>5905</v>
      </c>
      <c r="J437" s="2" t="s">
        <v>5391</v>
      </c>
      <c r="K437" s="2" t="s">
        <v>33775</v>
      </c>
      <c r="L437" s="10" t="s">
        <v>33776</v>
      </c>
    </row>
    <row r="438">
      <c r="A438" s="2" t="s">
        <v>4972</v>
      </c>
      <c r="B438" s="2" t="s">
        <v>33777</v>
      </c>
      <c r="C438" s="2">
        <v>2.14679167E8</v>
      </c>
      <c r="D438" s="2" t="s">
        <v>33778</v>
      </c>
      <c r="E438" s="2">
        <v>83025.0</v>
      </c>
      <c r="F438" s="2">
        <v>4488.0</v>
      </c>
      <c r="G438" s="2">
        <v>123.0</v>
      </c>
      <c r="H438" s="2" t="s">
        <v>5905</v>
      </c>
      <c r="I438" s="2" t="s">
        <v>5905</v>
      </c>
      <c r="J438" s="2" t="s">
        <v>7620</v>
      </c>
      <c r="K438" s="2" t="s">
        <v>33779</v>
      </c>
    </row>
    <row r="439">
      <c r="A439" s="2" t="s">
        <v>4972</v>
      </c>
      <c r="B439" s="2" t="s">
        <v>33780</v>
      </c>
      <c r="C439" s="2">
        <v>5.5942768145E10</v>
      </c>
      <c r="D439" s="2" t="s">
        <v>33781</v>
      </c>
      <c r="E439" s="2">
        <v>11332.0</v>
      </c>
      <c r="F439" s="2">
        <v>581.0</v>
      </c>
      <c r="G439" s="2">
        <v>825.0</v>
      </c>
      <c r="H439" s="2" t="s">
        <v>5905</v>
      </c>
      <c r="I439" s="2" t="s">
        <v>5906</v>
      </c>
      <c r="J439" s="2" t="s">
        <v>5963</v>
      </c>
      <c r="K439" s="2" t="s">
        <v>33782</v>
      </c>
    </row>
    <row r="440">
      <c r="A440" s="2" t="s">
        <v>4994</v>
      </c>
      <c r="B440" s="2" t="s">
        <v>33783</v>
      </c>
      <c r="C440" s="2">
        <v>9.197040586E9</v>
      </c>
      <c r="D440" s="2" t="s">
        <v>33784</v>
      </c>
      <c r="E440" s="2">
        <v>139500.0</v>
      </c>
      <c r="F440" s="2">
        <v>537.0</v>
      </c>
      <c r="G440" s="2">
        <v>764.0</v>
      </c>
      <c r="H440" s="2" t="s">
        <v>5906</v>
      </c>
      <c r="I440" s="2" t="s">
        <v>5906</v>
      </c>
      <c r="J440" s="2" t="s">
        <v>7405</v>
      </c>
      <c r="K440" s="2" t="s">
        <v>33785</v>
      </c>
      <c r="L440" s="10" t="s">
        <v>33786</v>
      </c>
    </row>
    <row r="441">
      <c r="A441" s="2" t="s">
        <v>4994</v>
      </c>
      <c r="B441" s="10" t="s">
        <v>33787</v>
      </c>
      <c r="C441" s="2">
        <v>4.2841786312E10</v>
      </c>
      <c r="D441" s="2" t="s">
        <v>33788</v>
      </c>
      <c r="E441" s="2">
        <v>61509.0</v>
      </c>
      <c r="F441" s="2">
        <v>5.0</v>
      </c>
      <c r="G441" s="2">
        <v>216.0</v>
      </c>
      <c r="H441" s="2" t="s">
        <v>5905</v>
      </c>
      <c r="I441" s="2" t="s">
        <v>5906</v>
      </c>
      <c r="J441" s="2" t="s">
        <v>5948</v>
      </c>
      <c r="K441" s="2" t="s">
        <v>33789</v>
      </c>
      <c r="L441" s="10" t="s">
        <v>33790</v>
      </c>
    </row>
    <row r="442">
      <c r="A442" s="2" t="s">
        <v>4994</v>
      </c>
      <c r="B442" s="2" t="s">
        <v>33791</v>
      </c>
      <c r="C442" s="2">
        <v>7.939467828E9</v>
      </c>
      <c r="D442" s="2" t="s">
        <v>33792</v>
      </c>
      <c r="E442" s="2">
        <v>435619.0</v>
      </c>
      <c r="F442" s="2">
        <v>51.0</v>
      </c>
      <c r="G442" s="2">
        <v>75.0</v>
      </c>
      <c r="H442" s="2" t="s">
        <v>5905</v>
      </c>
      <c r="I442" s="2" t="s">
        <v>5906</v>
      </c>
      <c r="J442" s="2" t="s">
        <v>5561</v>
      </c>
      <c r="K442" s="2" t="s">
        <v>33793</v>
      </c>
      <c r="L442" s="10" t="s">
        <v>33794</v>
      </c>
    </row>
    <row r="443">
      <c r="A443" s="2" t="s">
        <v>4994</v>
      </c>
      <c r="B443" s="10" t="s">
        <v>33795</v>
      </c>
      <c r="C443" s="2">
        <v>2.88570733E9</v>
      </c>
      <c r="D443" s="10" t="s">
        <v>33796</v>
      </c>
      <c r="E443" s="2">
        <v>15282.0</v>
      </c>
      <c r="F443" s="2">
        <v>1748.0</v>
      </c>
      <c r="G443" s="2">
        <v>1322.0</v>
      </c>
      <c r="H443" s="2" t="s">
        <v>5905</v>
      </c>
      <c r="I443" s="2" t="s">
        <v>5905</v>
      </c>
      <c r="J443" s="2" t="s">
        <v>6002</v>
      </c>
      <c r="K443" s="2" t="s">
        <v>33797</v>
      </c>
      <c r="L443" s="10" t="s">
        <v>33798</v>
      </c>
    </row>
    <row r="444">
      <c r="A444" s="2" t="s">
        <v>4994</v>
      </c>
      <c r="B444" s="2" t="s">
        <v>9194</v>
      </c>
      <c r="C444" s="2">
        <v>2.4322698224E10</v>
      </c>
      <c r="D444" s="2" t="s">
        <v>9195</v>
      </c>
      <c r="E444" s="2">
        <v>5208513.0</v>
      </c>
      <c r="F444" s="2">
        <v>84.0</v>
      </c>
      <c r="G444" s="2">
        <v>2275.0</v>
      </c>
      <c r="H444" s="2" t="s">
        <v>5906</v>
      </c>
      <c r="I444" s="2" t="s">
        <v>5905</v>
      </c>
      <c r="J444" s="2" t="s">
        <v>5959</v>
      </c>
      <c r="K444" s="2" t="s">
        <v>9196</v>
      </c>
      <c r="L444" s="10" t="s">
        <v>9197</v>
      </c>
    </row>
    <row r="445">
      <c r="A445" s="2" t="s">
        <v>4994</v>
      </c>
      <c r="B445" s="2" t="s">
        <v>33799</v>
      </c>
      <c r="C445" s="2">
        <v>8.524194368E9</v>
      </c>
      <c r="D445" s="2" t="s">
        <v>33800</v>
      </c>
      <c r="E445" s="2">
        <v>116777.0</v>
      </c>
      <c r="F445" s="2">
        <v>1701.0</v>
      </c>
      <c r="G445" s="2">
        <v>5931.0</v>
      </c>
      <c r="H445" s="2" t="s">
        <v>5905</v>
      </c>
      <c r="I445" s="2" t="s">
        <v>5905</v>
      </c>
      <c r="J445" s="2" t="s">
        <v>5928</v>
      </c>
      <c r="K445" s="2" t="s">
        <v>33801</v>
      </c>
      <c r="L445" s="10" t="s">
        <v>33802</v>
      </c>
    </row>
    <row r="446">
      <c r="A446" s="2" t="s">
        <v>4994</v>
      </c>
      <c r="B446" s="2" t="s">
        <v>33803</v>
      </c>
      <c r="C446" s="2">
        <v>3.171368537E9</v>
      </c>
      <c r="D446" s="2" t="s">
        <v>33804</v>
      </c>
      <c r="E446" s="2">
        <v>1980549.0</v>
      </c>
      <c r="F446" s="2">
        <v>707.0</v>
      </c>
      <c r="G446" s="2">
        <v>223.0</v>
      </c>
      <c r="H446" s="2" t="s">
        <v>5906</v>
      </c>
      <c r="I446" s="2" t="s">
        <v>5905</v>
      </c>
      <c r="J446" s="2" t="s">
        <v>5993</v>
      </c>
      <c r="K446" s="2" t="s">
        <v>33805</v>
      </c>
      <c r="L446" s="10" t="s">
        <v>33806</v>
      </c>
    </row>
    <row r="447">
      <c r="A447" s="2" t="s">
        <v>4994</v>
      </c>
      <c r="B447" s="2" t="s">
        <v>9240</v>
      </c>
      <c r="C447" s="2">
        <v>1.0430939226E10</v>
      </c>
      <c r="D447" s="2" t="s">
        <v>9241</v>
      </c>
      <c r="E447" s="2">
        <v>348184.0</v>
      </c>
      <c r="F447" s="2">
        <v>236.0</v>
      </c>
      <c r="G447" s="2">
        <v>824.0</v>
      </c>
      <c r="H447" s="2" t="s">
        <v>5905</v>
      </c>
      <c r="I447" s="2" t="s">
        <v>5906</v>
      </c>
      <c r="J447" s="2" t="s">
        <v>5561</v>
      </c>
      <c r="K447" s="2" t="s">
        <v>9242</v>
      </c>
      <c r="L447" s="10" t="s">
        <v>9243</v>
      </c>
    </row>
    <row r="448">
      <c r="A448" s="2" t="s">
        <v>4941</v>
      </c>
      <c r="B448" s="2" t="s">
        <v>33807</v>
      </c>
      <c r="C448" s="2">
        <v>1.5410920735E10</v>
      </c>
      <c r="D448" s="2" t="s">
        <v>33808</v>
      </c>
      <c r="E448" s="2">
        <v>57312.0</v>
      </c>
      <c r="F448" s="2">
        <v>18.0</v>
      </c>
      <c r="G448" s="2">
        <v>741.0</v>
      </c>
      <c r="H448" s="2" t="s">
        <v>5905</v>
      </c>
      <c r="I448" s="2" t="s">
        <v>5906</v>
      </c>
      <c r="J448" s="2" t="s">
        <v>6124</v>
      </c>
      <c r="K448" s="2" t="s">
        <v>33809</v>
      </c>
      <c r="L448" s="10" t="s">
        <v>33810</v>
      </c>
    </row>
    <row r="449">
      <c r="A449" s="2" t="s">
        <v>4941</v>
      </c>
      <c r="B449" s="2" t="s">
        <v>33811</v>
      </c>
      <c r="C449" s="2">
        <v>7.080043638E9</v>
      </c>
      <c r="D449" s="2" t="s">
        <v>33812</v>
      </c>
      <c r="E449" s="2">
        <v>11912.0</v>
      </c>
      <c r="F449" s="2">
        <v>3.0</v>
      </c>
      <c r="G449" s="2">
        <v>252.0</v>
      </c>
      <c r="H449" s="2" t="s">
        <v>5905</v>
      </c>
      <c r="I449" s="2" t="s">
        <v>5906</v>
      </c>
      <c r="J449" s="2" t="s">
        <v>6027</v>
      </c>
      <c r="K449" s="2" t="s">
        <v>33813</v>
      </c>
      <c r="L449" s="10" t="s">
        <v>33814</v>
      </c>
    </row>
    <row r="450">
      <c r="A450" s="2" t="s">
        <v>4941</v>
      </c>
      <c r="B450" s="2" t="s">
        <v>33815</v>
      </c>
      <c r="C450" s="2">
        <v>3.1817813195E10</v>
      </c>
      <c r="D450" s="2" t="s">
        <v>33816</v>
      </c>
      <c r="E450" s="2">
        <v>57076.0</v>
      </c>
      <c r="F450" s="2">
        <v>3.0</v>
      </c>
      <c r="G450" s="2">
        <v>176.0</v>
      </c>
      <c r="H450" s="2" t="s">
        <v>5905</v>
      </c>
      <c r="I450" s="2" t="s">
        <v>5906</v>
      </c>
      <c r="J450" s="2" t="s">
        <v>6472</v>
      </c>
      <c r="K450" s="2" t="s">
        <v>33817</v>
      </c>
      <c r="L450" s="10" t="s">
        <v>33818</v>
      </c>
    </row>
    <row r="451">
      <c r="A451" s="2" t="s">
        <v>4941</v>
      </c>
      <c r="B451" s="2" t="s">
        <v>33819</v>
      </c>
      <c r="C451" s="2">
        <v>1.987042167E9</v>
      </c>
      <c r="D451" s="2" t="s">
        <v>33820</v>
      </c>
      <c r="E451" s="2">
        <v>81186.0</v>
      </c>
      <c r="F451" s="2">
        <v>67.0</v>
      </c>
      <c r="G451" s="2">
        <v>35.0</v>
      </c>
      <c r="H451" s="2" t="s">
        <v>5906</v>
      </c>
      <c r="I451" s="2" t="s">
        <v>5905</v>
      </c>
      <c r="J451" s="2" t="s">
        <v>5391</v>
      </c>
      <c r="K451" s="2" t="s">
        <v>33821</v>
      </c>
      <c r="L451" s="10" t="s">
        <v>33822</v>
      </c>
    </row>
    <row r="452">
      <c r="A452" s="2" t="s">
        <v>4941</v>
      </c>
      <c r="B452" s="2" t="s">
        <v>33823</v>
      </c>
      <c r="C452" s="2">
        <v>1.9309495234E10</v>
      </c>
      <c r="D452" s="2" t="s">
        <v>33824</v>
      </c>
      <c r="E452" s="2">
        <v>27451.0</v>
      </c>
      <c r="F452" s="2">
        <v>26.0</v>
      </c>
      <c r="G452" s="2">
        <v>1146.0</v>
      </c>
      <c r="H452" s="2" t="s">
        <v>5905</v>
      </c>
      <c r="I452" s="2" t="s">
        <v>5906</v>
      </c>
      <c r="J452" s="2" t="s">
        <v>9767</v>
      </c>
      <c r="K452" s="2" t="s">
        <v>33825</v>
      </c>
      <c r="L452" s="10" t="s">
        <v>33826</v>
      </c>
    </row>
    <row r="453">
      <c r="A453" s="2" t="s">
        <v>4979</v>
      </c>
      <c r="B453" s="2" t="s">
        <v>33827</v>
      </c>
      <c r="C453" s="2">
        <v>1.951385541E9</v>
      </c>
      <c r="D453" s="2" t="s">
        <v>33828</v>
      </c>
      <c r="E453" s="2">
        <v>26913.0</v>
      </c>
      <c r="F453" s="2">
        <v>223.0</v>
      </c>
      <c r="G453" s="2">
        <v>2038.0</v>
      </c>
      <c r="H453" s="2" t="s">
        <v>5906</v>
      </c>
      <c r="I453" s="2" t="s">
        <v>5906</v>
      </c>
      <c r="K453" s="2" t="s">
        <v>33829</v>
      </c>
      <c r="L453" s="10" t="s">
        <v>33830</v>
      </c>
    </row>
    <row r="454">
      <c r="A454" s="2" t="s">
        <v>4979</v>
      </c>
      <c r="B454" s="2" t="s">
        <v>33831</v>
      </c>
      <c r="C454" s="2">
        <v>3.11423872E9</v>
      </c>
      <c r="D454" s="2" t="s">
        <v>33832</v>
      </c>
      <c r="E454" s="2">
        <v>30745.0</v>
      </c>
      <c r="F454" s="2">
        <v>474.0</v>
      </c>
      <c r="G454" s="2">
        <v>10605.0</v>
      </c>
      <c r="H454" s="2" t="s">
        <v>5906</v>
      </c>
      <c r="I454" s="2" t="s">
        <v>5906</v>
      </c>
      <c r="J454" s="2" t="s">
        <v>5907</v>
      </c>
      <c r="K454" s="2" t="s">
        <v>33833</v>
      </c>
      <c r="L454" s="10" t="s">
        <v>33834</v>
      </c>
    </row>
    <row r="455">
      <c r="A455" s="2" t="s">
        <v>4979</v>
      </c>
      <c r="B455" s="2" t="s">
        <v>33835</v>
      </c>
      <c r="C455" s="2">
        <v>1.586565257E10</v>
      </c>
      <c r="D455" s="2" t="s">
        <v>33836</v>
      </c>
      <c r="E455" s="2">
        <v>198267.0</v>
      </c>
      <c r="F455" s="2">
        <v>2011.0</v>
      </c>
      <c r="G455" s="2">
        <v>1530.0</v>
      </c>
      <c r="H455" s="2" t="s">
        <v>5905</v>
      </c>
      <c r="I455" s="2" t="s">
        <v>5906</v>
      </c>
      <c r="J455" s="2" t="s">
        <v>5968</v>
      </c>
      <c r="K455" s="2" t="s">
        <v>33837</v>
      </c>
    </row>
    <row r="456">
      <c r="A456" s="2" t="s">
        <v>4979</v>
      </c>
      <c r="B456" s="2" t="s">
        <v>33838</v>
      </c>
      <c r="C456" s="2">
        <v>1.3249621662E10</v>
      </c>
      <c r="D456" s="2" t="s">
        <v>33839</v>
      </c>
      <c r="E456" s="2">
        <v>26054.0</v>
      </c>
      <c r="F456" s="2">
        <v>241.0</v>
      </c>
      <c r="G456" s="2">
        <v>957.0</v>
      </c>
      <c r="H456" s="2" t="s">
        <v>5906</v>
      </c>
      <c r="I456" s="2" t="s">
        <v>5906</v>
      </c>
      <c r="J456" s="2" t="s">
        <v>5959</v>
      </c>
      <c r="K456" s="2" t="s">
        <v>33840</v>
      </c>
      <c r="L456" s="10" t="s">
        <v>33841</v>
      </c>
    </row>
    <row r="457">
      <c r="A457" s="2" t="s">
        <v>4979</v>
      </c>
      <c r="B457" s="2" t="s">
        <v>33842</v>
      </c>
      <c r="C457" s="2">
        <v>6.1597054034E10</v>
      </c>
      <c r="D457" s="2" t="s">
        <v>33843</v>
      </c>
      <c r="E457" s="2">
        <v>380450.0</v>
      </c>
      <c r="F457" s="2">
        <v>14.0</v>
      </c>
      <c r="G457" s="2">
        <v>708.0</v>
      </c>
      <c r="H457" s="2" t="s">
        <v>5906</v>
      </c>
      <c r="I457" s="2" t="s">
        <v>5906</v>
      </c>
      <c r="J457" s="2" t="s">
        <v>6882</v>
      </c>
      <c r="K457" s="2" t="s">
        <v>33844</v>
      </c>
      <c r="L457" s="10" t="s">
        <v>33845</v>
      </c>
    </row>
    <row r="458">
      <c r="A458" s="2" t="s">
        <v>4979</v>
      </c>
      <c r="B458" s="2" t="s">
        <v>33846</v>
      </c>
      <c r="C458" s="2">
        <v>6.2898423514E10</v>
      </c>
      <c r="D458" s="2" t="s">
        <v>33847</v>
      </c>
      <c r="E458" s="2">
        <v>502655.0</v>
      </c>
      <c r="F458" s="2">
        <v>10.0</v>
      </c>
      <c r="G458" s="2">
        <v>2195.0</v>
      </c>
      <c r="H458" s="2" t="s">
        <v>5905</v>
      </c>
      <c r="I458" s="2" t="s">
        <v>5906</v>
      </c>
      <c r="J458" s="2" t="s">
        <v>5561</v>
      </c>
      <c r="K458" s="2" t="s">
        <v>33848</v>
      </c>
      <c r="L458" s="10" t="s">
        <v>33849</v>
      </c>
    </row>
    <row r="459">
      <c r="A459" s="2" t="s">
        <v>4979</v>
      </c>
      <c r="B459" s="2" t="s">
        <v>33850</v>
      </c>
      <c r="C459" s="2">
        <v>6.43082165E8</v>
      </c>
      <c r="D459" s="2" t="s">
        <v>33851</v>
      </c>
      <c r="E459" s="2">
        <v>35471.0</v>
      </c>
      <c r="F459" s="2">
        <v>6417.0</v>
      </c>
      <c r="G459" s="2">
        <v>5948.0</v>
      </c>
      <c r="H459" s="2" t="s">
        <v>5906</v>
      </c>
      <c r="I459" s="2" t="s">
        <v>5906</v>
      </c>
      <c r="J459" s="2" t="s">
        <v>6414</v>
      </c>
      <c r="K459" s="2" t="s">
        <v>33852</v>
      </c>
      <c r="L459" s="10" t="s">
        <v>33853</v>
      </c>
    </row>
    <row r="460">
      <c r="A460" s="2" t="s">
        <v>4979</v>
      </c>
      <c r="B460" s="2" t="s">
        <v>33854</v>
      </c>
      <c r="C460" s="2">
        <v>1.393242163E9</v>
      </c>
      <c r="D460" s="2" t="s">
        <v>33855</v>
      </c>
      <c r="E460" s="2">
        <v>18404.0</v>
      </c>
      <c r="F460" s="2">
        <v>1492.0</v>
      </c>
      <c r="G460" s="2">
        <v>1853.0</v>
      </c>
      <c r="H460" s="2" t="s">
        <v>5905</v>
      </c>
      <c r="I460" s="2" t="s">
        <v>5906</v>
      </c>
      <c r="K460" s="2" t="s">
        <v>33856</v>
      </c>
      <c r="L460" s="10" t="s">
        <v>33857</v>
      </c>
    </row>
    <row r="461">
      <c r="A461" s="2" t="s">
        <v>4960</v>
      </c>
      <c r="B461" s="2" t="s">
        <v>33858</v>
      </c>
      <c r="C461" s="2">
        <v>2.62498125E8</v>
      </c>
      <c r="D461" s="2" t="s">
        <v>33859</v>
      </c>
      <c r="E461" s="2">
        <v>141308.0</v>
      </c>
      <c r="F461" s="2">
        <v>555.0</v>
      </c>
      <c r="G461" s="2">
        <v>2406.0</v>
      </c>
      <c r="H461" s="2" t="s">
        <v>5906</v>
      </c>
      <c r="I461" s="2" t="s">
        <v>5906</v>
      </c>
      <c r="J461" s="2" t="s">
        <v>33860</v>
      </c>
      <c r="K461" s="2" t="s">
        <v>33861</v>
      </c>
      <c r="L461" s="10" t="s">
        <v>33862</v>
      </c>
    </row>
    <row r="462">
      <c r="A462" s="2" t="s">
        <v>4960</v>
      </c>
      <c r="B462" s="2" t="s">
        <v>33863</v>
      </c>
      <c r="C462" s="2">
        <v>6.666489578E9</v>
      </c>
      <c r="D462" s="2" t="s">
        <v>33864</v>
      </c>
      <c r="E462" s="2">
        <v>32413.0</v>
      </c>
      <c r="F462" s="2">
        <v>123.0</v>
      </c>
      <c r="G462" s="2">
        <v>1423.0</v>
      </c>
      <c r="H462" s="2" t="s">
        <v>5905</v>
      </c>
      <c r="I462" s="2" t="s">
        <v>5906</v>
      </c>
      <c r="J462" s="2" t="s">
        <v>6002</v>
      </c>
      <c r="K462" s="2" t="s">
        <v>33865</v>
      </c>
      <c r="L462" s="10" t="s">
        <v>33866</v>
      </c>
    </row>
    <row r="463">
      <c r="A463" s="2" t="s">
        <v>4960</v>
      </c>
      <c r="B463" s="2" t="s">
        <v>33867</v>
      </c>
      <c r="C463" s="2">
        <v>6.864759411E9</v>
      </c>
      <c r="D463" s="2" t="s">
        <v>33868</v>
      </c>
      <c r="E463" s="2">
        <v>19021.0</v>
      </c>
      <c r="F463" s="2">
        <v>587.0</v>
      </c>
      <c r="G463" s="2">
        <v>835.0</v>
      </c>
      <c r="H463" s="2" t="s">
        <v>5905</v>
      </c>
      <c r="I463" s="2" t="s">
        <v>5906</v>
      </c>
      <c r="J463" s="2" t="s">
        <v>5948</v>
      </c>
      <c r="K463" s="2" t="s">
        <v>33869</v>
      </c>
      <c r="L463" s="10" t="s">
        <v>33870</v>
      </c>
    </row>
    <row r="464">
      <c r="A464" s="2" t="s">
        <v>4960</v>
      </c>
      <c r="B464" s="2" t="s">
        <v>33871</v>
      </c>
      <c r="C464" s="2">
        <v>2.303960516E9</v>
      </c>
      <c r="D464" s="2" t="s">
        <v>33872</v>
      </c>
      <c r="E464" s="2">
        <v>68556.0</v>
      </c>
      <c r="F464" s="2">
        <v>68.0</v>
      </c>
      <c r="G464" s="2">
        <v>1841.0</v>
      </c>
      <c r="H464" s="2" t="s">
        <v>5905</v>
      </c>
      <c r="I464" s="2" t="s">
        <v>5906</v>
      </c>
      <c r="J464" s="2" t="s">
        <v>15448</v>
      </c>
      <c r="K464" s="2" t="s">
        <v>33873</v>
      </c>
      <c r="L464" s="10" t="s">
        <v>33874</v>
      </c>
    </row>
    <row r="465">
      <c r="A465" s="2" t="s">
        <v>4960</v>
      </c>
      <c r="B465" s="2" t="s">
        <v>33875</v>
      </c>
      <c r="C465" s="2">
        <v>3.518260039E9</v>
      </c>
      <c r="D465" s="2" t="s">
        <v>33876</v>
      </c>
      <c r="E465" s="2">
        <v>22169.0</v>
      </c>
      <c r="F465" s="2">
        <v>164.0</v>
      </c>
      <c r="G465" s="2">
        <v>1715.0</v>
      </c>
      <c r="H465" s="2" t="s">
        <v>5905</v>
      </c>
      <c r="I465" s="2" t="s">
        <v>5906</v>
      </c>
      <c r="J465" s="2" t="s">
        <v>5963</v>
      </c>
      <c r="K465" s="2" t="s">
        <v>33877</v>
      </c>
      <c r="L465" s="10" t="s">
        <v>33878</v>
      </c>
    </row>
    <row r="466">
      <c r="A466" s="2" t="s">
        <v>4960</v>
      </c>
      <c r="B466" s="2" t="s">
        <v>33879</v>
      </c>
      <c r="C466" s="2">
        <v>7.5258903145E10</v>
      </c>
      <c r="D466" s="2" t="s">
        <v>33880</v>
      </c>
      <c r="E466" s="2">
        <v>10198.0</v>
      </c>
      <c r="F466" s="2">
        <v>10.0</v>
      </c>
      <c r="G466" s="2">
        <v>7.0</v>
      </c>
      <c r="H466" s="2" t="s">
        <v>5905</v>
      </c>
      <c r="I466" s="2" t="s">
        <v>5905</v>
      </c>
      <c r="J466" s="2" t="s">
        <v>5485</v>
      </c>
      <c r="K466" s="2" t="s">
        <v>33881</v>
      </c>
    </row>
    <row r="467">
      <c r="A467" s="2" t="s">
        <v>4960</v>
      </c>
      <c r="B467" s="2" t="s">
        <v>33882</v>
      </c>
      <c r="C467" s="2">
        <v>6.2599930603E10</v>
      </c>
      <c r="D467" s="2" t="s">
        <v>33883</v>
      </c>
      <c r="E467" s="2">
        <v>939782.0</v>
      </c>
      <c r="F467" s="2">
        <v>87.0</v>
      </c>
      <c r="G467" s="2">
        <v>392.0</v>
      </c>
      <c r="H467" s="2" t="s">
        <v>5905</v>
      </c>
      <c r="I467" s="2" t="s">
        <v>5905</v>
      </c>
      <c r="J467" s="2" t="s">
        <v>5518</v>
      </c>
      <c r="K467" s="2" t="s">
        <v>33884</v>
      </c>
    </row>
    <row r="468">
      <c r="A468" s="2" t="s">
        <v>4960</v>
      </c>
      <c r="B468" s="2" t="s">
        <v>33885</v>
      </c>
      <c r="C468" s="2">
        <v>3.9289887E7</v>
      </c>
      <c r="D468" s="2" t="s">
        <v>33886</v>
      </c>
      <c r="E468" s="2">
        <v>84675.0</v>
      </c>
      <c r="F468" s="2">
        <v>2333.0</v>
      </c>
      <c r="G468" s="2">
        <v>183.0</v>
      </c>
      <c r="H468" s="2" t="s">
        <v>5906</v>
      </c>
      <c r="I468" s="2" t="s">
        <v>5905</v>
      </c>
      <c r="J468" s="2" t="s">
        <v>6124</v>
      </c>
      <c r="K468" s="2" t="s">
        <v>33887</v>
      </c>
      <c r="L468" s="10" t="s">
        <v>33888</v>
      </c>
    </row>
    <row r="469">
      <c r="A469" s="2" t="s">
        <v>5012</v>
      </c>
      <c r="B469" s="2" t="s">
        <v>33889</v>
      </c>
      <c r="C469" s="2">
        <v>2.5581566384E10</v>
      </c>
      <c r="D469" s="2" t="s">
        <v>33890</v>
      </c>
      <c r="E469" s="2">
        <v>33192.0</v>
      </c>
      <c r="F469" s="2">
        <v>28.0</v>
      </c>
      <c r="G469" s="2">
        <v>183.0</v>
      </c>
      <c r="H469" s="2" t="s">
        <v>5905</v>
      </c>
      <c r="I469" s="2" t="s">
        <v>5905</v>
      </c>
      <c r="J469" s="2" t="s">
        <v>6171</v>
      </c>
      <c r="K469" s="2" t="s">
        <v>33891</v>
      </c>
    </row>
    <row r="470">
      <c r="A470" s="2" t="s">
        <v>5012</v>
      </c>
      <c r="B470" s="2" t="s">
        <v>33892</v>
      </c>
      <c r="C470" s="2">
        <v>2.6432547111E10</v>
      </c>
      <c r="D470" s="2" t="s">
        <v>5012</v>
      </c>
      <c r="E470" s="2">
        <v>2.9083911E7</v>
      </c>
      <c r="F470" s="2">
        <v>341.0</v>
      </c>
      <c r="G470" s="2">
        <v>62.0</v>
      </c>
      <c r="H470" s="2" t="s">
        <v>5906</v>
      </c>
      <c r="I470" s="2" t="s">
        <v>5905</v>
      </c>
      <c r="J470" s="2" t="s">
        <v>8838</v>
      </c>
      <c r="K470" s="2" t="s">
        <v>33893</v>
      </c>
      <c r="L470" s="10" t="s">
        <v>33894</v>
      </c>
    </row>
    <row r="471">
      <c r="A471" s="2" t="s">
        <v>5012</v>
      </c>
      <c r="B471" s="2" t="s">
        <v>33895</v>
      </c>
      <c r="C471" s="2">
        <v>1.936196741E9</v>
      </c>
      <c r="D471" s="2" t="s">
        <v>33896</v>
      </c>
      <c r="E471" s="2">
        <v>150114.0</v>
      </c>
      <c r="F471" s="2">
        <v>769.0</v>
      </c>
      <c r="G471" s="2">
        <v>10481.0</v>
      </c>
      <c r="H471" s="2" t="s">
        <v>5905</v>
      </c>
      <c r="I471" s="2" t="s">
        <v>5905</v>
      </c>
      <c r="J471" s="2" t="s">
        <v>6171</v>
      </c>
      <c r="K471" s="2" t="s">
        <v>33897</v>
      </c>
      <c r="L471" s="10" t="s">
        <v>33898</v>
      </c>
    </row>
    <row r="472">
      <c r="A472" s="2" t="s">
        <v>5012</v>
      </c>
      <c r="B472" s="2" t="s">
        <v>33899</v>
      </c>
      <c r="C472" s="2">
        <v>4.4359895689E10</v>
      </c>
      <c r="D472" s="2" t="s">
        <v>33900</v>
      </c>
      <c r="E472" s="2">
        <v>57697.0</v>
      </c>
      <c r="F472" s="2">
        <v>163.0</v>
      </c>
      <c r="G472" s="2">
        <v>4175.0</v>
      </c>
      <c r="H472" s="2" t="s">
        <v>5905</v>
      </c>
      <c r="I472" s="2" t="s">
        <v>5905</v>
      </c>
      <c r="J472" s="2" t="s">
        <v>6171</v>
      </c>
      <c r="K472" s="2" t="s">
        <v>33901</v>
      </c>
      <c r="L472" s="10" t="s">
        <v>33902</v>
      </c>
    </row>
    <row r="473">
      <c r="A473" s="2" t="s">
        <v>5012</v>
      </c>
      <c r="B473" s="2" t="s">
        <v>33903</v>
      </c>
      <c r="C473" s="2">
        <v>3.4438264465E10</v>
      </c>
      <c r="D473" s="2" t="s">
        <v>33904</v>
      </c>
      <c r="E473" s="2">
        <v>80025.0</v>
      </c>
      <c r="F473" s="2">
        <v>6479.0</v>
      </c>
      <c r="G473" s="2">
        <v>1489.0</v>
      </c>
      <c r="H473" s="2" t="s">
        <v>5905</v>
      </c>
      <c r="I473" s="2" t="s">
        <v>5905</v>
      </c>
      <c r="J473" s="2" t="s">
        <v>5561</v>
      </c>
      <c r="K473" s="2" t="s">
        <v>33905</v>
      </c>
      <c r="L473" s="10" t="s">
        <v>33906</v>
      </c>
    </row>
    <row r="474">
      <c r="A474" s="2" t="s">
        <v>5019</v>
      </c>
      <c r="B474" s="2" t="s">
        <v>33907</v>
      </c>
      <c r="C474" s="2">
        <v>6.0279694628E10</v>
      </c>
      <c r="D474" s="2" t="s">
        <v>33908</v>
      </c>
      <c r="E474" s="2">
        <v>47086.0</v>
      </c>
      <c r="F474" s="2">
        <v>141.0</v>
      </c>
      <c r="G474" s="2">
        <v>1922.0</v>
      </c>
      <c r="H474" s="2" t="s">
        <v>5905</v>
      </c>
      <c r="I474" s="2" t="s">
        <v>5905</v>
      </c>
      <c r="K474" s="2" t="s">
        <v>33909</v>
      </c>
    </row>
    <row r="475">
      <c r="A475" s="2" t="s">
        <v>5018</v>
      </c>
      <c r="B475" s="2" t="s">
        <v>33910</v>
      </c>
      <c r="C475" s="2">
        <v>5.3101981091E10</v>
      </c>
      <c r="D475" s="2" t="s">
        <v>33911</v>
      </c>
      <c r="E475" s="2">
        <v>217088.0</v>
      </c>
      <c r="F475" s="2">
        <v>284.0</v>
      </c>
      <c r="G475" s="2">
        <v>620.0</v>
      </c>
      <c r="H475" s="2" t="s">
        <v>5905</v>
      </c>
      <c r="I475" s="2" t="s">
        <v>5905</v>
      </c>
      <c r="J475" s="2" t="s">
        <v>6171</v>
      </c>
      <c r="K475" s="2" t="s">
        <v>33912</v>
      </c>
      <c r="L475" s="10" t="s">
        <v>33913</v>
      </c>
    </row>
    <row r="476">
      <c r="A476" s="2" t="s">
        <v>5016</v>
      </c>
      <c r="B476" s="2" t="s">
        <v>33914</v>
      </c>
      <c r="C476" s="2">
        <v>1.711696726E9</v>
      </c>
      <c r="D476" s="2" t="s">
        <v>33915</v>
      </c>
      <c r="E476" s="2">
        <v>21914.0</v>
      </c>
      <c r="F476" s="2">
        <v>128.0</v>
      </c>
      <c r="G476" s="2">
        <v>680.0</v>
      </c>
      <c r="H476" s="2" t="s">
        <v>5905</v>
      </c>
      <c r="I476" s="2" t="s">
        <v>5905</v>
      </c>
      <c r="J476" s="2" t="s">
        <v>6171</v>
      </c>
      <c r="K476" s="2" t="s">
        <v>33916</v>
      </c>
    </row>
    <row r="477">
      <c r="A477" s="2" t="s">
        <v>5016</v>
      </c>
      <c r="B477" s="2" t="s">
        <v>33917</v>
      </c>
      <c r="C477" s="2">
        <v>2.26726741E9</v>
      </c>
      <c r="D477" s="2" t="s">
        <v>33918</v>
      </c>
      <c r="E477" s="2">
        <v>13144.0</v>
      </c>
      <c r="F477" s="2">
        <v>662.0</v>
      </c>
      <c r="G477" s="2">
        <v>3513.0</v>
      </c>
      <c r="H477" s="2" t="s">
        <v>5905</v>
      </c>
      <c r="I477" s="2" t="s">
        <v>5906</v>
      </c>
      <c r="J477" s="2" t="s">
        <v>6171</v>
      </c>
      <c r="K477" s="2" t="s">
        <v>33919</v>
      </c>
      <c r="L477" s="10" t="s">
        <v>33920</v>
      </c>
    </row>
    <row r="478">
      <c r="A478" s="2" t="s">
        <v>5016</v>
      </c>
      <c r="B478" s="2" t="s">
        <v>33921</v>
      </c>
      <c r="C478" s="2">
        <v>4.8145777615E10</v>
      </c>
      <c r="D478" s="2" t="s">
        <v>33922</v>
      </c>
      <c r="E478" s="2">
        <v>62687.0</v>
      </c>
      <c r="F478" s="2">
        <v>54.0</v>
      </c>
      <c r="G478" s="2">
        <v>362.0</v>
      </c>
      <c r="H478" s="2" t="s">
        <v>5905</v>
      </c>
      <c r="I478" s="2" t="s">
        <v>5905</v>
      </c>
      <c r="J478" s="2" t="s">
        <v>5485</v>
      </c>
      <c r="K478" s="2" t="s">
        <v>33923</v>
      </c>
      <c r="L478" s="10" t="s">
        <v>33924</v>
      </c>
    </row>
    <row r="479">
      <c r="A479" s="2" t="s">
        <v>5017</v>
      </c>
      <c r="B479" s="2" t="s">
        <v>33925</v>
      </c>
      <c r="C479" s="2">
        <v>4.007113999E9</v>
      </c>
      <c r="D479" s="2" t="s">
        <v>33926</v>
      </c>
      <c r="E479" s="2">
        <v>18108.0</v>
      </c>
      <c r="F479" s="2">
        <v>79.0</v>
      </c>
      <c r="G479" s="2">
        <v>200.0</v>
      </c>
      <c r="H479" s="2" t="s">
        <v>5905</v>
      </c>
      <c r="I479" s="2" t="s">
        <v>5905</v>
      </c>
      <c r="J479" s="2" t="s">
        <v>6124</v>
      </c>
      <c r="K479" s="2" t="s">
        <v>33927</v>
      </c>
    </row>
    <row r="480">
      <c r="A480" s="2" t="s">
        <v>5017</v>
      </c>
      <c r="B480" s="2" t="s">
        <v>33921</v>
      </c>
      <c r="C480" s="2">
        <v>4.8145777615E10</v>
      </c>
      <c r="D480" s="2" t="s">
        <v>33922</v>
      </c>
      <c r="E480" s="2">
        <v>62687.0</v>
      </c>
      <c r="F480" s="2">
        <v>54.0</v>
      </c>
      <c r="G480" s="2">
        <v>362.0</v>
      </c>
      <c r="H480" s="2" t="s">
        <v>5905</v>
      </c>
      <c r="I480" s="2" t="s">
        <v>5905</v>
      </c>
      <c r="J480" s="2" t="s">
        <v>5485</v>
      </c>
      <c r="K480" s="2" t="s">
        <v>33923</v>
      </c>
      <c r="L480" s="10" t="s">
        <v>33924</v>
      </c>
    </row>
    <row r="481">
      <c r="A481" s="2" t="s">
        <v>5017</v>
      </c>
      <c r="B481" s="2" t="s">
        <v>33928</v>
      </c>
      <c r="C481" s="2">
        <v>8.482133835E9</v>
      </c>
      <c r="D481" s="2" t="s">
        <v>33929</v>
      </c>
      <c r="E481" s="2">
        <v>13841.0</v>
      </c>
      <c r="F481" s="2">
        <v>62.0</v>
      </c>
      <c r="G481" s="2">
        <v>727.0</v>
      </c>
      <c r="H481" s="2" t="s">
        <v>5905</v>
      </c>
      <c r="I481" s="2" t="s">
        <v>5906</v>
      </c>
      <c r="J481" s="2" t="s">
        <v>8838</v>
      </c>
      <c r="K481" s="2" t="s">
        <v>33930</v>
      </c>
    </row>
    <row r="482">
      <c r="A482" s="2" t="s">
        <v>5017</v>
      </c>
      <c r="B482" s="2" t="s">
        <v>33931</v>
      </c>
      <c r="C482" s="2">
        <v>5.834771152E9</v>
      </c>
      <c r="D482" s="2" t="s">
        <v>33926</v>
      </c>
      <c r="E482" s="2">
        <v>342634.0</v>
      </c>
      <c r="F482" s="2">
        <v>14.0</v>
      </c>
      <c r="G482" s="2">
        <v>3318.0</v>
      </c>
      <c r="H482" s="2" t="s">
        <v>5905</v>
      </c>
      <c r="I482" s="2" t="s">
        <v>5905</v>
      </c>
      <c r="K482" s="2" t="s">
        <v>33932</v>
      </c>
    </row>
    <row r="483">
      <c r="A483" s="2" t="s">
        <v>5041</v>
      </c>
      <c r="B483" s="2" t="s">
        <v>33933</v>
      </c>
      <c r="C483" s="2">
        <v>3.5074281194E10</v>
      </c>
      <c r="D483" s="2" t="s">
        <v>33934</v>
      </c>
      <c r="E483" s="2">
        <v>119961.0</v>
      </c>
      <c r="F483" s="2">
        <v>71.0</v>
      </c>
      <c r="G483" s="2">
        <v>916.0</v>
      </c>
      <c r="H483" s="2" t="s">
        <v>5905</v>
      </c>
      <c r="I483" s="2" t="s">
        <v>5905</v>
      </c>
      <c r="J483" s="2" t="s">
        <v>6171</v>
      </c>
      <c r="K483" s="2" t="s">
        <v>33935</v>
      </c>
    </row>
    <row r="484">
      <c r="A484" s="2" t="s">
        <v>4959</v>
      </c>
      <c r="B484" s="2" t="s">
        <v>33936</v>
      </c>
      <c r="C484" s="2">
        <v>3.5234936473E10</v>
      </c>
      <c r="D484" s="2" t="s">
        <v>33937</v>
      </c>
      <c r="E484" s="2">
        <v>116256.0</v>
      </c>
      <c r="F484" s="2">
        <v>27.0</v>
      </c>
      <c r="G484" s="2">
        <v>800.0</v>
      </c>
      <c r="H484" s="2" t="s">
        <v>5905</v>
      </c>
      <c r="I484" s="2" t="s">
        <v>5906</v>
      </c>
      <c r="J484" s="2" t="s">
        <v>5492</v>
      </c>
      <c r="K484" s="2" t="s">
        <v>33938</v>
      </c>
      <c r="L484" s="10" t="s">
        <v>33939</v>
      </c>
    </row>
    <row r="485">
      <c r="A485" s="2" t="s">
        <v>4959</v>
      </c>
      <c r="B485" s="2" t="s">
        <v>33940</v>
      </c>
      <c r="C485" s="2">
        <v>4.9608496906E10</v>
      </c>
      <c r="D485" s="12" t="s">
        <v>33941</v>
      </c>
      <c r="E485" s="2">
        <v>392742.0</v>
      </c>
      <c r="F485" s="2">
        <v>462.0</v>
      </c>
      <c r="G485" s="2">
        <v>63.0</v>
      </c>
      <c r="H485" s="2" t="s">
        <v>5905</v>
      </c>
      <c r="I485" s="2" t="s">
        <v>5906</v>
      </c>
      <c r="J485" s="2" t="s">
        <v>7140</v>
      </c>
      <c r="K485" s="12" t="s">
        <v>33942</v>
      </c>
    </row>
    <row r="486">
      <c r="A486" s="2" t="s">
        <v>4997</v>
      </c>
      <c r="B486" s="2" t="s">
        <v>33943</v>
      </c>
      <c r="C486" s="2">
        <v>1.85103044E8</v>
      </c>
      <c r="D486" s="2" t="s">
        <v>4997</v>
      </c>
      <c r="E486" s="2">
        <v>13930.0</v>
      </c>
      <c r="F486" s="2">
        <v>1039.0</v>
      </c>
      <c r="G486" s="2">
        <v>33.0</v>
      </c>
      <c r="H486" s="2" t="s">
        <v>5905</v>
      </c>
      <c r="I486" s="2" t="s">
        <v>5905</v>
      </c>
      <c r="J486" s="2" t="s">
        <v>6414</v>
      </c>
      <c r="K486" s="2" t="s">
        <v>33944</v>
      </c>
      <c r="L486" s="10" t="s">
        <v>33945</v>
      </c>
    </row>
    <row r="487">
      <c r="A487" s="2" t="s">
        <v>4997</v>
      </c>
      <c r="B487" s="2" t="s">
        <v>33946</v>
      </c>
      <c r="C487" s="2">
        <v>5.599563904E10</v>
      </c>
      <c r="D487" s="2" t="s">
        <v>33947</v>
      </c>
      <c r="E487" s="2">
        <v>10172.0</v>
      </c>
      <c r="F487" s="2">
        <v>75.0</v>
      </c>
      <c r="G487" s="2">
        <v>1073.0</v>
      </c>
      <c r="H487" s="2" t="s">
        <v>5905</v>
      </c>
      <c r="I487" s="2" t="s">
        <v>5906</v>
      </c>
      <c r="J487" s="2" t="s">
        <v>6002</v>
      </c>
      <c r="K487" s="2" t="s">
        <v>33948</v>
      </c>
      <c r="L487" s="10" t="s">
        <v>33949</v>
      </c>
    </row>
    <row r="488">
      <c r="A488" s="2" t="s">
        <v>4997</v>
      </c>
      <c r="B488" s="2" t="s">
        <v>33950</v>
      </c>
      <c r="C488" s="2">
        <v>3.34918981E8</v>
      </c>
      <c r="D488" s="2" t="s">
        <v>33951</v>
      </c>
      <c r="E488" s="2">
        <v>35793.0</v>
      </c>
      <c r="F488" s="2">
        <v>20.0</v>
      </c>
      <c r="G488" s="2">
        <v>3887.0</v>
      </c>
      <c r="H488" s="2" t="s">
        <v>5906</v>
      </c>
      <c r="I488" s="2" t="s">
        <v>5906</v>
      </c>
      <c r="J488" s="2" t="s">
        <v>33952</v>
      </c>
      <c r="K488" s="2" t="s">
        <v>33953</v>
      </c>
      <c r="L488" s="10" t="s">
        <v>33954</v>
      </c>
    </row>
    <row r="489">
      <c r="A489" s="2" t="s">
        <v>4997</v>
      </c>
      <c r="B489" s="2" t="s">
        <v>33955</v>
      </c>
      <c r="C489" s="2">
        <v>6.0541005154E10</v>
      </c>
      <c r="D489" s="2" t="s">
        <v>4997</v>
      </c>
      <c r="E489" s="2">
        <v>32800.0</v>
      </c>
      <c r="F489" s="2">
        <v>106.0</v>
      </c>
      <c r="G489" s="2">
        <v>471.0</v>
      </c>
      <c r="H489" s="2" t="s">
        <v>5906</v>
      </c>
      <c r="I489" s="2" t="s">
        <v>5906</v>
      </c>
      <c r="J489" s="2" t="s">
        <v>19954</v>
      </c>
      <c r="K489" s="2" t="s">
        <v>33956</v>
      </c>
      <c r="L489" s="10" t="s">
        <v>33957</v>
      </c>
    </row>
    <row r="490">
      <c r="A490" s="2" t="s">
        <v>4997</v>
      </c>
      <c r="B490" s="2" t="s">
        <v>33958</v>
      </c>
      <c r="C490" s="2">
        <v>3.20010566E8</v>
      </c>
      <c r="D490" s="2" t="s">
        <v>33959</v>
      </c>
      <c r="E490" s="2">
        <v>179836.0</v>
      </c>
      <c r="F490" s="2">
        <v>645.0</v>
      </c>
      <c r="G490" s="2">
        <v>33.0</v>
      </c>
      <c r="H490" s="2" t="s">
        <v>5906</v>
      </c>
      <c r="I490" s="2" t="s">
        <v>5905</v>
      </c>
      <c r="J490" s="2" t="s">
        <v>6354</v>
      </c>
      <c r="K490" s="2" t="s">
        <v>33960</v>
      </c>
      <c r="L490" s="10" t="s">
        <v>33961</v>
      </c>
    </row>
    <row r="491">
      <c r="A491" s="2" t="s">
        <v>4997</v>
      </c>
      <c r="B491" s="2" t="s">
        <v>33962</v>
      </c>
      <c r="C491" s="2">
        <v>7.2000671041E10</v>
      </c>
      <c r="D491" s="2" t="s">
        <v>33963</v>
      </c>
      <c r="E491" s="2">
        <v>25480.0</v>
      </c>
      <c r="F491" s="2">
        <v>3.0</v>
      </c>
      <c r="G491" s="2">
        <v>1476.0</v>
      </c>
      <c r="H491" s="2" t="s">
        <v>5905</v>
      </c>
      <c r="I491" s="2" t="s">
        <v>5905</v>
      </c>
      <c r="J491" s="2" t="s">
        <v>4397</v>
      </c>
      <c r="K491" s="2" t="s">
        <v>33964</v>
      </c>
    </row>
    <row r="492">
      <c r="A492" s="2" t="s">
        <v>4997</v>
      </c>
      <c r="B492" s="2" t="s">
        <v>33965</v>
      </c>
      <c r="C492" s="2">
        <v>2.96971747E8</v>
      </c>
      <c r="D492" s="2" t="s">
        <v>33959</v>
      </c>
      <c r="E492" s="2">
        <v>26945.0</v>
      </c>
      <c r="F492" s="2">
        <v>14.0</v>
      </c>
      <c r="G492" s="2">
        <v>1174.0</v>
      </c>
      <c r="H492" s="2" t="s">
        <v>5905</v>
      </c>
      <c r="I492" s="2" t="s">
        <v>5905</v>
      </c>
      <c r="J492" s="2" t="s">
        <v>13222</v>
      </c>
      <c r="K492" s="2" t="s">
        <v>33966</v>
      </c>
      <c r="L492" s="10" t="s">
        <v>33967</v>
      </c>
    </row>
    <row r="493">
      <c r="A493" s="2" t="s">
        <v>4997</v>
      </c>
      <c r="B493" s="2" t="s">
        <v>33968</v>
      </c>
      <c r="C493" s="2">
        <v>2.6927887E7</v>
      </c>
      <c r="D493" s="2" t="s">
        <v>33969</v>
      </c>
      <c r="E493" s="2">
        <v>573405.0</v>
      </c>
      <c r="F493" s="2">
        <v>1.0</v>
      </c>
      <c r="G493" s="2">
        <v>1519.0</v>
      </c>
      <c r="H493" s="2" t="s">
        <v>5906</v>
      </c>
      <c r="I493" s="2" t="s">
        <v>5906</v>
      </c>
      <c r="J493" s="2" t="s">
        <v>6166</v>
      </c>
      <c r="L493" s="10" t="s">
        <v>33970</v>
      </c>
    </row>
    <row r="494">
      <c r="A494" s="2" t="s">
        <v>4956</v>
      </c>
      <c r="B494" s="2" t="s">
        <v>33971</v>
      </c>
      <c r="C494" s="2">
        <v>1.524374693E9</v>
      </c>
      <c r="D494" s="2" t="s">
        <v>33972</v>
      </c>
      <c r="E494" s="2">
        <v>164895.0</v>
      </c>
      <c r="F494" s="2">
        <v>350.0</v>
      </c>
      <c r="G494" s="2">
        <v>2971.0</v>
      </c>
      <c r="H494" s="2" t="s">
        <v>5906</v>
      </c>
      <c r="I494" s="2" t="s">
        <v>5905</v>
      </c>
      <c r="J494" s="2" t="s">
        <v>6856</v>
      </c>
      <c r="K494" s="2" t="s">
        <v>33973</v>
      </c>
      <c r="L494" s="10" t="s">
        <v>33974</v>
      </c>
    </row>
    <row r="495">
      <c r="A495" s="2" t="s">
        <v>4956</v>
      </c>
      <c r="B495" s="2" t="s">
        <v>33975</v>
      </c>
      <c r="C495" s="2">
        <v>2.95309018E8</v>
      </c>
      <c r="D495" s="2" t="s">
        <v>33976</v>
      </c>
      <c r="E495" s="2">
        <v>221940.0</v>
      </c>
      <c r="F495" s="2">
        <v>1478.0</v>
      </c>
      <c r="G495" s="2">
        <v>370.0</v>
      </c>
      <c r="H495" s="2" t="s">
        <v>5905</v>
      </c>
      <c r="I495" s="2" t="s">
        <v>5906</v>
      </c>
      <c r="J495" s="2" t="s">
        <v>12774</v>
      </c>
      <c r="K495" s="2" t="s">
        <v>33977</v>
      </c>
      <c r="L495" s="10" t="s">
        <v>33978</v>
      </c>
    </row>
    <row r="496">
      <c r="A496" s="2" t="s">
        <v>4956</v>
      </c>
      <c r="B496" s="2" t="s">
        <v>33979</v>
      </c>
      <c r="C496" s="2">
        <v>1.58982308E10</v>
      </c>
      <c r="D496" s="2" t="s">
        <v>33980</v>
      </c>
      <c r="E496" s="2">
        <v>119364.0</v>
      </c>
      <c r="F496" s="2">
        <v>466.0</v>
      </c>
      <c r="G496" s="2">
        <v>710.0</v>
      </c>
      <c r="H496" s="2" t="s">
        <v>5906</v>
      </c>
      <c r="I496" s="2" t="s">
        <v>5905</v>
      </c>
      <c r="J496" s="2" t="s">
        <v>9767</v>
      </c>
      <c r="K496" s="2" t="s">
        <v>33981</v>
      </c>
      <c r="L496" s="10" t="s">
        <v>33982</v>
      </c>
    </row>
    <row r="497">
      <c r="A497" s="2" t="s">
        <v>4956</v>
      </c>
      <c r="B497" s="2" t="s">
        <v>33983</v>
      </c>
      <c r="C497" s="2">
        <v>2.617469E7</v>
      </c>
      <c r="D497" s="2" t="s">
        <v>33984</v>
      </c>
      <c r="E497" s="2">
        <v>317191.0</v>
      </c>
      <c r="F497" s="2">
        <v>1543.0</v>
      </c>
      <c r="G497" s="2">
        <v>3423.0</v>
      </c>
      <c r="H497" s="2" t="s">
        <v>5906</v>
      </c>
      <c r="I497" s="2" t="s">
        <v>5905</v>
      </c>
      <c r="J497" s="2" t="s">
        <v>6410</v>
      </c>
      <c r="K497" s="2" t="s">
        <v>33985</v>
      </c>
      <c r="L497" s="10" t="s">
        <v>33986</v>
      </c>
    </row>
    <row r="498">
      <c r="A498" s="2" t="s">
        <v>4956</v>
      </c>
      <c r="B498" s="2" t="s">
        <v>33987</v>
      </c>
      <c r="C498" s="2">
        <v>6.3201602975E10</v>
      </c>
      <c r="D498" s="2" t="s">
        <v>33988</v>
      </c>
      <c r="E498" s="2">
        <v>542439.0</v>
      </c>
      <c r="F498" s="2">
        <v>0.0</v>
      </c>
      <c r="G498" s="2">
        <v>1388.0</v>
      </c>
      <c r="H498" s="2" t="s">
        <v>5905</v>
      </c>
      <c r="I498" s="2" t="s">
        <v>5905</v>
      </c>
      <c r="J498" s="2" t="s">
        <v>7140</v>
      </c>
      <c r="K498" s="2" t="s">
        <v>33989</v>
      </c>
    </row>
    <row r="499">
      <c r="A499" s="2" t="s">
        <v>4956</v>
      </c>
      <c r="B499" s="2" t="s">
        <v>33990</v>
      </c>
      <c r="C499" s="2">
        <v>5.8245376626E10</v>
      </c>
      <c r="D499" s="2" t="s">
        <v>33991</v>
      </c>
      <c r="E499" s="2">
        <v>244484.0</v>
      </c>
      <c r="F499" s="2">
        <v>87.0</v>
      </c>
      <c r="G499" s="2">
        <v>553.0</v>
      </c>
      <c r="H499" s="2" t="s">
        <v>5905</v>
      </c>
      <c r="I499" s="2" t="s">
        <v>5905</v>
      </c>
      <c r="J499" s="2" t="s">
        <v>7140</v>
      </c>
      <c r="K499" s="2" t="s">
        <v>33992</v>
      </c>
      <c r="L499" s="10" t="s">
        <v>33993</v>
      </c>
    </row>
    <row r="500">
      <c r="A500" s="2" t="s">
        <v>4956</v>
      </c>
      <c r="B500" s="2" t="s">
        <v>33994</v>
      </c>
      <c r="C500" s="2">
        <v>1.6401269942E10</v>
      </c>
      <c r="D500" s="2" t="s">
        <v>33995</v>
      </c>
      <c r="E500" s="2">
        <v>45204.0</v>
      </c>
      <c r="F500" s="2">
        <v>239.0</v>
      </c>
      <c r="G500" s="2">
        <v>69.0</v>
      </c>
      <c r="H500" s="2" t="s">
        <v>5905</v>
      </c>
      <c r="I500" s="2" t="s">
        <v>5906</v>
      </c>
      <c r="J500" s="2" t="s">
        <v>5959</v>
      </c>
      <c r="K500" s="2" t="s">
        <v>33996</v>
      </c>
      <c r="L500" s="10" t="s">
        <v>33997</v>
      </c>
    </row>
    <row r="501">
      <c r="A501" s="2" t="s">
        <v>4956</v>
      </c>
      <c r="B501" s="2" t="s">
        <v>33998</v>
      </c>
      <c r="C501" s="2">
        <v>1.674249391E9</v>
      </c>
      <c r="D501" s="2" t="s">
        <v>33999</v>
      </c>
      <c r="E501" s="2">
        <v>1311002.0</v>
      </c>
      <c r="F501" s="2">
        <v>46.0</v>
      </c>
      <c r="G501" s="2">
        <v>349.0</v>
      </c>
      <c r="H501" s="2" t="s">
        <v>5905</v>
      </c>
      <c r="I501" s="2" t="s">
        <v>5905</v>
      </c>
      <c r="J501" s="2" t="s">
        <v>7140</v>
      </c>
      <c r="K501" s="2" t="s">
        <v>34000</v>
      </c>
      <c r="L501" s="10" t="s">
        <v>34001</v>
      </c>
    </row>
    <row r="502">
      <c r="A502" s="2" t="s">
        <v>4956</v>
      </c>
      <c r="B502" s="2" t="s">
        <v>34002</v>
      </c>
      <c r="C502" s="2">
        <v>5.9170888508E10</v>
      </c>
      <c r="D502" s="2" t="s">
        <v>34003</v>
      </c>
      <c r="E502" s="2">
        <v>103945.0</v>
      </c>
      <c r="F502" s="2">
        <v>26.0</v>
      </c>
      <c r="G502" s="2">
        <v>435.0</v>
      </c>
      <c r="H502" s="2" t="s">
        <v>5905</v>
      </c>
      <c r="I502" s="2" t="s">
        <v>5905</v>
      </c>
      <c r="J502" s="2" t="s">
        <v>9767</v>
      </c>
      <c r="K502" s="2" t="s">
        <v>34004</v>
      </c>
      <c r="L502" s="10" t="s">
        <v>34005</v>
      </c>
    </row>
    <row r="503">
      <c r="A503" s="2" t="s">
        <v>4956</v>
      </c>
      <c r="B503" s="2" t="s">
        <v>34006</v>
      </c>
      <c r="C503" s="2">
        <v>2.09742356E9</v>
      </c>
      <c r="D503" s="2" t="s">
        <v>4956</v>
      </c>
      <c r="E503" s="2">
        <v>90082.0</v>
      </c>
      <c r="F503" s="2">
        <v>913.0</v>
      </c>
      <c r="G503" s="2">
        <v>3198.0</v>
      </c>
      <c r="H503" s="2" t="s">
        <v>5905</v>
      </c>
      <c r="I503" s="2" t="s">
        <v>5906</v>
      </c>
      <c r="J503" s="2" t="s">
        <v>7140</v>
      </c>
      <c r="K503" s="2" t="s">
        <v>34007</v>
      </c>
      <c r="L503" s="10" t="s">
        <v>34008</v>
      </c>
    </row>
    <row r="504">
      <c r="A504" s="2" t="s">
        <v>4956</v>
      </c>
      <c r="B504" s="2" t="s">
        <v>34009</v>
      </c>
      <c r="C504" s="2">
        <v>4.70498952E8</v>
      </c>
      <c r="D504" s="2" t="s">
        <v>34010</v>
      </c>
      <c r="E504" s="2">
        <v>14716.0</v>
      </c>
      <c r="F504" s="2">
        <v>4654.0</v>
      </c>
      <c r="G504" s="2">
        <v>298.0</v>
      </c>
      <c r="H504" s="2" t="s">
        <v>5906</v>
      </c>
      <c r="I504" s="2" t="s">
        <v>5905</v>
      </c>
      <c r="J504" s="2" t="s">
        <v>5391</v>
      </c>
      <c r="K504" s="2" t="s">
        <v>34011</v>
      </c>
    </row>
    <row r="505">
      <c r="A505" s="2" t="s">
        <v>4956</v>
      </c>
      <c r="B505" s="2" t="s">
        <v>34012</v>
      </c>
      <c r="C505" s="2">
        <v>5.9928634393E10</v>
      </c>
      <c r="D505" s="2" t="s">
        <v>34013</v>
      </c>
      <c r="E505" s="2">
        <v>37087.0</v>
      </c>
      <c r="F505" s="2">
        <v>211.0</v>
      </c>
      <c r="G505" s="2">
        <v>302.0</v>
      </c>
      <c r="H505" s="2" t="s">
        <v>5905</v>
      </c>
      <c r="I505" s="2" t="s">
        <v>5906</v>
      </c>
      <c r="J505" s="2" t="s">
        <v>23921</v>
      </c>
      <c r="K505" s="2" t="s">
        <v>34014</v>
      </c>
      <c r="L505" s="10" t="s">
        <v>34015</v>
      </c>
    </row>
    <row r="506">
      <c r="A506" s="2" t="s">
        <v>4956</v>
      </c>
      <c r="B506" s="2" t="s">
        <v>34016</v>
      </c>
      <c r="C506" s="2">
        <v>5.8040944193E10</v>
      </c>
      <c r="D506" s="2" t="s">
        <v>34017</v>
      </c>
      <c r="E506" s="2">
        <v>484868.0</v>
      </c>
      <c r="F506" s="2">
        <v>54.0</v>
      </c>
      <c r="G506" s="2">
        <v>1048.0</v>
      </c>
      <c r="H506" s="2" t="s">
        <v>5905</v>
      </c>
      <c r="I506" s="2" t="s">
        <v>5905</v>
      </c>
      <c r="J506" s="2" t="s">
        <v>7140</v>
      </c>
      <c r="K506" s="2" t="s">
        <v>34018</v>
      </c>
      <c r="L506" s="10" t="s">
        <v>34019</v>
      </c>
    </row>
    <row r="507">
      <c r="A507" s="2" t="s">
        <v>4956</v>
      </c>
      <c r="B507" s="2" t="s">
        <v>34020</v>
      </c>
      <c r="C507" s="2">
        <v>4.781188328E9</v>
      </c>
      <c r="D507" s="2" t="s">
        <v>34021</v>
      </c>
      <c r="E507" s="2">
        <v>29127.0</v>
      </c>
      <c r="F507" s="2">
        <v>4764.0</v>
      </c>
      <c r="G507" s="2">
        <v>581.0</v>
      </c>
      <c r="H507" s="2" t="s">
        <v>5905</v>
      </c>
      <c r="I507" s="2" t="s">
        <v>5905</v>
      </c>
      <c r="J507" s="2" t="s">
        <v>9793</v>
      </c>
      <c r="K507" s="2" t="s">
        <v>34022</v>
      </c>
      <c r="L507" s="10" t="s">
        <v>34023</v>
      </c>
    </row>
    <row r="508">
      <c r="A508" s="2" t="s">
        <v>4969</v>
      </c>
      <c r="B508" s="2" t="s">
        <v>34024</v>
      </c>
      <c r="C508" s="2">
        <v>7.676394653E9</v>
      </c>
      <c r="D508" s="2" t="s">
        <v>34025</v>
      </c>
      <c r="E508" s="2">
        <v>10341.0</v>
      </c>
      <c r="F508" s="2">
        <v>3.0</v>
      </c>
      <c r="G508" s="2">
        <v>631.0</v>
      </c>
      <c r="H508" s="2" t="s">
        <v>5905</v>
      </c>
      <c r="I508" s="2" t="s">
        <v>5906</v>
      </c>
      <c r="J508" s="2" t="s">
        <v>17020</v>
      </c>
      <c r="K508" s="2" t="s">
        <v>34026</v>
      </c>
      <c r="L508" s="10" t="s">
        <v>34027</v>
      </c>
    </row>
    <row r="509">
      <c r="A509" s="2" t="s">
        <v>4969</v>
      </c>
      <c r="B509" s="2" t="s">
        <v>34028</v>
      </c>
      <c r="C509" s="2">
        <v>8.152319183E9</v>
      </c>
      <c r="D509" s="2" t="s">
        <v>4969</v>
      </c>
      <c r="E509" s="2">
        <v>25808.0</v>
      </c>
      <c r="F509" s="2">
        <v>41.0</v>
      </c>
      <c r="G509" s="2">
        <v>343.0</v>
      </c>
      <c r="H509" s="2" t="s">
        <v>5905</v>
      </c>
      <c r="I509" s="2" t="s">
        <v>5906</v>
      </c>
      <c r="J509" s="2" t="s">
        <v>7414</v>
      </c>
      <c r="K509" s="2" t="s">
        <v>34029</v>
      </c>
      <c r="L509" s="10" t="s">
        <v>34030</v>
      </c>
    </row>
    <row r="510">
      <c r="A510" s="2" t="s">
        <v>4969</v>
      </c>
      <c r="B510" s="2" t="s">
        <v>34031</v>
      </c>
      <c r="C510" s="2">
        <v>5.6901782701E10</v>
      </c>
      <c r="D510" s="2" t="s">
        <v>34032</v>
      </c>
      <c r="E510" s="2">
        <v>371406.0</v>
      </c>
      <c r="F510" s="2">
        <v>0.0</v>
      </c>
      <c r="G510" s="2">
        <v>539.0</v>
      </c>
      <c r="H510" s="2" t="s">
        <v>5905</v>
      </c>
      <c r="I510" s="2" t="s">
        <v>5906</v>
      </c>
      <c r="J510" s="2" t="s">
        <v>8878</v>
      </c>
      <c r="K510" s="12" t="s">
        <v>34033</v>
      </c>
      <c r="L510" s="10" t="s">
        <v>34034</v>
      </c>
    </row>
    <row r="511">
      <c r="A511" s="2" t="s">
        <v>4969</v>
      </c>
      <c r="B511" s="2" t="s">
        <v>34035</v>
      </c>
      <c r="C511" s="2">
        <v>2.07315331E8</v>
      </c>
      <c r="D511" s="2" t="s">
        <v>34036</v>
      </c>
      <c r="E511" s="2">
        <v>168761.0</v>
      </c>
      <c r="F511" s="2">
        <v>33.0</v>
      </c>
      <c r="G511" s="2">
        <v>1783.0</v>
      </c>
      <c r="H511" s="2" t="s">
        <v>5905</v>
      </c>
      <c r="I511" s="2" t="s">
        <v>5906</v>
      </c>
      <c r="J511" s="2" t="s">
        <v>6111</v>
      </c>
      <c r="K511" s="2" t="s">
        <v>34037</v>
      </c>
    </row>
    <row r="512">
      <c r="A512" s="2" t="s">
        <v>4969</v>
      </c>
      <c r="B512" s="2" t="s">
        <v>22426</v>
      </c>
      <c r="C512" s="2">
        <v>1.3922175E7</v>
      </c>
      <c r="D512" s="2" t="s">
        <v>22427</v>
      </c>
      <c r="E512" s="2">
        <v>1755239.0</v>
      </c>
      <c r="F512" s="2">
        <v>4886.0</v>
      </c>
      <c r="G512" s="2">
        <v>4895.0</v>
      </c>
      <c r="H512" s="2" t="s">
        <v>5906</v>
      </c>
      <c r="I512" s="2" t="s">
        <v>5905</v>
      </c>
      <c r="J512" s="2" t="s">
        <v>6414</v>
      </c>
      <c r="K512" s="2" t="s">
        <v>22428</v>
      </c>
      <c r="L512" s="10" t="s">
        <v>22429</v>
      </c>
    </row>
    <row r="513">
      <c r="A513" s="2" t="s">
        <v>4969</v>
      </c>
      <c r="B513" s="2" t="s">
        <v>22434</v>
      </c>
      <c r="C513" s="2">
        <v>6.2091115E8</v>
      </c>
      <c r="D513" s="2" t="s">
        <v>22435</v>
      </c>
      <c r="E513" s="2">
        <v>3514879.0</v>
      </c>
      <c r="F513" s="2">
        <v>417.0</v>
      </c>
      <c r="G513" s="2">
        <v>3783.0</v>
      </c>
      <c r="H513" s="2" t="s">
        <v>5905</v>
      </c>
      <c r="I513" s="2" t="s">
        <v>5905</v>
      </c>
      <c r="J513" s="2" t="s">
        <v>5391</v>
      </c>
      <c r="K513" s="2" t="s">
        <v>22436</v>
      </c>
    </row>
    <row r="514">
      <c r="A514" s="2" t="s">
        <v>4969</v>
      </c>
      <c r="B514" s="2" t="s">
        <v>34038</v>
      </c>
      <c r="C514" s="2">
        <v>6.2585268407E10</v>
      </c>
      <c r="D514" s="2" t="s">
        <v>34039</v>
      </c>
      <c r="E514" s="2">
        <v>41312.0</v>
      </c>
      <c r="F514" s="2">
        <v>90.0</v>
      </c>
      <c r="G514" s="2">
        <v>37.0</v>
      </c>
      <c r="H514" s="2" t="s">
        <v>5905</v>
      </c>
      <c r="I514" s="2" t="s">
        <v>5905</v>
      </c>
      <c r="J514" s="2" t="s">
        <v>5959</v>
      </c>
      <c r="K514" s="2" t="s">
        <v>34040</v>
      </c>
      <c r="L514" s="10" t="s">
        <v>34041</v>
      </c>
    </row>
    <row r="515">
      <c r="A515" s="2" t="s">
        <v>4969</v>
      </c>
      <c r="B515" s="2" t="s">
        <v>34042</v>
      </c>
      <c r="C515" s="2">
        <v>4.840504764E9</v>
      </c>
      <c r="D515" s="2" t="s">
        <v>34043</v>
      </c>
      <c r="E515" s="2">
        <v>668707.0</v>
      </c>
      <c r="F515" s="2">
        <v>2.0</v>
      </c>
      <c r="G515" s="2">
        <v>2054.0</v>
      </c>
      <c r="H515" s="2" t="s">
        <v>5906</v>
      </c>
      <c r="I515" s="2" t="s">
        <v>5906</v>
      </c>
      <c r="J515" s="2" t="s">
        <v>29710</v>
      </c>
      <c r="K515" s="2" t="s">
        <v>34044</v>
      </c>
      <c r="L515" s="10" t="s">
        <v>34045</v>
      </c>
    </row>
    <row r="516">
      <c r="A516" s="2" t="s">
        <v>5136</v>
      </c>
      <c r="B516" s="2" t="s">
        <v>34046</v>
      </c>
      <c r="C516" s="2">
        <v>4.1175160026E10</v>
      </c>
      <c r="D516" s="2" t="s">
        <v>34047</v>
      </c>
      <c r="E516" s="2">
        <v>11299.0</v>
      </c>
      <c r="F516" s="2">
        <v>22.0</v>
      </c>
      <c r="G516" s="2">
        <v>220.0</v>
      </c>
      <c r="H516" s="2" t="s">
        <v>5905</v>
      </c>
      <c r="I516" s="2" t="s">
        <v>5905</v>
      </c>
      <c r="J516" s="2" t="s">
        <v>5391</v>
      </c>
      <c r="K516" s="2" t="s">
        <v>34048</v>
      </c>
      <c r="L516" s="10" t="s">
        <v>34049</v>
      </c>
    </row>
    <row r="517">
      <c r="A517" s="2" t="s">
        <v>5010</v>
      </c>
      <c r="B517" s="2" t="s">
        <v>34050</v>
      </c>
      <c r="C517" s="2">
        <v>6.9397803377E10</v>
      </c>
      <c r="D517" s="2" t="s">
        <v>34051</v>
      </c>
      <c r="E517" s="2">
        <v>36422.0</v>
      </c>
      <c r="F517" s="2">
        <v>78.0</v>
      </c>
      <c r="G517" s="2">
        <v>58.0</v>
      </c>
      <c r="H517" s="2" t="s">
        <v>5905</v>
      </c>
      <c r="I517" s="2" t="s">
        <v>5906</v>
      </c>
      <c r="J517" s="2" t="s">
        <v>5963</v>
      </c>
      <c r="K517" s="12" t="s">
        <v>34052</v>
      </c>
    </row>
    <row r="518">
      <c r="A518" s="2" t="s">
        <v>5010</v>
      </c>
      <c r="B518" s="2" t="s">
        <v>34053</v>
      </c>
      <c r="C518" s="2">
        <v>3.8477570758E10</v>
      </c>
      <c r="D518" s="2" t="s">
        <v>34054</v>
      </c>
      <c r="E518" s="2">
        <v>36708.0</v>
      </c>
      <c r="F518" s="2">
        <v>17.0</v>
      </c>
      <c r="G518" s="2">
        <v>11364.0</v>
      </c>
      <c r="H518" s="2" t="s">
        <v>5905</v>
      </c>
      <c r="I518" s="2" t="s">
        <v>5906</v>
      </c>
      <c r="J518" s="2" t="s">
        <v>7677</v>
      </c>
      <c r="K518" s="2" t="s">
        <v>34055</v>
      </c>
      <c r="L518" s="10" t="s">
        <v>34056</v>
      </c>
    </row>
    <row r="519">
      <c r="A519" s="2" t="s">
        <v>5010</v>
      </c>
      <c r="B519" s="2" t="s">
        <v>34057</v>
      </c>
      <c r="C519" s="2">
        <v>6.3957809028E10</v>
      </c>
      <c r="D519" s="12" t="s">
        <v>34058</v>
      </c>
      <c r="E519" s="2">
        <v>11084.0</v>
      </c>
      <c r="F519" s="2">
        <v>2.0</v>
      </c>
      <c r="G519" s="2">
        <v>393.0</v>
      </c>
      <c r="H519" s="2" t="s">
        <v>5905</v>
      </c>
      <c r="I519" s="2" t="s">
        <v>5906</v>
      </c>
      <c r="J519" s="2" t="s">
        <v>5963</v>
      </c>
      <c r="K519" s="12" t="s">
        <v>34059</v>
      </c>
    </row>
    <row r="520">
      <c r="A520" s="2" t="s">
        <v>5010</v>
      </c>
      <c r="B520" s="2" t="s">
        <v>34060</v>
      </c>
      <c r="C520" s="2">
        <v>5.1071349324E10</v>
      </c>
      <c r="D520" s="2" t="s">
        <v>34061</v>
      </c>
      <c r="E520" s="2">
        <v>969459.0</v>
      </c>
      <c r="F520" s="2">
        <v>4104.0</v>
      </c>
      <c r="G520" s="2">
        <v>2727.0</v>
      </c>
      <c r="H520" s="2" t="s">
        <v>5905</v>
      </c>
      <c r="I520" s="2" t="s">
        <v>5905</v>
      </c>
      <c r="J520" s="2" t="s">
        <v>5492</v>
      </c>
      <c r="K520" s="2" t="s">
        <v>34062</v>
      </c>
    </row>
    <row r="521">
      <c r="A521" s="2" t="s">
        <v>5010</v>
      </c>
      <c r="B521" s="2" t="s">
        <v>34063</v>
      </c>
      <c r="C521" s="2">
        <v>7.0831551985E10</v>
      </c>
      <c r="D521" s="2" t="s">
        <v>34064</v>
      </c>
      <c r="E521" s="2">
        <v>30056.0</v>
      </c>
      <c r="F521" s="2">
        <v>23.0</v>
      </c>
      <c r="G521" s="2">
        <v>56.0</v>
      </c>
      <c r="H521" s="2" t="s">
        <v>5905</v>
      </c>
      <c r="I521" s="2" t="s">
        <v>5905</v>
      </c>
      <c r="J521" s="2" t="s">
        <v>5959</v>
      </c>
      <c r="K521" s="2" t="s">
        <v>34065</v>
      </c>
    </row>
    <row r="522">
      <c r="A522" s="2" t="s">
        <v>5010</v>
      </c>
      <c r="B522" s="2" t="s">
        <v>34066</v>
      </c>
      <c r="C522" s="2">
        <v>4.5451317981E10</v>
      </c>
      <c r="D522" s="2" t="s">
        <v>5010</v>
      </c>
      <c r="E522" s="2">
        <v>56642.0</v>
      </c>
      <c r="F522" s="2">
        <v>93.0</v>
      </c>
      <c r="G522" s="2">
        <v>308.0</v>
      </c>
      <c r="H522" s="2" t="s">
        <v>5905</v>
      </c>
      <c r="I522" s="2" t="s">
        <v>5906</v>
      </c>
      <c r="J522" s="2" t="s">
        <v>5561</v>
      </c>
      <c r="K522" s="2" t="s">
        <v>34067</v>
      </c>
    </row>
    <row r="523">
      <c r="A523" s="2" t="s">
        <v>5010</v>
      </c>
      <c r="B523" s="2" t="s">
        <v>34068</v>
      </c>
      <c r="C523" s="2">
        <v>2.2959322077E10</v>
      </c>
      <c r="D523" s="2" t="s">
        <v>34069</v>
      </c>
      <c r="E523" s="2">
        <v>66922.0</v>
      </c>
      <c r="F523" s="2">
        <v>1.0</v>
      </c>
      <c r="G523" s="2">
        <v>309.0</v>
      </c>
      <c r="H523" s="2" t="s">
        <v>5905</v>
      </c>
      <c r="I523" s="2" t="s">
        <v>5906</v>
      </c>
      <c r="J523" s="2" t="s">
        <v>6940</v>
      </c>
      <c r="K523" s="2" t="s">
        <v>34070</v>
      </c>
      <c r="L523" s="10" t="s">
        <v>34071</v>
      </c>
    </row>
    <row r="524">
      <c r="A524" s="2" t="s">
        <v>5010</v>
      </c>
      <c r="B524" s="2" t="s">
        <v>34072</v>
      </c>
      <c r="C524" s="2">
        <v>5.7120201053E10</v>
      </c>
      <c r="D524" s="2" t="s">
        <v>34073</v>
      </c>
      <c r="E524" s="2">
        <v>37308.0</v>
      </c>
      <c r="F524" s="2">
        <v>5.0</v>
      </c>
      <c r="G524" s="2">
        <v>470.0</v>
      </c>
      <c r="H524" s="2" t="s">
        <v>5905</v>
      </c>
      <c r="I524" s="2" t="s">
        <v>5906</v>
      </c>
      <c r="J524" s="2" t="s">
        <v>6161</v>
      </c>
      <c r="K524" s="12" t="s">
        <v>34074</v>
      </c>
    </row>
    <row r="525">
      <c r="A525" s="2" t="s">
        <v>5010</v>
      </c>
      <c r="B525" s="2" t="s">
        <v>34075</v>
      </c>
      <c r="C525" s="2">
        <v>6.242728271E9</v>
      </c>
      <c r="D525" s="2" t="s">
        <v>34076</v>
      </c>
      <c r="E525" s="2">
        <v>165302.0</v>
      </c>
      <c r="F525" s="2">
        <v>3.0</v>
      </c>
      <c r="G525" s="2">
        <v>17856.0</v>
      </c>
      <c r="H525" s="2" t="s">
        <v>5905</v>
      </c>
      <c r="I525" s="2" t="s">
        <v>5905</v>
      </c>
      <c r="J525" s="2" t="s">
        <v>8245</v>
      </c>
      <c r="K525" s="2" t="s">
        <v>34077</v>
      </c>
    </row>
    <row r="526">
      <c r="A526" s="2" t="s">
        <v>5010</v>
      </c>
      <c r="B526" s="2" t="s">
        <v>34078</v>
      </c>
      <c r="C526" s="2">
        <v>6.5232516142E10</v>
      </c>
      <c r="D526" s="2" t="s">
        <v>34079</v>
      </c>
      <c r="E526" s="2">
        <v>243878.0</v>
      </c>
      <c r="F526" s="2">
        <v>1.0</v>
      </c>
      <c r="G526" s="2">
        <v>575.0</v>
      </c>
      <c r="H526" s="2" t="s">
        <v>5905</v>
      </c>
      <c r="I526" s="2" t="s">
        <v>5906</v>
      </c>
      <c r="J526" s="2" t="s">
        <v>9016</v>
      </c>
      <c r="L526" s="10" t="s">
        <v>34080</v>
      </c>
    </row>
    <row r="527">
      <c r="A527" s="2" t="s">
        <v>5123</v>
      </c>
      <c r="B527" s="2" t="s">
        <v>34081</v>
      </c>
      <c r="C527" s="2">
        <v>4.491612162E9</v>
      </c>
      <c r="D527" s="2" t="s">
        <v>34082</v>
      </c>
      <c r="E527" s="2">
        <v>34196.0</v>
      </c>
      <c r="F527" s="2">
        <v>7395.0</v>
      </c>
      <c r="G527" s="2">
        <v>11460.0</v>
      </c>
      <c r="H527" s="2" t="s">
        <v>5905</v>
      </c>
      <c r="I527" s="2" t="s">
        <v>5905</v>
      </c>
      <c r="J527" s="2" t="s">
        <v>7140</v>
      </c>
      <c r="K527" s="2" t="s">
        <v>34083</v>
      </c>
    </row>
    <row r="528">
      <c r="A528" s="2" t="s">
        <v>4967</v>
      </c>
      <c r="B528" s="2" t="s">
        <v>34084</v>
      </c>
      <c r="C528" s="2">
        <v>2.35393849E8</v>
      </c>
      <c r="D528" s="2" t="s">
        <v>34085</v>
      </c>
      <c r="E528" s="2">
        <v>5015206.0</v>
      </c>
      <c r="F528" s="2">
        <v>3.0</v>
      </c>
      <c r="G528" s="2">
        <v>2990.0</v>
      </c>
      <c r="H528" s="2" t="s">
        <v>5906</v>
      </c>
      <c r="I528" s="2" t="s">
        <v>5906</v>
      </c>
      <c r="K528" s="2" t="s">
        <v>34086</v>
      </c>
      <c r="L528" s="10" t="s">
        <v>34087</v>
      </c>
    </row>
    <row r="529">
      <c r="A529" s="2" t="s">
        <v>4967</v>
      </c>
      <c r="B529" s="2" t="s">
        <v>34088</v>
      </c>
      <c r="C529" s="2">
        <v>6.03791436E9</v>
      </c>
      <c r="D529" s="2" t="s">
        <v>34089</v>
      </c>
      <c r="E529" s="2">
        <v>13039.0</v>
      </c>
      <c r="F529" s="2">
        <v>6.0</v>
      </c>
      <c r="G529" s="2">
        <v>662.0</v>
      </c>
      <c r="H529" s="2" t="s">
        <v>5905</v>
      </c>
      <c r="I529" s="2" t="s">
        <v>5906</v>
      </c>
      <c r="J529" s="2" t="s">
        <v>6027</v>
      </c>
      <c r="K529" s="2" t="s">
        <v>34090</v>
      </c>
      <c r="L529" s="10" t="s">
        <v>34091</v>
      </c>
    </row>
    <row r="530">
      <c r="A530" s="2" t="s">
        <v>4967</v>
      </c>
      <c r="B530" s="2" t="s">
        <v>34092</v>
      </c>
      <c r="C530" s="2">
        <v>9.018004858E9</v>
      </c>
      <c r="D530" s="2" t="s">
        <v>34093</v>
      </c>
      <c r="E530" s="2">
        <v>17091.0</v>
      </c>
      <c r="F530" s="2">
        <v>3235.0</v>
      </c>
      <c r="G530" s="2">
        <v>99.0</v>
      </c>
      <c r="H530" s="2" t="s">
        <v>5905</v>
      </c>
      <c r="I530" s="2" t="s">
        <v>5905</v>
      </c>
      <c r="J530" s="2" t="s">
        <v>8245</v>
      </c>
      <c r="K530" s="2" t="s">
        <v>34094</v>
      </c>
    </row>
    <row r="531">
      <c r="A531" s="2" t="s">
        <v>4967</v>
      </c>
      <c r="B531" s="2" t="s">
        <v>34095</v>
      </c>
      <c r="C531" s="2">
        <v>3.8432531616E10</v>
      </c>
      <c r="D531" s="2" t="s">
        <v>34096</v>
      </c>
      <c r="E531" s="2">
        <v>85479.0</v>
      </c>
      <c r="F531" s="2">
        <v>1.0</v>
      </c>
      <c r="G531" s="2">
        <v>66.0</v>
      </c>
      <c r="H531" s="2" t="s">
        <v>5906</v>
      </c>
      <c r="I531" s="2" t="s">
        <v>5906</v>
      </c>
      <c r="J531" s="2" t="s">
        <v>5492</v>
      </c>
      <c r="K531" s="2" t="s">
        <v>34097</v>
      </c>
      <c r="L531" s="10" t="s">
        <v>34098</v>
      </c>
    </row>
    <row r="532">
      <c r="A532" s="2" t="s">
        <v>4967</v>
      </c>
      <c r="B532" s="2" t="s">
        <v>34099</v>
      </c>
      <c r="C532" s="2">
        <v>7.27005437E8</v>
      </c>
      <c r="D532" s="2" t="s">
        <v>34100</v>
      </c>
      <c r="E532" s="2">
        <v>1142402.0</v>
      </c>
      <c r="F532" s="2">
        <v>305.0</v>
      </c>
      <c r="G532" s="2">
        <v>5528.0</v>
      </c>
      <c r="H532" s="2" t="s">
        <v>5905</v>
      </c>
      <c r="I532" s="2" t="s">
        <v>5906</v>
      </c>
      <c r="J532" s="2" t="s">
        <v>5561</v>
      </c>
      <c r="K532" s="2" t="s">
        <v>34101</v>
      </c>
    </row>
    <row r="533">
      <c r="A533" s="2" t="s">
        <v>4967</v>
      </c>
      <c r="B533" s="2" t="s">
        <v>34102</v>
      </c>
      <c r="C533" s="2">
        <v>3.9939022E7</v>
      </c>
      <c r="D533" s="2" t="s">
        <v>34103</v>
      </c>
      <c r="E533" s="2">
        <v>1.9001351E7</v>
      </c>
      <c r="F533" s="2">
        <v>2.0</v>
      </c>
      <c r="G533" s="2">
        <v>11339.0</v>
      </c>
      <c r="H533" s="2" t="s">
        <v>5906</v>
      </c>
      <c r="I533" s="2" t="s">
        <v>5906</v>
      </c>
      <c r="K533" s="2" t="s">
        <v>34104</v>
      </c>
      <c r="L533" s="10" t="s">
        <v>34105</v>
      </c>
    </row>
    <row r="534">
      <c r="A534" s="2" t="s">
        <v>4967</v>
      </c>
      <c r="B534" s="2" t="s">
        <v>34106</v>
      </c>
      <c r="C534" s="2">
        <v>1.649637322E9</v>
      </c>
      <c r="D534" s="2" t="s">
        <v>34106</v>
      </c>
      <c r="E534" s="2">
        <v>29482.0</v>
      </c>
      <c r="F534" s="2">
        <v>1671.0</v>
      </c>
      <c r="G534" s="2">
        <v>162.0</v>
      </c>
      <c r="H534" s="2" t="s">
        <v>5905</v>
      </c>
      <c r="I534" s="2" t="s">
        <v>5905</v>
      </c>
      <c r="K534" s="12" t="s">
        <v>34107</v>
      </c>
    </row>
    <row r="535">
      <c r="A535" s="2" t="s">
        <v>5110</v>
      </c>
      <c r="B535" s="2" t="s">
        <v>34108</v>
      </c>
      <c r="C535" s="2">
        <v>5.959766709E9</v>
      </c>
      <c r="D535" s="2" t="s">
        <v>34109</v>
      </c>
      <c r="E535" s="2">
        <v>895305.0</v>
      </c>
      <c r="F535" s="2">
        <v>30.0</v>
      </c>
      <c r="G535" s="2">
        <v>829.0</v>
      </c>
      <c r="H535" s="2" t="s">
        <v>5906</v>
      </c>
      <c r="I535" s="2" t="s">
        <v>5906</v>
      </c>
      <c r="J535" s="2" t="s">
        <v>6161</v>
      </c>
      <c r="K535" s="2" t="s">
        <v>34110</v>
      </c>
      <c r="L535" s="10" t="s">
        <v>34111</v>
      </c>
    </row>
    <row r="536">
      <c r="A536" s="2" t="s">
        <v>5110</v>
      </c>
      <c r="B536" s="2" t="s">
        <v>34112</v>
      </c>
      <c r="C536" s="2">
        <v>2.2906818684E10</v>
      </c>
      <c r="D536" s="2" t="s">
        <v>34113</v>
      </c>
      <c r="E536" s="2">
        <v>29486.0</v>
      </c>
      <c r="F536" s="2">
        <v>0.0</v>
      </c>
      <c r="G536" s="2">
        <v>288.0</v>
      </c>
      <c r="H536" s="2" t="s">
        <v>5905</v>
      </c>
      <c r="I536" s="2" t="s">
        <v>5906</v>
      </c>
      <c r="J536" s="2" t="s">
        <v>6940</v>
      </c>
      <c r="K536" s="2" t="s">
        <v>34114</v>
      </c>
      <c r="L536" s="10" t="s">
        <v>34115</v>
      </c>
    </row>
    <row r="537">
      <c r="A537" s="2" t="s">
        <v>5110</v>
      </c>
      <c r="B537" s="2" t="s">
        <v>34116</v>
      </c>
      <c r="C537" s="2">
        <v>7.658467436E9</v>
      </c>
      <c r="D537" s="2" t="s">
        <v>34117</v>
      </c>
      <c r="E537" s="2">
        <v>85237.0</v>
      </c>
      <c r="F537" s="2">
        <v>2.0</v>
      </c>
      <c r="G537" s="2">
        <v>1719.0</v>
      </c>
      <c r="H537" s="2" t="s">
        <v>5905</v>
      </c>
      <c r="I537" s="2" t="s">
        <v>5905</v>
      </c>
      <c r="J537" s="2" t="s">
        <v>7931</v>
      </c>
      <c r="K537" s="2" t="s">
        <v>34118</v>
      </c>
      <c r="L537" s="10" t="s">
        <v>34119</v>
      </c>
    </row>
    <row r="538">
      <c r="A538" s="2" t="s">
        <v>5110</v>
      </c>
      <c r="B538" s="2" t="s">
        <v>34120</v>
      </c>
      <c r="C538" s="2">
        <v>5.2879565999E10</v>
      </c>
      <c r="D538" s="2" t="s">
        <v>34121</v>
      </c>
      <c r="E538" s="2">
        <v>12234.0</v>
      </c>
      <c r="F538" s="2">
        <v>37.0</v>
      </c>
      <c r="G538" s="2">
        <v>303.0</v>
      </c>
      <c r="H538" s="2" t="s">
        <v>5905</v>
      </c>
      <c r="I538" s="2" t="s">
        <v>5906</v>
      </c>
      <c r="J538" s="2" t="s">
        <v>13953</v>
      </c>
      <c r="K538" s="2" t="s">
        <v>34122</v>
      </c>
      <c r="L538" s="10" t="s">
        <v>34123</v>
      </c>
    </row>
    <row r="539">
      <c r="A539" s="2" t="s">
        <v>5008</v>
      </c>
      <c r="B539" s="2" t="s">
        <v>34124</v>
      </c>
      <c r="C539" s="2">
        <v>6.5959261526E10</v>
      </c>
      <c r="D539" s="2" t="s">
        <v>34125</v>
      </c>
      <c r="E539" s="2">
        <v>40882.0</v>
      </c>
      <c r="F539" s="2">
        <v>194.0</v>
      </c>
      <c r="G539" s="2">
        <v>457.0</v>
      </c>
      <c r="H539" s="2" t="s">
        <v>5905</v>
      </c>
      <c r="I539" s="2" t="s">
        <v>5905</v>
      </c>
      <c r="J539" s="2" t="s">
        <v>7414</v>
      </c>
      <c r="K539" s="2" t="s">
        <v>34126</v>
      </c>
      <c r="L539" s="10" t="s">
        <v>34127</v>
      </c>
    </row>
    <row r="540">
      <c r="A540" s="2" t="s">
        <v>5008</v>
      </c>
      <c r="B540" s="2" t="s">
        <v>34128</v>
      </c>
      <c r="C540" s="2">
        <v>1.560344201E9</v>
      </c>
      <c r="D540" s="2" t="s">
        <v>34129</v>
      </c>
      <c r="E540" s="2">
        <v>201678.0</v>
      </c>
      <c r="F540" s="2">
        <v>531.0</v>
      </c>
      <c r="G540" s="2">
        <v>2691.0</v>
      </c>
      <c r="H540" s="2" t="s">
        <v>5905</v>
      </c>
      <c r="I540" s="2" t="s">
        <v>5906</v>
      </c>
      <c r="K540" s="2" t="s">
        <v>34130</v>
      </c>
    </row>
    <row r="541">
      <c r="A541" s="2" t="s">
        <v>5008</v>
      </c>
      <c r="B541" s="2" t="s">
        <v>34131</v>
      </c>
      <c r="C541" s="2">
        <v>3.57249534E8</v>
      </c>
      <c r="D541" s="2" t="s">
        <v>34132</v>
      </c>
      <c r="E541" s="2">
        <v>615987.0</v>
      </c>
      <c r="F541" s="2">
        <v>1601.0</v>
      </c>
      <c r="G541" s="2">
        <v>4072.0</v>
      </c>
      <c r="H541" s="2" t="s">
        <v>5905</v>
      </c>
      <c r="I541" s="2" t="s">
        <v>5906</v>
      </c>
      <c r="J541" s="2" t="s">
        <v>7414</v>
      </c>
      <c r="K541" s="2" t="s">
        <v>34133</v>
      </c>
      <c r="L541" s="10" t="s">
        <v>34134</v>
      </c>
    </row>
    <row r="542">
      <c r="A542" s="2" t="s">
        <v>5008</v>
      </c>
      <c r="B542" s="2" t="s">
        <v>34135</v>
      </c>
      <c r="C542" s="2">
        <v>2.056940652E9</v>
      </c>
      <c r="D542" s="2" t="s">
        <v>34136</v>
      </c>
      <c r="E542" s="2">
        <v>23486.0</v>
      </c>
      <c r="F542" s="2">
        <v>646.0</v>
      </c>
      <c r="G542" s="2">
        <v>2251.0</v>
      </c>
      <c r="H542" s="2" t="s">
        <v>5905</v>
      </c>
      <c r="I542" s="2" t="s">
        <v>5905</v>
      </c>
      <c r="J542" s="2" t="s">
        <v>14778</v>
      </c>
      <c r="K542" s="2" t="s">
        <v>34137</v>
      </c>
      <c r="L542" s="10" t="s">
        <v>34138</v>
      </c>
    </row>
    <row r="543">
      <c r="A543" s="2" t="s">
        <v>5008</v>
      </c>
      <c r="B543" s="2" t="s">
        <v>4382</v>
      </c>
      <c r="C543" s="2">
        <v>5.9130473044E10</v>
      </c>
      <c r="D543" s="2" t="s">
        <v>5008</v>
      </c>
      <c r="E543" s="2">
        <v>171047.0</v>
      </c>
      <c r="F543" s="2">
        <v>224.0</v>
      </c>
      <c r="G543" s="2">
        <v>3915.0</v>
      </c>
      <c r="H543" s="2" t="s">
        <v>5905</v>
      </c>
      <c r="I543" s="2" t="s">
        <v>5906</v>
      </c>
      <c r="J543" s="2" t="s">
        <v>7414</v>
      </c>
      <c r="K543" s="2" t="s">
        <v>16069</v>
      </c>
      <c r="L543" s="10" t="s">
        <v>16070</v>
      </c>
    </row>
    <row r="544">
      <c r="A544" s="2" t="s">
        <v>5008</v>
      </c>
      <c r="B544" s="2" t="s">
        <v>16071</v>
      </c>
      <c r="C544" s="2">
        <v>2.37776748E8</v>
      </c>
      <c r="D544" s="2" t="s">
        <v>16072</v>
      </c>
      <c r="E544" s="2">
        <v>6613392.0</v>
      </c>
      <c r="F544" s="2">
        <v>1936.0</v>
      </c>
      <c r="G544" s="2">
        <v>3423.0</v>
      </c>
      <c r="H544" s="2" t="s">
        <v>5906</v>
      </c>
      <c r="I544" s="2" t="s">
        <v>5906</v>
      </c>
      <c r="J544" s="2" t="s">
        <v>7140</v>
      </c>
      <c r="K544" s="2" t="s">
        <v>16073</v>
      </c>
      <c r="L544" s="10" t="s">
        <v>16074</v>
      </c>
    </row>
    <row r="545">
      <c r="A545" s="2" t="s">
        <v>5008</v>
      </c>
      <c r="B545" s="2" t="s">
        <v>34139</v>
      </c>
      <c r="C545" s="2">
        <v>1.8589982E7</v>
      </c>
      <c r="D545" s="2" t="s">
        <v>34140</v>
      </c>
      <c r="E545" s="2">
        <v>11920.0</v>
      </c>
      <c r="F545" s="2">
        <v>4769.0</v>
      </c>
      <c r="G545" s="2">
        <v>1846.0</v>
      </c>
      <c r="H545" s="2" t="s">
        <v>5905</v>
      </c>
      <c r="I545" s="2" t="s">
        <v>5906</v>
      </c>
      <c r="J545" s="2" t="s">
        <v>5391</v>
      </c>
      <c r="K545" s="2" t="s">
        <v>34141</v>
      </c>
    </row>
    <row r="546">
      <c r="A546" s="2" t="s">
        <v>5008</v>
      </c>
      <c r="B546" s="2" t="s">
        <v>16092</v>
      </c>
      <c r="C546" s="2">
        <v>2.2887465E8</v>
      </c>
      <c r="D546" s="2" t="s">
        <v>16093</v>
      </c>
      <c r="E546" s="2">
        <v>490860.0</v>
      </c>
      <c r="F546" s="2">
        <v>1460.0</v>
      </c>
      <c r="G546" s="2">
        <v>2311.0</v>
      </c>
      <c r="H546" s="2" t="s">
        <v>5906</v>
      </c>
      <c r="I546" s="2" t="s">
        <v>5905</v>
      </c>
      <c r="J546" s="2" t="s">
        <v>7414</v>
      </c>
      <c r="K546" s="2" t="s">
        <v>16094</v>
      </c>
    </row>
    <row r="547">
      <c r="A547" s="2" t="s">
        <v>5008</v>
      </c>
      <c r="B547" s="2" t="s">
        <v>34142</v>
      </c>
      <c r="C547" s="2">
        <v>6.5575367721E10</v>
      </c>
      <c r="D547" s="2" t="s">
        <v>34143</v>
      </c>
      <c r="E547" s="2">
        <v>87160.0</v>
      </c>
      <c r="F547" s="2">
        <v>17.0</v>
      </c>
      <c r="G547" s="2">
        <v>489.0</v>
      </c>
      <c r="H547" s="2" t="s">
        <v>5905</v>
      </c>
      <c r="I547" s="2" t="s">
        <v>5905</v>
      </c>
      <c r="J547" s="2" t="s">
        <v>7414</v>
      </c>
      <c r="K547" s="2" t="s">
        <v>34144</v>
      </c>
    </row>
    <row r="548">
      <c r="A548" s="2" t="s">
        <v>5135</v>
      </c>
      <c r="B548" s="2" t="s">
        <v>34145</v>
      </c>
      <c r="C548" s="2">
        <v>1.90817402E8</v>
      </c>
      <c r="D548" s="2" t="s">
        <v>34146</v>
      </c>
      <c r="E548" s="2">
        <v>56434.0</v>
      </c>
      <c r="F548" s="2">
        <v>1532.0</v>
      </c>
      <c r="G548" s="2">
        <v>2368.0</v>
      </c>
      <c r="H548" s="2" t="s">
        <v>5905</v>
      </c>
      <c r="I548" s="2" t="s">
        <v>5906</v>
      </c>
      <c r="J548" s="2" t="s">
        <v>14778</v>
      </c>
      <c r="K548" s="2" t="s">
        <v>34147</v>
      </c>
      <c r="L548" s="10" t="s">
        <v>34148</v>
      </c>
    </row>
    <row r="549">
      <c r="A549" s="2" t="s">
        <v>5135</v>
      </c>
      <c r="B549" s="2" t="s">
        <v>34149</v>
      </c>
      <c r="C549" s="2">
        <v>1.74184441E8</v>
      </c>
      <c r="D549" s="2" t="s">
        <v>34150</v>
      </c>
      <c r="E549" s="2">
        <v>14275.0</v>
      </c>
      <c r="F549" s="2">
        <v>3170.0</v>
      </c>
      <c r="G549" s="2">
        <v>1864.0</v>
      </c>
      <c r="H549" s="2" t="s">
        <v>5905</v>
      </c>
      <c r="I549" s="2" t="s">
        <v>5906</v>
      </c>
      <c r="J549" s="2" t="s">
        <v>7140</v>
      </c>
      <c r="K549" s="2" t="s">
        <v>34151</v>
      </c>
      <c r="L549" s="10" t="s">
        <v>34152</v>
      </c>
    </row>
    <row r="550">
      <c r="A550" s="2" t="s">
        <v>4982</v>
      </c>
      <c r="B550" s="2" t="s">
        <v>34153</v>
      </c>
      <c r="C550" s="2">
        <v>1.2149112E7</v>
      </c>
      <c r="D550" s="2" t="s">
        <v>34154</v>
      </c>
      <c r="E550" s="2">
        <v>196588.0</v>
      </c>
      <c r="F550" s="2">
        <v>1585.0</v>
      </c>
      <c r="G550" s="2">
        <v>1354.0</v>
      </c>
      <c r="H550" s="2" t="s">
        <v>5906</v>
      </c>
      <c r="I550" s="2" t="s">
        <v>5905</v>
      </c>
      <c r="J550" s="2" t="s">
        <v>5391</v>
      </c>
      <c r="K550" s="2" t="s">
        <v>34155</v>
      </c>
      <c r="L550" s="10" t="s">
        <v>34156</v>
      </c>
    </row>
    <row r="551">
      <c r="A551" s="2" t="s">
        <v>4982</v>
      </c>
      <c r="B551" s="2" t="s">
        <v>34157</v>
      </c>
      <c r="C551" s="2">
        <v>7.584225411E9</v>
      </c>
      <c r="D551" s="12" t="s">
        <v>34158</v>
      </c>
      <c r="E551" s="2">
        <v>15914.0</v>
      </c>
      <c r="F551" s="2">
        <v>432.0</v>
      </c>
      <c r="G551" s="2">
        <v>278.0</v>
      </c>
      <c r="H551" s="2" t="s">
        <v>5905</v>
      </c>
      <c r="I551" s="2" t="s">
        <v>5906</v>
      </c>
      <c r="J551" s="2" t="s">
        <v>34159</v>
      </c>
      <c r="K551" s="12" t="s">
        <v>34160</v>
      </c>
      <c r="L551" s="10" t="s">
        <v>34161</v>
      </c>
    </row>
    <row r="552">
      <c r="A552" s="2" t="s">
        <v>4982</v>
      </c>
      <c r="B552" s="2" t="s">
        <v>34162</v>
      </c>
      <c r="C552" s="2">
        <v>3.22703261E8</v>
      </c>
      <c r="D552" s="2" t="s">
        <v>34163</v>
      </c>
      <c r="E552" s="2">
        <v>1576317.0</v>
      </c>
      <c r="F552" s="2">
        <v>48.0</v>
      </c>
      <c r="G552" s="2">
        <v>1357.0</v>
      </c>
      <c r="H552" s="2" t="s">
        <v>5906</v>
      </c>
      <c r="I552" s="2" t="s">
        <v>5906</v>
      </c>
      <c r="K552" s="2" t="s">
        <v>34164</v>
      </c>
      <c r="L552" s="10" t="s">
        <v>34165</v>
      </c>
    </row>
    <row r="553">
      <c r="A553" s="2" t="s">
        <v>4982</v>
      </c>
      <c r="B553" s="2" t="s">
        <v>34166</v>
      </c>
      <c r="C553" s="2">
        <v>5.530735843E9</v>
      </c>
      <c r="D553" s="2" t="s">
        <v>34167</v>
      </c>
      <c r="E553" s="2">
        <v>11510.0</v>
      </c>
      <c r="F553" s="2">
        <v>456.0</v>
      </c>
      <c r="G553" s="2">
        <v>928.0</v>
      </c>
      <c r="H553" s="2" t="s">
        <v>5905</v>
      </c>
      <c r="I553" s="2" t="s">
        <v>5906</v>
      </c>
      <c r="J553" s="2" t="s">
        <v>4996</v>
      </c>
      <c r="K553" s="2" t="s">
        <v>34168</v>
      </c>
      <c r="L553" s="10" t="s">
        <v>34169</v>
      </c>
    </row>
    <row r="554">
      <c r="A554" s="2" t="s">
        <v>4982</v>
      </c>
      <c r="B554" s="2" t="s">
        <v>34170</v>
      </c>
      <c r="C554" s="2">
        <v>5.0768359412E10</v>
      </c>
      <c r="D554" s="2" t="s">
        <v>34171</v>
      </c>
      <c r="E554" s="2">
        <v>17511.0</v>
      </c>
      <c r="F554" s="2">
        <v>49.0</v>
      </c>
      <c r="G554" s="2">
        <v>750.0</v>
      </c>
      <c r="H554" s="2" t="s">
        <v>5905</v>
      </c>
      <c r="I554" s="2" t="s">
        <v>5906</v>
      </c>
      <c r="J554" s="2" t="s">
        <v>5928</v>
      </c>
      <c r="K554" s="2" t="s">
        <v>34172</v>
      </c>
      <c r="L554" s="10" t="s">
        <v>34173</v>
      </c>
    </row>
    <row r="555">
      <c r="A555" s="2" t="s">
        <v>4982</v>
      </c>
      <c r="B555" s="2" t="s">
        <v>34174</v>
      </c>
      <c r="C555" s="2">
        <v>2.08386672E8</v>
      </c>
      <c r="D555" s="2" t="s">
        <v>34175</v>
      </c>
      <c r="E555" s="2">
        <v>817183.0</v>
      </c>
      <c r="F555" s="2">
        <v>1927.0</v>
      </c>
      <c r="G555" s="2">
        <v>5986.0</v>
      </c>
      <c r="H555" s="2" t="s">
        <v>5906</v>
      </c>
      <c r="I555" s="2" t="s">
        <v>5906</v>
      </c>
      <c r="J555" s="2" t="s">
        <v>5391</v>
      </c>
      <c r="K555" s="2" t="s">
        <v>34176</v>
      </c>
      <c r="L555" s="10" t="s">
        <v>34177</v>
      </c>
    </row>
    <row r="556">
      <c r="A556" s="2" t="s">
        <v>4982</v>
      </c>
      <c r="B556" s="2" t="s">
        <v>34178</v>
      </c>
      <c r="C556" s="2">
        <v>6.691456357E9</v>
      </c>
      <c r="D556" s="2" t="s">
        <v>34179</v>
      </c>
      <c r="E556" s="2">
        <v>2057197.0</v>
      </c>
      <c r="F556" s="2">
        <v>1075.0</v>
      </c>
      <c r="G556" s="2">
        <v>1829.0</v>
      </c>
      <c r="H556" s="2" t="s">
        <v>5906</v>
      </c>
      <c r="I556" s="2" t="s">
        <v>5905</v>
      </c>
      <c r="J556" s="2" t="s">
        <v>5492</v>
      </c>
      <c r="K556" s="2" t="s">
        <v>34180</v>
      </c>
    </row>
    <row r="557">
      <c r="A557" s="2" t="s">
        <v>4982</v>
      </c>
      <c r="B557" s="2" t="s">
        <v>34181</v>
      </c>
      <c r="C557" s="2">
        <v>1.453512026E9</v>
      </c>
      <c r="D557" s="2" t="s">
        <v>34182</v>
      </c>
      <c r="E557" s="2">
        <v>585467.0</v>
      </c>
      <c r="F557" s="2">
        <v>1622.0</v>
      </c>
      <c r="G557" s="2">
        <v>2955.0</v>
      </c>
      <c r="H557" s="2" t="s">
        <v>5906</v>
      </c>
      <c r="I557" s="2" t="s">
        <v>5905</v>
      </c>
      <c r="J557" s="2" t="s">
        <v>5492</v>
      </c>
      <c r="K557" s="2" t="s">
        <v>34183</v>
      </c>
      <c r="L557" s="10" t="s">
        <v>34184</v>
      </c>
    </row>
    <row r="558">
      <c r="A558" s="2" t="s">
        <v>4922</v>
      </c>
      <c r="B558" s="2" t="s">
        <v>34185</v>
      </c>
      <c r="C558" s="2">
        <v>3.943976455E9</v>
      </c>
      <c r="D558" s="2" t="s">
        <v>34186</v>
      </c>
      <c r="E558" s="2">
        <v>1865840.0</v>
      </c>
      <c r="F558" s="2">
        <v>1911.0</v>
      </c>
      <c r="G558" s="2">
        <v>4673.0</v>
      </c>
      <c r="H558" s="2" t="s">
        <v>5905</v>
      </c>
      <c r="I558" s="2" t="s">
        <v>5906</v>
      </c>
      <c r="J558" s="2" t="s">
        <v>5491</v>
      </c>
      <c r="K558" s="2" t="s">
        <v>34187</v>
      </c>
    </row>
    <row r="559">
      <c r="A559" s="2" t="s">
        <v>4922</v>
      </c>
      <c r="B559" s="2" t="s">
        <v>34188</v>
      </c>
      <c r="C559" s="2">
        <v>2.063268934E9</v>
      </c>
      <c r="D559" s="2" t="s">
        <v>34189</v>
      </c>
      <c r="E559" s="2">
        <v>73058.0</v>
      </c>
      <c r="F559" s="2">
        <v>65.0</v>
      </c>
      <c r="G559" s="2">
        <v>96.0</v>
      </c>
      <c r="H559" s="2" t="s">
        <v>5905</v>
      </c>
      <c r="I559" s="2" t="s">
        <v>5905</v>
      </c>
      <c r="K559" s="2" t="s">
        <v>34190</v>
      </c>
    </row>
    <row r="560">
      <c r="A560" s="2" t="s">
        <v>4922</v>
      </c>
      <c r="B560" s="2" t="s">
        <v>34191</v>
      </c>
      <c r="C560" s="2">
        <v>6.3935165434E10</v>
      </c>
      <c r="D560" s="2" t="s">
        <v>34192</v>
      </c>
      <c r="E560" s="2">
        <v>26575.0</v>
      </c>
      <c r="F560" s="2">
        <v>1.0</v>
      </c>
      <c r="G560" s="2">
        <v>550.0</v>
      </c>
      <c r="H560" s="2" t="s">
        <v>5905</v>
      </c>
      <c r="I560" s="2" t="s">
        <v>5905</v>
      </c>
      <c r="J560" s="2" t="s">
        <v>5491</v>
      </c>
      <c r="K560" s="2" t="s">
        <v>34193</v>
      </c>
    </row>
    <row r="561">
      <c r="A561" s="2" t="s">
        <v>4922</v>
      </c>
      <c r="B561" s="2" t="s">
        <v>34194</v>
      </c>
      <c r="C561" s="2">
        <v>7.5000826698E10</v>
      </c>
      <c r="E561" s="2">
        <v>66760.0</v>
      </c>
      <c r="F561" s="2">
        <v>17.0</v>
      </c>
      <c r="G561" s="2">
        <v>38.0</v>
      </c>
      <c r="H561" s="2" t="s">
        <v>5905</v>
      </c>
      <c r="I561" s="2" t="s">
        <v>5905</v>
      </c>
      <c r="J561" s="2" t="s">
        <v>5928</v>
      </c>
      <c r="K561" s="2" t="s">
        <v>34195</v>
      </c>
    </row>
    <row r="562">
      <c r="A562" s="2" t="s">
        <v>4922</v>
      </c>
      <c r="B562" s="2" t="s">
        <v>34196</v>
      </c>
      <c r="C562" s="2">
        <v>6.8448846356E10</v>
      </c>
      <c r="D562" s="2" t="s">
        <v>34197</v>
      </c>
      <c r="E562" s="2">
        <v>102657.0</v>
      </c>
      <c r="F562" s="2">
        <v>0.0</v>
      </c>
      <c r="G562" s="2">
        <v>866.0</v>
      </c>
      <c r="H562" s="2" t="s">
        <v>5905</v>
      </c>
      <c r="I562" s="2" t="s">
        <v>5905</v>
      </c>
      <c r="J562" s="2" t="s">
        <v>5491</v>
      </c>
      <c r="K562" s="2" t="s">
        <v>34198</v>
      </c>
    </row>
    <row r="563">
      <c r="A563" s="2" t="s">
        <v>4922</v>
      </c>
      <c r="B563" s="10" t="s">
        <v>34199</v>
      </c>
      <c r="C563" s="2">
        <v>5.0044553515E10</v>
      </c>
      <c r="D563" s="2" t="s">
        <v>34200</v>
      </c>
      <c r="E563" s="2">
        <v>50488.0</v>
      </c>
      <c r="F563" s="2">
        <v>0.0</v>
      </c>
      <c r="G563" s="2">
        <v>3377.0</v>
      </c>
      <c r="H563" s="2" t="s">
        <v>5905</v>
      </c>
      <c r="I563" s="2" t="s">
        <v>5905</v>
      </c>
      <c r="J563" s="2" t="s">
        <v>5491</v>
      </c>
      <c r="K563" s="2" t="s">
        <v>34201</v>
      </c>
    </row>
    <row r="564">
      <c r="A564" s="2" t="s">
        <v>4922</v>
      </c>
      <c r="B564" s="2" t="s">
        <v>34202</v>
      </c>
      <c r="C564" s="2">
        <v>6.5743850843E10</v>
      </c>
      <c r="D564" s="2" t="s">
        <v>34203</v>
      </c>
      <c r="E564" s="2">
        <v>37802.0</v>
      </c>
      <c r="F564" s="2">
        <v>43.0</v>
      </c>
      <c r="G564" s="2">
        <v>134.0</v>
      </c>
      <c r="H564" s="2" t="s">
        <v>5905</v>
      </c>
      <c r="I564" s="2" t="s">
        <v>5905</v>
      </c>
      <c r="J564" s="2" t="s">
        <v>5959</v>
      </c>
      <c r="K564" s="2" t="s">
        <v>34204</v>
      </c>
    </row>
    <row r="565">
      <c r="A565" s="2" t="s">
        <v>4922</v>
      </c>
      <c r="B565" s="2" t="s">
        <v>34205</v>
      </c>
      <c r="C565" s="2">
        <v>7.1655799368E10</v>
      </c>
      <c r="D565" s="2" t="s">
        <v>34206</v>
      </c>
      <c r="E565" s="2">
        <v>73413.0</v>
      </c>
      <c r="F565" s="2">
        <v>4.0</v>
      </c>
      <c r="G565" s="2">
        <v>144.0</v>
      </c>
      <c r="H565" s="2" t="s">
        <v>5905</v>
      </c>
      <c r="I565" s="2" t="s">
        <v>5905</v>
      </c>
      <c r="J565" s="2" t="s">
        <v>5928</v>
      </c>
      <c r="K565" s="2" t="s">
        <v>34207</v>
      </c>
      <c r="L565" s="10" t="s">
        <v>34208</v>
      </c>
    </row>
    <row r="566">
      <c r="A566" s="2" t="s">
        <v>4922</v>
      </c>
      <c r="B566" s="2" t="s">
        <v>34209</v>
      </c>
      <c r="C566" s="2">
        <v>6.4599241379E10</v>
      </c>
      <c r="D566" s="2" t="s">
        <v>34210</v>
      </c>
      <c r="E566" s="2">
        <v>24406.0</v>
      </c>
      <c r="F566" s="2">
        <v>1191.0</v>
      </c>
      <c r="G566" s="2">
        <v>1045.0</v>
      </c>
      <c r="H566" s="2" t="s">
        <v>5905</v>
      </c>
      <c r="I566" s="2" t="s">
        <v>5905</v>
      </c>
      <c r="J566" s="2" t="s">
        <v>6027</v>
      </c>
      <c r="K566" s="2" t="s">
        <v>34211</v>
      </c>
    </row>
    <row r="567">
      <c r="A567" s="2" t="s">
        <v>4922</v>
      </c>
      <c r="B567" s="2" t="s">
        <v>34212</v>
      </c>
      <c r="C567" s="2">
        <v>6.0935943641E10</v>
      </c>
      <c r="D567" s="2" t="s">
        <v>34213</v>
      </c>
      <c r="E567" s="2">
        <v>21011.0</v>
      </c>
      <c r="F567" s="2">
        <v>15.0</v>
      </c>
      <c r="G567" s="2">
        <v>75.0</v>
      </c>
      <c r="H567" s="2" t="s">
        <v>5905</v>
      </c>
      <c r="I567" s="2" t="s">
        <v>5906</v>
      </c>
      <c r="J567" s="2" t="s">
        <v>16587</v>
      </c>
      <c r="K567" s="2" t="s">
        <v>34214</v>
      </c>
    </row>
    <row r="568">
      <c r="A568" s="2" t="s">
        <v>4918</v>
      </c>
      <c r="B568" s="2" t="s">
        <v>34215</v>
      </c>
      <c r="C568" s="2">
        <v>6.4280049868E10</v>
      </c>
      <c r="D568" s="2" t="s">
        <v>34216</v>
      </c>
      <c r="E568" s="2">
        <v>34662.0</v>
      </c>
      <c r="F568" s="2">
        <v>59.0</v>
      </c>
      <c r="G568" s="2">
        <v>477.0</v>
      </c>
      <c r="H568" s="2" t="s">
        <v>5905</v>
      </c>
      <c r="I568" s="2" t="s">
        <v>5906</v>
      </c>
      <c r="J568" s="2" t="s">
        <v>6393</v>
      </c>
      <c r="K568" s="2" t="s">
        <v>34217</v>
      </c>
      <c r="L568" s="10" t="s">
        <v>34218</v>
      </c>
    </row>
    <row r="569">
      <c r="A569" s="2" t="s">
        <v>4918</v>
      </c>
      <c r="B569" s="2" t="s">
        <v>34219</v>
      </c>
      <c r="C569" s="2">
        <v>7.96752302E8</v>
      </c>
      <c r="D569" s="2" t="s">
        <v>34220</v>
      </c>
      <c r="E569" s="2">
        <v>680206.0</v>
      </c>
      <c r="F569" s="2">
        <v>7497.0</v>
      </c>
      <c r="G569" s="2">
        <v>1396.0</v>
      </c>
      <c r="H569" s="2" t="s">
        <v>5906</v>
      </c>
      <c r="I569" s="2" t="s">
        <v>5905</v>
      </c>
      <c r="J569" s="2" t="s">
        <v>5959</v>
      </c>
      <c r="K569" s="2" t="s">
        <v>34221</v>
      </c>
      <c r="L569" s="10" t="s">
        <v>34222</v>
      </c>
    </row>
    <row r="570">
      <c r="A570" s="2" t="s">
        <v>4918</v>
      </c>
      <c r="B570" s="10" t="s">
        <v>34223</v>
      </c>
      <c r="C570" s="2">
        <v>7.1296140806E10</v>
      </c>
      <c r="D570" s="2" t="s">
        <v>34224</v>
      </c>
      <c r="E570" s="2">
        <v>12367.0</v>
      </c>
      <c r="F570" s="2">
        <v>0.0</v>
      </c>
      <c r="G570" s="2">
        <v>53.0</v>
      </c>
      <c r="H570" s="2" t="s">
        <v>5905</v>
      </c>
      <c r="I570" s="2" t="s">
        <v>5906</v>
      </c>
      <c r="J570" s="2" t="s">
        <v>6027</v>
      </c>
      <c r="K570" s="2" t="s">
        <v>34225</v>
      </c>
      <c r="L570" s="10" t="s">
        <v>34226</v>
      </c>
    </row>
    <row r="571">
      <c r="A571" s="2" t="s">
        <v>4918</v>
      </c>
      <c r="B571" s="2" t="s">
        <v>34227</v>
      </c>
      <c r="C571" s="2">
        <v>9.308427173E9</v>
      </c>
      <c r="D571" s="2" t="s">
        <v>34228</v>
      </c>
      <c r="E571" s="2">
        <v>105669.0</v>
      </c>
      <c r="F571" s="2">
        <v>2.0</v>
      </c>
      <c r="G571" s="2">
        <v>110.0</v>
      </c>
      <c r="H571" s="2" t="s">
        <v>5905</v>
      </c>
      <c r="I571" s="2" t="s">
        <v>5906</v>
      </c>
      <c r="J571" s="2" t="s">
        <v>6166</v>
      </c>
      <c r="L571" s="10" t="s">
        <v>34229</v>
      </c>
    </row>
    <row r="572">
      <c r="A572" s="2" t="s">
        <v>4946</v>
      </c>
      <c r="B572" s="2" t="s">
        <v>34230</v>
      </c>
      <c r="C572" s="2">
        <v>4.8213493271E10</v>
      </c>
      <c r="D572" s="2" t="s">
        <v>34231</v>
      </c>
      <c r="E572" s="2">
        <v>71945.0</v>
      </c>
      <c r="F572" s="2">
        <v>0.0</v>
      </c>
      <c r="G572" s="2">
        <v>82.0</v>
      </c>
      <c r="H572" s="2" t="s">
        <v>5905</v>
      </c>
      <c r="I572" s="2" t="s">
        <v>5906</v>
      </c>
      <c r="J572" s="2" t="s">
        <v>7140</v>
      </c>
      <c r="K572" s="2" t="s">
        <v>34232</v>
      </c>
      <c r="L572" s="10" t="s">
        <v>34233</v>
      </c>
    </row>
    <row r="573">
      <c r="A573" s="2" t="s">
        <v>4946</v>
      </c>
      <c r="B573" s="2" t="s">
        <v>34234</v>
      </c>
      <c r="C573" s="2">
        <v>7.012144454E9</v>
      </c>
      <c r="D573" s="2" t="s">
        <v>34235</v>
      </c>
      <c r="E573" s="2">
        <v>17842.0</v>
      </c>
      <c r="F573" s="2">
        <v>388.0</v>
      </c>
      <c r="G573" s="2">
        <v>921.0</v>
      </c>
      <c r="H573" s="2" t="s">
        <v>5905</v>
      </c>
      <c r="I573" s="2" t="s">
        <v>5906</v>
      </c>
      <c r="K573" s="2" t="s">
        <v>34236</v>
      </c>
      <c r="L573" s="10" t="s">
        <v>34237</v>
      </c>
    </row>
    <row r="574">
      <c r="A574" s="2" t="s">
        <v>4946</v>
      </c>
      <c r="B574" s="2" t="s">
        <v>34238</v>
      </c>
      <c r="C574" s="2">
        <v>4.79669958E10</v>
      </c>
      <c r="D574" s="2" t="s">
        <v>34239</v>
      </c>
      <c r="E574" s="2">
        <v>36840.0</v>
      </c>
      <c r="F574" s="2">
        <v>447.0</v>
      </c>
      <c r="G574" s="2">
        <v>1220.0</v>
      </c>
      <c r="H574" s="2" t="s">
        <v>5905</v>
      </c>
      <c r="I574" s="2" t="s">
        <v>5905</v>
      </c>
      <c r="J574" s="2" t="s">
        <v>9433</v>
      </c>
      <c r="K574" s="2" t="s">
        <v>34240</v>
      </c>
    </row>
    <row r="575">
      <c r="A575" s="2" t="s">
        <v>4946</v>
      </c>
      <c r="B575" s="2" t="s">
        <v>34241</v>
      </c>
      <c r="C575" s="2">
        <v>3.7578971294E10</v>
      </c>
      <c r="D575" s="2" t="s">
        <v>34242</v>
      </c>
      <c r="E575" s="2">
        <v>25437.0</v>
      </c>
      <c r="F575" s="2">
        <v>0.0</v>
      </c>
      <c r="G575" s="2">
        <v>496.0</v>
      </c>
      <c r="H575" s="2" t="s">
        <v>5905</v>
      </c>
      <c r="I575" s="2" t="s">
        <v>5906</v>
      </c>
      <c r="J575" s="2" t="s">
        <v>7140</v>
      </c>
      <c r="K575" s="2" t="s">
        <v>34243</v>
      </c>
      <c r="L575" s="10" t="s">
        <v>34244</v>
      </c>
    </row>
    <row r="576">
      <c r="A576" s="2" t="s">
        <v>4946</v>
      </c>
      <c r="B576" s="2" t="s">
        <v>34245</v>
      </c>
      <c r="C576" s="2">
        <v>2.166732305E9</v>
      </c>
      <c r="D576" s="2" t="s">
        <v>34246</v>
      </c>
      <c r="E576" s="2">
        <v>1277737.0</v>
      </c>
      <c r="F576" s="2">
        <v>1474.0</v>
      </c>
      <c r="G576" s="2">
        <v>67.0</v>
      </c>
      <c r="H576" s="2" t="s">
        <v>5905</v>
      </c>
      <c r="I576" s="2" t="s">
        <v>5905</v>
      </c>
      <c r="J576" s="2" t="s">
        <v>5391</v>
      </c>
      <c r="K576" s="2" t="s">
        <v>34247</v>
      </c>
    </row>
    <row r="577">
      <c r="A577" s="2" t="s">
        <v>4946</v>
      </c>
      <c r="B577" s="2" t="s">
        <v>34248</v>
      </c>
      <c r="C577" s="2">
        <v>2.989338911E9</v>
      </c>
      <c r="D577" s="2" t="s">
        <v>34249</v>
      </c>
      <c r="E577" s="2">
        <v>54641.0</v>
      </c>
      <c r="F577" s="2">
        <v>1198.0</v>
      </c>
      <c r="G577" s="2">
        <v>640.0</v>
      </c>
      <c r="H577" s="2" t="s">
        <v>5905</v>
      </c>
      <c r="I577" s="2" t="s">
        <v>5905</v>
      </c>
      <c r="J577" s="2" t="s">
        <v>6393</v>
      </c>
      <c r="K577" s="2" t="s">
        <v>34250</v>
      </c>
      <c r="L577" s="10" t="s">
        <v>34251</v>
      </c>
    </row>
    <row r="578">
      <c r="A578" s="2" t="s">
        <v>4946</v>
      </c>
      <c r="B578" s="2" t="s">
        <v>34252</v>
      </c>
      <c r="C578" s="2">
        <v>1.3535543885E10</v>
      </c>
      <c r="D578" s="2" t="s">
        <v>34253</v>
      </c>
      <c r="E578" s="2">
        <v>277093.0</v>
      </c>
      <c r="F578" s="2">
        <v>0.0</v>
      </c>
      <c r="G578" s="2">
        <v>10479.0</v>
      </c>
      <c r="H578" s="2" t="s">
        <v>5905</v>
      </c>
      <c r="I578" s="2" t="s">
        <v>5906</v>
      </c>
      <c r="J578" s="2" t="s">
        <v>5907</v>
      </c>
      <c r="K578" s="2" t="s">
        <v>34254</v>
      </c>
      <c r="L578" s="10" t="s">
        <v>34255</v>
      </c>
    </row>
    <row r="579">
      <c r="A579" s="2" t="s">
        <v>4946</v>
      </c>
      <c r="B579" s="2" t="s">
        <v>34256</v>
      </c>
      <c r="C579" s="2">
        <v>4.9899515899E10</v>
      </c>
      <c r="D579" s="2" t="s">
        <v>34257</v>
      </c>
      <c r="E579" s="2">
        <v>21212.0</v>
      </c>
      <c r="F579" s="2">
        <v>50.0</v>
      </c>
      <c r="G579" s="2">
        <v>70.0</v>
      </c>
      <c r="H579" s="2" t="s">
        <v>5905</v>
      </c>
      <c r="I579" s="2" t="s">
        <v>5905</v>
      </c>
      <c r="J579" s="2" t="s">
        <v>6393</v>
      </c>
      <c r="K579" s="2" t="s">
        <v>34258</v>
      </c>
      <c r="L579" s="10" t="s">
        <v>34259</v>
      </c>
    </row>
    <row r="580">
      <c r="A580" s="2" t="s">
        <v>4946</v>
      </c>
      <c r="B580" s="2" t="s">
        <v>34260</v>
      </c>
      <c r="C580" s="2">
        <v>5.748322107E9</v>
      </c>
      <c r="D580" s="2" t="s">
        <v>34261</v>
      </c>
      <c r="E580" s="2">
        <v>277309.0</v>
      </c>
      <c r="F580" s="2">
        <v>4.0</v>
      </c>
      <c r="G580" s="2">
        <v>360.0</v>
      </c>
      <c r="H580" s="2" t="s">
        <v>5905</v>
      </c>
      <c r="I580" s="2" t="s">
        <v>5906</v>
      </c>
      <c r="J580" s="2" t="s">
        <v>4996</v>
      </c>
      <c r="K580" s="2" t="s">
        <v>34262</v>
      </c>
      <c r="L580" s="10" t="s">
        <v>34263</v>
      </c>
    </row>
    <row r="581">
      <c r="A581" s="2" t="s">
        <v>4930</v>
      </c>
      <c r="B581" s="2" t="s">
        <v>34264</v>
      </c>
      <c r="C581" s="2">
        <v>6.230204907E9</v>
      </c>
      <c r="D581" s="2" t="s">
        <v>34265</v>
      </c>
      <c r="E581" s="2">
        <v>122556.0</v>
      </c>
      <c r="F581" s="2">
        <v>7.0</v>
      </c>
      <c r="G581" s="2">
        <v>622.0</v>
      </c>
      <c r="H581" s="2" t="s">
        <v>5905</v>
      </c>
      <c r="I581" s="2" t="s">
        <v>5906</v>
      </c>
      <c r="J581" s="2" t="s">
        <v>4996</v>
      </c>
      <c r="K581" s="2" t="s">
        <v>34266</v>
      </c>
      <c r="L581" s="10" t="s">
        <v>34267</v>
      </c>
    </row>
    <row r="582">
      <c r="A582" s="2" t="s">
        <v>4930</v>
      </c>
      <c r="B582" s="2" t="s">
        <v>34268</v>
      </c>
      <c r="C582" s="2">
        <v>5.571668494E10</v>
      </c>
      <c r="D582" s="2" t="s">
        <v>34269</v>
      </c>
      <c r="E582" s="2">
        <v>69630.0</v>
      </c>
      <c r="F582" s="2">
        <v>72.0</v>
      </c>
      <c r="G582" s="2">
        <v>216.0</v>
      </c>
      <c r="H582" s="2" t="s">
        <v>5905</v>
      </c>
      <c r="I582" s="2" t="s">
        <v>5905</v>
      </c>
      <c r="J582" s="2" t="s">
        <v>6414</v>
      </c>
      <c r="K582" s="2" t="s">
        <v>34270</v>
      </c>
      <c r="L582" s="10" t="s">
        <v>34271</v>
      </c>
    </row>
    <row r="583">
      <c r="A583" s="2" t="s">
        <v>4930</v>
      </c>
      <c r="B583" s="2" t="s">
        <v>34272</v>
      </c>
      <c r="C583" s="2">
        <v>5.6210189913E10</v>
      </c>
      <c r="D583" s="2" t="s">
        <v>34273</v>
      </c>
      <c r="E583" s="2">
        <v>31169.0</v>
      </c>
      <c r="F583" s="2">
        <v>194.0</v>
      </c>
      <c r="G583" s="2">
        <v>713.0</v>
      </c>
      <c r="H583" s="2" t="s">
        <v>5906</v>
      </c>
      <c r="I583" s="2" t="s">
        <v>5905</v>
      </c>
      <c r="J583" s="2" t="s">
        <v>7414</v>
      </c>
      <c r="K583" s="2" t="s">
        <v>34274</v>
      </c>
      <c r="L583" s="10" t="s">
        <v>34275</v>
      </c>
    </row>
    <row r="584">
      <c r="A584" s="2" t="s">
        <v>4930</v>
      </c>
      <c r="B584" s="2" t="s">
        <v>34276</v>
      </c>
      <c r="C584" s="2">
        <v>3.222782024E9</v>
      </c>
      <c r="D584" s="2" t="s">
        <v>34277</v>
      </c>
      <c r="E584" s="2">
        <v>12281.0</v>
      </c>
      <c r="F584" s="2">
        <v>169.0</v>
      </c>
      <c r="G584" s="2">
        <v>86.0</v>
      </c>
      <c r="H584" s="2" t="s">
        <v>5905</v>
      </c>
      <c r="I584" s="2" t="s">
        <v>5906</v>
      </c>
      <c r="J584" s="2" t="s">
        <v>7414</v>
      </c>
      <c r="K584" s="2" t="s">
        <v>34278</v>
      </c>
    </row>
    <row r="585">
      <c r="A585" s="2" t="s">
        <v>4930</v>
      </c>
      <c r="B585" s="2" t="s">
        <v>34279</v>
      </c>
      <c r="C585" s="2">
        <v>4.186272974E10</v>
      </c>
      <c r="D585" s="2" t="s">
        <v>34280</v>
      </c>
      <c r="E585" s="2">
        <v>14855.0</v>
      </c>
      <c r="F585" s="2">
        <v>2.0</v>
      </c>
      <c r="G585" s="2">
        <v>147.0</v>
      </c>
      <c r="H585" s="2" t="s">
        <v>5905</v>
      </c>
      <c r="I585" s="2" t="s">
        <v>5906</v>
      </c>
      <c r="J585" s="2" t="s">
        <v>16494</v>
      </c>
      <c r="K585" s="2" t="s">
        <v>34281</v>
      </c>
      <c r="L585" s="10" t="s">
        <v>34282</v>
      </c>
    </row>
    <row r="586">
      <c r="A586" s="2" t="s">
        <v>4930</v>
      </c>
      <c r="B586" s="2" t="s">
        <v>34283</v>
      </c>
      <c r="C586" s="2">
        <v>2.8344895962E10</v>
      </c>
      <c r="D586" s="2" t="s">
        <v>34284</v>
      </c>
      <c r="E586" s="2">
        <v>108543.0</v>
      </c>
      <c r="F586" s="2">
        <v>1172.0</v>
      </c>
      <c r="G586" s="2">
        <v>305.0</v>
      </c>
      <c r="H586" s="2" t="s">
        <v>5906</v>
      </c>
      <c r="I586" s="2" t="s">
        <v>5906</v>
      </c>
      <c r="J586" s="2" t="s">
        <v>7414</v>
      </c>
      <c r="K586" s="2" t="s">
        <v>34285</v>
      </c>
      <c r="L586" s="10" t="s">
        <v>34286</v>
      </c>
    </row>
    <row r="587">
      <c r="A587" s="2" t="s">
        <v>4930</v>
      </c>
      <c r="B587" s="2" t="s">
        <v>34287</v>
      </c>
      <c r="C587" s="2">
        <v>1.573827594E9</v>
      </c>
      <c r="D587" s="2" t="s">
        <v>34288</v>
      </c>
      <c r="E587" s="2">
        <v>240881.0</v>
      </c>
      <c r="F587" s="2">
        <v>26.0</v>
      </c>
      <c r="G587" s="2">
        <v>4532.0</v>
      </c>
      <c r="H587" s="2" t="s">
        <v>5905</v>
      </c>
      <c r="I587" s="2" t="s">
        <v>5906</v>
      </c>
      <c r="J587" s="2" t="s">
        <v>7140</v>
      </c>
      <c r="K587" s="2" t="s">
        <v>34289</v>
      </c>
      <c r="L587" s="10" t="s">
        <v>34290</v>
      </c>
    </row>
    <row r="588">
      <c r="A588" s="2" t="s">
        <v>4930</v>
      </c>
      <c r="B588" s="2" t="s">
        <v>34291</v>
      </c>
      <c r="C588" s="2">
        <v>1.509713719E9</v>
      </c>
      <c r="D588" s="2" t="s">
        <v>34292</v>
      </c>
      <c r="E588" s="2">
        <v>517514.0</v>
      </c>
      <c r="F588" s="2">
        <v>27.0</v>
      </c>
      <c r="G588" s="2">
        <v>1263.0</v>
      </c>
      <c r="H588" s="2" t="s">
        <v>5906</v>
      </c>
      <c r="I588" s="2" t="s">
        <v>5906</v>
      </c>
      <c r="J588" s="2" t="s">
        <v>4996</v>
      </c>
      <c r="K588" s="2" t="s">
        <v>34293</v>
      </c>
      <c r="L588" s="10" t="s">
        <v>34294</v>
      </c>
    </row>
    <row r="589">
      <c r="A589" s="2" t="s">
        <v>4974</v>
      </c>
      <c r="B589" s="2" t="s">
        <v>34295</v>
      </c>
      <c r="C589" s="2">
        <v>4.8763476995E10</v>
      </c>
      <c r="D589" s="2" t="s">
        <v>34296</v>
      </c>
      <c r="E589" s="2">
        <v>37993.0</v>
      </c>
      <c r="F589" s="2">
        <v>1.0</v>
      </c>
      <c r="G589" s="2">
        <v>831.0</v>
      </c>
      <c r="H589" s="2" t="s">
        <v>5905</v>
      </c>
      <c r="I589" s="2" t="s">
        <v>5905</v>
      </c>
      <c r="J589" s="2" t="s">
        <v>5518</v>
      </c>
      <c r="K589" s="2" t="s">
        <v>34297</v>
      </c>
    </row>
    <row r="590">
      <c r="A590" s="2" t="s">
        <v>4974</v>
      </c>
      <c r="B590" s="2" t="s">
        <v>34298</v>
      </c>
      <c r="C590" s="2">
        <v>7.01446611E9</v>
      </c>
      <c r="D590" s="2" t="s">
        <v>34299</v>
      </c>
      <c r="E590" s="2">
        <v>866638.0</v>
      </c>
      <c r="F590" s="2">
        <v>2.0</v>
      </c>
      <c r="G590" s="2">
        <v>1466.0</v>
      </c>
      <c r="H590" s="2" t="s">
        <v>5905</v>
      </c>
      <c r="I590" s="2" t="s">
        <v>5906</v>
      </c>
      <c r="J590" s="2" t="s">
        <v>6393</v>
      </c>
      <c r="K590" s="2" t="s">
        <v>34300</v>
      </c>
    </row>
    <row r="591">
      <c r="A591" s="2" t="s">
        <v>4974</v>
      </c>
      <c r="B591" s="2" t="s">
        <v>34301</v>
      </c>
      <c r="C591" s="2">
        <v>4.451220131E10</v>
      </c>
      <c r="D591" s="2" t="s">
        <v>34302</v>
      </c>
      <c r="E591" s="2">
        <v>115326.0</v>
      </c>
      <c r="F591" s="2">
        <v>100.0</v>
      </c>
      <c r="G591" s="2">
        <v>340.0</v>
      </c>
      <c r="H591" s="2" t="s">
        <v>5906</v>
      </c>
      <c r="I591" s="2" t="s">
        <v>5905</v>
      </c>
      <c r="J591" s="2" t="s">
        <v>5959</v>
      </c>
      <c r="K591" s="2" t="s">
        <v>34303</v>
      </c>
    </row>
    <row r="592">
      <c r="A592" s="2" t="s">
        <v>4974</v>
      </c>
      <c r="B592" s="2" t="s">
        <v>34304</v>
      </c>
      <c r="C592" s="2">
        <v>4.69526468E8</v>
      </c>
      <c r="D592" s="2" t="s">
        <v>34305</v>
      </c>
      <c r="E592" s="2">
        <v>13900.0</v>
      </c>
      <c r="F592" s="2">
        <v>4702.0</v>
      </c>
      <c r="G592" s="2">
        <v>4442.0</v>
      </c>
      <c r="H592" s="2" t="s">
        <v>5905</v>
      </c>
      <c r="I592" s="2" t="s">
        <v>5906</v>
      </c>
      <c r="J592" s="2" t="s">
        <v>7414</v>
      </c>
      <c r="K592" s="2" t="s">
        <v>34306</v>
      </c>
      <c r="L592" s="10" t="s">
        <v>34307</v>
      </c>
    </row>
    <row r="593">
      <c r="A593" s="2" t="s">
        <v>4974</v>
      </c>
      <c r="B593" s="2" t="s">
        <v>34308</v>
      </c>
      <c r="C593" s="2">
        <v>5.3961069407E10</v>
      </c>
      <c r="D593" s="2" t="s">
        <v>34309</v>
      </c>
      <c r="E593" s="2">
        <v>16770.0</v>
      </c>
      <c r="F593" s="2">
        <v>112.0</v>
      </c>
      <c r="G593" s="2">
        <v>149.0</v>
      </c>
      <c r="H593" s="2" t="s">
        <v>5905</v>
      </c>
      <c r="I593" s="2" t="s">
        <v>5905</v>
      </c>
      <c r="J593" s="2" t="s">
        <v>13199</v>
      </c>
      <c r="K593" s="2" t="s">
        <v>34310</v>
      </c>
      <c r="L593" s="10" t="s">
        <v>34311</v>
      </c>
    </row>
    <row r="594">
      <c r="A594" s="2" t="s">
        <v>4974</v>
      </c>
      <c r="B594" s="2" t="s">
        <v>34312</v>
      </c>
      <c r="C594" s="2">
        <v>5.6861599839E10</v>
      </c>
      <c r="D594" s="2" t="s">
        <v>34313</v>
      </c>
      <c r="E594" s="2">
        <v>35371.0</v>
      </c>
      <c r="F594" s="2">
        <v>837.0</v>
      </c>
      <c r="G594" s="2">
        <v>459.0</v>
      </c>
      <c r="H594" s="2" t="s">
        <v>5905</v>
      </c>
      <c r="I594" s="2" t="s">
        <v>5906</v>
      </c>
      <c r="J594" s="2" t="s">
        <v>28958</v>
      </c>
      <c r="K594" s="2" t="s">
        <v>34314</v>
      </c>
    </row>
    <row r="595">
      <c r="A595" s="2" t="s">
        <v>4974</v>
      </c>
      <c r="B595" s="2" t="s">
        <v>34315</v>
      </c>
      <c r="C595" s="2">
        <v>3.236566456E9</v>
      </c>
      <c r="D595" s="2" t="s">
        <v>34316</v>
      </c>
      <c r="E595" s="2">
        <v>1095625.0</v>
      </c>
      <c r="F595" s="2">
        <v>1831.0</v>
      </c>
      <c r="G595" s="2">
        <v>3482.0</v>
      </c>
      <c r="H595" s="2" t="s">
        <v>5905</v>
      </c>
      <c r="I595" s="2" t="s">
        <v>5906</v>
      </c>
      <c r="J595" s="2" t="s">
        <v>5518</v>
      </c>
      <c r="K595" s="2" t="s">
        <v>34317</v>
      </c>
      <c r="L595" s="10" t="s">
        <v>34318</v>
      </c>
    </row>
    <row r="596">
      <c r="A596" s="2" t="s">
        <v>4974</v>
      </c>
      <c r="B596" s="2" t="s">
        <v>34319</v>
      </c>
      <c r="C596" s="2">
        <v>2.308320505E10</v>
      </c>
      <c r="D596" s="2" t="s">
        <v>34320</v>
      </c>
      <c r="E596" s="2">
        <v>17148.0</v>
      </c>
      <c r="F596" s="2">
        <v>2355.0</v>
      </c>
      <c r="G596" s="2">
        <v>229.0</v>
      </c>
      <c r="H596" s="2" t="s">
        <v>5906</v>
      </c>
      <c r="I596" s="2" t="s">
        <v>5906</v>
      </c>
      <c r="J596" s="2" t="s">
        <v>5993</v>
      </c>
      <c r="K596" s="2" t="s">
        <v>34321</v>
      </c>
      <c r="L596" s="10" t="s">
        <v>34322</v>
      </c>
    </row>
    <row r="597">
      <c r="A597" s="2" t="s">
        <v>4914</v>
      </c>
      <c r="B597" s="2" t="s">
        <v>34323</v>
      </c>
      <c r="C597" s="2">
        <v>9.69167269E8</v>
      </c>
      <c r="D597" s="2" t="s">
        <v>34324</v>
      </c>
      <c r="E597" s="2">
        <v>186552.0</v>
      </c>
      <c r="F597" s="2">
        <v>5.0</v>
      </c>
      <c r="G597" s="2">
        <v>8036.0</v>
      </c>
      <c r="H597" s="2" t="s">
        <v>5905</v>
      </c>
      <c r="I597" s="2" t="s">
        <v>5906</v>
      </c>
      <c r="J597" s="2" t="s">
        <v>6002</v>
      </c>
      <c r="K597" s="2" t="s">
        <v>34325</v>
      </c>
      <c r="L597" s="10" t="s">
        <v>34326</v>
      </c>
    </row>
    <row r="598">
      <c r="A598" s="2" t="s">
        <v>4914</v>
      </c>
      <c r="B598" s="2" t="s">
        <v>34327</v>
      </c>
      <c r="C598" s="2">
        <v>5.7447033956E10</v>
      </c>
      <c r="D598" s="2" t="s">
        <v>34328</v>
      </c>
      <c r="E598" s="2">
        <v>92496.0</v>
      </c>
      <c r="F598" s="2">
        <v>6.0</v>
      </c>
      <c r="G598" s="2">
        <v>8.0</v>
      </c>
      <c r="H598" s="2" t="s">
        <v>5905</v>
      </c>
      <c r="I598" s="2" t="s">
        <v>5906</v>
      </c>
      <c r="J598" s="2" t="s">
        <v>5928</v>
      </c>
      <c r="K598" s="12" t="s">
        <v>34329</v>
      </c>
    </row>
    <row r="599">
      <c r="A599" s="2" t="s">
        <v>4914</v>
      </c>
      <c r="B599" s="2" t="s">
        <v>34330</v>
      </c>
      <c r="C599" s="2">
        <v>6.2134160778E10</v>
      </c>
      <c r="D599" s="2" t="s">
        <v>34331</v>
      </c>
      <c r="E599" s="2">
        <v>200851.0</v>
      </c>
      <c r="F599" s="2">
        <v>33.0</v>
      </c>
      <c r="G599" s="2">
        <v>496.0</v>
      </c>
      <c r="H599" s="2" t="s">
        <v>5905</v>
      </c>
      <c r="I599" s="2" t="s">
        <v>5906</v>
      </c>
      <c r="J599" s="2" t="s">
        <v>5391</v>
      </c>
      <c r="K599" s="2" t="s">
        <v>34332</v>
      </c>
    </row>
    <row r="600">
      <c r="A600" s="2" t="s">
        <v>4914</v>
      </c>
      <c r="B600" s="2" t="s">
        <v>34333</v>
      </c>
      <c r="C600" s="2">
        <v>5.8995566488E10</v>
      </c>
      <c r="D600" s="2" t="s">
        <v>34334</v>
      </c>
      <c r="E600" s="2">
        <v>128226.0</v>
      </c>
      <c r="F600" s="2">
        <v>429.0</v>
      </c>
      <c r="G600" s="2">
        <v>690.0</v>
      </c>
      <c r="H600" s="2" t="s">
        <v>5906</v>
      </c>
      <c r="I600" s="2" t="s">
        <v>5906</v>
      </c>
      <c r="J600" s="2" t="s">
        <v>7414</v>
      </c>
      <c r="K600" s="2" t="s">
        <v>34335</v>
      </c>
    </row>
    <row r="601">
      <c r="A601" s="2" t="s">
        <v>4914</v>
      </c>
      <c r="B601" s="2" t="s">
        <v>34336</v>
      </c>
      <c r="C601" s="2">
        <v>2.8899323E7</v>
      </c>
      <c r="D601" s="2" t="s">
        <v>34337</v>
      </c>
      <c r="E601" s="2">
        <v>136695.0</v>
      </c>
      <c r="F601" s="2">
        <v>1905.0</v>
      </c>
      <c r="G601" s="2">
        <v>856.0</v>
      </c>
      <c r="H601" s="2" t="s">
        <v>5906</v>
      </c>
      <c r="I601" s="2" t="s">
        <v>5905</v>
      </c>
      <c r="J601" s="2" t="s">
        <v>6124</v>
      </c>
      <c r="L601" s="10" t="s">
        <v>34338</v>
      </c>
    </row>
    <row r="602">
      <c r="A602" s="2" t="s">
        <v>4914</v>
      </c>
      <c r="B602" s="2" t="s">
        <v>23835</v>
      </c>
      <c r="C602" s="2">
        <v>3.8169525606E10</v>
      </c>
      <c r="D602" s="2" t="s">
        <v>23836</v>
      </c>
      <c r="E602" s="2">
        <v>86156.0</v>
      </c>
      <c r="F602" s="2">
        <v>2082.0</v>
      </c>
      <c r="G602" s="2">
        <v>444.0</v>
      </c>
      <c r="H602" s="2" t="s">
        <v>5905</v>
      </c>
      <c r="I602" s="2" t="s">
        <v>5905</v>
      </c>
      <c r="J602" s="2" t="s">
        <v>5492</v>
      </c>
      <c r="K602" s="2" t="s">
        <v>23837</v>
      </c>
      <c r="L602" s="10" t="s">
        <v>23838</v>
      </c>
    </row>
    <row r="603">
      <c r="A603" s="2" t="s">
        <v>4914</v>
      </c>
      <c r="B603" s="2" t="s">
        <v>34339</v>
      </c>
      <c r="C603" s="2">
        <v>5.871760031E10</v>
      </c>
      <c r="D603" s="2" t="s">
        <v>34340</v>
      </c>
      <c r="E603" s="2">
        <v>79464.0</v>
      </c>
      <c r="F603" s="2">
        <v>698.0</v>
      </c>
      <c r="G603" s="2">
        <v>18.0</v>
      </c>
      <c r="H603" s="2" t="s">
        <v>5905</v>
      </c>
      <c r="I603" s="2" t="s">
        <v>5905</v>
      </c>
      <c r="J603" s="2" t="s">
        <v>5959</v>
      </c>
      <c r="K603" s="2" t="s">
        <v>34341</v>
      </c>
      <c r="L603" s="10" t="s">
        <v>34342</v>
      </c>
    </row>
    <row r="604">
      <c r="A604" s="2" t="s">
        <v>4914</v>
      </c>
      <c r="B604" s="2" t="s">
        <v>34343</v>
      </c>
      <c r="C604" s="2">
        <v>5.579442836E9</v>
      </c>
      <c r="D604" s="2" t="s">
        <v>34344</v>
      </c>
      <c r="E604" s="2">
        <v>863537.0</v>
      </c>
      <c r="F604" s="2">
        <v>4743.0</v>
      </c>
      <c r="G604" s="2">
        <v>4175.0</v>
      </c>
      <c r="H604" s="2" t="s">
        <v>5905</v>
      </c>
      <c r="I604" s="2" t="s">
        <v>5906</v>
      </c>
      <c r="J604" s="2" t="s">
        <v>5391</v>
      </c>
      <c r="K604" s="2" t="s">
        <v>34345</v>
      </c>
    </row>
    <row r="605">
      <c r="A605" s="2" t="s">
        <v>4914</v>
      </c>
      <c r="B605" s="2" t="s">
        <v>23843</v>
      </c>
      <c r="C605" s="2">
        <v>3.062781736E9</v>
      </c>
      <c r="D605" s="2" t="s">
        <v>4914</v>
      </c>
      <c r="E605" s="2">
        <v>617141.0</v>
      </c>
      <c r="F605" s="2">
        <v>4.0</v>
      </c>
      <c r="G605" s="2">
        <v>1483.0</v>
      </c>
      <c r="H605" s="2" t="s">
        <v>5906</v>
      </c>
      <c r="I605" s="2" t="s">
        <v>5906</v>
      </c>
      <c r="K605" s="2" t="s">
        <v>23844</v>
      </c>
      <c r="L605" s="10" t="s">
        <v>23845</v>
      </c>
    </row>
    <row r="606">
      <c r="A606" s="2" t="s">
        <v>4914</v>
      </c>
      <c r="B606" s="2" t="s">
        <v>34346</v>
      </c>
      <c r="C606" s="2">
        <v>3.2457819084E10</v>
      </c>
      <c r="D606" s="2" t="s">
        <v>34347</v>
      </c>
      <c r="E606" s="2">
        <v>402184.0</v>
      </c>
      <c r="F606" s="2">
        <v>38.0</v>
      </c>
      <c r="G606" s="2">
        <v>396.0</v>
      </c>
      <c r="H606" s="2" t="s">
        <v>5905</v>
      </c>
      <c r="I606" s="2" t="s">
        <v>5906</v>
      </c>
      <c r="J606" s="2" t="s">
        <v>7414</v>
      </c>
      <c r="K606" s="2" t="s">
        <v>34348</v>
      </c>
      <c r="L606" s="10" t="s">
        <v>34349</v>
      </c>
    </row>
    <row r="607">
      <c r="A607" s="2" t="s">
        <v>4914</v>
      </c>
      <c r="B607" s="2" t="s">
        <v>23846</v>
      </c>
      <c r="C607" s="2">
        <v>2.22178701E8</v>
      </c>
      <c r="D607" s="2" t="s">
        <v>23847</v>
      </c>
      <c r="E607" s="2">
        <v>226378.0</v>
      </c>
      <c r="F607" s="2">
        <v>1331.0</v>
      </c>
      <c r="G607" s="2">
        <v>5146.0</v>
      </c>
      <c r="H607" s="2" t="s">
        <v>5906</v>
      </c>
      <c r="I607" s="2" t="s">
        <v>5906</v>
      </c>
      <c r="J607" s="2" t="s">
        <v>5963</v>
      </c>
      <c r="K607" s="2" t="s">
        <v>23848</v>
      </c>
      <c r="L607" s="10" t="s">
        <v>23849</v>
      </c>
    </row>
    <row r="608">
      <c r="A608" s="2" t="s">
        <v>4914</v>
      </c>
      <c r="B608" s="2" t="s">
        <v>34350</v>
      </c>
      <c r="C608" s="2">
        <v>5.238375148E10</v>
      </c>
      <c r="D608" s="12" t="s">
        <v>34351</v>
      </c>
      <c r="E608" s="2">
        <v>11101.0</v>
      </c>
      <c r="F608" s="2">
        <v>6.0</v>
      </c>
      <c r="G608" s="2">
        <v>464.0</v>
      </c>
      <c r="H608" s="2" t="s">
        <v>5905</v>
      </c>
      <c r="I608" s="2" t="s">
        <v>5906</v>
      </c>
      <c r="J608" s="2" t="s">
        <v>5963</v>
      </c>
      <c r="K608" s="12" t="s">
        <v>34352</v>
      </c>
      <c r="L608" s="10" t="s">
        <v>34353</v>
      </c>
    </row>
    <row r="609">
      <c r="A609" s="2" t="s">
        <v>5158</v>
      </c>
      <c r="B609" s="2" t="s">
        <v>34354</v>
      </c>
      <c r="C609" s="2">
        <v>1.8831907734E10</v>
      </c>
      <c r="D609" s="2" t="s">
        <v>34355</v>
      </c>
      <c r="E609" s="2">
        <v>76297.0</v>
      </c>
      <c r="F609" s="2">
        <v>12.0</v>
      </c>
      <c r="G609" s="2">
        <v>833.0</v>
      </c>
      <c r="H609" s="2" t="s">
        <v>5905</v>
      </c>
      <c r="I609" s="2" t="s">
        <v>5905</v>
      </c>
      <c r="J609" s="2" t="s">
        <v>7414</v>
      </c>
      <c r="K609" s="2" t="s">
        <v>34356</v>
      </c>
      <c r="L609" s="10" t="s">
        <v>34357</v>
      </c>
    </row>
    <row r="610">
      <c r="A610" s="2" t="s">
        <v>5112</v>
      </c>
      <c r="B610" s="2" t="s">
        <v>34358</v>
      </c>
      <c r="C610" s="2">
        <v>1.71656101E9</v>
      </c>
      <c r="D610" s="2" t="s">
        <v>34359</v>
      </c>
      <c r="E610" s="2">
        <v>138708.0</v>
      </c>
      <c r="F610" s="2">
        <v>0.0</v>
      </c>
      <c r="G610" s="2">
        <v>1107.0</v>
      </c>
      <c r="H610" s="2" t="s">
        <v>5905</v>
      </c>
      <c r="I610" s="2" t="s">
        <v>5905</v>
      </c>
      <c r="J610" s="2" t="s">
        <v>5963</v>
      </c>
      <c r="K610" s="2" t="s">
        <v>34360</v>
      </c>
      <c r="L610" s="10" t="s">
        <v>34361</v>
      </c>
    </row>
    <row r="611">
      <c r="A611" s="2" t="s">
        <v>5112</v>
      </c>
      <c r="B611" s="2" t="s">
        <v>34362</v>
      </c>
      <c r="C611" s="2">
        <v>4.6521921159E10</v>
      </c>
      <c r="D611" s="12" t="s">
        <v>34363</v>
      </c>
      <c r="E611" s="2">
        <v>401892.0</v>
      </c>
      <c r="F611" s="2">
        <v>307.0</v>
      </c>
      <c r="G611" s="2">
        <v>395.0</v>
      </c>
      <c r="H611" s="2" t="s">
        <v>5905</v>
      </c>
      <c r="I611" s="2" t="s">
        <v>5905</v>
      </c>
      <c r="J611" s="2" t="s">
        <v>5492</v>
      </c>
      <c r="K611" s="12" t="s">
        <v>34364</v>
      </c>
      <c r="L611" s="10" t="s">
        <v>34365</v>
      </c>
    </row>
    <row r="612">
      <c r="A612" s="2" t="s">
        <v>5112</v>
      </c>
      <c r="B612" s="2" t="s">
        <v>34366</v>
      </c>
      <c r="C612" s="2">
        <v>3.8323222951E10</v>
      </c>
      <c r="D612" s="2" t="s">
        <v>34367</v>
      </c>
      <c r="E612" s="2">
        <v>150278.0</v>
      </c>
      <c r="F612" s="2">
        <v>2004.0</v>
      </c>
      <c r="G612" s="2">
        <v>534.0</v>
      </c>
      <c r="H612" s="2" t="s">
        <v>5906</v>
      </c>
      <c r="I612" s="2" t="s">
        <v>5906</v>
      </c>
      <c r="K612" s="2" t="s">
        <v>34368</v>
      </c>
      <c r="L612" s="10" t="s">
        <v>34369</v>
      </c>
    </row>
    <row r="613">
      <c r="A613" s="2" t="s">
        <v>5153</v>
      </c>
      <c r="B613" s="2" t="s">
        <v>34370</v>
      </c>
      <c r="C613" s="2">
        <v>4.8558739756E10</v>
      </c>
      <c r="D613" s="2" t="s">
        <v>34371</v>
      </c>
      <c r="E613" s="2">
        <v>50491.0</v>
      </c>
      <c r="F613" s="2">
        <v>619.0</v>
      </c>
      <c r="G613" s="2">
        <v>279.0</v>
      </c>
      <c r="H613" s="2" t="s">
        <v>5905</v>
      </c>
      <c r="I613" s="2" t="s">
        <v>5905</v>
      </c>
      <c r="J613" s="2" t="s">
        <v>5959</v>
      </c>
      <c r="K613" s="2" t="s">
        <v>34372</v>
      </c>
      <c r="L613" s="10" t="s">
        <v>34373</v>
      </c>
    </row>
    <row r="614">
      <c r="A614" s="2" t="s">
        <v>5157</v>
      </c>
      <c r="B614" s="2" t="s">
        <v>34374</v>
      </c>
      <c r="C614" s="2">
        <v>2.22898376E8</v>
      </c>
      <c r="D614" s="2" t="s">
        <v>34375</v>
      </c>
      <c r="E614" s="2">
        <v>105894.0</v>
      </c>
      <c r="F614" s="2">
        <v>951.0</v>
      </c>
      <c r="G614" s="2">
        <v>272.0</v>
      </c>
      <c r="H614" s="2" t="s">
        <v>5905</v>
      </c>
      <c r="I614" s="2" t="s">
        <v>5905</v>
      </c>
      <c r="J614" s="2" t="s">
        <v>5959</v>
      </c>
      <c r="K614" s="2" t="s">
        <v>34376</v>
      </c>
    </row>
    <row r="615">
      <c r="A615" s="2" t="s">
        <v>5154</v>
      </c>
      <c r="B615" s="2" t="s">
        <v>34377</v>
      </c>
      <c r="C615" s="2">
        <v>3.5630979085E10</v>
      </c>
      <c r="D615" s="2" t="s">
        <v>34378</v>
      </c>
      <c r="E615" s="2">
        <v>142954.0</v>
      </c>
      <c r="F615" s="2">
        <v>147.0</v>
      </c>
      <c r="G615" s="2">
        <v>306.0</v>
      </c>
      <c r="H615" s="2" t="s">
        <v>5905</v>
      </c>
      <c r="I615" s="2" t="s">
        <v>5905</v>
      </c>
      <c r="J615" s="2" t="s">
        <v>6393</v>
      </c>
      <c r="K615" s="2" t="s">
        <v>34379</v>
      </c>
      <c r="L615" s="10" t="s">
        <v>34380</v>
      </c>
    </row>
    <row r="616">
      <c r="A616" s="2" t="s">
        <v>5114</v>
      </c>
      <c r="B616" s="10" t="s">
        <v>34381</v>
      </c>
      <c r="C616" s="2">
        <v>6.8571296583E10</v>
      </c>
      <c r="D616" s="2" t="s">
        <v>34382</v>
      </c>
      <c r="E616" s="2">
        <v>39663.0</v>
      </c>
      <c r="F616" s="2">
        <v>30.0</v>
      </c>
      <c r="G616" s="2">
        <v>173.0</v>
      </c>
      <c r="H616" s="2" t="s">
        <v>5905</v>
      </c>
      <c r="I616" s="2" t="s">
        <v>5906</v>
      </c>
      <c r="J616" s="2" t="s">
        <v>7414</v>
      </c>
      <c r="K616" s="2" t="s">
        <v>34383</v>
      </c>
    </row>
    <row r="617">
      <c r="A617" s="2" t="s">
        <v>5156</v>
      </c>
      <c r="B617" s="2" t="s">
        <v>34384</v>
      </c>
      <c r="C617" s="2">
        <v>7.840071823E9</v>
      </c>
      <c r="D617" s="2" t="s">
        <v>34385</v>
      </c>
      <c r="E617" s="2">
        <v>48198.0</v>
      </c>
      <c r="F617" s="2">
        <v>20.0</v>
      </c>
      <c r="G617" s="2">
        <v>246.0</v>
      </c>
      <c r="H617" s="2" t="s">
        <v>5905</v>
      </c>
      <c r="I617" s="2" t="s">
        <v>5906</v>
      </c>
      <c r="J617" s="2" t="s">
        <v>6002</v>
      </c>
      <c r="K617" s="2" t="s">
        <v>34386</v>
      </c>
      <c r="L617" s="10" t="s">
        <v>34387</v>
      </c>
    </row>
    <row r="618">
      <c r="A618" s="2" t="s">
        <v>5155</v>
      </c>
      <c r="B618" s="2" t="s">
        <v>34388</v>
      </c>
      <c r="C618" s="2">
        <v>9.046492948E9</v>
      </c>
      <c r="D618" s="2" t="s">
        <v>34389</v>
      </c>
      <c r="E618" s="2">
        <v>11977.0</v>
      </c>
      <c r="F618" s="2">
        <v>201.0</v>
      </c>
      <c r="G618" s="2">
        <v>168.0</v>
      </c>
      <c r="H618" s="2" t="s">
        <v>5905</v>
      </c>
      <c r="I618" s="2" t="s">
        <v>5905</v>
      </c>
      <c r="J618" s="2" t="s">
        <v>5492</v>
      </c>
      <c r="K618" s="2" t="s">
        <v>34390</v>
      </c>
    </row>
    <row r="619">
      <c r="A619" s="2" t="s">
        <v>5155</v>
      </c>
      <c r="B619" s="2" t="s">
        <v>34391</v>
      </c>
      <c r="C619" s="2">
        <v>1.40378294E9</v>
      </c>
      <c r="D619" s="2" t="s">
        <v>8628</v>
      </c>
      <c r="E619" s="2">
        <v>56497.0</v>
      </c>
      <c r="F619" s="2">
        <v>560.0</v>
      </c>
      <c r="G619" s="2">
        <v>176.0</v>
      </c>
      <c r="H619" s="2" t="s">
        <v>5905</v>
      </c>
      <c r="I619" s="2" t="s">
        <v>5906</v>
      </c>
      <c r="J619" s="2" t="s">
        <v>24636</v>
      </c>
      <c r="K619" s="12" t="s">
        <v>34392</v>
      </c>
    </row>
    <row r="620">
      <c r="A620" s="2" t="s">
        <v>4963</v>
      </c>
      <c r="B620" s="2" t="s">
        <v>34393</v>
      </c>
      <c r="C620" s="2">
        <v>7.2776152515E10</v>
      </c>
      <c r="D620" s="2" t="s">
        <v>34394</v>
      </c>
      <c r="E620" s="2">
        <v>190009.0</v>
      </c>
      <c r="F620" s="2">
        <v>10.0</v>
      </c>
      <c r="G620" s="2">
        <v>265.0</v>
      </c>
      <c r="H620" s="2" t="s">
        <v>5905</v>
      </c>
      <c r="I620" s="2" t="s">
        <v>5905</v>
      </c>
      <c r="J620" s="2" t="s">
        <v>5485</v>
      </c>
      <c r="K620" s="2" t="s">
        <v>34395</v>
      </c>
      <c r="L620" s="10" t="s">
        <v>34396</v>
      </c>
    </row>
    <row r="621">
      <c r="A621" s="2" t="s">
        <v>4963</v>
      </c>
      <c r="B621" s="2" t="s">
        <v>34397</v>
      </c>
      <c r="C621" s="2">
        <v>4.128270996E9</v>
      </c>
      <c r="D621" s="2" t="s">
        <v>34398</v>
      </c>
      <c r="E621" s="2">
        <v>81117.0</v>
      </c>
      <c r="F621" s="2">
        <v>159.0</v>
      </c>
      <c r="G621" s="2">
        <v>4.0</v>
      </c>
      <c r="H621" s="2" t="s">
        <v>5906</v>
      </c>
      <c r="I621" s="2" t="s">
        <v>5905</v>
      </c>
      <c r="K621" s="2" t="s">
        <v>34399</v>
      </c>
    </row>
    <row r="622">
      <c r="A622" s="2" t="s">
        <v>4963</v>
      </c>
      <c r="B622" s="2" t="s">
        <v>34400</v>
      </c>
      <c r="C622" s="2">
        <v>6.5966736834E10</v>
      </c>
      <c r="E622" s="2">
        <v>20038.0</v>
      </c>
      <c r="F622" s="2">
        <v>8.0</v>
      </c>
      <c r="G622" s="2">
        <v>1111.0</v>
      </c>
      <c r="H622" s="2" t="s">
        <v>5905</v>
      </c>
      <c r="I622" s="2" t="s">
        <v>5906</v>
      </c>
      <c r="J622" s="2" t="s">
        <v>5928</v>
      </c>
      <c r="K622" s="2" t="s">
        <v>34401</v>
      </c>
      <c r="L622" s="10" t="s">
        <v>34402</v>
      </c>
    </row>
    <row r="623">
      <c r="A623" s="2" t="s">
        <v>4963</v>
      </c>
      <c r="B623" s="2" t="s">
        <v>34403</v>
      </c>
      <c r="C623" s="2">
        <v>8.339322577E9</v>
      </c>
      <c r="D623" s="2" t="s">
        <v>34404</v>
      </c>
      <c r="E623" s="2">
        <v>133629.0</v>
      </c>
      <c r="F623" s="2">
        <v>1953.0</v>
      </c>
      <c r="G623" s="2">
        <v>3102.0</v>
      </c>
      <c r="H623" s="2" t="s">
        <v>5905</v>
      </c>
      <c r="I623" s="2" t="s">
        <v>5906</v>
      </c>
      <c r="J623" s="2" t="s">
        <v>5959</v>
      </c>
      <c r="K623" s="2" t="s">
        <v>34405</v>
      </c>
    </row>
    <row r="624">
      <c r="A624" s="2" t="s">
        <v>4963</v>
      </c>
      <c r="B624" s="2" t="s">
        <v>34406</v>
      </c>
      <c r="C624" s="2">
        <v>7.4219680359E10</v>
      </c>
      <c r="D624" s="2" t="s">
        <v>34407</v>
      </c>
      <c r="E624" s="2">
        <v>32478.0</v>
      </c>
      <c r="F624" s="2">
        <v>4.0</v>
      </c>
      <c r="G624" s="2">
        <v>294.0</v>
      </c>
      <c r="H624" s="2" t="s">
        <v>5905</v>
      </c>
      <c r="I624" s="2" t="s">
        <v>5905</v>
      </c>
      <c r="J624" s="2" t="s">
        <v>5492</v>
      </c>
    </row>
    <row r="625">
      <c r="A625" s="2" t="s">
        <v>4963</v>
      </c>
      <c r="B625" s="2" t="s">
        <v>34408</v>
      </c>
      <c r="C625" s="2">
        <v>4.2651531E7</v>
      </c>
      <c r="D625" s="2" t="s">
        <v>34409</v>
      </c>
      <c r="E625" s="2">
        <v>48484.0</v>
      </c>
      <c r="F625" s="2">
        <v>6259.0</v>
      </c>
      <c r="G625" s="2">
        <v>354.0</v>
      </c>
      <c r="H625" s="2" t="s">
        <v>5905</v>
      </c>
      <c r="I625" s="2" t="s">
        <v>5905</v>
      </c>
      <c r="J625" s="2" t="s">
        <v>5993</v>
      </c>
      <c r="K625" s="2" t="s">
        <v>34410</v>
      </c>
      <c r="L625" s="10" t="s">
        <v>34411</v>
      </c>
    </row>
    <row r="626">
      <c r="A626" s="2" t="s">
        <v>4971</v>
      </c>
      <c r="B626" s="2" t="s">
        <v>34412</v>
      </c>
      <c r="C626" s="2">
        <v>1.0582950399E10</v>
      </c>
      <c r="D626" s="2" t="s">
        <v>34413</v>
      </c>
      <c r="E626" s="2">
        <v>1774429.0</v>
      </c>
      <c r="F626" s="2">
        <v>303.0</v>
      </c>
      <c r="G626" s="2">
        <v>5651.0</v>
      </c>
      <c r="H626" s="2" t="s">
        <v>5905</v>
      </c>
      <c r="I626" s="2" t="s">
        <v>5905</v>
      </c>
      <c r="J626" s="2" t="s">
        <v>9008</v>
      </c>
      <c r="K626" s="2" t="s">
        <v>34414</v>
      </c>
    </row>
    <row r="627">
      <c r="A627" s="2" t="s">
        <v>4971</v>
      </c>
      <c r="B627" s="2" t="s">
        <v>34415</v>
      </c>
      <c r="C627" s="2">
        <v>5.9410204027E10</v>
      </c>
      <c r="D627" s="2" t="s">
        <v>4971</v>
      </c>
      <c r="E627" s="2">
        <v>14127.0</v>
      </c>
      <c r="F627" s="2">
        <v>984.0</v>
      </c>
      <c r="G627" s="2">
        <v>95.0</v>
      </c>
      <c r="H627" s="2" t="s">
        <v>5906</v>
      </c>
      <c r="I627" s="2" t="s">
        <v>5905</v>
      </c>
      <c r="J627" s="2" t="s">
        <v>5959</v>
      </c>
      <c r="K627" s="2" t="s">
        <v>34416</v>
      </c>
      <c r="L627" s="10" t="s">
        <v>34417</v>
      </c>
    </row>
    <row r="628">
      <c r="A628" s="2" t="s">
        <v>4971</v>
      </c>
      <c r="B628" s="2" t="s">
        <v>34418</v>
      </c>
      <c r="C628" s="2">
        <v>3.58901642E8</v>
      </c>
      <c r="D628" s="2" t="s">
        <v>34419</v>
      </c>
      <c r="E628" s="2">
        <v>22852.0</v>
      </c>
      <c r="F628" s="2">
        <v>315.0</v>
      </c>
      <c r="G628" s="2">
        <v>8554.0</v>
      </c>
      <c r="H628" s="2" t="s">
        <v>5905</v>
      </c>
      <c r="I628" s="2" t="s">
        <v>5906</v>
      </c>
      <c r="J628" s="2" t="s">
        <v>5518</v>
      </c>
      <c r="K628" s="2" t="s">
        <v>34420</v>
      </c>
      <c r="L628" s="10" t="s">
        <v>34421</v>
      </c>
    </row>
    <row r="629">
      <c r="A629" s="2" t="s">
        <v>4971</v>
      </c>
      <c r="B629" s="2" t="s">
        <v>34422</v>
      </c>
      <c r="C629" s="2">
        <v>6.933437074E9</v>
      </c>
      <c r="D629" s="2" t="s">
        <v>34423</v>
      </c>
      <c r="E629" s="2">
        <v>18427.0</v>
      </c>
      <c r="F629" s="2">
        <v>272.0</v>
      </c>
      <c r="G629" s="2">
        <v>13370.0</v>
      </c>
      <c r="H629" s="2" t="s">
        <v>5905</v>
      </c>
      <c r="I629" s="2" t="s">
        <v>5905</v>
      </c>
      <c r="J629" s="2" t="s">
        <v>6032</v>
      </c>
      <c r="K629" s="2" t="s">
        <v>34424</v>
      </c>
    </row>
    <row r="630">
      <c r="A630" s="2" t="s">
        <v>4971</v>
      </c>
      <c r="B630" s="2" t="s">
        <v>34425</v>
      </c>
      <c r="C630" s="2">
        <v>7.271511959E9</v>
      </c>
      <c r="D630" s="2" t="s">
        <v>34426</v>
      </c>
      <c r="E630" s="2">
        <v>10144.0</v>
      </c>
      <c r="F630" s="2">
        <v>53.0</v>
      </c>
      <c r="G630" s="2">
        <v>372.0</v>
      </c>
      <c r="H630" s="2" t="s">
        <v>5905</v>
      </c>
      <c r="I630" s="2" t="s">
        <v>5906</v>
      </c>
      <c r="J630" s="2" t="s">
        <v>5391</v>
      </c>
      <c r="K630" s="2" t="s">
        <v>34427</v>
      </c>
    </row>
    <row r="631">
      <c r="A631" s="2" t="s">
        <v>4971</v>
      </c>
      <c r="B631" s="2" t="s">
        <v>34428</v>
      </c>
      <c r="C631" s="2">
        <v>4.75913359E8</v>
      </c>
      <c r="D631" s="2" t="s">
        <v>34429</v>
      </c>
      <c r="E631" s="2">
        <v>68703.0</v>
      </c>
      <c r="F631" s="2">
        <v>454.0</v>
      </c>
      <c r="G631" s="2">
        <v>8238.0</v>
      </c>
      <c r="H631" s="2" t="s">
        <v>5906</v>
      </c>
      <c r="I631" s="2" t="s">
        <v>5906</v>
      </c>
      <c r="J631" s="2" t="s">
        <v>5907</v>
      </c>
      <c r="K631" s="2" t="s">
        <v>34430</v>
      </c>
      <c r="L631" s="10" t="s">
        <v>34431</v>
      </c>
    </row>
    <row r="632">
      <c r="A632" s="2" t="s">
        <v>4971</v>
      </c>
      <c r="B632" s="2" t="s">
        <v>34432</v>
      </c>
      <c r="C632" s="2">
        <v>6.4709062864E10</v>
      </c>
      <c r="D632" s="2" t="s">
        <v>34433</v>
      </c>
      <c r="E632" s="2">
        <v>257185.0</v>
      </c>
      <c r="F632" s="2">
        <v>110.0</v>
      </c>
      <c r="G632" s="2">
        <v>338.0</v>
      </c>
      <c r="H632" s="2" t="s">
        <v>5905</v>
      </c>
      <c r="I632" s="2" t="s">
        <v>5905</v>
      </c>
      <c r="J632" s="2" t="s">
        <v>11797</v>
      </c>
      <c r="K632" s="2" t="s">
        <v>34434</v>
      </c>
    </row>
    <row r="633">
      <c r="A633" s="2" t="s">
        <v>4971</v>
      </c>
      <c r="B633" s="2" t="s">
        <v>34435</v>
      </c>
      <c r="C633" s="2">
        <v>2.12308789E8</v>
      </c>
      <c r="D633" s="2" t="s">
        <v>34436</v>
      </c>
      <c r="E633" s="2">
        <v>357050.0</v>
      </c>
      <c r="F633" s="2">
        <v>14.0</v>
      </c>
      <c r="G633" s="2">
        <v>8057.0</v>
      </c>
      <c r="H633" s="2" t="s">
        <v>5906</v>
      </c>
      <c r="I633" s="2" t="s">
        <v>5906</v>
      </c>
      <c r="J633" s="2" t="s">
        <v>31785</v>
      </c>
      <c r="K633" s="2" t="s">
        <v>34437</v>
      </c>
      <c r="L633" s="10" t="s">
        <v>34438</v>
      </c>
    </row>
    <row r="634">
      <c r="A634" s="2" t="s">
        <v>4971</v>
      </c>
      <c r="B634" s="2" t="s">
        <v>34439</v>
      </c>
      <c r="C634" s="2">
        <v>1.707387054E9</v>
      </c>
      <c r="D634" s="2" t="s">
        <v>34440</v>
      </c>
      <c r="E634" s="2">
        <v>42467.0</v>
      </c>
      <c r="F634" s="2">
        <v>1313.0</v>
      </c>
      <c r="G634" s="2">
        <v>11212.0</v>
      </c>
      <c r="H634" s="2" t="s">
        <v>5906</v>
      </c>
      <c r="I634" s="2" t="s">
        <v>5906</v>
      </c>
      <c r="J634" s="2" t="s">
        <v>5907</v>
      </c>
      <c r="K634" s="2" t="s">
        <v>34441</v>
      </c>
      <c r="L634" s="10" t="s">
        <v>34442</v>
      </c>
    </row>
    <row r="635">
      <c r="A635" s="2" t="s">
        <v>4971</v>
      </c>
      <c r="B635" s="2" t="s">
        <v>34443</v>
      </c>
      <c r="C635" s="2">
        <v>6.0066468668E10</v>
      </c>
      <c r="D635" s="2" t="s">
        <v>4971</v>
      </c>
      <c r="E635" s="2">
        <v>20745.0</v>
      </c>
      <c r="F635" s="2">
        <v>1.0</v>
      </c>
      <c r="G635" s="2">
        <v>222.0</v>
      </c>
      <c r="H635" s="2" t="s">
        <v>5905</v>
      </c>
      <c r="I635" s="2" t="s">
        <v>5906</v>
      </c>
      <c r="J635" s="2" t="s">
        <v>5963</v>
      </c>
      <c r="K635" s="2" t="s">
        <v>34444</v>
      </c>
      <c r="L635" s="10" t="s">
        <v>34445</v>
      </c>
    </row>
    <row r="636">
      <c r="A636" s="2" t="s">
        <v>5000</v>
      </c>
      <c r="B636" s="2" t="s">
        <v>34446</v>
      </c>
      <c r="C636" s="2">
        <v>4.5051272894E10</v>
      </c>
      <c r="D636" s="2" t="s">
        <v>34447</v>
      </c>
      <c r="E636" s="2">
        <v>16050.0</v>
      </c>
      <c r="F636" s="2">
        <v>13.0</v>
      </c>
      <c r="G636" s="2">
        <v>47.0</v>
      </c>
      <c r="H636" s="2" t="s">
        <v>5905</v>
      </c>
      <c r="I636" s="2" t="s">
        <v>5905</v>
      </c>
      <c r="J636" s="2" t="s">
        <v>6393</v>
      </c>
      <c r="K636" s="2" t="s">
        <v>34448</v>
      </c>
    </row>
    <row r="637">
      <c r="A637" s="2" t="s">
        <v>5000</v>
      </c>
      <c r="B637" s="2" t="s">
        <v>34449</v>
      </c>
      <c r="C637" s="2">
        <v>3.9423287507E10</v>
      </c>
      <c r="D637" s="2" t="s">
        <v>34450</v>
      </c>
      <c r="E637" s="2">
        <v>1126309.0</v>
      </c>
      <c r="F637" s="2">
        <v>42.0</v>
      </c>
      <c r="G637" s="2">
        <v>1954.0</v>
      </c>
      <c r="H637" s="2" t="s">
        <v>5906</v>
      </c>
      <c r="I637" s="2" t="s">
        <v>5905</v>
      </c>
      <c r="J637" s="2" t="s">
        <v>5480</v>
      </c>
      <c r="K637" s="2" t="s">
        <v>34451</v>
      </c>
    </row>
    <row r="638">
      <c r="A638" s="2" t="s">
        <v>4992</v>
      </c>
      <c r="B638" s="2" t="s">
        <v>34452</v>
      </c>
      <c r="C638" s="2">
        <v>4.7009849524E10</v>
      </c>
      <c r="D638" s="2" t="s">
        <v>34453</v>
      </c>
      <c r="E638" s="2">
        <v>13927.0</v>
      </c>
      <c r="F638" s="2">
        <v>3.0</v>
      </c>
      <c r="G638" s="2">
        <v>27.0</v>
      </c>
      <c r="H638" s="2" t="s">
        <v>5905</v>
      </c>
      <c r="I638" s="2" t="s">
        <v>5906</v>
      </c>
      <c r="J638" s="2" t="s">
        <v>6166</v>
      </c>
      <c r="K638" s="2" t="s">
        <v>34454</v>
      </c>
      <c r="L638" s="10" t="s">
        <v>34455</v>
      </c>
    </row>
    <row r="639">
      <c r="A639" s="2" t="s">
        <v>4992</v>
      </c>
      <c r="B639" s="2" t="s">
        <v>34456</v>
      </c>
      <c r="C639" s="2">
        <v>2.22763194E8</v>
      </c>
      <c r="D639" s="2" t="s">
        <v>34457</v>
      </c>
      <c r="E639" s="2">
        <v>380217.0</v>
      </c>
      <c r="F639" s="2">
        <v>4734.0</v>
      </c>
      <c r="G639" s="2">
        <v>3815.0</v>
      </c>
      <c r="H639" s="2" t="s">
        <v>5906</v>
      </c>
      <c r="I639" s="2" t="s">
        <v>5905</v>
      </c>
      <c r="J639" s="2" t="s">
        <v>7931</v>
      </c>
      <c r="K639" s="2" t="s">
        <v>34458</v>
      </c>
      <c r="L639" s="10" t="s">
        <v>34459</v>
      </c>
    </row>
    <row r="640">
      <c r="A640" s="2" t="s">
        <v>4992</v>
      </c>
      <c r="B640" s="2" t="s">
        <v>34460</v>
      </c>
      <c r="C640" s="2">
        <v>2.118425299E9</v>
      </c>
      <c r="D640" s="2" t="s">
        <v>34461</v>
      </c>
      <c r="E640" s="2">
        <v>15925.0</v>
      </c>
      <c r="F640" s="2">
        <v>3902.0</v>
      </c>
      <c r="G640" s="2">
        <v>711.0</v>
      </c>
      <c r="H640" s="2" t="s">
        <v>5905</v>
      </c>
      <c r="I640" s="2" t="s">
        <v>5906</v>
      </c>
      <c r="J640" s="2" t="s">
        <v>27578</v>
      </c>
      <c r="K640" s="2" t="s">
        <v>34462</v>
      </c>
      <c r="L640" s="10" t="s">
        <v>34463</v>
      </c>
    </row>
    <row r="641">
      <c r="A641" s="2" t="s">
        <v>4992</v>
      </c>
      <c r="B641" s="2" t="s">
        <v>34464</v>
      </c>
      <c r="C641" s="2">
        <v>6.871288822E9</v>
      </c>
      <c r="D641" s="2" t="s">
        <v>34465</v>
      </c>
      <c r="E641" s="2">
        <v>80254.0</v>
      </c>
      <c r="F641" s="2">
        <v>464.0</v>
      </c>
      <c r="G641" s="2">
        <v>6946.0</v>
      </c>
      <c r="H641" s="2" t="s">
        <v>5905</v>
      </c>
      <c r="I641" s="2" t="s">
        <v>5906</v>
      </c>
      <c r="K641" s="2" t="s">
        <v>34466</v>
      </c>
      <c r="L641" s="10" t="s">
        <v>34467</v>
      </c>
    </row>
    <row r="642">
      <c r="A642" s="2" t="s">
        <v>4938</v>
      </c>
      <c r="B642" s="2" t="s">
        <v>34468</v>
      </c>
      <c r="C642" s="2">
        <v>2.1828649675E10</v>
      </c>
      <c r="D642" s="2" t="s">
        <v>34469</v>
      </c>
      <c r="E642" s="2">
        <v>196046.0</v>
      </c>
      <c r="F642" s="2">
        <v>2018.0</v>
      </c>
      <c r="G642" s="2">
        <v>1420.0</v>
      </c>
      <c r="H642" s="2" t="s">
        <v>5905</v>
      </c>
      <c r="I642" s="2" t="s">
        <v>5906</v>
      </c>
      <c r="J642" s="2" t="s">
        <v>16773</v>
      </c>
      <c r="K642" s="2" t="s">
        <v>34470</v>
      </c>
    </row>
    <row r="643">
      <c r="A643" s="2" t="s">
        <v>4938</v>
      </c>
      <c r="B643" s="2" t="s">
        <v>34471</v>
      </c>
      <c r="C643" s="2">
        <v>4.32748873E9</v>
      </c>
      <c r="D643" s="2" t="s">
        <v>34472</v>
      </c>
      <c r="E643" s="2">
        <v>11811.0</v>
      </c>
      <c r="F643" s="2">
        <v>52.0</v>
      </c>
      <c r="G643" s="2">
        <v>722.0</v>
      </c>
      <c r="H643" s="2" t="s">
        <v>5905</v>
      </c>
      <c r="I643" s="2" t="s">
        <v>5906</v>
      </c>
      <c r="J643" s="2" t="s">
        <v>6559</v>
      </c>
      <c r="K643" s="2" t="s">
        <v>34473</v>
      </c>
      <c r="L643" s="10" t="s">
        <v>34474</v>
      </c>
    </row>
    <row r="644">
      <c r="A644" s="2" t="s">
        <v>4990</v>
      </c>
      <c r="B644" s="2" t="s">
        <v>34475</v>
      </c>
      <c r="C644" s="2">
        <v>4.9692831873E10</v>
      </c>
      <c r="D644" s="2" t="s">
        <v>34476</v>
      </c>
      <c r="E644" s="2">
        <v>66626.0</v>
      </c>
      <c r="F644" s="2">
        <v>37.0</v>
      </c>
      <c r="G644" s="2">
        <v>2112.0</v>
      </c>
      <c r="H644" s="2" t="s">
        <v>5905</v>
      </c>
      <c r="I644" s="2" t="s">
        <v>5906</v>
      </c>
      <c r="J644" s="2" t="s">
        <v>22861</v>
      </c>
      <c r="K644" s="2" t="s">
        <v>34477</v>
      </c>
      <c r="L644" s="10" t="s">
        <v>34478</v>
      </c>
    </row>
    <row r="645">
      <c r="A645" s="2" t="s">
        <v>4999</v>
      </c>
      <c r="B645" s="2" t="s">
        <v>34479</v>
      </c>
      <c r="C645" s="2">
        <v>4.6727874223E10</v>
      </c>
      <c r="D645" s="2" t="s">
        <v>34480</v>
      </c>
      <c r="E645" s="2">
        <v>231048.0</v>
      </c>
      <c r="F645" s="2">
        <v>6.0</v>
      </c>
      <c r="G645" s="2">
        <v>562.0</v>
      </c>
      <c r="H645" s="2" t="s">
        <v>5905</v>
      </c>
      <c r="I645" s="2" t="s">
        <v>5906</v>
      </c>
      <c r="J645" s="2" t="s">
        <v>5968</v>
      </c>
      <c r="K645" s="2" t="s">
        <v>34481</v>
      </c>
      <c r="L645" s="10" t="s">
        <v>34482</v>
      </c>
    </row>
    <row r="646">
      <c r="A646" s="2" t="s">
        <v>4999</v>
      </c>
      <c r="B646" s="2" t="s">
        <v>34483</v>
      </c>
      <c r="C646" s="2">
        <v>1.5017625111E10</v>
      </c>
      <c r="D646" s="2" t="s">
        <v>34484</v>
      </c>
      <c r="E646" s="2">
        <v>10738.0</v>
      </c>
      <c r="F646" s="2">
        <v>1002.0</v>
      </c>
      <c r="G646" s="2">
        <v>1158.0</v>
      </c>
      <c r="H646" s="2" t="s">
        <v>5905</v>
      </c>
      <c r="I646" s="2" t="s">
        <v>5906</v>
      </c>
      <c r="J646" s="2" t="s">
        <v>5963</v>
      </c>
      <c r="K646" s="2" t="s">
        <v>34485</v>
      </c>
      <c r="L646" s="10" t="s">
        <v>34486</v>
      </c>
    </row>
    <row r="647">
      <c r="A647" s="2" t="s">
        <v>4999</v>
      </c>
      <c r="B647" s="2" t="s">
        <v>34487</v>
      </c>
      <c r="C647" s="2">
        <v>2.111028772E9</v>
      </c>
      <c r="D647" s="2" t="s">
        <v>34488</v>
      </c>
      <c r="E647" s="2">
        <v>414041.0</v>
      </c>
      <c r="F647" s="2">
        <v>1.0</v>
      </c>
      <c r="G647" s="2">
        <v>1035.0</v>
      </c>
      <c r="H647" s="2" t="s">
        <v>5906</v>
      </c>
      <c r="I647" s="2" t="s">
        <v>5906</v>
      </c>
      <c r="J647" s="2" t="s">
        <v>6166</v>
      </c>
      <c r="K647" s="2" t="s">
        <v>34489</v>
      </c>
      <c r="L647" s="10" t="s">
        <v>34490</v>
      </c>
    </row>
    <row r="648">
      <c r="A648" s="2" t="s">
        <v>4999</v>
      </c>
      <c r="B648" s="2" t="s">
        <v>34491</v>
      </c>
      <c r="C648" s="2">
        <v>5.2247109469E10</v>
      </c>
      <c r="D648" s="2" t="s">
        <v>34492</v>
      </c>
      <c r="E648" s="2">
        <v>19432.0</v>
      </c>
      <c r="F648" s="2">
        <v>64.0</v>
      </c>
      <c r="G648" s="2">
        <v>148.0</v>
      </c>
      <c r="H648" s="2" t="s">
        <v>5906</v>
      </c>
      <c r="I648" s="2" t="s">
        <v>5905</v>
      </c>
      <c r="J648" s="2" t="s">
        <v>6171</v>
      </c>
      <c r="K648" s="2" t="s">
        <v>34493</v>
      </c>
      <c r="L648" s="10" t="s">
        <v>34494</v>
      </c>
    </row>
    <row r="649">
      <c r="A649" s="2" t="s">
        <v>4945</v>
      </c>
      <c r="B649" s="2" t="s">
        <v>34495</v>
      </c>
      <c r="C649" s="2">
        <v>1.0731551046E10</v>
      </c>
      <c r="D649" s="2" t="s">
        <v>34496</v>
      </c>
      <c r="E649" s="2">
        <v>312064.0</v>
      </c>
      <c r="F649" s="2">
        <v>1337.0</v>
      </c>
      <c r="G649" s="2">
        <v>126.0</v>
      </c>
      <c r="H649" s="2" t="s">
        <v>5906</v>
      </c>
      <c r="I649" s="2" t="s">
        <v>5905</v>
      </c>
      <c r="J649" s="2" t="s">
        <v>5993</v>
      </c>
      <c r="K649" s="2" t="s">
        <v>34497</v>
      </c>
      <c r="L649" s="10" t="s">
        <v>34498</v>
      </c>
    </row>
    <row r="650">
      <c r="A650" s="2" t="s">
        <v>4945</v>
      </c>
      <c r="B650" s="2" t="s">
        <v>34499</v>
      </c>
      <c r="C650" s="2">
        <v>2.52228542E8</v>
      </c>
      <c r="D650" s="2" t="s">
        <v>34500</v>
      </c>
      <c r="E650" s="2">
        <v>114259.0</v>
      </c>
      <c r="F650" s="2">
        <v>4117.0</v>
      </c>
      <c r="G650" s="2">
        <v>147.0</v>
      </c>
      <c r="H650" s="2" t="s">
        <v>5906</v>
      </c>
      <c r="I650" s="2" t="s">
        <v>5905</v>
      </c>
      <c r="J650" s="2" t="s">
        <v>5993</v>
      </c>
      <c r="K650" s="2" t="s">
        <v>34501</v>
      </c>
      <c r="L650" s="10" t="s">
        <v>34502</v>
      </c>
    </row>
    <row r="651">
      <c r="A651" s="2" t="s">
        <v>4945</v>
      </c>
      <c r="B651" s="2" t="s">
        <v>34503</v>
      </c>
      <c r="C651" s="2">
        <v>8.787852901E9</v>
      </c>
      <c r="D651" s="2" t="s">
        <v>34504</v>
      </c>
      <c r="E651" s="2">
        <v>549477.0</v>
      </c>
      <c r="F651" s="2">
        <v>383.0</v>
      </c>
      <c r="G651" s="2">
        <v>1042.0</v>
      </c>
      <c r="H651" s="2" t="s">
        <v>5905</v>
      </c>
      <c r="I651" s="2" t="s">
        <v>5906</v>
      </c>
      <c r="J651" s="2" t="s">
        <v>19006</v>
      </c>
      <c r="K651" s="2" t="s">
        <v>34505</v>
      </c>
      <c r="L651" s="10" t="s">
        <v>34506</v>
      </c>
    </row>
    <row r="652">
      <c r="A652" s="2" t="s">
        <v>4945</v>
      </c>
      <c r="B652" s="2" t="s">
        <v>34507</v>
      </c>
      <c r="C652" s="2">
        <v>5.8770101875E10</v>
      </c>
      <c r="D652" s="2" t="s">
        <v>34508</v>
      </c>
      <c r="E652" s="2">
        <v>23529.0</v>
      </c>
      <c r="F652" s="2">
        <v>2.0</v>
      </c>
      <c r="G652" s="2">
        <v>312.0</v>
      </c>
      <c r="H652" s="2" t="s">
        <v>5905</v>
      </c>
      <c r="I652" s="2" t="s">
        <v>5905</v>
      </c>
      <c r="J652" s="2" t="s">
        <v>19006</v>
      </c>
      <c r="K652" s="12" t="s">
        <v>34509</v>
      </c>
    </row>
    <row r="653">
      <c r="A653" s="2" t="s">
        <v>4945</v>
      </c>
      <c r="B653" s="2" t="s">
        <v>34510</v>
      </c>
      <c r="C653" s="2">
        <v>3.31213859E8</v>
      </c>
      <c r="D653" s="2" t="s">
        <v>34511</v>
      </c>
      <c r="E653" s="2">
        <v>22610.0</v>
      </c>
      <c r="F653" s="2">
        <v>3917.0</v>
      </c>
      <c r="G653" s="2">
        <v>444.0</v>
      </c>
      <c r="H653" s="2" t="s">
        <v>5905</v>
      </c>
      <c r="I653" s="2" t="s">
        <v>5906</v>
      </c>
      <c r="J653" s="2" t="s">
        <v>5391</v>
      </c>
      <c r="K653" s="2" t="s">
        <v>34512</v>
      </c>
    </row>
    <row r="654">
      <c r="A654" s="2" t="s">
        <v>4945</v>
      </c>
      <c r="B654" s="2" t="s">
        <v>34513</v>
      </c>
      <c r="C654" s="2">
        <v>1.4236685527E10</v>
      </c>
      <c r="D654" s="2" t="s">
        <v>34514</v>
      </c>
      <c r="E654" s="2">
        <v>551485.0</v>
      </c>
      <c r="F654" s="2">
        <v>8.0</v>
      </c>
      <c r="G654" s="2">
        <v>7003.0</v>
      </c>
      <c r="H654" s="2" t="s">
        <v>5905</v>
      </c>
      <c r="I654" s="2" t="s">
        <v>5906</v>
      </c>
      <c r="J654" s="2" t="s">
        <v>10630</v>
      </c>
      <c r="K654" s="2" t="s">
        <v>34515</v>
      </c>
    </row>
    <row r="655">
      <c r="A655" s="2" t="s">
        <v>4945</v>
      </c>
      <c r="B655" s="2" t="s">
        <v>34516</v>
      </c>
      <c r="C655" s="2">
        <v>4.0197722867E10</v>
      </c>
      <c r="D655" s="2" t="s">
        <v>34517</v>
      </c>
      <c r="E655" s="2">
        <v>41045.0</v>
      </c>
      <c r="F655" s="2">
        <v>901.0</v>
      </c>
      <c r="G655" s="2">
        <v>368.0</v>
      </c>
      <c r="H655" s="2" t="s">
        <v>5905</v>
      </c>
      <c r="I655" s="2" t="s">
        <v>5905</v>
      </c>
      <c r="J655" s="2" t="s">
        <v>4404</v>
      </c>
      <c r="K655" s="2" t="s">
        <v>34518</v>
      </c>
      <c r="L655" s="10" t="s">
        <v>34519</v>
      </c>
    </row>
    <row r="656">
      <c r="A656" s="2" t="s">
        <v>4945</v>
      </c>
      <c r="B656" s="2" t="s">
        <v>34520</v>
      </c>
      <c r="C656" s="2">
        <v>5.11710887E8</v>
      </c>
      <c r="D656" s="2" t="s">
        <v>34521</v>
      </c>
      <c r="E656" s="2">
        <v>87964.0</v>
      </c>
      <c r="F656" s="2">
        <v>75.0</v>
      </c>
      <c r="G656" s="2">
        <v>662.0</v>
      </c>
      <c r="H656" s="2" t="s">
        <v>5905</v>
      </c>
      <c r="I656" s="2" t="s">
        <v>5906</v>
      </c>
      <c r="J656" s="2" t="s">
        <v>5993</v>
      </c>
      <c r="K656" s="2" t="s">
        <v>34522</v>
      </c>
    </row>
    <row r="657">
      <c r="A657" s="2" t="s">
        <v>4945</v>
      </c>
      <c r="B657" s="2" t="s">
        <v>34523</v>
      </c>
      <c r="C657" s="2">
        <v>8.075871223E9</v>
      </c>
      <c r="D657" s="2" t="s">
        <v>34524</v>
      </c>
      <c r="E657" s="2">
        <v>72639.0</v>
      </c>
      <c r="F657" s="2">
        <v>1345.0</v>
      </c>
      <c r="G657" s="2">
        <v>2239.0</v>
      </c>
      <c r="H657" s="2" t="s">
        <v>5905</v>
      </c>
      <c r="I657" s="2" t="s">
        <v>5906</v>
      </c>
      <c r="J657" s="2" t="s">
        <v>5928</v>
      </c>
      <c r="K657" s="2" t="s">
        <v>34525</v>
      </c>
      <c r="L657" s="10" t="s">
        <v>34526</v>
      </c>
    </row>
    <row r="658">
      <c r="A658" s="2" t="s">
        <v>4945</v>
      </c>
      <c r="B658" s="2" t="s">
        <v>34527</v>
      </c>
      <c r="C658" s="2">
        <v>2.4132806641E10</v>
      </c>
      <c r="D658" s="2" t="s">
        <v>34528</v>
      </c>
      <c r="E658" s="2">
        <v>253658.0</v>
      </c>
      <c r="F658" s="2">
        <v>961.0</v>
      </c>
      <c r="G658" s="2">
        <v>835.0</v>
      </c>
      <c r="H658" s="2" t="s">
        <v>5906</v>
      </c>
      <c r="I658" s="2" t="s">
        <v>5905</v>
      </c>
      <c r="J658" s="2" t="s">
        <v>5993</v>
      </c>
      <c r="K658" s="2" t="s">
        <v>34529</v>
      </c>
    </row>
    <row r="659">
      <c r="A659" s="2" t="s">
        <v>4945</v>
      </c>
      <c r="B659" s="2" t="s">
        <v>34530</v>
      </c>
      <c r="C659" s="2">
        <v>3.7774205271E10</v>
      </c>
      <c r="D659" s="2" t="s">
        <v>34531</v>
      </c>
      <c r="E659" s="2">
        <v>160409.0</v>
      </c>
      <c r="F659" s="2">
        <v>4.0</v>
      </c>
      <c r="G659" s="2">
        <v>1606.0</v>
      </c>
      <c r="H659" s="2" t="s">
        <v>5905</v>
      </c>
      <c r="I659" s="2" t="s">
        <v>5906</v>
      </c>
      <c r="J659" s="2" t="s">
        <v>19006</v>
      </c>
      <c r="K659" s="2" t="s">
        <v>34532</v>
      </c>
      <c r="L659" s="10" t="s">
        <v>34533</v>
      </c>
    </row>
    <row r="660">
      <c r="A660" s="2" t="s">
        <v>4945</v>
      </c>
      <c r="B660" s="2" t="s">
        <v>34534</v>
      </c>
      <c r="C660" s="2">
        <v>3.4133867322E10</v>
      </c>
      <c r="D660" s="2" t="s">
        <v>34535</v>
      </c>
      <c r="E660" s="2">
        <v>33320.0</v>
      </c>
      <c r="F660" s="2">
        <v>456.0</v>
      </c>
      <c r="G660" s="2">
        <v>334.0</v>
      </c>
      <c r="H660" s="2" t="s">
        <v>5905</v>
      </c>
      <c r="I660" s="2" t="s">
        <v>5906</v>
      </c>
      <c r="J660" s="2" t="s">
        <v>5959</v>
      </c>
      <c r="K660" s="2" t="s">
        <v>34536</v>
      </c>
      <c r="L660" s="10" t="s">
        <v>34537</v>
      </c>
    </row>
    <row r="661">
      <c r="A661" s="2" t="s">
        <v>4975</v>
      </c>
      <c r="B661" s="2" t="s">
        <v>34538</v>
      </c>
      <c r="C661" s="2">
        <v>6.4721781119E10</v>
      </c>
      <c r="D661" s="2" t="s">
        <v>34539</v>
      </c>
      <c r="E661" s="2">
        <v>480486.0</v>
      </c>
      <c r="F661" s="2">
        <v>378.0</v>
      </c>
      <c r="G661" s="2">
        <v>841.0</v>
      </c>
      <c r="H661" s="2" t="s">
        <v>5906</v>
      </c>
      <c r="I661" s="2" t="s">
        <v>5905</v>
      </c>
      <c r="J661" s="2" t="s">
        <v>8245</v>
      </c>
      <c r="K661" s="2" t="s">
        <v>34540</v>
      </c>
    </row>
    <row r="662">
      <c r="A662" s="2" t="s">
        <v>4975</v>
      </c>
      <c r="B662" s="2" t="s">
        <v>34541</v>
      </c>
      <c r="C662" s="2">
        <v>1.0066053E7</v>
      </c>
      <c r="D662" s="2" t="s">
        <v>34542</v>
      </c>
      <c r="E662" s="2">
        <v>267084.0</v>
      </c>
      <c r="F662" s="2">
        <v>746.0</v>
      </c>
      <c r="G662" s="2">
        <v>248.0</v>
      </c>
      <c r="H662" s="2" t="s">
        <v>5906</v>
      </c>
      <c r="I662" s="2" t="s">
        <v>5906</v>
      </c>
      <c r="J662" s="2" t="s">
        <v>6124</v>
      </c>
      <c r="K662" s="2" t="s">
        <v>34543</v>
      </c>
      <c r="L662" s="10" t="s">
        <v>34544</v>
      </c>
    </row>
    <row r="663">
      <c r="A663" s="2" t="s">
        <v>4975</v>
      </c>
      <c r="B663" s="2" t="s">
        <v>34545</v>
      </c>
      <c r="C663" s="2">
        <v>6.0243584336E10</v>
      </c>
      <c r="D663" s="2" t="s">
        <v>34546</v>
      </c>
      <c r="E663" s="2">
        <v>164746.0</v>
      </c>
      <c r="F663" s="2">
        <v>32.0</v>
      </c>
      <c r="G663" s="2">
        <v>313.0</v>
      </c>
      <c r="H663" s="2" t="s">
        <v>5905</v>
      </c>
      <c r="I663" s="2" t="s">
        <v>5905</v>
      </c>
      <c r="J663" s="2" t="s">
        <v>6199</v>
      </c>
      <c r="K663" s="12" t="s">
        <v>34547</v>
      </c>
      <c r="L663" s="10" t="s">
        <v>34548</v>
      </c>
    </row>
    <row r="664">
      <c r="A664" s="2" t="s">
        <v>4975</v>
      </c>
      <c r="B664" s="2" t="s">
        <v>34549</v>
      </c>
      <c r="C664" s="2">
        <v>3.1495283151E10</v>
      </c>
      <c r="D664" s="2" t="s">
        <v>34550</v>
      </c>
      <c r="E664" s="2">
        <v>835040.0</v>
      </c>
      <c r="F664" s="2">
        <v>5639.0</v>
      </c>
      <c r="G664" s="2">
        <v>3573.0</v>
      </c>
      <c r="H664" s="2" t="s">
        <v>5906</v>
      </c>
      <c r="I664" s="2" t="s">
        <v>5905</v>
      </c>
      <c r="J664" s="2" t="s">
        <v>5959</v>
      </c>
      <c r="K664" s="2" t="s">
        <v>34551</v>
      </c>
      <c r="L664" s="10" t="s">
        <v>34552</v>
      </c>
    </row>
    <row r="665">
      <c r="A665" s="2" t="s">
        <v>4975</v>
      </c>
      <c r="B665" s="2" t="s">
        <v>34553</v>
      </c>
      <c r="C665" s="2">
        <v>1.0490270455E10</v>
      </c>
      <c r="D665" s="2" t="s">
        <v>4975</v>
      </c>
      <c r="E665" s="2">
        <v>263768.0</v>
      </c>
      <c r="F665" s="2">
        <v>261.0</v>
      </c>
      <c r="G665" s="2">
        <v>561.0</v>
      </c>
      <c r="H665" s="2" t="s">
        <v>5906</v>
      </c>
      <c r="I665" s="2" t="s">
        <v>5906</v>
      </c>
      <c r="J665" s="2" t="s">
        <v>6002</v>
      </c>
      <c r="K665" s="2" t="s">
        <v>34554</v>
      </c>
      <c r="L665" s="10" t="s">
        <v>34555</v>
      </c>
    </row>
    <row r="666">
      <c r="A666" s="2" t="s">
        <v>4975</v>
      </c>
      <c r="B666" s="2" t="s">
        <v>34556</v>
      </c>
      <c r="C666" s="2">
        <v>4.9342189222E10</v>
      </c>
      <c r="D666" s="2" t="s">
        <v>34557</v>
      </c>
      <c r="E666" s="2">
        <v>124900.0</v>
      </c>
      <c r="F666" s="2">
        <v>1074.0</v>
      </c>
      <c r="G666" s="2">
        <v>279.0</v>
      </c>
      <c r="H666" s="2" t="s">
        <v>5906</v>
      </c>
      <c r="I666" s="2" t="s">
        <v>5905</v>
      </c>
      <c r="J666" s="2" t="s">
        <v>5959</v>
      </c>
      <c r="K666" s="2" t="s">
        <v>34558</v>
      </c>
      <c r="L666" s="10" t="s">
        <v>34559</v>
      </c>
    </row>
    <row r="667">
      <c r="A667" s="2" t="s">
        <v>4975</v>
      </c>
      <c r="B667" s="2" t="s">
        <v>34560</v>
      </c>
      <c r="C667" s="2">
        <v>5.752554496E9</v>
      </c>
      <c r="D667" s="2" t="s">
        <v>34561</v>
      </c>
      <c r="E667" s="2">
        <v>1510532.0</v>
      </c>
      <c r="F667" s="2">
        <v>6.0</v>
      </c>
      <c r="G667" s="2">
        <v>47558.0</v>
      </c>
      <c r="H667" s="2" t="s">
        <v>5906</v>
      </c>
      <c r="I667" s="2" t="s">
        <v>5905</v>
      </c>
      <c r="J667" s="2" t="s">
        <v>5911</v>
      </c>
      <c r="K667" s="2" t="s">
        <v>34562</v>
      </c>
      <c r="L667" s="10" t="s">
        <v>34563</v>
      </c>
    </row>
    <row r="668">
      <c r="A668" s="2" t="s">
        <v>4975</v>
      </c>
      <c r="B668" s="2" t="s">
        <v>34564</v>
      </c>
      <c r="C668" s="2">
        <v>6.43882149E8</v>
      </c>
      <c r="D668" s="2" t="s">
        <v>34565</v>
      </c>
      <c r="E668" s="2">
        <v>53445.0</v>
      </c>
      <c r="F668" s="2">
        <v>2323.0</v>
      </c>
      <c r="G668" s="2">
        <v>5778.0</v>
      </c>
      <c r="H668" s="2" t="s">
        <v>5906</v>
      </c>
      <c r="I668" s="2" t="s">
        <v>5906</v>
      </c>
      <c r="J668" s="2" t="s">
        <v>5391</v>
      </c>
      <c r="K668" s="2" t="s">
        <v>34566</v>
      </c>
      <c r="L668" s="10" t="s">
        <v>34567</v>
      </c>
    </row>
    <row r="669">
      <c r="A669" s="2" t="s">
        <v>4975</v>
      </c>
      <c r="B669" s="2" t="s">
        <v>34568</v>
      </c>
      <c r="C669" s="2">
        <v>2.9305756E7</v>
      </c>
      <c r="D669" s="2" t="s">
        <v>34569</v>
      </c>
      <c r="E669" s="2">
        <v>483732.0</v>
      </c>
      <c r="F669" s="2">
        <v>3214.0</v>
      </c>
      <c r="G669" s="2">
        <v>16944.0</v>
      </c>
      <c r="H669" s="2" t="s">
        <v>5905</v>
      </c>
      <c r="I669" s="2" t="s">
        <v>5906</v>
      </c>
      <c r="J669" s="2" t="s">
        <v>6023</v>
      </c>
      <c r="K669" s="2" t="s">
        <v>34570</v>
      </c>
      <c r="L669" s="10" t="s">
        <v>34571</v>
      </c>
    </row>
    <row r="670">
      <c r="A670" s="2" t="s">
        <v>4975</v>
      </c>
      <c r="B670" s="2" t="s">
        <v>34572</v>
      </c>
      <c r="C670" s="2">
        <v>1.1424914292E10</v>
      </c>
      <c r="D670" s="2" t="s">
        <v>34573</v>
      </c>
      <c r="E670" s="2">
        <v>75178.0</v>
      </c>
      <c r="F670" s="2">
        <v>335.0</v>
      </c>
      <c r="G670" s="2">
        <v>1626.0</v>
      </c>
      <c r="H670" s="2" t="s">
        <v>5906</v>
      </c>
      <c r="I670" s="2" t="s">
        <v>5905</v>
      </c>
      <c r="J670" s="2" t="s">
        <v>5391</v>
      </c>
      <c r="K670" s="2" t="s">
        <v>34574</v>
      </c>
      <c r="L670" s="10" t="s">
        <v>34575</v>
      </c>
    </row>
    <row r="671">
      <c r="A671" s="2" t="s">
        <v>4975</v>
      </c>
      <c r="B671" s="2" t="s">
        <v>34576</v>
      </c>
      <c r="C671" s="2">
        <v>4.89497639E8</v>
      </c>
      <c r="D671" s="2" t="s">
        <v>34577</v>
      </c>
      <c r="E671" s="2">
        <v>36195.0</v>
      </c>
      <c r="F671" s="2">
        <v>4165.0</v>
      </c>
      <c r="G671" s="2">
        <v>8493.0</v>
      </c>
      <c r="H671" s="2" t="s">
        <v>5905</v>
      </c>
      <c r="I671" s="2" t="s">
        <v>5906</v>
      </c>
      <c r="J671" s="2" t="s">
        <v>5391</v>
      </c>
      <c r="K671" s="2" t="s">
        <v>34578</v>
      </c>
      <c r="L671" s="10" t="s">
        <v>34579</v>
      </c>
    </row>
    <row r="672">
      <c r="A672" s="2" t="s">
        <v>4975</v>
      </c>
      <c r="B672" s="2" t="s">
        <v>34580</v>
      </c>
      <c r="C672" s="2">
        <v>2.71467722E8</v>
      </c>
      <c r="D672" s="2" t="s">
        <v>34581</v>
      </c>
      <c r="E672" s="2">
        <v>30015.0</v>
      </c>
      <c r="F672" s="2">
        <v>11.0</v>
      </c>
      <c r="G672" s="2">
        <v>1687.0</v>
      </c>
      <c r="H672" s="2" t="s">
        <v>5905</v>
      </c>
      <c r="I672" s="2" t="s">
        <v>5906</v>
      </c>
      <c r="J672" s="2" t="s">
        <v>5391</v>
      </c>
      <c r="K672" s="2" t="s">
        <v>34582</v>
      </c>
      <c r="L672" s="10" t="s">
        <v>34583</v>
      </c>
    </row>
    <row r="673">
      <c r="A673" s="2" t="s">
        <v>4975</v>
      </c>
      <c r="B673" s="2" t="s">
        <v>12626</v>
      </c>
      <c r="C673" s="2">
        <v>2.2619435E7</v>
      </c>
      <c r="D673" s="2" t="s">
        <v>12627</v>
      </c>
      <c r="E673" s="2">
        <v>1.0070149E7</v>
      </c>
      <c r="F673" s="2">
        <v>492.0</v>
      </c>
      <c r="G673" s="2">
        <v>14581.0</v>
      </c>
      <c r="H673" s="2" t="s">
        <v>5906</v>
      </c>
      <c r="I673" s="2" t="s">
        <v>5906</v>
      </c>
      <c r="K673" s="2" t="s">
        <v>12628</v>
      </c>
      <c r="L673" s="10" t="s">
        <v>12629</v>
      </c>
    </row>
    <row r="674">
      <c r="A674" s="2" t="s">
        <v>5140</v>
      </c>
      <c r="B674" s="2" t="s">
        <v>34584</v>
      </c>
      <c r="C674" s="2">
        <v>4.8726903288E10</v>
      </c>
      <c r="D674" s="2" t="s">
        <v>34585</v>
      </c>
      <c r="E674" s="2">
        <v>25572.0</v>
      </c>
      <c r="F674" s="2">
        <v>2172.0</v>
      </c>
      <c r="G674" s="2">
        <v>1552.0</v>
      </c>
      <c r="H674" s="2" t="s">
        <v>5905</v>
      </c>
      <c r="I674" s="2" t="s">
        <v>5906</v>
      </c>
      <c r="J674" s="2" t="s">
        <v>6354</v>
      </c>
      <c r="K674" s="2" t="s">
        <v>34586</v>
      </c>
      <c r="L674" s="10" t="s">
        <v>34587</v>
      </c>
    </row>
    <row r="675">
      <c r="A675" s="2" t="s">
        <v>5182</v>
      </c>
      <c r="B675" s="2" t="s">
        <v>34588</v>
      </c>
      <c r="C675" s="2">
        <v>5.825510563E9</v>
      </c>
      <c r="D675" s="2" t="s">
        <v>34589</v>
      </c>
      <c r="E675" s="2">
        <v>61519.0</v>
      </c>
      <c r="F675" s="2">
        <v>45.0</v>
      </c>
      <c r="G675" s="2">
        <v>589.0</v>
      </c>
      <c r="H675" s="2" t="s">
        <v>5905</v>
      </c>
      <c r="I675" s="2" t="s">
        <v>5906</v>
      </c>
      <c r="J675" s="2" t="s">
        <v>13645</v>
      </c>
      <c r="K675" s="12" t="s">
        <v>34590</v>
      </c>
    </row>
    <row r="676">
      <c r="A676" s="2" t="s">
        <v>4916</v>
      </c>
      <c r="B676" s="2" t="s">
        <v>34591</v>
      </c>
      <c r="C676" s="2">
        <v>5.717574554E10</v>
      </c>
      <c r="D676" s="2" t="s">
        <v>34592</v>
      </c>
      <c r="E676" s="2">
        <v>113161.0</v>
      </c>
      <c r="F676" s="2">
        <v>93.0</v>
      </c>
      <c r="G676" s="2">
        <v>447.0</v>
      </c>
      <c r="H676" s="2" t="s">
        <v>5906</v>
      </c>
      <c r="I676" s="2" t="s">
        <v>5905</v>
      </c>
      <c r="J676" s="2" t="s">
        <v>7414</v>
      </c>
      <c r="K676" s="2" t="s">
        <v>34593</v>
      </c>
      <c r="L676" s="10" t="s">
        <v>34594</v>
      </c>
    </row>
    <row r="677">
      <c r="A677" s="2" t="s">
        <v>4916</v>
      </c>
      <c r="B677" s="2" t="s">
        <v>34595</v>
      </c>
      <c r="C677" s="2">
        <v>2.29769452E8</v>
      </c>
      <c r="D677" s="2" t="s">
        <v>34596</v>
      </c>
      <c r="E677" s="2">
        <v>129815.0</v>
      </c>
      <c r="F677" s="2">
        <v>262.0</v>
      </c>
      <c r="G677" s="2">
        <v>2065.0</v>
      </c>
      <c r="H677" s="2" t="s">
        <v>5906</v>
      </c>
      <c r="I677" s="2" t="s">
        <v>5906</v>
      </c>
      <c r="J677" s="2" t="s">
        <v>5963</v>
      </c>
      <c r="L677" s="10" t="s">
        <v>34597</v>
      </c>
    </row>
    <row r="678">
      <c r="A678" s="2" t="s">
        <v>4916</v>
      </c>
      <c r="B678" s="2" t="s">
        <v>34598</v>
      </c>
      <c r="C678" s="2">
        <v>6.5556373286E10</v>
      </c>
      <c r="D678" s="2" t="s">
        <v>34599</v>
      </c>
      <c r="E678" s="2">
        <v>16954.0</v>
      </c>
      <c r="F678" s="2">
        <v>1.0</v>
      </c>
      <c r="G678" s="2">
        <v>470.0</v>
      </c>
      <c r="H678" s="2" t="s">
        <v>5905</v>
      </c>
      <c r="I678" s="2" t="s">
        <v>5905</v>
      </c>
      <c r="J678" s="2" t="s">
        <v>7140</v>
      </c>
      <c r="K678" s="2" t="s">
        <v>34600</v>
      </c>
      <c r="L678" s="10" t="s">
        <v>34601</v>
      </c>
    </row>
    <row r="679">
      <c r="A679" s="2" t="s">
        <v>4916</v>
      </c>
      <c r="B679" s="2" t="s">
        <v>34602</v>
      </c>
      <c r="C679" s="2">
        <v>1.289393225E9</v>
      </c>
      <c r="D679" s="2" t="s">
        <v>34603</v>
      </c>
      <c r="E679" s="2">
        <v>810775.0</v>
      </c>
      <c r="F679" s="2">
        <v>1378.0</v>
      </c>
      <c r="G679" s="2">
        <v>1551.0</v>
      </c>
      <c r="H679" s="2" t="s">
        <v>5906</v>
      </c>
      <c r="I679" s="2" t="s">
        <v>5906</v>
      </c>
      <c r="J679" s="2" t="s">
        <v>23820</v>
      </c>
      <c r="K679" s="2" t="s">
        <v>34604</v>
      </c>
      <c r="L679" s="10" t="s">
        <v>34605</v>
      </c>
    </row>
    <row r="680">
      <c r="A680" s="2" t="s">
        <v>4916</v>
      </c>
      <c r="B680" s="2" t="s">
        <v>34606</v>
      </c>
      <c r="C680" s="2">
        <v>6.7681027045E10</v>
      </c>
      <c r="D680" s="10" t="s">
        <v>34607</v>
      </c>
      <c r="E680" s="2">
        <v>40832.0</v>
      </c>
      <c r="F680" s="2">
        <v>25.0</v>
      </c>
      <c r="G680" s="2">
        <v>136.0</v>
      </c>
      <c r="H680" s="2" t="s">
        <v>5906</v>
      </c>
      <c r="I680" s="2" t="s">
        <v>5906</v>
      </c>
      <c r="J680" s="2" t="s">
        <v>7140</v>
      </c>
      <c r="K680" s="2" t="s">
        <v>34608</v>
      </c>
      <c r="L680" s="10" t="s">
        <v>34609</v>
      </c>
    </row>
    <row r="681">
      <c r="A681" s="2" t="s">
        <v>4916</v>
      </c>
      <c r="B681" s="2" t="s">
        <v>34610</v>
      </c>
      <c r="C681" s="2">
        <v>1.82087249E8</v>
      </c>
      <c r="D681" s="2" t="s">
        <v>34611</v>
      </c>
      <c r="E681" s="2">
        <v>1555092.0</v>
      </c>
      <c r="F681" s="2">
        <v>438.0</v>
      </c>
      <c r="G681" s="2">
        <v>1185.0</v>
      </c>
      <c r="H681" s="2" t="s">
        <v>5905</v>
      </c>
      <c r="I681" s="2" t="s">
        <v>5905</v>
      </c>
      <c r="J681" s="2" t="s">
        <v>5561</v>
      </c>
      <c r="K681" s="2" t="s">
        <v>34612</v>
      </c>
      <c r="L681" s="10" t="s">
        <v>34613</v>
      </c>
    </row>
    <row r="682">
      <c r="A682" s="2" t="s">
        <v>4916</v>
      </c>
      <c r="B682" s="2" t="s">
        <v>34614</v>
      </c>
      <c r="C682" s="2">
        <v>5.680261248E10</v>
      </c>
      <c r="D682" s="2" t="s">
        <v>34615</v>
      </c>
      <c r="E682" s="2">
        <v>64330.0</v>
      </c>
      <c r="F682" s="2">
        <v>0.0</v>
      </c>
      <c r="G682" s="2">
        <v>482.0</v>
      </c>
      <c r="H682" s="2" t="s">
        <v>5906</v>
      </c>
      <c r="I682" s="2" t="s">
        <v>5906</v>
      </c>
      <c r="J682" s="2" t="s">
        <v>4996</v>
      </c>
      <c r="K682" s="2" t="s">
        <v>34616</v>
      </c>
      <c r="L682" s="10" t="s">
        <v>34617</v>
      </c>
    </row>
    <row r="683">
      <c r="A683" s="2" t="s">
        <v>4916</v>
      </c>
      <c r="B683" s="2" t="s">
        <v>34618</v>
      </c>
      <c r="C683" s="2">
        <v>1.324032048E9</v>
      </c>
      <c r="E683" s="2">
        <v>79803.0</v>
      </c>
      <c r="F683" s="2">
        <v>292.0</v>
      </c>
      <c r="G683" s="2">
        <v>10673.0</v>
      </c>
      <c r="H683" s="2" t="s">
        <v>5905</v>
      </c>
      <c r="I683" s="2" t="s">
        <v>5905</v>
      </c>
      <c r="J683" s="2" t="s">
        <v>6393</v>
      </c>
      <c r="K683" s="2" t="s">
        <v>34619</v>
      </c>
      <c r="L683" s="10" t="s">
        <v>34620</v>
      </c>
    </row>
    <row r="684">
      <c r="A684" s="2" t="s">
        <v>4916</v>
      </c>
      <c r="B684" s="2" t="s">
        <v>34621</v>
      </c>
      <c r="C684" s="2">
        <v>5.4392991068E10</v>
      </c>
      <c r="D684" s="2" t="s">
        <v>34622</v>
      </c>
      <c r="E684" s="2">
        <v>17269.0</v>
      </c>
      <c r="F684" s="2">
        <v>129.0</v>
      </c>
      <c r="G684" s="2">
        <v>101.0</v>
      </c>
      <c r="H684" s="2" t="s">
        <v>5906</v>
      </c>
      <c r="I684" s="2" t="s">
        <v>5905</v>
      </c>
      <c r="J684" s="2" t="s">
        <v>7414</v>
      </c>
      <c r="K684" s="12" t="s">
        <v>34623</v>
      </c>
      <c r="L684" s="10" t="s">
        <v>34624</v>
      </c>
    </row>
    <row r="685">
      <c r="A685" s="2" t="s">
        <v>4916</v>
      </c>
      <c r="B685" s="2" t="s">
        <v>34625</v>
      </c>
      <c r="C685" s="2">
        <v>1.43851577E8</v>
      </c>
      <c r="D685" s="2" t="s">
        <v>34626</v>
      </c>
      <c r="E685" s="2">
        <v>353731.0</v>
      </c>
      <c r="F685" s="2">
        <v>45.0</v>
      </c>
      <c r="G685" s="2">
        <v>3476.0</v>
      </c>
      <c r="H685" s="2" t="s">
        <v>5906</v>
      </c>
      <c r="I685" s="2" t="s">
        <v>5906</v>
      </c>
      <c r="J685" s="2" t="s">
        <v>6161</v>
      </c>
      <c r="K685" s="2" t="s">
        <v>34627</v>
      </c>
      <c r="L685" s="10" t="s">
        <v>34628</v>
      </c>
    </row>
    <row r="686">
      <c r="A686" s="2" t="s">
        <v>4954</v>
      </c>
      <c r="B686" s="2" t="s">
        <v>34629</v>
      </c>
      <c r="C686" s="2">
        <v>5.4012041036E10</v>
      </c>
      <c r="D686" s="2" t="s">
        <v>34630</v>
      </c>
      <c r="E686" s="2">
        <v>27295.0</v>
      </c>
      <c r="F686" s="2">
        <v>97.0</v>
      </c>
      <c r="G686" s="2">
        <v>1930.0</v>
      </c>
      <c r="H686" s="2" t="s">
        <v>5905</v>
      </c>
      <c r="I686" s="2" t="s">
        <v>5906</v>
      </c>
      <c r="J686" s="2" t="s">
        <v>5963</v>
      </c>
      <c r="K686" s="12" t="s">
        <v>34631</v>
      </c>
    </row>
    <row r="687">
      <c r="A687" s="2" t="s">
        <v>4937</v>
      </c>
      <c r="B687" s="2" t="s">
        <v>34632</v>
      </c>
      <c r="C687" s="2">
        <v>5.590704459E9</v>
      </c>
      <c r="D687" s="2" t="s">
        <v>34633</v>
      </c>
      <c r="E687" s="2">
        <v>31274.0</v>
      </c>
      <c r="F687" s="2">
        <v>315.0</v>
      </c>
      <c r="G687" s="2">
        <v>17.0</v>
      </c>
      <c r="H687" s="2" t="s">
        <v>5905</v>
      </c>
      <c r="I687" s="2" t="s">
        <v>5905</v>
      </c>
      <c r="J687" s="2" t="s">
        <v>5993</v>
      </c>
      <c r="K687" s="2" t="s">
        <v>34634</v>
      </c>
      <c r="L687" s="10" t="s">
        <v>34635</v>
      </c>
    </row>
    <row r="688">
      <c r="A688" s="2" t="s">
        <v>4937</v>
      </c>
      <c r="B688" s="10" t="s">
        <v>34636</v>
      </c>
      <c r="C688" s="2">
        <v>1.0393029231E10</v>
      </c>
      <c r="D688" s="2" t="s">
        <v>34637</v>
      </c>
      <c r="E688" s="2">
        <v>15318.0</v>
      </c>
      <c r="F688" s="2">
        <v>3.0</v>
      </c>
      <c r="G688" s="2">
        <v>212.0</v>
      </c>
      <c r="H688" s="2" t="s">
        <v>5905</v>
      </c>
      <c r="I688" s="2" t="s">
        <v>5906</v>
      </c>
      <c r="J688" s="2" t="s">
        <v>4996</v>
      </c>
      <c r="K688" s="2" t="s">
        <v>34638</v>
      </c>
      <c r="L688" s="10" t="s">
        <v>34639</v>
      </c>
    </row>
    <row r="689">
      <c r="A689" s="2" t="s">
        <v>4937</v>
      </c>
      <c r="B689" s="2" t="s">
        <v>34640</v>
      </c>
      <c r="C689" s="2">
        <v>8.380912817E9</v>
      </c>
      <c r="E689" s="2">
        <v>69112.0</v>
      </c>
      <c r="F689" s="2">
        <v>2.0</v>
      </c>
      <c r="G689" s="2">
        <v>114.0</v>
      </c>
      <c r="H689" s="2" t="s">
        <v>5905</v>
      </c>
      <c r="I689" s="2" t="s">
        <v>5906</v>
      </c>
      <c r="J689" s="2" t="s">
        <v>6166</v>
      </c>
      <c r="K689" s="2" t="s">
        <v>34641</v>
      </c>
      <c r="L689" s="10" t="s">
        <v>34642</v>
      </c>
    </row>
    <row r="690">
      <c r="A690" s="2" t="s">
        <v>4937</v>
      </c>
      <c r="B690" s="2" t="s">
        <v>34643</v>
      </c>
      <c r="C690" s="2">
        <v>1.82880285E9</v>
      </c>
      <c r="D690" s="2" t="s">
        <v>34644</v>
      </c>
      <c r="E690" s="2">
        <v>21318.0</v>
      </c>
      <c r="F690" s="2">
        <v>347.0</v>
      </c>
      <c r="G690" s="2">
        <v>515.0</v>
      </c>
      <c r="H690" s="2" t="s">
        <v>5905</v>
      </c>
      <c r="I690" s="2" t="s">
        <v>5906</v>
      </c>
      <c r="J690" s="2" t="s">
        <v>6002</v>
      </c>
      <c r="K690" s="2" t="s">
        <v>34645</v>
      </c>
      <c r="L690" s="10" t="s">
        <v>34646</v>
      </c>
    </row>
    <row r="691">
      <c r="A691" s="2" t="s">
        <v>4937</v>
      </c>
      <c r="B691" s="2" t="s">
        <v>34647</v>
      </c>
      <c r="C691" s="2">
        <v>6.190231562E10</v>
      </c>
      <c r="D691" s="2" t="s">
        <v>4937</v>
      </c>
      <c r="E691" s="2">
        <v>37603.0</v>
      </c>
      <c r="F691" s="2">
        <v>0.0</v>
      </c>
      <c r="G691" s="2">
        <v>6.0</v>
      </c>
      <c r="H691" s="2" t="s">
        <v>5905</v>
      </c>
      <c r="I691" s="2" t="s">
        <v>5906</v>
      </c>
      <c r="J691" s="2" t="s">
        <v>6002</v>
      </c>
      <c r="K691" s="2" t="s">
        <v>34648</v>
      </c>
      <c r="L691" s="10" t="s">
        <v>34649</v>
      </c>
    </row>
    <row r="692">
      <c r="A692" s="2" t="s">
        <v>4955</v>
      </c>
      <c r="B692" s="2" t="s">
        <v>34650</v>
      </c>
      <c r="C692" s="2">
        <v>5.8455403371E10</v>
      </c>
      <c r="D692" s="2" t="s">
        <v>34651</v>
      </c>
      <c r="E692" s="2">
        <v>16307.0</v>
      </c>
      <c r="F692" s="2">
        <v>1.0</v>
      </c>
      <c r="G692" s="2">
        <v>201.0</v>
      </c>
      <c r="H692" s="2" t="s">
        <v>5906</v>
      </c>
      <c r="I692" s="2" t="s">
        <v>5906</v>
      </c>
      <c r="J692" s="2" t="s">
        <v>5391</v>
      </c>
      <c r="K692" s="2" t="s">
        <v>34652</v>
      </c>
      <c r="L692" s="10" t="s">
        <v>34653</v>
      </c>
    </row>
    <row r="693">
      <c r="A693" s="2" t="s">
        <v>5004</v>
      </c>
      <c r="B693" s="2" t="s">
        <v>34654</v>
      </c>
      <c r="C693" s="2">
        <v>1.682872722E9</v>
      </c>
      <c r="D693" s="2" t="s">
        <v>34655</v>
      </c>
      <c r="E693" s="2">
        <v>38490.0</v>
      </c>
      <c r="F693" s="2">
        <v>171.0</v>
      </c>
      <c r="G693" s="2">
        <v>296.0</v>
      </c>
      <c r="H693" s="2" t="s">
        <v>5906</v>
      </c>
      <c r="I693" s="2" t="s">
        <v>5906</v>
      </c>
      <c r="J693" s="2" t="s">
        <v>5928</v>
      </c>
      <c r="K693" s="2" t="s">
        <v>34656</v>
      </c>
      <c r="L693" s="10" t="s">
        <v>34657</v>
      </c>
    </row>
    <row r="694">
      <c r="A694" s="2" t="s">
        <v>5004</v>
      </c>
      <c r="B694" s="2" t="s">
        <v>34658</v>
      </c>
      <c r="C694" s="2">
        <v>6.5534179852E10</v>
      </c>
      <c r="D694" s="2" t="s">
        <v>34659</v>
      </c>
      <c r="E694" s="2">
        <v>913175.0</v>
      </c>
      <c r="F694" s="2">
        <v>18.0</v>
      </c>
      <c r="G694" s="2">
        <v>354.0</v>
      </c>
      <c r="H694" s="2" t="s">
        <v>5906</v>
      </c>
      <c r="I694" s="2" t="s">
        <v>5905</v>
      </c>
      <c r="J694" s="2" t="s">
        <v>5911</v>
      </c>
      <c r="K694" s="2" t="s">
        <v>34660</v>
      </c>
      <c r="L694" s="10" t="s">
        <v>34661</v>
      </c>
    </row>
    <row r="695">
      <c r="A695" s="2" t="s">
        <v>5004</v>
      </c>
      <c r="B695" s="2" t="s">
        <v>34662</v>
      </c>
      <c r="C695" s="2">
        <v>8.239728782E9</v>
      </c>
      <c r="D695" s="2" t="s">
        <v>34663</v>
      </c>
      <c r="E695" s="2">
        <v>14552.0</v>
      </c>
      <c r="F695" s="2">
        <v>198.0</v>
      </c>
      <c r="G695" s="2">
        <v>5139.0</v>
      </c>
      <c r="H695" s="2" t="s">
        <v>5905</v>
      </c>
      <c r="I695" s="2" t="s">
        <v>5905</v>
      </c>
      <c r="J695" s="2" t="s">
        <v>5907</v>
      </c>
      <c r="K695" s="2" t="s">
        <v>34664</v>
      </c>
      <c r="L695" s="10" t="s">
        <v>34665</v>
      </c>
    </row>
    <row r="696">
      <c r="A696" s="2" t="s">
        <v>5004</v>
      </c>
      <c r="B696" s="2" t="s">
        <v>34666</v>
      </c>
      <c r="C696" s="2">
        <v>6.5080580683E10</v>
      </c>
      <c r="D696" s="12" t="s">
        <v>34667</v>
      </c>
      <c r="E696" s="2">
        <v>83863.0</v>
      </c>
      <c r="F696" s="2">
        <v>0.0</v>
      </c>
      <c r="G696" s="2">
        <v>0.0</v>
      </c>
      <c r="H696" s="2" t="s">
        <v>5905</v>
      </c>
      <c r="I696" s="2" t="s">
        <v>5905</v>
      </c>
      <c r="J696" s="2" t="s">
        <v>5561</v>
      </c>
      <c r="K696" s="12" t="s">
        <v>34668</v>
      </c>
    </row>
    <row r="697">
      <c r="A697" s="2" t="s">
        <v>5004</v>
      </c>
      <c r="B697" s="10" t="s">
        <v>34669</v>
      </c>
      <c r="C697" s="2">
        <v>6.1077554159E10</v>
      </c>
      <c r="D697" s="2" t="s">
        <v>34670</v>
      </c>
      <c r="E697" s="2">
        <v>18247.0</v>
      </c>
      <c r="F697" s="2">
        <v>162.0</v>
      </c>
      <c r="G697" s="2">
        <v>131.0</v>
      </c>
      <c r="H697" s="2" t="s">
        <v>5905</v>
      </c>
      <c r="I697" s="2" t="s">
        <v>5906</v>
      </c>
      <c r="J697" s="2" t="s">
        <v>8878</v>
      </c>
      <c r="K697" s="2" t="s">
        <v>34671</v>
      </c>
      <c r="L697" s="10" t="s">
        <v>34672</v>
      </c>
    </row>
    <row r="698">
      <c r="A698" s="2" t="s">
        <v>5004</v>
      </c>
      <c r="B698" s="2" t="s">
        <v>34673</v>
      </c>
      <c r="C698" s="2">
        <v>4.3496402E7</v>
      </c>
      <c r="D698" s="2" t="s">
        <v>34674</v>
      </c>
      <c r="E698" s="2">
        <v>245034.0</v>
      </c>
      <c r="F698" s="2">
        <v>7155.0</v>
      </c>
      <c r="G698" s="2">
        <v>7287.0</v>
      </c>
      <c r="H698" s="2" t="s">
        <v>5906</v>
      </c>
      <c r="I698" s="2" t="s">
        <v>5905</v>
      </c>
      <c r="J698" s="2" t="s">
        <v>12900</v>
      </c>
      <c r="K698" s="2" t="s">
        <v>34675</v>
      </c>
    </row>
    <row r="699">
      <c r="A699" s="2" t="s">
        <v>5004</v>
      </c>
      <c r="B699" s="2" t="s">
        <v>34676</v>
      </c>
      <c r="C699" s="2">
        <v>1.9333105E7</v>
      </c>
      <c r="D699" s="2" t="s">
        <v>5004</v>
      </c>
      <c r="E699" s="2">
        <v>65979.0</v>
      </c>
      <c r="F699" s="2">
        <v>305.0</v>
      </c>
      <c r="G699" s="2">
        <v>771.0</v>
      </c>
      <c r="H699" s="2" t="s">
        <v>5905</v>
      </c>
      <c r="I699" s="2" t="s">
        <v>5906</v>
      </c>
      <c r="K699" s="2" t="s">
        <v>34677</v>
      </c>
      <c r="L699" s="10" t="s">
        <v>34678</v>
      </c>
    </row>
    <row r="700">
      <c r="A700" s="2" t="s">
        <v>5004</v>
      </c>
      <c r="B700" s="2" t="s">
        <v>34679</v>
      </c>
      <c r="C700" s="2">
        <v>6.981711764E10</v>
      </c>
      <c r="D700" s="2" t="s">
        <v>34680</v>
      </c>
      <c r="E700" s="2">
        <v>17592.0</v>
      </c>
      <c r="F700" s="2">
        <v>87.0</v>
      </c>
      <c r="G700" s="2">
        <v>430.0</v>
      </c>
      <c r="H700" s="2" t="s">
        <v>5905</v>
      </c>
      <c r="I700" s="2" t="s">
        <v>5906</v>
      </c>
      <c r="J700" s="2" t="s">
        <v>5911</v>
      </c>
      <c r="K700" s="2" t="s">
        <v>34681</v>
      </c>
      <c r="L700" s="10" t="s">
        <v>34682</v>
      </c>
    </row>
    <row r="701">
      <c r="A701" s="2" t="s">
        <v>5004</v>
      </c>
      <c r="B701" s="2" t="s">
        <v>34683</v>
      </c>
      <c r="C701" s="2">
        <v>5.626787269E9</v>
      </c>
      <c r="D701" s="2" t="s">
        <v>5004</v>
      </c>
      <c r="E701" s="2">
        <v>25404.0</v>
      </c>
      <c r="F701" s="2">
        <v>1539.0</v>
      </c>
      <c r="G701" s="2">
        <v>83.0</v>
      </c>
      <c r="H701" s="2" t="s">
        <v>5905</v>
      </c>
      <c r="I701" s="2" t="s">
        <v>5906</v>
      </c>
      <c r="J701" s="2" t="s">
        <v>7431</v>
      </c>
      <c r="K701" s="2" t="s">
        <v>34684</v>
      </c>
    </row>
    <row r="702">
      <c r="A702" s="2" t="s">
        <v>4933</v>
      </c>
      <c r="B702" s="2" t="s">
        <v>34685</v>
      </c>
      <c r="C702" s="2">
        <v>1.578408047E9</v>
      </c>
      <c r="D702" s="2" t="s">
        <v>34686</v>
      </c>
      <c r="E702" s="2">
        <v>61808.0</v>
      </c>
      <c r="F702" s="2">
        <v>1145.0</v>
      </c>
      <c r="G702" s="2">
        <v>58.0</v>
      </c>
      <c r="H702" s="2" t="s">
        <v>5906</v>
      </c>
      <c r="I702" s="2" t="s">
        <v>5906</v>
      </c>
      <c r="J702" s="2" t="s">
        <v>5993</v>
      </c>
      <c r="K702" s="2" t="s">
        <v>34687</v>
      </c>
      <c r="L702" s="10" t="s">
        <v>34688</v>
      </c>
    </row>
    <row r="703">
      <c r="A703" s="2" t="s">
        <v>4933</v>
      </c>
      <c r="B703" s="2" t="s">
        <v>34689</v>
      </c>
      <c r="C703" s="2">
        <v>4788674.0</v>
      </c>
      <c r="D703" s="2" t="s">
        <v>34690</v>
      </c>
      <c r="E703" s="2">
        <v>24933.0</v>
      </c>
      <c r="F703" s="2">
        <v>902.0</v>
      </c>
      <c r="G703" s="2">
        <v>82.0</v>
      </c>
      <c r="H703" s="2" t="s">
        <v>5905</v>
      </c>
      <c r="I703" s="2" t="s">
        <v>5905</v>
      </c>
      <c r="J703" s="2" t="s">
        <v>6124</v>
      </c>
      <c r="K703" s="2" t="s">
        <v>34691</v>
      </c>
      <c r="L703" s="10" t="s">
        <v>34692</v>
      </c>
    </row>
    <row r="704">
      <c r="A704" s="2" t="s">
        <v>4933</v>
      </c>
      <c r="B704" s="2" t="s">
        <v>34693</v>
      </c>
      <c r="C704" s="2">
        <v>1.986440216E9</v>
      </c>
      <c r="D704" s="2" t="s">
        <v>34694</v>
      </c>
      <c r="E704" s="2">
        <v>73189.0</v>
      </c>
      <c r="F704" s="2">
        <v>595.0</v>
      </c>
      <c r="G704" s="2">
        <v>5266.0</v>
      </c>
      <c r="H704" s="2" t="s">
        <v>5905</v>
      </c>
      <c r="I704" s="2" t="s">
        <v>5906</v>
      </c>
      <c r="K704" s="2" t="s">
        <v>34695</v>
      </c>
      <c r="L704" s="10" t="s">
        <v>34696</v>
      </c>
    </row>
    <row r="705">
      <c r="A705" s="2" t="s">
        <v>4933</v>
      </c>
      <c r="B705" s="2" t="s">
        <v>34697</v>
      </c>
      <c r="C705" s="2">
        <v>1.820872349E9</v>
      </c>
      <c r="D705" s="2" t="s">
        <v>34698</v>
      </c>
      <c r="E705" s="2">
        <v>1333923.0</v>
      </c>
      <c r="F705" s="2">
        <v>795.0</v>
      </c>
      <c r="G705" s="2">
        <v>20084.0</v>
      </c>
      <c r="H705" s="2" t="s">
        <v>5906</v>
      </c>
      <c r="I705" s="2" t="s">
        <v>5905</v>
      </c>
      <c r="J705" s="2" t="s">
        <v>5959</v>
      </c>
      <c r="K705" s="2" t="s">
        <v>34699</v>
      </c>
    </row>
    <row r="706">
      <c r="A706" s="2" t="s">
        <v>4933</v>
      </c>
      <c r="B706" s="2" t="s">
        <v>34700</v>
      </c>
      <c r="C706" s="2">
        <v>3.236345993E9</v>
      </c>
      <c r="D706" s="2" t="s">
        <v>4933</v>
      </c>
      <c r="E706" s="2">
        <v>298955.0</v>
      </c>
      <c r="F706" s="2">
        <v>1082.0</v>
      </c>
      <c r="G706" s="2">
        <v>1951.0</v>
      </c>
      <c r="H706" s="2" t="s">
        <v>5905</v>
      </c>
      <c r="I706" s="2" t="s">
        <v>5905</v>
      </c>
      <c r="J706" s="2" t="s">
        <v>4397</v>
      </c>
      <c r="K706" s="2" t="s">
        <v>34701</v>
      </c>
      <c r="L706" s="10" t="s">
        <v>34702</v>
      </c>
    </row>
    <row r="707">
      <c r="A707" s="2" t="s">
        <v>4933</v>
      </c>
      <c r="B707" s="2" t="s">
        <v>34703</v>
      </c>
      <c r="C707" s="2">
        <v>4.073853572E9</v>
      </c>
      <c r="D707" s="2" t="s">
        <v>4933</v>
      </c>
      <c r="E707" s="2">
        <v>23781.0</v>
      </c>
      <c r="F707" s="2">
        <v>1631.0</v>
      </c>
      <c r="G707" s="2">
        <v>97.0</v>
      </c>
      <c r="H707" s="2" t="s">
        <v>5905</v>
      </c>
      <c r="I707" s="2" t="s">
        <v>5905</v>
      </c>
      <c r="J707" s="2" t="s">
        <v>7613</v>
      </c>
      <c r="K707" s="2" t="s">
        <v>34704</v>
      </c>
      <c r="L707" s="10" t="s">
        <v>34705</v>
      </c>
    </row>
    <row r="708">
      <c r="A708" s="2" t="s">
        <v>4933</v>
      </c>
      <c r="B708" s="2" t="s">
        <v>34706</v>
      </c>
      <c r="C708" s="2">
        <v>2.0990956E7</v>
      </c>
      <c r="D708" s="2" t="s">
        <v>34707</v>
      </c>
      <c r="E708" s="2">
        <v>1888221.0</v>
      </c>
      <c r="F708" s="2">
        <v>552.0</v>
      </c>
      <c r="G708" s="2">
        <v>6738.0</v>
      </c>
      <c r="H708" s="2" t="s">
        <v>5906</v>
      </c>
      <c r="I708" s="2" t="s">
        <v>5906</v>
      </c>
      <c r="K708" s="2" t="s">
        <v>34708</v>
      </c>
      <c r="L708" s="10" t="s">
        <v>34709</v>
      </c>
    </row>
    <row r="709">
      <c r="A709" s="2" t="s">
        <v>4933</v>
      </c>
      <c r="B709" s="2" t="s">
        <v>34710</v>
      </c>
      <c r="C709" s="2">
        <v>1.542776E7</v>
      </c>
      <c r="D709" s="2" t="s">
        <v>34711</v>
      </c>
      <c r="E709" s="2">
        <v>11741.0</v>
      </c>
      <c r="F709" s="2">
        <v>1431.0</v>
      </c>
      <c r="G709" s="2">
        <v>3338.0</v>
      </c>
      <c r="H709" s="2" t="s">
        <v>5905</v>
      </c>
      <c r="I709" s="2" t="s">
        <v>5906</v>
      </c>
      <c r="J709" s="2" t="s">
        <v>12667</v>
      </c>
      <c r="K709" s="2" t="s">
        <v>34712</v>
      </c>
      <c r="L709" s="10" t="s">
        <v>34713</v>
      </c>
    </row>
    <row r="710">
      <c r="A710" s="2" t="s">
        <v>4933</v>
      </c>
      <c r="B710" s="2" t="s">
        <v>34714</v>
      </c>
      <c r="C710" s="2">
        <v>3.5031228E7</v>
      </c>
      <c r="D710" s="2" t="s">
        <v>34715</v>
      </c>
      <c r="E710" s="2">
        <v>604591.0</v>
      </c>
      <c r="F710" s="2">
        <v>1023.0</v>
      </c>
      <c r="G710" s="2">
        <v>12836.0</v>
      </c>
      <c r="H710" s="2" t="s">
        <v>5905</v>
      </c>
      <c r="I710" s="2" t="s">
        <v>5906</v>
      </c>
      <c r="K710" s="2" t="s">
        <v>34716</v>
      </c>
      <c r="L710" s="10" t="s">
        <v>34717</v>
      </c>
    </row>
    <row r="711">
      <c r="A711" s="2" t="s">
        <v>4933</v>
      </c>
      <c r="B711" s="2" t="s">
        <v>34718</v>
      </c>
      <c r="C711" s="2">
        <v>3.16857596E8</v>
      </c>
      <c r="D711" s="2" t="s">
        <v>34719</v>
      </c>
      <c r="E711" s="2">
        <v>113680.0</v>
      </c>
      <c r="F711" s="2">
        <v>1581.0</v>
      </c>
      <c r="G711" s="2">
        <v>394.0</v>
      </c>
      <c r="H711" s="2" t="s">
        <v>5905</v>
      </c>
      <c r="I711" s="2" t="s">
        <v>5905</v>
      </c>
      <c r="J711" s="2" t="s">
        <v>5993</v>
      </c>
    </row>
    <row r="712">
      <c r="A712" s="2" t="s">
        <v>4988</v>
      </c>
      <c r="B712" s="2" t="s">
        <v>34720</v>
      </c>
      <c r="C712" s="2">
        <v>1.6176128E7</v>
      </c>
      <c r="D712" s="2" t="s">
        <v>34721</v>
      </c>
      <c r="E712" s="2">
        <v>8248813.0</v>
      </c>
      <c r="F712" s="2">
        <v>2602.0</v>
      </c>
      <c r="G712" s="2">
        <v>20569.0</v>
      </c>
      <c r="H712" s="2" t="s">
        <v>5906</v>
      </c>
      <c r="I712" s="2" t="s">
        <v>5906</v>
      </c>
      <c r="J712" s="2" t="s">
        <v>8245</v>
      </c>
      <c r="K712" s="2" t="s">
        <v>34722</v>
      </c>
    </row>
    <row r="713">
      <c r="A713" s="2" t="s">
        <v>4988</v>
      </c>
      <c r="B713" s="2" t="s">
        <v>34723</v>
      </c>
      <c r="C713" s="2">
        <v>1.44605776E8</v>
      </c>
      <c r="E713" s="2">
        <v>4.680113E7</v>
      </c>
      <c r="F713" s="2">
        <v>409.0</v>
      </c>
      <c r="G713" s="2">
        <v>717.0</v>
      </c>
      <c r="H713" s="2" t="s">
        <v>5906</v>
      </c>
      <c r="I713" s="2" t="s">
        <v>5905</v>
      </c>
      <c r="L713" s="10" t="s">
        <v>34724</v>
      </c>
    </row>
    <row r="714">
      <c r="A714" s="2" t="s">
        <v>4988</v>
      </c>
      <c r="B714" s="2" t="s">
        <v>34725</v>
      </c>
      <c r="C714" s="2">
        <v>5857995.0</v>
      </c>
      <c r="D714" s="2" t="s">
        <v>34726</v>
      </c>
      <c r="E714" s="2">
        <v>2992577.0</v>
      </c>
      <c r="F714" s="2">
        <v>218.0</v>
      </c>
      <c r="G714" s="2">
        <v>12640.0</v>
      </c>
      <c r="H714" s="2" t="s">
        <v>5906</v>
      </c>
      <c r="I714" s="2" t="s">
        <v>5906</v>
      </c>
      <c r="J714" s="2" t="s">
        <v>5911</v>
      </c>
      <c r="K714" s="2" t="s">
        <v>34727</v>
      </c>
      <c r="L714" s="10" t="s">
        <v>34728</v>
      </c>
    </row>
    <row r="715">
      <c r="A715" s="2" t="s">
        <v>4988</v>
      </c>
      <c r="B715" s="2" t="s">
        <v>34729</v>
      </c>
      <c r="C715" s="2">
        <v>1.455855092E9</v>
      </c>
      <c r="D715" s="2" t="s">
        <v>4988</v>
      </c>
      <c r="E715" s="2">
        <v>2698034.0</v>
      </c>
      <c r="F715" s="2">
        <v>564.0</v>
      </c>
      <c r="G715" s="2">
        <v>16274.0</v>
      </c>
      <c r="H715" s="2" t="s">
        <v>5906</v>
      </c>
      <c r="I715" s="2" t="s">
        <v>5906</v>
      </c>
      <c r="J715" s="2" t="s">
        <v>8245</v>
      </c>
      <c r="K715" s="2" t="s">
        <v>34730</v>
      </c>
      <c r="L715" s="10" t="s">
        <v>34731</v>
      </c>
    </row>
    <row r="716">
      <c r="A716" s="2" t="s">
        <v>4988</v>
      </c>
      <c r="B716" s="2" t="s">
        <v>34732</v>
      </c>
      <c r="C716" s="2">
        <v>8682537.0</v>
      </c>
      <c r="D716" s="2" t="s">
        <v>34733</v>
      </c>
      <c r="E716" s="2">
        <v>269260.0</v>
      </c>
      <c r="F716" s="2">
        <v>3157.0</v>
      </c>
      <c r="G716" s="2">
        <v>10547.0</v>
      </c>
      <c r="H716" s="2" t="s">
        <v>5905</v>
      </c>
      <c r="I716" s="2" t="s">
        <v>5906</v>
      </c>
      <c r="J716" s="2" t="s">
        <v>6166</v>
      </c>
      <c r="K716" s="2" t="s">
        <v>34734</v>
      </c>
      <c r="L716" s="10" t="s">
        <v>34735</v>
      </c>
    </row>
    <row r="717">
      <c r="A717" s="2" t="s">
        <v>4988</v>
      </c>
      <c r="B717" s="2" t="s">
        <v>34736</v>
      </c>
      <c r="C717" s="2">
        <v>1.1092374012E10</v>
      </c>
      <c r="D717" s="2" t="s">
        <v>34737</v>
      </c>
      <c r="E717" s="2">
        <v>1378441.0</v>
      </c>
      <c r="F717" s="2">
        <v>978.0</v>
      </c>
      <c r="G717" s="2">
        <v>1112.0</v>
      </c>
      <c r="H717" s="2" t="s">
        <v>5906</v>
      </c>
      <c r="I717" s="2" t="s">
        <v>5905</v>
      </c>
      <c r="J717" s="2" t="s">
        <v>5993</v>
      </c>
      <c r="K717" s="2" t="s">
        <v>34738</v>
      </c>
    </row>
    <row r="718">
      <c r="A718" s="2" t="s">
        <v>4988</v>
      </c>
      <c r="B718" s="2" t="s">
        <v>34739</v>
      </c>
      <c r="C718" s="2">
        <v>4.5320924699E10</v>
      </c>
      <c r="D718" s="2" t="s">
        <v>34740</v>
      </c>
      <c r="E718" s="2">
        <v>94343.0</v>
      </c>
      <c r="F718" s="2">
        <v>92.0</v>
      </c>
      <c r="G718" s="2">
        <v>3060.0</v>
      </c>
      <c r="H718" s="2" t="s">
        <v>5905</v>
      </c>
      <c r="I718" s="2" t="s">
        <v>5905</v>
      </c>
      <c r="J718" s="2" t="s">
        <v>9237</v>
      </c>
      <c r="K718" s="2" t="s">
        <v>34741</v>
      </c>
    </row>
    <row r="719">
      <c r="A719" s="2" t="s">
        <v>4988</v>
      </c>
      <c r="B719" s="2" t="s">
        <v>34742</v>
      </c>
      <c r="C719" s="2">
        <v>4.4903357297E10</v>
      </c>
      <c r="D719" s="2" t="s">
        <v>34743</v>
      </c>
      <c r="E719" s="2">
        <v>158651.0</v>
      </c>
      <c r="F719" s="2">
        <v>3259.0</v>
      </c>
      <c r="G719" s="2">
        <v>1499.0</v>
      </c>
      <c r="H719" s="2" t="s">
        <v>5905</v>
      </c>
      <c r="I719" s="2" t="s">
        <v>5905</v>
      </c>
      <c r="J719" s="2" t="s">
        <v>8245</v>
      </c>
      <c r="K719" s="2" t="s">
        <v>34744</v>
      </c>
    </row>
    <row r="720">
      <c r="A720" s="2" t="s">
        <v>4988</v>
      </c>
      <c r="B720" s="2" t="s">
        <v>34745</v>
      </c>
      <c r="C720" s="2">
        <v>3.20034629E8</v>
      </c>
      <c r="D720" s="2" t="s">
        <v>34746</v>
      </c>
      <c r="E720" s="2">
        <v>112091.0</v>
      </c>
      <c r="F720" s="2">
        <v>3110.0</v>
      </c>
      <c r="G720" s="2">
        <v>1992.0</v>
      </c>
      <c r="H720" s="2" t="s">
        <v>5905</v>
      </c>
      <c r="I720" s="2" t="s">
        <v>5906</v>
      </c>
      <c r="J720" s="2" t="s">
        <v>4404</v>
      </c>
      <c r="K720" s="2" t="s">
        <v>34747</v>
      </c>
      <c r="L720" s="10" t="s">
        <v>34748</v>
      </c>
    </row>
    <row r="721">
      <c r="A721" s="2" t="s">
        <v>4988</v>
      </c>
      <c r="B721" s="2" t="s">
        <v>34749</v>
      </c>
      <c r="C721" s="2">
        <v>6.948085837E9</v>
      </c>
      <c r="D721" s="2" t="s">
        <v>34750</v>
      </c>
      <c r="E721" s="2">
        <v>140151.0</v>
      </c>
      <c r="F721" s="2">
        <v>1060.0</v>
      </c>
      <c r="G721" s="2">
        <v>549.0</v>
      </c>
      <c r="H721" s="2" t="s">
        <v>5906</v>
      </c>
      <c r="I721" s="2" t="s">
        <v>5905</v>
      </c>
      <c r="J721" s="2" t="s">
        <v>9237</v>
      </c>
      <c r="K721" s="2" t="s">
        <v>34751</v>
      </c>
      <c r="L721" s="10" t="s">
        <v>34752</v>
      </c>
    </row>
    <row r="722">
      <c r="A722" s="2" t="s">
        <v>4988</v>
      </c>
      <c r="B722" s="2" t="s">
        <v>34753</v>
      </c>
      <c r="C722" s="2">
        <v>1.618876284E9</v>
      </c>
      <c r="E722" s="2">
        <v>558696.0</v>
      </c>
      <c r="F722" s="2">
        <v>151.0</v>
      </c>
      <c r="G722" s="2">
        <v>722.0</v>
      </c>
      <c r="H722" s="2" t="s">
        <v>5905</v>
      </c>
      <c r="I722" s="2" t="s">
        <v>5905</v>
      </c>
      <c r="K722" s="2" t="s">
        <v>34754</v>
      </c>
      <c r="L722" s="10" t="s">
        <v>34755</v>
      </c>
    </row>
    <row r="723">
      <c r="A723" s="2" t="s">
        <v>4988</v>
      </c>
      <c r="B723" s="2" t="s">
        <v>34756</v>
      </c>
      <c r="C723" s="2">
        <v>4.852929094E10</v>
      </c>
      <c r="D723" s="12" t="s">
        <v>34757</v>
      </c>
      <c r="E723" s="2">
        <v>82743.0</v>
      </c>
      <c r="F723" s="2">
        <v>525.0</v>
      </c>
      <c r="G723" s="2">
        <v>335.0</v>
      </c>
      <c r="H723" s="2" t="s">
        <v>5905</v>
      </c>
      <c r="I723" s="2" t="s">
        <v>5905</v>
      </c>
      <c r="J723" s="2" t="s">
        <v>5492</v>
      </c>
      <c r="K723" s="12" t="s">
        <v>34758</v>
      </c>
    </row>
    <row r="724">
      <c r="A724" s="2" t="s">
        <v>4988</v>
      </c>
      <c r="B724" s="2" t="s">
        <v>21717</v>
      </c>
      <c r="C724" s="2">
        <v>1.588414255E9</v>
      </c>
      <c r="D724" s="2" t="s">
        <v>21718</v>
      </c>
      <c r="E724" s="2">
        <v>569147.0</v>
      </c>
      <c r="F724" s="2">
        <v>399.0</v>
      </c>
      <c r="G724" s="2">
        <v>5048.0</v>
      </c>
      <c r="H724" s="2" t="s">
        <v>5905</v>
      </c>
      <c r="I724" s="2" t="s">
        <v>5905</v>
      </c>
      <c r="J724" s="2" t="s">
        <v>5561</v>
      </c>
    </row>
    <row r="725">
      <c r="A725" s="2" t="s">
        <v>4988</v>
      </c>
      <c r="B725" s="2" t="s">
        <v>34759</v>
      </c>
      <c r="C725" s="2">
        <v>2.087860726E9</v>
      </c>
      <c r="D725" s="2" t="s">
        <v>16099</v>
      </c>
      <c r="E725" s="2">
        <v>1450842.0</v>
      </c>
      <c r="F725" s="2">
        <v>157.0</v>
      </c>
      <c r="G725" s="2">
        <v>1322.0</v>
      </c>
      <c r="H725" s="2" t="s">
        <v>5905</v>
      </c>
      <c r="I725" s="2" t="s">
        <v>5906</v>
      </c>
    </row>
    <row r="726">
      <c r="A726" s="2" t="s">
        <v>4988</v>
      </c>
      <c r="B726" s="2" t="s">
        <v>34760</v>
      </c>
      <c r="C726" s="2">
        <v>2.9337218E7</v>
      </c>
      <c r="D726" s="2" t="s">
        <v>34761</v>
      </c>
      <c r="E726" s="2">
        <v>792832.0</v>
      </c>
      <c r="F726" s="2">
        <v>992.0</v>
      </c>
      <c r="G726" s="2">
        <v>1056.0</v>
      </c>
      <c r="H726" s="2" t="s">
        <v>5906</v>
      </c>
      <c r="I726" s="2" t="s">
        <v>5905</v>
      </c>
      <c r="J726" s="2" t="s">
        <v>5993</v>
      </c>
      <c r="K726" s="2" t="s">
        <v>34762</v>
      </c>
      <c r="L726" s="10" t="s">
        <v>34763</v>
      </c>
    </row>
    <row r="727">
      <c r="A727" s="2" t="s">
        <v>4988</v>
      </c>
      <c r="B727" s="2" t="s">
        <v>34764</v>
      </c>
      <c r="C727" s="2">
        <v>5.720714779E9</v>
      </c>
      <c r="D727" s="2" t="s">
        <v>34765</v>
      </c>
      <c r="E727" s="2">
        <v>197259.0</v>
      </c>
      <c r="F727" s="2">
        <v>1374.0</v>
      </c>
      <c r="G727" s="2">
        <v>1249.0</v>
      </c>
      <c r="H727" s="2" t="s">
        <v>5905</v>
      </c>
      <c r="I727" s="2" t="s">
        <v>5905</v>
      </c>
      <c r="J727" s="2" t="s">
        <v>5492</v>
      </c>
      <c r="K727" s="2" t="s">
        <v>34766</v>
      </c>
    </row>
    <row r="728">
      <c r="A728" s="2" t="s">
        <v>4962</v>
      </c>
      <c r="B728" s="2" t="s">
        <v>34767</v>
      </c>
      <c r="C728" s="2">
        <v>9.913186201E9</v>
      </c>
      <c r="D728" s="2" t="s">
        <v>34768</v>
      </c>
      <c r="E728" s="2">
        <v>94789.0</v>
      </c>
      <c r="F728" s="2">
        <v>400.0</v>
      </c>
      <c r="G728" s="2">
        <v>358.0</v>
      </c>
      <c r="H728" s="2" t="s">
        <v>5905</v>
      </c>
      <c r="I728" s="2" t="s">
        <v>5905</v>
      </c>
      <c r="J728" s="2" t="s">
        <v>5959</v>
      </c>
      <c r="K728" s="2" t="s">
        <v>34769</v>
      </c>
      <c r="L728" s="10" t="s">
        <v>34770</v>
      </c>
    </row>
    <row r="729">
      <c r="A729" s="2" t="s">
        <v>4962</v>
      </c>
      <c r="B729" s="2" t="s">
        <v>34771</v>
      </c>
      <c r="C729" s="2">
        <v>1.661340683E9</v>
      </c>
      <c r="D729" s="2" t="s">
        <v>34772</v>
      </c>
      <c r="E729" s="2">
        <v>13837.0</v>
      </c>
      <c r="F729" s="2">
        <v>1817.0</v>
      </c>
      <c r="G729" s="2">
        <v>682.0</v>
      </c>
      <c r="H729" s="2" t="s">
        <v>5905</v>
      </c>
      <c r="I729" s="2" t="s">
        <v>5905</v>
      </c>
      <c r="J729" s="2" t="s">
        <v>9775</v>
      </c>
      <c r="K729" s="2" t="s">
        <v>34773</v>
      </c>
      <c r="L729" s="10" t="s">
        <v>34774</v>
      </c>
    </row>
    <row r="730">
      <c r="A730" s="2" t="s">
        <v>4962</v>
      </c>
      <c r="B730" s="2" t="s">
        <v>34775</v>
      </c>
      <c r="C730" s="2">
        <v>6.9641102505E10</v>
      </c>
      <c r="D730" s="2" t="s">
        <v>34776</v>
      </c>
      <c r="E730" s="2">
        <v>521048.0</v>
      </c>
      <c r="F730" s="2">
        <v>23.0</v>
      </c>
      <c r="G730" s="2">
        <v>375.0</v>
      </c>
      <c r="H730" s="2" t="s">
        <v>5905</v>
      </c>
      <c r="I730" s="2" t="s">
        <v>5905</v>
      </c>
      <c r="J730" s="2" t="s">
        <v>5959</v>
      </c>
      <c r="K730" s="2" t="s">
        <v>34777</v>
      </c>
    </row>
    <row r="731">
      <c r="A731" s="2" t="s">
        <v>4962</v>
      </c>
      <c r="B731" s="2" t="s">
        <v>34778</v>
      </c>
      <c r="C731" s="2">
        <v>4.2773166887E10</v>
      </c>
      <c r="D731" s="2" t="s">
        <v>34779</v>
      </c>
      <c r="E731" s="2">
        <v>26823.0</v>
      </c>
      <c r="F731" s="2">
        <v>708.0</v>
      </c>
      <c r="G731" s="2">
        <v>1142.0</v>
      </c>
      <c r="H731" s="2" t="s">
        <v>5906</v>
      </c>
      <c r="I731" s="2" t="s">
        <v>5905</v>
      </c>
      <c r="J731" s="2" t="s">
        <v>5561</v>
      </c>
      <c r="K731" s="2" t="s">
        <v>34780</v>
      </c>
      <c r="L731" s="10" t="s">
        <v>34781</v>
      </c>
    </row>
    <row r="732">
      <c r="A732" s="2" t="s">
        <v>4962</v>
      </c>
      <c r="B732" s="2" t="s">
        <v>34782</v>
      </c>
      <c r="C732" s="2">
        <v>7.258682003E10</v>
      </c>
      <c r="D732" s="2" t="s">
        <v>34783</v>
      </c>
      <c r="E732" s="2">
        <v>44366.0</v>
      </c>
      <c r="F732" s="2">
        <v>0.0</v>
      </c>
      <c r="G732" s="2">
        <v>76.0</v>
      </c>
      <c r="H732" s="2" t="s">
        <v>5905</v>
      </c>
      <c r="I732" s="2" t="s">
        <v>5905</v>
      </c>
      <c r="J732" s="2" t="s">
        <v>5928</v>
      </c>
    </row>
    <row r="733">
      <c r="A733" s="2" t="s">
        <v>4962</v>
      </c>
      <c r="B733" s="2" t="s">
        <v>34784</v>
      </c>
      <c r="C733" s="2">
        <v>4.8504322778E10</v>
      </c>
      <c r="D733" s="2" t="s">
        <v>34785</v>
      </c>
      <c r="E733" s="2">
        <v>106035.0</v>
      </c>
      <c r="F733" s="2">
        <v>228.0</v>
      </c>
      <c r="G733" s="2">
        <v>83.0</v>
      </c>
      <c r="H733" s="2" t="s">
        <v>5905</v>
      </c>
      <c r="I733" s="2" t="s">
        <v>5906</v>
      </c>
      <c r="J733" s="2" t="s">
        <v>5391</v>
      </c>
      <c r="K733" s="2" t="s">
        <v>34786</v>
      </c>
      <c r="L733" s="10" t="s">
        <v>34787</v>
      </c>
    </row>
    <row r="734">
      <c r="A734" s="2" t="s">
        <v>4962</v>
      </c>
      <c r="B734" s="2" t="s">
        <v>34788</v>
      </c>
      <c r="C734" s="2">
        <v>5.4931875792E10</v>
      </c>
      <c r="D734" s="2" t="s">
        <v>34789</v>
      </c>
      <c r="E734" s="2">
        <v>115322.0</v>
      </c>
      <c r="F734" s="2">
        <v>46.0</v>
      </c>
      <c r="G734" s="2">
        <v>543.0</v>
      </c>
      <c r="H734" s="2" t="s">
        <v>5905</v>
      </c>
      <c r="I734" s="2" t="s">
        <v>5905</v>
      </c>
      <c r="J734" s="2" t="s">
        <v>5959</v>
      </c>
      <c r="K734" s="2" t="s">
        <v>34790</v>
      </c>
    </row>
    <row r="735">
      <c r="A735" s="2" t="s">
        <v>4993</v>
      </c>
      <c r="B735" s="2" t="s">
        <v>34791</v>
      </c>
      <c r="C735" s="2">
        <v>3.0175715E8</v>
      </c>
      <c r="D735" s="2" t="s">
        <v>34792</v>
      </c>
      <c r="E735" s="2">
        <v>27133.0</v>
      </c>
      <c r="F735" s="2">
        <v>413.0</v>
      </c>
      <c r="G735" s="2">
        <v>479.0</v>
      </c>
      <c r="H735" s="2" t="s">
        <v>5906</v>
      </c>
      <c r="I735" s="2" t="s">
        <v>5906</v>
      </c>
      <c r="J735" s="2" t="s">
        <v>4996</v>
      </c>
      <c r="K735" s="2" t="s">
        <v>34793</v>
      </c>
      <c r="L735" s="10" t="s">
        <v>34794</v>
      </c>
    </row>
    <row r="736">
      <c r="A736" s="2" t="s">
        <v>4993</v>
      </c>
      <c r="B736" s="2" t="s">
        <v>34795</v>
      </c>
      <c r="C736" s="2">
        <v>2.8034675E8</v>
      </c>
      <c r="E736" s="2">
        <v>22199.0</v>
      </c>
      <c r="F736" s="2">
        <v>719.0</v>
      </c>
      <c r="G736" s="2">
        <v>29.0</v>
      </c>
      <c r="H736" s="2" t="s">
        <v>5905</v>
      </c>
      <c r="I736" s="2" t="s">
        <v>5905</v>
      </c>
      <c r="J736" s="2" t="s">
        <v>6414</v>
      </c>
      <c r="K736" s="2" t="s">
        <v>34796</v>
      </c>
    </row>
    <row r="737">
      <c r="A737" s="2" t="s">
        <v>4993</v>
      </c>
      <c r="B737" s="2" t="s">
        <v>34797</v>
      </c>
      <c r="C737" s="2">
        <v>4.346587052E9</v>
      </c>
      <c r="D737" s="2" t="s">
        <v>34798</v>
      </c>
      <c r="E737" s="2">
        <v>530848.0</v>
      </c>
      <c r="F737" s="2">
        <v>113.0</v>
      </c>
      <c r="G737" s="2">
        <v>2939.0</v>
      </c>
      <c r="H737" s="2" t="s">
        <v>5905</v>
      </c>
      <c r="I737" s="2" t="s">
        <v>5906</v>
      </c>
      <c r="J737" s="2" t="s">
        <v>4404</v>
      </c>
      <c r="K737" s="2" t="s">
        <v>34799</v>
      </c>
      <c r="L737" s="10" t="s">
        <v>34800</v>
      </c>
    </row>
    <row r="738">
      <c r="A738" s="2" t="s">
        <v>4993</v>
      </c>
      <c r="B738" s="2" t="s">
        <v>34801</v>
      </c>
      <c r="C738" s="2">
        <v>3.863433081E9</v>
      </c>
      <c r="D738" s="2" t="s">
        <v>34802</v>
      </c>
      <c r="E738" s="2">
        <v>14794.0</v>
      </c>
      <c r="F738" s="2">
        <v>4198.0</v>
      </c>
      <c r="G738" s="2">
        <v>271.0</v>
      </c>
      <c r="H738" s="2" t="s">
        <v>5905</v>
      </c>
      <c r="I738" s="2" t="s">
        <v>5905</v>
      </c>
      <c r="J738" s="2" t="s">
        <v>6002</v>
      </c>
      <c r="K738" s="2" t="s">
        <v>34803</v>
      </c>
      <c r="L738" s="10" t="s">
        <v>34804</v>
      </c>
    </row>
    <row r="739">
      <c r="A739" s="2" t="s">
        <v>4993</v>
      </c>
      <c r="B739" s="10" t="s">
        <v>34805</v>
      </c>
      <c r="C739" s="2">
        <v>2.88769062E8</v>
      </c>
      <c r="D739" s="2" t="s">
        <v>34806</v>
      </c>
      <c r="E739" s="2">
        <v>126161.0</v>
      </c>
      <c r="F739" s="2">
        <v>110.0</v>
      </c>
      <c r="G739" s="2">
        <v>16362.0</v>
      </c>
      <c r="H739" s="2" t="s">
        <v>5905</v>
      </c>
      <c r="I739" s="2" t="s">
        <v>5906</v>
      </c>
      <c r="J739" s="2" t="s">
        <v>6166</v>
      </c>
      <c r="K739" s="2" t="s">
        <v>34807</v>
      </c>
      <c r="L739" s="10" t="s">
        <v>34808</v>
      </c>
    </row>
    <row r="740">
      <c r="A740" s="2" t="s">
        <v>4978</v>
      </c>
      <c r="B740" s="2" t="s">
        <v>34809</v>
      </c>
      <c r="C740" s="2">
        <v>4.361758959E9</v>
      </c>
      <c r="D740" s="2" t="s">
        <v>34810</v>
      </c>
      <c r="E740" s="2">
        <v>167257.0</v>
      </c>
      <c r="F740" s="2">
        <v>1559.0</v>
      </c>
      <c r="G740" s="2">
        <v>15678.0</v>
      </c>
      <c r="H740" s="2" t="s">
        <v>5905</v>
      </c>
      <c r="I740" s="2" t="s">
        <v>5905</v>
      </c>
      <c r="J740" s="2" t="s">
        <v>19006</v>
      </c>
      <c r="K740" s="2" t="s">
        <v>34811</v>
      </c>
      <c r="L740" s="10" t="s">
        <v>34812</v>
      </c>
    </row>
    <row r="741">
      <c r="A741" s="2" t="s">
        <v>4978</v>
      </c>
      <c r="B741" s="2" t="s">
        <v>34813</v>
      </c>
      <c r="C741" s="2">
        <v>3.8480215E7</v>
      </c>
      <c r="D741" s="2" t="s">
        <v>34814</v>
      </c>
      <c r="E741" s="2">
        <v>18549.0</v>
      </c>
      <c r="F741" s="2">
        <v>2180.0</v>
      </c>
      <c r="G741" s="2">
        <v>121.0</v>
      </c>
      <c r="H741" s="2" t="s">
        <v>5905</v>
      </c>
      <c r="I741" s="2" t="s">
        <v>5905</v>
      </c>
      <c r="J741" s="2" t="s">
        <v>6166</v>
      </c>
      <c r="K741" s="2" t="s">
        <v>34815</v>
      </c>
    </row>
    <row r="742">
      <c r="A742" s="2" t="s">
        <v>4978</v>
      </c>
      <c r="B742" s="2" t="s">
        <v>34816</v>
      </c>
      <c r="C742" s="2">
        <v>1.77770131E8</v>
      </c>
      <c r="D742" s="2" t="s">
        <v>34817</v>
      </c>
      <c r="E742" s="2">
        <v>733814.0</v>
      </c>
      <c r="F742" s="2">
        <v>4265.0</v>
      </c>
      <c r="G742" s="2">
        <v>1699.0</v>
      </c>
      <c r="H742" s="2" t="s">
        <v>5906</v>
      </c>
      <c r="I742" s="2" t="s">
        <v>5905</v>
      </c>
      <c r="J742" s="2" t="s">
        <v>5959</v>
      </c>
      <c r="K742" s="2" t="s">
        <v>34818</v>
      </c>
      <c r="L742" s="10" t="s">
        <v>34819</v>
      </c>
    </row>
    <row r="743">
      <c r="A743" s="2" t="s">
        <v>4978</v>
      </c>
      <c r="B743" s="2" t="s">
        <v>34820</v>
      </c>
      <c r="C743" s="2">
        <v>4.5078025495E10</v>
      </c>
      <c r="D743" s="2" t="s">
        <v>34821</v>
      </c>
      <c r="E743" s="2">
        <v>238233.0</v>
      </c>
      <c r="F743" s="2">
        <v>52.0</v>
      </c>
      <c r="G743" s="2">
        <v>397.0</v>
      </c>
      <c r="H743" s="2" t="s">
        <v>5906</v>
      </c>
      <c r="I743" s="2" t="s">
        <v>5906</v>
      </c>
      <c r="J743" s="2" t="s">
        <v>7482</v>
      </c>
      <c r="K743" s="2" t="s">
        <v>34822</v>
      </c>
    </row>
    <row r="744">
      <c r="A744" s="2" t="s">
        <v>4978</v>
      </c>
      <c r="B744" s="2" t="s">
        <v>34823</v>
      </c>
      <c r="C744" s="2">
        <v>4.5377981891E10</v>
      </c>
      <c r="D744" s="2" t="s">
        <v>34824</v>
      </c>
      <c r="E744" s="2">
        <v>174149.0</v>
      </c>
      <c r="F744" s="2">
        <v>7.0</v>
      </c>
      <c r="G744" s="2">
        <v>237.0</v>
      </c>
      <c r="H744" s="2" t="s">
        <v>5905</v>
      </c>
      <c r="I744" s="2" t="s">
        <v>5906</v>
      </c>
      <c r="J744" s="2" t="s">
        <v>6166</v>
      </c>
      <c r="K744" s="2" t="s">
        <v>34825</v>
      </c>
    </row>
    <row r="745">
      <c r="A745" s="2" t="s">
        <v>4978</v>
      </c>
      <c r="B745" s="2" t="s">
        <v>34826</v>
      </c>
      <c r="C745" s="2">
        <v>9.519982231E9</v>
      </c>
      <c r="D745" s="2" t="s">
        <v>34827</v>
      </c>
      <c r="E745" s="2">
        <v>118674.0</v>
      </c>
      <c r="F745" s="2">
        <v>538.0</v>
      </c>
      <c r="G745" s="2">
        <v>2260.0</v>
      </c>
      <c r="H745" s="2" t="s">
        <v>5906</v>
      </c>
      <c r="I745" s="2" t="s">
        <v>5905</v>
      </c>
      <c r="J745" s="2" t="s">
        <v>6002</v>
      </c>
      <c r="K745" s="2" t="s">
        <v>34828</v>
      </c>
    </row>
    <row r="746">
      <c r="A746" s="2" t="s">
        <v>4978</v>
      </c>
      <c r="B746" s="2" t="s">
        <v>34829</v>
      </c>
      <c r="C746" s="2">
        <v>7.207984668E10</v>
      </c>
      <c r="D746" s="2" t="s">
        <v>4978</v>
      </c>
      <c r="E746" s="2">
        <v>12609.0</v>
      </c>
      <c r="F746" s="2">
        <v>7.0</v>
      </c>
      <c r="G746" s="2">
        <v>33.0</v>
      </c>
      <c r="H746" s="2" t="s">
        <v>5905</v>
      </c>
      <c r="I746" s="2" t="s">
        <v>5905</v>
      </c>
      <c r="J746" s="2" t="s">
        <v>5959</v>
      </c>
      <c r="K746" s="2" t="s">
        <v>34830</v>
      </c>
    </row>
    <row r="747">
      <c r="A747" s="2" t="s">
        <v>4964</v>
      </c>
      <c r="B747" s="10" t="s">
        <v>34831</v>
      </c>
      <c r="C747" s="2">
        <v>4.035962898E10</v>
      </c>
      <c r="D747" s="2" t="s">
        <v>34832</v>
      </c>
      <c r="E747" s="2">
        <v>41933.0</v>
      </c>
      <c r="F747" s="2">
        <v>554.0</v>
      </c>
      <c r="G747" s="2">
        <v>698.0</v>
      </c>
      <c r="H747" s="2" t="s">
        <v>5905</v>
      </c>
      <c r="I747" s="2" t="s">
        <v>5906</v>
      </c>
      <c r="J747" s="2" t="s">
        <v>5391</v>
      </c>
      <c r="K747" s="2" t="s">
        <v>34833</v>
      </c>
      <c r="L747" s="10" t="s">
        <v>34834</v>
      </c>
    </row>
    <row r="748">
      <c r="A748" s="2" t="s">
        <v>4964</v>
      </c>
      <c r="B748" s="10" t="s">
        <v>34831</v>
      </c>
      <c r="C748" s="2">
        <v>4.035962898E10</v>
      </c>
      <c r="D748" s="2" t="s">
        <v>34832</v>
      </c>
      <c r="E748" s="2">
        <v>41933.0</v>
      </c>
      <c r="F748" s="2">
        <v>554.0</v>
      </c>
      <c r="G748" s="2">
        <v>698.0</v>
      </c>
      <c r="H748" s="2" t="s">
        <v>5905</v>
      </c>
      <c r="I748" s="2" t="s">
        <v>5906</v>
      </c>
      <c r="J748" s="2" t="s">
        <v>5391</v>
      </c>
      <c r="K748" s="2" t="s">
        <v>34833</v>
      </c>
      <c r="L748" s="10" t="s">
        <v>34834</v>
      </c>
    </row>
    <row r="749">
      <c r="A749" s="2" t="s">
        <v>4964</v>
      </c>
      <c r="B749" s="2" t="s">
        <v>34835</v>
      </c>
      <c r="C749" s="2">
        <v>4308309.0</v>
      </c>
      <c r="D749" s="2" t="s">
        <v>4964</v>
      </c>
      <c r="E749" s="2">
        <v>10740.0</v>
      </c>
      <c r="F749" s="2">
        <v>350.0</v>
      </c>
      <c r="G749" s="2">
        <v>840.0</v>
      </c>
      <c r="H749" s="2" t="s">
        <v>5905</v>
      </c>
      <c r="I749" s="2" t="s">
        <v>5905</v>
      </c>
      <c r="J749" s="2" t="s">
        <v>6393</v>
      </c>
      <c r="K749" s="2" t="s">
        <v>34836</v>
      </c>
    </row>
    <row r="750">
      <c r="A750" s="2" t="s">
        <v>4964</v>
      </c>
      <c r="B750" s="2" t="s">
        <v>34837</v>
      </c>
      <c r="C750" s="2">
        <v>2.7880656231E10</v>
      </c>
      <c r="D750" s="2" t="s">
        <v>34838</v>
      </c>
      <c r="E750" s="2">
        <v>373412.0</v>
      </c>
      <c r="F750" s="2">
        <v>58.0</v>
      </c>
      <c r="G750" s="2">
        <v>319.0</v>
      </c>
      <c r="H750" s="2" t="s">
        <v>5906</v>
      </c>
      <c r="I750" s="2" t="s">
        <v>5905</v>
      </c>
      <c r="J750" s="2" t="s">
        <v>5959</v>
      </c>
      <c r="K750" s="2" t="s">
        <v>34839</v>
      </c>
    </row>
    <row r="751">
      <c r="A751" s="2" t="s">
        <v>4964</v>
      </c>
      <c r="B751" s="2" t="s">
        <v>34840</v>
      </c>
      <c r="C751" s="2">
        <v>6.0062820598E10</v>
      </c>
      <c r="D751" s="2" t="s">
        <v>34841</v>
      </c>
      <c r="E751" s="2">
        <v>180062.0</v>
      </c>
      <c r="F751" s="2">
        <v>393.0</v>
      </c>
      <c r="G751" s="2">
        <v>1655.0</v>
      </c>
      <c r="H751" s="2" t="s">
        <v>5905</v>
      </c>
      <c r="I751" s="2" t="s">
        <v>5905</v>
      </c>
      <c r="J751" s="2" t="s">
        <v>5484</v>
      </c>
      <c r="K751" s="2" t="s">
        <v>34842</v>
      </c>
      <c r="L751" s="10" t="s">
        <v>34843</v>
      </c>
    </row>
    <row r="752">
      <c r="A752" s="2" t="s">
        <v>4964</v>
      </c>
      <c r="B752" s="2" t="s">
        <v>34840</v>
      </c>
      <c r="C752" s="2">
        <v>6.0062820598E10</v>
      </c>
      <c r="D752" s="2" t="s">
        <v>34841</v>
      </c>
      <c r="E752" s="2">
        <v>180062.0</v>
      </c>
      <c r="F752" s="2">
        <v>393.0</v>
      </c>
      <c r="G752" s="2">
        <v>1655.0</v>
      </c>
      <c r="H752" s="2" t="s">
        <v>5905</v>
      </c>
      <c r="I752" s="2" t="s">
        <v>5905</v>
      </c>
      <c r="J752" s="2" t="s">
        <v>5484</v>
      </c>
      <c r="K752" s="2" t="s">
        <v>34842</v>
      </c>
      <c r="L752" s="10" t="s">
        <v>34843</v>
      </c>
    </row>
    <row r="753">
      <c r="A753" s="2" t="s">
        <v>4964</v>
      </c>
      <c r="B753" s="2" t="s">
        <v>34844</v>
      </c>
      <c r="C753" s="2">
        <v>9.855645715E9</v>
      </c>
      <c r="D753" s="2" t="s">
        <v>34845</v>
      </c>
      <c r="E753" s="2">
        <v>1011636.0</v>
      </c>
      <c r="F753" s="2">
        <v>714.0</v>
      </c>
      <c r="G753" s="2">
        <v>2608.0</v>
      </c>
      <c r="H753" s="2" t="s">
        <v>5906</v>
      </c>
      <c r="I753" s="2" t="s">
        <v>5906</v>
      </c>
      <c r="J753" s="2" t="s">
        <v>5959</v>
      </c>
      <c r="K753" s="2" t="s">
        <v>34846</v>
      </c>
    </row>
    <row r="754">
      <c r="A754" s="2" t="s">
        <v>4964</v>
      </c>
      <c r="B754" s="2" t="s">
        <v>34844</v>
      </c>
      <c r="C754" s="2">
        <v>9.855645715E9</v>
      </c>
      <c r="D754" s="2" t="s">
        <v>34845</v>
      </c>
      <c r="E754" s="2">
        <v>1011636.0</v>
      </c>
      <c r="F754" s="2">
        <v>714.0</v>
      </c>
      <c r="G754" s="2">
        <v>2608.0</v>
      </c>
      <c r="H754" s="2" t="s">
        <v>5906</v>
      </c>
      <c r="I754" s="2" t="s">
        <v>5906</v>
      </c>
      <c r="J754" s="2" t="s">
        <v>5959</v>
      </c>
      <c r="K754" s="2" t="s">
        <v>34846</v>
      </c>
    </row>
    <row r="755">
      <c r="A755" s="2" t="s">
        <v>4964</v>
      </c>
      <c r="B755" s="2" t="s">
        <v>34847</v>
      </c>
      <c r="C755" s="2">
        <v>5.9401489793E10</v>
      </c>
      <c r="D755" s="2" t="s">
        <v>34848</v>
      </c>
      <c r="E755" s="2">
        <v>11846.0</v>
      </c>
      <c r="F755" s="2">
        <v>7449.0</v>
      </c>
      <c r="G755" s="2">
        <v>141.0</v>
      </c>
      <c r="H755" s="2" t="s">
        <v>5905</v>
      </c>
      <c r="I755" s="2" t="s">
        <v>5905</v>
      </c>
      <c r="J755" s="2" t="s">
        <v>5968</v>
      </c>
      <c r="K755" s="2" t="s">
        <v>34849</v>
      </c>
    </row>
    <row r="756">
      <c r="A756" s="2" t="s">
        <v>4964</v>
      </c>
      <c r="B756" s="2" t="s">
        <v>34850</v>
      </c>
      <c r="C756" s="2">
        <v>7.053814688E9</v>
      </c>
      <c r="D756" s="2" t="s">
        <v>34851</v>
      </c>
      <c r="E756" s="2">
        <v>67140.0</v>
      </c>
      <c r="F756" s="2">
        <v>2417.0</v>
      </c>
      <c r="G756" s="2">
        <v>679.0</v>
      </c>
      <c r="H756" s="2" t="s">
        <v>5906</v>
      </c>
      <c r="I756" s="2" t="s">
        <v>5905</v>
      </c>
      <c r="J756" s="2" t="s">
        <v>7931</v>
      </c>
      <c r="L756" s="10" t="s">
        <v>34852</v>
      </c>
    </row>
    <row r="757">
      <c r="A757" s="2" t="s">
        <v>4964</v>
      </c>
      <c r="B757" s="2" t="s">
        <v>34850</v>
      </c>
      <c r="C757" s="2">
        <v>7.053814688E9</v>
      </c>
      <c r="D757" s="2" t="s">
        <v>34851</v>
      </c>
      <c r="E757" s="2">
        <v>67140.0</v>
      </c>
      <c r="F757" s="2">
        <v>2417.0</v>
      </c>
      <c r="G757" s="2">
        <v>679.0</v>
      </c>
      <c r="H757" s="2" t="s">
        <v>5906</v>
      </c>
      <c r="I757" s="2" t="s">
        <v>5905</v>
      </c>
      <c r="J757" s="2" t="s">
        <v>7931</v>
      </c>
      <c r="L757" s="10" t="s">
        <v>34852</v>
      </c>
    </row>
    <row r="758">
      <c r="A758" s="2" t="s">
        <v>4964</v>
      </c>
      <c r="B758" s="2" t="s">
        <v>34853</v>
      </c>
      <c r="C758" s="2">
        <v>7.1624207083E10</v>
      </c>
      <c r="E758" s="2">
        <v>186005.0</v>
      </c>
      <c r="F758" s="2">
        <v>4.0</v>
      </c>
      <c r="G758" s="2">
        <v>34.0</v>
      </c>
      <c r="H758" s="2" t="s">
        <v>5905</v>
      </c>
      <c r="I758" s="2" t="s">
        <v>5905</v>
      </c>
      <c r="J758" s="2" t="s">
        <v>5959</v>
      </c>
      <c r="K758" s="2" t="s">
        <v>34854</v>
      </c>
      <c r="L758" s="10" t="s">
        <v>34855</v>
      </c>
    </row>
    <row r="759">
      <c r="A759" s="2" t="s">
        <v>4964</v>
      </c>
      <c r="B759" s="2" t="s">
        <v>34856</v>
      </c>
      <c r="C759" s="2">
        <v>2.206608735E9</v>
      </c>
      <c r="D759" s="2" t="s">
        <v>34857</v>
      </c>
      <c r="E759" s="2">
        <v>597414.0</v>
      </c>
      <c r="F759" s="2">
        <v>582.0</v>
      </c>
      <c r="G759" s="2">
        <v>9531.0</v>
      </c>
      <c r="H759" s="2" t="s">
        <v>5905</v>
      </c>
      <c r="I759" s="2" t="s">
        <v>5906</v>
      </c>
      <c r="K759" s="2" t="s">
        <v>34858</v>
      </c>
      <c r="L759" s="10" t="s">
        <v>34859</v>
      </c>
    </row>
    <row r="760">
      <c r="A760" s="2" t="s">
        <v>4964</v>
      </c>
      <c r="B760" s="2" t="s">
        <v>34856</v>
      </c>
      <c r="C760" s="2">
        <v>2.206608735E9</v>
      </c>
      <c r="D760" s="2" t="s">
        <v>34857</v>
      </c>
      <c r="E760" s="2">
        <v>597414.0</v>
      </c>
      <c r="F760" s="2">
        <v>582.0</v>
      </c>
      <c r="G760" s="2">
        <v>9531.0</v>
      </c>
      <c r="H760" s="2" t="s">
        <v>5905</v>
      </c>
      <c r="I760" s="2" t="s">
        <v>5906</v>
      </c>
      <c r="K760" s="2" t="s">
        <v>34858</v>
      </c>
      <c r="L760" s="10" t="s">
        <v>34859</v>
      </c>
    </row>
    <row r="761">
      <c r="A761" s="2" t="s">
        <v>4964</v>
      </c>
      <c r="B761" s="2" t="s">
        <v>34860</v>
      </c>
      <c r="C761" s="2">
        <v>6.230770776E9</v>
      </c>
      <c r="D761" s="2" t="s">
        <v>34861</v>
      </c>
      <c r="E761" s="2">
        <v>183362.0</v>
      </c>
      <c r="F761" s="2">
        <v>248.0</v>
      </c>
      <c r="G761" s="2">
        <v>3528.0</v>
      </c>
      <c r="H761" s="2" t="s">
        <v>5905</v>
      </c>
      <c r="I761" s="2" t="s">
        <v>5906</v>
      </c>
      <c r="J761" s="2" t="s">
        <v>4404</v>
      </c>
      <c r="K761" s="2" t="s">
        <v>34862</v>
      </c>
      <c r="L761" s="10" t="s">
        <v>34863</v>
      </c>
    </row>
    <row r="762">
      <c r="A762" s="2" t="s">
        <v>4964</v>
      </c>
      <c r="B762" s="2" t="s">
        <v>34864</v>
      </c>
      <c r="C762" s="2">
        <v>1.46177084E8</v>
      </c>
      <c r="D762" s="2" t="s">
        <v>34865</v>
      </c>
      <c r="E762" s="2">
        <v>128281.0</v>
      </c>
      <c r="F762" s="2">
        <v>910.0</v>
      </c>
      <c r="G762" s="2">
        <v>2667.0</v>
      </c>
      <c r="H762" s="2" t="s">
        <v>5906</v>
      </c>
      <c r="I762" s="2" t="s">
        <v>5906</v>
      </c>
      <c r="J762" s="2" t="s">
        <v>5963</v>
      </c>
      <c r="K762" s="2" t="s">
        <v>34866</v>
      </c>
      <c r="L762" s="10" t="s">
        <v>34867</v>
      </c>
    </row>
    <row r="763">
      <c r="A763" s="2" t="s">
        <v>4948</v>
      </c>
      <c r="B763" s="2" t="s">
        <v>34868</v>
      </c>
      <c r="C763" s="2">
        <v>5.4313306319E10</v>
      </c>
      <c r="D763" s="2" t="s">
        <v>34869</v>
      </c>
      <c r="E763" s="2">
        <v>327406.0</v>
      </c>
      <c r="F763" s="2">
        <v>104.0</v>
      </c>
      <c r="G763" s="2">
        <v>1002.0</v>
      </c>
      <c r="H763" s="2" t="s">
        <v>5906</v>
      </c>
      <c r="I763" s="2" t="s">
        <v>5905</v>
      </c>
      <c r="J763" s="2" t="s">
        <v>34870</v>
      </c>
      <c r="K763" s="2" t="s">
        <v>34871</v>
      </c>
      <c r="L763" s="10" t="s">
        <v>34872</v>
      </c>
    </row>
    <row r="764">
      <c r="A764" s="2" t="s">
        <v>4936</v>
      </c>
      <c r="B764" s="2" t="s">
        <v>34873</v>
      </c>
      <c r="C764" s="2">
        <v>5.6509641887E10</v>
      </c>
      <c r="D764" s="2" t="s">
        <v>34874</v>
      </c>
      <c r="E764" s="2">
        <v>17166.0</v>
      </c>
      <c r="F764" s="2">
        <v>206.0</v>
      </c>
      <c r="G764" s="2">
        <v>445.0</v>
      </c>
      <c r="H764" s="2" t="s">
        <v>5905</v>
      </c>
      <c r="I764" s="2" t="s">
        <v>5906</v>
      </c>
      <c r="J764" s="2" t="s">
        <v>4397</v>
      </c>
      <c r="K764" s="2" t="s">
        <v>34875</v>
      </c>
      <c r="L764" s="10" t="s">
        <v>34876</v>
      </c>
    </row>
    <row r="765">
      <c r="A765" s="2" t="s">
        <v>4936</v>
      </c>
      <c r="B765" s="2" t="s">
        <v>34877</v>
      </c>
      <c r="C765" s="2">
        <v>1.313902334E9</v>
      </c>
      <c r="D765" s="2" t="s">
        <v>34878</v>
      </c>
      <c r="E765" s="2">
        <v>325010.0</v>
      </c>
      <c r="F765" s="2">
        <v>646.0</v>
      </c>
      <c r="G765" s="2">
        <v>4395.0</v>
      </c>
      <c r="H765" s="2" t="s">
        <v>5905</v>
      </c>
      <c r="I765" s="2" t="s">
        <v>5906</v>
      </c>
      <c r="J765" s="2" t="s">
        <v>5518</v>
      </c>
      <c r="K765" s="2" t="s">
        <v>34879</v>
      </c>
      <c r="L765" s="10" t="s">
        <v>34880</v>
      </c>
    </row>
    <row r="766">
      <c r="A766" s="2" t="s">
        <v>4936</v>
      </c>
      <c r="B766" s="2" t="s">
        <v>34881</v>
      </c>
      <c r="C766" s="2">
        <v>3.208583311E9</v>
      </c>
      <c r="D766" s="2" t="s">
        <v>34882</v>
      </c>
      <c r="E766" s="2">
        <v>155853.0</v>
      </c>
      <c r="F766" s="2">
        <v>953.0</v>
      </c>
      <c r="G766" s="2">
        <v>2561.0</v>
      </c>
      <c r="H766" s="2" t="s">
        <v>5905</v>
      </c>
      <c r="I766" s="2" t="s">
        <v>5906</v>
      </c>
      <c r="J766" s="2" t="s">
        <v>5561</v>
      </c>
      <c r="K766" s="2" t="s">
        <v>34883</v>
      </c>
      <c r="L766" s="10" t="s">
        <v>34884</v>
      </c>
    </row>
    <row r="767">
      <c r="A767" s="2" t="s">
        <v>4936</v>
      </c>
      <c r="B767" s="2" t="s">
        <v>34885</v>
      </c>
      <c r="C767" s="2">
        <v>4.239779807E9</v>
      </c>
      <c r="D767" s="2" t="s">
        <v>34886</v>
      </c>
      <c r="E767" s="2">
        <v>21487.0</v>
      </c>
      <c r="F767" s="2">
        <v>374.0</v>
      </c>
      <c r="G767" s="2">
        <v>1144.0</v>
      </c>
      <c r="H767" s="2" t="s">
        <v>5905</v>
      </c>
      <c r="I767" s="2" t="s">
        <v>5906</v>
      </c>
      <c r="K767" s="2" t="s">
        <v>34887</v>
      </c>
      <c r="L767" s="10" t="s">
        <v>34888</v>
      </c>
    </row>
    <row r="768">
      <c r="A768" s="2" t="s">
        <v>4936</v>
      </c>
      <c r="B768" s="2" t="s">
        <v>34889</v>
      </c>
      <c r="C768" s="2">
        <v>3.991636422E9</v>
      </c>
      <c r="D768" s="2" t="s">
        <v>34890</v>
      </c>
      <c r="E768" s="2">
        <v>27548.0</v>
      </c>
      <c r="F768" s="2">
        <v>3521.0</v>
      </c>
      <c r="G768" s="2">
        <v>2620.0</v>
      </c>
      <c r="H768" s="2" t="s">
        <v>5905</v>
      </c>
      <c r="I768" s="2" t="s">
        <v>5906</v>
      </c>
      <c r="K768" s="2" t="s">
        <v>34891</v>
      </c>
      <c r="L768" s="10" t="s">
        <v>34892</v>
      </c>
    </row>
    <row r="769">
      <c r="A769" s="2" t="s">
        <v>5213</v>
      </c>
      <c r="B769" s="10" t="s">
        <v>34893</v>
      </c>
      <c r="C769" s="2">
        <v>5.688597229E9</v>
      </c>
      <c r="D769" s="2" t="s">
        <v>34894</v>
      </c>
      <c r="E769" s="2">
        <v>12392.0</v>
      </c>
      <c r="F769" s="2">
        <v>837.0</v>
      </c>
      <c r="G769" s="2">
        <v>197.0</v>
      </c>
      <c r="H769" s="2" t="s">
        <v>5905</v>
      </c>
      <c r="I769" s="2" t="s">
        <v>5906</v>
      </c>
      <c r="J769" s="2" t="s">
        <v>34895</v>
      </c>
      <c r="K769" s="2" t="s">
        <v>34896</v>
      </c>
      <c r="L769" s="10" t="s">
        <v>34897</v>
      </c>
    </row>
    <row r="770">
      <c r="A770" s="2" t="s">
        <v>4995</v>
      </c>
      <c r="B770" s="2" t="s">
        <v>34898</v>
      </c>
      <c r="C770" s="2">
        <v>8.341951896E9</v>
      </c>
      <c r="D770" s="2" t="s">
        <v>34899</v>
      </c>
      <c r="E770" s="2">
        <v>27067.0</v>
      </c>
      <c r="F770" s="2">
        <v>4005.0</v>
      </c>
      <c r="G770" s="2">
        <v>1255.0</v>
      </c>
      <c r="H770" s="2" t="s">
        <v>5905</v>
      </c>
      <c r="I770" s="2" t="s">
        <v>5906</v>
      </c>
      <c r="J770" s="2" t="s">
        <v>5561</v>
      </c>
      <c r="K770" s="2" t="s">
        <v>34900</v>
      </c>
      <c r="L770" s="10" t="s">
        <v>34901</v>
      </c>
    </row>
    <row r="771">
      <c r="A771" s="2" t="s">
        <v>4995</v>
      </c>
      <c r="B771" s="2" t="s">
        <v>34902</v>
      </c>
      <c r="C771" s="2">
        <v>1336829.0</v>
      </c>
      <c r="E771" s="2">
        <v>12997.0</v>
      </c>
      <c r="F771" s="2">
        <v>101.0</v>
      </c>
      <c r="G771" s="2">
        <v>94.0</v>
      </c>
      <c r="H771" s="2" t="s">
        <v>5905</v>
      </c>
      <c r="I771" s="2" t="s">
        <v>5905</v>
      </c>
      <c r="J771" s="2" t="s">
        <v>6166</v>
      </c>
      <c r="K771" s="2" t="s">
        <v>34903</v>
      </c>
      <c r="L771" s="10" t="s">
        <v>34904</v>
      </c>
    </row>
    <row r="772">
      <c r="A772" s="2" t="s">
        <v>4995</v>
      </c>
      <c r="B772" s="2" t="s">
        <v>34905</v>
      </c>
      <c r="C772" s="2">
        <v>5.604012532E9</v>
      </c>
      <c r="D772" s="2" t="s">
        <v>34906</v>
      </c>
      <c r="E772" s="2">
        <v>71242.0</v>
      </c>
      <c r="F772" s="2">
        <v>1338.0</v>
      </c>
      <c r="G772" s="2">
        <v>833.0</v>
      </c>
      <c r="H772" s="2" t="s">
        <v>5906</v>
      </c>
      <c r="I772" s="2" t="s">
        <v>5905</v>
      </c>
      <c r="J772" s="2" t="s">
        <v>7059</v>
      </c>
      <c r="K772" s="2" t="s">
        <v>34907</v>
      </c>
      <c r="L772" s="10" t="s">
        <v>34908</v>
      </c>
    </row>
    <row r="773">
      <c r="A773" s="2" t="s">
        <v>4995</v>
      </c>
      <c r="B773" s="2" t="s">
        <v>34909</v>
      </c>
      <c r="C773" s="2">
        <v>5.518629977E9</v>
      </c>
      <c r="D773" s="2" t="s">
        <v>34910</v>
      </c>
      <c r="E773" s="2">
        <v>11167.0</v>
      </c>
      <c r="F773" s="2">
        <v>0.0</v>
      </c>
      <c r="G773" s="2">
        <v>490.0</v>
      </c>
      <c r="H773" s="2" t="s">
        <v>5905</v>
      </c>
      <c r="I773" s="2" t="s">
        <v>5906</v>
      </c>
      <c r="J773" s="2" t="s">
        <v>22861</v>
      </c>
      <c r="K773" s="2" t="s">
        <v>34911</v>
      </c>
    </row>
    <row r="774">
      <c r="A774" s="2" t="s">
        <v>4995</v>
      </c>
      <c r="B774" s="2" t="s">
        <v>34912</v>
      </c>
      <c r="C774" s="2">
        <v>4.2351837302E10</v>
      </c>
      <c r="D774" s="2" t="s">
        <v>4995</v>
      </c>
      <c r="E774" s="2">
        <v>17822.0</v>
      </c>
      <c r="F774" s="2">
        <v>10.0</v>
      </c>
      <c r="G774" s="2">
        <v>191.0</v>
      </c>
      <c r="H774" s="2" t="s">
        <v>5905</v>
      </c>
      <c r="I774" s="2" t="s">
        <v>5905</v>
      </c>
      <c r="J774" s="2" t="s">
        <v>5963</v>
      </c>
      <c r="K774" s="2" t="s">
        <v>34913</v>
      </c>
      <c r="L774" s="10" t="s">
        <v>34914</v>
      </c>
    </row>
    <row r="775">
      <c r="A775" s="2" t="s">
        <v>4980</v>
      </c>
      <c r="B775" s="2" t="s">
        <v>34915</v>
      </c>
      <c r="C775" s="2">
        <v>7.201091296E10</v>
      </c>
      <c r="D775" s="2" t="s">
        <v>34916</v>
      </c>
      <c r="E775" s="2">
        <v>10132.0</v>
      </c>
      <c r="F775" s="2">
        <v>2.0</v>
      </c>
      <c r="G775" s="2">
        <v>37.0</v>
      </c>
      <c r="H775" s="2" t="s">
        <v>5906</v>
      </c>
      <c r="I775" s="2" t="s">
        <v>5905</v>
      </c>
      <c r="J775" s="2" t="s">
        <v>5561</v>
      </c>
      <c r="K775" s="2" t="s">
        <v>34917</v>
      </c>
    </row>
    <row r="776">
      <c r="A776" s="2" t="s">
        <v>4980</v>
      </c>
      <c r="B776" s="2" t="s">
        <v>34918</v>
      </c>
      <c r="C776" s="2">
        <v>6.0503580287E10</v>
      </c>
      <c r="D776" s="2" t="s">
        <v>34919</v>
      </c>
      <c r="E776" s="2">
        <v>748291.0</v>
      </c>
      <c r="F776" s="2">
        <v>5.0</v>
      </c>
      <c r="G776" s="2">
        <v>870.0</v>
      </c>
      <c r="H776" s="2" t="s">
        <v>5905</v>
      </c>
      <c r="I776" s="2" t="s">
        <v>5905</v>
      </c>
      <c r="J776" s="2" t="s">
        <v>5561</v>
      </c>
      <c r="K776" s="2" t="s">
        <v>34920</v>
      </c>
      <c r="L776" s="10" t="s">
        <v>34921</v>
      </c>
    </row>
    <row r="777">
      <c r="A777" s="2" t="s">
        <v>4980</v>
      </c>
      <c r="B777" s="2" t="s">
        <v>34922</v>
      </c>
      <c r="C777" s="2">
        <v>5.3436289091E10</v>
      </c>
      <c r="D777" s="2" t="s">
        <v>34923</v>
      </c>
      <c r="E777" s="2">
        <v>26945.0</v>
      </c>
      <c r="F777" s="2">
        <v>12.0</v>
      </c>
      <c r="G777" s="2">
        <v>34.0</v>
      </c>
      <c r="H777" s="2" t="s">
        <v>5905</v>
      </c>
      <c r="I777" s="2" t="s">
        <v>5905</v>
      </c>
      <c r="J777" s="2" t="s">
        <v>26198</v>
      </c>
      <c r="K777" s="2" t="s">
        <v>34924</v>
      </c>
      <c r="L777" s="10" t="s">
        <v>34925</v>
      </c>
    </row>
    <row r="778">
      <c r="A778" s="2" t="s">
        <v>4980</v>
      </c>
      <c r="B778" s="2" t="s">
        <v>34926</v>
      </c>
      <c r="C778" s="2">
        <v>3.6836728312E10</v>
      </c>
      <c r="D778" s="2" t="s">
        <v>34927</v>
      </c>
      <c r="E778" s="2">
        <v>109732.0</v>
      </c>
      <c r="F778" s="2">
        <v>376.0</v>
      </c>
      <c r="G778" s="2">
        <v>144.0</v>
      </c>
      <c r="H778" s="2" t="s">
        <v>5906</v>
      </c>
      <c r="I778" s="2" t="s">
        <v>5906</v>
      </c>
      <c r="J778" s="2" t="s">
        <v>6166</v>
      </c>
      <c r="K778" s="2" t="s">
        <v>34928</v>
      </c>
      <c r="L778" s="10" t="s">
        <v>34929</v>
      </c>
    </row>
    <row r="779">
      <c r="A779" s="2" t="s">
        <v>4980</v>
      </c>
      <c r="B779" s="2" t="s">
        <v>34930</v>
      </c>
      <c r="C779" s="2">
        <v>7.2050448704E10</v>
      </c>
      <c r="D779" s="2" t="s">
        <v>34931</v>
      </c>
      <c r="E779" s="2">
        <v>144755.0</v>
      </c>
      <c r="F779" s="2">
        <v>11.0</v>
      </c>
      <c r="G779" s="2">
        <v>354.0</v>
      </c>
      <c r="H779" s="2" t="s">
        <v>5905</v>
      </c>
      <c r="I779" s="2" t="s">
        <v>5905</v>
      </c>
      <c r="J779" s="2" t="s">
        <v>5391</v>
      </c>
      <c r="K779" s="2" t="s">
        <v>34932</v>
      </c>
    </row>
    <row r="780">
      <c r="A780" s="2" t="s">
        <v>4980</v>
      </c>
      <c r="B780" s="2" t="s">
        <v>34933</v>
      </c>
      <c r="C780" s="2">
        <v>7.031488216E9</v>
      </c>
      <c r="D780" s="2" t="s">
        <v>34934</v>
      </c>
      <c r="E780" s="2">
        <v>35264.0</v>
      </c>
      <c r="F780" s="2">
        <v>771.0</v>
      </c>
      <c r="G780" s="2">
        <v>871.0</v>
      </c>
      <c r="H780" s="2" t="s">
        <v>5906</v>
      </c>
      <c r="I780" s="2" t="s">
        <v>5906</v>
      </c>
      <c r="J780" s="2" t="s">
        <v>5959</v>
      </c>
      <c r="K780" s="2" t="s">
        <v>34935</v>
      </c>
      <c r="L780" s="10" t="s">
        <v>34936</v>
      </c>
    </row>
    <row r="781">
      <c r="A781" s="2" t="s">
        <v>4980</v>
      </c>
      <c r="B781" s="2" t="s">
        <v>34937</v>
      </c>
      <c r="C781" s="2">
        <v>7.0905885189E10</v>
      </c>
      <c r="D781" s="2" t="s">
        <v>34938</v>
      </c>
      <c r="E781" s="2">
        <v>564968.0</v>
      </c>
      <c r="F781" s="2">
        <v>3.0</v>
      </c>
      <c r="G781" s="2">
        <v>411.0</v>
      </c>
      <c r="H781" s="2" t="s">
        <v>5906</v>
      </c>
      <c r="I781" s="2" t="s">
        <v>5905</v>
      </c>
      <c r="J781" s="2" t="s">
        <v>5391</v>
      </c>
      <c r="K781" s="2" t="s">
        <v>34939</v>
      </c>
    </row>
    <row r="782">
      <c r="A782" s="2" t="s">
        <v>4958</v>
      </c>
      <c r="B782" s="2" t="s">
        <v>34940</v>
      </c>
      <c r="C782" s="2">
        <v>3.8042265268E10</v>
      </c>
      <c r="D782" s="2" t="s">
        <v>34941</v>
      </c>
      <c r="E782" s="2">
        <v>12291.0</v>
      </c>
      <c r="F782" s="2">
        <v>7208.0</v>
      </c>
      <c r="G782" s="2">
        <v>691.0</v>
      </c>
      <c r="H782" s="2" t="s">
        <v>5905</v>
      </c>
      <c r="I782" s="2" t="s">
        <v>5905</v>
      </c>
      <c r="J782" s="2" t="s">
        <v>6166</v>
      </c>
      <c r="K782" s="2" t="s">
        <v>34942</v>
      </c>
    </row>
    <row r="783">
      <c r="A783" s="2" t="s">
        <v>4958</v>
      </c>
      <c r="B783" s="2" t="s">
        <v>34943</v>
      </c>
      <c r="C783" s="2">
        <v>4.1473227128E10</v>
      </c>
      <c r="D783" s="2" t="s">
        <v>34944</v>
      </c>
      <c r="E783" s="2">
        <v>11368.0</v>
      </c>
      <c r="F783" s="2">
        <v>138.0</v>
      </c>
      <c r="G783" s="2">
        <v>409.0</v>
      </c>
      <c r="H783" s="2" t="s">
        <v>5905</v>
      </c>
      <c r="I783" s="2" t="s">
        <v>5905</v>
      </c>
      <c r="J783" s="2" t="s">
        <v>5492</v>
      </c>
      <c r="K783" s="2" t="s">
        <v>34945</v>
      </c>
      <c r="L783" s="10" t="s">
        <v>34946</v>
      </c>
    </row>
    <row r="784">
      <c r="A784" s="2" t="s">
        <v>4958</v>
      </c>
      <c r="B784" s="2" t="s">
        <v>34947</v>
      </c>
      <c r="C784" s="2">
        <v>3.48397624E10</v>
      </c>
      <c r="D784" s="2" t="s">
        <v>34948</v>
      </c>
      <c r="E784" s="2">
        <v>55834.0</v>
      </c>
      <c r="F784" s="2">
        <v>14.0</v>
      </c>
      <c r="G784" s="2">
        <v>201.0</v>
      </c>
      <c r="H784" s="2" t="s">
        <v>5905</v>
      </c>
      <c r="I784" s="2" t="s">
        <v>5906</v>
      </c>
      <c r="J784" s="2" t="s">
        <v>8245</v>
      </c>
      <c r="K784" s="2" t="s">
        <v>34949</v>
      </c>
    </row>
    <row r="785">
      <c r="A785" s="2" t="s">
        <v>4958</v>
      </c>
      <c r="B785" s="2" t="s">
        <v>34950</v>
      </c>
      <c r="C785" s="2">
        <v>4.4607664649E10</v>
      </c>
      <c r="D785" s="2" t="s">
        <v>34951</v>
      </c>
      <c r="E785" s="2">
        <v>17231.0</v>
      </c>
      <c r="F785" s="2">
        <v>1.0</v>
      </c>
      <c r="G785" s="2">
        <v>821.0</v>
      </c>
      <c r="H785" s="2" t="s">
        <v>5905</v>
      </c>
      <c r="I785" s="2" t="s">
        <v>5906</v>
      </c>
      <c r="J785" s="2" t="s">
        <v>6166</v>
      </c>
      <c r="K785" s="2" t="s">
        <v>34952</v>
      </c>
      <c r="L785" s="10" t="s">
        <v>34953</v>
      </c>
    </row>
    <row r="786">
      <c r="A786" s="2" t="s">
        <v>4958</v>
      </c>
      <c r="B786" s="2" t="s">
        <v>34954</v>
      </c>
      <c r="C786" s="2">
        <v>1.698538067E9</v>
      </c>
      <c r="D786" s="2" t="s">
        <v>34955</v>
      </c>
      <c r="E786" s="2">
        <v>75381.0</v>
      </c>
      <c r="F786" s="2">
        <v>1.0</v>
      </c>
      <c r="G786" s="2">
        <v>188.0</v>
      </c>
      <c r="H786" s="2" t="s">
        <v>5905</v>
      </c>
      <c r="I786" s="2" t="s">
        <v>5906</v>
      </c>
      <c r="K786" s="2" t="s">
        <v>34956</v>
      </c>
      <c r="L786" s="10" t="s">
        <v>34957</v>
      </c>
    </row>
    <row r="787">
      <c r="A787" s="2" t="s">
        <v>4958</v>
      </c>
      <c r="B787" s="2" t="s">
        <v>34958</v>
      </c>
      <c r="C787" s="2">
        <v>2.62490642E8</v>
      </c>
      <c r="D787" s="2" t="s">
        <v>34959</v>
      </c>
      <c r="E787" s="2">
        <v>246847.0</v>
      </c>
      <c r="F787" s="2">
        <v>1.0</v>
      </c>
      <c r="G787" s="2">
        <v>8890.0</v>
      </c>
      <c r="H787" s="2" t="s">
        <v>5906</v>
      </c>
      <c r="I787" s="2" t="s">
        <v>5905</v>
      </c>
      <c r="J787" s="2" t="s">
        <v>6166</v>
      </c>
      <c r="K787" s="2" t="s">
        <v>34960</v>
      </c>
      <c r="L787" s="10" t="s">
        <v>34961</v>
      </c>
    </row>
    <row r="788">
      <c r="A788" s="2" t="s">
        <v>4958</v>
      </c>
      <c r="B788" s="2" t="s">
        <v>34962</v>
      </c>
      <c r="C788" s="2">
        <v>6.78407119E9</v>
      </c>
      <c r="D788" s="2" t="s">
        <v>34963</v>
      </c>
      <c r="E788" s="2">
        <v>53344.0</v>
      </c>
      <c r="F788" s="2">
        <v>1886.0</v>
      </c>
      <c r="G788" s="2">
        <v>2001.0</v>
      </c>
      <c r="H788" s="2" t="s">
        <v>5905</v>
      </c>
      <c r="I788" s="2" t="s">
        <v>5906</v>
      </c>
      <c r="J788" s="2" t="s">
        <v>5561</v>
      </c>
      <c r="K788" s="2" t="s">
        <v>34964</v>
      </c>
      <c r="L788" s="10" t="s">
        <v>34965</v>
      </c>
    </row>
    <row r="789">
      <c r="A789" s="2" t="s">
        <v>4958</v>
      </c>
      <c r="B789" s="2" t="s">
        <v>34966</v>
      </c>
      <c r="C789" s="2">
        <v>5.5601372941E10</v>
      </c>
      <c r="D789" s="2" t="s">
        <v>34967</v>
      </c>
      <c r="E789" s="2">
        <v>86012.0</v>
      </c>
      <c r="F789" s="2">
        <v>287.0</v>
      </c>
      <c r="G789" s="2">
        <v>930.0</v>
      </c>
      <c r="H789" s="2" t="s">
        <v>5906</v>
      </c>
      <c r="I789" s="2" t="s">
        <v>5906</v>
      </c>
      <c r="J789" s="2" t="s">
        <v>6166</v>
      </c>
      <c r="K789" s="2" t="s">
        <v>34968</v>
      </c>
      <c r="L789" s="10" t="s">
        <v>34969</v>
      </c>
    </row>
    <row r="790">
      <c r="A790" s="2" t="s">
        <v>4958</v>
      </c>
      <c r="B790" s="2" t="s">
        <v>34970</v>
      </c>
      <c r="C790" s="2">
        <v>5.5517362989E10</v>
      </c>
      <c r="D790" s="2" t="s">
        <v>34971</v>
      </c>
      <c r="E790" s="2">
        <v>32034.0</v>
      </c>
      <c r="F790" s="2">
        <v>3.0</v>
      </c>
      <c r="G790" s="2">
        <v>111.0</v>
      </c>
      <c r="H790" s="2" t="s">
        <v>5905</v>
      </c>
      <c r="I790" s="2" t="s">
        <v>5905</v>
      </c>
      <c r="J790" s="2" t="s">
        <v>6166</v>
      </c>
      <c r="K790" s="2" t="s">
        <v>34972</v>
      </c>
      <c r="L790" s="10" t="s">
        <v>34973</v>
      </c>
    </row>
  </sheetData>
  <hyperlinks>
    <hyperlink r:id="rId1" ref="L2"/>
    <hyperlink r:id="rId2" ref="L3"/>
    <hyperlink r:id="rId3" ref="L4"/>
    <hyperlink r:id="rId4" ref="L5"/>
    <hyperlink r:id="rId5" ref="L6"/>
    <hyperlink r:id="rId6" ref="L7"/>
    <hyperlink r:id="rId7" ref="L8"/>
    <hyperlink r:id="rId8" ref="L9"/>
    <hyperlink r:id="rId9" ref="B10"/>
    <hyperlink r:id="rId10" ref="L10"/>
    <hyperlink r:id="rId11" ref="L11"/>
    <hyperlink r:id="rId12" ref="B13"/>
    <hyperlink r:id="rId13" ref="L13"/>
    <hyperlink r:id="rId14" ref="L14"/>
    <hyperlink r:id="rId15" ref="L15"/>
    <hyperlink r:id="rId16" ref="L18"/>
    <hyperlink r:id="rId17" ref="L19"/>
    <hyperlink r:id="rId18" ref="L20"/>
    <hyperlink r:id="rId19" ref="L21"/>
    <hyperlink r:id="rId20" ref="L22"/>
    <hyperlink r:id="rId21" ref="L23"/>
    <hyperlink r:id="rId22" ref="L24"/>
    <hyperlink r:id="rId23" ref="L26"/>
    <hyperlink r:id="rId24" ref="L27"/>
    <hyperlink r:id="rId25" ref="B28"/>
    <hyperlink r:id="rId26" ref="L28"/>
    <hyperlink r:id="rId27" ref="B29"/>
    <hyperlink r:id="rId28" ref="L29"/>
    <hyperlink r:id="rId29" ref="L30"/>
    <hyperlink r:id="rId30" ref="L31"/>
    <hyperlink r:id="rId31" ref="L32"/>
    <hyperlink r:id="rId32" ref="L33"/>
    <hyperlink r:id="rId33" ref="L34"/>
    <hyperlink r:id="rId34" ref="L35"/>
    <hyperlink r:id="rId35" ref="B38"/>
    <hyperlink r:id="rId36" ref="L39"/>
    <hyperlink r:id="rId37" ref="L40"/>
    <hyperlink r:id="rId38" ref="L42"/>
    <hyperlink r:id="rId39" ref="L43"/>
    <hyperlink r:id="rId40" ref="L44"/>
    <hyperlink r:id="rId41" ref="L45"/>
    <hyperlink r:id="rId42" ref="L46"/>
    <hyperlink r:id="rId43" ref="L47"/>
    <hyperlink r:id="rId44" ref="L48"/>
    <hyperlink r:id="rId45" ref="L49"/>
    <hyperlink r:id="rId46" ref="L51"/>
    <hyperlink r:id="rId47" ref="L52"/>
    <hyperlink r:id="rId48" ref="L53"/>
    <hyperlink r:id="rId49" ref="L55"/>
    <hyperlink r:id="rId50" ref="L58"/>
    <hyperlink r:id="rId51" ref="L59"/>
    <hyperlink r:id="rId52" ref="L60"/>
    <hyperlink r:id="rId53" ref="L61"/>
    <hyperlink r:id="rId54" ref="L62"/>
    <hyperlink r:id="rId55" ref="L63"/>
    <hyperlink r:id="rId56" ref="L64"/>
    <hyperlink r:id="rId57" ref="L65"/>
    <hyperlink r:id="rId58" ref="L67"/>
    <hyperlink r:id="rId59" ref="L71"/>
    <hyperlink r:id="rId60" ref="L72"/>
    <hyperlink r:id="rId61" ref="L73"/>
    <hyperlink r:id="rId62" ref="L77"/>
    <hyperlink r:id="rId63" ref="L78"/>
    <hyperlink r:id="rId64" ref="L81"/>
    <hyperlink r:id="rId65" ref="L82"/>
    <hyperlink r:id="rId66" ref="L84"/>
    <hyperlink r:id="rId67" ref="B85"/>
    <hyperlink r:id="rId68" ref="L85"/>
    <hyperlink r:id="rId69" ref="L86"/>
    <hyperlink r:id="rId70" ref="L88"/>
    <hyperlink r:id="rId71" ref="L89"/>
    <hyperlink r:id="rId72" ref="L92"/>
    <hyperlink r:id="rId73" ref="L93"/>
    <hyperlink r:id="rId74" ref="L94"/>
    <hyperlink r:id="rId75" ref="L95"/>
    <hyperlink r:id="rId76" ref="L96"/>
    <hyperlink r:id="rId77" ref="L97"/>
    <hyperlink r:id="rId78" ref="L98"/>
    <hyperlink r:id="rId79" ref="L100"/>
    <hyperlink r:id="rId80" ref="B102"/>
    <hyperlink r:id="rId81" ref="L102"/>
    <hyperlink r:id="rId82" ref="L105"/>
    <hyperlink r:id="rId83" ref="L106"/>
    <hyperlink r:id="rId84" ref="L107"/>
    <hyperlink r:id="rId85" ref="L108"/>
    <hyperlink r:id="rId86" ref="L109"/>
    <hyperlink r:id="rId87" ref="L110"/>
    <hyperlink r:id="rId88" ref="L111"/>
    <hyperlink r:id="rId89" ref="L112"/>
    <hyperlink r:id="rId90" ref="L113"/>
    <hyperlink r:id="rId91" ref="L114"/>
    <hyperlink r:id="rId92" ref="L115"/>
    <hyperlink r:id="rId93" ref="L117"/>
    <hyperlink r:id="rId94" ref="L118"/>
    <hyperlink r:id="rId95" ref="L119"/>
    <hyperlink r:id="rId96" ref="B120"/>
    <hyperlink r:id="rId97" ref="L120"/>
    <hyperlink r:id="rId98" ref="L121"/>
    <hyperlink r:id="rId99" ref="L122"/>
    <hyperlink r:id="rId100" ref="L123"/>
    <hyperlink r:id="rId101" ref="L124"/>
    <hyperlink r:id="rId102" ref="L125"/>
    <hyperlink r:id="rId103" ref="L126"/>
    <hyperlink r:id="rId104" ref="L127"/>
    <hyperlink r:id="rId105" ref="L128"/>
    <hyperlink r:id="rId106" ref="L129"/>
    <hyperlink r:id="rId107" ref="L130"/>
    <hyperlink r:id="rId108" ref="L131"/>
    <hyperlink r:id="rId109" ref="L132"/>
    <hyperlink r:id="rId110" ref="L133"/>
    <hyperlink r:id="rId111" ref="L134"/>
    <hyperlink r:id="rId112" ref="L135"/>
    <hyperlink r:id="rId113" ref="L136"/>
    <hyperlink r:id="rId114" ref="L139"/>
    <hyperlink r:id="rId115" ref="L140"/>
    <hyperlink r:id="rId116" ref="L143"/>
    <hyperlink r:id="rId117" ref="L144"/>
    <hyperlink r:id="rId118" ref="L148"/>
    <hyperlink r:id="rId119" ref="L150"/>
    <hyperlink r:id="rId120" ref="L154"/>
    <hyperlink r:id="rId121" ref="L155"/>
    <hyperlink r:id="rId122" ref="L156"/>
    <hyperlink r:id="rId123" ref="L157"/>
    <hyperlink r:id="rId124" ref="L159"/>
    <hyperlink r:id="rId125" ref="L160"/>
    <hyperlink r:id="rId126" ref="L161"/>
    <hyperlink r:id="rId127" ref="L162"/>
    <hyperlink r:id="rId128" ref="L163"/>
    <hyperlink r:id="rId129" ref="L164"/>
    <hyperlink r:id="rId130" ref="L165"/>
    <hyperlink r:id="rId131" ref="L166"/>
    <hyperlink r:id="rId132" ref="L167"/>
    <hyperlink r:id="rId133" ref="B168"/>
    <hyperlink r:id="rId134" ref="L168"/>
    <hyperlink r:id="rId135" ref="L169"/>
    <hyperlink r:id="rId136" ref="L170"/>
    <hyperlink r:id="rId137" ref="L171"/>
    <hyperlink r:id="rId138" ref="L172"/>
    <hyperlink r:id="rId139" ref="L174"/>
    <hyperlink r:id="rId140" ref="L176"/>
    <hyperlink r:id="rId141" ref="L177"/>
    <hyperlink r:id="rId142" ref="L178"/>
    <hyperlink r:id="rId143" ref="L182"/>
    <hyperlink r:id="rId144" ref="L183"/>
    <hyperlink r:id="rId145" ref="L186"/>
    <hyperlink r:id="rId146" ref="L188"/>
    <hyperlink r:id="rId147" ref="L192"/>
    <hyperlink r:id="rId148" ref="L193"/>
    <hyperlink r:id="rId149" ref="L194"/>
    <hyperlink r:id="rId150" ref="L195"/>
    <hyperlink r:id="rId151" ref="L196"/>
    <hyperlink r:id="rId152" ref="L197"/>
    <hyperlink r:id="rId153" ref="L200"/>
    <hyperlink r:id="rId154" ref="L202"/>
    <hyperlink r:id="rId155" ref="B203"/>
    <hyperlink r:id="rId156" ref="L203"/>
    <hyperlink r:id="rId157" ref="L204"/>
    <hyperlink r:id="rId158" ref="L207"/>
    <hyperlink r:id="rId159" ref="L208"/>
    <hyperlink r:id="rId160" ref="L209"/>
    <hyperlink r:id="rId161" ref="L210"/>
    <hyperlink r:id="rId162" ref="L211"/>
    <hyperlink r:id="rId163" ref="L212"/>
    <hyperlink r:id="rId164" ref="L213"/>
    <hyperlink r:id="rId165" ref="L214"/>
    <hyperlink r:id="rId166" ref="L216"/>
    <hyperlink r:id="rId167" ref="L217"/>
    <hyperlink r:id="rId168" ref="L218"/>
    <hyperlink r:id="rId169" ref="L220"/>
    <hyperlink r:id="rId170" ref="L221"/>
    <hyperlink r:id="rId171" ref="L222"/>
    <hyperlink r:id="rId172" ref="L223"/>
    <hyperlink r:id="rId173" ref="L224"/>
    <hyperlink r:id="rId174" ref="L225"/>
    <hyperlink r:id="rId175" ref="L229"/>
    <hyperlink r:id="rId176" ref="L230"/>
    <hyperlink r:id="rId177" ref="L231"/>
    <hyperlink r:id="rId178" ref="L232"/>
    <hyperlink r:id="rId179" ref="L233"/>
    <hyperlink r:id="rId180" ref="L234"/>
    <hyperlink r:id="rId181" ref="L235"/>
    <hyperlink r:id="rId182" ref="L236"/>
    <hyperlink r:id="rId183" ref="L240"/>
    <hyperlink r:id="rId184" ref="L241"/>
    <hyperlink r:id="rId185" ref="L242"/>
    <hyperlink r:id="rId186" ref="L244"/>
    <hyperlink r:id="rId187" ref="L245"/>
    <hyperlink r:id="rId188" ref="L246"/>
    <hyperlink r:id="rId189" ref="L247"/>
    <hyperlink r:id="rId190" ref="L248"/>
    <hyperlink r:id="rId191" ref="L249"/>
    <hyperlink r:id="rId192" ref="L250"/>
    <hyperlink r:id="rId193" ref="L251"/>
    <hyperlink r:id="rId194" ref="L253"/>
    <hyperlink r:id="rId195" ref="L255"/>
    <hyperlink r:id="rId196" ref="L256"/>
    <hyperlink r:id="rId197" ref="L257"/>
    <hyperlink r:id="rId198" ref="L259"/>
    <hyperlink r:id="rId199" ref="L261"/>
    <hyperlink r:id="rId200" ref="L262"/>
    <hyperlink r:id="rId201" ref="L265"/>
    <hyperlink r:id="rId202" ref="L268"/>
    <hyperlink r:id="rId203" ref="L270"/>
    <hyperlink r:id="rId204" ref="L274"/>
    <hyperlink r:id="rId205" ref="L277"/>
    <hyperlink r:id="rId206" ref="L278"/>
    <hyperlink r:id="rId207" ref="L280"/>
    <hyperlink r:id="rId208" ref="L282"/>
    <hyperlink r:id="rId209" ref="L283"/>
    <hyperlink r:id="rId210" ref="L286"/>
    <hyperlink r:id="rId211" ref="L287"/>
    <hyperlink r:id="rId212" ref="L288"/>
    <hyperlink r:id="rId213" ref="L289"/>
    <hyperlink r:id="rId214" ref="L292"/>
    <hyperlink r:id="rId215" ref="L293"/>
    <hyperlink r:id="rId216" ref="B294"/>
    <hyperlink r:id="rId217" ref="L294"/>
    <hyperlink r:id="rId218" ref="L295"/>
    <hyperlink r:id="rId219" ref="B296"/>
    <hyperlink r:id="rId220" ref="L296"/>
    <hyperlink r:id="rId221" ref="L297"/>
    <hyperlink r:id="rId222" ref="L298"/>
    <hyperlink r:id="rId223" ref="L300"/>
    <hyperlink r:id="rId224" ref="L301"/>
    <hyperlink r:id="rId225" ref="L302"/>
    <hyperlink r:id="rId226" ref="L303"/>
    <hyperlink r:id="rId227" ref="L304"/>
    <hyperlink r:id="rId228" ref="L306"/>
    <hyperlink r:id="rId229" ref="L307"/>
    <hyperlink r:id="rId230" ref="L309"/>
    <hyperlink r:id="rId231" ref="L310"/>
    <hyperlink r:id="rId232" ref="L311"/>
    <hyperlink r:id="rId233" ref="L312"/>
    <hyperlink r:id="rId234" ref="L313"/>
    <hyperlink r:id="rId235" ref="L314"/>
    <hyperlink r:id="rId236" ref="L315"/>
    <hyperlink r:id="rId237" ref="L316"/>
    <hyperlink r:id="rId238" ref="L317"/>
    <hyperlink r:id="rId239" ref="L318"/>
    <hyperlink r:id="rId240" ref="L319"/>
    <hyperlink r:id="rId241" ref="L321"/>
    <hyperlink r:id="rId242" ref="L322"/>
    <hyperlink r:id="rId243" ref="L324"/>
    <hyperlink r:id="rId244" ref="L325"/>
    <hyperlink r:id="rId245" ref="L326"/>
    <hyperlink r:id="rId246" ref="L327"/>
    <hyperlink r:id="rId247" ref="L328"/>
    <hyperlink r:id="rId248" ref="L329"/>
    <hyperlink r:id="rId249" ref="B330"/>
    <hyperlink r:id="rId250" ref="L330"/>
    <hyperlink r:id="rId251" ref="L332"/>
    <hyperlink r:id="rId252" ref="L333"/>
    <hyperlink r:id="rId253" ref="L334"/>
    <hyperlink r:id="rId254" ref="L335"/>
    <hyperlink r:id="rId255" ref="L338"/>
    <hyperlink r:id="rId256" ref="L339"/>
    <hyperlink r:id="rId257" ref="L340"/>
    <hyperlink r:id="rId258" ref="B341"/>
    <hyperlink r:id="rId259" ref="L341"/>
    <hyperlink r:id="rId260" ref="L342"/>
    <hyperlink r:id="rId261" ref="L343"/>
    <hyperlink r:id="rId262" ref="L345"/>
    <hyperlink r:id="rId263" ref="L346"/>
    <hyperlink r:id="rId264" ref="L348"/>
    <hyperlink r:id="rId265" ref="L349"/>
    <hyperlink r:id="rId266" ref="L350"/>
    <hyperlink r:id="rId267" ref="L351"/>
    <hyperlink r:id="rId268" ref="L352"/>
    <hyperlink r:id="rId269" ref="L354"/>
    <hyperlink r:id="rId270" ref="L355"/>
    <hyperlink r:id="rId271" ref="L357"/>
    <hyperlink r:id="rId272" ref="B358"/>
    <hyperlink r:id="rId273" ref="L358"/>
    <hyperlink r:id="rId274" ref="L359"/>
    <hyperlink r:id="rId275" ref="L360"/>
    <hyperlink r:id="rId276" ref="L361"/>
    <hyperlink r:id="rId277" ref="L362"/>
    <hyperlink r:id="rId278" ref="L363"/>
    <hyperlink r:id="rId279" ref="L364"/>
    <hyperlink r:id="rId280" ref="L365"/>
    <hyperlink r:id="rId281" ref="L367"/>
    <hyperlink r:id="rId282" ref="L368"/>
    <hyperlink r:id="rId283" ref="L369"/>
    <hyperlink r:id="rId284" ref="L371"/>
    <hyperlink r:id="rId285" ref="B372"/>
    <hyperlink r:id="rId286" ref="L372"/>
    <hyperlink r:id="rId287" ref="L373"/>
    <hyperlink r:id="rId288" ref="L374"/>
    <hyperlink r:id="rId289" ref="L375"/>
    <hyperlink r:id="rId290" ref="L376"/>
    <hyperlink r:id="rId291" ref="L377"/>
    <hyperlink r:id="rId292" ref="L378"/>
    <hyperlink r:id="rId293" ref="L379"/>
    <hyperlink r:id="rId294" ref="L380"/>
    <hyperlink r:id="rId295" ref="L381"/>
    <hyperlink r:id="rId296" ref="L382"/>
    <hyperlink r:id="rId297" ref="L383"/>
    <hyperlink r:id="rId298" ref="L384"/>
    <hyperlink r:id="rId299" ref="L385"/>
    <hyperlink r:id="rId300" ref="L386"/>
    <hyperlink r:id="rId301" ref="B387"/>
    <hyperlink r:id="rId302" ref="L387"/>
    <hyperlink r:id="rId303" ref="L388"/>
    <hyperlink r:id="rId304" ref="L389"/>
    <hyperlink r:id="rId305" ref="L390"/>
    <hyperlink r:id="rId306" ref="L392"/>
    <hyperlink r:id="rId307" ref="L393"/>
    <hyperlink r:id="rId308" ref="L394"/>
    <hyperlink r:id="rId309" ref="L395"/>
    <hyperlink r:id="rId310" ref="L397"/>
    <hyperlink r:id="rId311" ref="L398"/>
    <hyperlink r:id="rId312" ref="L399"/>
    <hyperlink r:id="rId313" ref="L400"/>
    <hyperlink r:id="rId314" ref="L401"/>
    <hyperlink r:id="rId315" ref="L403"/>
    <hyperlink r:id="rId316" ref="L405"/>
    <hyperlink r:id="rId317" ref="L406"/>
    <hyperlink r:id="rId318" ref="L407"/>
    <hyperlink r:id="rId319" ref="L408"/>
    <hyperlink r:id="rId320" ref="L409"/>
    <hyperlink r:id="rId321" ref="L411"/>
    <hyperlink r:id="rId322" ref="L413"/>
    <hyperlink r:id="rId323" ref="L414"/>
    <hyperlink r:id="rId324" ref="L415"/>
    <hyperlink r:id="rId325" ref="L417"/>
    <hyperlink r:id="rId326" ref="L418"/>
    <hyperlink r:id="rId327" ref="L419"/>
    <hyperlink r:id="rId328" ref="L422"/>
    <hyperlink r:id="rId329" ref="L423"/>
    <hyperlink r:id="rId330" ref="L424"/>
    <hyperlink r:id="rId331" ref="L427"/>
    <hyperlink r:id="rId332" ref="L428"/>
    <hyperlink r:id="rId333" ref="L430"/>
    <hyperlink r:id="rId334" ref="L435"/>
    <hyperlink r:id="rId335" ref="L437"/>
    <hyperlink r:id="rId336" ref="L440"/>
    <hyperlink r:id="rId337" ref="B441"/>
    <hyperlink r:id="rId338" ref="L441"/>
    <hyperlink r:id="rId339" ref="L442"/>
    <hyperlink r:id="rId340" ref="B443"/>
    <hyperlink r:id="rId341" ref="D443"/>
    <hyperlink r:id="rId342" ref="L443"/>
    <hyperlink r:id="rId343" ref="L444"/>
    <hyperlink r:id="rId344" ref="L445"/>
    <hyperlink r:id="rId345" ref="L446"/>
    <hyperlink r:id="rId346" ref="L447"/>
    <hyperlink r:id="rId347" ref="L448"/>
    <hyperlink r:id="rId348" ref="L449"/>
    <hyperlink r:id="rId349" ref="L450"/>
    <hyperlink r:id="rId350" ref="L451"/>
    <hyperlink r:id="rId351" ref="L452"/>
    <hyperlink r:id="rId352" ref="L453"/>
    <hyperlink r:id="rId353" ref="L454"/>
    <hyperlink r:id="rId354" ref="L456"/>
    <hyperlink r:id="rId355" ref="L457"/>
    <hyperlink r:id="rId356" ref="L458"/>
    <hyperlink r:id="rId357" ref="L459"/>
    <hyperlink r:id="rId358" ref="L460"/>
    <hyperlink r:id="rId359" ref="L461"/>
    <hyperlink r:id="rId360" ref="L462"/>
    <hyperlink r:id="rId361" ref="L463"/>
    <hyperlink r:id="rId362" ref="L464"/>
    <hyperlink r:id="rId363" ref="L465"/>
    <hyperlink r:id="rId364" ref="L468"/>
    <hyperlink r:id="rId365" ref="L470"/>
    <hyperlink r:id="rId366" ref="L471"/>
    <hyperlink r:id="rId367" ref="L472"/>
    <hyperlink r:id="rId368" ref="L473"/>
    <hyperlink r:id="rId369" ref="L475"/>
    <hyperlink r:id="rId370" ref="L477"/>
    <hyperlink r:id="rId371" ref="L478"/>
    <hyperlink r:id="rId372" ref="L480"/>
    <hyperlink r:id="rId373" ref="L484"/>
    <hyperlink r:id="rId374" ref="L486"/>
    <hyperlink r:id="rId375" ref="L487"/>
    <hyperlink r:id="rId376" ref="L488"/>
    <hyperlink r:id="rId377" ref="L489"/>
    <hyperlink r:id="rId378" ref="L490"/>
    <hyperlink r:id="rId379" ref="L492"/>
    <hyperlink r:id="rId380" ref="L493"/>
    <hyperlink r:id="rId381" ref="L494"/>
    <hyperlink r:id="rId382" ref="L495"/>
    <hyperlink r:id="rId383" ref="L496"/>
    <hyperlink r:id="rId384" ref="L497"/>
    <hyperlink r:id="rId385" ref="L499"/>
    <hyperlink r:id="rId386" ref="L500"/>
    <hyperlink r:id="rId387" ref="L501"/>
    <hyperlink r:id="rId388" ref="L502"/>
    <hyperlink r:id="rId389" ref="L503"/>
    <hyperlink r:id="rId390" ref="L505"/>
    <hyperlink r:id="rId391" ref="L506"/>
    <hyperlink r:id="rId392" ref="L507"/>
    <hyperlink r:id="rId393" ref="L508"/>
    <hyperlink r:id="rId394" ref="L509"/>
    <hyperlink r:id="rId395" ref="L510"/>
    <hyperlink r:id="rId396" ref="L512"/>
    <hyperlink r:id="rId397" ref="L514"/>
    <hyperlink r:id="rId398" ref="L515"/>
    <hyperlink r:id="rId399" ref="L516"/>
    <hyperlink r:id="rId400" ref="L518"/>
    <hyperlink r:id="rId401" ref="L523"/>
    <hyperlink r:id="rId402" ref="L526"/>
    <hyperlink r:id="rId403" ref="L528"/>
    <hyperlink r:id="rId404" ref="L529"/>
    <hyperlink r:id="rId405" ref="L531"/>
    <hyperlink r:id="rId406" ref="L533"/>
    <hyperlink r:id="rId407" ref="L535"/>
    <hyperlink r:id="rId408" ref="L536"/>
    <hyperlink r:id="rId409" ref="L537"/>
    <hyperlink r:id="rId410" ref="L538"/>
    <hyperlink r:id="rId411" ref="L539"/>
    <hyperlink r:id="rId412" ref="L541"/>
    <hyperlink r:id="rId413" ref="L542"/>
    <hyperlink r:id="rId414" ref="L543"/>
    <hyperlink r:id="rId415" ref="L544"/>
    <hyperlink r:id="rId416" ref="L548"/>
    <hyperlink r:id="rId417" ref="L549"/>
    <hyperlink r:id="rId418" ref="L550"/>
    <hyperlink r:id="rId419" ref="L551"/>
    <hyperlink r:id="rId420" ref="L552"/>
    <hyperlink r:id="rId421" ref="L553"/>
    <hyperlink r:id="rId422" ref="L554"/>
    <hyperlink r:id="rId423" ref="L555"/>
    <hyperlink r:id="rId424" ref="L557"/>
    <hyperlink r:id="rId425" ref="B563"/>
    <hyperlink r:id="rId426" ref="L565"/>
    <hyperlink r:id="rId427" ref="L568"/>
    <hyperlink r:id="rId428" ref="L569"/>
    <hyperlink r:id="rId429" ref="B570"/>
    <hyperlink r:id="rId430" ref="L570"/>
    <hyperlink r:id="rId431" ref="L571"/>
    <hyperlink r:id="rId432" ref="L572"/>
    <hyperlink r:id="rId433" ref="L573"/>
    <hyperlink r:id="rId434" ref="L575"/>
    <hyperlink r:id="rId435" ref="L577"/>
    <hyperlink r:id="rId436" ref="L578"/>
    <hyperlink r:id="rId437" ref="L579"/>
    <hyperlink r:id="rId438" ref="L580"/>
    <hyperlink r:id="rId439" ref="L581"/>
    <hyperlink r:id="rId440" ref="L582"/>
    <hyperlink r:id="rId441" ref="L583"/>
    <hyperlink r:id="rId442" ref="L585"/>
    <hyperlink r:id="rId443" ref="L586"/>
    <hyperlink r:id="rId444" ref="L587"/>
    <hyperlink r:id="rId445" ref="L588"/>
    <hyperlink r:id="rId446" ref="L592"/>
    <hyperlink r:id="rId447" ref="L593"/>
    <hyperlink r:id="rId448" ref="L595"/>
    <hyperlink r:id="rId449" ref="L596"/>
    <hyperlink r:id="rId450" ref="L597"/>
    <hyperlink r:id="rId451" ref="L601"/>
    <hyperlink r:id="rId452" ref="L602"/>
    <hyperlink r:id="rId453" ref="L603"/>
    <hyperlink r:id="rId454" ref="L605"/>
    <hyperlink r:id="rId455" ref="L606"/>
    <hyperlink r:id="rId456" ref="L607"/>
    <hyperlink r:id="rId457" ref="L608"/>
    <hyperlink r:id="rId458" ref="L609"/>
    <hyperlink r:id="rId459" ref="L610"/>
    <hyperlink r:id="rId460" ref="L611"/>
    <hyperlink r:id="rId461" ref="L612"/>
    <hyperlink r:id="rId462" ref="L613"/>
    <hyperlink r:id="rId463" ref="L615"/>
    <hyperlink r:id="rId464" ref="B616"/>
    <hyperlink r:id="rId465" ref="L617"/>
    <hyperlink r:id="rId466" ref="L620"/>
    <hyperlink r:id="rId467" ref="L622"/>
    <hyperlink r:id="rId468" ref="L625"/>
    <hyperlink r:id="rId469" ref="L627"/>
    <hyperlink r:id="rId470" ref="L628"/>
    <hyperlink r:id="rId471" ref="L631"/>
    <hyperlink r:id="rId472" ref="L633"/>
    <hyperlink r:id="rId473" ref="L634"/>
    <hyperlink r:id="rId474" ref="L635"/>
    <hyperlink r:id="rId475" ref="L638"/>
    <hyperlink r:id="rId476" ref="L639"/>
    <hyperlink r:id="rId477" ref="L640"/>
    <hyperlink r:id="rId478" ref="L641"/>
    <hyperlink r:id="rId479" ref="L643"/>
    <hyperlink r:id="rId480" ref="L644"/>
    <hyperlink r:id="rId481" ref="L645"/>
    <hyperlink r:id="rId482" ref="L646"/>
    <hyperlink r:id="rId483" ref="L647"/>
    <hyperlink r:id="rId484" ref="L648"/>
    <hyperlink r:id="rId485" ref="L649"/>
    <hyperlink r:id="rId486" ref="L650"/>
    <hyperlink r:id="rId487" ref="L651"/>
    <hyperlink r:id="rId488" ref="L655"/>
    <hyperlink r:id="rId489" ref="L657"/>
    <hyperlink r:id="rId490" ref="L659"/>
    <hyperlink r:id="rId491" ref="L660"/>
    <hyperlink r:id="rId492" ref="L662"/>
    <hyperlink r:id="rId493" ref="L663"/>
    <hyperlink r:id="rId494" ref="L664"/>
    <hyperlink r:id="rId495" ref="L665"/>
    <hyperlink r:id="rId496" ref="L666"/>
    <hyperlink r:id="rId497" ref="L667"/>
    <hyperlink r:id="rId498" ref="L668"/>
    <hyperlink r:id="rId499" ref="L669"/>
    <hyperlink r:id="rId500" ref="L670"/>
    <hyperlink r:id="rId501" ref="L671"/>
    <hyperlink r:id="rId502" ref="L672"/>
    <hyperlink r:id="rId503" ref="L673"/>
    <hyperlink r:id="rId504" ref="L674"/>
    <hyperlink r:id="rId505" ref="L676"/>
    <hyperlink r:id="rId506" ref="L677"/>
    <hyperlink r:id="rId507" ref="L678"/>
    <hyperlink r:id="rId508" ref="L679"/>
    <hyperlink r:id="rId509" ref="D680"/>
    <hyperlink r:id="rId510" ref="L680"/>
    <hyperlink r:id="rId511" ref="L681"/>
    <hyperlink r:id="rId512" ref="L682"/>
    <hyperlink r:id="rId513" ref="L683"/>
    <hyperlink r:id="rId514" ref="L684"/>
    <hyperlink r:id="rId515" ref="L685"/>
    <hyperlink r:id="rId516" ref="L687"/>
    <hyperlink r:id="rId517" ref="B688"/>
    <hyperlink r:id="rId518" ref="L688"/>
    <hyperlink r:id="rId519" ref="L689"/>
    <hyperlink r:id="rId520" ref="L690"/>
    <hyperlink r:id="rId521" ref="L691"/>
    <hyperlink r:id="rId522" ref="L692"/>
    <hyperlink r:id="rId523" ref="L693"/>
    <hyperlink r:id="rId524" ref="L694"/>
    <hyperlink r:id="rId525" ref="L695"/>
    <hyperlink r:id="rId526" ref="B697"/>
    <hyperlink r:id="rId527" ref="L697"/>
    <hyperlink r:id="rId528" ref="L699"/>
    <hyperlink r:id="rId529" ref="L700"/>
    <hyperlink r:id="rId530" ref="L702"/>
    <hyperlink r:id="rId531" ref="L703"/>
    <hyperlink r:id="rId532" ref="L704"/>
    <hyperlink r:id="rId533" ref="L706"/>
    <hyperlink r:id="rId534" ref="L707"/>
    <hyperlink r:id="rId535" ref="L708"/>
    <hyperlink r:id="rId536" ref="L709"/>
    <hyperlink r:id="rId537" ref="L710"/>
    <hyperlink r:id="rId538" ref="L713"/>
    <hyperlink r:id="rId539" ref="L714"/>
    <hyperlink r:id="rId540" ref="L715"/>
    <hyperlink r:id="rId541" ref="L716"/>
    <hyperlink r:id="rId542" ref="L720"/>
    <hyperlink r:id="rId543" ref="L721"/>
    <hyperlink r:id="rId544" ref="L722"/>
    <hyperlink r:id="rId545" ref="L726"/>
    <hyperlink r:id="rId546" ref="L728"/>
    <hyperlink r:id="rId547" ref="L729"/>
    <hyperlink r:id="rId548" ref="L731"/>
    <hyperlink r:id="rId549" ref="L733"/>
    <hyperlink r:id="rId550" ref="L735"/>
    <hyperlink r:id="rId551" ref="L737"/>
    <hyperlink r:id="rId552" ref="L738"/>
    <hyperlink r:id="rId553" ref="B739"/>
    <hyperlink r:id="rId554" ref="L739"/>
    <hyperlink r:id="rId555" ref="L740"/>
    <hyperlink r:id="rId556" ref="L742"/>
    <hyperlink r:id="rId557" ref="B747"/>
    <hyperlink r:id="rId558" ref="L747"/>
    <hyperlink r:id="rId559" ref="B748"/>
    <hyperlink r:id="rId560" ref="L748"/>
    <hyperlink r:id="rId561" ref="L751"/>
    <hyperlink r:id="rId562" ref="L752"/>
    <hyperlink r:id="rId563" ref="L756"/>
    <hyperlink r:id="rId564" ref="L757"/>
    <hyperlink r:id="rId565" ref="L758"/>
    <hyperlink r:id="rId566" ref="L759"/>
    <hyperlink r:id="rId567" ref="L760"/>
    <hyperlink r:id="rId568" ref="L761"/>
    <hyperlink r:id="rId569" ref="L762"/>
    <hyperlink r:id="rId570" ref="L763"/>
    <hyperlink r:id="rId571" ref="L764"/>
    <hyperlink r:id="rId572" ref="L765"/>
    <hyperlink r:id="rId573" ref="L766"/>
    <hyperlink r:id="rId574" ref="L767"/>
    <hyperlink r:id="rId575" ref="L768"/>
    <hyperlink r:id="rId576" ref="B769"/>
    <hyperlink r:id="rId577" ref="L769"/>
    <hyperlink r:id="rId578" ref="L770"/>
    <hyperlink r:id="rId579" ref="L771"/>
    <hyperlink r:id="rId580" ref="L772"/>
    <hyperlink r:id="rId581" ref="L774"/>
    <hyperlink r:id="rId582" ref="L776"/>
    <hyperlink r:id="rId583" ref="L777"/>
    <hyperlink r:id="rId584" ref="L778"/>
    <hyperlink r:id="rId585" ref="L780"/>
    <hyperlink r:id="rId586" ref="L783"/>
    <hyperlink r:id="rId587" ref="L785"/>
    <hyperlink r:id="rId588" ref="L786"/>
    <hyperlink r:id="rId589" ref="L787"/>
    <hyperlink r:id="rId590" ref="L788"/>
    <hyperlink r:id="rId591" ref="L789"/>
    <hyperlink r:id="rId592" ref="L790"/>
  </hyperlinks>
  <drawing r:id="rId593"/>
</worksheet>
</file>